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omments3.xml" ContentType="application/vnd.openxmlformats-officedocument.spreadsheetml.comments+xml"/>
  <Override PartName="/xl/drawings/drawing4.xml" ContentType="application/vnd.openxmlformats-officedocument.drawing+xml"/>
  <Override PartName="/xl/comments4.xml" ContentType="application/vnd.openxmlformats-officedocument.spreadsheetml.comments+xml"/>
  <Override PartName="/xl/drawings/drawing5.xml" ContentType="application/vnd.openxmlformats-officedocument.drawing+xml"/>
  <Override PartName="/xl/comments5.xml" ContentType="application/vnd.openxmlformats-officedocument.spreadsheetml.comments+xml"/>
  <Override PartName="/xl/drawings/drawing6.xml" ContentType="application/vnd.openxmlformats-officedocument.drawing+xml"/>
  <Override PartName="/xl/comments6.xml" ContentType="application/vnd.openxmlformats-officedocument.spreadsheetml.comments+xml"/>
  <Override PartName="/xl/drawings/drawing7.xml" ContentType="application/vnd.openxmlformats-officedocument.drawing+xml"/>
  <Override PartName="/xl/comments7.xml" ContentType="application/vnd.openxmlformats-officedocument.spreadsheetml.comments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929"/>
  <workbookPr filterPrivacy="1" saveExternalLinkValues="0" updateLinks="never" codeName="Ten_skoroszyt" defaultThemeVersion="124226"/>
  <xr:revisionPtr revIDLastSave="0" documentId="13_ncr:1_{1E452D03-2681-4518-B34F-44BC47B98FF6}" xr6:coauthVersionLast="47" xr6:coauthVersionMax="47" xr10:uidLastSave="{00000000-0000-0000-0000-000000000000}"/>
  <workbookProtection workbookAlgorithmName="SHA-512" workbookHashValue="sv7+M5BIYCDPSC3lOzxWX8iFEV3QYFvjNCJHLSsOiUX9G1yPgMDs4ik2Hpodp4Ln1pdbsOlfSh/mQsyQbpMFCQ==" workbookSaltValue="mkcyt7KHrlOnmUBlqmd+xQ==" workbookSpinCount="100000" lockStructure="1"/>
  <bookViews>
    <workbookView xWindow="28680" yWindow="-120" windowWidth="29040" windowHeight="15840" tabRatio="764" xr2:uid="{00000000-000D-0000-FFFF-FFFF00000000}"/>
  </bookViews>
  <sheets>
    <sheet name="Warunki użytkowania+instrukcja" sheetId="43" r:id="rId1"/>
    <sheet name="cennik" sheetId="39" r:id="rId2"/>
    <sheet name="dachy skośne" sheetId="46" r:id="rId3"/>
    <sheet name="dachy płaskie v1" sheetId="47" state="hidden" r:id="rId4"/>
    <sheet name="dachy płaski" sheetId="51" r:id="rId5"/>
    <sheet name="konstrukcje wolnostojące v1" sheetId="48" state="hidden" r:id="rId6"/>
    <sheet name="konstrukcje wolnostojące" sheetId="52" r:id="rId7"/>
    <sheet name="elewacja+balustrady" sheetId="44" r:id="rId8"/>
    <sheet name="carport+ładowarki" sheetId="49" r:id="rId9"/>
    <sheet name="dodatki" sheetId="42" r:id="rId10"/>
  </sheets>
  <definedNames>
    <definedName name="solver_adj" localSheetId="3" hidden="1">'dachy płaskie v1'!$GZ$175:$GZ$177</definedName>
    <definedName name="solver_adj" localSheetId="2" hidden="1">'dachy skośne'!$OC$19:$OC$25</definedName>
    <definedName name="solver_adj" localSheetId="5" hidden="1">'konstrukcje wolnostojące v1'!$AL$194:$AL$195</definedName>
    <definedName name="solver_cvg" localSheetId="3" hidden="1">0.0001</definedName>
    <definedName name="solver_cvg" localSheetId="2" hidden="1">0.0001</definedName>
    <definedName name="solver_cvg" localSheetId="5" hidden="1">0.0001</definedName>
    <definedName name="solver_drv" localSheetId="3" hidden="1">1</definedName>
    <definedName name="solver_drv" localSheetId="2" hidden="1">2</definedName>
    <definedName name="solver_drv" localSheetId="5" hidden="1">2</definedName>
    <definedName name="solver_eng" localSheetId="3" hidden="1">1</definedName>
    <definedName name="solver_eng" localSheetId="2" hidden="1">1</definedName>
    <definedName name="solver_eng" localSheetId="7" hidden="1">1</definedName>
    <definedName name="solver_eng" localSheetId="5" hidden="1">1</definedName>
    <definedName name="solver_est" localSheetId="3" hidden="1">1</definedName>
    <definedName name="solver_est" localSheetId="2" hidden="1">1</definedName>
    <definedName name="solver_est" localSheetId="5" hidden="1">1</definedName>
    <definedName name="solver_itr" localSheetId="3" hidden="1">2147483647</definedName>
    <definedName name="solver_itr" localSheetId="2" hidden="1">2147483647</definedName>
    <definedName name="solver_itr" localSheetId="5" hidden="1">2147483647</definedName>
    <definedName name="solver_lhs1" localSheetId="3" hidden="1">'dachy płaskie v1'!$GZ$175:$GZ$177</definedName>
    <definedName name="solver_lhs1" localSheetId="2" hidden="1">'dachy skośne'!$OC$19:$OC$25</definedName>
    <definedName name="solver_lhs1" localSheetId="5" hidden="1">'konstrukcje wolnostojące v1'!$AL$194:$AL$195</definedName>
    <definedName name="solver_lhs2" localSheetId="3" hidden="1">'dachy płaskie v1'!$HA$179</definedName>
    <definedName name="solver_lhs2" localSheetId="2" hidden="1">'dachy skośne'!$OD$27</definedName>
    <definedName name="solver_lhs2" localSheetId="5" hidden="1">'konstrukcje wolnostojące v1'!$AM$197</definedName>
    <definedName name="solver_mip" localSheetId="3" hidden="1">2147483647</definedName>
    <definedName name="solver_mip" localSheetId="2" hidden="1">2147483647</definedName>
    <definedName name="solver_mip" localSheetId="5" hidden="1">2147483647</definedName>
    <definedName name="solver_mni" localSheetId="3" hidden="1">30</definedName>
    <definedName name="solver_mni" localSheetId="2" hidden="1">30</definedName>
    <definedName name="solver_mni" localSheetId="5" hidden="1">30</definedName>
    <definedName name="solver_mrt" localSheetId="3" hidden="1">0.075</definedName>
    <definedName name="solver_mrt" localSheetId="2" hidden="1">0.075</definedName>
    <definedName name="solver_mrt" localSheetId="5" hidden="1">0.075</definedName>
    <definedName name="solver_msl" localSheetId="3" hidden="1">2</definedName>
    <definedName name="solver_msl" localSheetId="2" hidden="1">2</definedName>
    <definedName name="solver_msl" localSheetId="5" hidden="1">2</definedName>
    <definedName name="solver_neg" localSheetId="3" hidden="1">1</definedName>
    <definedName name="solver_neg" localSheetId="2" hidden="1">1</definedName>
    <definedName name="solver_neg" localSheetId="7" hidden="1">1</definedName>
    <definedName name="solver_neg" localSheetId="5" hidden="1">1</definedName>
    <definedName name="solver_nod" localSheetId="3" hidden="1">2147483647</definedName>
    <definedName name="solver_nod" localSheetId="2" hidden="1">2147483647</definedName>
    <definedName name="solver_nod" localSheetId="5" hidden="1">2147483647</definedName>
    <definedName name="solver_num" localSheetId="3" hidden="1">2</definedName>
    <definedName name="solver_num" localSheetId="2" hidden="1">2</definedName>
    <definedName name="solver_num" localSheetId="7" hidden="1">0</definedName>
    <definedName name="solver_num" localSheetId="5" hidden="1">2</definedName>
    <definedName name="solver_nwt" localSheetId="3" hidden="1">1</definedName>
    <definedName name="solver_nwt" localSheetId="2" hidden="1">1</definedName>
    <definedName name="solver_nwt" localSheetId="5" hidden="1">1</definedName>
    <definedName name="solver_opt" localSheetId="3" hidden="1">'dachy płaskie v1'!$HC$179</definedName>
    <definedName name="solver_opt" localSheetId="2" hidden="1">'dachy skośne'!$OF$27</definedName>
    <definedName name="solver_opt" localSheetId="7" hidden="1">'elewacja+balustrady'!$CH$31</definedName>
    <definedName name="solver_opt" localSheetId="5" hidden="1">'konstrukcje wolnostojące v1'!$AO$197</definedName>
    <definedName name="solver_pre" localSheetId="3" hidden="1">0.000001</definedName>
    <definedName name="solver_pre" localSheetId="2" hidden="1">0.000001</definedName>
    <definedName name="solver_pre" localSheetId="5" hidden="1">0.000001</definedName>
    <definedName name="solver_rbv" localSheetId="3" hidden="1">1</definedName>
    <definedName name="solver_rbv" localSheetId="2" hidden="1">2</definedName>
    <definedName name="solver_rbv" localSheetId="5" hidden="1">2</definedName>
    <definedName name="solver_rel1" localSheetId="3" hidden="1">4</definedName>
    <definedName name="solver_rel1" localSheetId="2" hidden="1">4</definedName>
    <definedName name="solver_rel1" localSheetId="5" hidden="1">4</definedName>
    <definedName name="solver_rel2" localSheetId="3" hidden="1">3</definedName>
    <definedName name="solver_rel2" localSheetId="2" hidden="1">3</definedName>
    <definedName name="solver_rel2" localSheetId="5" hidden="1">3</definedName>
    <definedName name="solver_rhs1" localSheetId="3" hidden="1">"całkowita"</definedName>
    <definedName name="solver_rhs1" localSheetId="2" hidden="1">"całkowita"</definedName>
    <definedName name="solver_rhs1" localSheetId="5" hidden="1">"całkowita"</definedName>
    <definedName name="solver_rhs2" localSheetId="3" hidden="1">'dachy płaskie v1'!$GY$174</definedName>
    <definedName name="solver_rhs2" localSheetId="2" hidden="1">'dachy skośne'!$OB$18</definedName>
    <definedName name="solver_rhs2" localSheetId="5" hidden="1">'konstrukcje wolnostojące v1'!$AK$193</definedName>
    <definedName name="solver_rlx" localSheetId="3" hidden="1">2</definedName>
    <definedName name="solver_rlx" localSheetId="2" hidden="1">2</definedName>
    <definedName name="solver_rlx" localSheetId="5" hidden="1">2</definedName>
    <definedName name="solver_rsd" localSheetId="3" hidden="1">0</definedName>
    <definedName name="solver_rsd" localSheetId="2" hidden="1">0</definedName>
    <definedName name="solver_rsd" localSheetId="5" hidden="1">0</definedName>
    <definedName name="solver_scl" localSheetId="3" hidden="1">1</definedName>
    <definedName name="solver_scl" localSheetId="2" hidden="1">2</definedName>
    <definedName name="solver_scl" localSheetId="5" hidden="1">2</definedName>
    <definedName name="solver_sho" localSheetId="3" hidden="1">2</definedName>
    <definedName name="solver_sho" localSheetId="2" hidden="1">2</definedName>
    <definedName name="solver_sho" localSheetId="5" hidden="1">2</definedName>
    <definedName name="solver_ssz" localSheetId="3" hidden="1">100</definedName>
    <definedName name="solver_ssz" localSheetId="2" hidden="1">100</definedName>
    <definedName name="solver_ssz" localSheetId="5" hidden="1">100</definedName>
    <definedName name="solver_tim" localSheetId="3" hidden="1">2147483647</definedName>
    <definedName name="solver_tim" localSheetId="2" hidden="1">2147483647</definedName>
    <definedName name="solver_tim" localSheetId="5" hidden="1">2147483647</definedName>
    <definedName name="solver_tol" localSheetId="3" hidden="1">0.01</definedName>
    <definedName name="solver_tol" localSheetId="2" hidden="1">0.01</definedName>
    <definedName name="solver_tol" localSheetId="5" hidden="1">0.01</definedName>
    <definedName name="solver_typ" localSheetId="3" hidden="1">2</definedName>
    <definedName name="solver_typ" localSheetId="2" hidden="1">2</definedName>
    <definedName name="solver_typ" localSheetId="7" hidden="1">1</definedName>
    <definedName name="solver_typ" localSheetId="5" hidden="1">2</definedName>
    <definedName name="solver_val" localSheetId="3" hidden="1">0</definedName>
    <definedName name="solver_val" localSheetId="2" hidden="1">0</definedName>
    <definedName name="solver_val" localSheetId="7" hidden="1">0</definedName>
    <definedName name="solver_val" localSheetId="5" hidden="1">0</definedName>
    <definedName name="solver_ver" localSheetId="3" hidden="1">3</definedName>
    <definedName name="solver_ver" localSheetId="2" hidden="1">3</definedName>
    <definedName name="solver_ver" localSheetId="7" hidden="1">3</definedName>
    <definedName name="solver_ver" localSheetId="5" hidden="1">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N4" i="44" l="1"/>
  <c r="N3" i="44"/>
  <c r="M3" i="44"/>
  <c r="M105" i="51"/>
  <c r="U30" i="51"/>
  <c r="U31" i="51"/>
  <c r="U32" i="51"/>
  <c r="U33" i="51"/>
  <c r="U34" i="51"/>
  <c r="U35" i="51"/>
  <c r="U36" i="51"/>
  <c r="U37" i="51"/>
  <c r="U38" i="51"/>
  <c r="U39" i="51"/>
  <c r="U40" i="51"/>
  <c r="U41" i="51"/>
  <c r="U42" i="51"/>
  <c r="U43" i="51"/>
  <c r="U44" i="51"/>
  <c r="U45" i="51"/>
  <c r="U46" i="51"/>
  <c r="U47" i="51"/>
  <c r="U48" i="51"/>
  <c r="U49" i="51"/>
  <c r="U29" i="51"/>
  <c r="U4" i="51"/>
  <c r="U5" i="51"/>
  <c r="U6" i="51"/>
  <c r="U7" i="51"/>
  <c r="U8" i="51"/>
  <c r="U9" i="51"/>
  <c r="U10" i="51"/>
  <c r="U11" i="51"/>
  <c r="U12" i="51"/>
  <c r="U13" i="51"/>
  <c r="U14" i="51"/>
  <c r="U15" i="51"/>
  <c r="U16" i="51"/>
  <c r="U17" i="51"/>
  <c r="U18" i="51"/>
  <c r="U19" i="51"/>
  <c r="U20" i="51"/>
  <c r="U21" i="51"/>
  <c r="U22" i="51"/>
  <c r="U23" i="51"/>
  <c r="U24" i="51"/>
  <c r="U25" i="51"/>
  <c r="U3" i="51"/>
  <c r="P30" i="51"/>
  <c r="P31" i="51"/>
  <c r="P32" i="51"/>
  <c r="P33" i="51"/>
  <c r="P34" i="51"/>
  <c r="P35" i="51"/>
  <c r="P36" i="51"/>
  <c r="P37" i="51"/>
  <c r="P38" i="51"/>
  <c r="P39" i="51"/>
  <c r="P40" i="51"/>
  <c r="P41" i="51"/>
  <c r="P42" i="51"/>
  <c r="P43" i="51"/>
  <c r="P44" i="51"/>
  <c r="P45" i="51"/>
  <c r="P46" i="51"/>
  <c r="P47" i="51"/>
  <c r="P48" i="51"/>
  <c r="P49" i="51"/>
  <c r="S49" i="51" s="1"/>
  <c r="P29" i="51"/>
  <c r="M30" i="51"/>
  <c r="N30" i="51"/>
  <c r="M31" i="51"/>
  <c r="N31" i="51"/>
  <c r="M32" i="51"/>
  <c r="N32" i="51"/>
  <c r="M33" i="51"/>
  <c r="N33" i="51"/>
  <c r="M34" i="51"/>
  <c r="N34" i="51"/>
  <c r="M35" i="51"/>
  <c r="N35" i="51"/>
  <c r="M36" i="51"/>
  <c r="N36" i="51"/>
  <c r="M37" i="51"/>
  <c r="N37" i="51"/>
  <c r="M38" i="51"/>
  <c r="N38" i="51"/>
  <c r="M39" i="51"/>
  <c r="N39" i="51"/>
  <c r="M40" i="51"/>
  <c r="N40" i="51"/>
  <c r="M41" i="51"/>
  <c r="N41" i="51"/>
  <c r="M42" i="51"/>
  <c r="N42" i="51"/>
  <c r="M43" i="51"/>
  <c r="N43" i="51"/>
  <c r="M44" i="51"/>
  <c r="N44" i="51"/>
  <c r="M45" i="51"/>
  <c r="N45" i="51"/>
  <c r="M46" i="51"/>
  <c r="N46" i="51"/>
  <c r="M47" i="51"/>
  <c r="N47" i="51"/>
  <c r="M48" i="51"/>
  <c r="N48" i="51"/>
  <c r="M49" i="51"/>
  <c r="N49" i="51"/>
  <c r="N29" i="51"/>
  <c r="M29" i="51"/>
  <c r="P4" i="51"/>
  <c r="P5" i="51"/>
  <c r="P6" i="51"/>
  <c r="P7" i="51"/>
  <c r="P8" i="51"/>
  <c r="P9" i="51"/>
  <c r="P10" i="51"/>
  <c r="P11" i="51"/>
  <c r="P12" i="51"/>
  <c r="P13" i="51"/>
  <c r="P14" i="51"/>
  <c r="P15" i="51"/>
  <c r="P16" i="51"/>
  <c r="P17" i="51"/>
  <c r="P18" i="51"/>
  <c r="P19" i="51"/>
  <c r="P20" i="51"/>
  <c r="P21" i="51"/>
  <c r="P22" i="51"/>
  <c r="P23" i="51"/>
  <c r="P24" i="51"/>
  <c r="P25" i="51"/>
  <c r="P3" i="51"/>
  <c r="M4" i="51"/>
  <c r="N4" i="51"/>
  <c r="M5" i="51"/>
  <c r="N5" i="51"/>
  <c r="M6" i="51"/>
  <c r="N6" i="51"/>
  <c r="M7" i="51"/>
  <c r="N7" i="51"/>
  <c r="M8" i="51"/>
  <c r="N8" i="51"/>
  <c r="M9" i="51"/>
  <c r="N9" i="51"/>
  <c r="M10" i="51"/>
  <c r="N10" i="51"/>
  <c r="M11" i="51"/>
  <c r="N11" i="51"/>
  <c r="M12" i="51"/>
  <c r="N12" i="51"/>
  <c r="M13" i="51"/>
  <c r="N13" i="51"/>
  <c r="M14" i="51"/>
  <c r="N14" i="51"/>
  <c r="M15" i="51"/>
  <c r="N15" i="51"/>
  <c r="M16" i="51"/>
  <c r="N16" i="51"/>
  <c r="M17" i="51"/>
  <c r="N17" i="51"/>
  <c r="M18" i="51"/>
  <c r="N18" i="51"/>
  <c r="M19" i="51"/>
  <c r="N19" i="51"/>
  <c r="M20" i="51"/>
  <c r="N20" i="51"/>
  <c r="M21" i="51"/>
  <c r="N21" i="51"/>
  <c r="M22" i="51"/>
  <c r="N22" i="51"/>
  <c r="M23" i="51"/>
  <c r="N23" i="51"/>
  <c r="M24" i="51"/>
  <c r="N24" i="51"/>
  <c r="M25" i="51"/>
  <c r="N25" i="51"/>
  <c r="N3" i="51"/>
  <c r="M3" i="51"/>
  <c r="JI146" i="46"/>
  <c r="JJ146" i="46"/>
  <c r="JK146" i="46"/>
  <c r="JL146" i="46"/>
  <c r="JM146" i="46"/>
  <c r="JN146" i="46"/>
  <c r="JO146" i="46"/>
  <c r="JP146" i="46"/>
  <c r="JQ146" i="46"/>
  <c r="JI147" i="46"/>
  <c r="JJ147" i="46"/>
  <c r="JK147" i="46"/>
  <c r="JL147" i="46"/>
  <c r="JM147" i="46"/>
  <c r="JN147" i="46"/>
  <c r="JO147" i="46"/>
  <c r="JP147" i="46"/>
  <c r="JQ147" i="46"/>
  <c r="JI148" i="46"/>
  <c r="JJ148" i="46"/>
  <c r="JK148" i="46"/>
  <c r="JL148" i="46"/>
  <c r="JM148" i="46"/>
  <c r="JN148" i="46"/>
  <c r="JO148" i="46"/>
  <c r="JP148" i="46"/>
  <c r="JQ148" i="46"/>
  <c r="JI149" i="46"/>
  <c r="JJ149" i="46"/>
  <c r="JK149" i="46"/>
  <c r="JL149" i="46"/>
  <c r="JM149" i="46"/>
  <c r="JN149" i="46"/>
  <c r="JO149" i="46"/>
  <c r="JP149" i="46"/>
  <c r="JQ149" i="46"/>
  <c r="JI150" i="46"/>
  <c r="JJ150" i="46"/>
  <c r="JK150" i="46"/>
  <c r="JL150" i="46"/>
  <c r="JM150" i="46"/>
  <c r="JN150" i="46"/>
  <c r="JO150" i="46"/>
  <c r="JP150" i="46"/>
  <c r="JQ150" i="46"/>
  <c r="JI151" i="46"/>
  <c r="JJ151" i="46"/>
  <c r="JK151" i="46"/>
  <c r="JL151" i="46"/>
  <c r="JM151" i="46"/>
  <c r="JN151" i="46"/>
  <c r="JO151" i="46"/>
  <c r="JP151" i="46"/>
  <c r="JQ151" i="46"/>
  <c r="JI152" i="46"/>
  <c r="JJ152" i="46"/>
  <c r="JK152" i="46"/>
  <c r="JL152" i="46"/>
  <c r="JM152" i="46"/>
  <c r="JN152" i="46"/>
  <c r="JO152" i="46"/>
  <c r="JP152" i="46"/>
  <c r="JQ152" i="46"/>
  <c r="JI153" i="46"/>
  <c r="JJ153" i="46"/>
  <c r="JK153" i="46"/>
  <c r="JL153" i="46"/>
  <c r="JM153" i="46"/>
  <c r="JN153" i="46"/>
  <c r="JO153" i="46"/>
  <c r="JP153" i="46"/>
  <c r="JQ153" i="46"/>
  <c r="JI154" i="46"/>
  <c r="JJ154" i="46"/>
  <c r="JK154" i="46"/>
  <c r="JL154" i="46"/>
  <c r="JM154" i="46"/>
  <c r="JN154" i="46"/>
  <c r="JO154" i="46"/>
  <c r="JP154" i="46"/>
  <c r="JQ154" i="46"/>
  <c r="JI155" i="46"/>
  <c r="JJ155" i="46"/>
  <c r="JK155" i="46"/>
  <c r="JL155" i="46"/>
  <c r="JM155" i="46"/>
  <c r="JN155" i="46"/>
  <c r="JO155" i="46"/>
  <c r="JP155" i="46"/>
  <c r="JQ155" i="46"/>
  <c r="JI156" i="46"/>
  <c r="JJ156" i="46"/>
  <c r="JK156" i="46"/>
  <c r="JL156" i="46"/>
  <c r="JM156" i="46"/>
  <c r="JN156" i="46"/>
  <c r="JO156" i="46"/>
  <c r="JP156" i="46"/>
  <c r="JQ156" i="46"/>
  <c r="JI157" i="46"/>
  <c r="JJ157" i="46"/>
  <c r="JK157" i="46"/>
  <c r="JL157" i="46"/>
  <c r="JM157" i="46"/>
  <c r="JN157" i="46"/>
  <c r="JO157" i="46"/>
  <c r="JP157" i="46"/>
  <c r="JQ157" i="46"/>
  <c r="JI158" i="46"/>
  <c r="JJ158" i="46"/>
  <c r="JK158" i="46"/>
  <c r="JL158" i="46"/>
  <c r="JM158" i="46"/>
  <c r="JN158" i="46"/>
  <c r="JO158" i="46"/>
  <c r="JP158" i="46"/>
  <c r="JQ158" i="46"/>
  <c r="JI159" i="46"/>
  <c r="JJ159" i="46"/>
  <c r="JK159" i="46"/>
  <c r="JL159" i="46"/>
  <c r="JM159" i="46"/>
  <c r="JN159" i="46"/>
  <c r="JO159" i="46"/>
  <c r="JP159" i="46"/>
  <c r="JQ159" i="46"/>
  <c r="JI160" i="46"/>
  <c r="JJ160" i="46"/>
  <c r="JK160" i="46"/>
  <c r="JL160" i="46"/>
  <c r="JM160" i="46"/>
  <c r="JN160" i="46"/>
  <c r="JO160" i="46"/>
  <c r="JP160" i="46"/>
  <c r="JQ160" i="46"/>
  <c r="JQ145" i="46"/>
  <c r="JP145" i="46"/>
  <c r="JO145" i="46"/>
  <c r="JN145" i="46"/>
  <c r="JM145" i="46"/>
  <c r="JL145" i="46"/>
  <c r="JK145" i="46"/>
  <c r="JJ145" i="46"/>
  <c r="JI145" i="46"/>
  <c r="JI101" i="46"/>
  <c r="JJ101" i="46"/>
  <c r="JK101" i="46"/>
  <c r="JL101" i="46"/>
  <c r="JM101" i="46"/>
  <c r="JN101" i="46"/>
  <c r="JO101" i="46"/>
  <c r="JP101" i="46"/>
  <c r="JQ101" i="46"/>
  <c r="JI102" i="46"/>
  <c r="JJ102" i="46"/>
  <c r="JK102" i="46"/>
  <c r="JL102" i="46"/>
  <c r="JM102" i="46"/>
  <c r="JN102" i="46"/>
  <c r="JO102" i="46"/>
  <c r="JP102" i="46"/>
  <c r="JQ102" i="46"/>
  <c r="JI103" i="46"/>
  <c r="JJ103" i="46"/>
  <c r="JK103" i="46"/>
  <c r="JL103" i="46"/>
  <c r="JM103" i="46"/>
  <c r="JN103" i="46"/>
  <c r="JO103" i="46"/>
  <c r="JP103" i="46"/>
  <c r="JQ103" i="46"/>
  <c r="JI104" i="46"/>
  <c r="JJ104" i="46"/>
  <c r="JK104" i="46"/>
  <c r="JL104" i="46"/>
  <c r="JM104" i="46"/>
  <c r="JN104" i="46"/>
  <c r="JO104" i="46"/>
  <c r="JP104" i="46"/>
  <c r="JQ104" i="46"/>
  <c r="JI105" i="46"/>
  <c r="JJ105" i="46"/>
  <c r="JK105" i="46"/>
  <c r="JL105" i="46"/>
  <c r="JM105" i="46"/>
  <c r="JN105" i="46"/>
  <c r="JO105" i="46"/>
  <c r="JP105" i="46"/>
  <c r="JQ105" i="46"/>
  <c r="JI106" i="46"/>
  <c r="JJ106" i="46"/>
  <c r="JK106" i="46"/>
  <c r="JL106" i="46"/>
  <c r="JM106" i="46"/>
  <c r="JN106" i="46"/>
  <c r="JO106" i="46"/>
  <c r="JP106" i="46"/>
  <c r="JQ106" i="46"/>
  <c r="JI107" i="46"/>
  <c r="JJ107" i="46"/>
  <c r="JK107" i="46"/>
  <c r="JL107" i="46"/>
  <c r="JM107" i="46"/>
  <c r="JN107" i="46"/>
  <c r="JO107" i="46"/>
  <c r="JP107" i="46"/>
  <c r="JQ107" i="46"/>
  <c r="JI108" i="46"/>
  <c r="JJ108" i="46"/>
  <c r="JK108" i="46"/>
  <c r="JL108" i="46"/>
  <c r="JM108" i="46"/>
  <c r="JN108" i="46"/>
  <c r="JO108" i="46"/>
  <c r="JP108" i="46"/>
  <c r="JQ108" i="46"/>
  <c r="JI109" i="46"/>
  <c r="JJ109" i="46"/>
  <c r="JK109" i="46"/>
  <c r="JL109" i="46"/>
  <c r="JM109" i="46"/>
  <c r="JN109" i="46"/>
  <c r="JO109" i="46"/>
  <c r="JP109" i="46"/>
  <c r="JQ109" i="46"/>
  <c r="JI110" i="46"/>
  <c r="JJ110" i="46"/>
  <c r="JK110" i="46"/>
  <c r="JL110" i="46"/>
  <c r="JM110" i="46"/>
  <c r="JN110" i="46"/>
  <c r="JO110" i="46"/>
  <c r="JP110" i="46"/>
  <c r="JQ110" i="46"/>
  <c r="JI111" i="46"/>
  <c r="JJ111" i="46"/>
  <c r="JK111" i="46"/>
  <c r="JL111" i="46"/>
  <c r="JM111" i="46"/>
  <c r="JN111" i="46"/>
  <c r="JO111" i="46"/>
  <c r="JP111" i="46"/>
  <c r="JQ111" i="46"/>
  <c r="JI112" i="46"/>
  <c r="JJ112" i="46"/>
  <c r="JK112" i="46"/>
  <c r="JL112" i="46"/>
  <c r="JM112" i="46"/>
  <c r="JN112" i="46"/>
  <c r="JO112" i="46"/>
  <c r="JP112" i="46"/>
  <c r="JQ112" i="46"/>
  <c r="JI113" i="46"/>
  <c r="JJ113" i="46"/>
  <c r="JK113" i="46"/>
  <c r="JL113" i="46"/>
  <c r="JM113" i="46"/>
  <c r="JN113" i="46"/>
  <c r="JO113" i="46"/>
  <c r="JP113" i="46"/>
  <c r="JQ113" i="46"/>
  <c r="JI114" i="46"/>
  <c r="JJ114" i="46"/>
  <c r="JK114" i="46"/>
  <c r="JL114" i="46"/>
  <c r="JM114" i="46"/>
  <c r="JN114" i="46"/>
  <c r="JO114" i="46"/>
  <c r="JP114" i="46"/>
  <c r="JQ114" i="46"/>
  <c r="JI115" i="46"/>
  <c r="JJ115" i="46"/>
  <c r="JK115" i="46"/>
  <c r="JL115" i="46"/>
  <c r="JM115" i="46"/>
  <c r="JN115" i="46"/>
  <c r="JO115" i="46"/>
  <c r="JP115" i="46"/>
  <c r="JQ115" i="46"/>
  <c r="JQ100" i="46"/>
  <c r="JP100" i="46"/>
  <c r="JO100" i="46"/>
  <c r="JN100" i="46"/>
  <c r="JM100" i="46"/>
  <c r="JL100" i="46"/>
  <c r="JK100" i="46"/>
  <c r="JJ100" i="46"/>
  <c r="JI100" i="46"/>
  <c r="JI53" i="46"/>
  <c r="JJ53" i="46"/>
  <c r="JK53" i="46"/>
  <c r="JL53" i="46"/>
  <c r="JM53" i="46"/>
  <c r="JN53" i="46"/>
  <c r="JO53" i="46"/>
  <c r="JP53" i="46"/>
  <c r="JQ53" i="46"/>
  <c r="JI54" i="46"/>
  <c r="JJ54" i="46"/>
  <c r="JK54" i="46"/>
  <c r="JL54" i="46"/>
  <c r="JM54" i="46"/>
  <c r="JN54" i="46"/>
  <c r="JO54" i="46"/>
  <c r="JP54" i="46"/>
  <c r="JQ54" i="46"/>
  <c r="JI55" i="46"/>
  <c r="JJ55" i="46"/>
  <c r="JK55" i="46"/>
  <c r="JL55" i="46"/>
  <c r="JM55" i="46"/>
  <c r="JN55" i="46"/>
  <c r="JO55" i="46"/>
  <c r="JP55" i="46"/>
  <c r="JQ55" i="46"/>
  <c r="JI56" i="46"/>
  <c r="JJ56" i="46"/>
  <c r="JK56" i="46"/>
  <c r="JL56" i="46"/>
  <c r="JM56" i="46"/>
  <c r="JN56" i="46"/>
  <c r="JO56" i="46"/>
  <c r="JP56" i="46"/>
  <c r="JQ56" i="46"/>
  <c r="JI57" i="46"/>
  <c r="JJ57" i="46"/>
  <c r="JK57" i="46"/>
  <c r="JL57" i="46"/>
  <c r="JM57" i="46"/>
  <c r="JN57" i="46"/>
  <c r="JO57" i="46"/>
  <c r="JP57" i="46"/>
  <c r="JQ57" i="46"/>
  <c r="JI58" i="46"/>
  <c r="JJ58" i="46"/>
  <c r="JK58" i="46"/>
  <c r="JL58" i="46"/>
  <c r="JM58" i="46"/>
  <c r="JN58" i="46"/>
  <c r="JO58" i="46"/>
  <c r="JP58" i="46"/>
  <c r="JQ58" i="46"/>
  <c r="JI59" i="46"/>
  <c r="JJ59" i="46"/>
  <c r="JK59" i="46"/>
  <c r="JL59" i="46"/>
  <c r="JM59" i="46"/>
  <c r="JN59" i="46"/>
  <c r="JO59" i="46"/>
  <c r="JP59" i="46"/>
  <c r="JQ59" i="46"/>
  <c r="JI60" i="46"/>
  <c r="JJ60" i="46"/>
  <c r="JK60" i="46"/>
  <c r="JL60" i="46"/>
  <c r="JM60" i="46"/>
  <c r="JN60" i="46"/>
  <c r="JO60" i="46"/>
  <c r="JP60" i="46"/>
  <c r="JQ60" i="46"/>
  <c r="JI61" i="46"/>
  <c r="JJ61" i="46"/>
  <c r="JK61" i="46"/>
  <c r="JL61" i="46"/>
  <c r="JM61" i="46"/>
  <c r="JN61" i="46"/>
  <c r="JO61" i="46"/>
  <c r="JP61" i="46"/>
  <c r="JQ61" i="46"/>
  <c r="JI62" i="46"/>
  <c r="JJ62" i="46"/>
  <c r="JK62" i="46"/>
  <c r="JL62" i="46"/>
  <c r="JM62" i="46"/>
  <c r="JN62" i="46"/>
  <c r="JO62" i="46"/>
  <c r="JP62" i="46"/>
  <c r="JQ62" i="46"/>
  <c r="JI63" i="46"/>
  <c r="JJ63" i="46"/>
  <c r="JK63" i="46"/>
  <c r="JL63" i="46"/>
  <c r="JM63" i="46"/>
  <c r="JN63" i="46"/>
  <c r="JO63" i="46"/>
  <c r="JP63" i="46"/>
  <c r="JQ63" i="46"/>
  <c r="JI64" i="46"/>
  <c r="JJ64" i="46"/>
  <c r="JK64" i="46"/>
  <c r="JL64" i="46"/>
  <c r="JM64" i="46"/>
  <c r="JN64" i="46"/>
  <c r="JO64" i="46"/>
  <c r="JP64" i="46"/>
  <c r="JQ64" i="46"/>
  <c r="JI65" i="46"/>
  <c r="JJ65" i="46"/>
  <c r="JK65" i="46"/>
  <c r="JL65" i="46"/>
  <c r="JM65" i="46"/>
  <c r="JN65" i="46"/>
  <c r="JO65" i="46"/>
  <c r="JP65" i="46"/>
  <c r="JQ65" i="46"/>
  <c r="JI66" i="46"/>
  <c r="JJ66" i="46"/>
  <c r="JK66" i="46"/>
  <c r="JL66" i="46"/>
  <c r="JM66" i="46"/>
  <c r="JN66" i="46"/>
  <c r="JO66" i="46"/>
  <c r="JP66" i="46"/>
  <c r="JQ66" i="46"/>
  <c r="JI67" i="46"/>
  <c r="JJ67" i="46"/>
  <c r="JK67" i="46"/>
  <c r="JL67" i="46"/>
  <c r="JM67" i="46"/>
  <c r="JN67" i="46"/>
  <c r="JO67" i="46"/>
  <c r="JP67" i="46"/>
  <c r="JQ67" i="46"/>
  <c r="JQ52" i="46"/>
  <c r="JP52" i="46"/>
  <c r="JO52" i="46"/>
  <c r="JN52" i="46"/>
  <c r="JM52" i="46"/>
  <c r="JL52" i="46"/>
  <c r="JK52" i="46"/>
  <c r="JJ52" i="46"/>
  <c r="JI52" i="46"/>
  <c r="W46" i="46"/>
  <c r="W22" i="46"/>
  <c r="JI24" i="46"/>
  <c r="JJ24" i="46"/>
  <c r="JK24" i="46"/>
  <c r="JL24" i="46"/>
  <c r="JM24" i="46"/>
  <c r="JN24" i="46"/>
  <c r="JO24" i="46"/>
  <c r="JP24" i="46"/>
  <c r="JQ24" i="46"/>
  <c r="JI25" i="46"/>
  <c r="JJ25" i="46"/>
  <c r="JK25" i="46"/>
  <c r="JL25" i="46"/>
  <c r="JM25" i="46"/>
  <c r="JN25" i="46"/>
  <c r="JO25" i="46"/>
  <c r="JP25" i="46"/>
  <c r="JQ25" i="46"/>
  <c r="JI26" i="46"/>
  <c r="JJ26" i="46"/>
  <c r="JK26" i="46"/>
  <c r="JL26" i="46"/>
  <c r="JM26" i="46"/>
  <c r="JN26" i="46"/>
  <c r="JO26" i="46"/>
  <c r="JP26" i="46"/>
  <c r="JQ26" i="46"/>
  <c r="JI27" i="46"/>
  <c r="JJ27" i="46"/>
  <c r="JK27" i="46"/>
  <c r="JL27" i="46"/>
  <c r="JM27" i="46"/>
  <c r="JN27" i="46"/>
  <c r="JO27" i="46"/>
  <c r="JP27" i="46"/>
  <c r="JQ27" i="46"/>
  <c r="JI28" i="46"/>
  <c r="JJ28" i="46"/>
  <c r="JK28" i="46"/>
  <c r="JL28" i="46"/>
  <c r="JM28" i="46"/>
  <c r="JN28" i="46"/>
  <c r="JO28" i="46"/>
  <c r="JP28" i="46"/>
  <c r="JQ28" i="46"/>
  <c r="JI29" i="46"/>
  <c r="JJ29" i="46"/>
  <c r="JK29" i="46"/>
  <c r="JL29" i="46"/>
  <c r="JM29" i="46"/>
  <c r="JN29" i="46"/>
  <c r="JO29" i="46"/>
  <c r="JP29" i="46"/>
  <c r="JQ29" i="46"/>
  <c r="JI30" i="46"/>
  <c r="JJ30" i="46"/>
  <c r="JK30" i="46"/>
  <c r="JL30" i="46"/>
  <c r="JM30" i="46"/>
  <c r="JN30" i="46"/>
  <c r="JO30" i="46"/>
  <c r="JP30" i="46"/>
  <c r="JQ30" i="46"/>
  <c r="JI31" i="46"/>
  <c r="JJ31" i="46"/>
  <c r="JK31" i="46"/>
  <c r="JL31" i="46"/>
  <c r="JM31" i="46"/>
  <c r="JN31" i="46"/>
  <c r="JO31" i="46"/>
  <c r="JP31" i="46"/>
  <c r="JQ31" i="46"/>
  <c r="JI32" i="46"/>
  <c r="JJ32" i="46"/>
  <c r="JK32" i="46"/>
  <c r="JL32" i="46"/>
  <c r="JM32" i="46"/>
  <c r="JN32" i="46"/>
  <c r="JO32" i="46"/>
  <c r="JP32" i="46"/>
  <c r="JQ32" i="46"/>
  <c r="JI33" i="46"/>
  <c r="JJ33" i="46"/>
  <c r="JK33" i="46"/>
  <c r="JL33" i="46"/>
  <c r="JM33" i="46"/>
  <c r="JN33" i="46"/>
  <c r="JO33" i="46"/>
  <c r="JP33" i="46"/>
  <c r="JQ33" i="46"/>
  <c r="JI34" i="46"/>
  <c r="JJ34" i="46"/>
  <c r="JK34" i="46"/>
  <c r="JL34" i="46"/>
  <c r="JM34" i="46"/>
  <c r="JN34" i="46"/>
  <c r="JO34" i="46"/>
  <c r="JP34" i="46"/>
  <c r="JQ34" i="46"/>
  <c r="JI35" i="46"/>
  <c r="JJ35" i="46"/>
  <c r="JK35" i="46"/>
  <c r="JL35" i="46"/>
  <c r="JM35" i="46"/>
  <c r="JN35" i="46"/>
  <c r="JO35" i="46"/>
  <c r="JP35" i="46"/>
  <c r="JQ35" i="46"/>
  <c r="JI36" i="46"/>
  <c r="JJ36" i="46"/>
  <c r="JK36" i="46"/>
  <c r="JL36" i="46"/>
  <c r="JM36" i="46"/>
  <c r="JN36" i="46"/>
  <c r="JO36" i="46"/>
  <c r="JP36" i="46"/>
  <c r="JQ36" i="46"/>
  <c r="JI37" i="46"/>
  <c r="JJ37" i="46"/>
  <c r="JK37" i="46"/>
  <c r="JL37" i="46"/>
  <c r="JM37" i="46"/>
  <c r="JN37" i="46"/>
  <c r="JO37" i="46"/>
  <c r="JP37" i="46"/>
  <c r="JQ37" i="46"/>
  <c r="JI38" i="46"/>
  <c r="JJ38" i="46"/>
  <c r="JK38" i="46"/>
  <c r="JL38" i="46"/>
  <c r="JM38" i="46"/>
  <c r="JN38" i="46"/>
  <c r="JO38" i="46"/>
  <c r="JP38" i="46"/>
  <c r="JQ38" i="46"/>
  <c r="JQ23" i="46"/>
  <c r="JP23" i="46"/>
  <c r="JO23" i="46"/>
  <c r="JN23" i="46"/>
  <c r="JM23" i="46"/>
  <c r="JL23" i="46"/>
  <c r="JK23" i="46"/>
  <c r="JJ23" i="46"/>
  <c r="JI23" i="46"/>
  <c r="W147" i="46"/>
  <c r="W125" i="46"/>
  <c r="W87" i="46"/>
  <c r="W65" i="46"/>
  <c r="JI79" i="46" s="1"/>
  <c r="W2" i="46"/>
  <c r="JJ3" i="46"/>
  <c r="L162" i="46"/>
  <c r="L161" i="46"/>
  <c r="L116" i="46"/>
  <c r="L115" i="46"/>
  <c r="L91" i="46"/>
  <c r="L90" i="46"/>
  <c r="L66" i="46"/>
  <c r="L65" i="46"/>
  <c r="L39" i="46"/>
  <c r="L40" i="46"/>
  <c r="L15" i="46"/>
  <c r="L13" i="46"/>
  <c r="L38" i="46"/>
  <c r="L14" i="46"/>
  <c r="M153" i="46"/>
  <c r="N153" i="46"/>
  <c r="P153" i="46"/>
  <c r="R153" i="46"/>
  <c r="M107" i="46"/>
  <c r="N107" i="46"/>
  <c r="P107" i="46"/>
  <c r="R107" i="46"/>
  <c r="M82" i="46"/>
  <c r="N82" i="46"/>
  <c r="P82" i="46"/>
  <c r="R82" i="46"/>
  <c r="M57" i="46"/>
  <c r="N57" i="46"/>
  <c r="P57" i="46"/>
  <c r="R57" i="46"/>
  <c r="R31" i="46"/>
  <c r="R6" i="46"/>
  <c r="OG20" i="46"/>
  <c r="OG21" i="46"/>
  <c r="OG22" i="46"/>
  <c r="OG23" i="46"/>
  <c r="OG24" i="46"/>
  <c r="OG25" i="46"/>
  <c r="OB18" i="46"/>
  <c r="O47" i="51"/>
  <c r="R49" i="51"/>
  <c r="O23" i="51"/>
  <c r="R25" i="51"/>
  <c r="OE25" i="46"/>
  <c r="OE24" i="46"/>
  <c r="OE23" i="46"/>
  <c r="OE22" i="46"/>
  <c r="OF22" i="46" s="1"/>
  <c r="OE21" i="46"/>
  <c r="OF21" i="46" s="1"/>
  <c r="OE20" i="46"/>
  <c r="OE19" i="46"/>
  <c r="OD22" i="46"/>
  <c r="L31" i="46"/>
  <c r="L6" i="46"/>
  <c r="L153" i="46"/>
  <c r="L107" i="46"/>
  <c r="L82" i="46"/>
  <c r="L57" i="46"/>
  <c r="JW11" i="46"/>
  <c r="D35" i="51"/>
  <c r="D34" i="51"/>
  <c r="D9" i="51"/>
  <c r="F20" i="51"/>
  <c r="D8" i="51"/>
  <c r="L108" i="51"/>
  <c r="O44" i="51"/>
  <c r="O43" i="51"/>
  <c r="O42" i="51"/>
  <c r="O37" i="51"/>
  <c r="O33" i="51"/>
  <c r="O32" i="51"/>
  <c r="O9" i="51"/>
  <c r="F45" i="51"/>
  <c r="AO46" i="51"/>
  <c r="AO41" i="51"/>
  <c r="F21" i="51"/>
  <c r="O18" i="51"/>
  <c r="BC17" i="51"/>
  <c r="BC12" i="51"/>
  <c r="O13" i="51" s="1"/>
  <c r="L32" i="51"/>
  <c r="L8" i="51"/>
  <c r="L35" i="51"/>
  <c r="L11" i="51"/>
  <c r="F44" i="51"/>
  <c r="JK78" i="46" l="1"/>
  <c r="JL78" i="46"/>
  <c r="JQ91" i="46"/>
  <c r="JP91" i="46"/>
  <c r="JQ87" i="46"/>
  <c r="JP87" i="46"/>
  <c r="JQ83" i="46"/>
  <c r="JP83" i="46"/>
  <c r="JM78" i="46"/>
  <c r="JO91" i="46"/>
  <c r="JO87" i="46"/>
  <c r="JO83" i="46"/>
  <c r="JN78" i="46"/>
  <c r="JP90" i="46"/>
  <c r="JP86" i="46"/>
  <c r="JP82" i="46"/>
  <c r="JQ78" i="46"/>
  <c r="JN90" i="46"/>
  <c r="JN86" i="46"/>
  <c r="JN82" i="46"/>
  <c r="JN93" i="46"/>
  <c r="JM90" i="46"/>
  <c r="JM86" i="46"/>
  <c r="JM82" i="46"/>
  <c r="JM93" i="46"/>
  <c r="JL90" i="46"/>
  <c r="JL86" i="46"/>
  <c r="JL82" i="46"/>
  <c r="JK93" i="46"/>
  <c r="JM89" i="46"/>
  <c r="JM85" i="46"/>
  <c r="JM81" i="46"/>
  <c r="JJ93" i="46"/>
  <c r="JK89" i="46"/>
  <c r="JK85" i="46"/>
  <c r="JK81" i="46"/>
  <c r="JI93" i="46"/>
  <c r="JJ89" i="46"/>
  <c r="JJ85" i="46"/>
  <c r="JJ81" i="46"/>
  <c r="JI78" i="46"/>
  <c r="JK92" i="46"/>
  <c r="JI89" i="46"/>
  <c r="JI85" i="46"/>
  <c r="JI81" i="46"/>
  <c r="JJ78" i="46"/>
  <c r="JJ92" i="46"/>
  <c r="JJ88" i="46"/>
  <c r="JJ84" i="46"/>
  <c r="JJ80" i="46"/>
  <c r="JQ90" i="46"/>
  <c r="JN89" i="46"/>
  <c r="JK88" i="46"/>
  <c r="JQ86" i="46"/>
  <c r="JN85" i="46"/>
  <c r="JK84" i="46"/>
  <c r="JQ82" i="46"/>
  <c r="JN81" i="46"/>
  <c r="JK80" i="46"/>
  <c r="JL93" i="46"/>
  <c r="JI92" i="46"/>
  <c r="JO90" i="46"/>
  <c r="JL89" i="46"/>
  <c r="JI88" i="46"/>
  <c r="JO86" i="46"/>
  <c r="JL85" i="46"/>
  <c r="JI84" i="46"/>
  <c r="JO82" i="46"/>
  <c r="JL81" i="46"/>
  <c r="JI80" i="46"/>
  <c r="JQ79" i="46"/>
  <c r="JP79" i="46"/>
  <c r="JO79" i="46"/>
  <c r="JO78" i="46"/>
  <c r="JQ92" i="46"/>
  <c r="JN91" i="46"/>
  <c r="JK90" i="46"/>
  <c r="JQ88" i="46"/>
  <c r="JN87" i="46"/>
  <c r="JK86" i="46"/>
  <c r="JQ84" i="46"/>
  <c r="JN83" i="46"/>
  <c r="JK82" i="46"/>
  <c r="JQ80" i="46"/>
  <c r="JN79" i="46"/>
  <c r="JP78" i="46"/>
  <c r="JP92" i="46"/>
  <c r="JM91" i="46"/>
  <c r="JJ90" i="46"/>
  <c r="JP88" i="46"/>
  <c r="JM87" i="46"/>
  <c r="JJ86" i="46"/>
  <c r="JP84" i="46"/>
  <c r="JM83" i="46"/>
  <c r="JJ82" i="46"/>
  <c r="JP80" i="46"/>
  <c r="JM79" i="46"/>
  <c r="JO92" i="46"/>
  <c r="JL91" i="46"/>
  <c r="JI90" i="46"/>
  <c r="JO88" i="46"/>
  <c r="JL87" i="46"/>
  <c r="JI86" i="46"/>
  <c r="JO84" i="46"/>
  <c r="JL83" i="46"/>
  <c r="JI82" i="46"/>
  <c r="JO80" i="46"/>
  <c r="JL79" i="46"/>
  <c r="JQ93" i="46"/>
  <c r="JN92" i="46"/>
  <c r="JK91" i="46"/>
  <c r="JQ89" i="46"/>
  <c r="JN88" i="46"/>
  <c r="JK87" i="46"/>
  <c r="JQ85" i="46"/>
  <c r="JN84" i="46"/>
  <c r="JK83" i="46"/>
  <c r="JQ81" i="46"/>
  <c r="JN80" i="46"/>
  <c r="JK79" i="46"/>
  <c r="JP93" i="46"/>
  <c r="JM92" i="46"/>
  <c r="JJ91" i="46"/>
  <c r="JP89" i="46"/>
  <c r="JM88" i="46"/>
  <c r="JJ87" i="46"/>
  <c r="JP85" i="46"/>
  <c r="JM84" i="46"/>
  <c r="JJ83" i="46"/>
  <c r="JP81" i="46"/>
  <c r="JM80" i="46"/>
  <c r="JJ79" i="46"/>
  <c r="JO93" i="46"/>
  <c r="JL92" i="46"/>
  <c r="JI91" i="46"/>
  <c r="JO89" i="46"/>
  <c r="JL88" i="46"/>
  <c r="JI87" i="46"/>
  <c r="JO85" i="46"/>
  <c r="JL84" i="46"/>
  <c r="JI83" i="46"/>
  <c r="JO81" i="46"/>
  <c r="JL80" i="46"/>
  <c r="M31" i="46"/>
  <c r="N31" i="46"/>
  <c r="P31" i="46"/>
  <c r="M6" i="46"/>
  <c r="P6" i="46"/>
  <c r="N6" i="46"/>
  <c r="S153" i="46"/>
  <c r="S107" i="46"/>
  <c r="S82" i="46"/>
  <c r="S57" i="46"/>
  <c r="S25" i="51"/>
  <c r="AO37" i="51"/>
  <c r="O79" i="46" l="1"/>
  <c r="S31" i="46"/>
  <c r="S6" i="46"/>
  <c r="L27" i="51"/>
  <c r="F34" i="51"/>
  <c r="L38" i="51" l="1"/>
  <c r="L1" i="51"/>
  <c r="BT3" i="51"/>
  <c r="BT4" i="51"/>
  <c r="BT5" i="51"/>
  <c r="BT6" i="51"/>
  <c r="BT7" i="51"/>
  <c r="BT8" i="51"/>
  <c r="BT9" i="51"/>
  <c r="BT10" i="51"/>
  <c r="BT11" i="51"/>
  <c r="BT12" i="51"/>
  <c r="BT13" i="51"/>
  <c r="BT14" i="51"/>
  <c r="BT15" i="51"/>
  <c r="BT16" i="51"/>
  <c r="BT17" i="51"/>
  <c r="BT2" i="51"/>
  <c r="L127" i="46"/>
  <c r="L129" i="46"/>
  <c r="J48" i="49"/>
  <c r="M17" i="49"/>
  <c r="M18" i="49"/>
  <c r="L17" i="49"/>
  <c r="L18" i="49"/>
  <c r="O15" i="49"/>
  <c r="J15" i="49"/>
  <c r="O48" i="49"/>
  <c r="I48" i="49"/>
  <c r="L48" i="49" s="1"/>
  <c r="BI29" i="51"/>
  <c r="BI30" i="51"/>
  <c r="BI31" i="51"/>
  <c r="BI32" i="51"/>
  <c r="BI33" i="51"/>
  <c r="BI34" i="51"/>
  <c r="BI35" i="51"/>
  <c r="BI36" i="51"/>
  <c r="BI37" i="51"/>
  <c r="BI38" i="51"/>
  <c r="BI39" i="51"/>
  <c r="BI40" i="51"/>
  <c r="BI41" i="51"/>
  <c r="BI42" i="51"/>
  <c r="BI43" i="51"/>
  <c r="BH29" i="51"/>
  <c r="BH30" i="51"/>
  <c r="BH31" i="51"/>
  <c r="BH32" i="51"/>
  <c r="BH33" i="51"/>
  <c r="BH34" i="51"/>
  <c r="BH35" i="51"/>
  <c r="BH36" i="51"/>
  <c r="BH37" i="51"/>
  <c r="BH38" i="51"/>
  <c r="BH39" i="51"/>
  <c r="BH40" i="51"/>
  <c r="BH41" i="51"/>
  <c r="BH42" i="51"/>
  <c r="BH43" i="51"/>
  <c r="BH28" i="51"/>
  <c r="O29" i="51" s="1"/>
  <c r="AO36" i="51" s="1"/>
  <c r="O343" i="52"/>
  <c r="BP19" i="51"/>
  <c r="BP18" i="51"/>
  <c r="BP17" i="51"/>
  <c r="BP16" i="51"/>
  <c r="BP2" i="51"/>
  <c r="BP15" i="51"/>
  <c r="L6" i="51"/>
  <c r="O17" i="51"/>
  <c r="O21" i="51" s="1"/>
  <c r="F30" i="51"/>
  <c r="F4" i="51"/>
  <c r="F6" i="51"/>
  <c r="AO28" i="51" a="1"/>
  <c r="AO28" i="51" s="1"/>
  <c r="AT31" i="51" a="1"/>
  <c r="AT31" i="51" s="1"/>
  <c r="AO12" i="51" a="1"/>
  <c r="AO12" i="51" s="1"/>
  <c r="O16" i="49"/>
  <c r="F35" i="51"/>
  <c r="F9" i="51"/>
  <c r="L14" i="51"/>
  <c r="F8" i="51"/>
  <c r="BU2" i="51" l="1"/>
  <c r="M48" i="49"/>
  <c r="N48" i="49" s="1"/>
  <c r="R48" i="49"/>
  <c r="R49" i="49" s="1"/>
  <c r="K48" i="49"/>
  <c r="O36" i="51"/>
  <c r="L191" i="52"/>
  <c r="L193" i="52"/>
  <c r="M193" i="52" s="1"/>
  <c r="R193" i="52"/>
  <c r="L194" i="52"/>
  <c r="M194" i="52" s="1"/>
  <c r="O194" i="52"/>
  <c r="R194" i="52"/>
  <c r="L195" i="52"/>
  <c r="N195" i="52" s="1"/>
  <c r="R195" i="52"/>
  <c r="L196" i="52"/>
  <c r="P196" i="52"/>
  <c r="S196" i="52" s="1"/>
  <c r="R196" i="52"/>
  <c r="M197" i="52"/>
  <c r="N197" i="52"/>
  <c r="P197" i="52"/>
  <c r="S197" i="52" s="1"/>
  <c r="R197" i="52"/>
  <c r="M198" i="52"/>
  <c r="N198" i="52"/>
  <c r="P198" i="52"/>
  <c r="S198" i="52" s="1"/>
  <c r="R198" i="52"/>
  <c r="M199" i="52"/>
  <c r="N199" i="52"/>
  <c r="P199" i="52"/>
  <c r="S199" i="52" s="1"/>
  <c r="R199" i="52"/>
  <c r="M200" i="52"/>
  <c r="N200" i="52"/>
  <c r="P200" i="52"/>
  <c r="S200" i="52" s="1"/>
  <c r="R200" i="52"/>
  <c r="M201" i="52"/>
  <c r="N201" i="52"/>
  <c r="P201" i="52"/>
  <c r="S201" i="52" s="1"/>
  <c r="R201" i="52"/>
  <c r="M202" i="52"/>
  <c r="N202" i="52"/>
  <c r="P202" i="52"/>
  <c r="S202" i="52" s="1"/>
  <c r="R202" i="52"/>
  <c r="M203" i="52"/>
  <c r="N203" i="52"/>
  <c r="P203" i="52"/>
  <c r="S203" i="52" s="1"/>
  <c r="R203" i="52"/>
  <c r="L204" i="52"/>
  <c r="P204" i="52" s="1"/>
  <c r="S204" i="52" s="1"/>
  <c r="O204" i="52"/>
  <c r="R204" i="52"/>
  <c r="L205" i="52"/>
  <c r="N205" i="52" s="1"/>
  <c r="O205" i="52"/>
  <c r="R205" i="52"/>
  <c r="L206" i="52"/>
  <c r="M206" i="52"/>
  <c r="N206" i="52"/>
  <c r="P206" i="52"/>
  <c r="S206" i="52" s="1"/>
  <c r="R206" i="52"/>
  <c r="M207" i="52"/>
  <c r="N207" i="52"/>
  <c r="P207" i="52"/>
  <c r="S207" i="52" s="1"/>
  <c r="R207" i="52"/>
  <c r="M208" i="52"/>
  <c r="N208" i="52"/>
  <c r="P208" i="52"/>
  <c r="S208" i="52" s="1"/>
  <c r="R208" i="52"/>
  <c r="M209" i="52"/>
  <c r="N209" i="52"/>
  <c r="P209" i="52"/>
  <c r="S209" i="52" s="1"/>
  <c r="R209" i="52"/>
  <c r="M210" i="52"/>
  <c r="N210" i="52"/>
  <c r="P210" i="52"/>
  <c r="S210" i="52" s="1"/>
  <c r="R210" i="52"/>
  <c r="M211" i="52"/>
  <c r="N211" i="52"/>
  <c r="P211" i="52"/>
  <c r="S211" i="52" s="1"/>
  <c r="R211" i="52"/>
  <c r="M212" i="52"/>
  <c r="N212" i="52"/>
  <c r="P212" i="52"/>
  <c r="S212" i="52" s="1"/>
  <c r="R212" i="52"/>
  <c r="M214" i="52"/>
  <c r="N214" i="52"/>
  <c r="O214" i="52"/>
  <c r="U214" i="52" s="1"/>
  <c r="P214" i="52"/>
  <c r="R214" i="52"/>
  <c r="W114" i="52"/>
  <c r="L116" i="52"/>
  <c r="L115" i="52"/>
  <c r="L114" i="52"/>
  <c r="L106" i="52"/>
  <c r="L105" i="52"/>
  <c r="L107" i="52" s="1"/>
  <c r="L103" i="52"/>
  <c r="L104" i="52" s="1"/>
  <c r="L102" i="52"/>
  <c r="L101" i="52"/>
  <c r="L100" i="52"/>
  <c r="L99" i="52"/>
  <c r="W52" i="52"/>
  <c r="R320" i="52"/>
  <c r="R321" i="52"/>
  <c r="R322" i="52"/>
  <c r="R323" i="52"/>
  <c r="R324" i="52"/>
  <c r="R325" i="52"/>
  <c r="R326" i="52"/>
  <c r="R327" i="52"/>
  <c r="R328" i="52"/>
  <c r="R329" i="52"/>
  <c r="R330" i="52"/>
  <c r="R331" i="52"/>
  <c r="R332" i="52"/>
  <c r="R333" i="52"/>
  <c r="R334" i="52"/>
  <c r="R335" i="52"/>
  <c r="R336" i="52"/>
  <c r="R337" i="52"/>
  <c r="R338" i="52"/>
  <c r="R339" i="52"/>
  <c r="R340" i="52"/>
  <c r="R341" i="52"/>
  <c r="R342" i="52"/>
  <c r="R343" i="52"/>
  <c r="R344" i="52"/>
  <c r="R345" i="52"/>
  <c r="R347" i="52"/>
  <c r="R348" i="52"/>
  <c r="P329" i="52"/>
  <c r="S329" i="52" s="1"/>
  <c r="O311" i="52"/>
  <c r="U311" i="52" s="1"/>
  <c r="O345" i="52"/>
  <c r="O342" i="52"/>
  <c r="O121" i="52"/>
  <c r="U121" i="52" s="1"/>
  <c r="O336" i="52"/>
  <c r="O335" i="52"/>
  <c r="X322" i="52"/>
  <c r="Y322" i="52"/>
  <c r="Z322" i="52"/>
  <c r="X323" i="52"/>
  <c r="Y323" i="52"/>
  <c r="Z323" i="52"/>
  <c r="X324" i="52"/>
  <c r="Y324" i="52"/>
  <c r="Z324" i="52"/>
  <c r="X325" i="52"/>
  <c r="Y325" i="52"/>
  <c r="Z325" i="52"/>
  <c r="X326" i="52"/>
  <c r="Y326" i="52"/>
  <c r="Z326" i="52"/>
  <c r="X327" i="52"/>
  <c r="Y327" i="52"/>
  <c r="Z327" i="52"/>
  <c r="X328" i="52"/>
  <c r="Y328" i="52"/>
  <c r="Z328" i="52"/>
  <c r="X329" i="52"/>
  <c r="Y329" i="52"/>
  <c r="Z329" i="52"/>
  <c r="X330" i="52"/>
  <c r="Y330" i="52"/>
  <c r="Z330" i="52"/>
  <c r="X331" i="52"/>
  <c r="Y331" i="52"/>
  <c r="Z331" i="52"/>
  <c r="X332" i="52"/>
  <c r="Y332" i="52"/>
  <c r="Z332" i="52"/>
  <c r="X333" i="52"/>
  <c r="Y333" i="52"/>
  <c r="Z333" i="52"/>
  <c r="X334" i="52"/>
  <c r="Y334" i="52"/>
  <c r="Z334" i="52"/>
  <c r="X335" i="52"/>
  <c r="Y335" i="52"/>
  <c r="Z335" i="52"/>
  <c r="X336" i="52"/>
  <c r="Y336" i="52"/>
  <c r="Z336" i="52"/>
  <c r="W322" i="52"/>
  <c r="W323" i="52"/>
  <c r="W324" i="52"/>
  <c r="W325" i="52"/>
  <c r="W326" i="52"/>
  <c r="W327" i="52"/>
  <c r="W328" i="52"/>
  <c r="W329" i="52"/>
  <c r="W330" i="52"/>
  <c r="W331" i="52"/>
  <c r="W332" i="52"/>
  <c r="W333" i="52"/>
  <c r="W334" i="52"/>
  <c r="W335" i="52"/>
  <c r="W336" i="52"/>
  <c r="E329" i="52"/>
  <c r="FC341" i="52"/>
  <c r="FB341" i="52"/>
  <c r="FA341" i="52"/>
  <c r="EZ341" i="52"/>
  <c r="EY341" i="52"/>
  <c r="EX341" i="52"/>
  <c r="EW341" i="52"/>
  <c r="EV341" i="52"/>
  <c r="EU341" i="52"/>
  <c r="ET341" i="52"/>
  <c r="ES341" i="52"/>
  <c r="FC340" i="52"/>
  <c r="FB340" i="52"/>
  <c r="FA340" i="52"/>
  <c r="EZ340" i="52"/>
  <c r="EY340" i="52"/>
  <c r="EX340" i="52"/>
  <c r="EW340" i="52"/>
  <c r="EV340" i="52"/>
  <c r="EU340" i="52"/>
  <c r="ET340" i="52"/>
  <c r="ES340" i="52"/>
  <c r="FC339" i="52"/>
  <c r="FB339" i="52"/>
  <c r="FA339" i="52"/>
  <c r="EZ339" i="52"/>
  <c r="EY339" i="52"/>
  <c r="EX339" i="52"/>
  <c r="EW339" i="52"/>
  <c r="EV339" i="52"/>
  <c r="EU339" i="52"/>
  <c r="ET339" i="52"/>
  <c r="ES339" i="52"/>
  <c r="FC338" i="52"/>
  <c r="FB338" i="52"/>
  <c r="FA338" i="52"/>
  <c r="EZ338" i="52"/>
  <c r="EY338" i="52"/>
  <c r="EX338" i="52"/>
  <c r="EW338" i="52"/>
  <c r="EV338" i="52"/>
  <c r="EU338" i="52"/>
  <c r="ET338" i="52"/>
  <c r="ES338" i="52"/>
  <c r="FC337" i="52"/>
  <c r="FB337" i="52"/>
  <c r="FA337" i="52"/>
  <c r="EZ337" i="52"/>
  <c r="EY337" i="52"/>
  <c r="EX337" i="52"/>
  <c r="EW337" i="52"/>
  <c r="EV337" i="52"/>
  <c r="EU337" i="52"/>
  <c r="ET337" i="52"/>
  <c r="ES337" i="52"/>
  <c r="FC334" i="52"/>
  <c r="FB334" i="52"/>
  <c r="FA334" i="52"/>
  <c r="EZ334" i="52"/>
  <c r="EY334" i="52"/>
  <c r="EX334" i="52"/>
  <c r="EW334" i="52"/>
  <c r="EV334" i="52"/>
  <c r="EU334" i="52"/>
  <c r="ET334" i="52"/>
  <c r="ES334" i="52"/>
  <c r="FC333" i="52"/>
  <c r="FB333" i="52"/>
  <c r="FA333" i="52"/>
  <c r="EZ333" i="52"/>
  <c r="EY333" i="52"/>
  <c r="EX333" i="52"/>
  <c r="EW333" i="52"/>
  <c r="EV333" i="52"/>
  <c r="EU333" i="52"/>
  <c r="ET333" i="52"/>
  <c r="ES333" i="52"/>
  <c r="FC332" i="52"/>
  <c r="FB332" i="52"/>
  <c r="FA332" i="52"/>
  <c r="EZ332" i="52"/>
  <c r="EY332" i="52"/>
  <c r="EX332" i="52"/>
  <c r="EW332" i="52"/>
  <c r="EV332" i="52"/>
  <c r="EU332" i="52"/>
  <c r="ET332" i="52"/>
  <c r="ES332" i="52"/>
  <c r="FC331" i="52"/>
  <c r="FB331" i="52"/>
  <c r="FA331" i="52"/>
  <c r="EZ331" i="52"/>
  <c r="EY331" i="52"/>
  <c r="EX331" i="52"/>
  <c r="EW331" i="52"/>
  <c r="EV331" i="52"/>
  <c r="EU331" i="52"/>
  <c r="ET331" i="52"/>
  <c r="ES331" i="52"/>
  <c r="FC330" i="52"/>
  <c r="FB330" i="52"/>
  <c r="FA330" i="52"/>
  <c r="EZ330" i="52"/>
  <c r="EY330" i="52"/>
  <c r="EX330" i="52"/>
  <c r="EW330" i="52"/>
  <c r="EV330" i="52"/>
  <c r="EU330" i="52"/>
  <c r="ET330" i="52"/>
  <c r="ES330" i="52"/>
  <c r="FC327" i="52"/>
  <c r="FB327" i="52"/>
  <c r="FA327" i="52"/>
  <c r="EZ327" i="52"/>
  <c r="EY327" i="52"/>
  <c r="EX327" i="52"/>
  <c r="EW327" i="52"/>
  <c r="EV327" i="52"/>
  <c r="EU327" i="52"/>
  <c r="ET327" i="52"/>
  <c r="ES327" i="52"/>
  <c r="FC326" i="52"/>
  <c r="FB326" i="52"/>
  <c r="FA326" i="52"/>
  <c r="EZ326" i="52"/>
  <c r="EY326" i="52"/>
  <c r="EX326" i="52"/>
  <c r="EW326" i="52"/>
  <c r="EV326" i="52"/>
  <c r="EU326" i="52"/>
  <c r="ET326" i="52"/>
  <c r="ES326" i="52"/>
  <c r="FC325" i="52"/>
  <c r="FB325" i="52"/>
  <c r="FA325" i="52"/>
  <c r="EZ325" i="52"/>
  <c r="EY325" i="52"/>
  <c r="EX325" i="52"/>
  <c r="EW325" i="52"/>
  <c r="EV325" i="52"/>
  <c r="EU325" i="52"/>
  <c r="ET325" i="52"/>
  <c r="ES325" i="52"/>
  <c r="FC324" i="52"/>
  <c r="FB324" i="52"/>
  <c r="FA324" i="52"/>
  <c r="EZ324" i="52"/>
  <c r="EY324" i="52"/>
  <c r="EX324" i="52"/>
  <c r="EW324" i="52"/>
  <c r="EV324" i="52"/>
  <c r="EU324" i="52"/>
  <c r="ET324" i="52"/>
  <c r="ES324" i="52"/>
  <c r="FC323" i="52"/>
  <c r="FB323" i="52"/>
  <c r="FA323" i="52"/>
  <c r="EZ323" i="52"/>
  <c r="EY323" i="52"/>
  <c r="EX323" i="52"/>
  <c r="EW323" i="52"/>
  <c r="EV323" i="52"/>
  <c r="EU323" i="52"/>
  <c r="ET323" i="52"/>
  <c r="ES323" i="52"/>
  <c r="EB334" i="52"/>
  <c r="EA334" i="52"/>
  <c r="DZ334" i="52"/>
  <c r="DY334" i="52"/>
  <c r="DX334" i="52"/>
  <c r="DW334" i="52"/>
  <c r="DV334" i="52"/>
  <c r="DU334" i="52"/>
  <c r="DT334" i="52"/>
  <c r="DS334" i="52"/>
  <c r="DR334" i="52"/>
  <c r="EB333" i="52"/>
  <c r="EA333" i="52"/>
  <c r="DZ333" i="52"/>
  <c r="DY333" i="52"/>
  <c r="DX333" i="52"/>
  <c r="DW333" i="52"/>
  <c r="DV333" i="52"/>
  <c r="DU333" i="52"/>
  <c r="DT333" i="52"/>
  <c r="DS333" i="52"/>
  <c r="DR333" i="52"/>
  <c r="EB332" i="52"/>
  <c r="EA332" i="52"/>
  <c r="DZ332" i="52"/>
  <c r="DY332" i="52"/>
  <c r="DX332" i="52"/>
  <c r="DW332" i="52"/>
  <c r="DV332" i="52"/>
  <c r="DU332" i="52"/>
  <c r="DT332" i="52"/>
  <c r="DS332" i="52"/>
  <c r="DR332" i="52"/>
  <c r="EB331" i="52"/>
  <c r="EA331" i="52"/>
  <c r="DZ331" i="52"/>
  <c r="DY331" i="52"/>
  <c r="DX331" i="52"/>
  <c r="DW331" i="52"/>
  <c r="DV331" i="52"/>
  <c r="DU331" i="52"/>
  <c r="DT331" i="52"/>
  <c r="DS331" i="52"/>
  <c r="DR331" i="52"/>
  <c r="EB330" i="52"/>
  <c r="EA330" i="52"/>
  <c r="DZ330" i="52"/>
  <c r="DY330" i="52"/>
  <c r="DX330" i="52"/>
  <c r="DW330" i="52"/>
  <c r="DV330" i="52"/>
  <c r="DU330" i="52"/>
  <c r="DT330" i="52"/>
  <c r="DS330" i="52"/>
  <c r="DR330" i="52"/>
  <c r="EB327" i="52"/>
  <c r="EA327" i="52"/>
  <c r="DZ327" i="52"/>
  <c r="DY327" i="52"/>
  <c r="DX327" i="52"/>
  <c r="DW327" i="52"/>
  <c r="DV327" i="52"/>
  <c r="DU327" i="52"/>
  <c r="DT327" i="52"/>
  <c r="DS327" i="52"/>
  <c r="DR327" i="52"/>
  <c r="EB326" i="52"/>
  <c r="EA326" i="52"/>
  <c r="DZ326" i="52"/>
  <c r="DY326" i="52"/>
  <c r="DX326" i="52"/>
  <c r="DW326" i="52"/>
  <c r="DV326" i="52"/>
  <c r="DU326" i="52"/>
  <c r="DT326" i="52"/>
  <c r="DS326" i="52"/>
  <c r="DR326" i="52"/>
  <c r="EB325" i="52"/>
  <c r="EA325" i="52"/>
  <c r="DZ325" i="52"/>
  <c r="DY325" i="52"/>
  <c r="DX325" i="52"/>
  <c r="DW325" i="52"/>
  <c r="DV325" i="52"/>
  <c r="DU325" i="52"/>
  <c r="DT325" i="52"/>
  <c r="DS325" i="52"/>
  <c r="DR325" i="52"/>
  <c r="EB324" i="52"/>
  <c r="EA324" i="52"/>
  <c r="DZ324" i="52"/>
  <c r="DY324" i="52"/>
  <c r="DX324" i="52"/>
  <c r="DW324" i="52"/>
  <c r="DV324" i="52"/>
  <c r="DU324" i="52"/>
  <c r="DT324" i="52"/>
  <c r="DS324" i="52"/>
  <c r="DR324" i="52"/>
  <c r="EB323" i="52"/>
  <c r="EA323" i="52"/>
  <c r="DZ323" i="52"/>
  <c r="DY323" i="52"/>
  <c r="DX323" i="52"/>
  <c r="DW323" i="52"/>
  <c r="DV323" i="52"/>
  <c r="DU323" i="52"/>
  <c r="DT323" i="52"/>
  <c r="DS323" i="52"/>
  <c r="DR323" i="52"/>
  <c r="CU335" i="52"/>
  <c r="CT335" i="52"/>
  <c r="CS335" i="52"/>
  <c r="CR335" i="52"/>
  <c r="CQ335" i="52"/>
  <c r="CP335" i="52"/>
  <c r="CO335" i="52"/>
  <c r="CN335" i="52"/>
  <c r="CM335" i="52"/>
  <c r="CL335" i="52"/>
  <c r="CK335" i="52"/>
  <c r="CM334" i="52"/>
  <c r="CL334" i="52"/>
  <c r="CM333" i="52"/>
  <c r="CL333" i="52"/>
  <c r="CM332" i="52"/>
  <c r="CU331" i="52"/>
  <c r="CT331" i="52"/>
  <c r="CS331" i="52"/>
  <c r="CR331" i="52"/>
  <c r="CQ331" i="52"/>
  <c r="CP331" i="52"/>
  <c r="CO331" i="52"/>
  <c r="CN331" i="52"/>
  <c r="CM331" i="52"/>
  <c r="CL331" i="52"/>
  <c r="CK331" i="52"/>
  <c r="X321" i="52" s="1"/>
  <c r="CU327" i="52"/>
  <c r="CT327" i="52"/>
  <c r="CS327" i="52"/>
  <c r="CR327" i="52"/>
  <c r="CQ327" i="52"/>
  <c r="CP327" i="52"/>
  <c r="CO327" i="52"/>
  <c r="CN327" i="52"/>
  <c r="CM327" i="52"/>
  <c r="CL327" i="52"/>
  <c r="CK327" i="52"/>
  <c r="CM326" i="52"/>
  <c r="CL326" i="52"/>
  <c r="CM325" i="52"/>
  <c r="CL325" i="52"/>
  <c r="CM324" i="52"/>
  <c r="CU323" i="52"/>
  <c r="CT323" i="52"/>
  <c r="CS323" i="52"/>
  <c r="CR323" i="52"/>
  <c r="CQ323" i="52"/>
  <c r="CP323" i="52"/>
  <c r="CO323" i="52"/>
  <c r="CN323" i="52"/>
  <c r="CM323" i="52"/>
  <c r="CL323" i="52"/>
  <c r="CK323" i="52"/>
  <c r="BU331" i="52"/>
  <c r="BK331" i="52"/>
  <c r="BU335" i="52"/>
  <c r="BT335" i="52"/>
  <c r="BS335" i="52"/>
  <c r="BR335" i="52"/>
  <c r="BQ335" i="52"/>
  <c r="BP335" i="52"/>
  <c r="BO335" i="52"/>
  <c r="BN335" i="52"/>
  <c r="BM335" i="52"/>
  <c r="BL335" i="52"/>
  <c r="BK335" i="52"/>
  <c r="BM334" i="52"/>
  <c r="BM333" i="52"/>
  <c r="BT331" i="52"/>
  <c r="BS331" i="52"/>
  <c r="BR331" i="52"/>
  <c r="BQ331" i="52"/>
  <c r="BP331" i="52"/>
  <c r="BO331" i="52"/>
  <c r="BN331" i="52"/>
  <c r="BM331" i="52"/>
  <c r="BL331" i="52"/>
  <c r="BL323" i="52"/>
  <c r="BM323" i="52"/>
  <c r="BN323" i="52"/>
  <c r="BO323" i="52"/>
  <c r="BP323" i="52"/>
  <c r="BQ323" i="52"/>
  <c r="BR323" i="52"/>
  <c r="BS323" i="52"/>
  <c r="BT323" i="52"/>
  <c r="BU323" i="52"/>
  <c r="BM325" i="52"/>
  <c r="BM326" i="52"/>
  <c r="BL327" i="52"/>
  <c r="BM327" i="52"/>
  <c r="BN327" i="52"/>
  <c r="BO327" i="52"/>
  <c r="BP327" i="52"/>
  <c r="BQ327" i="52"/>
  <c r="BR327" i="52"/>
  <c r="BS327" i="52"/>
  <c r="BT327" i="52"/>
  <c r="BU327" i="52"/>
  <c r="BK327" i="52"/>
  <c r="BK323" i="52"/>
  <c r="P295" i="52"/>
  <c r="L293" i="52"/>
  <c r="L327" i="52"/>
  <c r="O330" i="52" s="1"/>
  <c r="L324" i="52"/>
  <c r="P324" i="52" s="1"/>
  <c r="S324" i="52" s="1"/>
  <c r="L290" i="52"/>
  <c r="R286" i="52"/>
  <c r="L303" i="52"/>
  <c r="L302" i="52"/>
  <c r="L301" i="52"/>
  <c r="N301" i="52" s="1"/>
  <c r="L323" i="52"/>
  <c r="N323" i="52" s="1"/>
  <c r="L322" i="52"/>
  <c r="P322" i="52" s="1"/>
  <c r="S322" i="52" s="1"/>
  <c r="L318" i="52" a="1"/>
  <c r="L318" i="52" s="1"/>
  <c r="P348" i="52"/>
  <c r="O348" i="52"/>
  <c r="U348" i="52" s="1"/>
  <c r="N348" i="52"/>
  <c r="M348" i="52"/>
  <c r="O347" i="52"/>
  <c r="P345" i="52"/>
  <c r="S345" i="52" s="1"/>
  <c r="N345" i="52"/>
  <c r="M345" i="52"/>
  <c r="P344" i="52"/>
  <c r="S344" i="52" s="1"/>
  <c r="N344" i="52"/>
  <c r="M344" i="52"/>
  <c r="P343" i="52"/>
  <c r="S343" i="52" s="1"/>
  <c r="N343" i="52"/>
  <c r="M343" i="52"/>
  <c r="P342" i="52"/>
  <c r="S342" i="52" s="1"/>
  <c r="N342" i="52"/>
  <c r="M342" i="52"/>
  <c r="P341" i="52"/>
  <c r="S341" i="52" s="1"/>
  <c r="N341" i="52"/>
  <c r="M341" i="52"/>
  <c r="P340" i="52"/>
  <c r="S340" i="52" s="1"/>
  <c r="N340" i="52"/>
  <c r="M340" i="52"/>
  <c r="P339" i="52"/>
  <c r="S339" i="52" s="1"/>
  <c r="N339" i="52"/>
  <c r="M339" i="52"/>
  <c r="P338" i="52"/>
  <c r="S338" i="52" s="1"/>
  <c r="N338" i="52"/>
  <c r="M338" i="52"/>
  <c r="L337" i="52"/>
  <c r="P337" i="52" s="1"/>
  <c r="S337" i="52" s="1"/>
  <c r="L336" i="52"/>
  <c r="N336" i="52" s="1"/>
  <c r="L335" i="52"/>
  <c r="N335" i="52" s="1"/>
  <c r="P334" i="52"/>
  <c r="S334" i="52" s="1"/>
  <c r="N334" i="52"/>
  <c r="M334" i="52"/>
  <c r="P333" i="52"/>
  <c r="S333" i="52" s="1"/>
  <c r="N333" i="52"/>
  <c r="M333" i="52"/>
  <c r="P332" i="52"/>
  <c r="S332" i="52" s="1"/>
  <c r="N332" i="52"/>
  <c r="M332" i="52"/>
  <c r="P331" i="52"/>
  <c r="S331" i="52" s="1"/>
  <c r="N331" i="52"/>
  <c r="M331" i="52"/>
  <c r="J331" i="52"/>
  <c r="P330" i="52"/>
  <c r="S330" i="52" s="1"/>
  <c r="N330" i="52"/>
  <c r="M330" i="52"/>
  <c r="N329" i="52"/>
  <c r="M329" i="52"/>
  <c r="P326" i="52"/>
  <c r="S326" i="52" s="1"/>
  <c r="N326" i="52"/>
  <c r="M326" i="52"/>
  <c r="P325" i="52"/>
  <c r="S325" i="52" s="1"/>
  <c r="N325" i="52"/>
  <c r="M325" i="52"/>
  <c r="L321" i="52"/>
  <c r="M321" i="52" s="1"/>
  <c r="L320" i="52"/>
  <c r="N320" i="52" s="1"/>
  <c r="E295" i="52"/>
  <c r="O301" i="52"/>
  <c r="W288" i="52"/>
  <c r="X288" i="52"/>
  <c r="Y288" i="52"/>
  <c r="Z288" i="52"/>
  <c r="W289" i="52"/>
  <c r="X289" i="52"/>
  <c r="Y289" i="52"/>
  <c r="Z289" i="52"/>
  <c r="W290" i="52"/>
  <c r="X290" i="52"/>
  <c r="Y290" i="52"/>
  <c r="Z290" i="52"/>
  <c r="W291" i="52"/>
  <c r="X291" i="52"/>
  <c r="Y291" i="52"/>
  <c r="Z291" i="52"/>
  <c r="W292" i="52"/>
  <c r="X292" i="52"/>
  <c r="Y292" i="52"/>
  <c r="Z292" i="52"/>
  <c r="W293" i="52"/>
  <c r="X293" i="52"/>
  <c r="Y293" i="52"/>
  <c r="Z293" i="52"/>
  <c r="W294" i="52"/>
  <c r="X294" i="52"/>
  <c r="Y294" i="52"/>
  <c r="Z294" i="52"/>
  <c r="W295" i="52"/>
  <c r="X295" i="52"/>
  <c r="Y295" i="52"/>
  <c r="Z295" i="52"/>
  <c r="W296" i="52"/>
  <c r="X296" i="52"/>
  <c r="Y296" i="52"/>
  <c r="Z296" i="52"/>
  <c r="W297" i="52"/>
  <c r="X297" i="52"/>
  <c r="Y297" i="52"/>
  <c r="Z297" i="52"/>
  <c r="W298" i="52"/>
  <c r="X298" i="52"/>
  <c r="Y298" i="52"/>
  <c r="Z298" i="52"/>
  <c r="W299" i="52"/>
  <c r="X299" i="52"/>
  <c r="Y299" i="52"/>
  <c r="Z299" i="52"/>
  <c r="W300" i="52"/>
  <c r="X300" i="52"/>
  <c r="Y300" i="52"/>
  <c r="Z300" i="52"/>
  <c r="W301" i="52"/>
  <c r="X301" i="52"/>
  <c r="Y301" i="52"/>
  <c r="Z301" i="52"/>
  <c r="W302" i="52"/>
  <c r="X302" i="52"/>
  <c r="Y302" i="52"/>
  <c r="Z302" i="52"/>
  <c r="GW229" i="52"/>
  <c r="GW228" i="52"/>
  <c r="GW227" i="52"/>
  <c r="HC226" i="52"/>
  <c r="HB226" i="52"/>
  <c r="HA226" i="52"/>
  <c r="GZ226" i="52"/>
  <c r="GY226" i="52"/>
  <c r="GX226" i="52"/>
  <c r="GW226" i="52"/>
  <c r="GV226" i="52"/>
  <c r="X287" i="52" s="1"/>
  <c r="GW223" i="52"/>
  <c r="GW222" i="52"/>
  <c r="GW221" i="52"/>
  <c r="HC220" i="52"/>
  <c r="HB220" i="52"/>
  <c r="HA220" i="52"/>
  <c r="GZ220" i="52"/>
  <c r="GY220" i="52"/>
  <c r="GX220" i="52"/>
  <c r="GW220" i="52"/>
  <c r="GV220" i="52"/>
  <c r="GH235" i="52"/>
  <c r="GH234" i="52"/>
  <c r="GH233" i="52"/>
  <c r="GN232" i="52"/>
  <c r="GM232" i="52"/>
  <c r="GL232" i="52"/>
  <c r="GK232" i="52"/>
  <c r="GJ232" i="52"/>
  <c r="GI232" i="52"/>
  <c r="GH232" i="52"/>
  <c r="GG232" i="52"/>
  <c r="GH229" i="52"/>
  <c r="GH228" i="52"/>
  <c r="GH227" i="52"/>
  <c r="GN226" i="52"/>
  <c r="GM226" i="52"/>
  <c r="GL226" i="52"/>
  <c r="GK226" i="52"/>
  <c r="GJ226" i="52"/>
  <c r="GI226" i="52"/>
  <c r="GH226" i="52"/>
  <c r="GG226" i="52"/>
  <c r="GH223" i="52"/>
  <c r="GH222" i="52"/>
  <c r="GH221" i="52"/>
  <c r="GN220" i="52"/>
  <c r="GM220" i="52"/>
  <c r="GL220" i="52"/>
  <c r="GK220" i="52"/>
  <c r="GJ220" i="52"/>
  <c r="GI220" i="52"/>
  <c r="GH220" i="52"/>
  <c r="GG220" i="52"/>
  <c r="FS235" i="52"/>
  <c r="FS234" i="52"/>
  <c r="FS233" i="52"/>
  <c r="FY232" i="52"/>
  <c r="FX232" i="52"/>
  <c r="FW232" i="52"/>
  <c r="FV232" i="52"/>
  <c r="FU232" i="52"/>
  <c r="FT232" i="52"/>
  <c r="FS232" i="52"/>
  <c r="FR232" i="52"/>
  <c r="FS229" i="52"/>
  <c r="FS228" i="52"/>
  <c r="FS227" i="52"/>
  <c r="FY226" i="52"/>
  <c r="FX226" i="52"/>
  <c r="FW226" i="52"/>
  <c r="FV226" i="52"/>
  <c r="FU226" i="52"/>
  <c r="FT226" i="52"/>
  <c r="FS226" i="52"/>
  <c r="FR226" i="52"/>
  <c r="FS223" i="52"/>
  <c r="FS222" i="52"/>
  <c r="FS221" i="52"/>
  <c r="FY220" i="52"/>
  <c r="FX220" i="52"/>
  <c r="FW220" i="52"/>
  <c r="FV220" i="52"/>
  <c r="FU220" i="52"/>
  <c r="FT220" i="52"/>
  <c r="FS220" i="52"/>
  <c r="FR220" i="52"/>
  <c r="FD235" i="52"/>
  <c r="FD234" i="52"/>
  <c r="FD233" i="52"/>
  <c r="FJ232" i="52"/>
  <c r="FI232" i="52"/>
  <c r="FH232" i="52"/>
  <c r="FG232" i="52"/>
  <c r="FF232" i="52"/>
  <c r="FE232" i="52"/>
  <c r="FD232" i="52"/>
  <c r="FC232" i="52"/>
  <c r="FD229" i="52"/>
  <c r="FD228" i="52"/>
  <c r="FD227" i="52"/>
  <c r="FJ226" i="52"/>
  <c r="FI226" i="52"/>
  <c r="FH226" i="52"/>
  <c r="FG226" i="52"/>
  <c r="FF226" i="52"/>
  <c r="FE226" i="52"/>
  <c r="FD226" i="52"/>
  <c r="FC226" i="52"/>
  <c r="FC220" i="52"/>
  <c r="FE223" i="52"/>
  <c r="FD223" i="52"/>
  <c r="FE222" i="52"/>
  <c r="FD222" i="52"/>
  <c r="FE221" i="52"/>
  <c r="FD221" i="52"/>
  <c r="FJ220" i="52"/>
  <c r="FI220" i="52"/>
  <c r="FH220" i="52"/>
  <c r="FG220" i="52"/>
  <c r="FF220" i="52"/>
  <c r="FE220" i="52"/>
  <c r="FD220" i="52"/>
  <c r="EP235" i="52"/>
  <c r="EO235" i="52"/>
  <c r="EP234" i="52"/>
  <c r="EO234" i="52"/>
  <c r="EP233" i="52"/>
  <c r="EO233" i="52"/>
  <c r="EU232" i="52"/>
  <c r="ET232" i="52"/>
  <c r="ES232" i="52"/>
  <c r="ER232" i="52"/>
  <c r="EQ232" i="52"/>
  <c r="EP232" i="52"/>
  <c r="EO232" i="52"/>
  <c r="EN232" i="52"/>
  <c r="EP229" i="52"/>
  <c r="EO229" i="52"/>
  <c r="EP228" i="52"/>
  <c r="EO228" i="52"/>
  <c r="EP227" i="52"/>
  <c r="EO227" i="52"/>
  <c r="EU226" i="52"/>
  <c r="ET226" i="52"/>
  <c r="ES226" i="52"/>
  <c r="ER226" i="52"/>
  <c r="EQ226" i="52"/>
  <c r="EP226" i="52"/>
  <c r="EO226" i="52"/>
  <c r="EN226" i="52"/>
  <c r="EO220" i="52"/>
  <c r="EP220" i="52"/>
  <c r="EQ220" i="52"/>
  <c r="ER220" i="52"/>
  <c r="ES220" i="52"/>
  <c r="ET220" i="52"/>
  <c r="EU220" i="52"/>
  <c r="EP221" i="52"/>
  <c r="EP222" i="52"/>
  <c r="EP223" i="52"/>
  <c r="EN220" i="52"/>
  <c r="R313" i="52"/>
  <c r="R314" i="52"/>
  <c r="R287" i="52"/>
  <c r="R288" i="52"/>
  <c r="R289" i="52"/>
  <c r="R290" i="52"/>
  <c r="R291" i="52"/>
  <c r="R292" i="52"/>
  <c r="R293" i="52"/>
  <c r="R294" i="52"/>
  <c r="R295" i="52"/>
  <c r="R296" i="52"/>
  <c r="R297" i="52"/>
  <c r="R298" i="52"/>
  <c r="R299" i="52"/>
  <c r="R300" i="52"/>
  <c r="R301" i="52"/>
  <c r="R302" i="52"/>
  <c r="R303" i="52"/>
  <c r="R304" i="52"/>
  <c r="R305" i="52"/>
  <c r="R306" i="52"/>
  <c r="R307" i="52"/>
  <c r="R308" i="52"/>
  <c r="R309" i="52"/>
  <c r="R310" i="52"/>
  <c r="R311" i="52"/>
  <c r="P291" i="52"/>
  <c r="S291" i="52" s="1"/>
  <c r="M291" i="52"/>
  <c r="N291" i="52"/>
  <c r="L287" i="52"/>
  <c r="N287" i="52" s="1"/>
  <c r="L4" i="52"/>
  <c r="P4" i="52" s="1"/>
  <c r="N295" i="52"/>
  <c r="M295" i="52"/>
  <c r="X4" i="52"/>
  <c r="P290" i="52"/>
  <c r="S290" i="52" s="1"/>
  <c r="L289" i="52"/>
  <c r="L288" i="52"/>
  <c r="L5" i="52"/>
  <c r="L286" i="52"/>
  <c r="N286" i="52" s="1"/>
  <c r="L284" i="52" a="1"/>
  <c r="L284" i="52" s="1"/>
  <c r="L253" i="52"/>
  <c r="L6" i="52"/>
  <c r="P6" i="52" s="1"/>
  <c r="S6" i="52" s="1"/>
  <c r="L3" i="52"/>
  <c r="P3" i="52" s="1"/>
  <c r="S3" i="52" s="1"/>
  <c r="P314" i="52"/>
  <c r="S314" i="52" s="1"/>
  <c r="O314" i="52"/>
  <c r="U314" i="52" s="1"/>
  <c r="N314" i="52"/>
  <c r="M314" i="52"/>
  <c r="O313" i="52"/>
  <c r="P311" i="52"/>
  <c r="N311" i="52"/>
  <c r="M311" i="52"/>
  <c r="P310" i="52"/>
  <c r="S310" i="52" s="1"/>
  <c r="N310" i="52"/>
  <c r="M310" i="52"/>
  <c r="P309" i="52"/>
  <c r="S309" i="52" s="1"/>
  <c r="N309" i="52"/>
  <c r="M309" i="52"/>
  <c r="P308" i="52"/>
  <c r="S308" i="52" s="1"/>
  <c r="N308" i="52"/>
  <c r="M308" i="52"/>
  <c r="P307" i="52"/>
  <c r="S307" i="52" s="1"/>
  <c r="N307" i="52"/>
  <c r="M307" i="52"/>
  <c r="P306" i="52"/>
  <c r="S306" i="52" s="1"/>
  <c r="N306" i="52"/>
  <c r="M306" i="52"/>
  <c r="P305" i="52"/>
  <c r="S305" i="52" s="1"/>
  <c r="N305" i="52"/>
  <c r="M305" i="52"/>
  <c r="P304" i="52"/>
  <c r="S304" i="52" s="1"/>
  <c r="N304" i="52"/>
  <c r="M304" i="52"/>
  <c r="P303" i="52"/>
  <c r="S303" i="52" s="1"/>
  <c r="N303" i="52"/>
  <c r="M303" i="52"/>
  <c r="N302" i="52"/>
  <c r="P302" i="52"/>
  <c r="S302" i="52" s="1"/>
  <c r="P300" i="52"/>
  <c r="S300" i="52" s="1"/>
  <c r="N300" i="52"/>
  <c r="M300" i="52"/>
  <c r="P299" i="52"/>
  <c r="S299" i="52" s="1"/>
  <c r="N299" i="52"/>
  <c r="M299" i="52"/>
  <c r="P298" i="52"/>
  <c r="S298" i="52" s="1"/>
  <c r="N298" i="52"/>
  <c r="M298" i="52"/>
  <c r="P297" i="52"/>
  <c r="S297" i="52" s="1"/>
  <c r="N297" i="52"/>
  <c r="M297" i="52"/>
  <c r="J297" i="52"/>
  <c r="D296" i="52"/>
  <c r="P296" i="52"/>
  <c r="S296" i="52" s="1"/>
  <c r="N296" i="52"/>
  <c r="M296" i="52"/>
  <c r="P292" i="52"/>
  <c r="S292" i="52" s="1"/>
  <c r="M288" i="52"/>
  <c r="R279" i="52"/>
  <c r="P279" i="52"/>
  <c r="S279" i="52" s="1"/>
  <c r="O279" i="52"/>
  <c r="U279" i="52" s="1"/>
  <c r="N279" i="52"/>
  <c r="M279" i="52"/>
  <c r="R278" i="52"/>
  <c r="P278" i="52"/>
  <c r="S278" i="52" s="1"/>
  <c r="O278" i="52"/>
  <c r="N278" i="52"/>
  <c r="M278" i="52"/>
  <c r="R276" i="52"/>
  <c r="P276" i="52"/>
  <c r="S276" i="52" s="1"/>
  <c r="N276" i="52"/>
  <c r="M276" i="52"/>
  <c r="R275" i="52"/>
  <c r="P275" i="52"/>
  <c r="S275" i="52" s="1"/>
  <c r="O275" i="52"/>
  <c r="U275" i="52" s="1"/>
  <c r="N275" i="52"/>
  <c r="M275" i="52"/>
  <c r="R274" i="52"/>
  <c r="P274" i="52"/>
  <c r="S274" i="52" s="1"/>
  <c r="N274" i="52"/>
  <c r="M274" i="52"/>
  <c r="R273" i="52"/>
  <c r="P273" i="52"/>
  <c r="S273" i="52" s="1"/>
  <c r="N273" i="52"/>
  <c r="M273" i="52"/>
  <c r="R272" i="52"/>
  <c r="P272" i="52"/>
  <c r="S272" i="52" s="1"/>
  <c r="N272" i="52"/>
  <c r="M272" i="52"/>
  <c r="R271" i="52"/>
  <c r="P271" i="52"/>
  <c r="S271" i="52" s="1"/>
  <c r="N271" i="52"/>
  <c r="M271" i="52"/>
  <c r="R270" i="52"/>
  <c r="L270" i="52"/>
  <c r="P270" i="52" s="1"/>
  <c r="S270" i="52" s="1"/>
  <c r="R269" i="52"/>
  <c r="O269" i="52"/>
  <c r="L269" i="52"/>
  <c r="R268" i="52"/>
  <c r="O268" i="52"/>
  <c r="L268" i="52"/>
  <c r="P268" i="52" s="1"/>
  <c r="S268" i="52" s="1"/>
  <c r="R267" i="52"/>
  <c r="P267" i="52"/>
  <c r="S267" i="52" s="1"/>
  <c r="N267" i="52"/>
  <c r="M267" i="52"/>
  <c r="R266" i="52"/>
  <c r="P266" i="52"/>
  <c r="S266" i="52" s="1"/>
  <c r="N266" i="52"/>
  <c r="M266" i="52"/>
  <c r="J266" i="52"/>
  <c r="D266" i="52"/>
  <c r="R265" i="52"/>
  <c r="P265" i="52"/>
  <c r="S265" i="52" s="1"/>
  <c r="N265" i="52"/>
  <c r="M265" i="52"/>
  <c r="E265" i="52"/>
  <c r="R264" i="52"/>
  <c r="P264" i="52"/>
  <c r="S264" i="52" s="1"/>
  <c r="N264" i="52"/>
  <c r="M264" i="52"/>
  <c r="R263" i="52"/>
  <c r="P263" i="52"/>
  <c r="S263" i="52" s="1"/>
  <c r="N263" i="52"/>
  <c r="M263" i="52"/>
  <c r="R262" i="52"/>
  <c r="P262" i="52"/>
  <c r="S262" i="52" s="1"/>
  <c r="N262" i="52"/>
  <c r="M262" i="52"/>
  <c r="R261" i="52"/>
  <c r="P261" i="52"/>
  <c r="S261" i="52" s="1"/>
  <c r="N261" i="52"/>
  <c r="M261" i="52"/>
  <c r="R260" i="52"/>
  <c r="P260" i="52"/>
  <c r="S260" i="52" s="1"/>
  <c r="N260" i="52"/>
  <c r="M260" i="52"/>
  <c r="R259" i="52"/>
  <c r="O259" i="52"/>
  <c r="L259" i="52"/>
  <c r="R258" i="52"/>
  <c r="L258" i="52"/>
  <c r="M258" i="52" s="1"/>
  <c r="R257" i="52"/>
  <c r="L257" i="52"/>
  <c r="P257" i="52" s="1"/>
  <c r="S257" i="52" s="1"/>
  <c r="R256" i="52"/>
  <c r="O256" i="52"/>
  <c r="L256" i="52"/>
  <c r="AG255" i="52"/>
  <c r="AE255" i="52"/>
  <c r="AD255" i="52" s="1"/>
  <c r="R255" i="52"/>
  <c r="L255" i="52"/>
  <c r="P255" i="52" s="1"/>
  <c r="S255" i="52" s="1"/>
  <c r="AG254" i="52"/>
  <c r="AE254" i="52"/>
  <c r="AD254" i="52" s="1"/>
  <c r="AG253" i="52"/>
  <c r="AE253" i="52"/>
  <c r="AD253" i="52" s="1"/>
  <c r="AG252" i="52"/>
  <c r="AE252" i="52"/>
  <c r="AD252" i="52" s="1"/>
  <c r="AG251" i="52"/>
  <c r="AE251" i="52"/>
  <c r="AD251" i="52" s="1"/>
  <c r="AG250" i="52"/>
  <c r="AE250" i="52"/>
  <c r="AD250" i="52" s="1"/>
  <c r="R250" i="52"/>
  <c r="P250" i="52"/>
  <c r="S250" i="52" s="1"/>
  <c r="O250" i="52"/>
  <c r="U250" i="52" s="1"/>
  <c r="N250" i="52"/>
  <c r="M250" i="52"/>
  <c r="AG249" i="52"/>
  <c r="AE249" i="52"/>
  <c r="AD249" i="52" s="1"/>
  <c r="R249" i="52"/>
  <c r="P249" i="52"/>
  <c r="S249" i="52" s="1"/>
  <c r="O249" i="52"/>
  <c r="U249" i="52" s="1"/>
  <c r="N249" i="52"/>
  <c r="M249" i="52"/>
  <c r="AG248" i="52"/>
  <c r="AE248" i="52"/>
  <c r="AD248" i="52" s="1"/>
  <c r="AG247" i="52"/>
  <c r="AE247" i="52"/>
  <c r="AD247" i="52" s="1"/>
  <c r="R247" i="52"/>
  <c r="P247" i="52"/>
  <c r="S247" i="52" s="1"/>
  <c r="O247" i="52"/>
  <c r="U247" i="52" s="1"/>
  <c r="N247" i="52"/>
  <c r="M247" i="52"/>
  <c r="AG246" i="52"/>
  <c r="AE246" i="52"/>
  <c r="AD246" i="52" s="1"/>
  <c r="R246" i="52"/>
  <c r="P246" i="52"/>
  <c r="S246" i="52" s="1"/>
  <c r="N246" i="52"/>
  <c r="M246" i="52"/>
  <c r="AG245" i="52"/>
  <c r="AE245" i="52"/>
  <c r="AD245" i="52" s="1"/>
  <c r="R245" i="52"/>
  <c r="P245" i="52"/>
  <c r="S245" i="52" s="1"/>
  <c r="N245" i="52"/>
  <c r="M245" i="52"/>
  <c r="AG244" i="52"/>
  <c r="AE244" i="52"/>
  <c r="AD244" i="52" s="1"/>
  <c r="R244" i="52"/>
  <c r="P244" i="52"/>
  <c r="S244" i="52" s="1"/>
  <c r="N244" i="52"/>
  <c r="M244" i="52"/>
  <c r="AG243" i="52"/>
  <c r="AE243" i="52"/>
  <c r="AD243" i="52" s="1"/>
  <c r="R243" i="52"/>
  <c r="P243" i="52"/>
  <c r="S243" i="52" s="1"/>
  <c r="N243" i="52"/>
  <c r="M243" i="52"/>
  <c r="AG242" i="52"/>
  <c r="AE242" i="52"/>
  <c r="AD242" i="52" s="1"/>
  <c r="R242" i="52"/>
  <c r="P242" i="52"/>
  <c r="S242" i="52" s="1"/>
  <c r="N242" i="52"/>
  <c r="M242" i="52"/>
  <c r="AG241" i="52"/>
  <c r="AE241" i="52"/>
  <c r="R241" i="52"/>
  <c r="P241" i="52"/>
  <c r="S241" i="52" s="1"/>
  <c r="N241" i="52"/>
  <c r="M241" i="52"/>
  <c r="AG240" i="52"/>
  <c r="AD240" i="52" s="1"/>
  <c r="AE240" i="52"/>
  <c r="R240" i="52"/>
  <c r="P240" i="52"/>
  <c r="S240" i="52" s="1"/>
  <c r="N240" i="52"/>
  <c r="M240" i="52"/>
  <c r="R239" i="52"/>
  <c r="L239" i="52"/>
  <c r="N239" i="52" s="1"/>
  <c r="R238" i="52"/>
  <c r="O238" i="52"/>
  <c r="L238" i="52"/>
  <c r="P238" i="52" s="1"/>
  <c r="S238" i="52" s="1"/>
  <c r="R237" i="52"/>
  <c r="O237" i="52"/>
  <c r="L237" i="52"/>
  <c r="P237" i="52" s="1"/>
  <c r="R236" i="52"/>
  <c r="P236" i="52"/>
  <c r="S236" i="52" s="1"/>
  <c r="N236" i="52"/>
  <c r="M236" i="52"/>
  <c r="R235" i="52"/>
  <c r="P235" i="52"/>
  <c r="S235" i="52" s="1"/>
  <c r="N235" i="52"/>
  <c r="M235" i="52"/>
  <c r="R234" i="52"/>
  <c r="P234" i="52"/>
  <c r="S234" i="52" s="1"/>
  <c r="N234" i="52"/>
  <c r="M234" i="52"/>
  <c r="R233" i="52"/>
  <c r="P233" i="52"/>
  <c r="S233" i="52" s="1"/>
  <c r="N233" i="52"/>
  <c r="M233" i="52"/>
  <c r="R232" i="52"/>
  <c r="P232" i="52"/>
  <c r="S232" i="52" s="1"/>
  <c r="N232" i="52"/>
  <c r="M232" i="52"/>
  <c r="R231" i="52"/>
  <c r="P231" i="52"/>
  <c r="S231" i="52" s="1"/>
  <c r="N231" i="52"/>
  <c r="M231" i="52"/>
  <c r="J231" i="52"/>
  <c r="D231" i="52"/>
  <c r="R230" i="52"/>
  <c r="P230" i="52"/>
  <c r="S230" i="52" s="1"/>
  <c r="N230" i="52"/>
  <c r="M230" i="52"/>
  <c r="E230" i="52"/>
  <c r="R229" i="52"/>
  <c r="P229" i="52"/>
  <c r="S229" i="52" s="1"/>
  <c r="N229" i="52"/>
  <c r="M229" i="52"/>
  <c r="R228" i="52"/>
  <c r="L228" i="52"/>
  <c r="P228" i="52" s="1"/>
  <c r="S228" i="52" s="1"/>
  <c r="R227" i="52"/>
  <c r="L227" i="52"/>
  <c r="P227" i="52" s="1"/>
  <c r="S227" i="52" s="1"/>
  <c r="R226" i="52"/>
  <c r="L226" i="52"/>
  <c r="N226" i="52" s="1"/>
  <c r="R225" i="52"/>
  <c r="Z224" i="52"/>
  <c r="Y224" i="52"/>
  <c r="X224" i="52"/>
  <c r="W224" i="52"/>
  <c r="R224" i="52"/>
  <c r="L224" i="52"/>
  <c r="L225" i="52" s="1"/>
  <c r="Z223" i="52"/>
  <c r="Y223" i="52"/>
  <c r="X223" i="52"/>
  <c r="W223" i="52"/>
  <c r="R223" i="52"/>
  <c r="L223" i="52"/>
  <c r="P223" i="52" s="1"/>
  <c r="S223" i="52" s="1"/>
  <c r="AG222" i="52"/>
  <c r="AD222" i="52" s="1"/>
  <c r="AF222" i="52"/>
  <c r="AE222" i="52"/>
  <c r="AC222" i="52"/>
  <c r="AA222" i="52" s="1"/>
  <c r="AB222" i="52"/>
  <c r="Z222" i="52"/>
  <c r="Y222" i="52"/>
  <c r="X222" i="52"/>
  <c r="W222" i="52"/>
  <c r="R222" i="52"/>
  <c r="L222" i="52"/>
  <c r="AG221" i="52"/>
  <c r="AD221" i="52" s="1"/>
  <c r="AF221" i="52"/>
  <c r="AE221" i="52"/>
  <c r="AC221" i="52"/>
  <c r="AA221" i="52" s="1"/>
  <c r="AB221" i="52"/>
  <c r="Z221" i="52"/>
  <c r="Y221" i="52"/>
  <c r="X221" i="52"/>
  <c r="W221" i="52"/>
  <c r="R221" i="52"/>
  <c r="O221" i="52"/>
  <c r="L221" i="52"/>
  <c r="AG220" i="52"/>
  <c r="AD220" i="52" s="1"/>
  <c r="AF220" i="52"/>
  <c r="AE220" i="52"/>
  <c r="AC220" i="52"/>
  <c r="AA220" i="52" s="1"/>
  <c r="AB220" i="52"/>
  <c r="Z220" i="52"/>
  <c r="Y220" i="52"/>
  <c r="X220" i="52"/>
  <c r="W220" i="52"/>
  <c r="R220" i="52"/>
  <c r="L220" i="52"/>
  <c r="AG219" i="52"/>
  <c r="AD219" i="52" s="1"/>
  <c r="AF219" i="52"/>
  <c r="AE219" i="52"/>
  <c r="AC219" i="52"/>
  <c r="AA219" i="52" s="1"/>
  <c r="AB219" i="52"/>
  <c r="Z219" i="52"/>
  <c r="Y219" i="52"/>
  <c r="X219" i="52"/>
  <c r="W219" i="52"/>
  <c r="AG218" i="52"/>
  <c r="AD218" i="52" s="1"/>
  <c r="AF218" i="52"/>
  <c r="AE218" i="52"/>
  <c r="AC218" i="52"/>
  <c r="AA218" i="52" s="1"/>
  <c r="AB218" i="52"/>
  <c r="Z218" i="52"/>
  <c r="Y218" i="52"/>
  <c r="X218" i="52"/>
  <c r="W218" i="52"/>
  <c r="L218" i="52"/>
  <c r="AG217" i="52"/>
  <c r="AD217" i="52" s="1"/>
  <c r="AF217" i="52"/>
  <c r="AE217" i="52"/>
  <c r="AC217" i="52"/>
  <c r="AA217" i="52" s="1"/>
  <c r="AB217" i="52"/>
  <c r="Z217" i="52"/>
  <c r="Y217" i="52"/>
  <c r="X217" i="52"/>
  <c r="W217" i="52"/>
  <c r="AG216" i="52"/>
  <c r="AD216" i="52" s="1"/>
  <c r="AF216" i="52"/>
  <c r="AE216" i="52"/>
  <c r="AC216" i="52"/>
  <c r="AA216" i="52" s="1"/>
  <c r="AB216" i="52"/>
  <c r="Z216" i="52"/>
  <c r="Y216" i="52"/>
  <c r="X216" i="52"/>
  <c r="W216" i="52"/>
  <c r="AG215" i="52"/>
  <c r="AD215" i="52" s="1"/>
  <c r="AF215" i="52"/>
  <c r="AE215" i="52"/>
  <c r="AC215" i="52"/>
  <c r="AA215" i="52" s="1"/>
  <c r="AB215" i="52"/>
  <c r="Z215" i="52"/>
  <c r="Y215" i="52"/>
  <c r="X215" i="52"/>
  <c r="W215" i="52"/>
  <c r="AG214" i="52"/>
  <c r="AD214" i="52" s="1"/>
  <c r="AF214" i="52"/>
  <c r="AE214" i="52"/>
  <c r="AC214" i="52"/>
  <c r="AA214" i="52" s="1"/>
  <c r="AB214" i="52"/>
  <c r="Z214" i="52"/>
  <c r="Y214" i="52"/>
  <c r="X214" i="52"/>
  <c r="W214" i="52"/>
  <c r="AG213" i="52"/>
  <c r="AD213" i="52" s="1"/>
  <c r="AF213" i="52"/>
  <c r="AE213" i="52"/>
  <c r="AC213" i="52"/>
  <c r="AA213" i="52" s="1"/>
  <c r="AB213" i="52"/>
  <c r="Z213" i="52"/>
  <c r="Y213" i="52"/>
  <c r="X213" i="52"/>
  <c r="W213" i="52"/>
  <c r="AG212" i="52"/>
  <c r="AD212" i="52" s="1"/>
  <c r="AF212" i="52"/>
  <c r="AE212" i="52"/>
  <c r="AC212" i="52"/>
  <c r="AA212" i="52" s="1"/>
  <c r="AB212" i="52"/>
  <c r="Z212" i="52"/>
  <c r="Y212" i="52"/>
  <c r="X212" i="52"/>
  <c r="W212" i="52"/>
  <c r="AG211" i="52"/>
  <c r="AD211" i="52" s="1"/>
  <c r="AF211" i="52"/>
  <c r="AE211" i="52"/>
  <c r="AC211" i="52"/>
  <c r="AA211" i="52" s="1"/>
  <c r="AB211" i="52"/>
  <c r="Z211" i="52"/>
  <c r="Y211" i="52"/>
  <c r="X211" i="52"/>
  <c r="W211" i="52"/>
  <c r="AG210" i="52"/>
  <c r="AD210" i="52" s="1"/>
  <c r="AF210" i="52"/>
  <c r="AE210" i="52"/>
  <c r="AC210" i="52"/>
  <c r="AA210" i="52" s="1"/>
  <c r="AB210" i="52"/>
  <c r="Z210" i="52"/>
  <c r="Y210" i="52"/>
  <c r="X210" i="52"/>
  <c r="W210" i="52"/>
  <c r="AG209" i="52"/>
  <c r="AD209" i="52" s="1"/>
  <c r="AF209" i="52"/>
  <c r="AE209" i="52"/>
  <c r="AC209" i="52"/>
  <c r="AA209" i="52" s="1"/>
  <c r="AB209" i="52"/>
  <c r="Z209" i="52"/>
  <c r="Y209" i="52"/>
  <c r="X209" i="52"/>
  <c r="W209" i="52"/>
  <c r="AG208" i="52"/>
  <c r="AD208" i="52" s="1"/>
  <c r="AF208" i="52"/>
  <c r="AE208" i="52"/>
  <c r="AC208" i="52"/>
  <c r="AA208" i="52" s="1"/>
  <c r="AB208" i="52"/>
  <c r="AG207" i="52"/>
  <c r="AD207" i="52" s="1"/>
  <c r="AF207" i="52"/>
  <c r="AE207" i="52"/>
  <c r="AC207" i="52"/>
  <c r="AA207" i="52" s="1"/>
  <c r="AB207" i="52"/>
  <c r="IQ206" i="52"/>
  <c r="IP206" i="52"/>
  <c r="IO206" i="52"/>
  <c r="IN206" i="52"/>
  <c r="IM206" i="52"/>
  <c r="IL206" i="52"/>
  <c r="IK206" i="52"/>
  <c r="IJ206" i="52"/>
  <c r="II206" i="52"/>
  <c r="IH206" i="52"/>
  <c r="IG206" i="52"/>
  <c r="IF206" i="52"/>
  <c r="IE206" i="52"/>
  <c r="ID206" i="52"/>
  <c r="IC206" i="52"/>
  <c r="IB206" i="52"/>
  <c r="IA206" i="52"/>
  <c r="HZ206" i="52"/>
  <c r="HY206" i="52"/>
  <c r="HX206" i="52"/>
  <c r="HW206" i="52"/>
  <c r="HV206" i="52"/>
  <c r="HU206" i="52"/>
  <c r="HT206" i="52"/>
  <c r="IQ205" i="52"/>
  <c r="IP205" i="52"/>
  <c r="IO205" i="52"/>
  <c r="IN205" i="52"/>
  <c r="IM205" i="52"/>
  <c r="IL205" i="52"/>
  <c r="IK205" i="52"/>
  <c r="IJ205" i="52"/>
  <c r="II205" i="52"/>
  <c r="IH205" i="52"/>
  <c r="IG205" i="52"/>
  <c r="IF205" i="52"/>
  <c r="IE205" i="52"/>
  <c r="ID205" i="52"/>
  <c r="IC205" i="52"/>
  <c r="IB205" i="52"/>
  <c r="IA205" i="52"/>
  <c r="HZ205" i="52"/>
  <c r="HY205" i="52"/>
  <c r="HX205" i="52"/>
  <c r="HW205" i="52"/>
  <c r="HV205" i="52"/>
  <c r="HU205" i="52"/>
  <c r="HT205" i="52"/>
  <c r="IQ204" i="52"/>
  <c r="IP204" i="52"/>
  <c r="IO204" i="52"/>
  <c r="IN204" i="52"/>
  <c r="IM204" i="52"/>
  <c r="IL204" i="52"/>
  <c r="IK204" i="52"/>
  <c r="IJ204" i="52"/>
  <c r="II204" i="52"/>
  <c r="IH204" i="52"/>
  <c r="IG204" i="52"/>
  <c r="IF204" i="52"/>
  <c r="IE204" i="52"/>
  <c r="ID204" i="52"/>
  <c r="IC204" i="52"/>
  <c r="IB204" i="52"/>
  <c r="IA204" i="52"/>
  <c r="HZ204" i="52"/>
  <c r="HY204" i="52"/>
  <c r="HX204" i="52"/>
  <c r="HW204" i="52"/>
  <c r="HV204" i="52"/>
  <c r="HU204" i="52"/>
  <c r="HT204" i="52"/>
  <c r="IQ203" i="52"/>
  <c r="IP203" i="52"/>
  <c r="IO203" i="52"/>
  <c r="IN203" i="52"/>
  <c r="IM203" i="52"/>
  <c r="IL203" i="52"/>
  <c r="IK203" i="52"/>
  <c r="IJ203" i="52"/>
  <c r="II203" i="52"/>
  <c r="IH203" i="52"/>
  <c r="IG203" i="52"/>
  <c r="IF203" i="52"/>
  <c r="IE203" i="52"/>
  <c r="ID203" i="52"/>
  <c r="IC203" i="52"/>
  <c r="IB203" i="52"/>
  <c r="IA203" i="52"/>
  <c r="HZ203" i="52"/>
  <c r="HY203" i="52"/>
  <c r="HX203" i="52"/>
  <c r="HW203" i="52"/>
  <c r="HV203" i="52"/>
  <c r="HU203" i="52"/>
  <c r="HT203" i="52"/>
  <c r="IQ202" i="52"/>
  <c r="IP202" i="52"/>
  <c r="IO202" i="52"/>
  <c r="IN202" i="52"/>
  <c r="IM202" i="52"/>
  <c r="IL202" i="52"/>
  <c r="IK202" i="52"/>
  <c r="IJ202" i="52"/>
  <c r="II202" i="52"/>
  <c r="IH202" i="52"/>
  <c r="IG202" i="52"/>
  <c r="IF202" i="52"/>
  <c r="IE202" i="52"/>
  <c r="ID202" i="52"/>
  <c r="IC202" i="52"/>
  <c r="IB202" i="52"/>
  <c r="IA202" i="52"/>
  <c r="HZ202" i="52"/>
  <c r="HY202" i="52"/>
  <c r="HX202" i="52"/>
  <c r="HW202" i="52"/>
  <c r="HV202" i="52"/>
  <c r="HU202" i="52"/>
  <c r="HT202" i="52"/>
  <c r="GI200" i="52"/>
  <c r="GH200" i="52"/>
  <c r="GG200" i="52"/>
  <c r="GF200" i="52"/>
  <c r="GE200" i="52"/>
  <c r="GD200" i="52"/>
  <c r="GC200" i="52"/>
  <c r="GB200" i="52"/>
  <c r="GA200" i="52"/>
  <c r="FZ200" i="52"/>
  <c r="FY200" i="52"/>
  <c r="FX200" i="52"/>
  <c r="FW200" i="52"/>
  <c r="FV200" i="52"/>
  <c r="FU200" i="52"/>
  <c r="FT200" i="52"/>
  <c r="FS200" i="52"/>
  <c r="FR200" i="52"/>
  <c r="FQ200" i="52"/>
  <c r="FP200" i="52"/>
  <c r="FO200" i="52"/>
  <c r="FN200" i="52"/>
  <c r="FM200" i="52"/>
  <c r="FL200" i="52"/>
  <c r="FI200" i="52"/>
  <c r="FH200" i="52"/>
  <c r="FG200" i="52"/>
  <c r="FF200" i="52"/>
  <c r="FE200" i="52"/>
  <c r="FD200" i="52"/>
  <c r="FC200" i="52"/>
  <c r="FB200" i="52"/>
  <c r="FA200" i="52"/>
  <c r="EZ200" i="52"/>
  <c r="EY200" i="52"/>
  <c r="EX200" i="52"/>
  <c r="EW200" i="52"/>
  <c r="EV200" i="52"/>
  <c r="EU200" i="52"/>
  <c r="ET200" i="52"/>
  <c r="ES200" i="52"/>
  <c r="ER200" i="52"/>
  <c r="EQ200" i="52"/>
  <c r="EP200" i="52"/>
  <c r="EO200" i="52"/>
  <c r="EN200" i="52"/>
  <c r="EM200" i="52"/>
  <c r="EL200" i="52"/>
  <c r="IQ199" i="52"/>
  <c r="IP199" i="52"/>
  <c r="IO199" i="52"/>
  <c r="IN199" i="52"/>
  <c r="IM199" i="52"/>
  <c r="IL199" i="52"/>
  <c r="IK199" i="52"/>
  <c r="IJ199" i="52"/>
  <c r="II199" i="52"/>
  <c r="IH199" i="52"/>
  <c r="IG199" i="52"/>
  <c r="IF199" i="52"/>
  <c r="IE199" i="52"/>
  <c r="ID199" i="52"/>
  <c r="IC199" i="52"/>
  <c r="IB199" i="52"/>
  <c r="IA199" i="52"/>
  <c r="HZ199" i="52"/>
  <c r="HY199" i="52"/>
  <c r="HX199" i="52"/>
  <c r="HW199" i="52"/>
  <c r="HV199" i="52"/>
  <c r="HU199" i="52"/>
  <c r="HT199" i="52"/>
  <c r="HP199" i="52"/>
  <c r="HO199" i="52"/>
  <c r="HN199" i="52"/>
  <c r="HM199" i="52"/>
  <c r="HL199" i="52"/>
  <c r="HK199" i="52"/>
  <c r="HJ199" i="52"/>
  <c r="HI199" i="52"/>
  <c r="HH199" i="52"/>
  <c r="HG199" i="52"/>
  <c r="HF199" i="52"/>
  <c r="HE199" i="52"/>
  <c r="HD199" i="52"/>
  <c r="HC199" i="52"/>
  <c r="HB199" i="52"/>
  <c r="HA199" i="52"/>
  <c r="GZ199" i="52"/>
  <c r="GY199" i="52"/>
  <c r="GX199" i="52"/>
  <c r="GW199" i="52"/>
  <c r="GV199" i="52"/>
  <c r="GU199" i="52"/>
  <c r="GT199" i="52"/>
  <c r="GS199" i="52"/>
  <c r="FO199" i="52"/>
  <c r="FN199" i="52"/>
  <c r="FL199" i="52"/>
  <c r="EO199" i="52"/>
  <c r="EL199" i="52"/>
  <c r="IQ198" i="52"/>
  <c r="IP198" i="52"/>
  <c r="IO198" i="52"/>
  <c r="IN198" i="52"/>
  <c r="IM198" i="52"/>
  <c r="IL198" i="52"/>
  <c r="IK198" i="52"/>
  <c r="IJ198" i="52"/>
  <c r="II198" i="52"/>
  <c r="IH198" i="52"/>
  <c r="IG198" i="52"/>
  <c r="IF198" i="52"/>
  <c r="IE198" i="52"/>
  <c r="ID198" i="52"/>
  <c r="IC198" i="52"/>
  <c r="IB198" i="52"/>
  <c r="IA198" i="52"/>
  <c r="HZ198" i="52"/>
  <c r="HY198" i="52"/>
  <c r="HX198" i="52"/>
  <c r="HW198" i="52"/>
  <c r="HV198" i="52"/>
  <c r="HU198" i="52"/>
  <c r="HT198" i="52"/>
  <c r="HP198" i="52"/>
  <c r="HO198" i="52"/>
  <c r="HN198" i="52"/>
  <c r="HM198" i="52"/>
  <c r="HL198" i="52"/>
  <c r="HK198" i="52"/>
  <c r="HJ198" i="52"/>
  <c r="HI198" i="52"/>
  <c r="HH198" i="52"/>
  <c r="HG198" i="52"/>
  <c r="HF198" i="52"/>
  <c r="HE198" i="52"/>
  <c r="HD198" i="52"/>
  <c r="HC198" i="52"/>
  <c r="HB198" i="52"/>
  <c r="HA198" i="52"/>
  <c r="GZ198" i="52"/>
  <c r="GY198" i="52"/>
  <c r="GX198" i="52"/>
  <c r="GW198" i="52"/>
  <c r="GV198" i="52"/>
  <c r="GU198" i="52"/>
  <c r="GT198" i="52"/>
  <c r="GS198" i="52"/>
  <c r="FO198" i="52"/>
  <c r="FN198" i="52"/>
  <c r="FL198" i="52"/>
  <c r="AA252" i="52" s="1"/>
  <c r="EO198" i="52"/>
  <c r="EL198" i="52"/>
  <c r="AK198" i="52"/>
  <c r="IQ197" i="52"/>
  <c r="IP197" i="52"/>
  <c r="IO197" i="52"/>
  <c r="IN197" i="52"/>
  <c r="IM197" i="52"/>
  <c r="IL197" i="52"/>
  <c r="IK197" i="52"/>
  <c r="IJ197" i="52"/>
  <c r="II197" i="52"/>
  <c r="IH197" i="52"/>
  <c r="IG197" i="52"/>
  <c r="IF197" i="52"/>
  <c r="IE197" i="52"/>
  <c r="ID197" i="52"/>
  <c r="IC197" i="52"/>
  <c r="IB197" i="52"/>
  <c r="IA197" i="52"/>
  <c r="HZ197" i="52"/>
  <c r="HY197" i="52"/>
  <c r="HX197" i="52"/>
  <c r="HW197" i="52"/>
  <c r="HV197" i="52"/>
  <c r="HU197" i="52"/>
  <c r="HT197" i="52"/>
  <c r="HP197" i="52"/>
  <c r="HO197" i="52"/>
  <c r="HN197" i="52"/>
  <c r="HM197" i="52"/>
  <c r="HL197" i="52"/>
  <c r="HK197" i="52"/>
  <c r="HJ197" i="52"/>
  <c r="HI197" i="52"/>
  <c r="HH197" i="52"/>
  <c r="HG197" i="52"/>
  <c r="HF197" i="52"/>
  <c r="HE197" i="52"/>
  <c r="HD197" i="52"/>
  <c r="HC197" i="52"/>
  <c r="HB197" i="52"/>
  <c r="HA197" i="52"/>
  <c r="GZ197" i="52"/>
  <c r="GY197" i="52"/>
  <c r="GX197" i="52"/>
  <c r="GW197" i="52"/>
  <c r="GV197" i="52"/>
  <c r="GU197" i="52"/>
  <c r="GT197" i="52"/>
  <c r="GS197" i="52"/>
  <c r="FO197" i="52"/>
  <c r="FL197" i="52"/>
  <c r="Z254" i="52" s="1"/>
  <c r="EL197" i="52"/>
  <c r="DP197" i="52"/>
  <c r="DO197" i="52"/>
  <c r="DN197" i="52"/>
  <c r="DM197" i="52"/>
  <c r="DL197" i="52"/>
  <c r="DK197" i="52"/>
  <c r="DJ197" i="52"/>
  <c r="DI197" i="52"/>
  <c r="DH197" i="52"/>
  <c r="DG197" i="52"/>
  <c r="DF197" i="52"/>
  <c r="DE197" i="52"/>
  <c r="DD197" i="52"/>
  <c r="DA197" i="52"/>
  <c r="CZ197" i="52"/>
  <c r="CY197" i="52"/>
  <c r="CX197" i="52"/>
  <c r="CW197" i="52"/>
  <c r="CV197" i="52"/>
  <c r="CU197" i="52"/>
  <c r="CT197" i="52"/>
  <c r="CS197" i="52"/>
  <c r="CR197" i="52"/>
  <c r="CQ197" i="52"/>
  <c r="CP197" i="52"/>
  <c r="CJ197" i="52"/>
  <c r="CI197" i="52"/>
  <c r="CH197" i="52"/>
  <c r="CG197" i="52"/>
  <c r="CF197" i="52"/>
  <c r="CE197" i="52"/>
  <c r="CD197" i="52"/>
  <c r="CC197" i="52"/>
  <c r="CB197" i="52"/>
  <c r="CA197" i="52"/>
  <c r="BZ197" i="52"/>
  <c r="BY197" i="52"/>
  <c r="BX197" i="52"/>
  <c r="BU197" i="52"/>
  <c r="BT197" i="52"/>
  <c r="BS197" i="52"/>
  <c r="BR197" i="52"/>
  <c r="BQ197" i="52"/>
  <c r="BP197" i="52"/>
  <c r="BO197" i="52"/>
  <c r="BN197" i="52"/>
  <c r="BM197" i="52"/>
  <c r="BL197" i="52"/>
  <c r="BK197" i="52"/>
  <c r="BJ197" i="52"/>
  <c r="Z197" i="52"/>
  <c r="Y197" i="52"/>
  <c r="W197" i="52"/>
  <c r="IQ196" i="52"/>
  <c r="IP196" i="52"/>
  <c r="IO196" i="52"/>
  <c r="IN196" i="52"/>
  <c r="IM196" i="52"/>
  <c r="IL196" i="52"/>
  <c r="IK196" i="52"/>
  <c r="IJ196" i="52"/>
  <c r="II196" i="52"/>
  <c r="IH196" i="52"/>
  <c r="IG196" i="52"/>
  <c r="IF196" i="52"/>
  <c r="IE196" i="52"/>
  <c r="ID196" i="52"/>
  <c r="IC196" i="52"/>
  <c r="IB196" i="52"/>
  <c r="IA196" i="52"/>
  <c r="HZ196" i="52"/>
  <c r="HY196" i="52"/>
  <c r="HX196" i="52"/>
  <c r="HW196" i="52"/>
  <c r="HV196" i="52"/>
  <c r="HU196" i="52"/>
  <c r="HT196" i="52"/>
  <c r="HP196" i="52"/>
  <c r="HO196" i="52"/>
  <c r="HN196" i="52"/>
  <c r="HM196" i="52"/>
  <c r="HL196" i="52"/>
  <c r="HK196" i="52"/>
  <c r="HJ196" i="52"/>
  <c r="HI196" i="52"/>
  <c r="HH196" i="52"/>
  <c r="HG196" i="52"/>
  <c r="HF196" i="52"/>
  <c r="HE196" i="52"/>
  <c r="HD196" i="52"/>
  <c r="HC196" i="52"/>
  <c r="HB196" i="52"/>
  <c r="HA196" i="52"/>
  <c r="GZ196" i="52"/>
  <c r="GY196" i="52"/>
  <c r="GX196" i="52"/>
  <c r="GW196" i="52"/>
  <c r="GV196" i="52"/>
  <c r="GU196" i="52"/>
  <c r="GT196" i="52"/>
  <c r="GS196" i="52"/>
  <c r="GI196" i="52"/>
  <c r="GH196" i="52"/>
  <c r="GG196" i="52"/>
  <c r="GF196" i="52"/>
  <c r="GE196" i="52"/>
  <c r="GD196" i="52"/>
  <c r="GC196" i="52"/>
  <c r="GB196" i="52"/>
  <c r="GA196" i="52"/>
  <c r="FZ196" i="52"/>
  <c r="FY196" i="52"/>
  <c r="Y241" i="52" s="1"/>
  <c r="FX196" i="52"/>
  <c r="FW196" i="52"/>
  <c r="FV196" i="52"/>
  <c r="FU196" i="52"/>
  <c r="FT196" i="52"/>
  <c r="FS196" i="52"/>
  <c r="FR196" i="52"/>
  <c r="FQ196" i="52"/>
  <c r="FP196" i="52"/>
  <c r="FO196" i="52"/>
  <c r="FN196" i="52"/>
  <c r="FM196" i="52"/>
  <c r="FL196" i="52"/>
  <c r="FI196" i="52"/>
  <c r="FH196" i="52"/>
  <c r="FG196" i="52"/>
  <c r="FF196" i="52"/>
  <c r="FE196" i="52"/>
  <c r="FD196" i="52"/>
  <c r="FC196" i="52"/>
  <c r="FB196" i="52"/>
  <c r="FA196" i="52"/>
  <c r="EZ196" i="52"/>
  <c r="EY196" i="52"/>
  <c r="EX196" i="52"/>
  <c r="EW196" i="52"/>
  <c r="EV196" i="52"/>
  <c r="EU196" i="52"/>
  <c r="ET196" i="52"/>
  <c r="ES196" i="52"/>
  <c r="ER196" i="52"/>
  <c r="EQ196" i="52"/>
  <c r="EP196" i="52"/>
  <c r="EO196" i="52"/>
  <c r="EN196" i="52"/>
  <c r="EM196" i="52"/>
  <c r="EL196" i="52"/>
  <c r="CO196" i="52"/>
  <c r="BI196" i="52"/>
  <c r="AL196" i="52"/>
  <c r="Z196" i="52"/>
  <c r="Y196" i="52"/>
  <c r="W196" i="52"/>
  <c r="IQ195" i="52"/>
  <c r="IP195" i="52"/>
  <c r="IO195" i="52"/>
  <c r="IN195" i="52"/>
  <c r="IM195" i="52"/>
  <c r="IL195" i="52"/>
  <c r="IK195" i="52"/>
  <c r="IJ195" i="52"/>
  <c r="II195" i="52"/>
  <c r="IH195" i="52"/>
  <c r="IG195" i="52"/>
  <c r="IF195" i="52"/>
  <c r="IE195" i="52"/>
  <c r="ID195" i="52"/>
  <c r="IC195" i="52"/>
  <c r="IB195" i="52"/>
  <c r="IA195" i="52"/>
  <c r="HZ195" i="52"/>
  <c r="HY195" i="52"/>
  <c r="HX195" i="52"/>
  <c r="HW195" i="52"/>
  <c r="HV195" i="52"/>
  <c r="HU195" i="52"/>
  <c r="HT195" i="52"/>
  <c r="HP195" i="52"/>
  <c r="HO195" i="52"/>
  <c r="HN195" i="52"/>
  <c r="HM195" i="52"/>
  <c r="HL195" i="52"/>
  <c r="HK195" i="52"/>
  <c r="HJ195" i="52"/>
  <c r="HI195" i="52"/>
  <c r="HH195" i="52"/>
  <c r="HG195" i="52"/>
  <c r="HF195" i="52"/>
  <c r="HE195" i="52"/>
  <c r="HD195" i="52"/>
  <c r="HC195" i="52"/>
  <c r="HB195" i="52"/>
  <c r="HA195" i="52"/>
  <c r="GZ195" i="52"/>
  <c r="GY195" i="52"/>
  <c r="GX195" i="52"/>
  <c r="GW195" i="52"/>
  <c r="GV195" i="52"/>
  <c r="GU195" i="52"/>
  <c r="GT195" i="52"/>
  <c r="GS195" i="52"/>
  <c r="CO195" i="52"/>
  <c r="BI195" i="52"/>
  <c r="AP195" i="52"/>
  <c r="AO195" i="52"/>
  <c r="AM195" i="52"/>
  <c r="AB195" i="52"/>
  <c r="AA195" i="52"/>
  <c r="Z195" i="52"/>
  <c r="Y195" i="52"/>
  <c r="W195" i="52"/>
  <c r="AP194" i="52"/>
  <c r="AO194" i="52"/>
  <c r="AM194" i="52"/>
  <c r="AB194" i="52"/>
  <c r="AA194" i="52"/>
  <c r="Z194" i="52"/>
  <c r="Y194" i="52"/>
  <c r="W194" i="52"/>
  <c r="AK193" i="52"/>
  <c r="AB193" i="52"/>
  <c r="AA193" i="52"/>
  <c r="Z193" i="52"/>
  <c r="Y193" i="52"/>
  <c r="W193" i="52"/>
  <c r="IQ192" i="52"/>
  <c r="IP192" i="52"/>
  <c r="IO192" i="52"/>
  <c r="IN192" i="52"/>
  <c r="IM192" i="52"/>
  <c r="IL192" i="52"/>
  <c r="IK192" i="52"/>
  <c r="IJ192" i="52"/>
  <c r="II192" i="52"/>
  <c r="IH192" i="52"/>
  <c r="IG192" i="52"/>
  <c r="IF192" i="52"/>
  <c r="IE192" i="52"/>
  <c r="ID192" i="52"/>
  <c r="IC192" i="52"/>
  <c r="IB192" i="52"/>
  <c r="IA192" i="52"/>
  <c r="HZ192" i="52"/>
  <c r="HY192" i="52"/>
  <c r="HX192" i="52"/>
  <c r="HW192" i="52"/>
  <c r="HV192" i="52"/>
  <c r="HU192" i="52"/>
  <c r="HT192" i="52"/>
  <c r="HP192" i="52"/>
  <c r="HO192" i="52"/>
  <c r="HN192" i="52"/>
  <c r="HM192" i="52"/>
  <c r="HL192" i="52"/>
  <c r="HK192" i="52"/>
  <c r="HJ192" i="52"/>
  <c r="HI192" i="52"/>
  <c r="HH192" i="52"/>
  <c r="HG192" i="52"/>
  <c r="HF192" i="52"/>
  <c r="HE192" i="52"/>
  <c r="HD192" i="52"/>
  <c r="HC192" i="52"/>
  <c r="HB192" i="52"/>
  <c r="HA192" i="52"/>
  <c r="GZ192" i="52"/>
  <c r="GY192" i="52"/>
  <c r="GX192" i="52"/>
  <c r="GW192" i="52"/>
  <c r="GV192" i="52"/>
  <c r="GU192" i="52"/>
  <c r="GT192" i="52"/>
  <c r="GS192" i="52"/>
  <c r="GI192" i="52"/>
  <c r="GH192" i="52"/>
  <c r="GG192" i="52"/>
  <c r="GF192" i="52"/>
  <c r="GE192" i="52"/>
  <c r="GD192" i="52"/>
  <c r="GC192" i="52"/>
  <c r="GB192" i="52"/>
  <c r="GA192" i="52"/>
  <c r="FZ192" i="52"/>
  <c r="FY192" i="52"/>
  <c r="FX192" i="52"/>
  <c r="FW192" i="52"/>
  <c r="FV192" i="52"/>
  <c r="FU192" i="52"/>
  <c r="FT192" i="52"/>
  <c r="FS192" i="52"/>
  <c r="FR192" i="52"/>
  <c r="FQ192" i="52"/>
  <c r="FP192" i="52"/>
  <c r="FO192" i="52"/>
  <c r="FN192" i="52"/>
  <c r="FM192" i="52"/>
  <c r="FL192" i="52"/>
  <c r="FI192" i="52"/>
  <c r="FH192" i="52"/>
  <c r="FG192" i="52"/>
  <c r="FF192" i="52"/>
  <c r="FE192" i="52"/>
  <c r="FD192" i="52"/>
  <c r="FC192" i="52"/>
  <c r="FB192" i="52"/>
  <c r="FA192" i="52"/>
  <c r="EZ192" i="52"/>
  <c r="EY192" i="52"/>
  <c r="EX192" i="52"/>
  <c r="EW192" i="52"/>
  <c r="EV192" i="52"/>
  <c r="EU192" i="52"/>
  <c r="ET192" i="52"/>
  <c r="ES192" i="52"/>
  <c r="ER192" i="52"/>
  <c r="EQ192" i="52"/>
  <c r="EP192" i="52"/>
  <c r="EO192" i="52"/>
  <c r="EN192" i="52"/>
  <c r="EM192" i="52"/>
  <c r="EL192" i="52"/>
  <c r="DP192" i="52"/>
  <c r="DO192" i="52"/>
  <c r="DN192" i="52"/>
  <c r="DM192" i="52"/>
  <c r="DL192" i="52"/>
  <c r="DK192" i="52"/>
  <c r="DJ192" i="52"/>
  <c r="DI192" i="52"/>
  <c r="DH192" i="52"/>
  <c r="DG192" i="52"/>
  <c r="DF192" i="52"/>
  <c r="DE192" i="52"/>
  <c r="DD192" i="52"/>
  <c r="DA192" i="52"/>
  <c r="CZ192" i="52"/>
  <c r="CY192" i="52"/>
  <c r="CX192" i="52"/>
  <c r="CW192" i="52"/>
  <c r="CV192" i="52"/>
  <c r="CU192" i="52"/>
  <c r="CT192" i="52"/>
  <c r="CS192" i="52"/>
  <c r="CR192" i="52"/>
  <c r="CQ192" i="52"/>
  <c r="CP192" i="52"/>
  <c r="AB192" i="52"/>
  <c r="AA192" i="52"/>
  <c r="Z192" i="52"/>
  <c r="Y192" i="52"/>
  <c r="W192" i="52"/>
  <c r="IQ191" i="52"/>
  <c r="IP191" i="52"/>
  <c r="IO191" i="52"/>
  <c r="IN191" i="52"/>
  <c r="IM191" i="52"/>
  <c r="IL191" i="52"/>
  <c r="IK191" i="52"/>
  <c r="IJ191" i="52"/>
  <c r="II191" i="52"/>
  <c r="IH191" i="52"/>
  <c r="IG191" i="52"/>
  <c r="IF191" i="52"/>
  <c r="IE191" i="52"/>
  <c r="ID191" i="52"/>
  <c r="IC191" i="52"/>
  <c r="IB191" i="52"/>
  <c r="IA191" i="52"/>
  <c r="HZ191" i="52"/>
  <c r="HY191" i="52"/>
  <c r="HX191" i="52"/>
  <c r="HW191" i="52"/>
  <c r="HV191" i="52"/>
  <c r="HU191" i="52"/>
  <c r="HT191" i="52"/>
  <c r="HP191" i="52"/>
  <c r="HO191" i="52"/>
  <c r="HN191" i="52"/>
  <c r="HM191" i="52"/>
  <c r="HL191" i="52"/>
  <c r="HK191" i="52"/>
  <c r="HJ191" i="52"/>
  <c r="HI191" i="52"/>
  <c r="HH191" i="52"/>
  <c r="HG191" i="52"/>
  <c r="HF191" i="52"/>
  <c r="HE191" i="52"/>
  <c r="HD191" i="52"/>
  <c r="HC191" i="52"/>
  <c r="HB191" i="52"/>
  <c r="HA191" i="52"/>
  <c r="GZ191" i="52"/>
  <c r="GY191" i="52"/>
  <c r="GX191" i="52"/>
  <c r="GW191" i="52"/>
  <c r="GV191" i="52"/>
  <c r="GU191" i="52"/>
  <c r="GT191" i="52"/>
  <c r="GS191" i="52"/>
  <c r="FO191" i="52"/>
  <c r="FN191" i="52"/>
  <c r="FL191" i="52"/>
  <c r="EO191" i="52"/>
  <c r="EL191" i="52"/>
  <c r="CO191" i="52"/>
  <c r="AB191" i="52"/>
  <c r="AA191" i="52"/>
  <c r="Z191" i="52"/>
  <c r="Y191" i="52"/>
  <c r="W191" i="52"/>
  <c r="IQ190" i="52"/>
  <c r="IP190" i="52"/>
  <c r="IO190" i="52"/>
  <c r="IN190" i="52"/>
  <c r="IM190" i="52"/>
  <c r="IL190" i="52"/>
  <c r="IK190" i="52"/>
  <c r="IJ190" i="52"/>
  <c r="II190" i="52"/>
  <c r="IH190" i="52"/>
  <c r="IG190" i="52"/>
  <c r="IF190" i="52"/>
  <c r="IE190" i="52"/>
  <c r="ID190" i="52"/>
  <c r="IC190" i="52"/>
  <c r="IB190" i="52"/>
  <c r="IA190" i="52"/>
  <c r="HZ190" i="52"/>
  <c r="HY190" i="52"/>
  <c r="HX190" i="52"/>
  <c r="HW190" i="52"/>
  <c r="HV190" i="52"/>
  <c r="HU190" i="52"/>
  <c r="HT190" i="52"/>
  <c r="HP190" i="52"/>
  <c r="HO190" i="52"/>
  <c r="HN190" i="52"/>
  <c r="HM190" i="52"/>
  <c r="HL190" i="52"/>
  <c r="HK190" i="52"/>
  <c r="HJ190" i="52"/>
  <c r="HI190" i="52"/>
  <c r="HH190" i="52"/>
  <c r="HG190" i="52"/>
  <c r="HF190" i="52"/>
  <c r="HE190" i="52"/>
  <c r="HD190" i="52"/>
  <c r="HC190" i="52"/>
  <c r="HB190" i="52"/>
  <c r="HA190" i="52"/>
  <c r="GZ190" i="52"/>
  <c r="GY190" i="52"/>
  <c r="GX190" i="52"/>
  <c r="GW190" i="52"/>
  <c r="GV190" i="52"/>
  <c r="GU190" i="52"/>
  <c r="GT190" i="52"/>
  <c r="GS190" i="52"/>
  <c r="FO190" i="52"/>
  <c r="FN190" i="52"/>
  <c r="FL190" i="52"/>
  <c r="EO190" i="52"/>
  <c r="EL190" i="52"/>
  <c r="CO190" i="52"/>
  <c r="AB190" i="52"/>
  <c r="AA190" i="52"/>
  <c r="Z190" i="52"/>
  <c r="Y190" i="52"/>
  <c r="W190" i="52"/>
  <c r="IQ189" i="52"/>
  <c r="IP189" i="52"/>
  <c r="IO189" i="52"/>
  <c r="IN189" i="52"/>
  <c r="IM189" i="52"/>
  <c r="IL189" i="52"/>
  <c r="IK189" i="52"/>
  <c r="IJ189" i="52"/>
  <c r="II189" i="52"/>
  <c r="IH189" i="52"/>
  <c r="IG189" i="52"/>
  <c r="IF189" i="52"/>
  <c r="IE189" i="52"/>
  <c r="ID189" i="52"/>
  <c r="IC189" i="52"/>
  <c r="IB189" i="52"/>
  <c r="IA189" i="52"/>
  <c r="HZ189" i="52"/>
  <c r="HY189" i="52"/>
  <c r="HX189" i="52"/>
  <c r="HW189" i="52"/>
  <c r="HV189" i="52"/>
  <c r="HU189" i="52"/>
  <c r="HT189" i="52"/>
  <c r="HP189" i="52"/>
  <c r="HO189" i="52"/>
  <c r="HN189" i="52"/>
  <c r="HM189" i="52"/>
  <c r="HL189" i="52"/>
  <c r="HK189" i="52"/>
  <c r="HJ189" i="52"/>
  <c r="HI189" i="52"/>
  <c r="HH189" i="52"/>
  <c r="HG189" i="52"/>
  <c r="HF189" i="52"/>
  <c r="HE189" i="52"/>
  <c r="HD189" i="52"/>
  <c r="HC189" i="52"/>
  <c r="HB189" i="52"/>
  <c r="HA189" i="52"/>
  <c r="GZ189" i="52"/>
  <c r="GY189" i="52"/>
  <c r="GX189" i="52"/>
  <c r="GW189" i="52"/>
  <c r="GV189" i="52"/>
  <c r="GU189" i="52"/>
  <c r="GT189" i="52"/>
  <c r="GS189" i="52"/>
  <c r="FO189" i="52"/>
  <c r="FL189" i="52"/>
  <c r="EL189" i="52"/>
  <c r="AB189" i="52"/>
  <c r="AA189" i="52"/>
  <c r="Z189" i="52"/>
  <c r="Y189" i="52"/>
  <c r="W189" i="52"/>
  <c r="R189" i="52"/>
  <c r="P189" i="52"/>
  <c r="S189" i="52" s="1"/>
  <c r="O189" i="52"/>
  <c r="U189" i="52" s="1"/>
  <c r="N189" i="52"/>
  <c r="M189" i="52"/>
  <c r="IQ188" i="52"/>
  <c r="IP188" i="52"/>
  <c r="IO188" i="52"/>
  <c r="IN188" i="52"/>
  <c r="IM188" i="52"/>
  <c r="IL188" i="52"/>
  <c r="IK188" i="52"/>
  <c r="IJ188" i="52"/>
  <c r="II188" i="52"/>
  <c r="IH188" i="52"/>
  <c r="IG188" i="52"/>
  <c r="IF188" i="52"/>
  <c r="IE188" i="52"/>
  <c r="ID188" i="52"/>
  <c r="IC188" i="52"/>
  <c r="IB188" i="52"/>
  <c r="IA188" i="52"/>
  <c r="HZ188" i="52"/>
  <c r="HY188" i="52"/>
  <c r="HX188" i="52"/>
  <c r="HW188" i="52"/>
  <c r="HV188" i="52"/>
  <c r="HU188" i="52"/>
  <c r="HT188" i="52"/>
  <c r="HP188" i="52"/>
  <c r="HO188" i="52"/>
  <c r="HN188" i="52"/>
  <c r="HM188" i="52"/>
  <c r="HL188" i="52"/>
  <c r="HK188" i="52"/>
  <c r="HJ188" i="52"/>
  <c r="HI188" i="52"/>
  <c r="HH188" i="52"/>
  <c r="HG188" i="52"/>
  <c r="HF188" i="52"/>
  <c r="HE188" i="52"/>
  <c r="HD188" i="52"/>
  <c r="HC188" i="52"/>
  <c r="HB188" i="52"/>
  <c r="HA188" i="52"/>
  <c r="GZ188" i="52"/>
  <c r="GY188" i="52"/>
  <c r="GX188" i="52"/>
  <c r="GW188" i="52"/>
  <c r="GV188" i="52"/>
  <c r="GU188" i="52"/>
  <c r="GT188" i="52"/>
  <c r="GS188" i="52"/>
  <c r="GI188" i="52"/>
  <c r="GH188" i="52"/>
  <c r="GG188" i="52"/>
  <c r="GF188" i="52"/>
  <c r="GE188" i="52"/>
  <c r="GD188" i="52"/>
  <c r="GC188" i="52"/>
  <c r="GB188" i="52"/>
  <c r="GA188" i="52"/>
  <c r="FZ188" i="52"/>
  <c r="FY188" i="52"/>
  <c r="FX188" i="52"/>
  <c r="FW188" i="52"/>
  <c r="FV188" i="52"/>
  <c r="FU188" i="52"/>
  <c r="FT188" i="52"/>
  <c r="FS188" i="52"/>
  <c r="FR188" i="52"/>
  <c r="FQ188" i="52"/>
  <c r="FP188" i="52"/>
  <c r="FO188" i="52"/>
  <c r="FN188" i="52"/>
  <c r="FM188" i="52"/>
  <c r="FL188" i="52"/>
  <c r="FI188" i="52"/>
  <c r="FH188" i="52"/>
  <c r="FG188" i="52"/>
  <c r="FF188" i="52"/>
  <c r="FE188" i="52"/>
  <c r="FD188" i="52"/>
  <c r="FC188" i="52"/>
  <c r="FB188" i="52"/>
  <c r="FA188" i="52"/>
  <c r="EZ188" i="52"/>
  <c r="EY188" i="52"/>
  <c r="EX188" i="52"/>
  <c r="EW188" i="52"/>
  <c r="EV188" i="52"/>
  <c r="EU188" i="52"/>
  <c r="ET188" i="52"/>
  <c r="ES188" i="52"/>
  <c r="ER188" i="52"/>
  <c r="EQ188" i="52"/>
  <c r="EP188" i="52"/>
  <c r="EO188" i="52"/>
  <c r="EN188" i="52"/>
  <c r="EM188" i="52"/>
  <c r="EL188" i="52"/>
  <c r="AB188" i="52"/>
  <c r="AA188" i="52"/>
  <c r="Z188" i="52"/>
  <c r="Y188" i="52"/>
  <c r="W188" i="52"/>
  <c r="R188" i="52"/>
  <c r="O188" i="52"/>
  <c r="EG187" i="52"/>
  <c r="EF187" i="52"/>
  <c r="EE187" i="52"/>
  <c r="ED187" i="52"/>
  <c r="EC187" i="52"/>
  <c r="EB187" i="52"/>
  <c r="EA187" i="52"/>
  <c r="DZ187" i="52"/>
  <c r="DY187" i="52"/>
  <c r="DX187" i="52"/>
  <c r="DW187" i="52"/>
  <c r="DV187" i="52"/>
  <c r="DU187" i="52"/>
  <c r="DP187" i="52"/>
  <c r="DO187" i="52"/>
  <c r="DN187" i="52"/>
  <c r="DM187" i="52"/>
  <c r="DL187" i="52"/>
  <c r="DK187" i="52"/>
  <c r="DJ187" i="52"/>
  <c r="DI187" i="52"/>
  <c r="DH187" i="52"/>
  <c r="DG187" i="52"/>
  <c r="DF187" i="52"/>
  <c r="DE187" i="52"/>
  <c r="DA187" i="52"/>
  <c r="CZ187" i="52"/>
  <c r="CY187" i="52"/>
  <c r="CX187" i="52"/>
  <c r="CW187" i="52"/>
  <c r="CV187" i="52"/>
  <c r="CU187" i="52"/>
  <c r="CT187" i="52"/>
  <c r="CS187" i="52"/>
  <c r="CR187" i="52"/>
  <c r="CQ187" i="52"/>
  <c r="CP187" i="52"/>
  <c r="CO187" i="52"/>
  <c r="CJ187" i="52"/>
  <c r="CI187" i="52"/>
  <c r="CH187" i="52"/>
  <c r="CG187" i="52"/>
  <c r="CF187" i="52"/>
  <c r="CE187" i="52"/>
  <c r="CD187" i="52"/>
  <c r="CC187" i="52"/>
  <c r="CB187" i="52"/>
  <c r="CA187" i="52"/>
  <c r="BZ187" i="52"/>
  <c r="BY187" i="52"/>
  <c r="BX187" i="52"/>
  <c r="BU187" i="52"/>
  <c r="BT187" i="52"/>
  <c r="BS187" i="52"/>
  <c r="BR187" i="52"/>
  <c r="BQ187" i="52"/>
  <c r="BP187" i="52"/>
  <c r="BO187" i="52"/>
  <c r="BN187" i="52"/>
  <c r="BM187" i="52"/>
  <c r="BL187" i="52"/>
  <c r="BK187" i="52"/>
  <c r="BJ187" i="52"/>
  <c r="BI187" i="52"/>
  <c r="AB187" i="52"/>
  <c r="AA187" i="52"/>
  <c r="Z187" i="52"/>
  <c r="Y187" i="52"/>
  <c r="W187" i="52"/>
  <c r="DD186" i="52"/>
  <c r="AB186" i="52"/>
  <c r="AA186" i="52"/>
  <c r="Z186" i="52"/>
  <c r="Y186" i="52"/>
  <c r="W186" i="52"/>
  <c r="R186" i="52"/>
  <c r="P186" i="52"/>
  <c r="S186" i="52" s="1"/>
  <c r="O186" i="52"/>
  <c r="U186" i="52" s="1"/>
  <c r="N186" i="52"/>
  <c r="M186" i="52"/>
  <c r="DD185" i="52"/>
  <c r="AB185" i="52"/>
  <c r="AA185" i="52"/>
  <c r="Z185" i="52"/>
  <c r="Y185" i="52"/>
  <c r="W185" i="52"/>
  <c r="R185" i="52"/>
  <c r="P185" i="52"/>
  <c r="S185" i="52" s="1"/>
  <c r="N185" i="52"/>
  <c r="M185" i="52"/>
  <c r="AB184" i="52"/>
  <c r="AA184" i="52"/>
  <c r="Z184" i="52"/>
  <c r="Y184" i="52"/>
  <c r="W184" i="52"/>
  <c r="R184" i="52"/>
  <c r="P184" i="52"/>
  <c r="S184" i="52" s="1"/>
  <c r="O184" i="52"/>
  <c r="U184" i="52" s="1"/>
  <c r="N184" i="52"/>
  <c r="M184" i="52"/>
  <c r="AB183" i="52"/>
  <c r="AA183" i="52"/>
  <c r="Z183" i="52"/>
  <c r="Y183" i="52"/>
  <c r="W183" i="52"/>
  <c r="R183" i="52"/>
  <c r="P183" i="52"/>
  <c r="O183" i="52"/>
  <c r="U183" i="52" s="1"/>
  <c r="N183" i="52"/>
  <c r="M183" i="52"/>
  <c r="DP182" i="52"/>
  <c r="DO182" i="52"/>
  <c r="DM182" i="52"/>
  <c r="DL182" i="52"/>
  <c r="DK182" i="52"/>
  <c r="DI182" i="52"/>
  <c r="DH182" i="52"/>
  <c r="DF182" i="52"/>
  <c r="DE182" i="52"/>
  <c r="DA182" i="52"/>
  <c r="CY182" i="52"/>
  <c r="CX182" i="52"/>
  <c r="CW182" i="52"/>
  <c r="CV182" i="52"/>
  <c r="CU182" i="52"/>
  <c r="CS182" i="52"/>
  <c r="CR182" i="52"/>
  <c r="CQ182" i="52"/>
  <c r="CP182" i="52"/>
  <c r="CO182" i="52"/>
  <c r="CJ182" i="52"/>
  <c r="CG182" i="52"/>
  <c r="CF182" i="52"/>
  <c r="CD182" i="52"/>
  <c r="CB182" i="52"/>
  <c r="CA182" i="52"/>
  <c r="BZ182" i="52"/>
  <c r="BY182" i="52"/>
  <c r="BS182" i="52"/>
  <c r="BR182" i="52"/>
  <c r="BN182" i="52"/>
  <c r="BM182" i="52"/>
  <c r="BL182" i="52"/>
  <c r="BK182" i="52"/>
  <c r="BJ182" i="52"/>
  <c r="BI182" i="52"/>
  <c r="AB182" i="52"/>
  <c r="AA182" i="52"/>
  <c r="Z182" i="52"/>
  <c r="Y182" i="52"/>
  <c r="W182" i="52"/>
  <c r="R182" i="52"/>
  <c r="P182" i="52"/>
  <c r="S182" i="52" s="1"/>
  <c r="N182" i="52"/>
  <c r="M182" i="52"/>
  <c r="DP181" i="52"/>
  <c r="DO181" i="52"/>
  <c r="DM181" i="52"/>
  <c r="DL181" i="52"/>
  <c r="DK181" i="52"/>
  <c r="DI181" i="52"/>
  <c r="DH181" i="52"/>
  <c r="DF181" i="52"/>
  <c r="DE181" i="52"/>
  <c r="DA181" i="52"/>
  <c r="CY181" i="52"/>
  <c r="CX181" i="52"/>
  <c r="CW181" i="52"/>
  <c r="CV181" i="52"/>
  <c r="CU181" i="52"/>
  <c r="CS181" i="52"/>
  <c r="CR181" i="52"/>
  <c r="CQ181" i="52"/>
  <c r="CP181" i="52"/>
  <c r="CO181" i="52"/>
  <c r="CJ181" i="52"/>
  <c r="CG181" i="52"/>
  <c r="CF181" i="52"/>
  <c r="CD181" i="52"/>
  <c r="CB181" i="52"/>
  <c r="CA181" i="52"/>
  <c r="BZ181" i="52"/>
  <c r="BY181" i="52"/>
  <c r="BS181" i="52"/>
  <c r="BR181" i="52"/>
  <c r="BN181" i="52"/>
  <c r="BM181" i="52"/>
  <c r="BL181" i="52"/>
  <c r="BK181" i="52"/>
  <c r="BJ181" i="52"/>
  <c r="BI181" i="52"/>
  <c r="AB181" i="52"/>
  <c r="AA181" i="52"/>
  <c r="R181" i="52"/>
  <c r="P181" i="52"/>
  <c r="S181" i="52" s="1"/>
  <c r="N181" i="52"/>
  <c r="M181" i="52"/>
  <c r="DP180" i="52"/>
  <c r="DO180" i="52"/>
  <c r="DM180" i="52"/>
  <c r="DL180" i="52"/>
  <c r="DK180" i="52"/>
  <c r="DI180" i="52"/>
  <c r="DH180" i="52"/>
  <c r="DF180" i="52"/>
  <c r="DE180" i="52"/>
  <c r="DA180" i="52"/>
  <c r="CY180" i="52"/>
  <c r="CX180" i="52"/>
  <c r="CW180" i="52"/>
  <c r="CV180" i="52"/>
  <c r="CU180" i="52"/>
  <c r="CS180" i="52"/>
  <c r="CR180" i="52"/>
  <c r="CQ180" i="52"/>
  <c r="CP180" i="52"/>
  <c r="CO180" i="52"/>
  <c r="CJ180" i="52"/>
  <c r="CG180" i="52"/>
  <c r="CF180" i="52"/>
  <c r="CD180" i="52"/>
  <c r="CB180" i="52"/>
  <c r="CA180" i="52"/>
  <c r="BZ180" i="52"/>
  <c r="BY180" i="52"/>
  <c r="BS180" i="52"/>
  <c r="BR180" i="52"/>
  <c r="BN180" i="52"/>
  <c r="BM180" i="52"/>
  <c r="BL180" i="52"/>
  <c r="BK180" i="52"/>
  <c r="BJ180" i="52"/>
  <c r="BI180" i="52"/>
  <c r="AB180" i="52"/>
  <c r="AH177" i="52" s="1"/>
  <c r="AA180" i="52"/>
  <c r="R180" i="52"/>
  <c r="P180" i="52"/>
  <c r="S180" i="52" s="1"/>
  <c r="N180" i="52"/>
  <c r="M180" i="52"/>
  <c r="GG179" i="52"/>
  <c r="FR179" i="52"/>
  <c r="FC179" i="52"/>
  <c r="EO179" i="52"/>
  <c r="EN179" i="52"/>
  <c r="DP179" i="52"/>
  <c r="DO179" i="52"/>
  <c r="DM179" i="52"/>
  <c r="DL179" i="52"/>
  <c r="DK179" i="52"/>
  <c r="DI179" i="52"/>
  <c r="DH179" i="52"/>
  <c r="DF179" i="52"/>
  <c r="DE179" i="52"/>
  <c r="DA179" i="52"/>
  <c r="CY179" i="52"/>
  <c r="CX179" i="52"/>
  <c r="CW179" i="52"/>
  <c r="CV179" i="52"/>
  <c r="CU179" i="52"/>
  <c r="CS179" i="52"/>
  <c r="CR179" i="52"/>
  <c r="CQ179" i="52"/>
  <c r="CP179" i="52"/>
  <c r="CO179" i="52"/>
  <c r="CJ179" i="52"/>
  <c r="CG179" i="52"/>
  <c r="CF179" i="52"/>
  <c r="CD179" i="52"/>
  <c r="CB179" i="52"/>
  <c r="CA179" i="52"/>
  <c r="BZ179" i="52"/>
  <c r="BY179" i="52"/>
  <c r="BS179" i="52"/>
  <c r="BR179" i="52"/>
  <c r="BN179" i="52"/>
  <c r="BM179" i="52"/>
  <c r="BL179" i="52"/>
  <c r="BK179" i="52"/>
  <c r="BJ179" i="52"/>
  <c r="BI179" i="52"/>
  <c r="R179" i="52"/>
  <c r="P179" i="52"/>
  <c r="S179" i="52" s="1"/>
  <c r="N179" i="52"/>
  <c r="M179" i="52"/>
  <c r="GG178" i="52"/>
  <c r="FR178" i="52"/>
  <c r="FC178" i="52"/>
  <c r="EO178" i="52"/>
  <c r="EN178" i="52"/>
  <c r="R178" i="52"/>
  <c r="L178" i="52"/>
  <c r="M178" i="52" s="1"/>
  <c r="GG177" i="52"/>
  <c r="FR177" i="52"/>
  <c r="FC177" i="52"/>
  <c r="EO177" i="52"/>
  <c r="EN177" i="52"/>
  <c r="R177" i="52"/>
  <c r="O177" i="52"/>
  <c r="L177" i="52"/>
  <c r="N177" i="52" s="1"/>
  <c r="EG176" i="52"/>
  <c r="EF176" i="52"/>
  <c r="EE176" i="52"/>
  <c r="ED176" i="52"/>
  <c r="EC176" i="52"/>
  <c r="EB176" i="52"/>
  <c r="EA176" i="52"/>
  <c r="DZ176" i="52"/>
  <c r="DY176" i="52"/>
  <c r="DX176" i="52"/>
  <c r="DW176" i="52"/>
  <c r="DV176" i="52"/>
  <c r="DO176" i="52"/>
  <c r="DN176" i="52"/>
  <c r="DM176" i="52"/>
  <c r="DL176" i="52"/>
  <c r="DK176" i="52"/>
  <c r="DI176" i="52"/>
  <c r="DH176" i="52"/>
  <c r="DF176" i="52"/>
  <c r="DE176" i="52"/>
  <c r="CY176" i="52"/>
  <c r="CX176" i="52"/>
  <c r="CV176" i="52"/>
  <c r="CU176" i="52"/>
  <c r="CS176" i="52"/>
  <c r="CR176" i="52"/>
  <c r="CQ176" i="52"/>
  <c r="CP176" i="52"/>
  <c r="CO176" i="52"/>
  <c r="CI176" i="52"/>
  <c r="CH176" i="52"/>
  <c r="CG176" i="52"/>
  <c r="CD176" i="52"/>
  <c r="CA176" i="52"/>
  <c r="BZ176" i="52"/>
  <c r="BY176" i="52"/>
  <c r="BU176" i="52"/>
  <c r="BT176" i="52"/>
  <c r="BS176" i="52"/>
  <c r="BR176" i="52"/>
  <c r="BN176" i="52"/>
  <c r="BL176" i="52"/>
  <c r="BK176" i="52"/>
  <c r="BJ176" i="52"/>
  <c r="BI176" i="52"/>
  <c r="R176" i="52"/>
  <c r="O176" i="52"/>
  <c r="L176" i="52"/>
  <c r="N176" i="52" s="1"/>
  <c r="EG175" i="52"/>
  <c r="EF175" i="52"/>
  <c r="EE175" i="52"/>
  <c r="ED175" i="52"/>
  <c r="EC175" i="52"/>
  <c r="EB175" i="52"/>
  <c r="EA175" i="52"/>
  <c r="DZ175" i="52"/>
  <c r="DY175" i="52"/>
  <c r="DX175" i="52"/>
  <c r="DW175" i="52"/>
  <c r="DV175" i="52"/>
  <c r="DO175" i="52"/>
  <c r="DN175" i="52"/>
  <c r="DM175" i="52"/>
  <c r="DL175" i="52"/>
  <c r="DK175" i="52"/>
  <c r="DI175" i="52"/>
  <c r="DH175" i="52"/>
  <c r="DF175" i="52"/>
  <c r="DE175" i="52"/>
  <c r="CY175" i="52"/>
  <c r="CX175" i="52"/>
  <c r="CV175" i="52"/>
  <c r="CU175" i="52"/>
  <c r="CS175" i="52"/>
  <c r="CR175" i="52"/>
  <c r="CQ175" i="52"/>
  <c r="CP175" i="52"/>
  <c r="CO175" i="52"/>
  <c r="CI175" i="52"/>
  <c r="CH175" i="52"/>
  <c r="CG175" i="52"/>
  <c r="CD175" i="52"/>
  <c r="CA175" i="52"/>
  <c r="BZ175" i="52"/>
  <c r="BY175" i="52"/>
  <c r="BU175" i="52"/>
  <c r="BT175" i="52"/>
  <c r="BS175" i="52"/>
  <c r="BR175" i="52"/>
  <c r="BN175" i="52"/>
  <c r="BL175" i="52"/>
  <c r="BK175" i="52"/>
  <c r="BJ175" i="52"/>
  <c r="BI175" i="52"/>
  <c r="AI175" i="52"/>
  <c r="AL175" i="52" s="1"/>
  <c r="R175" i="52"/>
  <c r="P175" i="52"/>
  <c r="S175" i="52" s="1"/>
  <c r="N175" i="52"/>
  <c r="M175" i="52"/>
  <c r="GV174" i="52"/>
  <c r="GG174" i="52"/>
  <c r="FR174" i="52"/>
  <c r="FC174" i="52"/>
  <c r="EO174" i="52"/>
  <c r="EN174" i="52"/>
  <c r="EG174" i="52"/>
  <c r="EF174" i="52"/>
  <c r="EE174" i="52"/>
  <c r="ED174" i="52"/>
  <c r="EC174" i="52"/>
  <c r="EB174" i="52"/>
  <c r="EA174" i="52"/>
  <c r="DZ174" i="52"/>
  <c r="DY174" i="52"/>
  <c r="DX174" i="52"/>
  <c r="DW174" i="52"/>
  <c r="DV174" i="52"/>
  <c r="DO174" i="52"/>
  <c r="DN174" i="52"/>
  <c r="DM174" i="52"/>
  <c r="DL174" i="52"/>
  <c r="DK174" i="52"/>
  <c r="DI174" i="52"/>
  <c r="DH174" i="52"/>
  <c r="DF174" i="52"/>
  <c r="DE174" i="52"/>
  <c r="CY174" i="52"/>
  <c r="CX174" i="52"/>
  <c r="CV174" i="52"/>
  <c r="CU174" i="52"/>
  <c r="CS174" i="52"/>
  <c r="CR174" i="52"/>
  <c r="CQ174" i="52"/>
  <c r="CP174" i="52"/>
  <c r="CO174" i="52"/>
  <c r="CI174" i="52"/>
  <c r="CH174" i="52"/>
  <c r="CG174" i="52"/>
  <c r="CD174" i="52"/>
  <c r="CA174" i="52"/>
  <c r="BZ174" i="52"/>
  <c r="BY174" i="52"/>
  <c r="BU174" i="52"/>
  <c r="BT174" i="52"/>
  <c r="BS174" i="52"/>
  <c r="BR174" i="52"/>
  <c r="BN174" i="52"/>
  <c r="BL174" i="52"/>
  <c r="BK174" i="52"/>
  <c r="BJ174" i="52"/>
  <c r="BI174" i="52"/>
  <c r="AM174" i="52"/>
  <c r="AL174" i="52"/>
  <c r="AJ174" i="52"/>
  <c r="R174" i="52"/>
  <c r="P174" i="52"/>
  <c r="S174" i="52" s="1"/>
  <c r="N174" i="52"/>
  <c r="M174" i="52"/>
  <c r="J174" i="52"/>
  <c r="D174" i="52"/>
  <c r="GV173" i="52"/>
  <c r="GG173" i="52"/>
  <c r="FR173" i="52"/>
  <c r="FC173" i="52"/>
  <c r="EO173" i="52"/>
  <c r="EN173" i="52"/>
  <c r="EG173" i="52"/>
  <c r="EF173" i="52"/>
  <c r="EE173" i="52"/>
  <c r="ED173" i="52"/>
  <c r="EC173" i="52"/>
  <c r="EB173" i="52"/>
  <c r="EA173" i="52"/>
  <c r="DZ173" i="52"/>
  <c r="DY173" i="52"/>
  <c r="DX173" i="52"/>
  <c r="DW173" i="52"/>
  <c r="DV173" i="52"/>
  <c r="DO173" i="52"/>
  <c r="DN173" i="52"/>
  <c r="DM173" i="52"/>
  <c r="DL173" i="52"/>
  <c r="DK173" i="52"/>
  <c r="DI173" i="52"/>
  <c r="DH173" i="52"/>
  <c r="DF173" i="52"/>
  <c r="DE173" i="52"/>
  <c r="CY173" i="52"/>
  <c r="CX173" i="52"/>
  <c r="CV173" i="52"/>
  <c r="CU173" i="52"/>
  <c r="CS173" i="52"/>
  <c r="CR173" i="52"/>
  <c r="CQ173" i="52"/>
  <c r="CP173" i="52"/>
  <c r="CO173" i="52"/>
  <c r="CI173" i="52"/>
  <c r="CH173" i="52"/>
  <c r="CG173" i="52"/>
  <c r="CD173" i="52"/>
  <c r="CA173" i="52"/>
  <c r="BZ173" i="52"/>
  <c r="BY173" i="52"/>
  <c r="BU173" i="52"/>
  <c r="BT173" i="52"/>
  <c r="BS173" i="52"/>
  <c r="BR173" i="52"/>
  <c r="BN173" i="52"/>
  <c r="BL173" i="52"/>
  <c r="BK173" i="52"/>
  <c r="BJ173" i="52"/>
  <c r="BI173" i="52"/>
  <c r="AM173" i="52"/>
  <c r="AL173" i="52"/>
  <c r="AJ173" i="52"/>
  <c r="R173" i="52"/>
  <c r="P173" i="52"/>
  <c r="S173" i="52" s="1"/>
  <c r="N173" i="52"/>
  <c r="M173" i="52"/>
  <c r="E173" i="52"/>
  <c r="AB164" i="52" s="1"/>
  <c r="GV172" i="52"/>
  <c r="GG172" i="52"/>
  <c r="FR172" i="52"/>
  <c r="FC172" i="52"/>
  <c r="EO172" i="52"/>
  <c r="EN172" i="52"/>
  <c r="AM172" i="52"/>
  <c r="AL172" i="52"/>
  <c r="AJ172" i="52"/>
  <c r="R172" i="52"/>
  <c r="P172" i="52"/>
  <c r="S172" i="52" s="1"/>
  <c r="N172" i="52"/>
  <c r="M172" i="52"/>
  <c r="AH171" i="52"/>
  <c r="R171" i="52"/>
  <c r="P171" i="52"/>
  <c r="S171" i="52" s="1"/>
  <c r="O171" i="52"/>
  <c r="U171" i="52" s="1"/>
  <c r="N171" i="52"/>
  <c r="M171" i="52"/>
  <c r="EG170" i="52"/>
  <c r="EF170" i="52"/>
  <c r="EE170" i="52"/>
  <c r="ED170" i="52"/>
  <c r="EC170" i="52"/>
  <c r="EB170" i="52"/>
  <c r="EA170" i="52"/>
  <c r="DZ170" i="52"/>
  <c r="DY170" i="52"/>
  <c r="DX170" i="52"/>
  <c r="DW170" i="52"/>
  <c r="DV170" i="52"/>
  <c r="DO170" i="52"/>
  <c r="DN170" i="52"/>
  <c r="DL170" i="52"/>
  <c r="DK170" i="52"/>
  <c r="DH170" i="52"/>
  <c r="DG170" i="52"/>
  <c r="DF170" i="52"/>
  <c r="DE170" i="52"/>
  <c r="DD170" i="52"/>
  <c r="CY170" i="52"/>
  <c r="CX170" i="52"/>
  <c r="CW170" i="52"/>
  <c r="CS170" i="52"/>
  <c r="CR170" i="52"/>
  <c r="CQ170" i="52"/>
  <c r="CP170" i="52"/>
  <c r="CI170" i="52"/>
  <c r="CF170" i="52"/>
  <c r="CC170" i="52"/>
  <c r="CA170" i="52"/>
  <c r="BZ170" i="52"/>
  <c r="BY170" i="52"/>
  <c r="BU170" i="52"/>
  <c r="BS170" i="52"/>
  <c r="BR170" i="52"/>
  <c r="BN170" i="52"/>
  <c r="BL170" i="52"/>
  <c r="BK170" i="52"/>
  <c r="BJ170" i="52"/>
  <c r="BI170" i="52"/>
  <c r="R170" i="52"/>
  <c r="P170" i="52"/>
  <c r="S170" i="52" s="1"/>
  <c r="N170" i="52"/>
  <c r="M170" i="52"/>
  <c r="GV169" i="52"/>
  <c r="GG169" i="52"/>
  <c r="FR169" i="52"/>
  <c r="FD169" i="52"/>
  <c r="FC169" i="52"/>
  <c r="EO169" i="52"/>
  <c r="EG169" i="52"/>
  <c r="EF169" i="52"/>
  <c r="EE169" i="52"/>
  <c r="ED169" i="52"/>
  <c r="EC169" i="52"/>
  <c r="EB169" i="52"/>
  <c r="EA169" i="52"/>
  <c r="DZ169" i="52"/>
  <c r="DY169" i="52"/>
  <c r="DX169" i="52"/>
  <c r="DW169" i="52"/>
  <c r="DV169" i="52"/>
  <c r="DO169" i="52"/>
  <c r="DN169" i="52"/>
  <c r="DL169" i="52"/>
  <c r="DK169" i="52"/>
  <c r="DH169" i="52"/>
  <c r="DG169" i="52"/>
  <c r="DF169" i="52"/>
  <c r="DE169" i="52"/>
  <c r="DD169" i="52"/>
  <c r="CY169" i="52"/>
  <c r="CX169" i="52"/>
  <c r="CW169" i="52"/>
  <c r="CS169" i="52"/>
  <c r="CR169" i="52"/>
  <c r="CQ169" i="52"/>
  <c r="CP169" i="52"/>
  <c r="CI169" i="52"/>
  <c r="CF169" i="52"/>
  <c r="CC169" i="52"/>
  <c r="CA169" i="52"/>
  <c r="BZ169" i="52"/>
  <c r="BY169" i="52"/>
  <c r="BU169" i="52"/>
  <c r="BS169" i="52"/>
  <c r="BR169" i="52"/>
  <c r="BN169" i="52"/>
  <c r="BL169" i="52"/>
  <c r="BK169" i="52"/>
  <c r="BJ169" i="52"/>
  <c r="BI169" i="52"/>
  <c r="Z169" i="52"/>
  <c r="Y169" i="52"/>
  <c r="X169" i="52"/>
  <c r="W169" i="52"/>
  <c r="R169" i="52"/>
  <c r="GV168" i="52"/>
  <c r="GG168" i="52"/>
  <c r="FR168" i="52"/>
  <c r="FD168" i="52"/>
  <c r="FC168" i="52"/>
  <c r="EO168" i="52"/>
  <c r="EG168" i="52"/>
  <c r="EF168" i="52"/>
  <c r="EE168" i="52"/>
  <c r="ED168" i="52"/>
  <c r="EC168" i="52"/>
  <c r="EB168" i="52"/>
  <c r="EA168" i="52"/>
  <c r="DZ168" i="52"/>
  <c r="DY168" i="52"/>
  <c r="DX168" i="52"/>
  <c r="DW168" i="52"/>
  <c r="DV168" i="52"/>
  <c r="DO168" i="52"/>
  <c r="DN168" i="52"/>
  <c r="DL168" i="52"/>
  <c r="DK168" i="52"/>
  <c r="DH168" i="52"/>
  <c r="DG168" i="52"/>
  <c r="DF168" i="52"/>
  <c r="DE168" i="52"/>
  <c r="DD168" i="52"/>
  <c r="CY168" i="52"/>
  <c r="CX168" i="52"/>
  <c r="CW168" i="52"/>
  <c r="CS168" i="52"/>
  <c r="CR168" i="52"/>
  <c r="CQ168" i="52"/>
  <c r="CP168" i="52"/>
  <c r="CI168" i="52"/>
  <c r="CF168" i="52"/>
  <c r="CC168" i="52"/>
  <c r="CA168" i="52"/>
  <c r="BZ168" i="52"/>
  <c r="BY168" i="52"/>
  <c r="BU168" i="52"/>
  <c r="BS168" i="52"/>
  <c r="BR168" i="52"/>
  <c r="BN168" i="52"/>
  <c r="BL168" i="52"/>
  <c r="BK168" i="52"/>
  <c r="BJ168" i="52"/>
  <c r="BI168" i="52"/>
  <c r="Z168" i="52"/>
  <c r="Y168" i="52"/>
  <c r="X168" i="52"/>
  <c r="W168" i="52"/>
  <c r="R168" i="52"/>
  <c r="P168" i="52"/>
  <c r="S168" i="52" s="1"/>
  <c r="N168" i="52"/>
  <c r="M168" i="52"/>
  <c r="GV167" i="52"/>
  <c r="GG167" i="52"/>
  <c r="FR167" i="52"/>
  <c r="FD167" i="52"/>
  <c r="FC167" i="52"/>
  <c r="EO167" i="52"/>
  <c r="EG167" i="52"/>
  <c r="EF167" i="52"/>
  <c r="EE167" i="52"/>
  <c r="ED167" i="52"/>
  <c r="EC167" i="52"/>
  <c r="EB167" i="52"/>
  <c r="EA167" i="52"/>
  <c r="DZ167" i="52"/>
  <c r="DY167" i="52"/>
  <c r="DX167" i="52"/>
  <c r="DW167" i="52"/>
  <c r="DV167" i="52"/>
  <c r="DO167" i="52"/>
  <c r="DN167" i="52"/>
  <c r="DL167" i="52"/>
  <c r="DK167" i="52"/>
  <c r="DH167" i="52"/>
  <c r="DG167" i="52"/>
  <c r="DF167" i="52"/>
  <c r="DE167" i="52"/>
  <c r="DD167" i="52"/>
  <c r="CY167" i="52"/>
  <c r="CX167" i="52"/>
  <c r="CW167" i="52"/>
  <c r="CS167" i="52"/>
  <c r="CR167" i="52"/>
  <c r="CQ167" i="52"/>
  <c r="CP167" i="52"/>
  <c r="CI167" i="52"/>
  <c r="CF167" i="52"/>
  <c r="CC167" i="52"/>
  <c r="CA167" i="52"/>
  <c r="BZ167" i="52"/>
  <c r="BY167" i="52"/>
  <c r="BU167" i="52"/>
  <c r="BS167" i="52"/>
  <c r="BR167" i="52"/>
  <c r="BN167" i="52"/>
  <c r="BL167" i="52"/>
  <c r="BK167" i="52"/>
  <c r="BJ167" i="52"/>
  <c r="BI167" i="52"/>
  <c r="Z167" i="52"/>
  <c r="Y167" i="52"/>
  <c r="X167" i="52"/>
  <c r="W167" i="52"/>
  <c r="R167" i="52"/>
  <c r="P167" i="52"/>
  <c r="S167" i="52" s="1"/>
  <c r="N167" i="52"/>
  <c r="M167" i="52"/>
  <c r="Z166" i="52"/>
  <c r="Y166" i="52"/>
  <c r="X166" i="52"/>
  <c r="W166" i="52"/>
  <c r="R166" i="52"/>
  <c r="L166" i="52"/>
  <c r="Z165" i="52"/>
  <c r="Y165" i="52"/>
  <c r="X165" i="52"/>
  <c r="W165" i="52"/>
  <c r="R165" i="52"/>
  <c r="L165" i="52"/>
  <c r="P165" i="52" s="1"/>
  <c r="S165" i="52" s="1"/>
  <c r="Z164" i="52"/>
  <c r="Y164" i="52"/>
  <c r="X164" i="52"/>
  <c r="W164" i="52"/>
  <c r="R164" i="52"/>
  <c r="O164" i="52"/>
  <c r="L164" i="52"/>
  <c r="N164" i="52" s="1"/>
  <c r="Z163" i="52"/>
  <c r="Y163" i="52"/>
  <c r="X163" i="52"/>
  <c r="W163" i="52"/>
  <c r="R163" i="52"/>
  <c r="L163" i="52"/>
  <c r="P163" i="52" s="1"/>
  <c r="S163" i="52" s="1"/>
  <c r="Z162" i="52"/>
  <c r="Y162" i="52"/>
  <c r="X162" i="52"/>
  <c r="W162" i="52"/>
  <c r="Z161" i="52"/>
  <c r="Y161" i="52"/>
  <c r="X161" i="52"/>
  <c r="W161" i="52"/>
  <c r="L161" i="52"/>
  <c r="Z160" i="52"/>
  <c r="Y160" i="52"/>
  <c r="X160" i="52"/>
  <c r="W160" i="52"/>
  <c r="Z159" i="52"/>
  <c r="Y159" i="52"/>
  <c r="X159" i="52"/>
  <c r="W159" i="52"/>
  <c r="R159" i="52"/>
  <c r="P159" i="52"/>
  <c r="S159" i="52" s="1"/>
  <c r="O159" i="52"/>
  <c r="U159" i="52" s="1"/>
  <c r="N159" i="52"/>
  <c r="M159" i="52"/>
  <c r="Z158" i="52"/>
  <c r="Y158" i="52"/>
  <c r="X158" i="52"/>
  <c r="W158" i="52"/>
  <c r="R158" i="52"/>
  <c r="O158" i="52"/>
  <c r="Z157" i="52"/>
  <c r="Y157" i="52"/>
  <c r="X157" i="52"/>
  <c r="W157" i="52"/>
  <c r="Z156" i="52"/>
  <c r="Y156" i="52"/>
  <c r="X156" i="52"/>
  <c r="W156" i="52"/>
  <c r="R156" i="52"/>
  <c r="P156" i="52"/>
  <c r="S156" i="52" s="1"/>
  <c r="O156" i="52"/>
  <c r="U156" i="52" s="1"/>
  <c r="N156" i="52"/>
  <c r="M156" i="52"/>
  <c r="Z155" i="52"/>
  <c r="Y155" i="52"/>
  <c r="X155" i="52"/>
  <c r="W155" i="52"/>
  <c r="R155" i="52"/>
  <c r="P155" i="52"/>
  <c r="S155" i="52" s="1"/>
  <c r="N155" i="52"/>
  <c r="M155" i="52"/>
  <c r="Z154" i="52"/>
  <c r="Y154" i="52"/>
  <c r="X154" i="52"/>
  <c r="W154" i="52"/>
  <c r="R154" i="52"/>
  <c r="P154" i="52"/>
  <c r="S154" i="52" s="1"/>
  <c r="O154" i="52"/>
  <c r="U154" i="52" s="1"/>
  <c r="N154" i="52"/>
  <c r="M154" i="52"/>
  <c r="R153" i="52"/>
  <c r="P153" i="52"/>
  <c r="S153" i="52" s="1"/>
  <c r="O153" i="52"/>
  <c r="N153" i="52"/>
  <c r="M153" i="52"/>
  <c r="R152" i="52"/>
  <c r="P152" i="52"/>
  <c r="S152" i="52" s="1"/>
  <c r="N152" i="52"/>
  <c r="M152" i="52"/>
  <c r="R151" i="52"/>
  <c r="P151" i="52"/>
  <c r="S151" i="52" s="1"/>
  <c r="N151" i="52"/>
  <c r="M151" i="52"/>
  <c r="R150" i="52"/>
  <c r="P150" i="52"/>
  <c r="S150" i="52" s="1"/>
  <c r="N150" i="52"/>
  <c r="M150" i="52"/>
  <c r="R149" i="52"/>
  <c r="P149" i="52"/>
  <c r="S149" i="52" s="1"/>
  <c r="N149" i="52"/>
  <c r="M149" i="52"/>
  <c r="GI148" i="52"/>
  <c r="GH148" i="52"/>
  <c r="GG148" i="52"/>
  <c r="GF148" i="52"/>
  <c r="GE148" i="52"/>
  <c r="GD148" i="52"/>
  <c r="GC148" i="52"/>
  <c r="GB148" i="52"/>
  <c r="GA148" i="52"/>
  <c r="FZ148" i="52"/>
  <c r="FY148" i="52"/>
  <c r="FX148" i="52"/>
  <c r="FW148" i="52"/>
  <c r="FV148" i="52"/>
  <c r="FU148" i="52"/>
  <c r="FT148" i="52"/>
  <c r="FS148" i="52"/>
  <c r="FR148" i="52"/>
  <c r="FQ148" i="52"/>
  <c r="FP148" i="52"/>
  <c r="FM148" i="52"/>
  <c r="FI148" i="52"/>
  <c r="FH148" i="52"/>
  <c r="FG148" i="52"/>
  <c r="FF148" i="52"/>
  <c r="FE148" i="52"/>
  <c r="FD148" i="52"/>
  <c r="FC148" i="52"/>
  <c r="FB148" i="52"/>
  <c r="FA148" i="52"/>
  <c r="EZ148" i="52"/>
  <c r="EY148" i="52"/>
  <c r="EX148" i="52"/>
  <c r="EW148" i="52"/>
  <c r="EV148" i="52"/>
  <c r="EU148" i="52"/>
  <c r="ET148" i="52"/>
  <c r="ES148" i="52"/>
  <c r="ER148" i="52"/>
  <c r="EQ148" i="52"/>
  <c r="EP148" i="52"/>
  <c r="EN148" i="52"/>
  <c r="EM148" i="52"/>
  <c r="R148" i="52"/>
  <c r="L148" i="52"/>
  <c r="P148" i="52" s="1"/>
  <c r="S148" i="52" s="1"/>
  <c r="GI147" i="52"/>
  <c r="GH147" i="52"/>
  <c r="GG147" i="52"/>
  <c r="GF147" i="52"/>
  <c r="GE147" i="52"/>
  <c r="GD147" i="52"/>
  <c r="GC147" i="52"/>
  <c r="GB147" i="52"/>
  <c r="GA147" i="52"/>
  <c r="FZ147" i="52"/>
  <c r="FY147" i="52"/>
  <c r="FX147" i="52"/>
  <c r="FW147" i="52"/>
  <c r="FV147" i="52"/>
  <c r="FU147" i="52"/>
  <c r="FT147" i="52"/>
  <c r="FS147" i="52"/>
  <c r="FR147" i="52"/>
  <c r="FQ147" i="52"/>
  <c r="FP147" i="52"/>
  <c r="FM147" i="52"/>
  <c r="FI147" i="52"/>
  <c r="FH147" i="52"/>
  <c r="FG147" i="52"/>
  <c r="FF147" i="52"/>
  <c r="FE147" i="52"/>
  <c r="FD147" i="52"/>
  <c r="FC147" i="52"/>
  <c r="FB147" i="52"/>
  <c r="FA147" i="52"/>
  <c r="EZ147" i="52"/>
  <c r="EY147" i="52"/>
  <c r="EX147" i="52"/>
  <c r="EW147" i="52"/>
  <c r="EV147" i="52"/>
  <c r="EU147" i="52"/>
  <c r="ET147" i="52"/>
  <c r="ES147" i="52"/>
  <c r="ER147" i="52"/>
  <c r="EQ147" i="52"/>
  <c r="EP147" i="52"/>
  <c r="EN147" i="52"/>
  <c r="EM147" i="52"/>
  <c r="R147" i="52"/>
  <c r="O147" i="52"/>
  <c r="L147" i="52"/>
  <c r="R146" i="52"/>
  <c r="O146" i="52"/>
  <c r="L146" i="52"/>
  <c r="R145" i="52"/>
  <c r="P145" i="52"/>
  <c r="S145" i="52" s="1"/>
  <c r="N145" i="52"/>
  <c r="M145" i="52"/>
  <c r="AI144" i="52"/>
  <c r="AM144" i="52" s="1"/>
  <c r="R144" i="52"/>
  <c r="P144" i="52"/>
  <c r="S144" i="52" s="1"/>
  <c r="N144" i="52"/>
  <c r="M144" i="52"/>
  <c r="AM143" i="52"/>
  <c r="AL143" i="52"/>
  <c r="AJ143" i="52"/>
  <c r="R143" i="52"/>
  <c r="P143" i="52"/>
  <c r="S143" i="52" s="1"/>
  <c r="N143" i="52"/>
  <c r="M143" i="52"/>
  <c r="AM142" i="52"/>
  <c r="AL142" i="52"/>
  <c r="AJ142" i="52"/>
  <c r="R142" i="52"/>
  <c r="P142" i="52"/>
  <c r="S142" i="52" s="1"/>
  <c r="N142" i="52"/>
  <c r="M142" i="52"/>
  <c r="GI141" i="52"/>
  <c r="GH141" i="52"/>
  <c r="GG141" i="52"/>
  <c r="GF141" i="52"/>
  <c r="GE141" i="52"/>
  <c r="GD141" i="52"/>
  <c r="GC141" i="52"/>
  <c r="GB141" i="52"/>
  <c r="GA141" i="52"/>
  <c r="FZ141" i="52"/>
  <c r="FY141" i="52"/>
  <c r="FX141" i="52"/>
  <c r="FW141" i="52"/>
  <c r="FV141" i="52"/>
  <c r="FU141" i="52"/>
  <c r="FT141" i="52"/>
  <c r="FS141" i="52"/>
  <c r="FR141" i="52"/>
  <c r="FQ141" i="52"/>
  <c r="FP141" i="52"/>
  <c r="FM141" i="52"/>
  <c r="FI141" i="52"/>
  <c r="FH141" i="52"/>
  <c r="FG141" i="52"/>
  <c r="FF141" i="52"/>
  <c r="FE141" i="52"/>
  <c r="FD141" i="52"/>
  <c r="FC141" i="52"/>
  <c r="FB141" i="52"/>
  <c r="FA141" i="52"/>
  <c r="EZ141" i="52"/>
  <c r="EY141" i="52"/>
  <c r="EX141" i="52"/>
  <c r="EW141" i="52"/>
  <c r="EV141" i="52"/>
  <c r="EU141" i="52"/>
  <c r="ET141" i="52"/>
  <c r="ES141" i="52"/>
  <c r="ER141" i="52"/>
  <c r="EQ141" i="52"/>
  <c r="EP141" i="52"/>
  <c r="EN141" i="52"/>
  <c r="EM141" i="52"/>
  <c r="AM141" i="52"/>
  <c r="AL141" i="52"/>
  <c r="AJ141" i="52"/>
  <c r="R141" i="52"/>
  <c r="P141" i="52"/>
  <c r="S141" i="52" s="1"/>
  <c r="N141" i="52"/>
  <c r="M141" i="52"/>
  <c r="J141" i="52"/>
  <c r="D141" i="52"/>
  <c r="GI140" i="52"/>
  <c r="GH140" i="52"/>
  <c r="GG140" i="52"/>
  <c r="GF140" i="52"/>
  <c r="GE140" i="52"/>
  <c r="GD140" i="52"/>
  <c r="GC140" i="52"/>
  <c r="GB140" i="52"/>
  <c r="GA140" i="52"/>
  <c r="FZ140" i="52"/>
  <c r="FY140" i="52"/>
  <c r="FX140" i="52"/>
  <c r="FW140" i="52"/>
  <c r="FV140" i="52"/>
  <c r="FU140" i="52"/>
  <c r="FT140" i="52"/>
  <c r="FS140" i="52"/>
  <c r="FR140" i="52"/>
  <c r="FQ140" i="52"/>
  <c r="FP140" i="52"/>
  <c r="FM140" i="52"/>
  <c r="FI140" i="52"/>
  <c r="FH140" i="52"/>
  <c r="FG140" i="52"/>
  <c r="FF140" i="52"/>
  <c r="FE140" i="52"/>
  <c r="FD140" i="52"/>
  <c r="FC140" i="52"/>
  <c r="FB140" i="52"/>
  <c r="FA140" i="52"/>
  <c r="EZ140" i="52"/>
  <c r="EY140" i="52"/>
  <c r="EX140" i="52"/>
  <c r="EW140" i="52"/>
  <c r="EV140" i="52"/>
  <c r="EU140" i="52"/>
  <c r="ET140" i="52"/>
  <c r="ES140" i="52"/>
  <c r="ER140" i="52"/>
  <c r="EQ140" i="52"/>
  <c r="EP140" i="52"/>
  <c r="EO140" i="52"/>
  <c r="EN140" i="52"/>
  <c r="EM140" i="52"/>
  <c r="AH140" i="52"/>
  <c r="R140" i="52"/>
  <c r="E140" i="52"/>
  <c r="AO127" i="52" s="1"/>
  <c r="AA127" i="52" s="1"/>
  <c r="Z139" i="52"/>
  <c r="Y139" i="52"/>
  <c r="X139" i="52"/>
  <c r="W139" i="52"/>
  <c r="R139" i="52"/>
  <c r="Z138" i="52"/>
  <c r="Y138" i="52"/>
  <c r="X138" i="52"/>
  <c r="W138" i="52"/>
  <c r="R138" i="52"/>
  <c r="Z137" i="52"/>
  <c r="Y137" i="52"/>
  <c r="X137" i="52"/>
  <c r="W137" i="52"/>
  <c r="R137" i="52"/>
  <c r="L137" i="52"/>
  <c r="M137" i="52" s="1"/>
  <c r="Z136" i="52"/>
  <c r="Y136" i="52"/>
  <c r="X136" i="52"/>
  <c r="W136" i="52"/>
  <c r="R136" i="52"/>
  <c r="Z135" i="52"/>
  <c r="Y135" i="52"/>
  <c r="X135" i="52"/>
  <c r="W135" i="52"/>
  <c r="R135" i="52"/>
  <c r="L135" i="52"/>
  <c r="L136" i="52" s="1"/>
  <c r="Z134" i="52"/>
  <c r="Y134" i="52"/>
  <c r="X134" i="52"/>
  <c r="W134" i="52"/>
  <c r="R134" i="52"/>
  <c r="L134" i="52"/>
  <c r="Z133" i="52"/>
  <c r="Y133" i="52"/>
  <c r="X133" i="52"/>
  <c r="W133" i="52"/>
  <c r="R133" i="52"/>
  <c r="L133" i="52"/>
  <c r="M133" i="52" s="1"/>
  <c r="Z132" i="52"/>
  <c r="Y132" i="52"/>
  <c r="X132" i="52"/>
  <c r="W132" i="52"/>
  <c r="R132" i="52"/>
  <c r="O132" i="52"/>
  <c r="L132" i="52"/>
  <c r="M132" i="52" s="1"/>
  <c r="Z131" i="52"/>
  <c r="Y131" i="52"/>
  <c r="X131" i="52"/>
  <c r="W131" i="52"/>
  <c r="R131" i="52"/>
  <c r="L131" i="52"/>
  <c r="IQ130" i="52"/>
  <c r="IP130" i="52"/>
  <c r="IO130" i="52"/>
  <c r="IN130" i="52"/>
  <c r="IM130" i="52"/>
  <c r="IL130" i="52"/>
  <c r="IK130" i="52"/>
  <c r="IJ130" i="52"/>
  <c r="II130" i="52"/>
  <c r="IH130" i="52"/>
  <c r="IG130" i="52"/>
  <c r="IF130" i="52"/>
  <c r="IE130" i="52"/>
  <c r="ID130" i="52"/>
  <c r="IC130" i="52"/>
  <c r="IB130" i="52"/>
  <c r="IA130" i="52"/>
  <c r="HZ130" i="52"/>
  <c r="HY130" i="52"/>
  <c r="HX130" i="52"/>
  <c r="HW130" i="52"/>
  <c r="HV130" i="52"/>
  <c r="HU130" i="52"/>
  <c r="Z130" i="52"/>
  <c r="Y130" i="52"/>
  <c r="X130" i="52"/>
  <c r="W130" i="52"/>
  <c r="IQ129" i="52"/>
  <c r="IP129" i="52"/>
  <c r="IO129" i="52"/>
  <c r="IN129" i="52"/>
  <c r="IM129" i="52"/>
  <c r="IL129" i="52"/>
  <c r="IK129" i="52"/>
  <c r="IJ129" i="52"/>
  <c r="II129" i="52"/>
  <c r="IH129" i="52"/>
  <c r="IG129" i="52"/>
  <c r="IF129" i="52"/>
  <c r="IE129" i="52"/>
  <c r="ID129" i="52"/>
  <c r="IC129" i="52"/>
  <c r="IB129" i="52"/>
  <c r="IA129" i="52"/>
  <c r="HZ129" i="52"/>
  <c r="HY129" i="52"/>
  <c r="HX129" i="52"/>
  <c r="HW129" i="52"/>
  <c r="HV129" i="52"/>
  <c r="HU129" i="52"/>
  <c r="Z129" i="52"/>
  <c r="Y129" i="52"/>
  <c r="X129" i="52"/>
  <c r="W129" i="52"/>
  <c r="L129" i="52"/>
  <c r="IQ128" i="52"/>
  <c r="IP128" i="52"/>
  <c r="IO128" i="52"/>
  <c r="IN128" i="52"/>
  <c r="IM128" i="52"/>
  <c r="IL128" i="52"/>
  <c r="IK128" i="52"/>
  <c r="IJ128" i="52"/>
  <c r="II128" i="52"/>
  <c r="IH128" i="52"/>
  <c r="IG128" i="52"/>
  <c r="IF128" i="52"/>
  <c r="IE128" i="52"/>
  <c r="ID128" i="52"/>
  <c r="IC128" i="52"/>
  <c r="IB128" i="52"/>
  <c r="IA128" i="52"/>
  <c r="HZ128" i="52"/>
  <c r="HY128" i="52"/>
  <c r="HX128" i="52"/>
  <c r="HW128" i="52"/>
  <c r="HV128" i="52"/>
  <c r="HU128" i="52"/>
  <c r="Z128" i="52"/>
  <c r="Y128" i="52"/>
  <c r="X128" i="52"/>
  <c r="W128" i="52"/>
  <c r="IQ127" i="52"/>
  <c r="IP127" i="52"/>
  <c r="IO127" i="52"/>
  <c r="IN127" i="52"/>
  <c r="IM127" i="52"/>
  <c r="IL127" i="52"/>
  <c r="IK127" i="52"/>
  <c r="IJ127" i="52"/>
  <c r="II127" i="52"/>
  <c r="IH127" i="52"/>
  <c r="IG127" i="52"/>
  <c r="IF127" i="52"/>
  <c r="IE127" i="52"/>
  <c r="ID127" i="52"/>
  <c r="IC127" i="52"/>
  <c r="IB127" i="52"/>
  <c r="IA127" i="52"/>
  <c r="HZ127" i="52"/>
  <c r="HY127" i="52"/>
  <c r="HX127" i="52"/>
  <c r="HW127" i="52"/>
  <c r="HV127" i="52"/>
  <c r="HU127" i="52"/>
  <c r="Z127" i="52"/>
  <c r="Y127" i="52"/>
  <c r="X127" i="52"/>
  <c r="W127" i="52"/>
  <c r="R127" i="52"/>
  <c r="P127" i="52"/>
  <c r="S127" i="52" s="1"/>
  <c r="O127" i="52"/>
  <c r="U127" i="52" s="1"/>
  <c r="N127" i="52"/>
  <c r="M127" i="52"/>
  <c r="IQ126" i="52"/>
  <c r="IP126" i="52"/>
  <c r="IO126" i="52"/>
  <c r="IN126" i="52"/>
  <c r="IM126" i="52"/>
  <c r="IL126" i="52"/>
  <c r="IK126" i="52"/>
  <c r="IJ126" i="52"/>
  <c r="II126" i="52"/>
  <c r="IH126" i="52"/>
  <c r="IG126" i="52"/>
  <c r="IF126" i="52"/>
  <c r="IE126" i="52"/>
  <c r="ID126" i="52"/>
  <c r="IC126" i="52"/>
  <c r="IB126" i="52"/>
  <c r="IA126" i="52"/>
  <c r="HZ126" i="52"/>
  <c r="HY126" i="52"/>
  <c r="HX126" i="52"/>
  <c r="HW126" i="52"/>
  <c r="HV126" i="52"/>
  <c r="HU126" i="52"/>
  <c r="Z126" i="52"/>
  <c r="Y126" i="52"/>
  <c r="X126" i="52"/>
  <c r="W126" i="52"/>
  <c r="R126" i="52"/>
  <c r="O126" i="52"/>
  <c r="Z125" i="52"/>
  <c r="Y125" i="52"/>
  <c r="X125" i="52"/>
  <c r="W125" i="52"/>
  <c r="Z124" i="52"/>
  <c r="Y124" i="52"/>
  <c r="X124" i="52"/>
  <c r="W124" i="52"/>
  <c r="R124" i="52"/>
  <c r="P124" i="52"/>
  <c r="S124" i="52" s="1"/>
  <c r="O124" i="52"/>
  <c r="U124" i="52" s="1"/>
  <c r="N124" i="52"/>
  <c r="M124" i="52"/>
  <c r="IQ123" i="52"/>
  <c r="IP123" i="52"/>
  <c r="IO123" i="52"/>
  <c r="IN123" i="52"/>
  <c r="IM123" i="52"/>
  <c r="IL123" i="52"/>
  <c r="IK123" i="52"/>
  <c r="IJ123" i="52"/>
  <c r="II123" i="52"/>
  <c r="IH123" i="52"/>
  <c r="IG123" i="52"/>
  <c r="IF123" i="52"/>
  <c r="IE123" i="52"/>
  <c r="ID123" i="52"/>
  <c r="IC123" i="52"/>
  <c r="IB123" i="52"/>
  <c r="IA123" i="52"/>
  <c r="HZ123" i="52"/>
  <c r="HY123" i="52"/>
  <c r="HX123" i="52"/>
  <c r="HW123" i="52"/>
  <c r="HV123" i="52"/>
  <c r="HU123" i="52"/>
  <c r="HP123" i="52"/>
  <c r="HO123" i="52"/>
  <c r="HN123" i="52"/>
  <c r="HM123" i="52"/>
  <c r="HL123" i="52"/>
  <c r="HK123" i="52"/>
  <c r="HJ123" i="52"/>
  <c r="HI123" i="52"/>
  <c r="HH123" i="52"/>
  <c r="HG123" i="52"/>
  <c r="HF123" i="52"/>
  <c r="HE123" i="52"/>
  <c r="HD123" i="52"/>
  <c r="HC123" i="52"/>
  <c r="HB123" i="52"/>
  <c r="HA123" i="52"/>
  <c r="GZ123" i="52"/>
  <c r="GY123" i="52"/>
  <c r="GX123" i="52"/>
  <c r="GW123" i="52"/>
  <c r="GV123" i="52"/>
  <c r="GU123" i="52"/>
  <c r="GT123" i="52"/>
  <c r="R123" i="52"/>
  <c r="P123" i="52"/>
  <c r="S123" i="52" s="1"/>
  <c r="N123" i="52"/>
  <c r="M123" i="52"/>
  <c r="IQ122" i="52"/>
  <c r="IP122" i="52"/>
  <c r="IO122" i="52"/>
  <c r="IN122" i="52"/>
  <c r="IM122" i="52"/>
  <c r="IL122" i="52"/>
  <c r="IK122" i="52"/>
  <c r="IJ122" i="52"/>
  <c r="II122" i="52"/>
  <c r="IH122" i="52"/>
  <c r="IG122" i="52"/>
  <c r="IF122" i="52"/>
  <c r="IE122" i="52"/>
  <c r="ID122" i="52"/>
  <c r="IC122" i="52"/>
  <c r="IB122" i="52"/>
  <c r="IA122" i="52"/>
  <c r="HZ122" i="52"/>
  <c r="HY122" i="52"/>
  <c r="HX122" i="52"/>
  <c r="HW122" i="52"/>
  <c r="HV122" i="52"/>
  <c r="HU122" i="52"/>
  <c r="HP122" i="52"/>
  <c r="HO122" i="52"/>
  <c r="HN122" i="52"/>
  <c r="HM122" i="52"/>
  <c r="HL122" i="52"/>
  <c r="HK122" i="52"/>
  <c r="HJ122" i="52"/>
  <c r="HI122" i="52"/>
  <c r="HH122" i="52"/>
  <c r="HG122" i="52"/>
  <c r="HF122" i="52"/>
  <c r="HE122" i="52"/>
  <c r="HD122" i="52"/>
  <c r="HC122" i="52"/>
  <c r="HB122" i="52"/>
  <c r="HA122" i="52"/>
  <c r="GZ122" i="52"/>
  <c r="GY122" i="52"/>
  <c r="GX122" i="52"/>
  <c r="GW122" i="52"/>
  <c r="GV122" i="52"/>
  <c r="GU122" i="52"/>
  <c r="GT122" i="52"/>
  <c r="R122" i="52"/>
  <c r="P122" i="52"/>
  <c r="S122" i="52" s="1"/>
  <c r="O122" i="52"/>
  <c r="N122" i="52"/>
  <c r="M122" i="52"/>
  <c r="IQ121" i="52"/>
  <c r="IP121" i="52"/>
  <c r="IO121" i="52"/>
  <c r="IN121" i="52"/>
  <c r="IM121" i="52"/>
  <c r="IL121" i="52"/>
  <c r="IK121" i="52"/>
  <c r="IJ121" i="52"/>
  <c r="II121" i="52"/>
  <c r="IH121" i="52"/>
  <c r="IG121" i="52"/>
  <c r="IF121" i="52"/>
  <c r="IE121" i="52"/>
  <c r="ID121" i="52"/>
  <c r="IC121" i="52"/>
  <c r="IB121" i="52"/>
  <c r="IA121" i="52"/>
  <c r="HZ121" i="52"/>
  <c r="HY121" i="52"/>
  <c r="HX121" i="52"/>
  <c r="HW121" i="52"/>
  <c r="HV121" i="52"/>
  <c r="HU121" i="52"/>
  <c r="HP121" i="52"/>
  <c r="HO121" i="52"/>
  <c r="HN121" i="52"/>
  <c r="HM121" i="52"/>
  <c r="HL121" i="52"/>
  <c r="HK121" i="52"/>
  <c r="HJ121" i="52"/>
  <c r="HI121" i="52"/>
  <c r="HH121" i="52"/>
  <c r="HG121" i="52"/>
  <c r="HF121" i="52"/>
  <c r="HE121" i="52"/>
  <c r="HD121" i="52"/>
  <c r="HC121" i="52"/>
  <c r="HB121" i="52"/>
  <c r="HA121" i="52"/>
  <c r="GZ121" i="52"/>
  <c r="GY121" i="52"/>
  <c r="GX121" i="52"/>
  <c r="GW121" i="52"/>
  <c r="GV121" i="52"/>
  <c r="GU121" i="52"/>
  <c r="GT121" i="52"/>
  <c r="DL121" i="52"/>
  <c r="DK121" i="52"/>
  <c r="DJ121" i="52"/>
  <c r="DI121" i="52"/>
  <c r="DH121" i="52"/>
  <c r="DG121" i="52"/>
  <c r="DF121" i="52"/>
  <c r="DE121" i="52"/>
  <c r="DD121" i="52"/>
  <c r="DC121" i="52"/>
  <c r="DB121" i="52"/>
  <c r="DA121" i="52"/>
  <c r="CY121" i="52"/>
  <c r="CX121" i="52"/>
  <c r="CW121" i="52"/>
  <c r="CV121" i="52"/>
  <c r="CU121" i="52"/>
  <c r="CT121" i="52"/>
  <c r="CS121" i="52"/>
  <c r="CR121" i="52"/>
  <c r="CQ121" i="52"/>
  <c r="CP121" i="52"/>
  <c r="BI121" i="52"/>
  <c r="AJ121" i="52"/>
  <c r="R121" i="52"/>
  <c r="P121" i="52"/>
  <c r="S121" i="52" s="1"/>
  <c r="N121" i="52"/>
  <c r="M121" i="52"/>
  <c r="IQ120" i="52"/>
  <c r="IP120" i="52"/>
  <c r="IO120" i="52"/>
  <c r="IN120" i="52"/>
  <c r="IM120" i="52"/>
  <c r="IL120" i="52"/>
  <c r="IK120" i="52"/>
  <c r="IJ120" i="52"/>
  <c r="II120" i="52"/>
  <c r="IH120" i="52"/>
  <c r="IG120" i="52"/>
  <c r="IF120" i="52"/>
  <c r="IE120" i="52"/>
  <c r="ID120" i="52"/>
  <c r="IC120" i="52"/>
  <c r="IB120" i="52"/>
  <c r="IA120" i="52"/>
  <c r="HZ120" i="52"/>
  <c r="HY120" i="52"/>
  <c r="HX120" i="52"/>
  <c r="HW120" i="52"/>
  <c r="HV120" i="52"/>
  <c r="HU120" i="52"/>
  <c r="HP120" i="52"/>
  <c r="HO120" i="52"/>
  <c r="HN120" i="52"/>
  <c r="HM120" i="52"/>
  <c r="HL120" i="52"/>
  <c r="HK120" i="52"/>
  <c r="HJ120" i="52"/>
  <c r="HI120" i="52"/>
  <c r="HH120" i="52"/>
  <c r="HG120" i="52"/>
  <c r="HF120" i="52"/>
  <c r="HE120" i="52"/>
  <c r="HD120" i="52"/>
  <c r="HC120" i="52"/>
  <c r="HB120" i="52"/>
  <c r="HA120" i="52"/>
  <c r="GZ120" i="52"/>
  <c r="GY120" i="52"/>
  <c r="GX120" i="52"/>
  <c r="GW120" i="52"/>
  <c r="GV120" i="52"/>
  <c r="GU120" i="52"/>
  <c r="GT120" i="52"/>
  <c r="FO120" i="52"/>
  <c r="FN120" i="52"/>
  <c r="EO120" i="52"/>
  <c r="DL120" i="52"/>
  <c r="DK120" i="52"/>
  <c r="DJ120" i="52"/>
  <c r="DI120" i="52"/>
  <c r="DH120" i="52"/>
  <c r="DG120" i="52"/>
  <c r="DF120" i="52"/>
  <c r="DE120" i="52"/>
  <c r="DD120" i="52"/>
  <c r="DC120" i="52"/>
  <c r="DB120" i="52"/>
  <c r="DA120" i="52"/>
  <c r="CY120" i="52"/>
  <c r="CX120" i="52"/>
  <c r="CW120" i="52"/>
  <c r="CV120" i="52"/>
  <c r="CU120" i="52"/>
  <c r="CT120" i="52"/>
  <c r="CS120" i="52"/>
  <c r="CR120" i="52"/>
  <c r="CQ120" i="52"/>
  <c r="CP120" i="52"/>
  <c r="BI120" i="52"/>
  <c r="R120" i="52"/>
  <c r="P120" i="52"/>
  <c r="S120" i="52" s="1"/>
  <c r="N120" i="52"/>
  <c r="M120" i="52"/>
  <c r="IQ119" i="52"/>
  <c r="IP119" i="52"/>
  <c r="IO119" i="52"/>
  <c r="IN119" i="52"/>
  <c r="IM119" i="52"/>
  <c r="IL119" i="52"/>
  <c r="IK119" i="52"/>
  <c r="IJ119" i="52"/>
  <c r="II119" i="52"/>
  <c r="IH119" i="52"/>
  <c r="IG119" i="52"/>
  <c r="IF119" i="52"/>
  <c r="IE119" i="52"/>
  <c r="ID119" i="52"/>
  <c r="IC119" i="52"/>
  <c r="IB119" i="52"/>
  <c r="IA119" i="52"/>
  <c r="HZ119" i="52"/>
  <c r="HY119" i="52"/>
  <c r="HX119" i="52"/>
  <c r="HW119" i="52"/>
  <c r="HV119" i="52"/>
  <c r="HU119" i="52"/>
  <c r="HP119" i="52"/>
  <c r="HO119" i="52"/>
  <c r="HN119" i="52"/>
  <c r="HM119" i="52"/>
  <c r="HL119" i="52"/>
  <c r="HK119" i="52"/>
  <c r="HJ119" i="52"/>
  <c r="HI119" i="52"/>
  <c r="HH119" i="52"/>
  <c r="HG119" i="52"/>
  <c r="HF119" i="52"/>
  <c r="HE119" i="52"/>
  <c r="HD119" i="52"/>
  <c r="HC119" i="52"/>
  <c r="HB119" i="52"/>
  <c r="HA119" i="52"/>
  <c r="GZ119" i="52"/>
  <c r="GY119" i="52"/>
  <c r="GX119" i="52"/>
  <c r="GW119" i="52"/>
  <c r="GV119" i="52"/>
  <c r="GU119" i="52"/>
  <c r="GT119" i="52"/>
  <c r="FO119" i="52"/>
  <c r="DL119" i="52"/>
  <c r="DK119" i="52"/>
  <c r="DJ119" i="52"/>
  <c r="DI119" i="52"/>
  <c r="DH119" i="52"/>
  <c r="DG119" i="52"/>
  <c r="DF119" i="52"/>
  <c r="DE119" i="52"/>
  <c r="DD119" i="52"/>
  <c r="DC119" i="52"/>
  <c r="DB119" i="52"/>
  <c r="DA119" i="52"/>
  <c r="CY119" i="52"/>
  <c r="CX119" i="52"/>
  <c r="CW119" i="52"/>
  <c r="CV119" i="52"/>
  <c r="CU119" i="52"/>
  <c r="CT119" i="52"/>
  <c r="CS119" i="52"/>
  <c r="CR119" i="52"/>
  <c r="CQ119" i="52"/>
  <c r="CP119" i="52"/>
  <c r="BI119" i="52"/>
  <c r="R119" i="52"/>
  <c r="P119" i="52"/>
  <c r="S119" i="52" s="1"/>
  <c r="N119" i="52"/>
  <c r="M119" i="52"/>
  <c r="GI118" i="52"/>
  <c r="GH118" i="52"/>
  <c r="GG118" i="52"/>
  <c r="GF118" i="52"/>
  <c r="GE118" i="52"/>
  <c r="GD118" i="52"/>
  <c r="GC118" i="52"/>
  <c r="GB118" i="52"/>
  <c r="GA118" i="52"/>
  <c r="FZ118" i="52"/>
  <c r="FY118" i="52"/>
  <c r="FX118" i="52"/>
  <c r="FW118" i="52"/>
  <c r="FV118" i="52"/>
  <c r="FU118" i="52"/>
  <c r="FT118" i="52"/>
  <c r="FS118" i="52"/>
  <c r="FR118" i="52"/>
  <c r="FQ118" i="52"/>
  <c r="FP118" i="52"/>
  <c r="FO118" i="52"/>
  <c r="FN118" i="52"/>
  <c r="FM118" i="52"/>
  <c r="FI118" i="52"/>
  <c r="FH118" i="52"/>
  <c r="FG118" i="52"/>
  <c r="FF118" i="52"/>
  <c r="FE118" i="52"/>
  <c r="FD118" i="52"/>
  <c r="FC118" i="52"/>
  <c r="FB118" i="52"/>
  <c r="FA118" i="52"/>
  <c r="EZ118" i="52"/>
  <c r="EY118" i="52"/>
  <c r="EX118" i="52"/>
  <c r="EW118" i="52"/>
  <c r="EV118" i="52"/>
  <c r="EU118" i="52"/>
  <c r="ET118" i="52"/>
  <c r="ES118" i="52"/>
  <c r="ER118" i="52"/>
  <c r="EQ118" i="52"/>
  <c r="EP118" i="52"/>
  <c r="EO118" i="52"/>
  <c r="EN118" i="52"/>
  <c r="EM118" i="52"/>
  <c r="DL118" i="52"/>
  <c r="DK118" i="52"/>
  <c r="DJ118" i="52"/>
  <c r="DI118" i="52"/>
  <c r="DH118" i="52"/>
  <c r="DG118" i="52"/>
  <c r="DF118" i="52"/>
  <c r="DE118" i="52"/>
  <c r="DD118" i="52"/>
  <c r="DC118" i="52"/>
  <c r="DB118" i="52"/>
  <c r="DA118" i="52"/>
  <c r="CY118" i="52"/>
  <c r="CX118" i="52"/>
  <c r="CW118" i="52"/>
  <c r="CV118" i="52"/>
  <c r="CU118" i="52"/>
  <c r="CT118" i="52"/>
  <c r="CS118" i="52"/>
  <c r="CR118" i="52"/>
  <c r="CQ118" i="52"/>
  <c r="CP118" i="52"/>
  <c r="BI118" i="52"/>
  <c r="AI118" i="52"/>
  <c r="R118" i="52"/>
  <c r="P118" i="52"/>
  <c r="S118" i="52" s="1"/>
  <c r="N118" i="52"/>
  <c r="M118" i="52"/>
  <c r="AM117" i="52"/>
  <c r="AL117" i="52"/>
  <c r="AJ117" i="52"/>
  <c r="R117" i="52"/>
  <c r="P117" i="52"/>
  <c r="S117" i="52" s="1"/>
  <c r="N117" i="52"/>
  <c r="M117" i="52"/>
  <c r="IQ116" i="52"/>
  <c r="IP116" i="52"/>
  <c r="IO116" i="52"/>
  <c r="IN116" i="52"/>
  <c r="IM116" i="52"/>
  <c r="IL116" i="52"/>
  <c r="IK116" i="52"/>
  <c r="IJ116" i="52"/>
  <c r="II116" i="52"/>
  <c r="IH116" i="52"/>
  <c r="IG116" i="52"/>
  <c r="IF116" i="52"/>
  <c r="IE116" i="52"/>
  <c r="ID116" i="52"/>
  <c r="IC116" i="52"/>
  <c r="IB116" i="52"/>
  <c r="IA116" i="52"/>
  <c r="HZ116" i="52"/>
  <c r="HY116" i="52"/>
  <c r="HX116" i="52"/>
  <c r="HW116" i="52"/>
  <c r="HV116" i="52"/>
  <c r="HU116" i="52"/>
  <c r="HP116" i="52"/>
  <c r="HO116" i="52"/>
  <c r="HN116" i="52"/>
  <c r="HM116" i="52"/>
  <c r="HL116" i="52"/>
  <c r="HK116" i="52"/>
  <c r="HJ116" i="52"/>
  <c r="HI116" i="52"/>
  <c r="HH116" i="52"/>
  <c r="HG116" i="52"/>
  <c r="HF116" i="52"/>
  <c r="HE116" i="52"/>
  <c r="HD116" i="52"/>
  <c r="HC116" i="52"/>
  <c r="HB116" i="52"/>
  <c r="HA116" i="52"/>
  <c r="GZ116" i="52"/>
  <c r="GY116" i="52"/>
  <c r="GX116" i="52"/>
  <c r="GW116" i="52"/>
  <c r="GV116" i="52"/>
  <c r="GU116" i="52"/>
  <c r="GT116" i="52"/>
  <c r="AM116" i="52"/>
  <c r="AL116" i="52"/>
  <c r="AJ116" i="52"/>
  <c r="R116" i="52"/>
  <c r="P116" i="52"/>
  <c r="S116" i="52" s="1"/>
  <c r="IQ115" i="52"/>
  <c r="IP115" i="52"/>
  <c r="IO115" i="52"/>
  <c r="IN115" i="52"/>
  <c r="IM115" i="52"/>
  <c r="IL115" i="52"/>
  <c r="IK115" i="52"/>
  <c r="IJ115" i="52"/>
  <c r="II115" i="52"/>
  <c r="IH115" i="52"/>
  <c r="IG115" i="52"/>
  <c r="IF115" i="52"/>
  <c r="IE115" i="52"/>
  <c r="ID115" i="52"/>
  <c r="IC115" i="52"/>
  <c r="IB115" i="52"/>
  <c r="IA115" i="52"/>
  <c r="HZ115" i="52"/>
  <c r="HY115" i="52"/>
  <c r="HX115" i="52"/>
  <c r="HW115" i="52"/>
  <c r="HV115" i="52"/>
  <c r="HU115" i="52"/>
  <c r="HP115" i="52"/>
  <c r="HO115" i="52"/>
  <c r="HN115" i="52"/>
  <c r="HM115" i="52"/>
  <c r="HL115" i="52"/>
  <c r="HK115" i="52"/>
  <c r="HJ115" i="52"/>
  <c r="HI115" i="52"/>
  <c r="HH115" i="52"/>
  <c r="HG115" i="52"/>
  <c r="HF115" i="52"/>
  <c r="HE115" i="52"/>
  <c r="HD115" i="52"/>
  <c r="HC115" i="52"/>
  <c r="HB115" i="52"/>
  <c r="HA115" i="52"/>
  <c r="GZ115" i="52"/>
  <c r="GY115" i="52"/>
  <c r="GX115" i="52"/>
  <c r="GW115" i="52"/>
  <c r="GV115" i="52"/>
  <c r="GU115" i="52"/>
  <c r="GT115" i="52"/>
  <c r="DL115" i="52"/>
  <c r="DK115" i="52"/>
  <c r="DJ115" i="52"/>
  <c r="DI115" i="52"/>
  <c r="DH115" i="52"/>
  <c r="DG115" i="52"/>
  <c r="DF115" i="52"/>
  <c r="DE115" i="52"/>
  <c r="DD115" i="52"/>
  <c r="DC115" i="52"/>
  <c r="DB115" i="52"/>
  <c r="DA115" i="52"/>
  <c r="CZ115" i="52"/>
  <c r="CY115" i="52"/>
  <c r="CX115" i="52"/>
  <c r="CW115" i="52"/>
  <c r="CV115" i="52"/>
  <c r="CU115" i="52"/>
  <c r="CT115" i="52"/>
  <c r="CS115" i="52"/>
  <c r="CR115" i="52"/>
  <c r="CQ115" i="52"/>
  <c r="CP115" i="52"/>
  <c r="BI115" i="52"/>
  <c r="AM115" i="52"/>
  <c r="AL115" i="52"/>
  <c r="AJ115" i="52"/>
  <c r="R115" i="52"/>
  <c r="O115" i="52"/>
  <c r="IQ114" i="52"/>
  <c r="IP114" i="52"/>
  <c r="IO114" i="52"/>
  <c r="IN114" i="52"/>
  <c r="IM114" i="52"/>
  <c r="IL114" i="52"/>
  <c r="IK114" i="52"/>
  <c r="IJ114" i="52"/>
  <c r="II114" i="52"/>
  <c r="IH114" i="52"/>
  <c r="IG114" i="52"/>
  <c r="IF114" i="52"/>
  <c r="IE114" i="52"/>
  <c r="ID114" i="52"/>
  <c r="IC114" i="52"/>
  <c r="IB114" i="52"/>
  <c r="IA114" i="52"/>
  <c r="HZ114" i="52"/>
  <c r="HY114" i="52"/>
  <c r="HX114" i="52"/>
  <c r="HW114" i="52"/>
  <c r="HV114" i="52"/>
  <c r="HU114" i="52"/>
  <c r="HP114" i="52"/>
  <c r="HO114" i="52"/>
  <c r="HN114" i="52"/>
  <c r="HM114" i="52"/>
  <c r="HL114" i="52"/>
  <c r="HK114" i="52"/>
  <c r="HJ114" i="52"/>
  <c r="HI114" i="52"/>
  <c r="HH114" i="52"/>
  <c r="HG114" i="52"/>
  <c r="HF114" i="52"/>
  <c r="HE114" i="52"/>
  <c r="HD114" i="52"/>
  <c r="HC114" i="52"/>
  <c r="HB114" i="52"/>
  <c r="HA114" i="52"/>
  <c r="GZ114" i="52"/>
  <c r="GY114" i="52"/>
  <c r="GX114" i="52"/>
  <c r="GW114" i="52"/>
  <c r="GV114" i="52"/>
  <c r="GU114" i="52"/>
  <c r="GT114" i="52"/>
  <c r="FO114" i="52"/>
  <c r="FN114" i="52"/>
  <c r="EO114" i="52"/>
  <c r="DL114" i="52"/>
  <c r="DK114" i="52"/>
  <c r="DJ114" i="52"/>
  <c r="DI114" i="52"/>
  <c r="DH114" i="52"/>
  <c r="DG114" i="52"/>
  <c r="DF114" i="52"/>
  <c r="DE114" i="52"/>
  <c r="DD114" i="52"/>
  <c r="DC114" i="52"/>
  <c r="DB114" i="52"/>
  <c r="DA114" i="52"/>
  <c r="CZ114" i="52"/>
  <c r="CY114" i="52"/>
  <c r="CX114" i="52"/>
  <c r="CW114" i="52"/>
  <c r="CV114" i="52"/>
  <c r="CU114" i="52"/>
  <c r="CT114" i="52"/>
  <c r="CS114" i="52"/>
  <c r="CR114" i="52"/>
  <c r="CQ114" i="52"/>
  <c r="CP114" i="52"/>
  <c r="BI114" i="52"/>
  <c r="AH114" i="52"/>
  <c r="R114" i="52"/>
  <c r="O114" i="52"/>
  <c r="P114" i="52"/>
  <c r="IQ113" i="52"/>
  <c r="IP113" i="52"/>
  <c r="IO113" i="52"/>
  <c r="IN113" i="52"/>
  <c r="IM113" i="52"/>
  <c r="IL113" i="52"/>
  <c r="IK113" i="52"/>
  <c r="IJ113" i="52"/>
  <c r="II113" i="52"/>
  <c r="IH113" i="52"/>
  <c r="IG113" i="52"/>
  <c r="IF113" i="52"/>
  <c r="IE113" i="52"/>
  <c r="ID113" i="52"/>
  <c r="IC113" i="52"/>
  <c r="IB113" i="52"/>
  <c r="IA113" i="52"/>
  <c r="HZ113" i="52"/>
  <c r="HY113" i="52"/>
  <c r="HX113" i="52"/>
  <c r="HW113" i="52"/>
  <c r="HV113" i="52"/>
  <c r="HU113" i="52"/>
  <c r="HP113" i="52"/>
  <c r="HO113" i="52"/>
  <c r="HN113" i="52"/>
  <c r="HM113" i="52"/>
  <c r="HL113" i="52"/>
  <c r="HK113" i="52"/>
  <c r="HJ113" i="52"/>
  <c r="HI113" i="52"/>
  <c r="HH113" i="52"/>
  <c r="HG113" i="52"/>
  <c r="HF113" i="52"/>
  <c r="HE113" i="52"/>
  <c r="HD113" i="52"/>
  <c r="HC113" i="52"/>
  <c r="HB113" i="52"/>
  <c r="HA113" i="52"/>
  <c r="GZ113" i="52"/>
  <c r="GY113" i="52"/>
  <c r="GX113" i="52"/>
  <c r="GW113" i="52"/>
  <c r="GV113" i="52"/>
  <c r="GU113" i="52"/>
  <c r="GT113" i="52"/>
  <c r="FO113" i="52"/>
  <c r="DL113" i="52"/>
  <c r="DK113" i="52"/>
  <c r="DJ113" i="52"/>
  <c r="DI113" i="52"/>
  <c r="DH113" i="52"/>
  <c r="DG113" i="52"/>
  <c r="DF113" i="52"/>
  <c r="DE113" i="52"/>
  <c r="DD113" i="52"/>
  <c r="DC113" i="52"/>
  <c r="DB113" i="52"/>
  <c r="DA113" i="52"/>
  <c r="CZ113" i="52"/>
  <c r="CY113" i="52"/>
  <c r="CX113" i="52"/>
  <c r="CW113" i="52"/>
  <c r="CV113" i="52"/>
  <c r="CU113" i="52"/>
  <c r="CT113" i="52"/>
  <c r="CS113" i="52"/>
  <c r="CR113" i="52"/>
  <c r="CQ113" i="52"/>
  <c r="CP113" i="52"/>
  <c r="BI113" i="52"/>
  <c r="R113" i="52"/>
  <c r="P113" i="52"/>
  <c r="S113" i="52" s="1"/>
  <c r="N113" i="52"/>
  <c r="M113" i="52"/>
  <c r="IQ112" i="52"/>
  <c r="IP112" i="52"/>
  <c r="IO112" i="52"/>
  <c r="IN112" i="52"/>
  <c r="IM112" i="52"/>
  <c r="IL112" i="52"/>
  <c r="IK112" i="52"/>
  <c r="IJ112" i="52"/>
  <c r="II112" i="52"/>
  <c r="IH112" i="52"/>
  <c r="IG112" i="52"/>
  <c r="IF112" i="52"/>
  <c r="IE112" i="52"/>
  <c r="ID112" i="52"/>
  <c r="IC112" i="52"/>
  <c r="IB112" i="52"/>
  <c r="IA112" i="52"/>
  <c r="HZ112" i="52"/>
  <c r="HY112" i="52"/>
  <c r="HX112" i="52"/>
  <c r="HW112" i="52"/>
  <c r="HV112" i="52"/>
  <c r="HU112" i="52"/>
  <c r="HP112" i="52"/>
  <c r="HO112" i="52"/>
  <c r="HN112" i="52"/>
  <c r="HM112" i="52"/>
  <c r="HL112" i="52"/>
  <c r="HK112" i="52"/>
  <c r="HJ112" i="52"/>
  <c r="HI112" i="52"/>
  <c r="HH112" i="52"/>
  <c r="HG112" i="52"/>
  <c r="HF112" i="52"/>
  <c r="HE112" i="52"/>
  <c r="HD112" i="52"/>
  <c r="HC112" i="52"/>
  <c r="HB112" i="52"/>
  <c r="HA112" i="52"/>
  <c r="GZ112" i="52"/>
  <c r="GY112" i="52"/>
  <c r="GX112" i="52"/>
  <c r="GW112" i="52"/>
  <c r="GV112" i="52"/>
  <c r="GU112" i="52"/>
  <c r="GT112" i="52"/>
  <c r="GI112" i="52"/>
  <c r="GH112" i="52"/>
  <c r="GG112" i="52"/>
  <c r="GF112" i="52"/>
  <c r="GE112" i="52"/>
  <c r="GD112" i="52"/>
  <c r="GC112" i="52"/>
  <c r="GB112" i="52"/>
  <c r="GA112" i="52"/>
  <c r="FZ112" i="52"/>
  <c r="FY112" i="52"/>
  <c r="FX112" i="52"/>
  <c r="FW112" i="52"/>
  <c r="FV112" i="52"/>
  <c r="FU112" i="52"/>
  <c r="FT112" i="52"/>
  <c r="FS112" i="52"/>
  <c r="FR112" i="52"/>
  <c r="FQ112" i="52"/>
  <c r="FP112" i="52"/>
  <c r="FO112" i="52"/>
  <c r="FN112" i="52"/>
  <c r="FM112" i="52"/>
  <c r="FI112" i="52"/>
  <c r="FH112" i="52"/>
  <c r="FG112" i="52"/>
  <c r="FF112" i="52"/>
  <c r="FE112" i="52"/>
  <c r="FD112" i="52"/>
  <c r="FC112" i="52"/>
  <c r="FB112" i="52"/>
  <c r="FA112" i="52"/>
  <c r="EZ112" i="52"/>
  <c r="EY112" i="52"/>
  <c r="EX112" i="52"/>
  <c r="EW112" i="52"/>
  <c r="EV112" i="52"/>
  <c r="EU112" i="52"/>
  <c r="ET112" i="52"/>
  <c r="ES112" i="52"/>
  <c r="ER112" i="52"/>
  <c r="EQ112" i="52"/>
  <c r="EP112" i="52"/>
  <c r="EO112" i="52"/>
  <c r="EN112" i="52"/>
  <c r="EM112" i="52"/>
  <c r="DL112" i="52"/>
  <c r="DK112" i="52"/>
  <c r="DJ112" i="52"/>
  <c r="DI112" i="52"/>
  <c r="DH112" i="52"/>
  <c r="DG112" i="52"/>
  <c r="DF112" i="52"/>
  <c r="DE112" i="52"/>
  <c r="DD112" i="52"/>
  <c r="DC112" i="52"/>
  <c r="DB112" i="52"/>
  <c r="DA112" i="52"/>
  <c r="CZ112" i="52"/>
  <c r="CY112" i="52"/>
  <c r="CX112" i="52"/>
  <c r="CW112" i="52"/>
  <c r="CV112" i="52"/>
  <c r="CU112" i="52"/>
  <c r="CT112" i="52"/>
  <c r="CS112" i="52"/>
  <c r="CR112" i="52"/>
  <c r="CQ112" i="52"/>
  <c r="CP112" i="52"/>
  <c r="BI112" i="52"/>
  <c r="R112" i="52"/>
  <c r="P112" i="52"/>
  <c r="S112" i="52" s="1"/>
  <c r="N112" i="52"/>
  <c r="M112" i="52"/>
  <c r="Z111" i="52"/>
  <c r="Y111" i="52"/>
  <c r="X111" i="52"/>
  <c r="W111" i="52"/>
  <c r="R111" i="52"/>
  <c r="P111" i="52"/>
  <c r="S111" i="52" s="1"/>
  <c r="N111" i="52"/>
  <c r="M111" i="52"/>
  <c r="Z110" i="52"/>
  <c r="Y110" i="52"/>
  <c r="X110" i="52"/>
  <c r="W110" i="52"/>
  <c r="R110" i="52"/>
  <c r="P110" i="52"/>
  <c r="S110" i="52" s="1"/>
  <c r="N110" i="52"/>
  <c r="M110" i="52"/>
  <c r="J110" i="52"/>
  <c r="D110" i="52"/>
  <c r="Z109" i="52"/>
  <c r="Y109" i="52"/>
  <c r="X109" i="52"/>
  <c r="W109" i="52"/>
  <c r="R109" i="52"/>
  <c r="P109" i="52"/>
  <c r="S109" i="52" s="1"/>
  <c r="N109" i="52"/>
  <c r="M109" i="52"/>
  <c r="E109" i="52"/>
  <c r="AB107" i="52" s="1"/>
  <c r="Z108" i="52"/>
  <c r="Y108" i="52"/>
  <c r="X108" i="52"/>
  <c r="W108" i="52"/>
  <c r="R108" i="52"/>
  <c r="Z107" i="52"/>
  <c r="Y107" i="52"/>
  <c r="X107" i="52"/>
  <c r="W107" i="52"/>
  <c r="R107" i="52"/>
  <c r="Z106" i="52"/>
  <c r="Y106" i="52"/>
  <c r="X106" i="52"/>
  <c r="W106" i="52"/>
  <c r="R106" i="52"/>
  <c r="P106" i="52"/>
  <c r="S106" i="52" s="1"/>
  <c r="Z105" i="52"/>
  <c r="Y105" i="52"/>
  <c r="X105" i="52"/>
  <c r="W105" i="52"/>
  <c r="R105" i="52"/>
  <c r="M105" i="52"/>
  <c r="Z104" i="52"/>
  <c r="Y104" i="52"/>
  <c r="X104" i="52"/>
  <c r="W104" i="52"/>
  <c r="R104" i="52"/>
  <c r="Z103" i="52"/>
  <c r="Y103" i="52"/>
  <c r="X103" i="52"/>
  <c r="W103" i="52"/>
  <c r="R103" i="52"/>
  <c r="Z102" i="52"/>
  <c r="Y102" i="52"/>
  <c r="X102" i="52"/>
  <c r="W102" i="52"/>
  <c r="R102" i="52"/>
  <c r="Z101" i="52"/>
  <c r="Y101" i="52"/>
  <c r="X101" i="52"/>
  <c r="W101" i="52"/>
  <c r="R101" i="52"/>
  <c r="P101" i="52"/>
  <c r="S101" i="52" s="1"/>
  <c r="Z100" i="52"/>
  <c r="Y100" i="52"/>
  <c r="X100" i="52"/>
  <c r="W100" i="52"/>
  <c r="R100" i="52"/>
  <c r="O100" i="52"/>
  <c r="Z99" i="52"/>
  <c r="Y99" i="52"/>
  <c r="X99" i="52"/>
  <c r="W99" i="52"/>
  <c r="R99" i="52"/>
  <c r="P99" i="52"/>
  <c r="S99" i="52" s="1"/>
  <c r="Z98" i="52"/>
  <c r="Y98" i="52"/>
  <c r="X98" i="52"/>
  <c r="W98" i="52"/>
  <c r="Z97" i="52"/>
  <c r="Y97" i="52"/>
  <c r="X97" i="52"/>
  <c r="W97" i="52"/>
  <c r="L97" i="52"/>
  <c r="Z96" i="52"/>
  <c r="Y96" i="52"/>
  <c r="X96" i="52"/>
  <c r="W96" i="52"/>
  <c r="GI95" i="52"/>
  <c r="GH95" i="52"/>
  <c r="GH198" i="52" s="1"/>
  <c r="GG95" i="52"/>
  <c r="GF95" i="52"/>
  <c r="GF198" i="52" s="1"/>
  <c r="GE95" i="52"/>
  <c r="GE198" i="52" s="1"/>
  <c r="GD95" i="52"/>
  <c r="GD198" i="52" s="1"/>
  <c r="GC95" i="52"/>
  <c r="GC198" i="52" s="1"/>
  <c r="GB95" i="52"/>
  <c r="GA95" i="52"/>
  <c r="FZ95" i="52"/>
  <c r="FZ198" i="52" s="1"/>
  <c r="FY95" i="52"/>
  <c r="FX95" i="52"/>
  <c r="FW95" i="52"/>
  <c r="CU333" i="52" s="1"/>
  <c r="FV95" i="52"/>
  <c r="FV198" i="52" s="1"/>
  <c r="FU95" i="52"/>
  <c r="CS333" i="52" s="1"/>
  <c r="FT95" i="52"/>
  <c r="CR333" i="52" s="1"/>
  <c r="FS95" i="52"/>
  <c r="FS198" i="52" s="1"/>
  <c r="FR95" i="52"/>
  <c r="FR198" i="52" s="1"/>
  <c r="FQ95" i="52"/>
  <c r="CO333" i="52" s="1"/>
  <c r="FP95" i="52"/>
  <c r="CN333" i="52" s="1"/>
  <c r="FM95" i="52"/>
  <c r="CK333" i="52" s="1"/>
  <c r="Z321" i="52" s="1"/>
  <c r="O333" i="52" s="1"/>
  <c r="FI95" i="52"/>
  <c r="FI198" i="52" s="1"/>
  <c r="FH95" i="52"/>
  <c r="FG95" i="52"/>
  <c r="FF95" i="52"/>
  <c r="FE95" i="52"/>
  <c r="FE198" i="52" s="1"/>
  <c r="FD95" i="52"/>
  <c r="FC95" i="52"/>
  <c r="FC198" i="52" s="1"/>
  <c r="FB95" i="52"/>
  <c r="FB198" i="52" s="1"/>
  <c r="FA95" i="52"/>
  <c r="EZ95" i="52"/>
  <c r="EY95" i="52"/>
  <c r="EY198" i="52" s="1"/>
  <c r="EX95" i="52"/>
  <c r="EW95" i="52"/>
  <c r="EW198" i="52" s="1"/>
  <c r="EV95" i="52"/>
  <c r="BT333" i="52" s="1"/>
  <c r="EU95" i="52"/>
  <c r="BS333" i="52" s="1"/>
  <c r="ET95" i="52"/>
  <c r="BR333" i="52" s="1"/>
  <c r="ES95" i="52"/>
  <c r="ES198" i="52" s="1"/>
  <c r="ER95" i="52"/>
  <c r="BP333" i="52" s="1"/>
  <c r="EQ95" i="52"/>
  <c r="BO333" i="52" s="1"/>
  <c r="EP95" i="52"/>
  <c r="EP198" i="52" s="1"/>
  <c r="EN95" i="52"/>
  <c r="EN198" i="52" s="1"/>
  <c r="EM95" i="52"/>
  <c r="EM198" i="52" s="1"/>
  <c r="R95" i="52"/>
  <c r="P95" i="52"/>
  <c r="S95" i="52" s="1"/>
  <c r="O95" i="52"/>
  <c r="N95" i="52"/>
  <c r="M95" i="52"/>
  <c r="GI94" i="52"/>
  <c r="GH94" i="52"/>
  <c r="GH119" i="52" s="1"/>
  <c r="GG94" i="52"/>
  <c r="GF94" i="52"/>
  <c r="GE94" i="52"/>
  <c r="GD94" i="52"/>
  <c r="GD119" i="52" s="1"/>
  <c r="GC94" i="52"/>
  <c r="GC197" i="52" s="1"/>
  <c r="GB94" i="52"/>
  <c r="GA94" i="52"/>
  <c r="FZ94" i="52"/>
  <c r="FY94" i="52"/>
  <c r="FX94" i="52"/>
  <c r="FW94" i="52"/>
  <c r="CU332" i="52" s="1"/>
  <c r="FV94" i="52"/>
  <c r="CT332" i="52" s="1"/>
  <c r="FU94" i="52"/>
  <c r="CS332" i="52" s="1"/>
  <c r="FT94" i="52"/>
  <c r="FT197" i="52" s="1"/>
  <c r="FS94" i="52"/>
  <c r="CQ332" i="52" s="1"/>
  <c r="FR94" i="52"/>
  <c r="CP332" i="52" s="1"/>
  <c r="FQ94" i="52"/>
  <c r="FQ197" i="52" s="1"/>
  <c r="FP94" i="52"/>
  <c r="CN332" i="52" s="1"/>
  <c r="FN94" i="52"/>
  <c r="CL332" i="52" s="1"/>
  <c r="FM94" i="52"/>
  <c r="FM197" i="52" s="1"/>
  <c r="FI94" i="52"/>
  <c r="FH94" i="52"/>
  <c r="FG94" i="52"/>
  <c r="FF94" i="52"/>
  <c r="FE94" i="52"/>
  <c r="FE197" i="52" s="1"/>
  <c r="FD94" i="52"/>
  <c r="FD197" i="52" s="1"/>
  <c r="FC94" i="52"/>
  <c r="FB94" i="52"/>
  <c r="FA94" i="52"/>
  <c r="FA197" i="52" s="1"/>
  <c r="EZ94" i="52"/>
  <c r="EY94" i="52"/>
  <c r="EX94" i="52"/>
  <c r="EX197" i="52" s="1"/>
  <c r="EW94" i="52"/>
  <c r="BU332" i="52" s="1"/>
  <c r="EV94" i="52"/>
  <c r="BT332" i="52" s="1"/>
  <c r="EU94" i="52"/>
  <c r="BS332" i="52" s="1"/>
  <c r="ET94" i="52"/>
  <c r="BR332" i="52" s="1"/>
  <c r="ES94" i="52"/>
  <c r="ES197" i="52" s="1"/>
  <c r="ER94" i="52"/>
  <c r="BP332" i="52" s="1"/>
  <c r="EQ94" i="52"/>
  <c r="BO332" i="52" s="1"/>
  <c r="EP94" i="52"/>
  <c r="BN332" i="52" s="1"/>
  <c r="EO94" i="52"/>
  <c r="EO197" i="52" s="1"/>
  <c r="EN94" i="52"/>
  <c r="EN119" i="52" s="1"/>
  <c r="EM94" i="52"/>
  <c r="BK332" i="52" s="1"/>
  <c r="R94" i="52"/>
  <c r="O94" i="52"/>
  <c r="R92" i="52"/>
  <c r="P92" i="52"/>
  <c r="S92" i="52" s="1"/>
  <c r="O92" i="52"/>
  <c r="N92" i="52"/>
  <c r="M92" i="52"/>
  <c r="AJ91" i="52"/>
  <c r="AN91" i="52" s="1"/>
  <c r="R91" i="52"/>
  <c r="P91" i="52"/>
  <c r="S91" i="52" s="1"/>
  <c r="N91" i="52"/>
  <c r="M91" i="52"/>
  <c r="AN90" i="52"/>
  <c r="AM90" i="52"/>
  <c r="AK90" i="52"/>
  <c r="R90" i="52"/>
  <c r="P90" i="52"/>
  <c r="S90" i="52" s="1"/>
  <c r="N90" i="52"/>
  <c r="M90" i="52"/>
  <c r="AN89" i="52"/>
  <c r="AM89" i="52"/>
  <c r="AK89" i="52"/>
  <c r="R89" i="52"/>
  <c r="P89" i="52"/>
  <c r="S89" i="52" s="1"/>
  <c r="N89" i="52"/>
  <c r="M89" i="52"/>
  <c r="AN88" i="52"/>
  <c r="AM88" i="52"/>
  <c r="AK88" i="52"/>
  <c r="R88" i="52"/>
  <c r="P88" i="52"/>
  <c r="S88" i="52" s="1"/>
  <c r="N88" i="52"/>
  <c r="M88" i="52"/>
  <c r="GI87" i="52"/>
  <c r="GH87" i="52"/>
  <c r="GH190" i="52" s="1"/>
  <c r="GG87" i="52"/>
  <c r="GF87" i="52"/>
  <c r="GE87" i="52"/>
  <c r="GD87" i="52"/>
  <c r="GC87" i="52"/>
  <c r="GB87" i="52"/>
  <c r="GA87" i="52"/>
  <c r="FZ87" i="52"/>
  <c r="FZ190" i="52" s="1"/>
  <c r="FY87" i="52"/>
  <c r="FX87" i="52"/>
  <c r="FW87" i="52"/>
  <c r="CU325" i="52" s="1"/>
  <c r="FV87" i="52"/>
  <c r="FV190" i="52" s="1"/>
  <c r="FU87" i="52"/>
  <c r="CS325" i="52" s="1"/>
  <c r="FT87" i="52"/>
  <c r="CR325" i="52" s="1"/>
  <c r="FS87" i="52"/>
  <c r="CQ325" i="52" s="1"/>
  <c r="FR87" i="52"/>
  <c r="CP325" i="52" s="1"/>
  <c r="FQ87" i="52"/>
  <c r="CO325" i="52" s="1"/>
  <c r="FP87" i="52"/>
  <c r="CN325" i="52" s="1"/>
  <c r="FM87" i="52"/>
  <c r="FM190" i="52" s="1"/>
  <c r="FI87" i="52"/>
  <c r="FI190" i="52" s="1"/>
  <c r="FH87" i="52"/>
  <c r="FG87" i="52"/>
  <c r="FG190" i="52" s="1"/>
  <c r="FF87" i="52"/>
  <c r="FE87" i="52"/>
  <c r="FD87" i="52"/>
  <c r="FC87" i="52"/>
  <c r="FB87" i="52"/>
  <c r="FA87" i="52"/>
  <c r="EZ87" i="52"/>
  <c r="EY87" i="52"/>
  <c r="EX87" i="52"/>
  <c r="EX190" i="52" s="1"/>
  <c r="EW87" i="52"/>
  <c r="EW190" i="52" s="1"/>
  <c r="EV87" i="52"/>
  <c r="BT325" i="52" s="1"/>
  <c r="EU87" i="52"/>
  <c r="EU190" i="52" s="1"/>
  <c r="ET87" i="52"/>
  <c r="BR325" i="52" s="1"/>
  <c r="ES87" i="52"/>
  <c r="BQ325" i="52" s="1"/>
  <c r="ER87" i="52"/>
  <c r="BP325" i="52" s="1"/>
  <c r="EQ87" i="52"/>
  <c r="BO325" i="52" s="1"/>
  <c r="EP87" i="52"/>
  <c r="BN325" i="52" s="1"/>
  <c r="EN87" i="52"/>
  <c r="BL325" i="52" s="1"/>
  <c r="EM87" i="52"/>
  <c r="BK325" i="52" s="1"/>
  <c r="AI87" i="52"/>
  <c r="R87" i="52"/>
  <c r="P87" i="52"/>
  <c r="S87" i="52" s="1"/>
  <c r="N87" i="52"/>
  <c r="M87" i="52"/>
  <c r="GI86" i="52"/>
  <c r="GI88" i="52" s="1"/>
  <c r="GI191" i="52" s="1"/>
  <c r="GH86" i="52"/>
  <c r="GG86" i="52"/>
  <c r="GG189" i="52" s="1"/>
  <c r="GF86" i="52"/>
  <c r="GE86" i="52"/>
  <c r="GE189" i="52" s="1"/>
  <c r="GD86" i="52"/>
  <c r="GD189" i="52" s="1"/>
  <c r="GC86" i="52"/>
  <c r="GB86" i="52"/>
  <c r="GB88" i="52" s="1"/>
  <c r="GB191" i="52" s="1"/>
  <c r="GA86" i="52"/>
  <c r="GA88" i="52" s="1"/>
  <c r="GA191" i="52" s="1"/>
  <c r="FZ86" i="52"/>
  <c r="FZ88" i="52" s="1"/>
  <c r="FZ191" i="52" s="1"/>
  <c r="FY86" i="52"/>
  <c r="FX86" i="52"/>
  <c r="FX88" i="52" s="1"/>
  <c r="FX191" i="52" s="1"/>
  <c r="FW86" i="52"/>
  <c r="FW88" i="52" s="1"/>
  <c r="FW191" i="52" s="1"/>
  <c r="FV86" i="52"/>
  <c r="FV88" i="52" s="1"/>
  <c r="FV191" i="52" s="1"/>
  <c r="FU86" i="52"/>
  <c r="FU189" i="52" s="1"/>
  <c r="FT86" i="52"/>
  <c r="CR324" i="52" s="1"/>
  <c r="FS86" i="52"/>
  <c r="FS189" i="52" s="1"/>
  <c r="FR86" i="52"/>
  <c r="FR189" i="52" s="1"/>
  <c r="FQ86" i="52"/>
  <c r="CO324" i="52" s="1"/>
  <c r="FP86" i="52"/>
  <c r="CN324" i="52" s="1"/>
  <c r="FN86" i="52"/>
  <c r="CL324" i="52" s="1"/>
  <c r="FM86" i="52"/>
  <c r="CK324" i="52" s="1"/>
  <c r="FI86" i="52"/>
  <c r="FH86" i="52"/>
  <c r="FG86" i="52"/>
  <c r="FF86" i="52"/>
  <c r="FF189" i="52" s="1"/>
  <c r="FE86" i="52"/>
  <c r="FD86" i="52"/>
  <c r="FC86" i="52"/>
  <c r="FC189" i="52" s="1"/>
  <c r="FB86" i="52"/>
  <c r="FA86" i="52"/>
  <c r="EZ86" i="52"/>
  <c r="EY86" i="52"/>
  <c r="EX86" i="52"/>
  <c r="EW86" i="52"/>
  <c r="BU324" i="52" s="1"/>
  <c r="EV86" i="52"/>
  <c r="BT324" i="52" s="1"/>
  <c r="EU86" i="52"/>
  <c r="BS324" i="52" s="1"/>
  <c r="ET86" i="52"/>
  <c r="ET189" i="52" s="1"/>
  <c r="ES86" i="52"/>
  <c r="BQ324" i="52" s="1"/>
  <c r="ER86" i="52"/>
  <c r="BP324" i="52" s="1"/>
  <c r="EQ86" i="52"/>
  <c r="EQ189" i="52" s="1"/>
  <c r="EP86" i="52"/>
  <c r="BN324" i="52" s="1"/>
  <c r="EO86" i="52"/>
  <c r="BM324" i="52" s="1"/>
  <c r="EN86" i="52"/>
  <c r="BL324" i="52" s="1"/>
  <c r="EM86" i="52"/>
  <c r="BK324" i="52" s="1"/>
  <c r="R86" i="52"/>
  <c r="P86" i="52"/>
  <c r="S86" i="52" s="1"/>
  <c r="N86" i="52"/>
  <c r="M86" i="52"/>
  <c r="R85" i="52"/>
  <c r="P85" i="52"/>
  <c r="S85" i="52" s="1"/>
  <c r="N85" i="52"/>
  <c r="M85" i="52"/>
  <c r="R84" i="52"/>
  <c r="L84" i="52"/>
  <c r="P84" i="52" s="1"/>
  <c r="S84" i="52" s="1"/>
  <c r="R83" i="52"/>
  <c r="O83" i="52"/>
  <c r="L83" i="52"/>
  <c r="N83" i="52" s="1"/>
  <c r="W82" i="52"/>
  <c r="R82" i="52"/>
  <c r="O82" i="52"/>
  <c r="L82" i="52"/>
  <c r="R81" i="52"/>
  <c r="P81" i="52"/>
  <c r="S81" i="52" s="1"/>
  <c r="N81" i="52"/>
  <c r="M81" i="52"/>
  <c r="Z80" i="52"/>
  <c r="Y80" i="52"/>
  <c r="X80" i="52"/>
  <c r="W80" i="52"/>
  <c r="R80" i="52"/>
  <c r="P80" i="52"/>
  <c r="S80" i="52" s="1"/>
  <c r="N80" i="52"/>
  <c r="M80" i="52"/>
  <c r="Z79" i="52"/>
  <c r="Y79" i="52"/>
  <c r="X79" i="52"/>
  <c r="W79" i="52"/>
  <c r="R79" i="52"/>
  <c r="P79" i="52"/>
  <c r="S79" i="52" s="1"/>
  <c r="N79" i="52"/>
  <c r="M79" i="52"/>
  <c r="Z78" i="52"/>
  <c r="Y78" i="52"/>
  <c r="X78" i="52"/>
  <c r="W78" i="52"/>
  <c r="R78" i="52"/>
  <c r="P78" i="52"/>
  <c r="S78" i="52" s="1"/>
  <c r="N78" i="52"/>
  <c r="M78" i="52"/>
  <c r="Z77" i="52"/>
  <c r="Y77" i="52"/>
  <c r="X77" i="52"/>
  <c r="W77" i="52"/>
  <c r="R77" i="52"/>
  <c r="P77" i="52"/>
  <c r="S77" i="52" s="1"/>
  <c r="N77" i="52"/>
  <c r="M77" i="52"/>
  <c r="J77" i="52"/>
  <c r="D77" i="52"/>
  <c r="Z76" i="52"/>
  <c r="Y76" i="52"/>
  <c r="X76" i="52"/>
  <c r="W76" i="52"/>
  <c r="R76" i="52"/>
  <c r="E76" i="52"/>
  <c r="BG71" i="52" s="1"/>
  <c r="AA71" i="52" s="1"/>
  <c r="Z75" i="52"/>
  <c r="Y75" i="52"/>
  <c r="X75" i="52"/>
  <c r="W75" i="52"/>
  <c r="R75" i="52"/>
  <c r="P75" i="52"/>
  <c r="S75" i="52" s="1"/>
  <c r="N75" i="52"/>
  <c r="M75" i="52"/>
  <c r="Z74" i="52"/>
  <c r="Y74" i="52"/>
  <c r="X74" i="52"/>
  <c r="W74" i="52"/>
  <c r="R74" i="52"/>
  <c r="P74" i="52"/>
  <c r="S74" i="52" s="1"/>
  <c r="N74" i="52"/>
  <c r="M74" i="52"/>
  <c r="GG73" i="52"/>
  <c r="FR73" i="52"/>
  <c r="FC73" i="52"/>
  <c r="EO73" i="52"/>
  <c r="EN73" i="52"/>
  <c r="DP73" i="52"/>
  <c r="DO73" i="52"/>
  <c r="DN73" i="52"/>
  <c r="DM73" i="52"/>
  <c r="DL73" i="52"/>
  <c r="DK73" i="52"/>
  <c r="DJ73" i="52"/>
  <c r="DI73" i="52"/>
  <c r="DH73" i="52"/>
  <c r="DG73" i="52"/>
  <c r="DF73" i="52"/>
  <c r="DE73" i="52"/>
  <c r="DA73" i="52"/>
  <c r="CZ73" i="52"/>
  <c r="CY73" i="52"/>
  <c r="CX73" i="52"/>
  <c r="CW73" i="52"/>
  <c r="CV73" i="52"/>
  <c r="CU73" i="52"/>
  <c r="CT73" i="52"/>
  <c r="CS73" i="52"/>
  <c r="CR73" i="52"/>
  <c r="CQ73" i="52"/>
  <c r="CP73" i="52"/>
  <c r="CJ73" i="52"/>
  <c r="CI73" i="52"/>
  <c r="CH73" i="52"/>
  <c r="CG73" i="52"/>
  <c r="CF73" i="52"/>
  <c r="CE73" i="52"/>
  <c r="CD73" i="52"/>
  <c r="CC73" i="52"/>
  <c r="CB73" i="52"/>
  <c r="CA73" i="52"/>
  <c r="BZ73" i="52"/>
  <c r="BY73" i="52"/>
  <c r="BU73" i="52"/>
  <c r="BT73" i="52"/>
  <c r="BS73" i="52"/>
  <c r="BR73" i="52"/>
  <c r="BQ73" i="52"/>
  <c r="BP73" i="52"/>
  <c r="BO73" i="52"/>
  <c r="BN73" i="52"/>
  <c r="BM73" i="52"/>
  <c r="BL73" i="52"/>
  <c r="BK73" i="52"/>
  <c r="BJ73" i="52"/>
  <c r="Z73" i="52"/>
  <c r="Y73" i="52"/>
  <c r="X73" i="52"/>
  <c r="W73" i="52"/>
  <c r="R73" i="52"/>
  <c r="L73" i="52"/>
  <c r="GG72" i="52"/>
  <c r="FR72" i="52"/>
  <c r="FC72" i="52"/>
  <c r="EO72" i="52"/>
  <c r="EN72" i="52"/>
  <c r="DP72" i="52"/>
  <c r="DO72" i="52"/>
  <c r="DN72" i="52"/>
  <c r="DM72" i="52"/>
  <c r="DL72" i="52"/>
  <c r="DK72" i="52"/>
  <c r="DJ72" i="52"/>
  <c r="DI72" i="52"/>
  <c r="DH72" i="52"/>
  <c r="DG72" i="52"/>
  <c r="DF72" i="52"/>
  <c r="DE72" i="52"/>
  <c r="DA72" i="52"/>
  <c r="CZ72" i="52"/>
  <c r="CY72" i="52"/>
  <c r="CX72" i="52"/>
  <c r="CW72" i="52"/>
  <c r="CV72" i="52"/>
  <c r="CU72" i="52"/>
  <c r="CT72" i="52"/>
  <c r="CS72" i="52"/>
  <c r="CR72" i="52"/>
  <c r="CQ72" i="52"/>
  <c r="CP72" i="52"/>
  <c r="CJ72" i="52"/>
  <c r="CI72" i="52"/>
  <c r="CH72" i="52"/>
  <c r="CG72" i="52"/>
  <c r="CF72" i="52"/>
  <c r="CE72" i="52"/>
  <c r="CD72" i="52"/>
  <c r="CC72" i="52"/>
  <c r="CB72" i="52"/>
  <c r="CA72" i="52"/>
  <c r="BZ72" i="52"/>
  <c r="BY72" i="52"/>
  <c r="BU72" i="52"/>
  <c r="BT72" i="52"/>
  <c r="BS72" i="52"/>
  <c r="BR72" i="52"/>
  <c r="BQ72" i="52"/>
  <c r="BP72" i="52"/>
  <c r="BO72" i="52"/>
  <c r="BN72" i="52"/>
  <c r="BM72" i="52"/>
  <c r="BL72" i="52"/>
  <c r="BK72" i="52"/>
  <c r="BJ72" i="52"/>
  <c r="Z72" i="52"/>
  <c r="Y72" i="52"/>
  <c r="X72" i="52"/>
  <c r="W72" i="52"/>
  <c r="R72" i="52"/>
  <c r="GG71" i="52"/>
  <c r="FR71" i="52"/>
  <c r="FC71" i="52"/>
  <c r="EO71" i="52"/>
  <c r="EN71" i="52"/>
  <c r="DP71" i="52"/>
  <c r="DO71" i="52"/>
  <c r="DN71" i="52"/>
  <c r="DM71" i="52"/>
  <c r="DL71" i="52"/>
  <c r="DK71" i="52"/>
  <c r="DJ71" i="52"/>
  <c r="DI71" i="52"/>
  <c r="DH71" i="52"/>
  <c r="DG71" i="52"/>
  <c r="DF71" i="52"/>
  <c r="DE71" i="52"/>
  <c r="DA71" i="52"/>
  <c r="CZ71" i="52"/>
  <c r="CY71" i="52"/>
  <c r="CX71" i="52"/>
  <c r="CW71" i="52"/>
  <c r="CV71" i="52"/>
  <c r="CU71" i="52"/>
  <c r="CT71" i="52"/>
  <c r="CS71" i="52"/>
  <c r="CR71" i="52"/>
  <c r="CQ71" i="52"/>
  <c r="CP71" i="52"/>
  <c r="CJ71" i="52"/>
  <c r="CI71" i="52"/>
  <c r="CH71" i="52"/>
  <c r="CG71" i="52"/>
  <c r="CF71" i="52"/>
  <c r="CE71" i="52"/>
  <c r="CD71" i="52"/>
  <c r="CC71" i="52"/>
  <c r="CB71" i="52"/>
  <c r="CA71" i="52"/>
  <c r="BZ71" i="52"/>
  <c r="BY71" i="52"/>
  <c r="BU71" i="52"/>
  <c r="BT71" i="52"/>
  <c r="BS71" i="52"/>
  <c r="BR71" i="52"/>
  <c r="BQ71" i="52"/>
  <c r="BP71" i="52"/>
  <c r="BO71" i="52"/>
  <c r="BN71" i="52"/>
  <c r="BM71" i="52"/>
  <c r="BL71" i="52"/>
  <c r="BK71" i="52"/>
  <c r="BJ71" i="52"/>
  <c r="Z71" i="52"/>
  <c r="Y71" i="52"/>
  <c r="X71" i="52"/>
  <c r="W71" i="52"/>
  <c r="R71" i="52"/>
  <c r="L71" i="52"/>
  <c r="GQ70" i="52"/>
  <c r="GP70" i="52"/>
  <c r="GO70" i="52"/>
  <c r="GN70" i="52"/>
  <c r="GM70" i="52"/>
  <c r="GL70" i="52"/>
  <c r="GK70" i="52"/>
  <c r="GJ70" i="52"/>
  <c r="GI70" i="52"/>
  <c r="GH70" i="52"/>
  <c r="GG70" i="52"/>
  <c r="GF70" i="52"/>
  <c r="GB70" i="52"/>
  <c r="GA70" i="52"/>
  <c r="FZ70" i="52"/>
  <c r="FY70" i="52"/>
  <c r="FX70" i="52"/>
  <c r="FW70" i="52"/>
  <c r="FV70" i="52"/>
  <c r="FU70" i="52"/>
  <c r="FT70" i="52"/>
  <c r="FS70" i="52"/>
  <c r="FR70" i="52"/>
  <c r="FQ70" i="52"/>
  <c r="FM70" i="52"/>
  <c r="FL70" i="52"/>
  <c r="FK70" i="52"/>
  <c r="FJ70" i="52"/>
  <c r="FI70" i="52"/>
  <c r="FH70" i="52"/>
  <c r="FG70" i="52"/>
  <c r="FF70" i="52"/>
  <c r="FE70" i="52"/>
  <c r="FD70" i="52"/>
  <c r="FC70" i="52"/>
  <c r="FB70" i="52"/>
  <c r="EX70" i="52"/>
  <c r="EW70" i="52"/>
  <c r="EV70" i="52"/>
  <c r="EU70" i="52"/>
  <c r="ET70" i="52"/>
  <c r="ES70" i="52"/>
  <c r="ER70" i="52"/>
  <c r="EQ70" i="52"/>
  <c r="EP70" i="52"/>
  <c r="EO70" i="52"/>
  <c r="EN70" i="52"/>
  <c r="EM70" i="52"/>
  <c r="DP70" i="52"/>
  <c r="DO70" i="52"/>
  <c r="DN70" i="52"/>
  <c r="DM70" i="52"/>
  <c r="DL70" i="52"/>
  <c r="DK70" i="52"/>
  <c r="DJ70" i="52"/>
  <c r="DI70" i="52"/>
  <c r="DH70" i="52"/>
  <c r="DG70" i="52"/>
  <c r="DF70" i="52"/>
  <c r="DE70" i="52"/>
  <c r="DA70" i="52"/>
  <c r="CZ70" i="52"/>
  <c r="CY70" i="52"/>
  <c r="CX70" i="52"/>
  <c r="CW70" i="52"/>
  <c r="CV70" i="52"/>
  <c r="CU70" i="52"/>
  <c r="CT70" i="52"/>
  <c r="CS70" i="52"/>
  <c r="CR70" i="52"/>
  <c r="CQ70" i="52"/>
  <c r="CP70" i="52"/>
  <c r="CJ70" i="52"/>
  <c r="CI70" i="52"/>
  <c r="CH70" i="52"/>
  <c r="CG70" i="52"/>
  <c r="CF70" i="52"/>
  <c r="CE70" i="52"/>
  <c r="CD70" i="52"/>
  <c r="CC70" i="52"/>
  <c r="CB70" i="52"/>
  <c r="CA70" i="52"/>
  <c r="BZ70" i="52"/>
  <c r="BY70" i="52"/>
  <c r="BU70" i="52"/>
  <c r="BT70" i="52"/>
  <c r="BS70" i="52"/>
  <c r="BR70" i="52"/>
  <c r="BQ70" i="52"/>
  <c r="BP70" i="52"/>
  <c r="BO70" i="52"/>
  <c r="BN70" i="52"/>
  <c r="BM70" i="52"/>
  <c r="BL70" i="52"/>
  <c r="BK70" i="52"/>
  <c r="BJ70" i="52"/>
  <c r="Z70" i="52"/>
  <c r="Y70" i="52"/>
  <c r="X70" i="52"/>
  <c r="W70" i="52"/>
  <c r="R70" i="52"/>
  <c r="L70" i="52"/>
  <c r="P70" i="52" s="1"/>
  <c r="S70" i="52" s="1"/>
  <c r="Z69" i="52"/>
  <c r="Y69" i="52"/>
  <c r="X69" i="52"/>
  <c r="W69" i="52"/>
  <c r="R69" i="52"/>
  <c r="L69" i="52"/>
  <c r="Z68" i="52"/>
  <c r="Y68" i="52"/>
  <c r="X68" i="52"/>
  <c r="W68" i="52"/>
  <c r="R68" i="52"/>
  <c r="L68" i="52"/>
  <c r="M68" i="52" s="1"/>
  <c r="GV67" i="52"/>
  <c r="GG67" i="52"/>
  <c r="FR67" i="52"/>
  <c r="FC67" i="52"/>
  <c r="EO67" i="52"/>
  <c r="EN67" i="52"/>
  <c r="EG67" i="52"/>
  <c r="EF67" i="52"/>
  <c r="EE67" i="52"/>
  <c r="ED67" i="52"/>
  <c r="EC67" i="52"/>
  <c r="EB67" i="52"/>
  <c r="EA67" i="52"/>
  <c r="DZ67" i="52"/>
  <c r="DY67" i="52"/>
  <c r="DX67" i="52"/>
  <c r="DW67" i="52"/>
  <c r="DV67" i="52"/>
  <c r="DP67" i="52"/>
  <c r="DO67" i="52"/>
  <c r="DN67" i="52"/>
  <c r="DM67" i="52"/>
  <c r="DL67" i="52"/>
  <c r="DK67" i="52"/>
  <c r="DJ67" i="52"/>
  <c r="DI67" i="52"/>
  <c r="DH67" i="52"/>
  <c r="DG67" i="52"/>
  <c r="DF67" i="52"/>
  <c r="DE67" i="52"/>
  <c r="DA67" i="52"/>
  <c r="CZ67" i="52"/>
  <c r="CY67" i="52"/>
  <c r="CX67" i="52"/>
  <c r="CW67" i="52"/>
  <c r="CV67" i="52"/>
  <c r="CU67" i="52"/>
  <c r="CT67" i="52"/>
  <c r="CS67" i="52"/>
  <c r="CR67" i="52"/>
  <c r="CQ67" i="52"/>
  <c r="CP67" i="52"/>
  <c r="CJ67" i="52"/>
  <c r="CI67" i="52"/>
  <c r="CH67" i="52"/>
  <c r="CG67" i="52"/>
  <c r="CF67" i="52"/>
  <c r="CE67" i="52"/>
  <c r="CD67" i="52"/>
  <c r="CC67" i="52"/>
  <c r="CB67" i="52"/>
  <c r="CA67" i="52"/>
  <c r="BZ67" i="52"/>
  <c r="BY67" i="52"/>
  <c r="BU67" i="52"/>
  <c r="BT67" i="52"/>
  <c r="BS67" i="52"/>
  <c r="BR67" i="52"/>
  <c r="BQ67" i="52"/>
  <c r="BP67" i="52"/>
  <c r="BO67" i="52"/>
  <c r="BN67" i="52"/>
  <c r="BM67" i="52"/>
  <c r="BL67" i="52"/>
  <c r="BK67" i="52"/>
  <c r="BJ67" i="52"/>
  <c r="Z67" i="52"/>
  <c r="Y67" i="52"/>
  <c r="X67" i="52"/>
  <c r="W67" i="52"/>
  <c r="R67" i="52"/>
  <c r="L67" i="52"/>
  <c r="GV66" i="52"/>
  <c r="GG66" i="52"/>
  <c r="FR66" i="52"/>
  <c r="FC66" i="52"/>
  <c r="EO66" i="52"/>
  <c r="EN66" i="52"/>
  <c r="EG66" i="52"/>
  <c r="EF66" i="52"/>
  <c r="EE66" i="52"/>
  <c r="ED66" i="52"/>
  <c r="EC66" i="52"/>
  <c r="EB66" i="52"/>
  <c r="EA66" i="52"/>
  <c r="DZ66" i="52"/>
  <c r="DY66" i="52"/>
  <c r="DX66" i="52"/>
  <c r="DW66" i="52"/>
  <c r="DV66" i="52"/>
  <c r="DP66" i="52"/>
  <c r="DO66" i="52"/>
  <c r="DN66" i="52"/>
  <c r="DM66" i="52"/>
  <c r="DL66" i="52"/>
  <c r="DK66" i="52"/>
  <c r="DJ66" i="52"/>
  <c r="DI66" i="52"/>
  <c r="DH66" i="52"/>
  <c r="DG66" i="52"/>
  <c r="DF66" i="52"/>
  <c r="DE66" i="52"/>
  <c r="DA66" i="52"/>
  <c r="CZ66" i="52"/>
  <c r="CY66" i="52"/>
  <c r="CX66" i="52"/>
  <c r="CW66" i="52"/>
  <c r="CV66" i="52"/>
  <c r="CU66" i="52"/>
  <c r="CT66" i="52"/>
  <c r="CS66" i="52"/>
  <c r="CR66" i="52"/>
  <c r="CQ66" i="52"/>
  <c r="CP66" i="52"/>
  <c r="CJ66" i="52"/>
  <c r="CI66" i="52"/>
  <c r="CH66" i="52"/>
  <c r="CG66" i="52"/>
  <c r="CF66" i="52"/>
  <c r="CE66" i="52"/>
  <c r="CD66" i="52"/>
  <c r="CC66" i="52"/>
  <c r="CB66" i="52"/>
  <c r="CA66" i="52"/>
  <c r="BZ66" i="52"/>
  <c r="BY66" i="52"/>
  <c r="BU66" i="52"/>
  <c r="BT66" i="52"/>
  <c r="BS66" i="52"/>
  <c r="BR66" i="52"/>
  <c r="BQ66" i="52"/>
  <c r="BP66" i="52"/>
  <c r="BO66" i="52"/>
  <c r="BN66" i="52"/>
  <c r="BM66" i="52"/>
  <c r="BL66" i="52"/>
  <c r="BK66" i="52"/>
  <c r="BJ66" i="52"/>
  <c r="Z66" i="52"/>
  <c r="Y66" i="52"/>
  <c r="X66" i="52"/>
  <c r="W66" i="52"/>
  <c r="GV65" i="52"/>
  <c r="GG65" i="52"/>
  <c r="FR65" i="52"/>
  <c r="FC65" i="52"/>
  <c r="EO65" i="52"/>
  <c r="EN65" i="52"/>
  <c r="EG65" i="52"/>
  <c r="EF65" i="52"/>
  <c r="EE65" i="52"/>
  <c r="ED65" i="52"/>
  <c r="EC65" i="52"/>
  <c r="EB65" i="52"/>
  <c r="EA65" i="52"/>
  <c r="DZ65" i="52"/>
  <c r="DY65" i="52"/>
  <c r="DX65" i="52"/>
  <c r="DW65" i="52"/>
  <c r="DV65" i="52"/>
  <c r="DP65" i="52"/>
  <c r="DO65" i="52"/>
  <c r="DN65" i="52"/>
  <c r="DM65" i="52"/>
  <c r="DL65" i="52"/>
  <c r="DK65" i="52"/>
  <c r="DJ65" i="52"/>
  <c r="DI65" i="52"/>
  <c r="DH65" i="52"/>
  <c r="DG65" i="52"/>
  <c r="DF65" i="52"/>
  <c r="DE65" i="52"/>
  <c r="DA65" i="52"/>
  <c r="CZ65" i="52"/>
  <c r="CY65" i="52"/>
  <c r="CX65" i="52"/>
  <c r="CW65" i="52"/>
  <c r="CV65" i="52"/>
  <c r="CU65" i="52"/>
  <c r="CT65" i="52"/>
  <c r="CS65" i="52"/>
  <c r="CR65" i="52"/>
  <c r="CQ65" i="52"/>
  <c r="CP65" i="52"/>
  <c r="CJ65" i="52"/>
  <c r="CI65" i="52"/>
  <c r="CH65" i="52"/>
  <c r="CG65" i="52"/>
  <c r="CF65" i="52"/>
  <c r="CE65" i="52"/>
  <c r="CD65" i="52"/>
  <c r="CC65" i="52"/>
  <c r="CB65" i="52"/>
  <c r="CA65" i="52"/>
  <c r="BZ65" i="52"/>
  <c r="BY65" i="52"/>
  <c r="BU65" i="52"/>
  <c r="BT65" i="52"/>
  <c r="BS65" i="52"/>
  <c r="BR65" i="52"/>
  <c r="BQ65" i="52"/>
  <c r="BP65" i="52"/>
  <c r="BO65" i="52"/>
  <c r="BN65" i="52"/>
  <c r="BM65" i="52"/>
  <c r="BL65" i="52"/>
  <c r="BK65" i="52"/>
  <c r="BJ65" i="52"/>
  <c r="Z65" i="52"/>
  <c r="Y65" i="52"/>
  <c r="X65" i="52"/>
  <c r="W65" i="52"/>
  <c r="L65" i="52"/>
  <c r="HF64" i="52"/>
  <c r="HE64" i="52"/>
  <c r="HD64" i="52"/>
  <c r="HC64" i="52"/>
  <c r="HB64" i="52"/>
  <c r="HA64" i="52"/>
  <c r="GZ64" i="52"/>
  <c r="GY64" i="52"/>
  <c r="GX64" i="52"/>
  <c r="GW64" i="52"/>
  <c r="GV64" i="52"/>
  <c r="GU64" i="52"/>
  <c r="GQ64" i="52"/>
  <c r="GP64" i="52"/>
  <c r="GO64" i="52"/>
  <c r="GN64" i="52"/>
  <c r="GM64" i="52"/>
  <c r="GL64" i="52"/>
  <c r="GK64" i="52"/>
  <c r="GJ64" i="52"/>
  <c r="GI64" i="52"/>
  <c r="GH64" i="52"/>
  <c r="GG64" i="52"/>
  <c r="GF64" i="52"/>
  <c r="GB64" i="52"/>
  <c r="GA64" i="52"/>
  <c r="FZ64" i="52"/>
  <c r="FY64" i="52"/>
  <c r="FX64" i="52"/>
  <c r="FW64" i="52"/>
  <c r="FV64" i="52"/>
  <c r="FU64" i="52"/>
  <c r="FT64" i="52"/>
  <c r="FS64" i="52"/>
  <c r="FR64" i="52"/>
  <c r="FQ64" i="52"/>
  <c r="FM64" i="52"/>
  <c r="FL64" i="52"/>
  <c r="FK64" i="52"/>
  <c r="FJ64" i="52"/>
  <c r="FI64" i="52"/>
  <c r="FH64" i="52"/>
  <c r="FG64" i="52"/>
  <c r="FF64" i="52"/>
  <c r="FE64" i="52"/>
  <c r="FD64" i="52"/>
  <c r="FC64" i="52"/>
  <c r="FB64" i="52"/>
  <c r="EX64" i="52"/>
  <c r="EW64" i="52"/>
  <c r="EV64" i="52"/>
  <c r="EU64" i="52"/>
  <c r="ET64" i="52"/>
  <c r="ES64" i="52"/>
  <c r="ER64" i="52"/>
  <c r="EQ64" i="52"/>
  <c r="EP64" i="52"/>
  <c r="EO64" i="52"/>
  <c r="EN64" i="52"/>
  <c r="EM64" i="52"/>
  <c r="EG64" i="52"/>
  <c r="EF64" i="52"/>
  <c r="EE64" i="52"/>
  <c r="ED64" i="52"/>
  <c r="EC64" i="52"/>
  <c r="EB64" i="52"/>
  <c r="EA64" i="52"/>
  <c r="DZ64" i="52"/>
  <c r="DY64" i="52"/>
  <c r="DX64" i="52"/>
  <c r="DW64" i="52"/>
  <c r="DV64" i="52"/>
  <c r="DP64" i="52"/>
  <c r="DO64" i="52"/>
  <c r="DN64" i="52"/>
  <c r="DM64" i="52"/>
  <c r="DL64" i="52"/>
  <c r="DK64" i="52"/>
  <c r="DJ64" i="52"/>
  <c r="DI64" i="52"/>
  <c r="DH64" i="52"/>
  <c r="DG64" i="52"/>
  <c r="DF64" i="52"/>
  <c r="DE64" i="52"/>
  <c r="DA64" i="52"/>
  <c r="CZ64" i="52"/>
  <c r="CY64" i="52"/>
  <c r="CX64" i="52"/>
  <c r="CW64" i="52"/>
  <c r="CV64" i="52"/>
  <c r="CU64" i="52"/>
  <c r="CT64" i="52"/>
  <c r="CS64" i="52"/>
  <c r="CR64" i="52"/>
  <c r="CQ64" i="52"/>
  <c r="CP64" i="52"/>
  <c r="CJ64" i="52"/>
  <c r="CI64" i="52"/>
  <c r="CH64" i="52"/>
  <c r="CG64" i="52"/>
  <c r="CF64" i="52"/>
  <c r="CE64" i="52"/>
  <c r="CD64" i="52"/>
  <c r="CC64" i="52"/>
  <c r="CB64" i="52"/>
  <c r="CA64" i="52"/>
  <c r="BZ64" i="52"/>
  <c r="BY64" i="52"/>
  <c r="BU64" i="52"/>
  <c r="BT64" i="52"/>
  <c r="BS64" i="52"/>
  <c r="BR64" i="52"/>
  <c r="BQ64" i="52"/>
  <c r="BP64" i="52"/>
  <c r="BO64" i="52"/>
  <c r="BN64" i="52"/>
  <c r="BM64" i="52"/>
  <c r="BL64" i="52"/>
  <c r="BK64" i="52"/>
  <c r="BJ64" i="52"/>
  <c r="R63" i="52"/>
  <c r="P63" i="52"/>
  <c r="S63" i="52" s="1"/>
  <c r="O63" i="52"/>
  <c r="U63" i="52" s="1"/>
  <c r="N63" i="52"/>
  <c r="M63" i="52"/>
  <c r="R62" i="52"/>
  <c r="O62" i="52"/>
  <c r="GV61" i="52"/>
  <c r="GG61" i="52"/>
  <c r="FR61" i="52"/>
  <c r="FD61" i="52"/>
  <c r="FC61" i="52"/>
  <c r="EO61" i="52"/>
  <c r="EG61" i="52"/>
  <c r="EF61" i="52"/>
  <c r="EE61" i="52"/>
  <c r="ED61" i="52"/>
  <c r="EC61" i="52"/>
  <c r="EB61" i="52"/>
  <c r="EA61" i="52"/>
  <c r="DZ61" i="52"/>
  <c r="DY61" i="52"/>
  <c r="DX61" i="52"/>
  <c r="DW61" i="52"/>
  <c r="DV61" i="52"/>
  <c r="DP61" i="52"/>
  <c r="DO61" i="52"/>
  <c r="DN61" i="52"/>
  <c r="DM61" i="52"/>
  <c r="DL61" i="52"/>
  <c r="DK61" i="52"/>
  <c r="DJ61" i="52"/>
  <c r="DI61" i="52"/>
  <c r="DH61" i="52"/>
  <c r="DG61" i="52"/>
  <c r="DF61" i="52"/>
  <c r="DE61" i="52"/>
  <c r="DA61" i="52"/>
  <c r="CZ61" i="52"/>
  <c r="CY61" i="52"/>
  <c r="CX61" i="52"/>
  <c r="CW61" i="52"/>
  <c r="CV61" i="52"/>
  <c r="CU61" i="52"/>
  <c r="CT61" i="52"/>
  <c r="CS61" i="52"/>
  <c r="CR61" i="52"/>
  <c r="CQ61" i="52"/>
  <c r="CP61" i="52"/>
  <c r="CJ61" i="52"/>
  <c r="CI61" i="52"/>
  <c r="CH61" i="52"/>
  <c r="CG61" i="52"/>
  <c r="CF61" i="52"/>
  <c r="CE61" i="52"/>
  <c r="CD61" i="52"/>
  <c r="CC61" i="52"/>
  <c r="CB61" i="52"/>
  <c r="CA61" i="52"/>
  <c r="BZ61" i="52"/>
  <c r="BY61" i="52"/>
  <c r="BU61" i="52"/>
  <c r="BT61" i="52"/>
  <c r="BS61" i="52"/>
  <c r="BR61" i="52"/>
  <c r="BQ61" i="52"/>
  <c r="BP61" i="52"/>
  <c r="BO61" i="52"/>
  <c r="BN61" i="52"/>
  <c r="BM61" i="52"/>
  <c r="BL61" i="52"/>
  <c r="BK61" i="52"/>
  <c r="BJ61" i="52"/>
  <c r="GV60" i="52"/>
  <c r="GG60" i="52"/>
  <c r="FR60" i="52"/>
  <c r="FD60" i="52"/>
  <c r="FC60" i="52"/>
  <c r="EO60" i="52"/>
  <c r="EG60" i="52"/>
  <c r="EF60" i="52"/>
  <c r="EE60" i="52"/>
  <c r="ED60" i="52"/>
  <c r="EC60" i="52"/>
  <c r="EB60" i="52"/>
  <c r="EA60" i="52"/>
  <c r="DZ60" i="52"/>
  <c r="DY60" i="52"/>
  <c r="DX60" i="52"/>
  <c r="DW60" i="52"/>
  <c r="DV60" i="52"/>
  <c r="DP60" i="52"/>
  <c r="DO60" i="52"/>
  <c r="DN60" i="52"/>
  <c r="DM60" i="52"/>
  <c r="DL60" i="52"/>
  <c r="DK60" i="52"/>
  <c r="DJ60" i="52"/>
  <c r="DI60" i="52"/>
  <c r="DH60" i="52"/>
  <c r="DG60" i="52"/>
  <c r="DF60" i="52"/>
  <c r="DE60" i="52"/>
  <c r="DA60" i="52"/>
  <c r="CZ60" i="52"/>
  <c r="CY60" i="52"/>
  <c r="CX60" i="52"/>
  <c r="CW60" i="52"/>
  <c r="CV60" i="52"/>
  <c r="CU60" i="52"/>
  <c r="CT60" i="52"/>
  <c r="CS60" i="52"/>
  <c r="CR60" i="52"/>
  <c r="CQ60" i="52"/>
  <c r="CP60" i="52"/>
  <c r="CJ60" i="52"/>
  <c r="CI60" i="52"/>
  <c r="CH60" i="52"/>
  <c r="CG60" i="52"/>
  <c r="CF60" i="52"/>
  <c r="CE60" i="52"/>
  <c r="CD60" i="52"/>
  <c r="CC60" i="52"/>
  <c r="CB60" i="52"/>
  <c r="CA60" i="52"/>
  <c r="BZ60" i="52"/>
  <c r="BY60" i="52"/>
  <c r="BU60" i="52"/>
  <c r="BT60" i="52"/>
  <c r="BS60" i="52"/>
  <c r="BR60" i="52"/>
  <c r="BQ60" i="52"/>
  <c r="BP60" i="52"/>
  <c r="BO60" i="52"/>
  <c r="BN60" i="52"/>
  <c r="BM60" i="52"/>
  <c r="BL60" i="52"/>
  <c r="BK60" i="52"/>
  <c r="BJ60" i="52"/>
  <c r="R60" i="52"/>
  <c r="P60" i="52"/>
  <c r="O60" i="52"/>
  <c r="U60" i="52" s="1"/>
  <c r="N60" i="52"/>
  <c r="M60" i="52"/>
  <c r="GV59" i="52"/>
  <c r="GG59" i="52"/>
  <c r="FR59" i="52"/>
  <c r="FD59" i="52"/>
  <c r="FC59" i="52"/>
  <c r="EO59" i="52"/>
  <c r="EG59" i="52"/>
  <c r="EF59" i="52"/>
  <c r="EE59" i="52"/>
  <c r="ED59" i="52"/>
  <c r="EC59" i="52"/>
  <c r="EB59" i="52"/>
  <c r="EA59" i="52"/>
  <c r="DZ59" i="52"/>
  <c r="DY59" i="52"/>
  <c r="DX59" i="52"/>
  <c r="DW59" i="52"/>
  <c r="DV59" i="52"/>
  <c r="DP59" i="52"/>
  <c r="DO59" i="52"/>
  <c r="DN59" i="52"/>
  <c r="DM59" i="52"/>
  <c r="DL59" i="52"/>
  <c r="DK59" i="52"/>
  <c r="DJ59" i="52"/>
  <c r="DI59" i="52"/>
  <c r="DH59" i="52"/>
  <c r="DG59" i="52"/>
  <c r="DF59" i="52"/>
  <c r="DE59" i="52"/>
  <c r="DA59" i="52"/>
  <c r="CZ59" i="52"/>
  <c r="CY59" i="52"/>
  <c r="CX59" i="52"/>
  <c r="CW59" i="52"/>
  <c r="CV59" i="52"/>
  <c r="CU59" i="52"/>
  <c r="CT59" i="52"/>
  <c r="CS59" i="52"/>
  <c r="CR59" i="52"/>
  <c r="CQ59" i="52"/>
  <c r="CP59" i="52"/>
  <c r="CJ59" i="52"/>
  <c r="CI59" i="52"/>
  <c r="CH59" i="52"/>
  <c r="CG59" i="52"/>
  <c r="CF59" i="52"/>
  <c r="CE59" i="52"/>
  <c r="CD59" i="52"/>
  <c r="CC59" i="52"/>
  <c r="CB59" i="52"/>
  <c r="CA59" i="52"/>
  <c r="BZ59" i="52"/>
  <c r="BY59" i="52"/>
  <c r="BU59" i="52"/>
  <c r="BT59" i="52"/>
  <c r="BS59" i="52"/>
  <c r="BR59" i="52"/>
  <c r="BQ59" i="52"/>
  <c r="BP59" i="52"/>
  <c r="BO59" i="52"/>
  <c r="BN59" i="52"/>
  <c r="BM59" i="52"/>
  <c r="BL59" i="52"/>
  <c r="BK59" i="52"/>
  <c r="BJ59" i="52"/>
  <c r="R59" i="52"/>
  <c r="L59" i="52"/>
  <c r="P59" i="52" s="1"/>
  <c r="S59" i="52" s="1"/>
  <c r="HF58" i="52"/>
  <c r="HE58" i="52"/>
  <c r="HD58" i="52"/>
  <c r="HC58" i="52"/>
  <c r="HB58" i="52"/>
  <c r="HA58" i="52"/>
  <c r="GZ58" i="52"/>
  <c r="GY58" i="52"/>
  <c r="GX58" i="52"/>
  <c r="GW58" i="52"/>
  <c r="GV58" i="52"/>
  <c r="GU58" i="52"/>
  <c r="GQ58" i="52"/>
  <c r="GP58" i="52"/>
  <c r="GO58" i="52"/>
  <c r="GN58" i="52"/>
  <c r="GM58" i="52"/>
  <c r="GL58" i="52"/>
  <c r="GK58" i="52"/>
  <c r="GJ58" i="52"/>
  <c r="GI58" i="52"/>
  <c r="GH58" i="52"/>
  <c r="GG58" i="52"/>
  <c r="GF58" i="52"/>
  <c r="GB58" i="52"/>
  <c r="GA58" i="52"/>
  <c r="FZ58" i="52"/>
  <c r="FY58" i="52"/>
  <c r="FX58" i="52"/>
  <c r="FW58" i="52"/>
  <c r="FV58" i="52"/>
  <c r="FU58" i="52"/>
  <c r="FT58" i="52"/>
  <c r="FS58" i="52"/>
  <c r="FR58" i="52"/>
  <c r="FQ58" i="52"/>
  <c r="FM58" i="52"/>
  <c r="FL58" i="52"/>
  <c r="FK58" i="52"/>
  <c r="FJ58" i="52"/>
  <c r="FI58" i="52"/>
  <c r="FH58" i="52"/>
  <c r="FG58" i="52"/>
  <c r="FF58" i="52"/>
  <c r="FE58" i="52"/>
  <c r="FD58" i="52"/>
  <c r="FC58" i="52"/>
  <c r="FB58" i="52"/>
  <c r="EX58" i="52"/>
  <c r="EW58" i="52"/>
  <c r="EV58" i="52"/>
  <c r="EU58" i="52"/>
  <c r="ET58" i="52"/>
  <c r="ES58" i="52"/>
  <c r="ER58" i="52"/>
  <c r="EQ58" i="52"/>
  <c r="EP58" i="52"/>
  <c r="EO58" i="52"/>
  <c r="EN58" i="52"/>
  <c r="EM58" i="52"/>
  <c r="EG58" i="52"/>
  <c r="EF58" i="52"/>
  <c r="EE58" i="52"/>
  <c r="ED58" i="52"/>
  <c r="EC58" i="52"/>
  <c r="EB58" i="52"/>
  <c r="EA58" i="52"/>
  <c r="DZ58" i="52"/>
  <c r="DY58" i="52"/>
  <c r="DX58" i="52"/>
  <c r="DW58" i="52"/>
  <c r="DV58" i="52"/>
  <c r="DP58" i="52"/>
  <c r="DO58" i="52"/>
  <c r="DN58" i="52"/>
  <c r="DM58" i="52"/>
  <c r="DL58" i="52"/>
  <c r="DK58" i="52"/>
  <c r="DJ58" i="52"/>
  <c r="DI58" i="52"/>
  <c r="DH58" i="52"/>
  <c r="DG58" i="52"/>
  <c r="DF58" i="52"/>
  <c r="DE58" i="52"/>
  <c r="DA58" i="52"/>
  <c r="CZ58" i="52"/>
  <c r="CY58" i="52"/>
  <c r="CX58" i="52"/>
  <c r="CW58" i="52"/>
  <c r="CV58" i="52"/>
  <c r="CU58" i="52"/>
  <c r="CT58" i="52"/>
  <c r="CS58" i="52"/>
  <c r="CR58" i="52"/>
  <c r="CQ58" i="52"/>
  <c r="CP58" i="52"/>
  <c r="CJ58" i="52"/>
  <c r="CI58" i="52"/>
  <c r="CH58" i="52"/>
  <c r="CG58" i="52"/>
  <c r="CF58" i="52"/>
  <c r="CE58" i="52"/>
  <c r="CD58" i="52"/>
  <c r="CC58" i="52"/>
  <c r="CB58" i="52"/>
  <c r="CA58" i="52"/>
  <c r="BZ58" i="52"/>
  <c r="BY58" i="52"/>
  <c r="BU58" i="52"/>
  <c r="BT58" i="52"/>
  <c r="BS58" i="52"/>
  <c r="BR58" i="52"/>
  <c r="BQ58" i="52"/>
  <c r="BP58" i="52"/>
  <c r="BO58" i="52"/>
  <c r="BN58" i="52"/>
  <c r="BM58" i="52"/>
  <c r="BL58" i="52"/>
  <c r="BK58" i="52"/>
  <c r="BJ58" i="52"/>
  <c r="R58" i="52"/>
  <c r="P58" i="52"/>
  <c r="S58" i="52" s="1"/>
  <c r="N58" i="52"/>
  <c r="M58" i="52"/>
  <c r="R57" i="52"/>
  <c r="P57" i="52"/>
  <c r="S57" i="52" s="1"/>
  <c r="N57" i="52"/>
  <c r="M57" i="52"/>
  <c r="R56" i="52"/>
  <c r="P56" i="52"/>
  <c r="S56" i="52" s="1"/>
  <c r="N56" i="52"/>
  <c r="M56" i="52"/>
  <c r="R55" i="52"/>
  <c r="P55" i="52"/>
  <c r="S55" i="52" s="1"/>
  <c r="N55" i="52"/>
  <c r="M55" i="52"/>
  <c r="R54" i="52"/>
  <c r="P54" i="52"/>
  <c r="S54" i="52" s="1"/>
  <c r="N54" i="52"/>
  <c r="M54" i="52"/>
  <c r="R53" i="52"/>
  <c r="P53" i="52"/>
  <c r="S53" i="52" s="1"/>
  <c r="N53" i="52"/>
  <c r="M53" i="52"/>
  <c r="R52" i="52"/>
  <c r="L52" i="52"/>
  <c r="M52" i="52" s="1"/>
  <c r="R51" i="52"/>
  <c r="O51" i="52"/>
  <c r="L51" i="52"/>
  <c r="Z50" i="52"/>
  <c r="Y50" i="52"/>
  <c r="X50" i="52"/>
  <c r="W50" i="52"/>
  <c r="R50" i="52"/>
  <c r="O50" i="52"/>
  <c r="L50" i="52"/>
  <c r="Z49" i="52"/>
  <c r="Y49" i="52"/>
  <c r="X49" i="52"/>
  <c r="W49" i="52"/>
  <c r="R49" i="52"/>
  <c r="P49" i="52"/>
  <c r="S49" i="52" s="1"/>
  <c r="N49" i="52"/>
  <c r="M49" i="52"/>
  <c r="Z48" i="52"/>
  <c r="Y48" i="52"/>
  <c r="X48" i="52"/>
  <c r="W48" i="52"/>
  <c r="R48" i="52"/>
  <c r="P48" i="52"/>
  <c r="S48" i="52" s="1"/>
  <c r="N48" i="52"/>
  <c r="M48" i="52"/>
  <c r="Z47" i="52"/>
  <c r="Y47" i="52"/>
  <c r="X47" i="52"/>
  <c r="W47" i="52"/>
  <c r="R47" i="52"/>
  <c r="P47" i="52"/>
  <c r="S47" i="52" s="1"/>
  <c r="N47" i="52"/>
  <c r="M47" i="52"/>
  <c r="GG46" i="52"/>
  <c r="FR46" i="52"/>
  <c r="FC46" i="52"/>
  <c r="EO46" i="52"/>
  <c r="EN46" i="52"/>
  <c r="DP46" i="52"/>
  <c r="DO46" i="52"/>
  <c r="DN46" i="52"/>
  <c r="DM46" i="52"/>
  <c r="DL46" i="52"/>
  <c r="DK46" i="52"/>
  <c r="DJ46" i="52"/>
  <c r="DI46" i="52"/>
  <c r="DH46" i="52"/>
  <c r="DG46" i="52"/>
  <c r="DF46" i="52"/>
  <c r="DE46" i="52"/>
  <c r="DA46" i="52"/>
  <c r="CZ46" i="52"/>
  <c r="CY46" i="52"/>
  <c r="CX46" i="52"/>
  <c r="CW46" i="52"/>
  <c r="CV46" i="52"/>
  <c r="CU46" i="52"/>
  <c r="CT46" i="52"/>
  <c r="CS46" i="52"/>
  <c r="CR46" i="52"/>
  <c r="CQ46" i="52"/>
  <c r="CP46" i="52"/>
  <c r="CJ46" i="52"/>
  <c r="CI46" i="52"/>
  <c r="CH46" i="52"/>
  <c r="CG46" i="52"/>
  <c r="CF46" i="52"/>
  <c r="CE46" i="52"/>
  <c r="CD46" i="52"/>
  <c r="CC46" i="52"/>
  <c r="CB46" i="52"/>
  <c r="CA46" i="52"/>
  <c r="BZ46" i="52"/>
  <c r="BY46" i="52"/>
  <c r="BU46" i="52"/>
  <c r="BT46" i="52"/>
  <c r="BS46" i="52"/>
  <c r="BR46" i="52"/>
  <c r="BQ46" i="52"/>
  <c r="BP46" i="52"/>
  <c r="BO46" i="52"/>
  <c r="BN46" i="52"/>
  <c r="BM46" i="52"/>
  <c r="BL46" i="52"/>
  <c r="BK46" i="52"/>
  <c r="BJ46" i="52"/>
  <c r="Z46" i="52"/>
  <c r="Y46" i="52"/>
  <c r="X46" i="52"/>
  <c r="W46" i="52"/>
  <c r="R46" i="52"/>
  <c r="P46" i="52"/>
  <c r="S46" i="52" s="1"/>
  <c r="N46" i="52"/>
  <c r="M46" i="52"/>
  <c r="GG45" i="52"/>
  <c r="FR45" i="52"/>
  <c r="FC45" i="52"/>
  <c r="EO45" i="52"/>
  <c r="EN45" i="52"/>
  <c r="DP45" i="52"/>
  <c r="DO45" i="52"/>
  <c r="DN45" i="52"/>
  <c r="DM45" i="52"/>
  <c r="DL45" i="52"/>
  <c r="DK45" i="52"/>
  <c r="DJ45" i="52"/>
  <c r="DI45" i="52"/>
  <c r="DH45" i="52"/>
  <c r="DG45" i="52"/>
  <c r="DF45" i="52"/>
  <c r="DE45" i="52"/>
  <c r="DA45" i="52"/>
  <c r="CZ45" i="52"/>
  <c r="CY45" i="52"/>
  <c r="CX45" i="52"/>
  <c r="CW45" i="52"/>
  <c r="CV45" i="52"/>
  <c r="CU45" i="52"/>
  <c r="CT45" i="52"/>
  <c r="CS45" i="52"/>
  <c r="CR45" i="52"/>
  <c r="CQ45" i="52"/>
  <c r="CP45" i="52"/>
  <c r="CJ45" i="52"/>
  <c r="CI45" i="52"/>
  <c r="CH45" i="52"/>
  <c r="CG45" i="52"/>
  <c r="CF45" i="52"/>
  <c r="CE45" i="52"/>
  <c r="CD45" i="52"/>
  <c r="CC45" i="52"/>
  <c r="CB45" i="52"/>
  <c r="CA45" i="52"/>
  <c r="BZ45" i="52"/>
  <c r="BY45" i="52"/>
  <c r="BU45" i="52"/>
  <c r="BT45" i="52"/>
  <c r="BS45" i="52"/>
  <c r="BR45" i="52"/>
  <c r="BQ45" i="52"/>
  <c r="BP45" i="52"/>
  <c r="BO45" i="52"/>
  <c r="BN45" i="52"/>
  <c r="BM45" i="52"/>
  <c r="BL45" i="52"/>
  <c r="BK45" i="52"/>
  <c r="BJ45" i="52"/>
  <c r="Z45" i="52"/>
  <c r="Y45" i="52"/>
  <c r="X45" i="52"/>
  <c r="W45" i="52"/>
  <c r="R45" i="52"/>
  <c r="P45" i="52"/>
  <c r="S45" i="52" s="1"/>
  <c r="N45" i="52"/>
  <c r="M45" i="52"/>
  <c r="J45" i="52"/>
  <c r="D45" i="52"/>
  <c r="GG44" i="52"/>
  <c r="FR44" i="52"/>
  <c r="FC44" i="52"/>
  <c r="EO44" i="52"/>
  <c r="EN44" i="52"/>
  <c r="DP44" i="52"/>
  <c r="DO44" i="52"/>
  <c r="DN44" i="52"/>
  <c r="DM44" i="52"/>
  <c r="DL44" i="52"/>
  <c r="DK44" i="52"/>
  <c r="DJ44" i="52"/>
  <c r="DI44" i="52"/>
  <c r="DH44" i="52"/>
  <c r="DG44" i="52"/>
  <c r="DF44" i="52"/>
  <c r="DE44" i="52"/>
  <c r="DA44" i="52"/>
  <c r="CZ44" i="52"/>
  <c r="CY44" i="52"/>
  <c r="CX44" i="52"/>
  <c r="CW44" i="52"/>
  <c r="CV44" i="52"/>
  <c r="CU44" i="52"/>
  <c r="CT44" i="52"/>
  <c r="CS44" i="52"/>
  <c r="CR44" i="52"/>
  <c r="CQ44" i="52"/>
  <c r="CP44" i="52"/>
  <c r="CJ44" i="52"/>
  <c r="CI44" i="52"/>
  <c r="CH44" i="52"/>
  <c r="CG44" i="52"/>
  <c r="CF44" i="52"/>
  <c r="CE44" i="52"/>
  <c r="CD44" i="52"/>
  <c r="CC44" i="52"/>
  <c r="CB44" i="52"/>
  <c r="CA44" i="52"/>
  <c r="BZ44" i="52"/>
  <c r="BY44" i="52"/>
  <c r="BU44" i="52"/>
  <c r="BT44" i="52"/>
  <c r="BS44" i="52"/>
  <c r="BR44" i="52"/>
  <c r="BQ44" i="52"/>
  <c r="BP44" i="52"/>
  <c r="BO44" i="52"/>
  <c r="BN44" i="52"/>
  <c r="BM44" i="52"/>
  <c r="BL44" i="52"/>
  <c r="BK44" i="52"/>
  <c r="BJ44" i="52"/>
  <c r="Z44" i="52"/>
  <c r="Y44" i="52"/>
  <c r="X44" i="52"/>
  <c r="W44" i="52"/>
  <c r="R44" i="52"/>
  <c r="E44" i="52"/>
  <c r="BG44" i="52" s="1"/>
  <c r="AA47" i="52" s="1"/>
  <c r="GQ43" i="52"/>
  <c r="GP43" i="52"/>
  <c r="GO43" i="52"/>
  <c r="GN43" i="52"/>
  <c r="GM43" i="52"/>
  <c r="GL43" i="52"/>
  <c r="GK43" i="52"/>
  <c r="GJ43" i="52"/>
  <c r="GI43" i="52"/>
  <c r="GH43" i="52"/>
  <c r="GG43" i="52"/>
  <c r="GF43" i="52"/>
  <c r="GB43" i="52"/>
  <c r="GA43" i="52"/>
  <c r="FZ43" i="52"/>
  <c r="FY43" i="52"/>
  <c r="FX43" i="52"/>
  <c r="FW43" i="52"/>
  <c r="FV43" i="52"/>
  <c r="FU43" i="52"/>
  <c r="FT43" i="52"/>
  <c r="FS43" i="52"/>
  <c r="FR43" i="52"/>
  <c r="FQ43" i="52"/>
  <c r="FM43" i="52"/>
  <c r="FL43" i="52"/>
  <c r="FK43" i="52"/>
  <c r="FJ43" i="52"/>
  <c r="FI43" i="52"/>
  <c r="FH43" i="52"/>
  <c r="FG43" i="52"/>
  <c r="FF43" i="52"/>
  <c r="FE43" i="52"/>
  <c r="FD43" i="52"/>
  <c r="FC43" i="52"/>
  <c r="FB43" i="52"/>
  <c r="EX43" i="52"/>
  <c r="EW43" i="52"/>
  <c r="EV43" i="52"/>
  <c r="EU43" i="52"/>
  <c r="ET43" i="52"/>
  <c r="ES43" i="52"/>
  <c r="ER43" i="52"/>
  <c r="EQ43" i="52"/>
  <c r="EP43" i="52"/>
  <c r="EO43" i="52"/>
  <c r="EN43" i="52"/>
  <c r="EM43" i="52"/>
  <c r="DP43" i="52"/>
  <c r="DO43" i="52"/>
  <c r="DN43" i="52"/>
  <c r="DM43" i="52"/>
  <c r="DL43" i="52"/>
  <c r="DK43" i="52"/>
  <c r="DJ43" i="52"/>
  <c r="DI43" i="52"/>
  <c r="DH43" i="52"/>
  <c r="DG43" i="52"/>
  <c r="DF43" i="52"/>
  <c r="DE43" i="52"/>
  <c r="DA43" i="52"/>
  <c r="CZ43" i="52"/>
  <c r="CY43" i="52"/>
  <c r="CX43" i="52"/>
  <c r="CW43" i="52"/>
  <c r="CV43" i="52"/>
  <c r="CU43" i="52"/>
  <c r="CT43" i="52"/>
  <c r="CS43" i="52"/>
  <c r="CR43" i="52"/>
  <c r="CQ43" i="52"/>
  <c r="CP43" i="52"/>
  <c r="CJ43" i="52"/>
  <c r="CI43" i="52"/>
  <c r="CH43" i="52"/>
  <c r="CG43" i="52"/>
  <c r="CF43" i="52"/>
  <c r="CE43" i="52"/>
  <c r="CD43" i="52"/>
  <c r="CC43" i="52"/>
  <c r="CB43" i="52"/>
  <c r="CA43" i="52"/>
  <c r="BZ43" i="52"/>
  <c r="BY43" i="52"/>
  <c r="BU43" i="52"/>
  <c r="BT43" i="52"/>
  <c r="BS43" i="52"/>
  <c r="BR43" i="52"/>
  <c r="BQ43" i="52"/>
  <c r="BP43" i="52"/>
  <c r="BO43" i="52"/>
  <c r="BN43" i="52"/>
  <c r="BM43" i="52"/>
  <c r="BL43" i="52"/>
  <c r="BK43" i="52"/>
  <c r="BJ43" i="52"/>
  <c r="Z43" i="52"/>
  <c r="Y43" i="52"/>
  <c r="X43" i="52"/>
  <c r="W43" i="52"/>
  <c r="R43" i="52"/>
  <c r="Z42" i="52"/>
  <c r="Y42" i="52"/>
  <c r="X42" i="52"/>
  <c r="W42" i="52"/>
  <c r="R42" i="52"/>
  <c r="Z41" i="52"/>
  <c r="Y41" i="52"/>
  <c r="X41" i="52"/>
  <c r="W41" i="52"/>
  <c r="R41" i="52"/>
  <c r="L41" i="52"/>
  <c r="GV40" i="52"/>
  <c r="GG40" i="52"/>
  <c r="FR40" i="52"/>
  <c r="FC40" i="52"/>
  <c r="EO40" i="52"/>
  <c r="EN40" i="52"/>
  <c r="EG40" i="52"/>
  <c r="EF40" i="52"/>
  <c r="EE40" i="52"/>
  <c r="ED40" i="52"/>
  <c r="EC40" i="52"/>
  <c r="EB40" i="52"/>
  <c r="EA40" i="52"/>
  <c r="DZ40" i="52"/>
  <c r="DY40" i="52"/>
  <c r="DX40" i="52"/>
  <c r="DW40" i="52"/>
  <c r="DV40" i="52"/>
  <c r="DP40" i="52"/>
  <c r="DO40" i="52"/>
  <c r="DN40" i="52"/>
  <c r="DM40" i="52"/>
  <c r="DL40" i="52"/>
  <c r="DK40" i="52"/>
  <c r="DJ40" i="52"/>
  <c r="DI40" i="52"/>
  <c r="DH40" i="52"/>
  <c r="DG40" i="52"/>
  <c r="DF40" i="52"/>
  <c r="DE40" i="52"/>
  <c r="DA40" i="52"/>
  <c r="CZ40" i="52"/>
  <c r="CY40" i="52"/>
  <c r="CX40" i="52"/>
  <c r="CW40" i="52"/>
  <c r="CV40" i="52"/>
  <c r="CU40" i="52"/>
  <c r="CT40" i="52"/>
  <c r="CS40" i="52"/>
  <c r="CR40" i="52"/>
  <c r="CQ40" i="52"/>
  <c r="CP40" i="52"/>
  <c r="CJ40" i="52"/>
  <c r="CI40" i="52"/>
  <c r="CH40" i="52"/>
  <c r="CG40" i="52"/>
  <c r="CF40" i="52"/>
  <c r="CE40" i="52"/>
  <c r="CD40" i="52"/>
  <c r="CC40" i="52"/>
  <c r="CB40" i="52"/>
  <c r="CA40" i="52"/>
  <c r="BZ40" i="52"/>
  <c r="BY40" i="52"/>
  <c r="BU40" i="52"/>
  <c r="BT40" i="52"/>
  <c r="BS40" i="52"/>
  <c r="BR40" i="52"/>
  <c r="BQ40" i="52"/>
  <c r="BP40" i="52"/>
  <c r="BO40" i="52"/>
  <c r="BN40" i="52"/>
  <c r="BM40" i="52"/>
  <c r="BL40" i="52"/>
  <c r="BK40" i="52"/>
  <c r="BJ40" i="52"/>
  <c r="Z40" i="52"/>
  <c r="Y40" i="52"/>
  <c r="X40" i="52"/>
  <c r="W40" i="52"/>
  <c r="R40" i="52"/>
  <c r="GV39" i="52"/>
  <c r="GG39" i="52"/>
  <c r="FR39" i="52"/>
  <c r="FC39" i="52"/>
  <c r="EO39" i="52"/>
  <c r="EN39" i="52"/>
  <c r="EG39" i="52"/>
  <c r="EF39" i="52"/>
  <c r="EE39" i="52"/>
  <c r="ED39" i="52"/>
  <c r="EC39" i="52"/>
  <c r="EB39" i="52"/>
  <c r="EA39" i="52"/>
  <c r="DZ39" i="52"/>
  <c r="DY39" i="52"/>
  <c r="DX39" i="52"/>
  <c r="DW39" i="52"/>
  <c r="DV39" i="52"/>
  <c r="DP39" i="52"/>
  <c r="DO39" i="52"/>
  <c r="DN39" i="52"/>
  <c r="DM39" i="52"/>
  <c r="DL39" i="52"/>
  <c r="DK39" i="52"/>
  <c r="DJ39" i="52"/>
  <c r="DI39" i="52"/>
  <c r="DH39" i="52"/>
  <c r="DG39" i="52"/>
  <c r="DF39" i="52"/>
  <c r="DE39" i="52"/>
  <c r="DA39" i="52"/>
  <c r="CZ39" i="52"/>
  <c r="CY39" i="52"/>
  <c r="CX39" i="52"/>
  <c r="CW39" i="52"/>
  <c r="CV39" i="52"/>
  <c r="CU39" i="52"/>
  <c r="CT39" i="52"/>
  <c r="CS39" i="52"/>
  <c r="CR39" i="52"/>
  <c r="CQ39" i="52"/>
  <c r="CP39" i="52"/>
  <c r="CJ39" i="52"/>
  <c r="CI39" i="52"/>
  <c r="CH39" i="52"/>
  <c r="CG39" i="52"/>
  <c r="CF39" i="52"/>
  <c r="CE39" i="52"/>
  <c r="CD39" i="52"/>
  <c r="CC39" i="52"/>
  <c r="CB39" i="52"/>
  <c r="CA39" i="52"/>
  <c r="BZ39" i="52"/>
  <c r="BY39" i="52"/>
  <c r="BU39" i="52"/>
  <c r="BT39" i="52"/>
  <c r="BS39" i="52"/>
  <c r="BR39" i="52"/>
  <c r="BQ39" i="52"/>
  <c r="BP39" i="52"/>
  <c r="BO39" i="52"/>
  <c r="BN39" i="52"/>
  <c r="BM39" i="52"/>
  <c r="BL39" i="52"/>
  <c r="BK39" i="52"/>
  <c r="BJ39" i="52"/>
  <c r="Z39" i="52"/>
  <c r="Y39" i="52"/>
  <c r="X39" i="52"/>
  <c r="W39" i="52"/>
  <c r="R39" i="52"/>
  <c r="L39" i="52"/>
  <c r="L40" i="52" s="1"/>
  <c r="GV38" i="52"/>
  <c r="GG38" i="52"/>
  <c r="FR38" i="52"/>
  <c r="FC38" i="52"/>
  <c r="EO38" i="52"/>
  <c r="EN38" i="52"/>
  <c r="EG38" i="52"/>
  <c r="EF38" i="52"/>
  <c r="EE38" i="52"/>
  <c r="ED38" i="52"/>
  <c r="EC38" i="52"/>
  <c r="EB38" i="52"/>
  <c r="EA38" i="52"/>
  <c r="DZ38" i="52"/>
  <c r="DY38" i="52"/>
  <c r="DX38" i="52"/>
  <c r="DW38" i="52"/>
  <c r="DV38" i="52"/>
  <c r="DP38" i="52"/>
  <c r="DO38" i="52"/>
  <c r="DN38" i="52"/>
  <c r="DM38" i="52"/>
  <c r="DL38" i="52"/>
  <c r="DK38" i="52"/>
  <c r="DJ38" i="52"/>
  <c r="DI38" i="52"/>
  <c r="DH38" i="52"/>
  <c r="DG38" i="52"/>
  <c r="DF38" i="52"/>
  <c r="DE38" i="52"/>
  <c r="DA38" i="52"/>
  <c r="CZ38" i="52"/>
  <c r="CY38" i="52"/>
  <c r="CX38" i="52"/>
  <c r="CW38" i="52"/>
  <c r="CV38" i="52"/>
  <c r="CU38" i="52"/>
  <c r="CT38" i="52"/>
  <c r="CS38" i="52"/>
  <c r="CR38" i="52"/>
  <c r="CQ38" i="52"/>
  <c r="CP38" i="52"/>
  <c r="CJ38" i="52"/>
  <c r="CI38" i="52"/>
  <c r="CH38" i="52"/>
  <c r="CG38" i="52"/>
  <c r="CF38" i="52"/>
  <c r="CE38" i="52"/>
  <c r="CD38" i="52"/>
  <c r="CC38" i="52"/>
  <c r="CB38" i="52"/>
  <c r="CA38" i="52"/>
  <c r="BZ38" i="52"/>
  <c r="BY38" i="52"/>
  <c r="BU38" i="52"/>
  <c r="BT38" i="52"/>
  <c r="BS38" i="52"/>
  <c r="BR38" i="52"/>
  <c r="BQ38" i="52"/>
  <c r="BP38" i="52"/>
  <c r="BO38" i="52"/>
  <c r="BN38" i="52"/>
  <c r="BM38" i="52"/>
  <c r="BL38" i="52"/>
  <c r="BK38" i="52"/>
  <c r="BJ38" i="52"/>
  <c r="Z38" i="52"/>
  <c r="Y38" i="52"/>
  <c r="X38" i="52"/>
  <c r="W38" i="52"/>
  <c r="R38" i="52"/>
  <c r="L38" i="52"/>
  <c r="P38" i="52" s="1"/>
  <c r="S38" i="52" s="1"/>
  <c r="HF37" i="52"/>
  <c r="HE37" i="52"/>
  <c r="HD37" i="52"/>
  <c r="HC37" i="52"/>
  <c r="HB37" i="52"/>
  <c r="HA37" i="52"/>
  <c r="GZ37" i="52"/>
  <c r="GY37" i="52"/>
  <c r="GX37" i="52"/>
  <c r="GW37" i="52"/>
  <c r="GV37" i="52"/>
  <c r="GU37" i="52"/>
  <c r="GQ37" i="52"/>
  <c r="GP37" i="52"/>
  <c r="GO37" i="52"/>
  <c r="GN37" i="52"/>
  <c r="GM37" i="52"/>
  <c r="GL37" i="52"/>
  <c r="GK37" i="52"/>
  <c r="GJ37" i="52"/>
  <c r="GI37" i="52"/>
  <c r="GH37" i="52"/>
  <c r="GG37" i="52"/>
  <c r="GF37" i="52"/>
  <c r="GB37" i="52"/>
  <c r="GA37" i="52"/>
  <c r="FZ37" i="52"/>
  <c r="FY37" i="52"/>
  <c r="FX37" i="52"/>
  <c r="FW37" i="52"/>
  <c r="FV37" i="52"/>
  <c r="FU37" i="52"/>
  <c r="FT37" i="52"/>
  <c r="FS37" i="52"/>
  <c r="FR37" i="52"/>
  <c r="FQ37" i="52"/>
  <c r="FM37" i="52"/>
  <c r="FL37" i="52"/>
  <c r="FK37" i="52"/>
  <c r="FJ37" i="52"/>
  <c r="FI37" i="52"/>
  <c r="FH37" i="52"/>
  <c r="FG37" i="52"/>
  <c r="FF37" i="52"/>
  <c r="FE37" i="52"/>
  <c r="FD37" i="52"/>
  <c r="FC37" i="52"/>
  <c r="FB37" i="52"/>
  <c r="EX37" i="52"/>
  <c r="EW37" i="52"/>
  <c r="EV37" i="52"/>
  <c r="EU37" i="52"/>
  <c r="ET37" i="52"/>
  <c r="ES37" i="52"/>
  <c r="ER37" i="52"/>
  <c r="EQ37" i="52"/>
  <c r="EP37" i="52"/>
  <c r="EO37" i="52"/>
  <c r="EN37" i="52"/>
  <c r="EM37" i="52"/>
  <c r="EG37" i="52"/>
  <c r="EF37" i="52"/>
  <c r="EE37" i="52"/>
  <c r="ED37" i="52"/>
  <c r="EC37" i="52"/>
  <c r="EB37" i="52"/>
  <c r="EA37" i="52"/>
  <c r="DZ37" i="52"/>
  <c r="DY37" i="52"/>
  <c r="DX37" i="52"/>
  <c r="DW37" i="52"/>
  <c r="DV37" i="52"/>
  <c r="DP37" i="52"/>
  <c r="DO37" i="52"/>
  <c r="DN37" i="52"/>
  <c r="DM37" i="52"/>
  <c r="DL37" i="52"/>
  <c r="DK37" i="52"/>
  <c r="DJ37" i="52"/>
  <c r="DI37" i="52"/>
  <c r="DH37" i="52"/>
  <c r="DG37" i="52"/>
  <c r="DF37" i="52"/>
  <c r="DE37" i="52"/>
  <c r="DA37" i="52"/>
  <c r="CZ37" i="52"/>
  <c r="CY37" i="52"/>
  <c r="CX37" i="52"/>
  <c r="CW37" i="52"/>
  <c r="CV37" i="52"/>
  <c r="CU37" i="52"/>
  <c r="CT37" i="52"/>
  <c r="CS37" i="52"/>
  <c r="CR37" i="52"/>
  <c r="CQ37" i="52"/>
  <c r="CP37" i="52"/>
  <c r="CJ37" i="52"/>
  <c r="CI37" i="52"/>
  <c r="CH37" i="52"/>
  <c r="CG37" i="52"/>
  <c r="CF37" i="52"/>
  <c r="CE37" i="52"/>
  <c r="CD37" i="52"/>
  <c r="CC37" i="52"/>
  <c r="CB37" i="52"/>
  <c r="CA37" i="52"/>
  <c r="BZ37" i="52"/>
  <c r="BY37" i="52"/>
  <c r="BU37" i="52"/>
  <c r="BT37" i="52"/>
  <c r="BS37" i="52"/>
  <c r="BR37" i="52"/>
  <c r="BQ37" i="52"/>
  <c r="BP37" i="52"/>
  <c r="BO37" i="52"/>
  <c r="BN37" i="52"/>
  <c r="BM37" i="52"/>
  <c r="BL37" i="52"/>
  <c r="BK37" i="52"/>
  <c r="BJ37" i="52"/>
  <c r="Z37" i="52"/>
  <c r="Y37" i="52"/>
  <c r="X37" i="52"/>
  <c r="W37" i="52"/>
  <c r="R37" i="52"/>
  <c r="L37" i="52"/>
  <c r="M37" i="52" s="1"/>
  <c r="Z36" i="52"/>
  <c r="Y36" i="52"/>
  <c r="X36" i="52"/>
  <c r="W36" i="52"/>
  <c r="R36" i="52"/>
  <c r="L36" i="52"/>
  <c r="P36" i="52" s="1"/>
  <c r="S36" i="52" s="1"/>
  <c r="Z35" i="52"/>
  <c r="Y35" i="52"/>
  <c r="X35" i="52"/>
  <c r="W35" i="52"/>
  <c r="R35" i="52"/>
  <c r="L35" i="52"/>
  <c r="P35" i="52" s="1"/>
  <c r="S35" i="52" s="1"/>
  <c r="GV34" i="52"/>
  <c r="GG34" i="52"/>
  <c r="FR34" i="52"/>
  <c r="FD34" i="52"/>
  <c r="FC34" i="52"/>
  <c r="EO34" i="52"/>
  <c r="EG34" i="52"/>
  <c r="EF34" i="52"/>
  <c r="EE34" i="52"/>
  <c r="ED34" i="52"/>
  <c r="EC34" i="52"/>
  <c r="EB34" i="52"/>
  <c r="EA34" i="52"/>
  <c r="DZ34" i="52"/>
  <c r="DY34" i="52"/>
  <c r="DX34" i="52"/>
  <c r="DW34" i="52"/>
  <c r="DV34" i="52"/>
  <c r="DP34" i="52"/>
  <c r="DO34" i="52"/>
  <c r="DN34" i="52"/>
  <c r="DM34" i="52"/>
  <c r="DL34" i="52"/>
  <c r="DK34" i="52"/>
  <c r="DJ34" i="52"/>
  <c r="DI34" i="52"/>
  <c r="DH34" i="52"/>
  <c r="DG34" i="52"/>
  <c r="DF34" i="52"/>
  <c r="DE34" i="52"/>
  <c r="DA34" i="52"/>
  <c r="CZ34" i="52"/>
  <c r="CY34" i="52"/>
  <c r="CX34" i="52"/>
  <c r="CW34" i="52"/>
  <c r="CV34" i="52"/>
  <c r="CU34" i="52"/>
  <c r="CT34" i="52"/>
  <c r="CS34" i="52"/>
  <c r="CR34" i="52"/>
  <c r="CQ34" i="52"/>
  <c r="CP34" i="52"/>
  <c r="CJ34" i="52"/>
  <c r="CI34" i="52"/>
  <c r="CH34" i="52"/>
  <c r="CG34" i="52"/>
  <c r="CF34" i="52"/>
  <c r="CE34" i="52"/>
  <c r="CD34" i="52"/>
  <c r="CC34" i="52"/>
  <c r="CB34" i="52"/>
  <c r="CA34" i="52"/>
  <c r="BZ34" i="52"/>
  <c r="BY34" i="52"/>
  <c r="BU34" i="52"/>
  <c r="BT34" i="52"/>
  <c r="BS34" i="52"/>
  <c r="BR34" i="52"/>
  <c r="BQ34" i="52"/>
  <c r="BP34" i="52"/>
  <c r="BO34" i="52"/>
  <c r="BN34" i="52"/>
  <c r="BM34" i="52"/>
  <c r="BL34" i="52"/>
  <c r="BK34" i="52"/>
  <c r="BJ34" i="52"/>
  <c r="GV33" i="52"/>
  <c r="GG33" i="52"/>
  <c r="FR33" i="52"/>
  <c r="FD33" i="52"/>
  <c r="FC33" i="52"/>
  <c r="EO33" i="52"/>
  <c r="EG33" i="52"/>
  <c r="EF33" i="52"/>
  <c r="EE33" i="52"/>
  <c r="ED33" i="52"/>
  <c r="EC33" i="52"/>
  <c r="EB33" i="52"/>
  <c r="EA33" i="52"/>
  <c r="DZ33" i="52"/>
  <c r="DY33" i="52"/>
  <c r="DX33" i="52"/>
  <c r="DW33" i="52"/>
  <c r="DV33" i="52"/>
  <c r="DP33" i="52"/>
  <c r="DO33" i="52"/>
  <c r="DN33" i="52"/>
  <c r="DM33" i="52"/>
  <c r="DL33" i="52"/>
  <c r="DK33" i="52"/>
  <c r="DJ33" i="52"/>
  <c r="DI33" i="52"/>
  <c r="DH33" i="52"/>
  <c r="DG33" i="52"/>
  <c r="DF33" i="52"/>
  <c r="DE33" i="52"/>
  <c r="DA33" i="52"/>
  <c r="CZ33" i="52"/>
  <c r="CY33" i="52"/>
  <c r="CX33" i="52"/>
  <c r="CW33" i="52"/>
  <c r="CV33" i="52"/>
  <c r="CU33" i="52"/>
  <c r="CT33" i="52"/>
  <c r="CS33" i="52"/>
  <c r="CR33" i="52"/>
  <c r="CQ33" i="52"/>
  <c r="CP33" i="52"/>
  <c r="CJ33" i="52"/>
  <c r="CI33" i="52"/>
  <c r="CH33" i="52"/>
  <c r="CG33" i="52"/>
  <c r="CF33" i="52"/>
  <c r="CE33" i="52"/>
  <c r="CD33" i="52"/>
  <c r="CC33" i="52"/>
  <c r="CB33" i="52"/>
  <c r="CA33" i="52"/>
  <c r="BZ33" i="52"/>
  <c r="BY33" i="52"/>
  <c r="BU33" i="52"/>
  <c r="BT33" i="52"/>
  <c r="BS33" i="52"/>
  <c r="BR33" i="52"/>
  <c r="BQ33" i="52"/>
  <c r="BP33" i="52"/>
  <c r="BO33" i="52"/>
  <c r="BN33" i="52"/>
  <c r="BM33" i="52"/>
  <c r="BL33" i="52"/>
  <c r="BK33" i="52"/>
  <c r="BJ33" i="52"/>
  <c r="L33" i="52"/>
  <c r="GV32" i="52"/>
  <c r="GG32" i="52"/>
  <c r="FR32" i="52"/>
  <c r="FD32" i="52"/>
  <c r="FC32" i="52"/>
  <c r="EO32" i="52"/>
  <c r="EG32" i="52"/>
  <c r="EF32" i="52"/>
  <c r="EE32" i="52"/>
  <c r="ED32" i="52"/>
  <c r="EC32" i="52"/>
  <c r="EB32" i="52"/>
  <c r="EA32" i="52"/>
  <c r="DZ32" i="52"/>
  <c r="DY32" i="52"/>
  <c r="DX32" i="52"/>
  <c r="DW32" i="52"/>
  <c r="DV32" i="52"/>
  <c r="DP32" i="52"/>
  <c r="DO32" i="52"/>
  <c r="DN32" i="52"/>
  <c r="DM32" i="52"/>
  <c r="DL32" i="52"/>
  <c r="DK32" i="52"/>
  <c r="DJ32" i="52"/>
  <c r="DI32" i="52"/>
  <c r="DH32" i="52"/>
  <c r="DG32" i="52"/>
  <c r="DF32" i="52"/>
  <c r="DE32" i="52"/>
  <c r="DA32" i="52"/>
  <c r="CZ32" i="52"/>
  <c r="CY32" i="52"/>
  <c r="CX32" i="52"/>
  <c r="CW32" i="52"/>
  <c r="CV32" i="52"/>
  <c r="CU32" i="52"/>
  <c r="CT32" i="52"/>
  <c r="CS32" i="52"/>
  <c r="CR32" i="52"/>
  <c r="CQ32" i="52"/>
  <c r="CP32" i="52"/>
  <c r="CJ32" i="52"/>
  <c r="CI32" i="52"/>
  <c r="CH32" i="52"/>
  <c r="CG32" i="52"/>
  <c r="CF32" i="52"/>
  <c r="CE32" i="52"/>
  <c r="CD32" i="52"/>
  <c r="CC32" i="52"/>
  <c r="CB32" i="52"/>
  <c r="CA32" i="52"/>
  <c r="BZ32" i="52"/>
  <c r="BY32" i="52"/>
  <c r="BU32" i="52"/>
  <c r="BT32" i="52"/>
  <c r="BS32" i="52"/>
  <c r="BR32" i="52"/>
  <c r="BQ32" i="52"/>
  <c r="BP32" i="52"/>
  <c r="BO32" i="52"/>
  <c r="BN32" i="52"/>
  <c r="BM32" i="52"/>
  <c r="BL32" i="52"/>
  <c r="BK32" i="52"/>
  <c r="BJ32" i="52"/>
  <c r="HF31" i="52"/>
  <c r="HE31" i="52"/>
  <c r="HD31" i="52"/>
  <c r="HC31" i="52"/>
  <c r="HB31" i="52"/>
  <c r="HA31" i="52"/>
  <c r="GZ31" i="52"/>
  <c r="GY31" i="52"/>
  <c r="GX31" i="52"/>
  <c r="GW31" i="52"/>
  <c r="GV31" i="52"/>
  <c r="GU31" i="52"/>
  <c r="GQ31" i="52"/>
  <c r="GP31" i="52"/>
  <c r="GO31" i="52"/>
  <c r="GN31" i="52"/>
  <c r="GM31" i="52"/>
  <c r="GL31" i="52"/>
  <c r="GK31" i="52"/>
  <c r="GJ31" i="52"/>
  <c r="GI31" i="52"/>
  <c r="GH31" i="52"/>
  <c r="GG31" i="52"/>
  <c r="GF31" i="52"/>
  <c r="GB31" i="52"/>
  <c r="GA31" i="52"/>
  <c r="FZ31" i="52"/>
  <c r="FY31" i="52"/>
  <c r="FX31" i="52"/>
  <c r="FW31" i="52"/>
  <c r="FV31" i="52"/>
  <c r="FU31" i="52"/>
  <c r="FT31" i="52"/>
  <c r="FS31" i="52"/>
  <c r="FR31" i="52"/>
  <c r="FQ31" i="52"/>
  <c r="FM31" i="52"/>
  <c r="FL31" i="52"/>
  <c r="FK31" i="52"/>
  <c r="FJ31" i="52"/>
  <c r="FI31" i="52"/>
  <c r="FH31" i="52"/>
  <c r="FG31" i="52"/>
  <c r="FF31" i="52"/>
  <c r="FE31" i="52"/>
  <c r="FD31" i="52"/>
  <c r="FC31" i="52"/>
  <c r="FB31" i="52"/>
  <c r="EX31" i="52"/>
  <c r="EW31" i="52"/>
  <c r="EV31" i="52"/>
  <c r="EU31" i="52"/>
  <c r="ET31" i="52"/>
  <c r="ES31" i="52"/>
  <c r="ER31" i="52"/>
  <c r="EQ31" i="52"/>
  <c r="EP31" i="52"/>
  <c r="EO31" i="52"/>
  <c r="EN31" i="52"/>
  <c r="EM31" i="52"/>
  <c r="EG31" i="52"/>
  <c r="EF31" i="52"/>
  <c r="EE31" i="52"/>
  <c r="ED31" i="52"/>
  <c r="EC31" i="52"/>
  <c r="EB31" i="52"/>
  <c r="EA31" i="52"/>
  <c r="DZ31" i="52"/>
  <c r="DY31" i="52"/>
  <c r="DX31" i="52"/>
  <c r="DW31" i="52"/>
  <c r="DV31" i="52"/>
  <c r="DP31" i="52"/>
  <c r="DO31" i="52"/>
  <c r="DN31" i="52"/>
  <c r="DM31" i="52"/>
  <c r="DL31" i="52"/>
  <c r="DK31" i="52"/>
  <c r="DJ31" i="52"/>
  <c r="DI31" i="52"/>
  <c r="DH31" i="52"/>
  <c r="DG31" i="52"/>
  <c r="DF31" i="52"/>
  <c r="DE31" i="52"/>
  <c r="DA31" i="52"/>
  <c r="CZ31" i="52"/>
  <c r="CY31" i="52"/>
  <c r="CX31" i="52"/>
  <c r="CW31" i="52"/>
  <c r="CV31" i="52"/>
  <c r="CU31" i="52"/>
  <c r="CT31" i="52"/>
  <c r="CS31" i="52"/>
  <c r="CR31" i="52"/>
  <c r="CQ31" i="52"/>
  <c r="CP31" i="52"/>
  <c r="CJ31" i="52"/>
  <c r="CI31" i="52"/>
  <c r="CH31" i="52"/>
  <c r="CG31" i="52"/>
  <c r="CF31" i="52"/>
  <c r="CE31" i="52"/>
  <c r="CD31" i="52"/>
  <c r="CC31" i="52"/>
  <c r="CB31" i="52"/>
  <c r="CA31" i="52"/>
  <c r="BZ31" i="52"/>
  <c r="BY31" i="52"/>
  <c r="BU31" i="52"/>
  <c r="BT31" i="52"/>
  <c r="BS31" i="52"/>
  <c r="BR31" i="52"/>
  <c r="BQ31" i="52"/>
  <c r="BP31" i="52"/>
  <c r="BO31" i="52"/>
  <c r="BN31" i="52"/>
  <c r="BM31" i="52"/>
  <c r="BL31" i="52"/>
  <c r="BK31" i="52"/>
  <c r="BJ31" i="52"/>
  <c r="R31" i="52"/>
  <c r="P31" i="52"/>
  <c r="S31" i="52" s="1"/>
  <c r="O31" i="52"/>
  <c r="N31" i="52"/>
  <c r="M31" i="52"/>
  <c r="R30" i="52"/>
  <c r="O30" i="52"/>
  <c r="R28" i="52"/>
  <c r="P28" i="52"/>
  <c r="S28" i="52" s="1"/>
  <c r="O28" i="52"/>
  <c r="U28" i="52" s="1"/>
  <c r="N28" i="52"/>
  <c r="M28" i="52"/>
  <c r="R27" i="52"/>
  <c r="P27" i="52"/>
  <c r="S27" i="52" s="1"/>
  <c r="N27" i="52"/>
  <c r="M27" i="52"/>
  <c r="R26" i="52"/>
  <c r="P26" i="52"/>
  <c r="S26" i="52" s="1"/>
  <c r="N26" i="52"/>
  <c r="M26" i="52"/>
  <c r="AK25" i="52"/>
  <c r="AO25" i="52" s="1"/>
  <c r="R25" i="52"/>
  <c r="P25" i="52"/>
  <c r="S25" i="52" s="1"/>
  <c r="N25" i="52"/>
  <c r="M25" i="52"/>
  <c r="AO24" i="52"/>
  <c r="AN24" i="52"/>
  <c r="AL24" i="52"/>
  <c r="R24" i="52"/>
  <c r="P24" i="52"/>
  <c r="S24" i="52" s="1"/>
  <c r="N24" i="52"/>
  <c r="M24" i="52"/>
  <c r="AO23" i="52"/>
  <c r="AN23" i="52"/>
  <c r="AL23" i="52"/>
  <c r="R23" i="52"/>
  <c r="P23" i="52"/>
  <c r="S23" i="52" s="1"/>
  <c r="N23" i="52"/>
  <c r="M23" i="52"/>
  <c r="AO22" i="52"/>
  <c r="AN22" i="52"/>
  <c r="AL22" i="52"/>
  <c r="R22" i="52"/>
  <c r="P22" i="52"/>
  <c r="S22" i="52" s="1"/>
  <c r="N22" i="52"/>
  <c r="M22" i="52"/>
  <c r="AJ21" i="52"/>
  <c r="R21" i="52"/>
  <c r="P21" i="52"/>
  <c r="S21" i="52" s="1"/>
  <c r="N21" i="52"/>
  <c r="M21" i="52"/>
  <c r="R20" i="52"/>
  <c r="L20" i="52"/>
  <c r="AD19" i="52"/>
  <c r="Z19" i="52"/>
  <c r="Y19" i="52"/>
  <c r="X19" i="52"/>
  <c r="W19" i="52"/>
  <c r="R19" i="52"/>
  <c r="O19" i="52"/>
  <c r="L19" i="52"/>
  <c r="AD18" i="52"/>
  <c r="Z18" i="52"/>
  <c r="Y18" i="52"/>
  <c r="X18" i="52"/>
  <c r="W18" i="52"/>
  <c r="R18" i="52"/>
  <c r="O18" i="52"/>
  <c r="L18" i="52"/>
  <c r="P18" i="52" s="1"/>
  <c r="S18" i="52" s="1"/>
  <c r="GQ17" i="52"/>
  <c r="GP17" i="52"/>
  <c r="GO17" i="52"/>
  <c r="GN17" i="52"/>
  <c r="GM17" i="52"/>
  <c r="GN234" i="52" s="1"/>
  <c r="GL17" i="52"/>
  <c r="GM234" i="52" s="1"/>
  <c r="GK17" i="52"/>
  <c r="GL234" i="52" s="1"/>
  <c r="GJ17" i="52"/>
  <c r="GI17" i="52"/>
  <c r="GJ234" i="52" s="1"/>
  <c r="GH17" i="52"/>
  <c r="GI234" i="52" s="1"/>
  <c r="GF17" i="52"/>
  <c r="GG234" i="52" s="1"/>
  <c r="GB17" i="52"/>
  <c r="GA17" i="52"/>
  <c r="FZ17" i="52"/>
  <c r="FY17" i="52"/>
  <c r="FX17" i="52"/>
  <c r="FY234" i="52" s="1"/>
  <c r="FW17" i="52"/>
  <c r="FX234" i="52" s="1"/>
  <c r="FV17" i="52"/>
  <c r="FW234" i="52" s="1"/>
  <c r="FU17" i="52"/>
  <c r="FV234" i="52" s="1"/>
  <c r="FT17" i="52"/>
  <c r="FU234" i="52" s="1"/>
  <c r="FS17" i="52"/>
  <c r="FT234" i="52" s="1"/>
  <c r="FQ17" i="52"/>
  <c r="FR234" i="52" s="1"/>
  <c r="FM17" i="52"/>
  <c r="FL17" i="52"/>
  <c r="FK17" i="52"/>
  <c r="FJ17" i="52"/>
  <c r="FI17" i="52"/>
  <c r="FJ234" i="52" s="1"/>
  <c r="FH17" i="52"/>
  <c r="FI234" i="52" s="1"/>
  <c r="FG17" i="52"/>
  <c r="FH234" i="52" s="1"/>
  <c r="FF17" i="52"/>
  <c r="FG234" i="52" s="1"/>
  <c r="FE17" i="52"/>
  <c r="FF234" i="52" s="1"/>
  <c r="FD17" i="52"/>
  <c r="FE234" i="52" s="1"/>
  <c r="FB17" i="52"/>
  <c r="FC234" i="52" s="1"/>
  <c r="EX17" i="52"/>
  <c r="EW17" i="52"/>
  <c r="EV17" i="52"/>
  <c r="EU17" i="52"/>
  <c r="ET17" i="52"/>
  <c r="EU234" i="52" s="1"/>
  <c r="ES17" i="52"/>
  <c r="ET234" i="52" s="1"/>
  <c r="ER17" i="52"/>
  <c r="ES234" i="52" s="1"/>
  <c r="EQ17" i="52"/>
  <c r="ER234" i="52" s="1"/>
  <c r="EP17" i="52"/>
  <c r="EM17" i="52"/>
  <c r="EN234" i="52" s="1"/>
  <c r="AD17" i="52"/>
  <c r="Z17" i="52"/>
  <c r="Y17" i="52"/>
  <c r="X17" i="52"/>
  <c r="W17" i="52"/>
  <c r="R17" i="52"/>
  <c r="P17" i="52"/>
  <c r="S17" i="52" s="1"/>
  <c r="N17" i="52"/>
  <c r="M17" i="52"/>
  <c r="GQ16" i="52"/>
  <c r="GP16" i="52"/>
  <c r="GO16" i="52"/>
  <c r="GN16" i="52"/>
  <c r="GM16" i="52"/>
  <c r="GN233" i="52" s="1"/>
  <c r="GL16" i="52"/>
  <c r="GM233" i="52" s="1"/>
  <c r="GK16" i="52"/>
  <c r="GL233" i="52" s="1"/>
  <c r="GJ16" i="52"/>
  <c r="GK233" i="52" s="1"/>
  <c r="GI16" i="52"/>
  <c r="GJ233" i="52" s="1"/>
  <c r="GH16" i="52"/>
  <c r="GI233" i="52" s="1"/>
  <c r="GF16" i="52"/>
  <c r="GG233" i="52" s="1"/>
  <c r="GB16" i="52"/>
  <c r="GA16" i="52"/>
  <c r="FZ16" i="52"/>
  <c r="FY16" i="52"/>
  <c r="FX16" i="52"/>
  <c r="FY233" i="52" s="1"/>
  <c r="FW16" i="52"/>
  <c r="FX233" i="52" s="1"/>
  <c r="FV16" i="52"/>
  <c r="FW233" i="52" s="1"/>
  <c r="FU16" i="52"/>
  <c r="FV233" i="52" s="1"/>
  <c r="FT16" i="52"/>
  <c r="FU233" i="52" s="1"/>
  <c r="FS16" i="52"/>
  <c r="FT233" i="52" s="1"/>
  <c r="FQ16" i="52"/>
  <c r="FR233" i="52" s="1"/>
  <c r="FM16" i="52"/>
  <c r="FL16" i="52"/>
  <c r="FK16" i="52"/>
  <c r="FJ16" i="52"/>
  <c r="FI16" i="52"/>
  <c r="FJ233" i="52" s="1"/>
  <c r="FH16" i="52"/>
  <c r="FI233" i="52" s="1"/>
  <c r="FG16" i="52"/>
  <c r="FH233" i="52" s="1"/>
  <c r="FF16" i="52"/>
  <c r="FG233" i="52" s="1"/>
  <c r="FE16" i="52"/>
  <c r="FF233" i="52" s="1"/>
  <c r="FD16" i="52"/>
  <c r="FE233" i="52" s="1"/>
  <c r="FB16" i="52"/>
  <c r="EX16" i="52"/>
  <c r="EW16" i="52"/>
  <c r="EV16" i="52"/>
  <c r="EU16" i="52"/>
  <c r="ET16" i="52"/>
  <c r="EU233" i="52" s="1"/>
  <c r="ES16" i="52"/>
  <c r="ET233" i="52" s="1"/>
  <c r="ER16" i="52"/>
  <c r="ES233" i="52" s="1"/>
  <c r="EQ16" i="52"/>
  <c r="ER233" i="52" s="1"/>
  <c r="EP16" i="52"/>
  <c r="EQ233" i="52" s="1"/>
  <c r="EM16" i="52"/>
  <c r="EM44" i="52" s="1"/>
  <c r="AE16" i="52"/>
  <c r="AD16" i="52"/>
  <c r="Z16" i="52"/>
  <c r="Y16" i="52"/>
  <c r="X16" i="52"/>
  <c r="W16" i="52"/>
  <c r="R16" i="52"/>
  <c r="P16" i="52"/>
  <c r="S16" i="52" s="1"/>
  <c r="N16" i="52"/>
  <c r="M16" i="52"/>
  <c r="Z15" i="52"/>
  <c r="Y15" i="52"/>
  <c r="X15" i="52"/>
  <c r="W15" i="52"/>
  <c r="R15" i="52"/>
  <c r="P15" i="52"/>
  <c r="S15" i="52" s="1"/>
  <c r="N15" i="52"/>
  <c r="M15" i="52"/>
  <c r="AD14" i="52"/>
  <c r="Z14" i="52"/>
  <c r="Y14" i="52"/>
  <c r="X14" i="52"/>
  <c r="W14" i="52"/>
  <c r="R14" i="52"/>
  <c r="P14" i="52"/>
  <c r="S14" i="52" s="1"/>
  <c r="N14" i="52"/>
  <c r="M14" i="52"/>
  <c r="J14" i="52"/>
  <c r="D14" i="52"/>
  <c r="Z13" i="52"/>
  <c r="Y13" i="52"/>
  <c r="X13" i="52"/>
  <c r="W13" i="52"/>
  <c r="R13" i="52"/>
  <c r="P13" i="52"/>
  <c r="S13" i="52" s="1"/>
  <c r="N13" i="52"/>
  <c r="M13" i="52"/>
  <c r="E13" i="52"/>
  <c r="AB11" i="52" s="1"/>
  <c r="Z12" i="52"/>
  <c r="Y12" i="52"/>
  <c r="X12" i="52"/>
  <c r="W12" i="52"/>
  <c r="R12" i="52"/>
  <c r="HF11" i="52"/>
  <c r="HF39" i="52" s="1"/>
  <c r="HE11" i="52"/>
  <c r="HE39" i="52" s="1"/>
  <c r="HD11" i="52"/>
  <c r="HC11" i="52"/>
  <c r="HB11" i="52"/>
  <c r="HA11" i="52"/>
  <c r="HB228" i="52" s="1"/>
  <c r="GZ11" i="52"/>
  <c r="HA228" i="52" s="1"/>
  <c r="GY11" i="52"/>
  <c r="GZ228" i="52" s="1"/>
  <c r="GX11" i="52"/>
  <c r="GY228" i="52" s="1"/>
  <c r="GW11" i="52"/>
  <c r="GX228" i="52" s="1"/>
  <c r="GU11" i="52"/>
  <c r="GQ11" i="52"/>
  <c r="GP11" i="52"/>
  <c r="GP39" i="52" s="1"/>
  <c r="GO11" i="52"/>
  <c r="GO39" i="52" s="1"/>
  <c r="GN11" i="52"/>
  <c r="GM11" i="52"/>
  <c r="GL11" i="52"/>
  <c r="GM228" i="52" s="1"/>
  <c r="GK11" i="52"/>
  <c r="GL228" i="52" s="1"/>
  <c r="GJ11" i="52"/>
  <c r="GK228" i="52" s="1"/>
  <c r="GI11" i="52"/>
  <c r="GJ228" i="52" s="1"/>
  <c r="GH11" i="52"/>
  <c r="GI228" i="52" s="1"/>
  <c r="GF11" i="52"/>
  <c r="GG228" i="52" s="1"/>
  <c r="GB11" i="52"/>
  <c r="GA11" i="52"/>
  <c r="FZ11" i="52"/>
  <c r="FZ39" i="52" s="1"/>
  <c r="FY11" i="52"/>
  <c r="FY39" i="52" s="1"/>
  <c r="FX11" i="52"/>
  <c r="FY228" i="52" s="1"/>
  <c r="FW11" i="52"/>
  <c r="FX228" i="52" s="1"/>
  <c r="FV11" i="52"/>
  <c r="FW228" i="52" s="1"/>
  <c r="FU11" i="52"/>
  <c r="FV228" i="52" s="1"/>
  <c r="FT11" i="52"/>
  <c r="FU228" i="52" s="1"/>
  <c r="FS11" i="52"/>
  <c r="FT228" i="52" s="1"/>
  <c r="FQ11" i="52"/>
  <c r="FR228" i="52" s="1"/>
  <c r="FM11" i="52"/>
  <c r="FL11" i="52"/>
  <c r="FK11" i="52"/>
  <c r="FJ11" i="52"/>
  <c r="FJ39" i="52" s="1"/>
  <c r="FI11" i="52"/>
  <c r="FJ228" i="52" s="1"/>
  <c r="FH11" i="52"/>
  <c r="FI228" i="52" s="1"/>
  <c r="FG11" i="52"/>
  <c r="FH228" i="52" s="1"/>
  <c r="FF11" i="52"/>
  <c r="FG228" i="52" s="1"/>
  <c r="FE11" i="52"/>
  <c r="FF228" i="52" s="1"/>
  <c r="FD11" i="52"/>
  <c r="FE228" i="52" s="1"/>
  <c r="FB11" i="52"/>
  <c r="FC228" i="52" s="1"/>
  <c r="EX11" i="52"/>
  <c r="EW11" i="52"/>
  <c r="EV11" i="52"/>
  <c r="EU11" i="52"/>
  <c r="ET11" i="52"/>
  <c r="EU228" i="52" s="1"/>
  <c r="ES11" i="52"/>
  <c r="ET228" i="52" s="1"/>
  <c r="ER11" i="52"/>
  <c r="ES228" i="52" s="1"/>
  <c r="EQ11" i="52"/>
  <c r="ER228" i="52" s="1"/>
  <c r="EP11" i="52"/>
  <c r="EQ228" i="52" s="1"/>
  <c r="EM11" i="52"/>
  <c r="EN228" i="52" s="1"/>
  <c r="AD11" i="52"/>
  <c r="AE11" i="52" s="1"/>
  <c r="AD12" i="52" s="1"/>
  <c r="AD13" i="52" s="1"/>
  <c r="Z11" i="52"/>
  <c r="Y11" i="52"/>
  <c r="X11" i="52"/>
  <c r="W11" i="52"/>
  <c r="R11" i="52"/>
  <c r="L11" i="52"/>
  <c r="M11" i="52" s="1"/>
  <c r="HF10" i="52"/>
  <c r="HE10" i="52"/>
  <c r="HD10" i="52"/>
  <c r="HC10" i="52"/>
  <c r="HB10" i="52"/>
  <c r="HA10" i="52"/>
  <c r="HB227" i="52" s="1"/>
  <c r="GZ10" i="52"/>
  <c r="HA227" i="52" s="1"/>
  <c r="GY10" i="52"/>
  <c r="GZ227" i="52" s="1"/>
  <c r="GX10" i="52"/>
  <c r="GY227" i="52" s="1"/>
  <c r="GW10" i="52"/>
  <c r="GX227" i="52" s="1"/>
  <c r="GU10" i="52"/>
  <c r="GV227" i="52" s="1"/>
  <c r="Y287" i="52" s="1"/>
  <c r="GQ10" i="52"/>
  <c r="GP10" i="52"/>
  <c r="GO10" i="52"/>
  <c r="GN10" i="52"/>
  <c r="GM10" i="52"/>
  <c r="GN227" i="52" s="1"/>
  <c r="GL10" i="52"/>
  <c r="GK10" i="52"/>
  <c r="GL227" i="52" s="1"/>
  <c r="GJ10" i="52"/>
  <c r="GK227" i="52" s="1"/>
  <c r="GI10" i="52"/>
  <c r="GH10" i="52"/>
  <c r="GI227" i="52" s="1"/>
  <c r="GF10" i="52"/>
  <c r="GB10" i="52"/>
  <c r="GA10" i="52"/>
  <c r="FZ10" i="52"/>
  <c r="FY10" i="52"/>
  <c r="FX10" i="52"/>
  <c r="FY227" i="52" s="1"/>
  <c r="FW10" i="52"/>
  <c r="FV10" i="52"/>
  <c r="FU10" i="52"/>
  <c r="FV227" i="52" s="1"/>
  <c r="FT10" i="52"/>
  <c r="FU227" i="52" s="1"/>
  <c r="FS10" i="52"/>
  <c r="FQ10" i="52"/>
  <c r="FM10" i="52"/>
  <c r="FL10" i="52"/>
  <c r="FK10" i="52"/>
  <c r="FJ10" i="52"/>
  <c r="FI10" i="52"/>
  <c r="FJ227" i="52" s="1"/>
  <c r="FH10" i="52"/>
  <c r="FI227" i="52" s="1"/>
  <c r="FG10" i="52"/>
  <c r="FF10" i="52"/>
  <c r="FE10" i="52"/>
  <c r="FD10" i="52"/>
  <c r="FE227" i="52" s="1"/>
  <c r="FB10" i="52"/>
  <c r="FB38" i="52" s="1"/>
  <c r="EX10" i="52"/>
  <c r="EW10" i="52"/>
  <c r="EV10" i="52"/>
  <c r="EU10" i="52"/>
  <c r="EU38" i="52" s="1"/>
  <c r="ET10" i="52"/>
  <c r="ES10" i="52"/>
  <c r="ET227" i="52" s="1"/>
  <c r="ER10" i="52"/>
  <c r="EQ10" i="52"/>
  <c r="ER227" i="52" s="1"/>
  <c r="EP10" i="52"/>
  <c r="EQ227" i="52" s="1"/>
  <c r="EM10" i="52"/>
  <c r="EN227" i="52" s="1"/>
  <c r="Z10" i="52"/>
  <c r="Y10" i="52"/>
  <c r="X10" i="52"/>
  <c r="W10" i="52"/>
  <c r="R10" i="52"/>
  <c r="L10" i="52"/>
  <c r="P10" i="52" s="1"/>
  <c r="S10" i="52" s="1"/>
  <c r="Z9" i="52"/>
  <c r="Y9" i="52"/>
  <c r="X9" i="52"/>
  <c r="W9" i="52"/>
  <c r="R9" i="52"/>
  <c r="L9" i="52"/>
  <c r="Z8" i="52"/>
  <c r="Y8" i="52"/>
  <c r="X8" i="52"/>
  <c r="W8" i="52"/>
  <c r="R8" i="52"/>
  <c r="AB7" i="52"/>
  <c r="Z7" i="52"/>
  <c r="Y7" i="52"/>
  <c r="X7" i="52"/>
  <c r="W7" i="52"/>
  <c r="R7" i="52"/>
  <c r="L7" i="52"/>
  <c r="L8" i="52" s="1"/>
  <c r="Z6" i="52"/>
  <c r="Y6" i="52"/>
  <c r="X6" i="52"/>
  <c r="W6" i="52"/>
  <c r="R6" i="52"/>
  <c r="HF5" i="52"/>
  <c r="HE5" i="52"/>
  <c r="HD5" i="52"/>
  <c r="HC5" i="52"/>
  <c r="HB5" i="52"/>
  <c r="HC222" i="52" s="1"/>
  <c r="HA5" i="52"/>
  <c r="HB222" i="52" s="1"/>
  <c r="GZ5" i="52"/>
  <c r="GY5" i="52"/>
  <c r="GX5" i="52"/>
  <c r="GY222" i="52" s="1"/>
  <c r="GW5" i="52"/>
  <c r="GU5" i="52"/>
  <c r="GV222" i="52" s="1"/>
  <c r="GQ5" i="52"/>
  <c r="GP5" i="52"/>
  <c r="GO5" i="52"/>
  <c r="GN5" i="52"/>
  <c r="GM5" i="52"/>
  <c r="GN222" i="52" s="1"/>
  <c r="GL5" i="52"/>
  <c r="GK5" i="52"/>
  <c r="GK33" i="52" s="1"/>
  <c r="GJ5" i="52"/>
  <c r="GI5" i="52"/>
  <c r="GJ222" i="52" s="1"/>
  <c r="GH5" i="52"/>
  <c r="GI222" i="52" s="1"/>
  <c r="GF5" i="52"/>
  <c r="GB5" i="52"/>
  <c r="GB33" i="52" s="1"/>
  <c r="GA5" i="52"/>
  <c r="FZ5" i="52"/>
  <c r="FY5" i="52"/>
  <c r="FX5" i="52"/>
  <c r="FY222" i="52" s="1"/>
  <c r="FW5" i="52"/>
  <c r="FX222" i="52" s="1"/>
  <c r="FV5" i="52"/>
  <c r="FW222" i="52" s="1"/>
  <c r="FU5" i="52"/>
  <c r="FV222" i="52" s="1"/>
  <c r="FT5" i="52"/>
  <c r="FU222" i="52" s="1"/>
  <c r="FS5" i="52"/>
  <c r="FT222" i="52" s="1"/>
  <c r="FQ5" i="52"/>
  <c r="FR222" i="52" s="1"/>
  <c r="FM5" i="52"/>
  <c r="FL5" i="52"/>
  <c r="FK5" i="52"/>
  <c r="FJ5" i="52"/>
  <c r="FI5" i="52"/>
  <c r="FJ222" i="52" s="1"/>
  <c r="FH5" i="52"/>
  <c r="FI222" i="52" s="1"/>
  <c r="FG5" i="52"/>
  <c r="FH222" i="52" s="1"/>
  <c r="FF5" i="52"/>
  <c r="FE5" i="52"/>
  <c r="FF222" i="52" s="1"/>
  <c r="FB5" i="52"/>
  <c r="FC222" i="52" s="1"/>
  <c r="EX5" i="52"/>
  <c r="EX33" i="52" s="1"/>
  <c r="EW5" i="52"/>
  <c r="EV5" i="52"/>
  <c r="EU5" i="52"/>
  <c r="ET5" i="52"/>
  <c r="EU222" i="52" s="1"/>
  <c r="ES5" i="52"/>
  <c r="ET222" i="52" s="1"/>
  <c r="ER5" i="52"/>
  <c r="EQ5" i="52"/>
  <c r="ER222" i="52" s="1"/>
  <c r="EP5" i="52"/>
  <c r="EQ222" i="52" s="1"/>
  <c r="EN5" i="52"/>
  <c r="EO222" i="52" s="1"/>
  <c r="EM5" i="52"/>
  <c r="EN222" i="52" s="1"/>
  <c r="Z5" i="52"/>
  <c r="Y5" i="52"/>
  <c r="X5" i="52"/>
  <c r="W5" i="52"/>
  <c r="R5" i="52"/>
  <c r="M5" i="52"/>
  <c r="P5" i="52"/>
  <c r="S5" i="52" s="1"/>
  <c r="HF4" i="52"/>
  <c r="HE4" i="52"/>
  <c r="HD4" i="52"/>
  <c r="HC4" i="52"/>
  <c r="HB4" i="52"/>
  <c r="HA4" i="52"/>
  <c r="GZ4" i="52"/>
  <c r="GY4" i="52"/>
  <c r="GX4" i="52"/>
  <c r="GY221" i="52" s="1"/>
  <c r="GW4" i="52"/>
  <c r="GX221" i="52" s="1"/>
  <c r="GU4" i="52"/>
  <c r="GQ4" i="52"/>
  <c r="GP4" i="52"/>
  <c r="GO4" i="52"/>
  <c r="GO167" i="52" s="1"/>
  <c r="GN4" i="52"/>
  <c r="GM4" i="52"/>
  <c r="GN221" i="52" s="1"/>
  <c r="GL4" i="52"/>
  <c r="GM221" i="52" s="1"/>
  <c r="GK4" i="52"/>
  <c r="GJ4" i="52"/>
  <c r="GI4" i="52"/>
  <c r="GH4" i="52"/>
  <c r="GI221" i="52" s="1"/>
  <c r="GF4" i="52"/>
  <c r="GG221" i="52" s="1"/>
  <c r="GB4" i="52"/>
  <c r="GA4" i="52"/>
  <c r="FZ4" i="52"/>
  <c r="FY4" i="52"/>
  <c r="FX4" i="52"/>
  <c r="FY221" i="52" s="1"/>
  <c r="FW4" i="52"/>
  <c r="FV4" i="52"/>
  <c r="FW221" i="52" s="1"/>
  <c r="FU4" i="52"/>
  <c r="FU32" i="52" s="1"/>
  <c r="FT4" i="52"/>
  <c r="FS4" i="52"/>
  <c r="FT221" i="52" s="1"/>
  <c r="FQ4" i="52"/>
  <c r="FR221" i="52" s="1"/>
  <c r="FM4" i="52"/>
  <c r="FL4" i="52"/>
  <c r="FK4" i="52"/>
  <c r="FJ4" i="52"/>
  <c r="FI4" i="52"/>
  <c r="FJ221" i="52" s="1"/>
  <c r="FH4" i="52"/>
  <c r="FI221" i="52" s="1"/>
  <c r="FG4" i="52"/>
  <c r="FH221" i="52" s="1"/>
  <c r="FF4" i="52"/>
  <c r="FF32" i="52" s="1"/>
  <c r="FE4" i="52"/>
  <c r="FB4" i="52"/>
  <c r="EX4" i="52"/>
  <c r="EW4" i="52"/>
  <c r="EV4" i="52"/>
  <c r="EV32" i="52" s="1"/>
  <c r="EU4" i="52"/>
  <c r="ET4" i="52"/>
  <c r="ES4" i="52"/>
  <c r="ER4" i="52"/>
  <c r="ES221" i="52" s="1"/>
  <c r="EQ4" i="52"/>
  <c r="ER221" i="52" s="1"/>
  <c r="EP4" i="52"/>
  <c r="EQ221" i="52" s="1"/>
  <c r="EN4" i="52"/>
  <c r="EO221" i="52" s="1"/>
  <c r="EM4" i="52"/>
  <c r="Z4" i="52"/>
  <c r="Y4" i="52"/>
  <c r="R4" i="52"/>
  <c r="O4" i="52"/>
  <c r="R3" i="52"/>
  <c r="L1" i="52"/>
  <c r="FB4" i="48"/>
  <c r="FB6" i="48" s="1"/>
  <c r="FE4" i="48"/>
  <c r="FE167" i="48" s="1"/>
  <c r="FF4" i="48"/>
  <c r="FG4" i="48"/>
  <c r="FG167" i="48" s="1"/>
  <c r="FH4" i="48"/>
  <c r="FI4" i="48"/>
  <c r="FJ4" i="48"/>
  <c r="FJ32" i="48" s="1"/>
  <c r="FK4" i="48"/>
  <c r="FL4" i="48"/>
  <c r="FM4" i="48"/>
  <c r="FM167" i="48" s="1"/>
  <c r="FQ4" i="48"/>
  <c r="FS4" i="48"/>
  <c r="FS6" i="48" s="1"/>
  <c r="FT4" i="48"/>
  <c r="FT6" i="48" s="1"/>
  <c r="FT34" i="48" s="1"/>
  <c r="FU4" i="48"/>
  <c r="FU167" i="48" s="1"/>
  <c r="FV4" i="48"/>
  <c r="FV32" i="48" s="1"/>
  <c r="FW4" i="48"/>
  <c r="FW6" i="48" s="1"/>
  <c r="FX4" i="48"/>
  <c r="FY4" i="48"/>
  <c r="FZ4" i="48"/>
  <c r="FZ32" i="48" s="1"/>
  <c r="GA4" i="48"/>
  <c r="GA59" i="48" s="1"/>
  <c r="GB4" i="48"/>
  <c r="GF4" i="48"/>
  <c r="GF32" i="48" s="1"/>
  <c r="GH4" i="48"/>
  <c r="GI4" i="48"/>
  <c r="GI6" i="48" s="1"/>
  <c r="GJ4" i="48"/>
  <c r="GJ59" i="48" s="1"/>
  <c r="GK4" i="48"/>
  <c r="GK32" i="48" s="1"/>
  <c r="GL4" i="48"/>
  <c r="GL167" i="48" s="1"/>
  <c r="GM4" i="48"/>
  <c r="GM32" i="48" s="1"/>
  <c r="GN4" i="48"/>
  <c r="GN32" i="48" s="1"/>
  <c r="GO4" i="48"/>
  <c r="GP4" i="48"/>
  <c r="GQ4" i="48"/>
  <c r="GU4" i="48"/>
  <c r="GU59" i="48" s="1"/>
  <c r="GW4" i="48"/>
  <c r="GW32" i="48" s="1"/>
  <c r="GX4" i="48"/>
  <c r="GY4" i="48"/>
  <c r="GY6" i="48" s="1"/>
  <c r="GZ4" i="48"/>
  <c r="HA4" i="48"/>
  <c r="HA59" i="48" s="1"/>
  <c r="HB4" i="48"/>
  <c r="HB167" i="48" s="1"/>
  <c r="HC4" i="48"/>
  <c r="HC6" i="48" s="1"/>
  <c r="HC34" i="48" s="1"/>
  <c r="HD4" i="48"/>
  <c r="HD59" i="48" s="1"/>
  <c r="HE4" i="48"/>
  <c r="HF4" i="48"/>
  <c r="FB5" i="48"/>
  <c r="FE5" i="48"/>
  <c r="FF5" i="48"/>
  <c r="FG5" i="48"/>
  <c r="FH5" i="48"/>
  <c r="FH6" i="48" s="1"/>
  <c r="FI5" i="48"/>
  <c r="FJ5" i="48"/>
  <c r="FJ60" i="48" s="1"/>
  <c r="FK5" i="48"/>
  <c r="FL5" i="48"/>
  <c r="FL6" i="48" s="1"/>
  <c r="FL61" i="48" s="1"/>
  <c r="FM5" i="48"/>
  <c r="FM33" i="48" s="1"/>
  <c r="FQ5" i="48"/>
  <c r="FS5" i="48"/>
  <c r="FT5" i="48"/>
  <c r="FT33" i="48" s="1"/>
  <c r="FU5" i="48"/>
  <c r="FV5" i="48"/>
  <c r="FW5" i="48"/>
  <c r="FW33" i="48" s="1"/>
  <c r="FX5" i="48"/>
  <c r="FX168" i="48" s="1"/>
  <c r="FY5" i="48"/>
  <c r="FZ5" i="48"/>
  <c r="FZ6" i="48" s="1"/>
  <c r="GA5" i="48"/>
  <c r="GA60" i="48" s="1"/>
  <c r="GB5" i="48"/>
  <c r="GB6" i="48" s="1"/>
  <c r="GF5" i="48"/>
  <c r="GF33" i="48" s="1"/>
  <c r="GH5" i="48"/>
  <c r="GI5" i="48"/>
  <c r="GJ5" i="48"/>
  <c r="GK5" i="48"/>
  <c r="GL5" i="48"/>
  <c r="GM5" i="48"/>
  <c r="GM168" i="48" s="1"/>
  <c r="GN5" i="48"/>
  <c r="GN168" i="48" s="1"/>
  <c r="GO5" i="48"/>
  <c r="GO33" i="48" s="1"/>
  <c r="GP5" i="48"/>
  <c r="GQ5" i="48"/>
  <c r="GU5" i="48"/>
  <c r="GW5" i="48"/>
  <c r="GW60" i="48" s="1"/>
  <c r="GX5" i="48"/>
  <c r="GY5" i="48"/>
  <c r="GZ5" i="48"/>
  <c r="HA5" i="48"/>
  <c r="HB5" i="48"/>
  <c r="HB168" i="48" s="1"/>
  <c r="HC5" i="48"/>
  <c r="HC33" i="48" s="1"/>
  <c r="HD5" i="48"/>
  <c r="HE5" i="48"/>
  <c r="HE60" i="48" s="1"/>
  <c r="HF5" i="48"/>
  <c r="HF168" i="48" s="1"/>
  <c r="FI6" i="48"/>
  <c r="FI34" i="48" s="1"/>
  <c r="FB10" i="48"/>
  <c r="FB38" i="48" s="1"/>
  <c r="FD10" i="48"/>
  <c r="FD12" i="48" s="1"/>
  <c r="FE10" i="48"/>
  <c r="FE12" i="48" s="1"/>
  <c r="FF10" i="48"/>
  <c r="FF38" i="48" s="1"/>
  <c r="FG10" i="48"/>
  <c r="FH10" i="48"/>
  <c r="FI10" i="48"/>
  <c r="FJ10" i="48"/>
  <c r="FK10" i="48"/>
  <c r="FK38" i="48" s="1"/>
  <c r="FL10" i="48"/>
  <c r="FL65" i="48" s="1"/>
  <c r="FM10" i="48"/>
  <c r="FQ10" i="48"/>
  <c r="FS10" i="48"/>
  <c r="FS12" i="48" s="1"/>
  <c r="FT10" i="48"/>
  <c r="FU10" i="48"/>
  <c r="FU12" i="48" s="1"/>
  <c r="FV10" i="48"/>
  <c r="FW10" i="48"/>
  <c r="FX10" i="48"/>
  <c r="FY10" i="48"/>
  <c r="FZ10" i="48"/>
  <c r="GA10" i="48"/>
  <c r="GB10" i="48"/>
  <c r="GB38" i="48" s="1"/>
  <c r="GF10" i="48"/>
  <c r="GH10" i="48"/>
  <c r="GI10" i="48"/>
  <c r="GI12" i="48" s="1"/>
  <c r="GJ10" i="48"/>
  <c r="GK10" i="48"/>
  <c r="GK12" i="48" s="1"/>
  <c r="GL10" i="48"/>
  <c r="GL65" i="48" s="1"/>
  <c r="GM10" i="48"/>
  <c r="GN10" i="48"/>
  <c r="GO10" i="48"/>
  <c r="GP10" i="48"/>
  <c r="GQ10" i="48"/>
  <c r="GU10" i="48"/>
  <c r="GU12" i="48" s="1"/>
  <c r="GU67" i="48" s="1"/>
  <c r="GW10" i="48"/>
  <c r="GX10" i="48"/>
  <c r="GY10" i="48"/>
  <c r="GZ10" i="48"/>
  <c r="HA10" i="48"/>
  <c r="HA12" i="48" s="1"/>
  <c r="HA174" i="48" s="1"/>
  <c r="HB10" i="48"/>
  <c r="HC10" i="48"/>
  <c r="HC65" i="48" s="1"/>
  <c r="HD10" i="48"/>
  <c r="HE10" i="48"/>
  <c r="HF10" i="48"/>
  <c r="FB11" i="48"/>
  <c r="FD11" i="48"/>
  <c r="FE11" i="48"/>
  <c r="FF11" i="48"/>
  <c r="FG11" i="48"/>
  <c r="FG12" i="48" s="1"/>
  <c r="FH11" i="48"/>
  <c r="FH39" i="48" s="1"/>
  <c r="FI11" i="48"/>
  <c r="FI173" i="48" s="1"/>
  <c r="FJ11" i="48"/>
  <c r="FK11" i="48"/>
  <c r="FL11" i="48"/>
  <c r="FL66" i="48" s="1"/>
  <c r="FM11" i="48"/>
  <c r="FQ11" i="48"/>
  <c r="FS11" i="48"/>
  <c r="FT11" i="48"/>
  <c r="FU11" i="48"/>
  <c r="FV11" i="48"/>
  <c r="FW11" i="48"/>
  <c r="FX11" i="48"/>
  <c r="FY11" i="48"/>
  <c r="FY173" i="48" s="1"/>
  <c r="FZ11" i="48"/>
  <c r="FZ39" i="48" s="1"/>
  <c r="GA11" i="48"/>
  <c r="GB11" i="48"/>
  <c r="GF11" i="48"/>
  <c r="GH11" i="48"/>
  <c r="GI11" i="48"/>
  <c r="GJ11" i="48"/>
  <c r="GK11" i="48"/>
  <c r="GL11" i="48"/>
  <c r="GL12" i="48" s="1"/>
  <c r="GL174" i="48" s="1"/>
  <c r="GM11" i="48"/>
  <c r="GM173" i="48" s="1"/>
  <c r="GN11" i="48"/>
  <c r="GO11" i="48"/>
  <c r="GP11" i="48"/>
  <c r="GP39" i="48" s="1"/>
  <c r="GQ11" i="48"/>
  <c r="GU11" i="48"/>
  <c r="GW11" i="48"/>
  <c r="GX11" i="48"/>
  <c r="GY11" i="48"/>
  <c r="GZ11" i="48"/>
  <c r="HA11" i="48"/>
  <c r="HB11" i="48"/>
  <c r="HB12" i="48" s="1"/>
  <c r="HC11" i="48"/>
  <c r="HC173" i="48" s="1"/>
  <c r="HD11" i="48"/>
  <c r="HD39" i="48" s="1"/>
  <c r="HE11" i="48"/>
  <c r="HE173" i="48" s="1"/>
  <c r="HF11" i="48"/>
  <c r="HF12" i="48" s="1"/>
  <c r="FM12" i="48"/>
  <c r="FM174" i="48" s="1"/>
  <c r="FX12" i="48"/>
  <c r="FX174" i="48" s="1"/>
  <c r="GA12" i="48"/>
  <c r="GA174" i="48" s="1"/>
  <c r="GB12" i="48"/>
  <c r="GB174" i="48" s="1"/>
  <c r="GF12" i="48"/>
  <c r="GF40" i="48" s="1"/>
  <c r="GJ12" i="48"/>
  <c r="GN12" i="48"/>
  <c r="GW12" i="48"/>
  <c r="GW40" i="48" s="1"/>
  <c r="HD12" i="48"/>
  <c r="HD174" i="48" s="1"/>
  <c r="FB16" i="48"/>
  <c r="FB44" i="48" s="1"/>
  <c r="FD16" i="48"/>
  <c r="FE16" i="48"/>
  <c r="FE44" i="48" s="1"/>
  <c r="FF16" i="48"/>
  <c r="FG16" i="48"/>
  <c r="FH16" i="48"/>
  <c r="FI16" i="48"/>
  <c r="FI18" i="48" s="1"/>
  <c r="FI179" i="48" s="1"/>
  <c r="FJ16" i="48"/>
  <c r="FK16" i="48"/>
  <c r="FK18" i="48" s="1"/>
  <c r="FL16" i="48"/>
  <c r="FM16" i="48"/>
  <c r="FM44" i="48" s="1"/>
  <c r="FQ16" i="48"/>
  <c r="FQ177" i="48" s="1"/>
  <c r="FS16" i="48"/>
  <c r="FS44" i="48" s="1"/>
  <c r="FT16" i="48"/>
  <c r="FU16" i="48"/>
  <c r="FU44" i="48" s="1"/>
  <c r="FV16" i="48"/>
  <c r="FV71" i="48" s="1"/>
  <c r="FW16" i="48"/>
  <c r="FW44" i="48" s="1"/>
  <c r="FX16" i="48"/>
  <c r="FY16" i="48"/>
  <c r="FY44" i="48" s="1"/>
  <c r="FZ16" i="48"/>
  <c r="FZ71" i="48" s="1"/>
  <c r="GA16" i="48"/>
  <c r="GB16" i="48"/>
  <c r="GF16" i="48"/>
  <c r="GF18" i="48" s="1"/>
  <c r="GH16" i="48"/>
  <c r="GI16" i="48"/>
  <c r="GI18" i="48" s="1"/>
  <c r="GJ16" i="48"/>
  <c r="GK16" i="48"/>
  <c r="GK18" i="48" s="1"/>
  <c r="GL16" i="48"/>
  <c r="GL44" i="48" s="1"/>
  <c r="GM16" i="48"/>
  <c r="GM177" i="48" s="1"/>
  <c r="GN16" i="48"/>
  <c r="GO16" i="48"/>
  <c r="GO44" i="48" s="1"/>
  <c r="GP16" i="48"/>
  <c r="GP44" i="48" s="1"/>
  <c r="GQ16" i="48"/>
  <c r="GQ71" i="48" s="1"/>
  <c r="FB17" i="48"/>
  <c r="FD17" i="48"/>
  <c r="FE17" i="48"/>
  <c r="FF17" i="48"/>
  <c r="FF45" i="48" s="1"/>
  <c r="FG17" i="48"/>
  <c r="FH17" i="48"/>
  <c r="FH45" i="48" s="1"/>
  <c r="FI17" i="48"/>
  <c r="FJ17" i="48"/>
  <c r="FJ178" i="48" s="1"/>
  <c r="FK17" i="48"/>
  <c r="FL17" i="48"/>
  <c r="FL45" i="48" s="1"/>
  <c r="FM17" i="48"/>
  <c r="FQ17" i="48"/>
  <c r="FQ45" i="48" s="1"/>
  <c r="FS17" i="48"/>
  <c r="FT17" i="48"/>
  <c r="FT45" i="48" s="1"/>
  <c r="FU17" i="48"/>
  <c r="FV17" i="48"/>
  <c r="FV45" i="48" s="1"/>
  <c r="FW17" i="48"/>
  <c r="FX17" i="48"/>
  <c r="FX178" i="48" s="1"/>
  <c r="FY17" i="48"/>
  <c r="FZ17" i="48"/>
  <c r="FZ18" i="48" s="1"/>
  <c r="GA17" i="48"/>
  <c r="GB17" i="48"/>
  <c r="GB72" i="48" s="1"/>
  <c r="GF17" i="48"/>
  <c r="GH17" i="48"/>
  <c r="GH45" i="48" s="1"/>
  <c r="GI17" i="48"/>
  <c r="GJ17" i="48"/>
  <c r="GJ45" i="48" s="1"/>
  <c r="GK17" i="48"/>
  <c r="GL17" i="48"/>
  <c r="GL18" i="48" s="1"/>
  <c r="GM17" i="48"/>
  <c r="GN17" i="48"/>
  <c r="GN178" i="48" s="1"/>
  <c r="GO17" i="48"/>
  <c r="GO18" i="48" s="1"/>
  <c r="GP17" i="48"/>
  <c r="GP18" i="48" s="1"/>
  <c r="GP73" i="48" s="1"/>
  <c r="GQ17" i="48"/>
  <c r="FM18" i="48"/>
  <c r="FM46" i="48" s="1"/>
  <c r="FQ18" i="48"/>
  <c r="FQ73" i="48" s="1"/>
  <c r="FY18" i="48"/>
  <c r="FY179" i="48" s="1"/>
  <c r="GA18" i="48"/>
  <c r="GA179" i="48" s="1"/>
  <c r="GQ18" i="48"/>
  <c r="GQ179" i="48" s="1"/>
  <c r="FB31" i="48"/>
  <c r="FC31" i="48"/>
  <c r="FD31" i="48"/>
  <c r="FE31" i="48"/>
  <c r="FF31" i="48"/>
  <c r="FG31" i="48"/>
  <c r="FH31" i="48"/>
  <c r="FI31" i="48"/>
  <c r="FJ31" i="48"/>
  <c r="FK31" i="48"/>
  <c r="FL31" i="48"/>
  <c r="FM31" i="48"/>
  <c r="FQ31" i="48"/>
  <c r="FR31" i="48"/>
  <c r="FS31" i="48"/>
  <c r="FT31" i="48"/>
  <c r="FU31" i="48"/>
  <c r="FV31" i="48"/>
  <c r="FW31" i="48"/>
  <c r="FX31" i="48"/>
  <c r="FY31" i="48"/>
  <c r="FZ31" i="48"/>
  <c r="GA31" i="48"/>
  <c r="GB31" i="48"/>
  <c r="GF31" i="48"/>
  <c r="GG31" i="48"/>
  <c r="GH31" i="48"/>
  <c r="GI31" i="48"/>
  <c r="GJ31" i="48"/>
  <c r="GK31" i="48"/>
  <c r="GL31" i="48"/>
  <c r="GM31" i="48"/>
  <c r="GN31" i="48"/>
  <c r="GO31" i="48"/>
  <c r="GP31" i="48"/>
  <c r="GQ31" i="48"/>
  <c r="GU31" i="48"/>
  <c r="GV31" i="48"/>
  <c r="GW31" i="48"/>
  <c r="GX31" i="48"/>
  <c r="GY31" i="48"/>
  <c r="GZ31" i="48"/>
  <c r="HA31" i="48"/>
  <c r="HB31" i="48"/>
  <c r="HC31" i="48"/>
  <c r="HD31" i="48"/>
  <c r="HE31" i="48"/>
  <c r="HF31" i="48"/>
  <c r="FC32" i="48"/>
  <c r="FD32" i="48"/>
  <c r="FF32" i="48"/>
  <c r="FH32" i="48"/>
  <c r="FI32" i="48"/>
  <c r="FK32" i="48"/>
  <c r="FL32" i="48"/>
  <c r="FM32" i="48"/>
  <c r="FR32" i="48"/>
  <c r="FX32" i="48"/>
  <c r="FY32" i="48"/>
  <c r="GA32" i="48"/>
  <c r="GB32" i="48"/>
  <c r="GG32" i="48"/>
  <c r="GO32" i="48"/>
  <c r="GP32" i="48"/>
  <c r="GU32" i="48"/>
  <c r="GV32" i="48"/>
  <c r="HA32" i="48"/>
  <c r="HB32" i="48"/>
  <c r="HC32" i="48"/>
  <c r="HD32" i="48"/>
  <c r="HE32" i="48"/>
  <c r="HF32" i="48"/>
  <c r="FB33" i="48"/>
  <c r="FC33" i="48"/>
  <c r="FD33" i="48"/>
  <c r="FE33" i="48"/>
  <c r="FK33" i="48"/>
  <c r="FL33" i="48"/>
  <c r="FQ33" i="48"/>
  <c r="FR33" i="48"/>
  <c r="FS33" i="48"/>
  <c r="FU33" i="48"/>
  <c r="GG33" i="48"/>
  <c r="GH33" i="48"/>
  <c r="GI33" i="48"/>
  <c r="GJ33" i="48"/>
  <c r="GV33" i="48"/>
  <c r="GW33" i="48"/>
  <c r="GX33" i="48"/>
  <c r="GY33" i="48"/>
  <c r="GZ33" i="48"/>
  <c r="HA33" i="48"/>
  <c r="FC34" i="48"/>
  <c r="FD34" i="48"/>
  <c r="FR34" i="48"/>
  <c r="GG34" i="48"/>
  <c r="GV34" i="48"/>
  <c r="FB37" i="48"/>
  <c r="FC37" i="48"/>
  <c r="FD37" i="48"/>
  <c r="FE37" i="48"/>
  <c r="FF37" i="48"/>
  <c r="FG37" i="48"/>
  <c r="FH37" i="48"/>
  <c r="FI37" i="48"/>
  <c r="FJ37" i="48"/>
  <c r="FK37" i="48"/>
  <c r="FL37" i="48"/>
  <c r="FM37" i="48"/>
  <c r="FQ37" i="48"/>
  <c r="FR37" i="48"/>
  <c r="FS37" i="48"/>
  <c r="FT37" i="48"/>
  <c r="FU37" i="48"/>
  <c r="FV37" i="48"/>
  <c r="FW37" i="48"/>
  <c r="FX37" i="48"/>
  <c r="FY37" i="48"/>
  <c r="FZ37" i="48"/>
  <c r="GA37" i="48"/>
  <c r="GB37" i="48"/>
  <c r="GF37" i="48"/>
  <c r="GG37" i="48"/>
  <c r="GH37" i="48"/>
  <c r="GI37" i="48"/>
  <c r="GJ37" i="48"/>
  <c r="GK37" i="48"/>
  <c r="GL37" i="48"/>
  <c r="GM37" i="48"/>
  <c r="GN37" i="48"/>
  <c r="GO37" i="48"/>
  <c r="GP37" i="48"/>
  <c r="GQ37" i="48"/>
  <c r="GU37" i="48"/>
  <c r="GV37" i="48"/>
  <c r="GW37" i="48"/>
  <c r="GX37" i="48"/>
  <c r="GY37" i="48"/>
  <c r="GZ37" i="48"/>
  <c r="HA37" i="48"/>
  <c r="HB37" i="48"/>
  <c r="HC37" i="48"/>
  <c r="HD37" i="48"/>
  <c r="HE37" i="48"/>
  <c r="HF37" i="48"/>
  <c r="FC38" i="48"/>
  <c r="FD38" i="48"/>
  <c r="FG38" i="48"/>
  <c r="FH38" i="48"/>
  <c r="FI38" i="48"/>
  <c r="FJ38" i="48"/>
  <c r="FL38" i="48"/>
  <c r="FM38" i="48"/>
  <c r="FR38" i="48"/>
  <c r="FT38" i="48"/>
  <c r="FV38" i="48"/>
  <c r="FW38" i="48"/>
  <c r="FX38" i="48"/>
  <c r="FY38" i="48"/>
  <c r="FZ38" i="48"/>
  <c r="GA38" i="48"/>
  <c r="GF38" i="48"/>
  <c r="GG38" i="48"/>
  <c r="GM38" i="48"/>
  <c r="GN38" i="48"/>
  <c r="GO38" i="48"/>
  <c r="GP38" i="48"/>
  <c r="GQ38" i="48"/>
  <c r="GU38" i="48"/>
  <c r="GV38" i="48"/>
  <c r="GW38" i="48"/>
  <c r="HC38" i="48"/>
  <c r="HD38" i="48"/>
  <c r="HE38" i="48"/>
  <c r="HF38" i="48"/>
  <c r="FB39" i="48"/>
  <c r="FC39" i="48"/>
  <c r="FD39" i="48"/>
  <c r="FE39" i="48"/>
  <c r="FL39" i="48"/>
  <c r="FM39" i="48"/>
  <c r="FQ39" i="48"/>
  <c r="FR39" i="48"/>
  <c r="FS39" i="48"/>
  <c r="FT39" i="48"/>
  <c r="FU39" i="48"/>
  <c r="GF39" i="48"/>
  <c r="GG39" i="48"/>
  <c r="GH39" i="48"/>
  <c r="GI39" i="48"/>
  <c r="GJ39" i="48"/>
  <c r="GK39" i="48"/>
  <c r="GL39" i="48"/>
  <c r="GV39" i="48"/>
  <c r="GW39" i="48"/>
  <c r="GX39" i="48"/>
  <c r="GY39" i="48"/>
  <c r="GZ39" i="48"/>
  <c r="HA39" i="48"/>
  <c r="FC40" i="48"/>
  <c r="FM40" i="48"/>
  <c r="FR40" i="48"/>
  <c r="FX40" i="48"/>
  <c r="GG40" i="48"/>
  <c r="GV40" i="48"/>
  <c r="HD40" i="48"/>
  <c r="FB43" i="48"/>
  <c r="FC43" i="48"/>
  <c r="FD43" i="48"/>
  <c r="FE43" i="48"/>
  <c r="FF43" i="48"/>
  <c r="FG43" i="48"/>
  <c r="FH43" i="48"/>
  <c r="FI43" i="48"/>
  <c r="FJ43" i="48"/>
  <c r="FK43" i="48"/>
  <c r="FL43" i="48"/>
  <c r="FM43" i="48"/>
  <c r="FQ43" i="48"/>
  <c r="FR43" i="48"/>
  <c r="FS43" i="48"/>
  <c r="FT43" i="48"/>
  <c r="FU43" i="48"/>
  <c r="FV43" i="48"/>
  <c r="FW43" i="48"/>
  <c r="FX43" i="48"/>
  <c r="FY43" i="48"/>
  <c r="FZ43" i="48"/>
  <c r="GA43" i="48"/>
  <c r="GB43" i="48"/>
  <c r="GF43" i="48"/>
  <c r="GG43" i="48"/>
  <c r="GH43" i="48"/>
  <c r="GI43" i="48"/>
  <c r="GJ43" i="48"/>
  <c r="GK43" i="48"/>
  <c r="GL43" i="48"/>
  <c r="GM43" i="48"/>
  <c r="GN43" i="48"/>
  <c r="GO43" i="48"/>
  <c r="GP43" i="48"/>
  <c r="GQ43" i="48"/>
  <c r="FC44" i="48"/>
  <c r="FH44" i="48"/>
  <c r="FI44" i="48"/>
  <c r="FJ44" i="48"/>
  <c r="FK44" i="48"/>
  <c r="FL44" i="48"/>
  <c r="FQ44" i="48"/>
  <c r="FR44" i="48"/>
  <c r="FV44" i="48"/>
  <c r="FX44" i="48"/>
  <c r="FZ44" i="48"/>
  <c r="GA44" i="48"/>
  <c r="GB44" i="48"/>
  <c r="GF44" i="48"/>
  <c r="GG44" i="48"/>
  <c r="GH44" i="48"/>
  <c r="GJ44" i="48"/>
  <c r="GN44" i="48"/>
  <c r="GQ44" i="48"/>
  <c r="FB45" i="48"/>
  <c r="FC45" i="48"/>
  <c r="FD45" i="48"/>
  <c r="FE45" i="48"/>
  <c r="FG45" i="48"/>
  <c r="FI45" i="48"/>
  <c r="FK45" i="48"/>
  <c r="FM45" i="48"/>
  <c r="FR45" i="48"/>
  <c r="FS45" i="48"/>
  <c r="FU45" i="48"/>
  <c r="FW45" i="48"/>
  <c r="FY45" i="48"/>
  <c r="FZ45" i="48"/>
  <c r="GA45" i="48"/>
  <c r="GB45" i="48"/>
  <c r="GF45" i="48"/>
  <c r="GG45" i="48"/>
  <c r="GI45" i="48"/>
  <c r="GK45" i="48"/>
  <c r="GM45" i="48"/>
  <c r="GO45" i="48"/>
  <c r="GP45" i="48"/>
  <c r="GQ45" i="48"/>
  <c r="FC46" i="48"/>
  <c r="FR46" i="48"/>
  <c r="GG46" i="48"/>
  <c r="GQ46" i="48"/>
  <c r="FB58" i="48"/>
  <c r="FC58" i="48"/>
  <c r="FD58" i="48"/>
  <c r="FE58" i="48"/>
  <c r="FF58" i="48"/>
  <c r="FG58" i="48"/>
  <c r="FH58" i="48"/>
  <c r="FI58" i="48"/>
  <c r="FJ58" i="48"/>
  <c r="FK58" i="48"/>
  <c r="FL58" i="48"/>
  <c r="FM58" i="48"/>
  <c r="FQ58" i="48"/>
  <c r="FR58" i="48"/>
  <c r="FS58" i="48"/>
  <c r="FT58" i="48"/>
  <c r="FU58" i="48"/>
  <c r="FV58" i="48"/>
  <c r="FW58" i="48"/>
  <c r="FX58" i="48"/>
  <c r="FY58" i="48"/>
  <c r="FZ58" i="48"/>
  <c r="GA58" i="48"/>
  <c r="GB58" i="48"/>
  <c r="GF58" i="48"/>
  <c r="GG58" i="48"/>
  <c r="GH58" i="48"/>
  <c r="GI58" i="48"/>
  <c r="GJ58" i="48"/>
  <c r="GK58" i="48"/>
  <c r="GL58" i="48"/>
  <c r="GM58" i="48"/>
  <c r="GN58" i="48"/>
  <c r="GO58" i="48"/>
  <c r="GP58" i="48"/>
  <c r="GQ58" i="48"/>
  <c r="GU58" i="48"/>
  <c r="GV58" i="48"/>
  <c r="GW58" i="48"/>
  <c r="GX58" i="48"/>
  <c r="GY58" i="48"/>
  <c r="GZ58" i="48"/>
  <c r="HA58" i="48"/>
  <c r="HB58" i="48"/>
  <c r="HC58" i="48"/>
  <c r="HD58" i="48"/>
  <c r="HE58" i="48"/>
  <c r="HF58" i="48"/>
  <c r="FC59" i="48"/>
  <c r="FD59" i="48"/>
  <c r="FE59" i="48"/>
  <c r="FF59" i="48"/>
  <c r="FG59" i="48"/>
  <c r="FH59" i="48"/>
  <c r="FI59" i="48"/>
  <c r="FJ59" i="48"/>
  <c r="FL59" i="48"/>
  <c r="FM59" i="48"/>
  <c r="FR59" i="48"/>
  <c r="FV59" i="48"/>
  <c r="FW59" i="48"/>
  <c r="FX59" i="48"/>
  <c r="FY59" i="48"/>
  <c r="FZ59" i="48"/>
  <c r="GB59" i="48"/>
  <c r="GG59" i="48"/>
  <c r="GL59" i="48"/>
  <c r="GN59" i="48"/>
  <c r="GO59" i="48"/>
  <c r="GP59" i="48"/>
  <c r="GQ59" i="48"/>
  <c r="GV59" i="48"/>
  <c r="HB59" i="48"/>
  <c r="HE59" i="48"/>
  <c r="HF59" i="48"/>
  <c r="FB60" i="48"/>
  <c r="FC60" i="48"/>
  <c r="FD60" i="48"/>
  <c r="FE60" i="48"/>
  <c r="FK60" i="48"/>
  <c r="FL60" i="48"/>
  <c r="FM60" i="48"/>
  <c r="FQ60" i="48"/>
  <c r="FR60" i="48"/>
  <c r="FS60" i="48"/>
  <c r="FT60" i="48"/>
  <c r="GG60" i="48"/>
  <c r="GH60" i="48"/>
  <c r="GI60" i="48"/>
  <c r="GJ60" i="48"/>
  <c r="GK60" i="48"/>
  <c r="GO60" i="48"/>
  <c r="GV60" i="48"/>
  <c r="GX60" i="48"/>
  <c r="GY60" i="48"/>
  <c r="GZ60" i="48"/>
  <c r="HA60" i="48"/>
  <c r="HC60" i="48"/>
  <c r="FC61" i="48"/>
  <c r="FD61" i="48"/>
  <c r="FR61" i="48"/>
  <c r="GG61" i="48"/>
  <c r="GV61" i="48"/>
  <c r="FB64" i="48"/>
  <c r="FC64" i="48"/>
  <c r="FD64" i="48"/>
  <c r="FE64" i="48"/>
  <c r="FF64" i="48"/>
  <c r="FG64" i="48"/>
  <c r="FH64" i="48"/>
  <c r="FI64" i="48"/>
  <c r="FJ64" i="48"/>
  <c r="FK64" i="48"/>
  <c r="FL64" i="48"/>
  <c r="FM64" i="48"/>
  <c r="FQ64" i="48"/>
  <c r="FR64" i="48"/>
  <c r="FS64" i="48"/>
  <c r="FT64" i="48"/>
  <c r="FU64" i="48"/>
  <c r="FV64" i="48"/>
  <c r="FW64" i="48"/>
  <c r="FX64" i="48"/>
  <c r="FY64" i="48"/>
  <c r="FZ64" i="48"/>
  <c r="GA64" i="48"/>
  <c r="GB64" i="48"/>
  <c r="GF64" i="48"/>
  <c r="GG64" i="48"/>
  <c r="GH64" i="48"/>
  <c r="GI64" i="48"/>
  <c r="GJ64" i="48"/>
  <c r="GK64" i="48"/>
  <c r="GL64" i="48"/>
  <c r="GM64" i="48"/>
  <c r="GN64" i="48"/>
  <c r="GO64" i="48"/>
  <c r="GP64" i="48"/>
  <c r="GQ64" i="48"/>
  <c r="GU64" i="48"/>
  <c r="GV64" i="48"/>
  <c r="GW64" i="48"/>
  <c r="GX64" i="48"/>
  <c r="GY64" i="48"/>
  <c r="GZ64" i="48"/>
  <c r="HA64" i="48"/>
  <c r="HB64" i="48"/>
  <c r="HC64" i="48"/>
  <c r="HD64" i="48"/>
  <c r="HE64" i="48"/>
  <c r="HF64" i="48"/>
  <c r="FC65" i="48"/>
  <c r="FF65" i="48"/>
  <c r="FG65" i="48"/>
  <c r="FH65" i="48"/>
  <c r="FI65" i="48"/>
  <c r="FJ65" i="48"/>
  <c r="FK65" i="48"/>
  <c r="FM65" i="48"/>
  <c r="FR65" i="48"/>
  <c r="FV65" i="48"/>
  <c r="FW65" i="48"/>
  <c r="FX65" i="48"/>
  <c r="FY65" i="48"/>
  <c r="FZ65" i="48"/>
  <c r="GA65" i="48"/>
  <c r="GB65" i="48"/>
  <c r="GF65" i="48"/>
  <c r="GG65" i="48"/>
  <c r="GM65" i="48"/>
  <c r="GN65" i="48"/>
  <c r="GO65" i="48"/>
  <c r="GP65" i="48"/>
  <c r="GQ65" i="48"/>
  <c r="GU65" i="48"/>
  <c r="GV65" i="48"/>
  <c r="GW65" i="48"/>
  <c r="HD65" i="48"/>
  <c r="HE65" i="48"/>
  <c r="HF65" i="48"/>
  <c r="FB66" i="48"/>
  <c r="FC66" i="48"/>
  <c r="FD66" i="48"/>
  <c r="FE66" i="48"/>
  <c r="FM66" i="48"/>
  <c r="FQ66" i="48"/>
  <c r="FR66" i="48"/>
  <c r="FS66" i="48"/>
  <c r="FT66" i="48"/>
  <c r="FU66" i="48"/>
  <c r="FV66" i="48"/>
  <c r="FZ66" i="48"/>
  <c r="GF66" i="48"/>
  <c r="GG66" i="48"/>
  <c r="GH66" i="48"/>
  <c r="GI66" i="48"/>
  <c r="GJ66" i="48"/>
  <c r="GK66" i="48"/>
  <c r="GP66" i="48"/>
  <c r="GV66" i="48"/>
  <c r="GW66" i="48"/>
  <c r="GX66" i="48"/>
  <c r="GY66" i="48"/>
  <c r="GZ66" i="48"/>
  <c r="HA66" i="48"/>
  <c r="FC67" i="48"/>
  <c r="FM67" i="48"/>
  <c r="FR67" i="48"/>
  <c r="FX67" i="48"/>
  <c r="GG67" i="48"/>
  <c r="GV67" i="48"/>
  <c r="HD67" i="48"/>
  <c r="FB70" i="48"/>
  <c r="FC70" i="48"/>
  <c r="FD70" i="48"/>
  <c r="FE70" i="48"/>
  <c r="FF70" i="48"/>
  <c r="FG70" i="48"/>
  <c r="FH70" i="48"/>
  <c r="FI70" i="48"/>
  <c r="FJ70" i="48"/>
  <c r="FK70" i="48"/>
  <c r="FL70" i="48"/>
  <c r="FM70" i="48"/>
  <c r="FQ70" i="48"/>
  <c r="FR70" i="48"/>
  <c r="FS70" i="48"/>
  <c r="FT70" i="48"/>
  <c r="FU70" i="48"/>
  <c r="FV70" i="48"/>
  <c r="FW70" i="48"/>
  <c r="FX70" i="48"/>
  <c r="FY70" i="48"/>
  <c r="FZ70" i="48"/>
  <c r="GA70" i="48"/>
  <c r="GB70" i="48"/>
  <c r="GF70" i="48"/>
  <c r="GG70" i="48"/>
  <c r="GH70" i="48"/>
  <c r="GI70" i="48"/>
  <c r="GJ70" i="48"/>
  <c r="GK70" i="48"/>
  <c r="GL70" i="48"/>
  <c r="GM70" i="48"/>
  <c r="GN70" i="48"/>
  <c r="GO70" i="48"/>
  <c r="GP70" i="48"/>
  <c r="GQ70" i="48"/>
  <c r="FC71" i="48"/>
  <c r="FF71" i="48"/>
  <c r="FH71" i="48"/>
  <c r="FJ71" i="48"/>
  <c r="FK71" i="48"/>
  <c r="FL71" i="48"/>
  <c r="FM71" i="48"/>
  <c r="FQ71" i="48"/>
  <c r="FR71" i="48"/>
  <c r="FT71" i="48"/>
  <c r="FX71" i="48"/>
  <c r="FY71" i="48"/>
  <c r="GA71" i="48"/>
  <c r="GB71" i="48"/>
  <c r="GF71" i="48"/>
  <c r="GG71" i="48"/>
  <c r="GH71" i="48"/>
  <c r="GJ71" i="48"/>
  <c r="GL71" i="48"/>
  <c r="GN71" i="48"/>
  <c r="GO71" i="48"/>
  <c r="GP71" i="48"/>
  <c r="FB72" i="48"/>
  <c r="FC72" i="48"/>
  <c r="FD72" i="48"/>
  <c r="FE72" i="48"/>
  <c r="FG72" i="48"/>
  <c r="FI72" i="48"/>
  <c r="FJ72" i="48"/>
  <c r="FK72" i="48"/>
  <c r="FL72" i="48"/>
  <c r="FM72" i="48"/>
  <c r="FQ72" i="48"/>
  <c r="FR72" i="48"/>
  <c r="FS72" i="48"/>
  <c r="FT72" i="48"/>
  <c r="FU72" i="48"/>
  <c r="FW72" i="48"/>
  <c r="FY72" i="48"/>
  <c r="GA72" i="48"/>
  <c r="GF72" i="48"/>
  <c r="GG72" i="48"/>
  <c r="GH72" i="48"/>
  <c r="GI72" i="48"/>
  <c r="GJ72" i="48"/>
  <c r="GK72" i="48"/>
  <c r="GM72" i="48"/>
  <c r="GO72" i="48"/>
  <c r="GP72" i="48"/>
  <c r="GQ72" i="48"/>
  <c r="FC73" i="48"/>
  <c r="FR73" i="48"/>
  <c r="GG73" i="48"/>
  <c r="GO73" i="48"/>
  <c r="GQ73" i="48"/>
  <c r="EY86" i="48"/>
  <c r="EY113" i="48" s="1"/>
  <c r="EZ86" i="48"/>
  <c r="EZ88" i="48" s="1"/>
  <c r="EZ191" i="48" s="1"/>
  <c r="FA86" i="48"/>
  <c r="FA113" i="48" s="1"/>
  <c r="FB86" i="48"/>
  <c r="FB88" i="48" s="1"/>
  <c r="FB191" i="48" s="1"/>
  <c r="FC86" i="48"/>
  <c r="FD86" i="48"/>
  <c r="FD113" i="48" s="1"/>
  <c r="FE86" i="48"/>
  <c r="FE113" i="48" s="1"/>
  <c r="FF86" i="48"/>
  <c r="FF88" i="48" s="1"/>
  <c r="FF191" i="48" s="1"/>
  <c r="FG86" i="48"/>
  <c r="FH86" i="48"/>
  <c r="FH189" i="48" s="1"/>
  <c r="FI86" i="48"/>
  <c r="FM86" i="48"/>
  <c r="FM88" i="48" s="1"/>
  <c r="FM191" i="48" s="1"/>
  <c r="FN86" i="48"/>
  <c r="FP86" i="48"/>
  <c r="FP113" i="48" s="1"/>
  <c r="FQ86" i="48"/>
  <c r="FR86" i="48"/>
  <c r="FR113" i="48" s="1"/>
  <c r="FS86" i="48"/>
  <c r="FS88" i="48" s="1"/>
  <c r="FT86" i="48"/>
  <c r="FT113" i="48" s="1"/>
  <c r="FU86" i="48"/>
  <c r="FV86" i="48"/>
  <c r="FW86" i="48"/>
  <c r="FX86" i="48"/>
  <c r="FX88" i="48" s="1"/>
  <c r="FX191" i="48" s="1"/>
  <c r="FY86" i="48"/>
  <c r="FZ86" i="48"/>
  <c r="FZ88" i="48" s="1"/>
  <c r="FZ191" i="48" s="1"/>
  <c r="GA86" i="48"/>
  <c r="GB86" i="48"/>
  <c r="GB113" i="48" s="1"/>
  <c r="GC86" i="48"/>
  <c r="GD86" i="48"/>
  <c r="GD189" i="48" s="1"/>
  <c r="GE86" i="48"/>
  <c r="GF86" i="48"/>
  <c r="GF113" i="48" s="1"/>
  <c r="GG86" i="48"/>
  <c r="GG113" i="48" s="1"/>
  <c r="GH86" i="48"/>
  <c r="GH88" i="48" s="1"/>
  <c r="GH191" i="48" s="1"/>
  <c r="GI86" i="48"/>
  <c r="EY87" i="48"/>
  <c r="EY190" i="48" s="1"/>
  <c r="EZ87" i="48"/>
  <c r="FA87" i="48"/>
  <c r="FA190" i="48" s="1"/>
  <c r="FB87" i="48"/>
  <c r="FC87" i="48"/>
  <c r="FC114" i="48" s="1"/>
  <c r="FD87" i="48"/>
  <c r="FE87" i="48"/>
  <c r="FE114" i="48" s="1"/>
  <c r="FF87" i="48"/>
  <c r="FG87" i="48"/>
  <c r="FG114" i="48" s="1"/>
  <c r="FH87" i="48"/>
  <c r="FH114" i="48" s="1"/>
  <c r="FI87" i="48"/>
  <c r="FI114" i="48" s="1"/>
  <c r="FM87" i="48"/>
  <c r="FP87" i="48"/>
  <c r="FP88" i="48" s="1"/>
  <c r="FP191" i="48" s="1"/>
  <c r="FQ87" i="48"/>
  <c r="FR87" i="48"/>
  <c r="FR88" i="48" s="1"/>
  <c r="FR191" i="48" s="1"/>
  <c r="FS87" i="48"/>
  <c r="FS114" i="48" s="1"/>
  <c r="FS115" i="48" s="1"/>
  <c r="FT87" i="48"/>
  <c r="FT114" i="48" s="1"/>
  <c r="FU87" i="48"/>
  <c r="FV87" i="48"/>
  <c r="FW87" i="48"/>
  <c r="FX87" i="48"/>
  <c r="FX114" i="48" s="1"/>
  <c r="FY87" i="48"/>
  <c r="FY114" i="48" s="1"/>
  <c r="FZ87" i="48"/>
  <c r="FZ114" i="48" s="1"/>
  <c r="GA87" i="48"/>
  <c r="GA88" i="48" s="1"/>
  <c r="GA191" i="48" s="1"/>
  <c r="GB87" i="48"/>
  <c r="GB88" i="48" s="1"/>
  <c r="GB191" i="48" s="1"/>
  <c r="GC87" i="48"/>
  <c r="GD87" i="48"/>
  <c r="GD88" i="48" s="1"/>
  <c r="GD191" i="48" s="1"/>
  <c r="GE87" i="48"/>
  <c r="GF87" i="48"/>
  <c r="GF114" i="48" s="1"/>
  <c r="GG87" i="48"/>
  <c r="GH87" i="48"/>
  <c r="GI87" i="48"/>
  <c r="FC88" i="48"/>
  <c r="FC191" i="48" s="1"/>
  <c r="FE88" i="48"/>
  <c r="FE191" i="48" s="1"/>
  <c r="FQ88" i="48"/>
  <c r="FT88" i="48"/>
  <c r="FT191" i="48" s="1"/>
  <c r="FV88" i="48"/>
  <c r="FV191" i="48" s="1"/>
  <c r="FY88" i="48"/>
  <c r="GC88" i="48"/>
  <c r="GC191" i="48" s="1"/>
  <c r="GE88" i="48"/>
  <c r="GG88" i="48"/>
  <c r="EY94" i="48"/>
  <c r="EY119" i="48" s="1"/>
  <c r="EZ94" i="48"/>
  <c r="FA94" i="48"/>
  <c r="FB94" i="48"/>
  <c r="FB119" i="48" s="1"/>
  <c r="FB121" i="48" s="1"/>
  <c r="FC94" i="48"/>
  <c r="FD94" i="48"/>
  <c r="FD96" i="48" s="1"/>
  <c r="FD199" i="48" s="1"/>
  <c r="FE94" i="48"/>
  <c r="FF94" i="48"/>
  <c r="FF119" i="48" s="1"/>
  <c r="FF121" i="48" s="1"/>
  <c r="FG94" i="48"/>
  <c r="FG119" i="48" s="1"/>
  <c r="FH94" i="48"/>
  <c r="FI94" i="48"/>
  <c r="FI119" i="48" s="1"/>
  <c r="FM94" i="48"/>
  <c r="FN94" i="48"/>
  <c r="FN119" i="48" s="1"/>
  <c r="FP94" i="48"/>
  <c r="FP119" i="48" s="1"/>
  <c r="FQ94" i="48"/>
  <c r="FR94" i="48"/>
  <c r="FR197" i="48" s="1"/>
  <c r="FS94" i="48"/>
  <c r="FT94" i="48"/>
  <c r="FU94" i="48"/>
  <c r="FV94" i="48"/>
  <c r="FV96" i="48" s="1"/>
  <c r="FV199" i="48" s="1"/>
  <c r="FW94" i="48"/>
  <c r="FW96" i="48" s="1"/>
  <c r="FW199" i="48" s="1"/>
  <c r="FX94" i="48"/>
  <c r="FY94" i="48"/>
  <c r="FZ94" i="48"/>
  <c r="GA94" i="48"/>
  <c r="GB94" i="48"/>
  <c r="GC94" i="48"/>
  <c r="GD94" i="48"/>
  <c r="GD96" i="48" s="1"/>
  <c r="GD199" i="48" s="1"/>
  <c r="GE94" i="48"/>
  <c r="GF94" i="48"/>
  <c r="GF197" i="48" s="1"/>
  <c r="GG94" i="48"/>
  <c r="GG119" i="48" s="1"/>
  <c r="GG121" i="48" s="1"/>
  <c r="GH94" i="48"/>
  <c r="GH96" i="48" s="1"/>
  <c r="GH199" i="48" s="1"/>
  <c r="GI94" i="48"/>
  <c r="GI96" i="48" s="1"/>
  <c r="GI199" i="48" s="1"/>
  <c r="EY95" i="48"/>
  <c r="EZ95" i="48"/>
  <c r="EZ120" i="48" s="1"/>
  <c r="FA95" i="48"/>
  <c r="FB95" i="48"/>
  <c r="FB120" i="48" s="1"/>
  <c r="FC95" i="48"/>
  <c r="FD95" i="48"/>
  <c r="FD120" i="48" s="1"/>
  <c r="FE95" i="48"/>
  <c r="FE198" i="48" s="1"/>
  <c r="FF95" i="48"/>
  <c r="FG95" i="48"/>
  <c r="FG198" i="48" s="1"/>
  <c r="FH95" i="48"/>
  <c r="FI95" i="48"/>
  <c r="FI198" i="48" s="1"/>
  <c r="FM95" i="48"/>
  <c r="FM96" i="48" s="1"/>
  <c r="FP95" i="48"/>
  <c r="FQ95" i="48"/>
  <c r="FQ198" i="48" s="1"/>
  <c r="FR95" i="48"/>
  <c r="FS95" i="48"/>
  <c r="FT95" i="48"/>
  <c r="FT120" i="48" s="1"/>
  <c r="FU95" i="48"/>
  <c r="FV95" i="48"/>
  <c r="FV198" i="48" s="1"/>
  <c r="FW95" i="48"/>
  <c r="FX95" i="48"/>
  <c r="FX198" i="48" s="1"/>
  <c r="FY95" i="48"/>
  <c r="FZ95" i="48"/>
  <c r="FZ120" i="48" s="1"/>
  <c r="FZ121" i="48" s="1"/>
  <c r="GA95" i="48"/>
  <c r="GA198" i="48" s="1"/>
  <c r="GB95" i="48"/>
  <c r="GB96" i="48" s="1"/>
  <c r="GB199" i="48" s="1"/>
  <c r="GC95" i="48"/>
  <c r="GC198" i="48" s="1"/>
  <c r="GD95" i="48"/>
  <c r="GE95" i="48"/>
  <c r="GF95" i="48"/>
  <c r="GG95" i="48"/>
  <c r="GH95" i="48"/>
  <c r="GH120" i="48" s="1"/>
  <c r="GI95" i="48"/>
  <c r="EY96" i="48"/>
  <c r="EY199" i="48" s="1"/>
  <c r="FA96" i="48"/>
  <c r="FB96" i="48"/>
  <c r="FB199" i="48" s="1"/>
  <c r="FP96" i="48"/>
  <c r="FS96" i="48"/>
  <c r="FS199" i="48" s="1"/>
  <c r="FU96" i="48"/>
  <c r="FU199" i="48" s="1"/>
  <c r="GE96" i="48"/>
  <c r="GE199" i="48" s="1"/>
  <c r="GG96" i="48"/>
  <c r="GG199" i="48" s="1"/>
  <c r="EY112" i="48"/>
  <c r="EZ112" i="48"/>
  <c r="FA112" i="48"/>
  <c r="FB112" i="48"/>
  <c r="FC112" i="48"/>
  <c r="FD112" i="48"/>
  <c r="FE112" i="48"/>
  <c r="FF112" i="48"/>
  <c r="FG112" i="48"/>
  <c r="FH112" i="48"/>
  <c r="FI112" i="48"/>
  <c r="FM112" i="48"/>
  <c r="FN112" i="48"/>
  <c r="FO112" i="48"/>
  <c r="FP112" i="48"/>
  <c r="FQ112" i="48"/>
  <c r="FR112" i="48"/>
  <c r="FS112" i="48"/>
  <c r="FT112" i="48"/>
  <c r="FU112" i="48"/>
  <c r="FV112" i="48"/>
  <c r="FW112" i="48"/>
  <c r="FX112" i="48"/>
  <c r="FY112" i="48"/>
  <c r="FZ112" i="48"/>
  <c r="GA112" i="48"/>
  <c r="GB112" i="48"/>
  <c r="GC112" i="48"/>
  <c r="GD112" i="48"/>
  <c r="GE112" i="48"/>
  <c r="GF112" i="48"/>
  <c r="GG112" i="48"/>
  <c r="GH112" i="48"/>
  <c r="GI112" i="48"/>
  <c r="GT112" i="48"/>
  <c r="GU112" i="48"/>
  <c r="GV112" i="48"/>
  <c r="GW112" i="48"/>
  <c r="GX112" i="48"/>
  <c r="GY112" i="48"/>
  <c r="GZ112" i="48"/>
  <c r="HA112" i="48"/>
  <c r="HB112" i="48"/>
  <c r="HC112" i="48"/>
  <c r="HD112" i="48"/>
  <c r="HE112" i="48"/>
  <c r="HF112" i="48"/>
  <c r="HG112" i="48"/>
  <c r="HH112" i="48"/>
  <c r="HI112" i="48"/>
  <c r="HJ112" i="48"/>
  <c r="HK112" i="48"/>
  <c r="HL112" i="48"/>
  <c r="HM112" i="48"/>
  <c r="HN112" i="48"/>
  <c r="HO112" i="48"/>
  <c r="HP112" i="48"/>
  <c r="HU112" i="48"/>
  <c r="HV112" i="48"/>
  <c r="HW112" i="48"/>
  <c r="HX112" i="48"/>
  <c r="HY112" i="48"/>
  <c r="HZ112" i="48"/>
  <c r="IA112" i="48"/>
  <c r="IB112" i="48"/>
  <c r="IC112" i="48"/>
  <c r="ID112" i="48"/>
  <c r="IE112" i="48"/>
  <c r="IF112" i="48"/>
  <c r="IG112" i="48"/>
  <c r="IH112" i="48"/>
  <c r="II112" i="48"/>
  <c r="IJ112" i="48"/>
  <c r="IK112" i="48"/>
  <c r="IL112" i="48"/>
  <c r="IM112" i="48"/>
  <c r="IN112" i="48"/>
  <c r="IO112" i="48"/>
  <c r="IP112" i="48"/>
  <c r="IQ112" i="48"/>
  <c r="FB113" i="48"/>
  <c r="FC113" i="48"/>
  <c r="FC115" i="48" s="1"/>
  <c r="FF113" i="48"/>
  <c r="FF115" i="48" s="1"/>
  <c r="FG113" i="48"/>
  <c r="FI113" i="48"/>
  <c r="FI115" i="48" s="1"/>
  <c r="FN113" i="48"/>
  <c r="FO113" i="48"/>
  <c r="FQ113" i="48"/>
  <c r="FS113" i="48"/>
  <c r="FV113" i="48"/>
  <c r="FW113" i="48"/>
  <c r="FY113" i="48"/>
  <c r="FY115" i="48" s="1"/>
  <c r="GA113" i="48"/>
  <c r="GA115" i="48" s="1"/>
  <c r="GC113" i="48"/>
  <c r="GC115" i="48" s="1"/>
  <c r="GD113" i="48"/>
  <c r="GE113" i="48"/>
  <c r="GH113" i="48"/>
  <c r="GH115" i="48" s="1"/>
  <c r="GI113" i="48"/>
  <c r="GI115" i="48" s="1"/>
  <c r="GT113" i="48"/>
  <c r="GU113" i="48"/>
  <c r="GV113" i="48"/>
  <c r="GW113" i="48"/>
  <c r="GX113" i="48"/>
  <c r="GY113" i="48"/>
  <c r="GZ113" i="48"/>
  <c r="HA113" i="48"/>
  <c r="HB113" i="48"/>
  <c r="HC113" i="48"/>
  <c r="HD113" i="48"/>
  <c r="HE113" i="48"/>
  <c r="HF113" i="48"/>
  <c r="HG113" i="48"/>
  <c r="HH113" i="48"/>
  <c r="HI113" i="48"/>
  <c r="HJ113" i="48"/>
  <c r="HK113" i="48"/>
  <c r="HL113" i="48"/>
  <c r="HM113" i="48"/>
  <c r="HN113" i="48"/>
  <c r="HO113" i="48"/>
  <c r="HP113" i="48"/>
  <c r="HU113" i="48"/>
  <c r="HV113" i="48"/>
  <c r="HW113" i="48"/>
  <c r="HX113" i="48"/>
  <c r="HY113" i="48"/>
  <c r="HZ113" i="48"/>
  <c r="IA113" i="48"/>
  <c r="IB113" i="48"/>
  <c r="IC113" i="48"/>
  <c r="ID113" i="48"/>
  <c r="IE113" i="48"/>
  <c r="IF113" i="48"/>
  <c r="IG113" i="48"/>
  <c r="IH113" i="48"/>
  <c r="II113" i="48"/>
  <c r="IJ113" i="48"/>
  <c r="IK113" i="48"/>
  <c r="IL113" i="48"/>
  <c r="IM113" i="48"/>
  <c r="IN113" i="48"/>
  <c r="IO113" i="48"/>
  <c r="IP113" i="48"/>
  <c r="IQ113" i="48"/>
  <c r="EZ114" i="48"/>
  <c r="FB114" i="48"/>
  <c r="FD114" i="48"/>
  <c r="FF114" i="48"/>
  <c r="FM114" i="48"/>
  <c r="FN114" i="48"/>
  <c r="FO114" i="48"/>
  <c r="FQ114" i="48"/>
  <c r="FU114" i="48"/>
  <c r="FV114" i="48"/>
  <c r="FW114" i="48"/>
  <c r="FW115" i="48" s="1"/>
  <c r="GA114" i="48"/>
  <c r="GC114" i="48"/>
  <c r="GE114" i="48"/>
  <c r="GE115" i="48" s="1"/>
  <c r="GG114" i="48"/>
  <c r="GH114" i="48"/>
  <c r="GI114" i="48"/>
  <c r="GT114" i="48"/>
  <c r="GU114" i="48"/>
  <c r="GV114" i="48"/>
  <c r="GW114" i="48"/>
  <c r="GX114" i="48"/>
  <c r="GY114" i="48"/>
  <c r="GZ114" i="48"/>
  <c r="HA114" i="48"/>
  <c r="HB114" i="48"/>
  <c r="HC114" i="48"/>
  <c r="HD114" i="48"/>
  <c r="HE114" i="48"/>
  <c r="HF114" i="48"/>
  <c r="HG114" i="48"/>
  <c r="HH114" i="48"/>
  <c r="HI114" i="48"/>
  <c r="HJ114" i="48"/>
  <c r="HK114" i="48"/>
  <c r="HL114" i="48"/>
  <c r="HM114" i="48"/>
  <c r="HN114" i="48"/>
  <c r="HO114" i="48"/>
  <c r="HP114" i="48"/>
  <c r="HU114" i="48"/>
  <c r="HV114" i="48"/>
  <c r="HW114" i="48"/>
  <c r="HX114" i="48"/>
  <c r="HY114" i="48"/>
  <c r="HZ114" i="48"/>
  <c r="IA114" i="48"/>
  <c r="IB114" i="48"/>
  <c r="IC114" i="48"/>
  <c r="ID114" i="48"/>
  <c r="IE114" i="48"/>
  <c r="IF114" i="48"/>
  <c r="IG114" i="48"/>
  <c r="IH114" i="48"/>
  <c r="II114" i="48"/>
  <c r="IJ114" i="48"/>
  <c r="IK114" i="48"/>
  <c r="IL114" i="48"/>
  <c r="IM114" i="48"/>
  <c r="IN114" i="48"/>
  <c r="IO114" i="48"/>
  <c r="IP114" i="48"/>
  <c r="IQ114" i="48"/>
  <c r="FV115" i="48"/>
  <c r="GG115" i="48"/>
  <c r="GT115" i="48"/>
  <c r="GU115" i="48"/>
  <c r="GV115" i="48"/>
  <c r="GW115" i="48"/>
  <c r="GX115" i="48"/>
  <c r="GY115" i="48"/>
  <c r="GZ115" i="48"/>
  <c r="HA115" i="48"/>
  <c r="HB115" i="48"/>
  <c r="HC115" i="48"/>
  <c r="HD115" i="48"/>
  <c r="HE115" i="48"/>
  <c r="HF115" i="48"/>
  <c r="HG115" i="48"/>
  <c r="HH115" i="48"/>
  <c r="HI115" i="48"/>
  <c r="HJ115" i="48"/>
  <c r="HK115" i="48"/>
  <c r="HL115" i="48"/>
  <c r="HM115" i="48"/>
  <c r="HN115" i="48"/>
  <c r="HO115" i="48"/>
  <c r="HP115" i="48"/>
  <c r="HU115" i="48"/>
  <c r="HV115" i="48"/>
  <c r="HW115" i="48"/>
  <c r="HX115" i="48"/>
  <c r="HY115" i="48"/>
  <c r="HZ115" i="48"/>
  <c r="IA115" i="48"/>
  <c r="IB115" i="48"/>
  <c r="IC115" i="48"/>
  <c r="ID115" i="48"/>
  <c r="IE115" i="48"/>
  <c r="IF115" i="48"/>
  <c r="IG115" i="48"/>
  <c r="IH115" i="48"/>
  <c r="II115" i="48"/>
  <c r="IJ115" i="48"/>
  <c r="IK115" i="48"/>
  <c r="IL115" i="48"/>
  <c r="IM115" i="48"/>
  <c r="IN115" i="48"/>
  <c r="IO115" i="48"/>
  <c r="IP115" i="48"/>
  <c r="IQ115" i="48"/>
  <c r="GT116" i="48"/>
  <c r="GU116" i="48"/>
  <c r="GV116" i="48"/>
  <c r="GW116" i="48"/>
  <c r="GX116" i="48"/>
  <c r="GY116" i="48"/>
  <c r="GZ116" i="48"/>
  <c r="HA116" i="48"/>
  <c r="HB116" i="48"/>
  <c r="HC116" i="48"/>
  <c r="HD116" i="48"/>
  <c r="HE116" i="48"/>
  <c r="HF116" i="48"/>
  <c r="HG116" i="48"/>
  <c r="HH116" i="48"/>
  <c r="HI116" i="48"/>
  <c r="HJ116" i="48"/>
  <c r="HK116" i="48"/>
  <c r="HL116" i="48"/>
  <c r="HM116" i="48"/>
  <c r="HN116" i="48"/>
  <c r="HO116" i="48"/>
  <c r="HP116" i="48"/>
  <c r="HU116" i="48"/>
  <c r="HV116" i="48"/>
  <c r="HW116" i="48"/>
  <c r="HX116" i="48"/>
  <c r="HY116" i="48"/>
  <c r="HZ116" i="48"/>
  <c r="IA116" i="48"/>
  <c r="IB116" i="48"/>
  <c r="IC116" i="48"/>
  <c r="ID116" i="48"/>
  <c r="IE116" i="48"/>
  <c r="IF116" i="48"/>
  <c r="IG116" i="48"/>
  <c r="IH116" i="48"/>
  <c r="II116" i="48"/>
  <c r="IJ116" i="48"/>
  <c r="IK116" i="48"/>
  <c r="IL116" i="48"/>
  <c r="IM116" i="48"/>
  <c r="IN116" i="48"/>
  <c r="IO116" i="48"/>
  <c r="IP116" i="48"/>
  <c r="IQ116" i="48"/>
  <c r="EY118" i="48"/>
  <c r="EZ118" i="48"/>
  <c r="FA118" i="48"/>
  <c r="FB118" i="48"/>
  <c r="FC118" i="48"/>
  <c r="FD118" i="48"/>
  <c r="FE118" i="48"/>
  <c r="FF118" i="48"/>
  <c r="FG118" i="48"/>
  <c r="FH118" i="48"/>
  <c r="FI118" i="48"/>
  <c r="FM118" i="48"/>
  <c r="FN118" i="48"/>
  <c r="FO118" i="48"/>
  <c r="FP118" i="48"/>
  <c r="FQ118" i="48"/>
  <c r="FR118" i="48"/>
  <c r="FS118" i="48"/>
  <c r="FT118" i="48"/>
  <c r="FU118" i="48"/>
  <c r="FV118" i="48"/>
  <c r="FW118" i="48"/>
  <c r="FX118" i="48"/>
  <c r="FY118" i="48"/>
  <c r="FZ118" i="48"/>
  <c r="GA118" i="48"/>
  <c r="GB118" i="48"/>
  <c r="GC118" i="48"/>
  <c r="GD118" i="48"/>
  <c r="GE118" i="48"/>
  <c r="GF118" i="48"/>
  <c r="GG118" i="48"/>
  <c r="GH118" i="48"/>
  <c r="GI118" i="48"/>
  <c r="EZ119" i="48"/>
  <c r="FA119" i="48"/>
  <c r="FA121" i="48" s="1"/>
  <c r="FC119" i="48"/>
  <c r="FE119" i="48"/>
  <c r="FE121" i="48" s="1"/>
  <c r="FH119" i="48"/>
  <c r="FM119" i="48"/>
  <c r="FO119" i="48"/>
  <c r="FQ119" i="48"/>
  <c r="FS119" i="48"/>
  <c r="FU119" i="48"/>
  <c r="FU121" i="48" s="1"/>
  <c r="FX119" i="48"/>
  <c r="FX121" i="48" s="1"/>
  <c r="FZ119" i="48"/>
  <c r="GA119" i="48"/>
  <c r="GB119" i="48"/>
  <c r="GC119" i="48"/>
  <c r="GE119" i="48"/>
  <c r="GT119" i="48"/>
  <c r="GU119" i="48"/>
  <c r="GV119" i="48"/>
  <c r="GW119" i="48"/>
  <c r="GX119" i="48"/>
  <c r="GY119" i="48"/>
  <c r="GZ119" i="48"/>
  <c r="HA119" i="48"/>
  <c r="HB119" i="48"/>
  <c r="HC119" i="48"/>
  <c r="HD119" i="48"/>
  <c r="HE119" i="48"/>
  <c r="HF119" i="48"/>
  <c r="HG119" i="48"/>
  <c r="HH119" i="48"/>
  <c r="HI119" i="48"/>
  <c r="HJ119" i="48"/>
  <c r="HK119" i="48"/>
  <c r="HL119" i="48"/>
  <c r="HM119" i="48"/>
  <c r="HN119" i="48"/>
  <c r="HO119" i="48"/>
  <c r="HP119" i="48"/>
  <c r="HU119" i="48"/>
  <c r="HV119" i="48"/>
  <c r="HW119" i="48"/>
  <c r="HX119" i="48"/>
  <c r="HY119" i="48"/>
  <c r="HZ119" i="48"/>
  <c r="IA119" i="48"/>
  <c r="IB119" i="48"/>
  <c r="IC119" i="48"/>
  <c r="ID119" i="48"/>
  <c r="IE119" i="48"/>
  <c r="IF119" i="48"/>
  <c r="IG119" i="48"/>
  <c r="IH119" i="48"/>
  <c r="II119" i="48"/>
  <c r="IJ119" i="48"/>
  <c r="IK119" i="48"/>
  <c r="IL119" i="48"/>
  <c r="IM119" i="48"/>
  <c r="IN119" i="48"/>
  <c r="IO119" i="48"/>
  <c r="IP119" i="48"/>
  <c r="IQ119" i="48"/>
  <c r="EY120" i="48"/>
  <c r="FA120" i="48"/>
  <c r="FC120" i="48"/>
  <c r="FE120" i="48"/>
  <c r="FF120" i="48"/>
  <c r="FG120" i="48"/>
  <c r="FH120" i="48"/>
  <c r="FH121" i="48" s="1"/>
  <c r="FI120" i="48"/>
  <c r="FM120" i="48"/>
  <c r="FM121" i="48" s="1"/>
  <c r="FN120" i="48"/>
  <c r="FO120" i="48"/>
  <c r="FP120" i="48"/>
  <c r="FR120" i="48"/>
  <c r="FS120" i="48"/>
  <c r="FU120" i="48"/>
  <c r="FV120" i="48"/>
  <c r="FW120" i="48"/>
  <c r="FX120" i="48"/>
  <c r="FY120" i="48"/>
  <c r="GB120" i="48"/>
  <c r="GD120" i="48"/>
  <c r="GE120" i="48"/>
  <c r="GF120" i="48"/>
  <c r="GG120" i="48"/>
  <c r="GI120" i="48"/>
  <c r="GT120" i="48"/>
  <c r="GU120" i="48"/>
  <c r="GV120" i="48"/>
  <c r="GW120" i="48"/>
  <c r="GX120" i="48"/>
  <c r="GY120" i="48"/>
  <c r="GZ120" i="48"/>
  <c r="HA120" i="48"/>
  <c r="HB120" i="48"/>
  <c r="HC120" i="48"/>
  <c r="HD120" i="48"/>
  <c r="HE120" i="48"/>
  <c r="HF120" i="48"/>
  <c r="HG120" i="48"/>
  <c r="HH120" i="48"/>
  <c r="HI120" i="48"/>
  <c r="HJ120" i="48"/>
  <c r="HK120" i="48"/>
  <c r="HL120" i="48"/>
  <c r="HM120" i="48"/>
  <c r="HN120" i="48"/>
  <c r="HO120" i="48"/>
  <c r="HP120" i="48"/>
  <c r="HU120" i="48"/>
  <c r="HV120" i="48"/>
  <c r="HW120" i="48"/>
  <c r="HX120" i="48"/>
  <c r="HY120" i="48"/>
  <c r="HZ120" i="48"/>
  <c r="IA120" i="48"/>
  <c r="IB120" i="48"/>
  <c r="IC120" i="48"/>
  <c r="ID120" i="48"/>
  <c r="IE120" i="48"/>
  <c r="IF120" i="48"/>
  <c r="IG120" i="48"/>
  <c r="IH120" i="48"/>
  <c r="II120" i="48"/>
  <c r="IJ120" i="48"/>
  <c r="IK120" i="48"/>
  <c r="IL120" i="48"/>
  <c r="IM120" i="48"/>
  <c r="IN120" i="48"/>
  <c r="IO120" i="48"/>
  <c r="IP120" i="48"/>
  <c r="IQ120" i="48"/>
  <c r="FP121" i="48"/>
  <c r="FS121" i="48"/>
  <c r="GB121" i="48"/>
  <c r="GE121" i="48"/>
  <c r="GT121" i="48"/>
  <c r="GU121" i="48"/>
  <c r="GV121" i="48"/>
  <c r="GW121" i="48"/>
  <c r="GX121" i="48"/>
  <c r="GY121" i="48"/>
  <c r="GZ121" i="48"/>
  <c r="HA121" i="48"/>
  <c r="HB121" i="48"/>
  <c r="HC121" i="48"/>
  <c r="HD121" i="48"/>
  <c r="HE121" i="48"/>
  <c r="HF121" i="48"/>
  <c r="HG121" i="48"/>
  <c r="HH121" i="48"/>
  <c r="HI121" i="48"/>
  <c r="HJ121" i="48"/>
  <c r="HK121" i="48"/>
  <c r="HL121" i="48"/>
  <c r="HM121" i="48"/>
  <c r="HN121" i="48"/>
  <c r="HO121" i="48"/>
  <c r="HP121" i="48"/>
  <c r="HU121" i="48"/>
  <c r="HV121" i="48"/>
  <c r="HW121" i="48"/>
  <c r="HX121" i="48"/>
  <c r="HY121" i="48"/>
  <c r="HZ121" i="48"/>
  <c r="IA121" i="48"/>
  <c r="IB121" i="48"/>
  <c r="IC121" i="48"/>
  <c r="ID121" i="48"/>
  <c r="IE121" i="48"/>
  <c r="IF121" i="48"/>
  <c r="IG121" i="48"/>
  <c r="IH121" i="48"/>
  <c r="II121" i="48"/>
  <c r="IJ121" i="48"/>
  <c r="IK121" i="48"/>
  <c r="IL121" i="48"/>
  <c r="IM121" i="48"/>
  <c r="IN121" i="48"/>
  <c r="IO121" i="48"/>
  <c r="IP121" i="48"/>
  <c r="IQ121" i="48"/>
  <c r="GT122" i="48"/>
  <c r="GU122" i="48"/>
  <c r="GV122" i="48"/>
  <c r="GW122" i="48"/>
  <c r="GX122" i="48"/>
  <c r="GY122" i="48"/>
  <c r="GZ122" i="48"/>
  <c r="HA122" i="48"/>
  <c r="HB122" i="48"/>
  <c r="HC122" i="48"/>
  <c r="HD122" i="48"/>
  <c r="HE122" i="48"/>
  <c r="HF122" i="48"/>
  <c r="HG122" i="48"/>
  <c r="HH122" i="48"/>
  <c r="HI122" i="48"/>
  <c r="HJ122" i="48"/>
  <c r="HK122" i="48"/>
  <c r="HL122" i="48"/>
  <c r="HM122" i="48"/>
  <c r="HN122" i="48"/>
  <c r="HO122" i="48"/>
  <c r="HP122" i="48"/>
  <c r="HU122" i="48"/>
  <c r="HV122" i="48"/>
  <c r="HW122" i="48"/>
  <c r="HX122" i="48"/>
  <c r="HY122" i="48"/>
  <c r="HZ122" i="48"/>
  <c r="IA122" i="48"/>
  <c r="IB122" i="48"/>
  <c r="IC122" i="48"/>
  <c r="ID122" i="48"/>
  <c r="IE122" i="48"/>
  <c r="IF122" i="48"/>
  <c r="IG122" i="48"/>
  <c r="IH122" i="48"/>
  <c r="II122" i="48"/>
  <c r="IJ122" i="48"/>
  <c r="IK122" i="48"/>
  <c r="IL122" i="48"/>
  <c r="IM122" i="48"/>
  <c r="IN122" i="48"/>
  <c r="IO122" i="48"/>
  <c r="IP122" i="48"/>
  <c r="IQ122" i="48"/>
  <c r="GT123" i="48"/>
  <c r="GU123" i="48"/>
  <c r="GV123" i="48"/>
  <c r="GW123" i="48"/>
  <c r="GX123" i="48"/>
  <c r="GY123" i="48"/>
  <c r="GZ123" i="48"/>
  <c r="HA123" i="48"/>
  <c r="HB123" i="48"/>
  <c r="HC123" i="48"/>
  <c r="HD123" i="48"/>
  <c r="HE123" i="48"/>
  <c r="HF123" i="48"/>
  <c r="HG123" i="48"/>
  <c r="HH123" i="48"/>
  <c r="HI123" i="48"/>
  <c r="HJ123" i="48"/>
  <c r="HK123" i="48"/>
  <c r="HL123" i="48"/>
  <c r="HM123" i="48"/>
  <c r="HN123" i="48"/>
  <c r="HO123" i="48"/>
  <c r="HP123" i="48"/>
  <c r="HU123" i="48"/>
  <c r="HV123" i="48"/>
  <c r="HW123" i="48"/>
  <c r="HX123" i="48"/>
  <c r="HY123" i="48"/>
  <c r="HZ123" i="48"/>
  <c r="IA123" i="48"/>
  <c r="IB123" i="48"/>
  <c r="IC123" i="48"/>
  <c r="ID123" i="48"/>
  <c r="IE123" i="48"/>
  <c r="IF123" i="48"/>
  <c r="IG123" i="48"/>
  <c r="IH123" i="48"/>
  <c r="II123" i="48"/>
  <c r="IJ123" i="48"/>
  <c r="IK123" i="48"/>
  <c r="IL123" i="48"/>
  <c r="IM123" i="48"/>
  <c r="IN123" i="48"/>
  <c r="IO123" i="48"/>
  <c r="IP123" i="48"/>
  <c r="IQ123" i="48"/>
  <c r="HU126" i="48"/>
  <c r="HV126" i="48"/>
  <c r="HW126" i="48"/>
  <c r="HX126" i="48"/>
  <c r="HY126" i="48"/>
  <c r="HZ126" i="48"/>
  <c r="IA126" i="48"/>
  <c r="IB126" i="48"/>
  <c r="IC126" i="48"/>
  <c r="ID126" i="48"/>
  <c r="IE126" i="48"/>
  <c r="IF126" i="48"/>
  <c r="IG126" i="48"/>
  <c r="IH126" i="48"/>
  <c r="II126" i="48"/>
  <c r="IJ126" i="48"/>
  <c r="IK126" i="48"/>
  <c r="IL126" i="48"/>
  <c r="IM126" i="48"/>
  <c r="IN126" i="48"/>
  <c r="IO126" i="48"/>
  <c r="IP126" i="48"/>
  <c r="IQ126" i="48"/>
  <c r="HU127" i="48"/>
  <c r="HV127" i="48"/>
  <c r="HW127" i="48"/>
  <c r="HX127" i="48"/>
  <c r="HY127" i="48"/>
  <c r="HZ127" i="48"/>
  <c r="IA127" i="48"/>
  <c r="IB127" i="48"/>
  <c r="IC127" i="48"/>
  <c r="ID127" i="48"/>
  <c r="IE127" i="48"/>
  <c r="IF127" i="48"/>
  <c r="IG127" i="48"/>
  <c r="IH127" i="48"/>
  <c r="II127" i="48"/>
  <c r="IJ127" i="48"/>
  <c r="IK127" i="48"/>
  <c r="IL127" i="48"/>
  <c r="IM127" i="48"/>
  <c r="IN127" i="48"/>
  <c r="IO127" i="48"/>
  <c r="IP127" i="48"/>
  <c r="IQ127" i="48"/>
  <c r="HU128" i="48"/>
  <c r="HV128" i="48"/>
  <c r="HW128" i="48"/>
  <c r="HX128" i="48"/>
  <c r="HY128" i="48"/>
  <c r="HZ128" i="48"/>
  <c r="IA128" i="48"/>
  <c r="IB128" i="48"/>
  <c r="IC128" i="48"/>
  <c r="ID128" i="48"/>
  <c r="IE128" i="48"/>
  <c r="IF128" i="48"/>
  <c r="IG128" i="48"/>
  <c r="IH128" i="48"/>
  <c r="II128" i="48"/>
  <c r="IJ128" i="48"/>
  <c r="IK128" i="48"/>
  <c r="IL128" i="48"/>
  <c r="IM128" i="48"/>
  <c r="IN128" i="48"/>
  <c r="IO128" i="48"/>
  <c r="IP128" i="48"/>
  <c r="IQ128" i="48"/>
  <c r="HU129" i="48"/>
  <c r="HV129" i="48"/>
  <c r="HW129" i="48"/>
  <c r="HX129" i="48"/>
  <c r="HY129" i="48"/>
  <c r="HZ129" i="48"/>
  <c r="IA129" i="48"/>
  <c r="IB129" i="48"/>
  <c r="IC129" i="48"/>
  <c r="ID129" i="48"/>
  <c r="IE129" i="48"/>
  <c r="IF129" i="48"/>
  <c r="IG129" i="48"/>
  <c r="IH129" i="48"/>
  <c r="II129" i="48"/>
  <c r="IJ129" i="48"/>
  <c r="IK129" i="48"/>
  <c r="IL129" i="48"/>
  <c r="IM129" i="48"/>
  <c r="IN129" i="48"/>
  <c r="IO129" i="48"/>
  <c r="IP129" i="48"/>
  <c r="IQ129" i="48"/>
  <c r="HU130" i="48"/>
  <c r="HV130" i="48"/>
  <c r="HW130" i="48"/>
  <c r="HX130" i="48"/>
  <c r="HY130" i="48"/>
  <c r="HZ130" i="48"/>
  <c r="IA130" i="48"/>
  <c r="IB130" i="48"/>
  <c r="IC130" i="48"/>
  <c r="ID130" i="48"/>
  <c r="IE130" i="48"/>
  <c r="IF130" i="48"/>
  <c r="IG130" i="48"/>
  <c r="IH130" i="48"/>
  <c r="II130" i="48"/>
  <c r="IJ130" i="48"/>
  <c r="IK130" i="48"/>
  <c r="IL130" i="48"/>
  <c r="IM130" i="48"/>
  <c r="IN130" i="48"/>
  <c r="IO130" i="48"/>
  <c r="IP130" i="48"/>
  <c r="IQ130" i="48"/>
  <c r="EY140" i="48"/>
  <c r="EZ140" i="48"/>
  <c r="FA140" i="48"/>
  <c r="FB140" i="48"/>
  <c r="FC140" i="48"/>
  <c r="FD140" i="48"/>
  <c r="FE140" i="48"/>
  <c r="FE142" i="48" s="1"/>
  <c r="FF140" i="48"/>
  <c r="FF142" i="48" s="1"/>
  <c r="FG140" i="48"/>
  <c r="FG142" i="48" s="1"/>
  <c r="FH140" i="48"/>
  <c r="FI140" i="48"/>
  <c r="FM140" i="48"/>
  <c r="FP140" i="48"/>
  <c r="FQ140" i="48"/>
  <c r="FR140" i="48"/>
  <c r="FS140" i="48"/>
  <c r="FT140" i="48"/>
  <c r="FU140" i="48"/>
  <c r="FU142" i="48" s="1"/>
  <c r="FV140" i="48"/>
  <c r="FV142" i="48" s="1"/>
  <c r="FW140" i="48"/>
  <c r="FW142" i="48" s="1"/>
  <c r="FX140" i="48"/>
  <c r="FY140" i="48"/>
  <c r="FY142" i="48" s="1"/>
  <c r="FZ140" i="48"/>
  <c r="GA140" i="48"/>
  <c r="GB140" i="48"/>
  <c r="GC140" i="48"/>
  <c r="GD140" i="48"/>
  <c r="GE140" i="48"/>
  <c r="GF140" i="48"/>
  <c r="GG140" i="48"/>
  <c r="GH140" i="48"/>
  <c r="GH142" i="48" s="1"/>
  <c r="GI140" i="48"/>
  <c r="EY141" i="48"/>
  <c r="EY142" i="48" s="1"/>
  <c r="EZ141" i="48"/>
  <c r="FA141" i="48"/>
  <c r="FA142" i="48" s="1"/>
  <c r="FB141" i="48"/>
  <c r="FC141" i="48"/>
  <c r="FD141" i="48"/>
  <c r="FE141" i="48"/>
  <c r="FF141" i="48"/>
  <c r="FG141" i="48"/>
  <c r="FH141" i="48"/>
  <c r="FI141" i="48"/>
  <c r="FM141" i="48"/>
  <c r="FM142" i="48" s="1"/>
  <c r="FP141" i="48"/>
  <c r="FP142" i="48" s="1"/>
  <c r="FQ141" i="48"/>
  <c r="FR141" i="48"/>
  <c r="FR142" i="48" s="1"/>
  <c r="FS141" i="48"/>
  <c r="FT141" i="48"/>
  <c r="FU141" i="48"/>
  <c r="FV141" i="48"/>
  <c r="FW141" i="48"/>
  <c r="FX141" i="48"/>
  <c r="FY141" i="48"/>
  <c r="FZ141" i="48"/>
  <c r="GA141" i="48"/>
  <c r="GA142" i="48" s="1"/>
  <c r="GB141" i="48"/>
  <c r="GB142" i="48" s="1"/>
  <c r="GC141" i="48"/>
  <c r="GC142" i="48" s="1"/>
  <c r="GD141" i="48"/>
  <c r="GD142" i="48" s="1"/>
  <c r="GE141" i="48"/>
  <c r="GF141" i="48"/>
  <c r="GG141" i="48"/>
  <c r="GH141" i="48"/>
  <c r="GI141" i="48"/>
  <c r="EZ142" i="48"/>
  <c r="FD142" i="48"/>
  <c r="FH142" i="48"/>
  <c r="GG142" i="48"/>
  <c r="EY147" i="48"/>
  <c r="EZ147" i="48"/>
  <c r="FA147" i="48"/>
  <c r="FA149" i="48" s="1"/>
  <c r="FB147" i="48"/>
  <c r="FC147" i="48"/>
  <c r="FC149" i="48" s="1"/>
  <c r="FD147" i="48"/>
  <c r="FD149" i="48" s="1"/>
  <c r="FE147" i="48"/>
  <c r="FF147" i="48"/>
  <c r="FG147" i="48"/>
  <c r="FH147" i="48"/>
  <c r="FI147" i="48"/>
  <c r="FM147" i="48"/>
  <c r="FM149" i="48" s="1"/>
  <c r="FP147" i="48"/>
  <c r="FP149" i="48" s="1"/>
  <c r="FQ147" i="48"/>
  <c r="FR147" i="48"/>
  <c r="FR149" i="48" s="1"/>
  <c r="FS147" i="48"/>
  <c r="FT147" i="48"/>
  <c r="FT149" i="48" s="1"/>
  <c r="FU147" i="48"/>
  <c r="FU149" i="48" s="1"/>
  <c r="FV147" i="48"/>
  <c r="FW147" i="48"/>
  <c r="FX147" i="48"/>
  <c r="FY147" i="48"/>
  <c r="FZ147" i="48"/>
  <c r="GA147" i="48"/>
  <c r="GB147" i="48"/>
  <c r="GC147" i="48"/>
  <c r="GD147" i="48"/>
  <c r="GD149" i="48" s="1"/>
  <c r="GE147" i="48"/>
  <c r="GF147" i="48"/>
  <c r="GF149" i="48" s="1"/>
  <c r="GG147" i="48"/>
  <c r="GH147" i="48"/>
  <c r="GI147" i="48"/>
  <c r="EY148" i="48"/>
  <c r="EZ148" i="48"/>
  <c r="FA148" i="48"/>
  <c r="FB148" i="48"/>
  <c r="FC148" i="48"/>
  <c r="FD148" i="48"/>
  <c r="FE148" i="48"/>
  <c r="FF148" i="48"/>
  <c r="FG148" i="48"/>
  <c r="FH148" i="48"/>
  <c r="FI148" i="48"/>
  <c r="FI149" i="48" s="1"/>
  <c r="FM148" i="48"/>
  <c r="FP148" i="48"/>
  <c r="FQ148" i="48"/>
  <c r="FR148" i="48"/>
  <c r="FS148" i="48"/>
  <c r="FT148" i="48"/>
  <c r="FU148" i="48"/>
  <c r="FV148" i="48"/>
  <c r="FW148" i="48"/>
  <c r="FX148" i="48"/>
  <c r="FX149" i="48" s="1"/>
  <c r="FY148" i="48"/>
  <c r="FZ148" i="48"/>
  <c r="FZ149" i="48" s="1"/>
  <c r="GA148" i="48"/>
  <c r="GB148" i="48"/>
  <c r="GC148" i="48"/>
  <c r="GD148" i="48"/>
  <c r="GE148" i="48"/>
  <c r="GF148" i="48"/>
  <c r="GG148" i="48"/>
  <c r="GH148" i="48"/>
  <c r="GI148" i="48"/>
  <c r="EY149" i="48"/>
  <c r="FY149" i="48"/>
  <c r="GA149" i="48"/>
  <c r="GB149" i="48"/>
  <c r="GG149" i="48"/>
  <c r="FC167" i="48"/>
  <c r="FD167" i="48"/>
  <c r="FF167" i="48"/>
  <c r="FH167" i="48"/>
  <c r="FI167" i="48"/>
  <c r="FJ167" i="48"/>
  <c r="FK167" i="48"/>
  <c r="FL167" i="48"/>
  <c r="FQ167" i="48"/>
  <c r="FR167" i="48"/>
  <c r="FT167" i="48"/>
  <c r="FV167" i="48"/>
  <c r="FX167" i="48"/>
  <c r="FY167" i="48"/>
  <c r="FZ167" i="48"/>
  <c r="GA167" i="48"/>
  <c r="GB167" i="48"/>
  <c r="GG167" i="48"/>
  <c r="GH167" i="48"/>
  <c r="GJ167" i="48"/>
  <c r="GM167" i="48"/>
  <c r="GN167" i="48"/>
  <c r="GO167" i="48"/>
  <c r="GP167" i="48"/>
  <c r="GQ167" i="48"/>
  <c r="GU167" i="48"/>
  <c r="GV167" i="48"/>
  <c r="HC167" i="48"/>
  <c r="HD167" i="48"/>
  <c r="HE167" i="48"/>
  <c r="HF167" i="48"/>
  <c r="FB168" i="48"/>
  <c r="FC168" i="48"/>
  <c r="FD168" i="48"/>
  <c r="FE168" i="48"/>
  <c r="FF168" i="48"/>
  <c r="FG168" i="48"/>
  <c r="FH168" i="48"/>
  <c r="FK168" i="48"/>
  <c r="FM168" i="48"/>
  <c r="FQ168" i="48"/>
  <c r="FR168" i="48"/>
  <c r="FS168" i="48"/>
  <c r="FT168" i="48"/>
  <c r="FU168" i="48"/>
  <c r="GA168" i="48"/>
  <c r="GF168" i="48"/>
  <c r="GG168" i="48"/>
  <c r="GH168" i="48"/>
  <c r="GI168" i="48"/>
  <c r="GJ168" i="48"/>
  <c r="GK168" i="48"/>
  <c r="GL168" i="48"/>
  <c r="GQ168" i="48"/>
  <c r="GV168" i="48"/>
  <c r="GW168" i="48"/>
  <c r="GX168" i="48"/>
  <c r="GY168" i="48"/>
  <c r="GZ168" i="48"/>
  <c r="HA168" i="48"/>
  <c r="FC169" i="48"/>
  <c r="FD169" i="48"/>
  <c r="FL169" i="48"/>
  <c r="FR169" i="48"/>
  <c r="FT169" i="48"/>
  <c r="GG169" i="48"/>
  <c r="GV169" i="48"/>
  <c r="FC172" i="48"/>
  <c r="FD172" i="48"/>
  <c r="FF172" i="48"/>
  <c r="FG172" i="48"/>
  <c r="FH172" i="48"/>
  <c r="FI172" i="48"/>
  <c r="FJ172" i="48"/>
  <c r="FK172" i="48"/>
  <c r="FL172" i="48"/>
  <c r="FM172" i="48"/>
  <c r="FR172" i="48"/>
  <c r="FT172" i="48"/>
  <c r="FV172" i="48"/>
  <c r="FW172" i="48"/>
  <c r="FX172" i="48"/>
  <c r="FY172" i="48"/>
  <c r="FZ172" i="48"/>
  <c r="GA172" i="48"/>
  <c r="GB172" i="48"/>
  <c r="GF172" i="48"/>
  <c r="GG172" i="48"/>
  <c r="GJ172" i="48"/>
  <c r="GL172" i="48"/>
  <c r="GM172" i="48"/>
  <c r="GN172" i="48"/>
  <c r="GO172" i="48"/>
  <c r="GP172" i="48"/>
  <c r="GQ172" i="48"/>
  <c r="GU172" i="48"/>
  <c r="GV172" i="48"/>
  <c r="GW172" i="48"/>
  <c r="GX172" i="48"/>
  <c r="GZ172" i="48"/>
  <c r="HB172" i="48"/>
  <c r="HC172" i="48"/>
  <c r="HD172" i="48"/>
  <c r="HE172" i="48"/>
  <c r="HF172" i="48"/>
  <c r="FB173" i="48"/>
  <c r="FC173" i="48"/>
  <c r="FD173" i="48"/>
  <c r="FE173" i="48"/>
  <c r="FH173" i="48"/>
  <c r="FJ173" i="48"/>
  <c r="FK173" i="48"/>
  <c r="FL173" i="48"/>
  <c r="FM173" i="48"/>
  <c r="FQ173" i="48"/>
  <c r="FR173" i="48"/>
  <c r="FS173" i="48"/>
  <c r="FT173" i="48"/>
  <c r="FU173" i="48"/>
  <c r="FV173" i="48"/>
  <c r="FX173" i="48"/>
  <c r="FZ173" i="48"/>
  <c r="GA173" i="48"/>
  <c r="GB173" i="48"/>
  <c r="GF173" i="48"/>
  <c r="GG173" i="48"/>
  <c r="GH173" i="48"/>
  <c r="GI173" i="48"/>
  <c r="GJ173" i="48"/>
  <c r="GK173" i="48"/>
  <c r="GL173" i="48"/>
  <c r="GP173" i="48"/>
  <c r="GQ173" i="48"/>
  <c r="GU173" i="48"/>
  <c r="GV173" i="48"/>
  <c r="GW173" i="48"/>
  <c r="GX173" i="48"/>
  <c r="GY173" i="48"/>
  <c r="GZ173" i="48"/>
  <c r="HA173" i="48"/>
  <c r="HD173" i="48"/>
  <c r="FC174" i="48"/>
  <c r="FR174" i="48"/>
  <c r="GG174" i="48"/>
  <c r="GN174" i="48"/>
  <c r="GU174" i="48"/>
  <c r="GV174" i="48"/>
  <c r="FC177" i="48"/>
  <c r="FD177" i="48"/>
  <c r="FH177" i="48"/>
  <c r="FI177" i="48"/>
  <c r="FJ177" i="48"/>
  <c r="FK177" i="48"/>
  <c r="FL177" i="48"/>
  <c r="FM177" i="48"/>
  <c r="FR177" i="48"/>
  <c r="FT177" i="48"/>
  <c r="FU177" i="48"/>
  <c r="FV177" i="48"/>
  <c r="FX177" i="48"/>
  <c r="FY177" i="48"/>
  <c r="FZ177" i="48"/>
  <c r="GA177" i="48"/>
  <c r="GB177" i="48"/>
  <c r="GF177" i="48"/>
  <c r="GG177" i="48"/>
  <c r="GH177" i="48"/>
  <c r="GJ177" i="48"/>
  <c r="GL177" i="48"/>
  <c r="GN177" i="48"/>
  <c r="GO177" i="48"/>
  <c r="GP177" i="48"/>
  <c r="GQ177" i="48"/>
  <c r="FB178" i="48"/>
  <c r="FC178" i="48"/>
  <c r="FD178" i="48"/>
  <c r="FE178" i="48"/>
  <c r="FF178" i="48"/>
  <c r="FG178" i="48"/>
  <c r="FH178" i="48"/>
  <c r="FI178" i="48"/>
  <c r="FK178" i="48"/>
  <c r="FL178" i="48"/>
  <c r="FM178" i="48"/>
  <c r="FQ178" i="48"/>
  <c r="FR178" i="48"/>
  <c r="FS178" i="48"/>
  <c r="FT178" i="48"/>
  <c r="FU178" i="48"/>
  <c r="FW178" i="48"/>
  <c r="FY178" i="48"/>
  <c r="GA178" i="48"/>
  <c r="GB178" i="48"/>
  <c r="GF178" i="48"/>
  <c r="GG178" i="48"/>
  <c r="GH178" i="48"/>
  <c r="GI178" i="48"/>
  <c r="GJ178" i="48"/>
  <c r="GK178" i="48"/>
  <c r="GL178" i="48"/>
  <c r="GM178" i="48"/>
  <c r="GO178" i="48"/>
  <c r="GQ178" i="48"/>
  <c r="FC179" i="48"/>
  <c r="FR179" i="48"/>
  <c r="GG179" i="48"/>
  <c r="GL179" i="48"/>
  <c r="EY188" i="48"/>
  <c r="EZ188" i="48"/>
  <c r="FA188" i="48"/>
  <c r="FB188" i="48"/>
  <c r="FC188" i="48"/>
  <c r="FD188" i="48"/>
  <c r="FE188" i="48"/>
  <c r="FF188" i="48"/>
  <c r="FG188" i="48"/>
  <c r="FH188" i="48"/>
  <c r="FI188" i="48"/>
  <c r="FL188" i="48"/>
  <c r="FM188" i="48"/>
  <c r="FN188" i="48"/>
  <c r="FO188" i="48"/>
  <c r="FP188" i="48"/>
  <c r="FQ188" i="48"/>
  <c r="FR188" i="48"/>
  <c r="FS188" i="48"/>
  <c r="FT188" i="48"/>
  <c r="FU188" i="48"/>
  <c r="FV188" i="48"/>
  <c r="FW188" i="48"/>
  <c r="FX188" i="48"/>
  <c r="FY188" i="48"/>
  <c r="FZ188" i="48"/>
  <c r="GA188" i="48"/>
  <c r="GB188" i="48"/>
  <c r="GC188" i="48"/>
  <c r="GD188" i="48"/>
  <c r="GE188" i="48"/>
  <c r="GF188" i="48"/>
  <c r="GG188" i="48"/>
  <c r="GH188" i="48"/>
  <c r="GI188" i="48"/>
  <c r="GS188" i="48"/>
  <c r="GT188" i="48"/>
  <c r="GU188" i="48"/>
  <c r="GV188" i="48"/>
  <c r="GW188" i="48"/>
  <c r="GX188" i="48"/>
  <c r="GY188" i="48"/>
  <c r="GZ188" i="48"/>
  <c r="HA188" i="48"/>
  <c r="HB188" i="48"/>
  <c r="HC188" i="48"/>
  <c r="HD188" i="48"/>
  <c r="HE188" i="48"/>
  <c r="HF188" i="48"/>
  <c r="HG188" i="48"/>
  <c r="HH188" i="48"/>
  <c r="HI188" i="48"/>
  <c r="HJ188" i="48"/>
  <c r="HK188" i="48"/>
  <c r="HL188" i="48"/>
  <c r="HM188" i="48"/>
  <c r="HN188" i="48"/>
  <c r="HO188" i="48"/>
  <c r="HP188" i="48"/>
  <c r="HT188" i="48"/>
  <c r="HU188" i="48"/>
  <c r="HV188" i="48"/>
  <c r="HW188" i="48"/>
  <c r="HX188" i="48"/>
  <c r="HY188" i="48"/>
  <c r="HZ188" i="48"/>
  <c r="IA188" i="48"/>
  <c r="IB188" i="48"/>
  <c r="IC188" i="48"/>
  <c r="ID188" i="48"/>
  <c r="IE188" i="48"/>
  <c r="IF188" i="48"/>
  <c r="IG188" i="48"/>
  <c r="IH188" i="48"/>
  <c r="II188" i="48"/>
  <c r="IJ188" i="48"/>
  <c r="IK188" i="48"/>
  <c r="IL188" i="48"/>
  <c r="IM188" i="48"/>
  <c r="IN188" i="48"/>
  <c r="IO188" i="48"/>
  <c r="IP188" i="48"/>
  <c r="IQ188" i="48"/>
  <c r="EY189" i="48"/>
  <c r="EZ189" i="48"/>
  <c r="FA189" i="48"/>
  <c r="FB189" i="48"/>
  <c r="FC189" i="48"/>
  <c r="FD189" i="48"/>
  <c r="FE189" i="48"/>
  <c r="FF189" i="48"/>
  <c r="FG189" i="48"/>
  <c r="FI189" i="48"/>
  <c r="FL189" i="48"/>
  <c r="FN189" i="48"/>
  <c r="FO189" i="48"/>
  <c r="FP189" i="48"/>
  <c r="FQ189" i="48"/>
  <c r="FR189" i="48"/>
  <c r="FS189" i="48"/>
  <c r="FT189" i="48"/>
  <c r="FU189" i="48"/>
  <c r="FV189" i="48"/>
  <c r="FW189" i="48"/>
  <c r="FY189" i="48"/>
  <c r="GA189" i="48"/>
  <c r="GB189" i="48"/>
  <c r="GC189" i="48"/>
  <c r="GE189" i="48"/>
  <c r="GF189" i="48"/>
  <c r="GG189" i="48"/>
  <c r="GH189" i="48"/>
  <c r="GI189" i="48"/>
  <c r="GS189" i="48"/>
  <c r="GT189" i="48"/>
  <c r="GU189" i="48"/>
  <c r="GV189" i="48"/>
  <c r="GW189" i="48"/>
  <c r="GX189" i="48"/>
  <c r="GY189" i="48"/>
  <c r="GZ189" i="48"/>
  <c r="HA189" i="48"/>
  <c r="HB189" i="48"/>
  <c r="HC189" i="48"/>
  <c r="HD189" i="48"/>
  <c r="HE189" i="48"/>
  <c r="HF189" i="48"/>
  <c r="HG189" i="48"/>
  <c r="HH189" i="48"/>
  <c r="HI189" i="48"/>
  <c r="HJ189" i="48"/>
  <c r="HK189" i="48"/>
  <c r="HL189" i="48"/>
  <c r="HM189" i="48"/>
  <c r="HN189" i="48"/>
  <c r="HO189" i="48"/>
  <c r="HP189" i="48"/>
  <c r="HT189" i="48"/>
  <c r="HU189" i="48"/>
  <c r="HV189" i="48"/>
  <c r="HW189" i="48"/>
  <c r="HX189" i="48"/>
  <c r="HY189" i="48"/>
  <c r="HZ189" i="48"/>
  <c r="IA189" i="48"/>
  <c r="IB189" i="48"/>
  <c r="IC189" i="48"/>
  <c r="ID189" i="48"/>
  <c r="IE189" i="48"/>
  <c r="IF189" i="48"/>
  <c r="IG189" i="48"/>
  <c r="IH189" i="48"/>
  <c r="II189" i="48"/>
  <c r="IJ189" i="48"/>
  <c r="IK189" i="48"/>
  <c r="IL189" i="48"/>
  <c r="IM189" i="48"/>
  <c r="IN189" i="48"/>
  <c r="IO189" i="48"/>
  <c r="IP189" i="48"/>
  <c r="IQ189" i="48"/>
  <c r="EZ190" i="48"/>
  <c r="FB190" i="48"/>
  <c r="FC190" i="48"/>
  <c r="FD190" i="48"/>
  <c r="FF190" i="48"/>
  <c r="FG190" i="48"/>
  <c r="FH190" i="48"/>
  <c r="FI190" i="48"/>
  <c r="FL190" i="48"/>
  <c r="FM190" i="48"/>
  <c r="FN190" i="48"/>
  <c r="FO190" i="48"/>
  <c r="FQ190" i="48"/>
  <c r="FS190" i="48"/>
  <c r="FT190" i="48"/>
  <c r="FU190" i="48"/>
  <c r="FV190" i="48"/>
  <c r="FW190" i="48"/>
  <c r="FX190" i="48"/>
  <c r="FY190" i="48"/>
  <c r="FZ190" i="48"/>
  <c r="GA190" i="48"/>
  <c r="GC190" i="48"/>
  <c r="GE190" i="48"/>
  <c r="GF190" i="48"/>
  <c r="GG190" i="48"/>
  <c r="GH190" i="48"/>
  <c r="GI190" i="48"/>
  <c r="GS190" i="48"/>
  <c r="GT190" i="48"/>
  <c r="GU190" i="48"/>
  <c r="GV190" i="48"/>
  <c r="GW190" i="48"/>
  <c r="GX190" i="48"/>
  <c r="GY190" i="48"/>
  <c r="GZ190" i="48"/>
  <c r="HA190" i="48"/>
  <c r="HB190" i="48"/>
  <c r="HC190" i="48"/>
  <c r="HD190" i="48"/>
  <c r="HE190" i="48"/>
  <c r="HF190" i="48"/>
  <c r="HG190" i="48"/>
  <c r="HH190" i="48"/>
  <c r="HI190" i="48"/>
  <c r="HJ190" i="48"/>
  <c r="HK190" i="48"/>
  <c r="HL190" i="48"/>
  <c r="HM190" i="48"/>
  <c r="HN190" i="48"/>
  <c r="HO190" i="48"/>
  <c r="HP190" i="48"/>
  <c r="HT190" i="48"/>
  <c r="HU190" i="48"/>
  <c r="HV190" i="48"/>
  <c r="HW190" i="48"/>
  <c r="HX190" i="48"/>
  <c r="HY190" i="48"/>
  <c r="HZ190" i="48"/>
  <c r="IA190" i="48"/>
  <c r="IB190" i="48"/>
  <c r="IC190" i="48"/>
  <c r="ID190" i="48"/>
  <c r="IE190" i="48"/>
  <c r="IF190" i="48"/>
  <c r="IG190" i="48"/>
  <c r="IH190" i="48"/>
  <c r="II190" i="48"/>
  <c r="IJ190" i="48"/>
  <c r="IK190" i="48"/>
  <c r="IL190" i="48"/>
  <c r="IM190" i="48"/>
  <c r="IN190" i="48"/>
  <c r="IO190" i="48"/>
  <c r="IP190" i="48"/>
  <c r="IQ190" i="48"/>
  <c r="FL191" i="48"/>
  <c r="FN191" i="48"/>
  <c r="FO191" i="48"/>
  <c r="FQ191" i="48"/>
  <c r="FS191" i="48"/>
  <c r="FY191" i="48"/>
  <c r="GE191" i="48"/>
  <c r="GG191" i="48"/>
  <c r="GS191" i="48"/>
  <c r="GT191" i="48"/>
  <c r="GU191" i="48"/>
  <c r="GV191" i="48"/>
  <c r="GW191" i="48"/>
  <c r="GX191" i="48"/>
  <c r="GY191" i="48"/>
  <c r="GZ191" i="48"/>
  <c r="HA191" i="48"/>
  <c r="HB191" i="48"/>
  <c r="HC191" i="48"/>
  <c r="HD191" i="48"/>
  <c r="HE191" i="48"/>
  <c r="HF191" i="48"/>
  <c r="HG191" i="48"/>
  <c r="HH191" i="48"/>
  <c r="HI191" i="48"/>
  <c r="HJ191" i="48"/>
  <c r="HK191" i="48"/>
  <c r="HL191" i="48"/>
  <c r="HM191" i="48"/>
  <c r="HN191" i="48"/>
  <c r="HO191" i="48"/>
  <c r="HP191" i="48"/>
  <c r="HT191" i="48"/>
  <c r="HU191" i="48"/>
  <c r="HV191" i="48"/>
  <c r="HW191" i="48"/>
  <c r="HX191" i="48"/>
  <c r="HY191" i="48"/>
  <c r="HZ191" i="48"/>
  <c r="IA191" i="48"/>
  <c r="IB191" i="48"/>
  <c r="IC191" i="48"/>
  <c r="ID191" i="48"/>
  <c r="IE191" i="48"/>
  <c r="IF191" i="48"/>
  <c r="IG191" i="48"/>
  <c r="IH191" i="48"/>
  <c r="II191" i="48"/>
  <c r="IJ191" i="48"/>
  <c r="IK191" i="48"/>
  <c r="IL191" i="48"/>
  <c r="IM191" i="48"/>
  <c r="IN191" i="48"/>
  <c r="IO191" i="48"/>
  <c r="IP191" i="48"/>
  <c r="IQ191" i="48"/>
  <c r="EY192" i="48"/>
  <c r="EZ192" i="48"/>
  <c r="FA192" i="48"/>
  <c r="FB192" i="48"/>
  <c r="FC192" i="48"/>
  <c r="FD192" i="48"/>
  <c r="FE192" i="48"/>
  <c r="FF192" i="48"/>
  <c r="FG192" i="48"/>
  <c r="FH192" i="48"/>
  <c r="FI192" i="48"/>
  <c r="FL192" i="48"/>
  <c r="FM192" i="48"/>
  <c r="FN192" i="48"/>
  <c r="FO192" i="48"/>
  <c r="FP192" i="48"/>
  <c r="FQ192" i="48"/>
  <c r="FR192" i="48"/>
  <c r="FS192" i="48"/>
  <c r="FT192" i="48"/>
  <c r="FU192" i="48"/>
  <c r="FV192" i="48"/>
  <c r="FW192" i="48"/>
  <c r="FX192" i="48"/>
  <c r="FY192" i="48"/>
  <c r="FZ192" i="48"/>
  <c r="GA192" i="48"/>
  <c r="GB192" i="48"/>
  <c r="GC192" i="48"/>
  <c r="GD192" i="48"/>
  <c r="GE192" i="48"/>
  <c r="GF192" i="48"/>
  <c r="GG192" i="48"/>
  <c r="GH192" i="48"/>
  <c r="GI192" i="48"/>
  <c r="GS192" i="48"/>
  <c r="GT192" i="48"/>
  <c r="GU192" i="48"/>
  <c r="GV192" i="48"/>
  <c r="GW192" i="48"/>
  <c r="GX192" i="48"/>
  <c r="GY192" i="48"/>
  <c r="GZ192" i="48"/>
  <c r="HA192" i="48"/>
  <c r="HB192" i="48"/>
  <c r="HC192" i="48"/>
  <c r="HD192" i="48"/>
  <c r="HE192" i="48"/>
  <c r="HF192" i="48"/>
  <c r="HG192" i="48"/>
  <c r="HH192" i="48"/>
  <c r="HI192" i="48"/>
  <c r="HJ192" i="48"/>
  <c r="HK192" i="48"/>
  <c r="HL192" i="48"/>
  <c r="HM192" i="48"/>
  <c r="HN192" i="48"/>
  <c r="HO192" i="48"/>
  <c r="HP192" i="48"/>
  <c r="HT192" i="48"/>
  <c r="HU192" i="48"/>
  <c r="HV192" i="48"/>
  <c r="HW192" i="48"/>
  <c r="HX192" i="48"/>
  <c r="HY192" i="48"/>
  <c r="HZ192" i="48"/>
  <c r="IA192" i="48"/>
  <c r="IB192" i="48"/>
  <c r="IC192" i="48"/>
  <c r="ID192" i="48"/>
  <c r="IE192" i="48"/>
  <c r="IF192" i="48"/>
  <c r="IG192" i="48"/>
  <c r="IH192" i="48"/>
  <c r="II192" i="48"/>
  <c r="IJ192" i="48"/>
  <c r="IK192" i="48"/>
  <c r="IL192" i="48"/>
  <c r="IM192" i="48"/>
  <c r="IN192" i="48"/>
  <c r="IO192" i="48"/>
  <c r="IP192" i="48"/>
  <c r="IQ192" i="48"/>
  <c r="GS195" i="48"/>
  <c r="GT195" i="48"/>
  <c r="GU195" i="48"/>
  <c r="GV195" i="48"/>
  <c r="GW195" i="48"/>
  <c r="GX195" i="48"/>
  <c r="GY195" i="48"/>
  <c r="GZ195" i="48"/>
  <c r="HA195" i="48"/>
  <c r="HB195" i="48"/>
  <c r="HC195" i="48"/>
  <c r="HD195" i="48"/>
  <c r="HE195" i="48"/>
  <c r="HF195" i="48"/>
  <c r="HG195" i="48"/>
  <c r="HH195" i="48"/>
  <c r="HI195" i="48"/>
  <c r="HJ195" i="48"/>
  <c r="HK195" i="48"/>
  <c r="HL195" i="48"/>
  <c r="HM195" i="48"/>
  <c r="HN195" i="48"/>
  <c r="HO195" i="48"/>
  <c r="HP195" i="48"/>
  <c r="HT195" i="48"/>
  <c r="HU195" i="48"/>
  <c r="HV195" i="48"/>
  <c r="HW195" i="48"/>
  <c r="HX195" i="48"/>
  <c r="HY195" i="48"/>
  <c r="HZ195" i="48"/>
  <c r="IA195" i="48"/>
  <c r="IB195" i="48"/>
  <c r="IC195" i="48"/>
  <c r="ID195" i="48"/>
  <c r="IE195" i="48"/>
  <c r="IF195" i="48"/>
  <c r="IG195" i="48"/>
  <c r="IH195" i="48"/>
  <c r="II195" i="48"/>
  <c r="IJ195" i="48"/>
  <c r="IK195" i="48"/>
  <c r="IL195" i="48"/>
  <c r="IM195" i="48"/>
  <c r="IN195" i="48"/>
  <c r="IO195" i="48"/>
  <c r="IP195" i="48"/>
  <c r="IQ195" i="48"/>
  <c r="EY196" i="48"/>
  <c r="EZ196" i="48"/>
  <c r="FA196" i="48"/>
  <c r="FB196" i="48"/>
  <c r="FC196" i="48"/>
  <c r="FD196" i="48"/>
  <c r="FE196" i="48"/>
  <c r="FF196" i="48"/>
  <c r="FG196" i="48"/>
  <c r="FH196" i="48"/>
  <c r="FI196" i="48"/>
  <c r="FL196" i="48"/>
  <c r="FM196" i="48"/>
  <c r="FN196" i="48"/>
  <c r="FO196" i="48"/>
  <c r="FP196" i="48"/>
  <c r="FQ196" i="48"/>
  <c r="FR196" i="48"/>
  <c r="FS196" i="48"/>
  <c r="FT196" i="48"/>
  <c r="FU196" i="48"/>
  <c r="FV196" i="48"/>
  <c r="FW196" i="48"/>
  <c r="FX196" i="48"/>
  <c r="FY196" i="48"/>
  <c r="FZ196" i="48"/>
  <c r="GA196" i="48"/>
  <c r="GB196" i="48"/>
  <c r="GC196" i="48"/>
  <c r="GD196" i="48"/>
  <c r="GE196" i="48"/>
  <c r="GF196" i="48"/>
  <c r="GG196" i="48"/>
  <c r="GH196" i="48"/>
  <c r="GI196" i="48"/>
  <c r="GS196" i="48"/>
  <c r="GT196" i="48"/>
  <c r="GU196" i="48"/>
  <c r="GV196" i="48"/>
  <c r="GW196" i="48"/>
  <c r="GX196" i="48"/>
  <c r="GY196" i="48"/>
  <c r="GZ196" i="48"/>
  <c r="HA196" i="48"/>
  <c r="HB196" i="48"/>
  <c r="HC196" i="48"/>
  <c r="HD196" i="48"/>
  <c r="HE196" i="48"/>
  <c r="HF196" i="48"/>
  <c r="HG196" i="48"/>
  <c r="HH196" i="48"/>
  <c r="HI196" i="48"/>
  <c r="HJ196" i="48"/>
  <c r="HK196" i="48"/>
  <c r="HL196" i="48"/>
  <c r="HM196" i="48"/>
  <c r="HN196" i="48"/>
  <c r="HO196" i="48"/>
  <c r="HP196" i="48"/>
  <c r="HT196" i="48"/>
  <c r="HU196" i="48"/>
  <c r="HV196" i="48"/>
  <c r="HW196" i="48"/>
  <c r="HX196" i="48"/>
  <c r="HY196" i="48"/>
  <c r="HZ196" i="48"/>
  <c r="IA196" i="48"/>
  <c r="IB196" i="48"/>
  <c r="IC196" i="48"/>
  <c r="ID196" i="48"/>
  <c r="IE196" i="48"/>
  <c r="IF196" i="48"/>
  <c r="IG196" i="48"/>
  <c r="IH196" i="48"/>
  <c r="II196" i="48"/>
  <c r="IJ196" i="48"/>
  <c r="IK196" i="48"/>
  <c r="IL196" i="48"/>
  <c r="IM196" i="48"/>
  <c r="IN196" i="48"/>
  <c r="IO196" i="48"/>
  <c r="IP196" i="48"/>
  <c r="IQ196" i="48"/>
  <c r="EY197" i="48"/>
  <c r="EZ197" i="48"/>
  <c r="FA197" i="48"/>
  <c r="FB197" i="48"/>
  <c r="FC197" i="48"/>
  <c r="FE197" i="48"/>
  <c r="FH197" i="48"/>
  <c r="FI197" i="48"/>
  <c r="FL197" i="48"/>
  <c r="FM197" i="48"/>
  <c r="FN197" i="48"/>
  <c r="FO197" i="48"/>
  <c r="FP197" i="48"/>
  <c r="FQ197" i="48"/>
  <c r="FS197" i="48"/>
  <c r="FU197" i="48"/>
  <c r="FW197" i="48"/>
  <c r="FX197" i="48"/>
  <c r="FY197" i="48"/>
  <c r="FZ197" i="48"/>
  <c r="GA197" i="48"/>
  <c r="GB197" i="48"/>
  <c r="GC197" i="48"/>
  <c r="GE197" i="48"/>
  <c r="GG197" i="48"/>
  <c r="GS197" i="48"/>
  <c r="GT197" i="48"/>
  <c r="GU197" i="48"/>
  <c r="GV197" i="48"/>
  <c r="GW197" i="48"/>
  <c r="GX197" i="48"/>
  <c r="GY197" i="48"/>
  <c r="GZ197" i="48"/>
  <c r="HA197" i="48"/>
  <c r="HB197" i="48"/>
  <c r="HC197" i="48"/>
  <c r="HD197" i="48"/>
  <c r="HE197" i="48"/>
  <c r="HF197" i="48"/>
  <c r="HG197" i="48"/>
  <c r="HH197" i="48"/>
  <c r="HI197" i="48"/>
  <c r="HJ197" i="48"/>
  <c r="HK197" i="48"/>
  <c r="HL197" i="48"/>
  <c r="HM197" i="48"/>
  <c r="HN197" i="48"/>
  <c r="HO197" i="48"/>
  <c r="HP197" i="48"/>
  <c r="HT197" i="48"/>
  <c r="HU197" i="48"/>
  <c r="HV197" i="48"/>
  <c r="HW197" i="48"/>
  <c r="HX197" i="48"/>
  <c r="HY197" i="48"/>
  <c r="HZ197" i="48"/>
  <c r="IA197" i="48"/>
  <c r="IB197" i="48"/>
  <c r="IC197" i="48"/>
  <c r="ID197" i="48"/>
  <c r="IE197" i="48"/>
  <c r="IF197" i="48"/>
  <c r="IG197" i="48"/>
  <c r="IH197" i="48"/>
  <c r="II197" i="48"/>
  <c r="IJ197" i="48"/>
  <c r="IK197" i="48"/>
  <c r="IL197" i="48"/>
  <c r="IM197" i="48"/>
  <c r="IN197" i="48"/>
  <c r="IO197" i="48"/>
  <c r="IP197" i="48"/>
  <c r="IQ197" i="48"/>
  <c r="EY198" i="48"/>
  <c r="EZ198" i="48"/>
  <c r="FA198" i="48"/>
  <c r="FB198" i="48"/>
  <c r="FC198" i="48"/>
  <c r="FD198" i="48"/>
  <c r="FF198" i="48"/>
  <c r="FH198" i="48"/>
  <c r="FL198" i="48"/>
  <c r="FN198" i="48"/>
  <c r="FO198" i="48"/>
  <c r="FP198" i="48"/>
  <c r="FR198" i="48"/>
  <c r="FS198" i="48"/>
  <c r="FT198" i="48"/>
  <c r="FU198" i="48"/>
  <c r="FW198" i="48"/>
  <c r="FY198" i="48"/>
  <c r="GB198" i="48"/>
  <c r="GD198" i="48"/>
  <c r="GE198" i="48"/>
  <c r="GF198" i="48"/>
  <c r="GG198" i="48"/>
  <c r="GH198" i="48"/>
  <c r="GI198" i="48"/>
  <c r="GS198" i="48"/>
  <c r="GT198" i="48"/>
  <c r="GU198" i="48"/>
  <c r="GV198" i="48"/>
  <c r="GW198" i="48"/>
  <c r="GX198" i="48"/>
  <c r="GY198" i="48"/>
  <c r="GZ198" i="48"/>
  <c r="HA198" i="48"/>
  <c r="HB198" i="48"/>
  <c r="HC198" i="48"/>
  <c r="HD198" i="48"/>
  <c r="HE198" i="48"/>
  <c r="HF198" i="48"/>
  <c r="HG198" i="48"/>
  <c r="HH198" i="48"/>
  <c r="HI198" i="48"/>
  <c r="HJ198" i="48"/>
  <c r="HK198" i="48"/>
  <c r="HL198" i="48"/>
  <c r="HM198" i="48"/>
  <c r="HN198" i="48"/>
  <c r="HO198" i="48"/>
  <c r="HP198" i="48"/>
  <c r="HT198" i="48"/>
  <c r="HU198" i="48"/>
  <c r="HV198" i="48"/>
  <c r="HW198" i="48"/>
  <c r="HX198" i="48"/>
  <c r="HY198" i="48"/>
  <c r="HZ198" i="48"/>
  <c r="IA198" i="48"/>
  <c r="IB198" i="48"/>
  <c r="IC198" i="48"/>
  <c r="ID198" i="48"/>
  <c r="IE198" i="48"/>
  <c r="IF198" i="48"/>
  <c r="IG198" i="48"/>
  <c r="IH198" i="48"/>
  <c r="II198" i="48"/>
  <c r="IJ198" i="48"/>
  <c r="IK198" i="48"/>
  <c r="IL198" i="48"/>
  <c r="IM198" i="48"/>
  <c r="IN198" i="48"/>
  <c r="IO198" i="48"/>
  <c r="IP198" i="48"/>
  <c r="IQ198" i="48"/>
  <c r="FA199" i="48"/>
  <c r="FL199" i="48"/>
  <c r="FM199" i="48"/>
  <c r="FN199" i="48"/>
  <c r="FO199" i="48"/>
  <c r="FP199" i="48"/>
  <c r="GS199" i="48"/>
  <c r="GT199" i="48"/>
  <c r="GU199" i="48"/>
  <c r="GV199" i="48"/>
  <c r="GW199" i="48"/>
  <c r="GX199" i="48"/>
  <c r="GY199" i="48"/>
  <c r="GZ199" i="48"/>
  <c r="HA199" i="48"/>
  <c r="HB199" i="48"/>
  <c r="HC199" i="48"/>
  <c r="HD199" i="48"/>
  <c r="HE199" i="48"/>
  <c r="HF199" i="48"/>
  <c r="HG199" i="48"/>
  <c r="HH199" i="48"/>
  <c r="HI199" i="48"/>
  <c r="HJ199" i="48"/>
  <c r="HK199" i="48"/>
  <c r="HL199" i="48"/>
  <c r="HM199" i="48"/>
  <c r="HN199" i="48"/>
  <c r="HO199" i="48"/>
  <c r="HP199" i="48"/>
  <c r="HT199" i="48"/>
  <c r="HU199" i="48"/>
  <c r="HV199" i="48"/>
  <c r="HW199" i="48"/>
  <c r="HX199" i="48"/>
  <c r="HY199" i="48"/>
  <c r="HZ199" i="48"/>
  <c r="IA199" i="48"/>
  <c r="IB199" i="48"/>
  <c r="IC199" i="48"/>
  <c r="ID199" i="48"/>
  <c r="IE199" i="48"/>
  <c r="IF199" i="48"/>
  <c r="IG199" i="48"/>
  <c r="IH199" i="48"/>
  <c r="II199" i="48"/>
  <c r="IJ199" i="48"/>
  <c r="IK199" i="48"/>
  <c r="IL199" i="48"/>
  <c r="IM199" i="48"/>
  <c r="IN199" i="48"/>
  <c r="IO199" i="48"/>
  <c r="IP199" i="48"/>
  <c r="IQ199" i="48"/>
  <c r="EY200" i="48"/>
  <c r="EZ200" i="48"/>
  <c r="FA200" i="48"/>
  <c r="FB200" i="48"/>
  <c r="FC200" i="48"/>
  <c r="FD200" i="48"/>
  <c r="FE200" i="48"/>
  <c r="FF200" i="48"/>
  <c r="FG200" i="48"/>
  <c r="FH200" i="48"/>
  <c r="FI200" i="48"/>
  <c r="FL200" i="48"/>
  <c r="FM200" i="48"/>
  <c r="FN200" i="48"/>
  <c r="FO200" i="48"/>
  <c r="FP200" i="48"/>
  <c r="FQ200" i="48"/>
  <c r="FR200" i="48"/>
  <c r="FS200" i="48"/>
  <c r="FT200" i="48"/>
  <c r="FU200" i="48"/>
  <c r="FV200" i="48"/>
  <c r="FW200" i="48"/>
  <c r="FX200" i="48"/>
  <c r="FY200" i="48"/>
  <c r="FZ200" i="48"/>
  <c r="GA200" i="48"/>
  <c r="GB200" i="48"/>
  <c r="GC200" i="48"/>
  <c r="GD200" i="48"/>
  <c r="GE200" i="48"/>
  <c r="GF200" i="48"/>
  <c r="GG200" i="48"/>
  <c r="GH200" i="48"/>
  <c r="GI200" i="48"/>
  <c r="HT202" i="48"/>
  <c r="HU202" i="48"/>
  <c r="HV202" i="48"/>
  <c r="HW202" i="48"/>
  <c r="HX202" i="48"/>
  <c r="HY202" i="48"/>
  <c r="HZ202" i="48"/>
  <c r="IA202" i="48"/>
  <c r="IB202" i="48"/>
  <c r="IC202" i="48"/>
  <c r="ID202" i="48"/>
  <c r="IE202" i="48"/>
  <c r="IF202" i="48"/>
  <c r="IG202" i="48"/>
  <c r="IH202" i="48"/>
  <c r="II202" i="48"/>
  <c r="IJ202" i="48"/>
  <c r="IK202" i="48"/>
  <c r="IL202" i="48"/>
  <c r="IM202" i="48"/>
  <c r="IN202" i="48"/>
  <c r="IO202" i="48"/>
  <c r="IP202" i="48"/>
  <c r="IQ202" i="48"/>
  <c r="HT203" i="48"/>
  <c r="HU203" i="48"/>
  <c r="HV203" i="48"/>
  <c r="HW203" i="48"/>
  <c r="HX203" i="48"/>
  <c r="HY203" i="48"/>
  <c r="HZ203" i="48"/>
  <c r="IA203" i="48"/>
  <c r="IB203" i="48"/>
  <c r="IC203" i="48"/>
  <c r="ID203" i="48"/>
  <c r="IE203" i="48"/>
  <c r="IF203" i="48"/>
  <c r="IG203" i="48"/>
  <c r="IH203" i="48"/>
  <c r="II203" i="48"/>
  <c r="IJ203" i="48"/>
  <c r="IK203" i="48"/>
  <c r="IL203" i="48"/>
  <c r="IM203" i="48"/>
  <c r="IN203" i="48"/>
  <c r="IO203" i="48"/>
  <c r="IP203" i="48"/>
  <c r="IQ203" i="48"/>
  <c r="HT204" i="48"/>
  <c r="HU204" i="48"/>
  <c r="HV204" i="48"/>
  <c r="HW204" i="48"/>
  <c r="HX204" i="48"/>
  <c r="HY204" i="48"/>
  <c r="HZ204" i="48"/>
  <c r="IA204" i="48"/>
  <c r="IB204" i="48"/>
  <c r="IC204" i="48"/>
  <c r="ID204" i="48"/>
  <c r="IE204" i="48"/>
  <c r="IF204" i="48"/>
  <c r="IG204" i="48"/>
  <c r="IH204" i="48"/>
  <c r="II204" i="48"/>
  <c r="IJ204" i="48"/>
  <c r="IK204" i="48"/>
  <c r="IL204" i="48"/>
  <c r="IM204" i="48"/>
  <c r="IN204" i="48"/>
  <c r="IO204" i="48"/>
  <c r="IP204" i="48"/>
  <c r="IQ204" i="48"/>
  <c r="HT205" i="48"/>
  <c r="HU205" i="48"/>
  <c r="HV205" i="48"/>
  <c r="HW205" i="48"/>
  <c r="HX205" i="48"/>
  <c r="HY205" i="48"/>
  <c r="HZ205" i="48"/>
  <c r="IA205" i="48"/>
  <c r="IB205" i="48"/>
  <c r="IC205" i="48"/>
  <c r="ID205" i="48"/>
  <c r="IE205" i="48"/>
  <c r="IF205" i="48"/>
  <c r="IG205" i="48"/>
  <c r="IH205" i="48"/>
  <c r="II205" i="48"/>
  <c r="IJ205" i="48"/>
  <c r="IK205" i="48"/>
  <c r="IL205" i="48"/>
  <c r="IM205" i="48"/>
  <c r="IN205" i="48"/>
  <c r="IO205" i="48"/>
  <c r="IP205" i="48"/>
  <c r="IQ205" i="48"/>
  <c r="HT206" i="48"/>
  <c r="HU206" i="48"/>
  <c r="HV206" i="48"/>
  <c r="HW206" i="48"/>
  <c r="HX206" i="48"/>
  <c r="HY206" i="48"/>
  <c r="HZ206" i="48"/>
  <c r="IA206" i="48"/>
  <c r="IB206" i="48"/>
  <c r="IC206" i="48"/>
  <c r="ID206" i="48"/>
  <c r="IE206" i="48"/>
  <c r="IF206" i="48"/>
  <c r="IG206" i="48"/>
  <c r="IH206" i="48"/>
  <c r="II206" i="48"/>
  <c r="IJ206" i="48"/>
  <c r="IK206" i="48"/>
  <c r="IL206" i="48"/>
  <c r="IM206" i="48"/>
  <c r="IN206" i="48"/>
  <c r="IO206" i="48"/>
  <c r="IP206" i="48"/>
  <c r="IQ206" i="48"/>
  <c r="X18" i="48"/>
  <c r="GF179" i="48" l="1"/>
  <c r="GF46" i="48"/>
  <c r="GF73" i="48"/>
  <c r="FZ61" i="48"/>
  <c r="FZ34" i="48"/>
  <c r="FZ169" i="48"/>
  <c r="FB61" i="48"/>
  <c r="FB34" i="48"/>
  <c r="FB169" i="48"/>
  <c r="GB61" i="48"/>
  <c r="GB34" i="48"/>
  <c r="GB169" i="48"/>
  <c r="FZ46" i="48"/>
  <c r="FZ73" i="48"/>
  <c r="FZ179" i="48"/>
  <c r="HF174" i="48"/>
  <c r="HF40" i="48"/>
  <c r="HF67" i="48"/>
  <c r="FD67" i="48"/>
  <c r="FD40" i="48"/>
  <c r="FD174" i="48"/>
  <c r="FD119" i="48"/>
  <c r="FD121" i="48" s="1"/>
  <c r="GO173" i="48"/>
  <c r="GO66" i="48"/>
  <c r="GO39" i="48"/>
  <c r="GU6" i="48"/>
  <c r="GU60" i="48"/>
  <c r="FW61" i="48"/>
  <c r="FW169" i="48"/>
  <c r="FW34" i="48"/>
  <c r="FL168" i="48"/>
  <c r="GK167" i="48"/>
  <c r="FB167" i="48"/>
  <c r="FC121" i="48"/>
  <c r="FE96" i="48"/>
  <c r="FE199" i="48" s="1"/>
  <c r="FZ72" i="48"/>
  <c r="FI61" i="48"/>
  <c r="FQ46" i="48"/>
  <c r="FL34" i="48"/>
  <c r="GU33" i="48"/>
  <c r="FW18" i="48"/>
  <c r="FK179" i="48"/>
  <c r="FK73" i="48"/>
  <c r="FK46" i="48"/>
  <c r="GN67" i="48"/>
  <c r="GN40" i="48"/>
  <c r="GN39" i="48"/>
  <c r="GN173" i="48"/>
  <c r="FX66" i="48"/>
  <c r="FX39" i="48"/>
  <c r="GZ65" i="48"/>
  <c r="GZ38" i="48"/>
  <c r="GZ12" i="48"/>
  <c r="GJ65" i="48"/>
  <c r="GJ38" i="48"/>
  <c r="FT12" i="48"/>
  <c r="FT65" i="48"/>
  <c r="GQ60" i="48"/>
  <c r="GQ33" i="48"/>
  <c r="O71" i="52"/>
  <c r="O72" i="52" s="1"/>
  <c r="L72" i="52"/>
  <c r="GJ67" i="48"/>
  <c r="GJ40" i="48"/>
  <c r="GJ174" i="48"/>
  <c r="GP60" i="48"/>
  <c r="GP33" i="48"/>
  <c r="GP168" i="48"/>
  <c r="GZ6" i="48"/>
  <c r="GZ59" i="48"/>
  <c r="GZ32" i="48"/>
  <c r="FM179" i="48"/>
  <c r="GU168" i="48"/>
  <c r="FT96" i="48"/>
  <c r="FT199" i="48" s="1"/>
  <c r="FT119" i="48"/>
  <c r="FT121" i="48" s="1"/>
  <c r="FG32" i="48"/>
  <c r="GX12" i="48"/>
  <c r="GX38" i="48"/>
  <c r="FI169" i="48"/>
  <c r="GF96" i="48"/>
  <c r="GF199" i="48" s="1"/>
  <c r="GO6" i="48"/>
  <c r="FQ6" i="48"/>
  <c r="FQ59" i="48"/>
  <c r="FQ32" i="48"/>
  <c r="O293" i="52"/>
  <c r="U293" i="52" s="1"/>
  <c r="M293" i="52"/>
  <c r="GB168" i="48"/>
  <c r="FY60" i="48"/>
  <c r="FY33" i="48"/>
  <c r="FY6" i="48"/>
  <c r="HB173" i="48"/>
  <c r="FZ198" i="48"/>
  <c r="GI197" i="48"/>
  <c r="GO168" i="48"/>
  <c r="FW168" i="48"/>
  <c r="FX142" i="48"/>
  <c r="GF142" i="48"/>
  <c r="FT142" i="48"/>
  <c r="FC142" i="48"/>
  <c r="EZ113" i="48"/>
  <c r="EZ115" i="48" s="1"/>
  <c r="FD88" i="48"/>
  <c r="FD191" i="48" s="1"/>
  <c r="GI88" i="48"/>
  <c r="GI191" i="48" s="1"/>
  <c r="FW88" i="48"/>
  <c r="FW191" i="48" s="1"/>
  <c r="FG88" i="48"/>
  <c r="FG191" i="48" s="1"/>
  <c r="GN66" i="48"/>
  <c r="GX65" i="48"/>
  <c r="GF60" i="48"/>
  <c r="GM59" i="48"/>
  <c r="GP46" i="48"/>
  <c r="GO179" i="48"/>
  <c r="GO46" i="48"/>
  <c r="FF44" i="48"/>
  <c r="FF177" i="48"/>
  <c r="FZ12" i="48"/>
  <c r="GM6" i="48"/>
  <c r="FJ168" i="48"/>
  <c r="FV12" i="48"/>
  <c r="FV39" i="48"/>
  <c r="HF6" i="48"/>
  <c r="GP6" i="48"/>
  <c r="GY167" i="48"/>
  <c r="FG18" i="48"/>
  <c r="FG71" i="48"/>
  <c r="FG44" i="48"/>
  <c r="GH6" i="48"/>
  <c r="GH59" i="48"/>
  <c r="GH32" i="48"/>
  <c r="FV197" i="48"/>
  <c r="GP179" i="48"/>
  <c r="FG177" i="48"/>
  <c r="GC149" i="48"/>
  <c r="FQ149" i="48"/>
  <c r="EZ149" i="48"/>
  <c r="FH149" i="48"/>
  <c r="GF119" i="48"/>
  <c r="GF121" i="48" s="1"/>
  <c r="FW71" i="48"/>
  <c r="GL66" i="48"/>
  <c r="GB60" i="48"/>
  <c r="GU40" i="48"/>
  <c r="HB39" i="48"/>
  <c r="GB33" i="48"/>
  <c r="FU32" i="48"/>
  <c r="GP12" i="48"/>
  <c r="FJ12" i="48"/>
  <c r="GJ6" i="48"/>
  <c r="GY12" i="48"/>
  <c r="GY172" i="48"/>
  <c r="HE33" i="48"/>
  <c r="HE6" i="48"/>
  <c r="FW32" i="48"/>
  <c r="GM60" i="48"/>
  <c r="GM33" i="48"/>
  <c r="FG6" i="48"/>
  <c r="FG60" i="48"/>
  <c r="FG33" i="48"/>
  <c r="FF197" i="48"/>
  <c r="FE190" i="48"/>
  <c r="FW177" i="48"/>
  <c r="FU172" i="48"/>
  <c r="HE168" i="48"/>
  <c r="FG149" i="48"/>
  <c r="FU88" i="48"/>
  <c r="FU191" i="48" s="1"/>
  <c r="FU113" i="48"/>
  <c r="FU115" i="48" s="1"/>
  <c r="FE115" i="48"/>
  <c r="FD65" i="48"/>
  <c r="FT61" i="48"/>
  <c r="FW60" i="48"/>
  <c r="GK59" i="48"/>
  <c r="GM44" i="48"/>
  <c r="GL38" i="48"/>
  <c r="GA33" i="48"/>
  <c r="FT32" i="48"/>
  <c r="GJ18" i="48"/>
  <c r="FT18" i="48"/>
  <c r="FT44" i="48"/>
  <c r="FD18" i="48"/>
  <c r="FD71" i="48"/>
  <c r="FD44" i="48"/>
  <c r="GQ6" i="48"/>
  <c r="FK6" i="48"/>
  <c r="FI142" i="48"/>
  <c r="FU59" i="48"/>
  <c r="HD168" i="48"/>
  <c r="HD60" i="48"/>
  <c r="HD33" i="48"/>
  <c r="FY168" i="48"/>
  <c r="FJ45" i="48"/>
  <c r="FJ18" i="48"/>
  <c r="GH197" i="48"/>
  <c r="GP178" i="48"/>
  <c r="FZ178" i="48"/>
  <c r="HC168" i="48"/>
  <c r="FQ142" i="48"/>
  <c r="GD119" i="48"/>
  <c r="GD121" i="48" s="1"/>
  <c r="FR96" i="48"/>
  <c r="FR199" i="48" s="1"/>
  <c r="EZ121" i="48"/>
  <c r="FY96" i="48"/>
  <c r="FY199" i="48" s="1"/>
  <c r="FI121" i="48"/>
  <c r="HD66" i="48"/>
  <c r="GL32" i="48"/>
  <c r="FH12" i="48"/>
  <c r="GU66" i="48"/>
  <c r="GU39" i="48"/>
  <c r="GB66" i="48"/>
  <c r="GB39" i="48"/>
  <c r="GA6" i="48"/>
  <c r="GA169" i="48" s="1"/>
  <c r="FW12" i="48"/>
  <c r="FW173" i="48"/>
  <c r="HF60" i="48"/>
  <c r="HF33" i="48"/>
  <c r="FQ179" i="48"/>
  <c r="FF12" i="48"/>
  <c r="FF66" i="48"/>
  <c r="FF39" i="48"/>
  <c r="FF173" i="48"/>
  <c r="FQ12" i="48"/>
  <c r="FQ65" i="48"/>
  <c r="FQ38" i="48"/>
  <c r="FB59" i="48"/>
  <c r="FB32" i="48"/>
  <c r="FJ33" i="48"/>
  <c r="GB67" i="48"/>
  <c r="GB40" i="48"/>
  <c r="FR119" i="48"/>
  <c r="FR121" i="48" s="1"/>
  <c r="FT59" i="48"/>
  <c r="FE32" i="48"/>
  <c r="GM18" i="48"/>
  <c r="GM71" i="48"/>
  <c r="GX6" i="48"/>
  <c r="GX34" i="48" s="1"/>
  <c r="GX167" i="48"/>
  <c r="GX59" i="48"/>
  <c r="GX32" i="48"/>
  <c r="FT197" i="48"/>
  <c r="FD197" i="48"/>
  <c r="HA172" i="48"/>
  <c r="FW167" i="48"/>
  <c r="GH149" i="48"/>
  <c r="FV149" i="48"/>
  <c r="FE149" i="48"/>
  <c r="FQ115" i="48"/>
  <c r="FX96" i="48"/>
  <c r="FX199" i="48" s="1"/>
  <c r="FH96" i="48"/>
  <c r="FH199" i="48" s="1"/>
  <c r="GF88" i="48"/>
  <c r="GF191" i="48" s="1"/>
  <c r="HB66" i="48"/>
  <c r="FH66" i="48"/>
  <c r="HC61" i="48"/>
  <c r="GQ12" i="48"/>
  <c r="GQ66" i="48"/>
  <c r="GQ39" i="48"/>
  <c r="GA66" i="48"/>
  <c r="GA39" i="48"/>
  <c r="FK12" i="48"/>
  <c r="FK66" i="48"/>
  <c r="FK39" i="48"/>
  <c r="FG115" i="48"/>
  <c r="FZ60" i="48"/>
  <c r="FZ33" i="48"/>
  <c r="FZ168" i="48"/>
  <c r="HA167" i="48"/>
  <c r="GH12" i="48"/>
  <c r="GH65" i="48"/>
  <c r="GH38" i="48"/>
  <c r="GH172" i="48"/>
  <c r="FI60" i="48"/>
  <c r="FI33" i="48"/>
  <c r="FI168" i="48"/>
  <c r="GZ167" i="48"/>
  <c r="FZ142" i="48"/>
  <c r="GD197" i="48"/>
  <c r="FQ172" i="48"/>
  <c r="HC169" i="48"/>
  <c r="FB115" i="48"/>
  <c r="FG121" i="48"/>
  <c r="FM73" i="48"/>
  <c r="HC59" i="48"/>
  <c r="GJ32" i="48"/>
  <c r="HF66" i="48"/>
  <c r="HF39" i="48"/>
  <c r="HF173" i="48"/>
  <c r="FJ66" i="48"/>
  <c r="FJ39" i="48"/>
  <c r="HB65" i="48"/>
  <c r="HB38" i="48"/>
  <c r="FJ6" i="48"/>
  <c r="M322" i="52"/>
  <c r="N322" i="52"/>
  <c r="GI149" i="48"/>
  <c r="FW149" i="48"/>
  <c r="FF149" i="48"/>
  <c r="GI142" i="48"/>
  <c r="GE142" i="48"/>
  <c r="FS142" i="48"/>
  <c r="FB142" i="48"/>
  <c r="FF96" i="48"/>
  <c r="FF199" i="48" s="1"/>
  <c r="FC96" i="48"/>
  <c r="FC199" i="48" s="1"/>
  <c r="FI71" i="48"/>
  <c r="GB18" i="48"/>
  <c r="FL18" i="48"/>
  <c r="GL6" i="48"/>
  <c r="GL169" i="48" s="1"/>
  <c r="FV6" i="48"/>
  <c r="FF6" i="48"/>
  <c r="FF34" i="48" s="1"/>
  <c r="GH18" i="48"/>
  <c r="HA6" i="48"/>
  <c r="HA169" i="48" s="1"/>
  <c r="GK6" i="48"/>
  <c r="FU6" i="48"/>
  <c r="FE6" i="48"/>
  <c r="FL12" i="48"/>
  <c r="AO319" i="52"/>
  <c r="AA323" i="52" s="1"/>
  <c r="AO315" i="52"/>
  <c r="AA319" i="52" s="1"/>
  <c r="AB331" i="52"/>
  <c r="AO320" i="52"/>
  <c r="AA324" i="52" s="1"/>
  <c r="AB320" i="52"/>
  <c r="AB332" i="52"/>
  <c r="AO326" i="52"/>
  <c r="AB327" i="52"/>
  <c r="AO321" i="52"/>
  <c r="AA325" i="52" s="1"/>
  <c r="AB321" i="52"/>
  <c r="AB333" i="52"/>
  <c r="AO322" i="52"/>
  <c r="AA326" i="52" s="1"/>
  <c r="AO323" i="52"/>
  <c r="AB323" i="52"/>
  <c r="AB319" i="52"/>
  <c r="AO327" i="52"/>
  <c r="AA331" i="52" s="1"/>
  <c r="AO324" i="52"/>
  <c r="AB324" i="52"/>
  <c r="AO325" i="52"/>
  <c r="AB325" i="52"/>
  <c r="AB326" i="52"/>
  <c r="AO316" i="52"/>
  <c r="AO328" i="52"/>
  <c r="AB328" i="52"/>
  <c r="AO317" i="52"/>
  <c r="AB329" i="52"/>
  <c r="AB322" i="52"/>
  <c r="AB334" i="52"/>
  <c r="AO329" i="52"/>
  <c r="AO318" i="52"/>
  <c r="AA322" i="52" s="1"/>
  <c r="AO330" i="52"/>
  <c r="AB330" i="52"/>
  <c r="GE149" i="48"/>
  <c r="FS149" i="48"/>
  <c r="FB149" i="48"/>
  <c r="EY121" i="48"/>
  <c r="FI88" i="48"/>
  <c r="FI191" i="48" s="1"/>
  <c r="FU60" i="48"/>
  <c r="FK59" i="48"/>
  <c r="GK33" i="48"/>
  <c r="GQ32" i="48"/>
  <c r="P195" i="52"/>
  <c r="S195" i="52" s="1"/>
  <c r="BG290" i="52"/>
  <c r="AA290" i="52" s="1"/>
  <c r="AB299" i="52"/>
  <c r="BG291" i="52"/>
  <c r="AB288" i="52"/>
  <c r="AB300" i="52"/>
  <c r="BG297" i="52"/>
  <c r="BG292" i="52"/>
  <c r="AB295" i="52"/>
  <c r="AB290" i="52"/>
  <c r="BG294" i="52"/>
  <c r="AB291" i="52"/>
  <c r="AB285" i="52"/>
  <c r="BG295" i="52"/>
  <c r="AB292" i="52"/>
  <c r="BG298" i="52"/>
  <c r="BG296" i="52"/>
  <c r="AB293" i="52"/>
  <c r="AB294" i="52"/>
  <c r="BG287" i="52"/>
  <c r="BG299" i="52"/>
  <c r="AB296" i="52"/>
  <c r="BG288" i="52"/>
  <c r="BG300" i="52"/>
  <c r="AB297" i="52"/>
  <c r="BG293" i="52"/>
  <c r="BG286" i="52"/>
  <c r="AA286" i="52" s="1"/>
  <c r="BG285" i="52"/>
  <c r="BG289" i="52"/>
  <c r="AB286" i="52"/>
  <c r="AB298" i="52"/>
  <c r="AB287" i="52"/>
  <c r="AB289" i="52"/>
  <c r="N6" i="52"/>
  <c r="P48" i="49"/>
  <c r="Q48" i="49" s="1"/>
  <c r="Q49" i="49" s="1"/>
  <c r="AA292" i="52"/>
  <c r="M286" i="52"/>
  <c r="L328" i="52"/>
  <c r="AA327" i="52"/>
  <c r="L347" i="52"/>
  <c r="AA333" i="52"/>
  <c r="AA321" i="52"/>
  <c r="AA332" i="52"/>
  <c r="AA320" i="52"/>
  <c r="AA334" i="52"/>
  <c r="AA330" i="52"/>
  <c r="AA329" i="52"/>
  <c r="AA328" i="52"/>
  <c r="CO192" i="52"/>
  <c r="U205" i="52"/>
  <c r="Q348" i="52"/>
  <c r="O199" i="52"/>
  <c r="Q199" i="52" s="1"/>
  <c r="O202" i="52"/>
  <c r="Q202" i="52" s="1"/>
  <c r="O203" i="52"/>
  <c r="T203" i="52" s="1"/>
  <c r="O201" i="52"/>
  <c r="Q201" i="52" s="1"/>
  <c r="Q214" i="52"/>
  <c r="Q204" i="52"/>
  <c r="P205" i="52"/>
  <c r="N204" i="52"/>
  <c r="M195" i="52"/>
  <c r="M204" i="52"/>
  <c r="N196" i="52"/>
  <c r="M196" i="52"/>
  <c r="U194" i="52"/>
  <c r="O206" i="52"/>
  <c r="M205" i="52"/>
  <c r="O113" i="52"/>
  <c r="P327" i="52"/>
  <c r="S327" i="52" s="1"/>
  <c r="O110" i="52"/>
  <c r="O257" i="52"/>
  <c r="U204" i="52"/>
  <c r="P193" i="52"/>
  <c r="S193" i="52" s="1"/>
  <c r="O111" i="52"/>
  <c r="O331" i="52"/>
  <c r="U331" i="52" s="1"/>
  <c r="O339" i="52"/>
  <c r="T204" i="52"/>
  <c r="O193" i="52"/>
  <c r="U193" i="52" s="1"/>
  <c r="P194" i="52"/>
  <c r="S194" i="52" s="1"/>
  <c r="T194" i="52" s="1"/>
  <c r="N193" i="52"/>
  <c r="S214" i="52"/>
  <c r="T214" i="52" s="1"/>
  <c r="N194" i="52"/>
  <c r="O195" i="52"/>
  <c r="AA296" i="52"/>
  <c r="L294" i="52"/>
  <c r="BQ333" i="52"/>
  <c r="CS324" i="52"/>
  <c r="CT325" i="52"/>
  <c r="CU326" i="52"/>
  <c r="S348" i="52"/>
  <c r="T348" i="52" s="1"/>
  <c r="L108" i="52"/>
  <c r="BQ332" i="52"/>
  <c r="CT324" i="52"/>
  <c r="AA291" i="52"/>
  <c r="CU324" i="52"/>
  <c r="AB2" i="52"/>
  <c r="AC20" i="52" s="1"/>
  <c r="CK325" i="52"/>
  <c r="CO332" i="52"/>
  <c r="CP333" i="52"/>
  <c r="BG38" i="52"/>
  <c r="AA41" i="52" s="1"/>
  <c r="BU325" i="52"/>
  <c r="BU333" i="52"/>
  <c r="CQ333" i="52"/>
  <c r="BR324" i="52"/>
  <c r="BS325" i="52"/>
  <c r="BK333" i="52"/>
  <c r="CR332" i="52"/>
  <c r="BL333" i="52"/>
  <c r="CT333" i="52"/>
  <c r="BO324" i="52"/>
  <c r="BL332" i="52"/>
  <c r="AB94" i="52"/>
  <c r="BM332" i="52"/>
  <c r="BN333" i="52"/>
  <c r="CP324" i="52"/>
  <c r="AO94" i="52"/>
  <c r="AA94" i="52" s="1"/>
  <c r="CQ324" i="52"/>
  <c r="CT326" i="52"/>
  <c r="CK332" i="52"/>
  <c r="Y321" i="52" s="1"/>
  <c r="O332" i="52" s="1"/>
  <c r="Q332" i="52" s="1"/>
  <c r="O327" i="52"/>
  <c r="O337" i="52"/>
  <c r="O338" i="52" s="1"/>
  <c r="S295" i="52"/>
  <c r="AA297" i="52"/>
  <c r="AB33" i="52"/>
  <c r="AB35" i="52"/>
  <c r="BG39" i="52"/>
  <c r="AA42" i="52" s="1"/>
  <c r="AB41" i="52"/>
  <c r="AB98" i="52"/>
  <c r="AM175" i="52"/>
  <c r="M176" i="52"/>
  <c r="U238" i="52"/>
  <c r="EV18" i="52"/>
  <c r="EW88" i="52"/>
  <c r="FI88" i="52"/>
  <c r="FI191" i="52" s="1"/>
  <c r="EP96" i="52"/>
  <c r="FB96" i="52"/>
  <c r="FB199" i="52" s="1"/>
  <c r="FV142" i="52"/>
  <c r="AO109" i="52"/>
  <c r="AA109" i="52" s="1"/>
  <c r="P286" i="52"/>
  <c r="S286" i="52" s="1"/>
  <c r="Q311" i="52"/>
  <c r="EW18" i="52"/>
  <c r="EW46" i="52" s="1"/>
  <c r="O320" i="52"/>
  <c r="P320" i="52"/>
  <c r="S320" i="52" s="1"/>
  <c r="U132" i="52"/>
  <c r="EY96" i="52"/>
  <c r="EY199" i="52" s="1"/>
  <c r="P321" i="52"/>
  <c r="EX6" i="52"/>
  <c r="GY6" i="52"/>
  <c r="GZ223" i="52" s="1"/>
  <c r="EW12" i="52"/>
  <c r="EW174" i="52" s="1"/>
  <c r="FM12" i="52"/>
  <c r="FM174" i="52" s="1"/>
  <c r="Q122" i="52"/>
  <c r="P328" i="52"/>
  <c r="S328" i="52" s="1"/>
  <c r="BG32" i="52"/>
  <c r="AA35" i="52" s="1"/>
  <c r="Q330" i="52"/>
  <c r="N337" i="52"/>
  <c r="AB39" i="52"/>
  <c r="BG43" i="52"/>
  <c r="AA46" i="52" s="1"/>
  <c r="AO137" i="52"/>
  <c r="AA137" i="52" s="1"/>
  <c r="BG34" i="52"/>
  <c r="AA37" i="52" s="1"/>
  <c r="BG30" i="52"/>
  <c r="AA33" i="52" s="1"/>
  <c r="AB37" i="52"/>
  <c r="O286" i="52"/>
  <c r="S311" i="52"/>
  <c r="T311" i="52" s="1"/>
  <c r="O297" i="52"/>
  <c r="Q297" i="52" s="1"/>
  <c r="N321" i="52"/>
  <c r="Q31" i="52"/>
  <c r="BG33" i="52"/>
  <c r="AA36" i="52" s="1"/>
  <c r="AB109" i="52"/>
  <c r="FC113" i="52"/>
  <c r="AO122" i="52"/>
  <c r="AA122" i="52" s="1"/>
  <c r="P68" i="52"/>
  <c r="S68" i="52" s="1"/>
  <c r="M164" i="52"/>
  <c r="O298" i="52"/>
  <c r="Q298" i="52" s="1"/>
  <c r="P137" i="52"/>
  <c r="S137" i="52" s="1"/>
  <c r="L139" i="52"/>
  <c r="N139" i="52" s="1"/>
  <c r="U164" i="52"/>
  <c r="AA285" i="52"/>
  <c r="AA289" i="52"/>
  <c r="N294" i="52"/>
  <c r="EW6" i="52"/>
  <c r="BG37" i="52"/>
  <c r="AA40" i="52" s="1"/>
  <c r="AB102" i="52"/>
  <c r="T124" i="52"/>
  <c r="FA149" i="52"/>
  <c r="P164" i="52"/>
  <c r="S164" i="52" s="1"/>
  <c r="T164" i="52" s="1"/>
  <c r="P287" i="52"/>
  <c r="S287" i="52" s="1"/>
  <c r="AA300" i="52"/>
  <c r="AA288" i="52"/>
  <c r="M324" i="52"/>
  <c r="ER142" i="52"/>
  <c r="FD142" i="52"/>
  <c r="FU142" i="52"/>
  <c r="GG142" i="52"/>
  <c r="AA299" i="52"/>
  <c r="AA287" i="52"/>
  <c r="AA298" i="52"/>
  <c r="M337" i="52"/>
  <c r="AB36" i="52"/>
  <c r="AB42" i="52"/>
  <c r="L313" i="52"/>
  <c r="U313" i="52" s="1"/>
  <c r="BG36" i="52"/>
  <c r="AA39" i="52" s="1"/>
  <c r="N132" i="52"/>
  <c r="FE149" i="52"/>
  <c r="Q237" i="52"/>
  <c r="M336" i="52"/>
  <c r="AA295" i="52"/>
  <c r="M328" i="52"/>
  <c r="Q345" i="52"/>
  <c r="AB34" i="52"/>
  <c r="ES142" i="52"/>
  <c r="FE142" i="52"/>
  <c r="GH142" i="52"/>
  <c r="ER149" i="52"/>
  <c r="AA294" i="52"/>
  <c r="P336" i="52"/>
  <c r="AA293" i="52"/>
  <c r="N327" i="52"/>
  <c r="U335" i="52"/>
  <c r="U301" i="52"/>
  <c r="Q333" i="52"/>
  <c r="U333" i="52"/>
  <c r="T333" i="52"/>
  <c r="P347" i="52"/>
  <c r="S347" i="52" s="1"/>
  <c r="N347" i="52"/>
  <c r="M347" i="52"/>
  <c r="U347" i="52"/>
  <c r="T330" i="52"/>
  <c r="P323" i="52"/>
  <c r="S323" i="52" s="1"/>
  <c r="U330" i="52"/>
  <c r="U336" i="52"/>
  <c r="T345" i="52"/>
  <c r="M335" i="52"/>
  <c r="U345" i="52"/>
  <c r="N324" i="52"/>
  <c r="M327" i="52"/>
  <c r="P335" i="52"/>
  <c r="S335" i="52" s="1"/>
  <c r="M323" i="52"/>
  <c r="N328" i="52"/>
  <c r="M320" i="52"/>
  <c r="N84" i="52"/>
  <c r="AB95" i="52"/>
  <c r="AO96" i="52"/>
  <c r="AA96" i="52" s="1"/>
  <c r="AB103" i="52"/>
  <c r="FM142" i="52"/>
  <c r="T249" i="52"/>
  <c r="EU6" i="52"/>
  <c r="EU169" i="52" s="1"/>
  <c r="FL6" i="52"/>
  <c r="GB6" i="52"/>
  <c r="GB169" i="52" s="1"/>
  <c r="FQ96" i="52"/>
  <c r="M99" i="52"/>
  <c r="AO105" i="52"/>
  <c r="AA105" i="52" s="1"/>
  <c r="N135" i="52"/>
  <c r="FP142" i="52"/>
  <c r="T159" i="52"/>
  <c r="P177" i="52"/>
  <c r="Q177" i="52" s="1"/>
  <c r="AB44" i="52"/>
  <c r="O52" i="52"/>
  <c r="O54" i="52" s="1"/>
  <c r="U54" i="52" s="1"/>
  <c r="FR88" i="52"/>
  <c r="AB100" i="52"/>
  <c r="AO126" i="52"/>
  <c r="AA126" i="52" s="1"/>
  <c r="P135" i="52"/>
  <c r="S135" i="52" s="1"/>
  <c r="EN142" i="52"/>
  <c r="ET149" i="52"/>
  <c r="O272" i="52"/>
  <c r="U272" i="52" s="1"/>
  <c r="EV12" i="52"/>
  <c r="FL12" i="52"/>
  <c r="ER88" i="52"/>
  <c r="FD88" i="52"/>
  <c r="FD191" i="52" s="1"/>
  <c r="FA142" i="52"/>
  <c r="FR142" i="52"/>
  <c r="GD142" i="52"/>
  <c r="AJ145" i="52"/>
  <c r="ES88" i="52"/>
  <c r="FU96" i="52"/>
  <c r="T127" i="52"/>
  <c r="N59" i="52"/>
  <c r="AO97" i="52"/>
  <c r="AA97" i="52" s="1"/>
  <c r="AB104" i="52"/>
  <c r="M237" i="52"/>
  <c r="EY149" i="52"/>
  <c r="FP149" i="52"/>
  <c r="EX18" i="52"/>
  <c r="EX179" i="52" s="1"/>
  <c r="FX96" i="52"/>
  <c r="FX199" i="52" s="1"/>
  <c r="AB106" i="52"/>
  <c r="AB123" i="52"/>
  <c r="EP142" i="52"/>
  <c r="FB142" i="52"/>
  <c r="ET39" i="52"/>
  <c r="P178" i="52"/>
  <c r="S178" i="52" s="1"/>
  <c r="M59" i="52"/>
  <c r="AO101" i="52"/>
  <c r="AA101" i="52" s="1"/>
  <c r="EP149" i="52"/>
  <c r="FB149" i="52"/>
  <c r="FS149" i="52"/>
  <c r="GE149" i="52"/>
  <c r="GN6" i="52"/>
  <c r="GN61" i="52" s="1"/>
  <c r="HD6" i="52"/>
  <c r="HD34" i="52" s="1"/>
  <c r="N10" i="52"/>
  <c r="FK12" i="52"/>
  <c r="EU96" i="52"/>
  <c r="FW96" i="52"/>
  <c r="GI96" i="52"/>
  <c r="GI199" i="52" s="1"/>
  <c r="EQ149" i="52"/>
  <c r="FC149" i="52"/>
  <c r="FT149" i="52"/>
  <c r="GF149" i="52"/>
  <c r="FF149" i="52"/>
  <c r="FW149" i="52"/>
  <c r="GI149" i="52"/>
  <c r="M226" i="52"/>
  <c r="T238" i="52"/>
  <c r="EM18" i="52"/>
  <c r="EN235" i="52" s="1"/>
  <c r="FY6" i="52"/>
  <c r="HE6" i="52"/>
  <c r="HE61" i="52" s="1"/>
  <c r="FI6" i="52"/>
  <c r="FJ223" i="52" s="1"/>
  <c r="EQ88" i="52"/>
  <c r="FS120" i="52"/>
  <c r="P132" i="52"/>
  <c r="S132" i="52" s="1"/>
  <c r="T132" i="52" s="1"/>
  <c r="AJ176" i="52"/>
  <c r="P226" i="52"/>
  <c r="S226" i="52" s="1"/>
  <c r="Z246" i="52"/>
  <c r="N258" i="52"/>
  <c r="AB3" i="52"/>
  <c r="GK18" i="52"/>
  <c r="GL235" i="52" s="1"/>
  <c r="ES149" i="52"/>
  <c r="FV149" i="52"/>
  <c r="FQ6" i="52"/>
  <c r="FR223" i="52" s="1"/>
  <c r="BG3" i="52"/>
  <c r="AA3" i="52" s="1"/>
  <c r="FS6" i="52"/>
  <c r="FS34" i="52" s="1"/>
  <c r="FE88" i="52"/>
  <c r="FE191" i="52" s="1"/>
  <c r="FF88" i="52"/>
  <c r="FF191" i="52" s="1"/>
  <c r="W240" i="52" s="1"/>
  <c r="EQ113" i="52"/>
  <c r="N178" i="52"/>
  <c r="U259" i="52"/>
  <c r="EY142" i="52"/>
  <c r="GB142" i="52"/>
  <c r="GA149" i="52"/>
  <c r="U18" i="52"/>
  <c r="AL26" i="52"/>
  <c r="BG31" i="52"/>
  <c r="AA34" i="52" s="1"/>
  <c r="AB38" i="52"/>
  <c r="EU88" i="52"/>
  <c r="FG88" i="52"/>
  <c r="FG191" i="52" s="1"/>
  <c r="AM91" i="52"/>
  <c r="AM92" i="52" s="1"/>
  <c r="FP96" i="52"/>
  <c r="GB96" i="52"/>
  <c r="GB199" i="52" s="1"/>
  <c r="N105" i="52"/>
  <c r="T121" i="52"/>
  <c r="EV149" i="52"/>
  <c r="FH149" i="52"/>
  <c r="FY149" i="52"/>
  <c r="O180" i="52"/>
  <c r="U180" i="52" s="1"/>
  <c r="T278" i="52"/>
  <c r="EM96" i="52"/>
  <c r="P52" i="52"/>
  <c r="S52" i="52" s="1"/>
  <c r="GD88" i="52"/>
  <c r="GD191" i="52" s="1"/>
  <c r="T186" i="52"/>
  <c r="FT12" i="52"/>
  <c r="FU229" i="52" s="1"/>
  <c r="M35" i="52"/>
  <c r="EX88" i="52"/>
  <c r="EX191" i="52" s="1"/>
  <c r="EC192" i="52" s="1"/>
  <c r="FM88" i="52"/>
  <c r="EV142" i="52"/>
  <c r="FH142" i="52"/>
  <c r="FY142" i="52"/>
  <c r="GZ12" i="52"/>
  <c r="HA229" i="52" s="1"/>
  <c r="N35" i="52"/>
  <c r="T184" i="52"/>
  <c r="CO197" i="52"/>
  <c r="U269" i="52"/>
  <c r="T275" i="52"/>
  <c r="FD12" i="52"/>
  <c r="FE229" i="52" s="1"/>
  <c r="GN12" i="52"/>
  <c r="HC12" i="52"/>
  <c r="HC174" i="52" s="1"/>
  <c r="HA12" i="52"/>
  <c r="HB229" i="52" s="1"/>
  <c r="N68" i="52"/>
  <c r="M84" i="52"/>
  <c r="EZ88" i="52"/>
  <c r="EZ191" i="52" s="1"/>
  <c r="EE192" i="52" s="1"/>
  <c r="AK92" i="52"/>
  <c r="FG114" i="52"/>
  <c r="EP120" i="52"/>
  <c r="Q127" i="52"/>
  <c r="N133" i="52"/>
  <c r="EX142" i="52"/>
  <c r="GA142" i="52"/>
  <c r="FU149" i="52"/>
  <c r="GG149" i="52"/>
  <c r="Z240" i="52"/>
  <c r="N82" i="52"/>
  <c r="M82" i="52"/>
  <c r="EV6" i="52"/>
  <c r="EV61" i="52" s="1"/>
  <c r="FM6" i="52"/>
  <c r="GF6" i="52"/>
  <c r="GG223" i="52" s="1"/>
  <c r="GG222" i="52"/>
  <c r="GW6" i="52"/>
  <c r="GX223" i="52" s="1"/>
  <c r="GX222" i="52"/>
  <c r="N7" i="52"/>
  <c r="GG227" i="52"/>
  <c r="GF12" i="52"/>
  <c r="GG229" i="52" s="1"/>
  <c r="N11" i="52"/>
  <c r="FD18" i="52"/>
  <c r="FE235" i="52" s="1"/>
  <c r="M50" i="52"/>
  <c r="U50" i="52"/>
  <c r="M69" i="52"/>
  <c r="P69" i="52"/>
  <c r="S69" i="52" s="1"/>
  <c r="N69" i="52"/>
  <c r="P82" i="52"/>
  <c r="S82" i="52" s="1"/>
  <c r="T82" i="52" s="1"/>
  <c r="FZ197" i="52"/>
  <c r="FZ96" i="52"/>
  <c r="FZ199" i="52" s="1"/>
  <c r="U95" i="52"/>
  <c r="T95" i="52"/>
  <c r="Q95" i="52"/>
  <c r="O15" i="52"/>
  <c r="Q15" i="52" s="1"/>
  <c r="GI32" i="52"/>
  <c r="GJ221" i="52"/>
  <c r="GI6" i="52"/>
  <c r="GY32" i="52"/>
  <c r="GZ221" i="52"/>
  <c r="FX6" i="52"/>
  <c r="FY223" i="52" s="1"/>
  <c r="EX12" i="52"/>
  <c r="EX174" i="52" s="1"/>
  <c r="FQ38" i="52"/>
  <c r="FR227" i="52"/>
  <c r="P11" i="52"/>
  <c r="S11" i="52" s="1"/>
  <c r="FU12" i="52"/>
  <c r="FV229" i="52" s="1"/>
  <c r="O25" i="52"/>
  <c r="U25" i="52" s="1"/>
  <c r="FE18" i="52"/>
  <c r="FE179" i="52" s="1"/>
  <c r="O22" i="52"/>
  <c r="T22" i="52" s="1"/>
  <c r="T31" i="52"/>
  <c r="GX32" i="52"/>
  <c r="FS142" i="52"/>
  <c r="GE142" i="52"/>
  <c r="M7" i="52"/>
  <c r="O16" i="52"/>
  <c r="T16" i="52" s="1"/>
  <c r="FB6" i="52"/>
  <c r="FC223" i="52" s="1"/>
  <c r="FC221" i="52"/>
  <c r="FT6" i="52"/>
  <c r="FU223" i="52" s="1"/>
  <c r="FU221" i="52"/>
  <c r="GJ6" i="52"/>
  <c r="GK223" i="52" s="1"/>
  <c r="GK221" i="52"/>
  <c r="GZ6" i="52"/>
  <c r="HA223" i="52" s="1"/>
  <c r="HA221" i="52"/>
  <c r="GY33" i="52"/>
  <c r="GZ222" i="52"/>
  <c r="P7" i="52"/>
  <c r="S7" i="52" s="1"/>
  <c r="GH12" i="52"/>
  <c r="GI229" i="52" s="1"/>
  <c r="FQ18" i="52"/>
  <c r="FR235" i="52" s="1"/>
  <c r="U31" i="52"/>
  <c r="P100" i="52"/>
  <c r="S100" i="52" s="1"/>
  <c r="T100" i="52" s="1"/>
  <c r="M100" i="52"/>
  <c r="U146" i="52"/>
  <c r="P146" i="52"/>
  <c r="N146" i="52"/>
  <c r="M146" i="52"/>
  <c r="EM6" i="52"/>
  <c r="EN223" i="52" s="1"/>
  <c r="EN221" i="52"/>
  <c r="FE6" i="52"/>
  <c r="FF223" i="52" s="1"/>
  <c r="FF221" i="52"/>
  <c r="FU6" i="52"/>
  <c r="FV223" i="52" s="1"/>
  <c r="FV221" i="52"/>
  <c r="GK6" i="52"/>
  <c r="GL223" i="52" s="1"/>
  <c r="GL221" i="52"/>
  <c r="HA6" i="52"/>
  <c r="HB223" i="52" s="1"/>
  <c r="HB221" i="52"/>
  <c r="GJ33" i="52"/>
  <c r="GK222" i="52"/>
  <c r="GZ33" i="52"/>
  <c r="HA222" i="52"/>
  <c r="GH6" i="52"/>
  <c r="GI223" i="52" s="1"/>
  <c r="EU12" i="52"/>
  <c r="EU174" i="52" s="1"/>
  <c r="GJ12" i="52"/>
  <c r="GK229" i="52" s="1"/>
  <c r="GN18" i="52"/>
  <c r="GN179" i="52" s="1"/>
  <c r="FS18" i="52"/>
  <c r="FT235" i="52" s="1"/>
  <c r="AN25" i="52"/>
  <c r="AN26" i="52" s="1"/>
  <c r="O46" i="52"/>
  <c r="U46" i="52" s="1"/>
  <c r="AL118" i="52"/>
  <c r="AM118" i="52"/>
  <c r="N134" i="52"/>
  <c r="P134" i="52"/>
  <c r="S134" i="52" s="1"/>
  <c r="M134" i="52"/>
  <c r="FE12" i="52"/>
  <c r="FF229" i="52" s="1"/>
  <c r="FF227" i="52"/>
  <c r="GU66" i="52"/>
  <c r="GV228" i="52"/>
  <c r="Z287" i="52" s="1"/>
  <c r="O299" i="52" s="1"/>
  <c r="U299" i="52" s="1"/>
  <c r="GK12" i="52"/>
  <c r="GL229" i="52" s="1"/>
  <c r="GO18" i="52"/>
  <c r="GO179" i="52" s="1"/>
  <c r="GJ45" i="52"/>
  <c r="GK234" i="52"/>
  <c r="FT18" i="52"/>
  <c r="FU235" i="52" s="1"/>
  <c r="FI39" i="52"/>
  <c r="GM39" i="52"/>
  <c r="GN228" i="52"/>
  <c r="FW32" i="52"/>
  <c r="FX221" i="52"/>
  <c r="FF33" i="52"/>
  <c r="FG222" i="52"/>
  <c r="GL60" i="52"/>
  <c r="GM222" i="52"/>
  <c r="EQ6" i="52"/>
  <c r="ER223" i="52" s="1"/>
  <c r="GO6" i="52"/>
  <c r="GO34" i="52" s="1"/>
  <c r="FF12" i="52"/>
  <c r="FG229" i="52" s="1"/>
  <c r="FG227" i="52"/>
  <c r="FV12" i="52"/>
  <c r="FW229" i="52" s="1"/>
  <c r="FW227" i="52"/>
  <c r="GL12" i="52"/>
  <c r="GM229" i="52" s="1"/>
  <c r="GM227" i="52"/>
  <c r="HB12" i="52"/>
  <c r="HC229" i="52" s="1"/>
  <c r="HC227" i="52"/>
  <c r="GY12" i="52"/>
  <c r="GZ229" i="52" s="1"/>
  <c r="GP18" i="52"/>
  <c r="GP179" i="52" s="1"/>
  <c r="FU18" i="52"/>
  <c r="O48" i="52"/>
  <c r="T48" i="52" s="1"/>
  <c r="P37" i="52"/>
  <c r="S37" i="52" s="1"/>
  <c r="N37" i="52"/>
  <c r="T247" i="52"/>
  <c r="FB18" i="52"/>
  <c r="FC235" i="52" s="1"/>
  <c r="FC233" i="52"/>
  <c r="ER6" i="52"/>
  <c r="ES223" i="52" s="1"/>
  <c r="GX6" i="52"/>
  <c r="GY223" i="52" s="1"/>
  <c r="FG12" i="52"/>
  <c r="FH229" i="52" s="1"/>
  <c r="FH227" i="52"/>
  <c r="FW12" i="52"/>
  <c r="FX229" i="52" s="1"/>
  <c r="FX227" i="52"/>
  <c r="GQ18" i="52"/>
  <c r="EP45" i="52"/>
  <c r="EQ234" i="52"/>
  <c r="GJ18" i="52"/>
  <c r="GK235" i="52" s="1"/>
  <c r="EU32" i="52"/>
  <c r="P102" i="52"/>
  <c r="S102" i="52" s="1"/>
  <c r="N102" i="52"/>
  <c r="M102" i="52"/>
  <c r="EQ33" i="52"/>
  <c r="AB135" i="52"/>
  <c r="AO135" i="52"/>
  <c r="AA135" i="52" s="1"/>
  <c r="AB122" i="52"/>
  <c r="AH120" i="52" s="1"/>
  <c r="L158" i="52"/>
  <c r="AB128" i="52"/>
  <c r="AO125" i="52"/>
  <c r="AA125" i="52" s="1"/>
  <c r="AB136" i="52"/>
  <c r="AB125" i="52"/>
  <c r="AO130" i="52"/>
  <c r="AA130" i="52" s="1"/>
  <c r="L140" i="52"/>
  <c r="N140" i="52" s="1"/>
  <c r="AB132" i="52"/>
  <c r="AO123" i="52"/>
  <c r="AA123" i="52" s="1"/>
  <c r="AO133" i="52"/>
  <c r="AA133" i="52" s="1"/>
  <c r="AB127" i="52"/>
  <c r="AB126" i="52"/>
  <c r="AO134" i="52"/>
  <c r="AA134" i="52" s="1"/>
  <c r="AB133" i="52"/>
  <c r="AO131" i="52"/>
  <c r="AA131" i="52" s="1"/>
  <c r="AO124" i="52"/>
  <c r="AA124" i="52" s="1"/>
  <c r="AB134" i="52"/>
  <c r="AO129" i="52"/>
  <c r="AA129" i="52" s="1"/>
  <c r="AB124" i="52"/>
  <c r="AB131" i="52"/>
  <c r="GU6" i="52"/>
  <c r="GV223" i="52" s="1"/>
  <c r="GV221" i="52"/>
  <c r="HB39" i="52"/>
  <c r="HC228" i="52"/>
  <c r="ER12" i="52"/>
  <c r="ES229" i="52" s="1"/>
  <c r="ES227" i="52"/>
  <c r="ES6" i="52"/>
  <c r="ET223" i="52" s="1"/>
  <c r="ET221" i="52"/>
  <c r="FJ6" i="52"/>
  <c r="FJ169" i="52" s="1"/>
  <c r="FZ6" i="52"/>
  <c r="FZ169" i="52" s="1"/>
  <c r="GP6" i="52"/>
  <c r="GP169" i="52" s="1"/>
  <c r="HF6" i="52"/>
  <c r="HF61" i="52" s="1"/>
  <c r="ER33" i="52"/>
  <c r="ES222" i="52"/>
  <c r="FB12" i="52"/>
  <c r="FC229" i="52" s="1"/>
  <c r="BG14" i="52"/>
  <c r="AA14" i="52" s="1"/>
  <c r="BG2" i="52"/>
  <c r="AA2" i="52" s="1"/>
  <c r="BG8" i="52"/>
  <c r="AA8" i="52" s="1"/>
  <c r="P19" i="52"/>
  <c r="S19" i="52" s="1"/>
  <c r="T19" i="52" s="1"/>
  <c r="U19" i="52"/>
  <c r="N36" i="52"/>
  <c r="M36" i="52"/>
  <c r="O43" i="52"/>
  <c r="N41" i="52"/>
  <c r="ET6" i="52"/>
  <c r="EU223" i="52" s="1"/>
  <c r="EU221" i="52"/>
  <c r="FK6" i="52"/>
  <c r="FK169" i="52" s="1"/>
  <c r="GA6" i="52"/>
  <c r="GA34" i="52" s="1"/>
  <c r="GQ6" i="52"/>
  <c r="GQ61" i="52" s="1"/>
  <c r="FH6" i="52"/>
  <c r="FI223" i="52" s="1"/>
  <c r="ET172" i="52"/>
  <c r="EU227" i="52"/>
  <c r="P73" i="52"/>
  <c r="S73" i="52" s="1"/>
  <c r="N73" i="52"/>
  <c r="M73" i="52"/>
  <c r="EN149" i="52"/>
  <c r="GD149" i="52"/>
  <c r="S183" i="52"/>
  <c r="T183" i="52" s="1"/>
  <c r="Q183" i="52"/>
  <c r="HB6" i="52"/>
  <c r="HC223" i="52" s="1"/>
  <c r="FS12" i="52"/>
  <c r="FT229" i="52" s="1"/>
  <c r="GI12" i="52"/>
  <c r="GJ229" i="52" s="1"/>
  <c r="T18" i="52"/>
  <c r="O80" i="52"/>
  <c r="U80" i="52" s="1"/>
  <c r="N99" i="52"/>
  <c r="AB99" i="52"/>
  <c r="AO100" i="52"/>
  <c r="AA100" i="52" s="1"/>
  <c r="EM149" i="52"/>
  <c r="EZ149" i="52"/>
  <c r="FQ149" i="52"/>
  <c r="GC149" i="52"/>
  <c r="GB149" i="52"/>
  <c r="T154" i="52"/>
  <c r="T156" i="52"/>
  <c r="N228" i="52"/>
  <c r="O255" i="52"/>
  <c r="O276" i="52" s="1"/>
  <c r="Q276" i="52" s="1"/>
  <c r="P258" i="52"/>
  <c r="S258" i="52" s="1"/>
  <c r="O270" i="52"/>
  <c r="T270" i="52" s="1"/>
  <c r="AB97" i="52"/>
  <c r="O99" i="52"/>
  <c r="AO99" i="52"/>
  <c r="AA99" i="52" s="1"/>
  <c r="FA119" i="52"/>
  <c r="ET142" i="52"/>
  <c r="FF142" i="52"/>
  <c r="FW142" i="52"/>
  <c r="FR149" i="52"/>
  <c r="Q154" i="52"/>
  <c r="T314" i="52"/>
  <c r="HC221" i="52"/>
  <c r="O302" i="52"/>
  <c r="U302" i="52" s="1"/>
  <c r="FC227" i="52"/>
  <c r="FQ119" i="52"/>
  <c r="BI197" i="52"/>
  <c r="M259" i="52"/>
  <c r="N269" i="52"/>
  <c r="ET88" i="52"/>
  <c r="EZ96" i="52"/>
  <c r="EZ199" i="52" s="1"/>
  <c r="AO108" i="52"/>
  <c r="AA108" i="52" s="1"/>
  <c r="FT119" i="52"/>
  <c r="FD149" i="52"/>
  <c r="AB155" i="52"/>
  <c r="AB159" i="52"/>
  <c r="M165" i="52"/>
  <c r="AL176" i="52"/>
  <c r="U237" i="52"/>
  <c r="N259" i="52"/>
  <c r="FT227" i="52"/>
  <c r="GJ227" i="52"/>
  <c r="U51" i="52"/>
  <c r="P71" i="52"/>
  <c r="S71" i="52" s="1"/>
  <c r="AB105" i="52"/>
  <c r="ET113" i="52"/>
  <c r="AJ119" i="52"/>
  <c r="GH149" i="52"/>
  <c r="T171" i="52"/>
  <c r="N237" i="52"/>
  <c r="Z243" i="52"/>
  <c r="P259" i="52"/>
  <c r="AL119" i="52"/>
  <c r="EU142" i="52"/>
  <c r="FG142" i="52"/>
  <c r="FX142" i="52"/>
  <c r="AO162" i="52"/>
  <c r="AA162" i="52" s="1"/>
  <c r="M270" i="52"/>
  <c r="GL222" i="52"/>
  <c r="N116" i="52"/>
  <c r="AL144" i="52"/>
  <c r="AL145" i="52" s="1"/>
  <c r="M148" i="52"/>
  <c r="EU149" i="52"/>
  <c r="FG149" i="52"/>
  <c r="Q159" i="52"/>
  <c r="M177" i="52"/>
  <c r="N257" i="52"/>
  <c r="N270" i="52"/>
  <c r="O81" i="52"/>
  <c r="U81" i="52" s="1"/>
  <c r="AO95" i="52"/>
  <c r="AA95" i="52" s="1"/>
  <c r="AB96" i="52"/>
  <c r="AO98" i="52"/>
  <c r="AA98" i="52" s="1"/>
  <c r="AB101" i="52"/>
  <c r="AO104" i="52"/>
  <c r="AA104" i="52" s="1"/>
  <c r="N106" i="52"/>
  <c r="AO107" i="52"/>
  <c r="AA107" i="52" s="1"/>
  <c r="T122" i="52"/>
  <c r="EW149" i="52"/>
  <c r="FI149" i="52"/>
  <c r="FZ149" i="52"/>
  <c r="N148" i="52"/>
  <c r="Q156" i="52"/>
  <c r="AB160" i="52"/>
  <c r="N163" i="52"/>
  <c r="DD187" i="52"/>
  <c r="Q247" i="52"/>
  <c r="Q250" i="52"/>
  <c r="T279" i="52"/>
  <c r="O296" i="52"/>
  <c r="FG221" i="52"/>
  <c r="P108" i="52"/>
  <c r="S108" i="52" s="1"/>
  <c r="U114" i="52"/>
  <c r="EX149" i="52"/>
  <c r="FM149" i="52"/>
  <c r="U177" i="52"/>
  <c r="S237" i="52"/>
  <c r="T237" i="52" s="1"/>
  <c r="O14" i="52"/>
  <c r="U14" i="52" s="1"/>
  <c r="EN233" i="52"/>
  <c r="M290" i="52"/>
  <c r="N290" i="52"/>
  <c r="M289" i="52"/>
  <c r="N289" i="52"/>
  <c r="P289" i="52"/>
  <c r="S289" i="52" s="1"/>
  <c r="P301" i="52"/>
  <c r="S301" i="52" s="1"/>
  <c r="T301" i="52" s="1"/>
  <c r="N288" i="52"/>
  <c r="N293" i="52"/>
  <c r="M287" i="52"/>
  <c r="M292" i="52"/>
  <c r="P288" i="52"/>
  <c r="S288" i="52" s="1"/>
  <c r="N292" i="52"/>
  <c r="P293" i="52"/>
  <c r="S293" i="52" s="1"/>
  <c r="T293" i="52" s="1"/>
  <c r="Q314" i="52"/>
  <c r="M302" i="52"/>
  <c r="M301" i="52"/>
  <c r="AM197" i="52"/>
  <c r="M224" i="52"/>
  <c r="P225" i="52"/>
  <c r="S225" i="52" s="1"/>
  <c r="M225" i="52"/>
  <c r="N225" i="52"/>
  <c r="N224" i="52"/>
  <c r="O224" i="52"/>
  <c r="U224" i="52" s="1"/>
  <c r="P224" i="52"/>
  <c r="S224" i="52" s="1"/>
  <c r="O233" i="52"/>
  <c r="T233" i="52" s="1"/>
  <c r="FU169" i="52"/>
  <c r="FU61" i="52"/>
  <c r="FU34" i="52"/>
  <c r="FS67" i="52"/>
  <c r="GI40" i="52"/>
  <c r="EU40" i="52"/>
  <c r="FE174" i="52"/>
  <c r="FE67" i="52"/>
  <c r="FF174" i="52"/>
  <c r="FF67" i="52"/>
  <c r="FF40" i="52"/>
  <c r="GL40" i="52"/>
  <c r="HB174" i="52"/>
  <c r="HB67" i="52"/>
  <c r="Q4" i="52"/>
  <c r="S4" i="52"/>
  <c r="T4" i="52" s="1"/>
  <c r="GA61" i="52"/>
  <c r="GQ169" i="52"/>
  <c r="GQ34" i="52"/>
  <c r="ER174" i="52"/>
  <c r="ER67" i="52"/>
  <c r="ER40" i="52"/>
  <c r="GN174" i="52"/>
  <c r="GN67" i="52"/>
  <c r="GN40" i="52"/>
  <c r="FL169" i="52"/>
  <c r="FL61" i="52"/>
  <c r="FL34" i="52"/>
  <c r="GQ179" i="52"/>
  <c r="GQ73" i="52"/>
  <c r="GQ46" i="52"/>
  <c r="N8" i="52"/>
  <c r="P8" i="52"/>
  <c r="S8" i="52" s="1"/>
  <c r="M8" i="52"/>
  <c r="FM169" i="52"/>
  <c r="FM61" i="52"/>
  <c r="FM34" i="52"/>
  <c r="GF169" i="52"/>
  <c r="GF34" i="52"/>
  <c r="GF61" i="52"/>
  <c r="GW169" i="52"/>
  <c r="GW61" i="52"/>
  <c r="GW34" i="52"/>
  <c r="EV174" i="52"/>
  <c r="EV67" i="52"/>
  <c r="EV40" i="52"/>
  <c r="HC67" i="52"/>
  <c r="HC40" i="52"/>
  <c r="FB169" i="52"/>
  <c r="FB61" i="52"/>
  <c r="FB34" i="52"/>
  <c r="GZ169" i="52"/>
  <c r="GZ61" i="52"/>
  <c r="GZ34" i="52"/>
  <c r="FB179" i="52"/>
  <c r="EV179" i="52"/>
  <c r="EV73" i="52"/>
  <c r="EV46" i="52"/>
  <c r="EP167" i="52"/>
  <c r="EP59" i="52"/>
  <c r="EQ168" i="52"/>
  <c r="EQ60" i="52"/>
  <c r="GN168" i="52"/>
  <c r="GN60" i="52"/>
  <c r="GN33" i="52"/>
  <c r="FY169" i="52"/>
  <c r="FY61" i="52"/>
  <c r="GO169" i="52"/>
  <c r="GO61" i="52"/>
  <c r="HE169" i="52"/>
  <c r="FX173" i="52"/>
  <c r="FX66" i="52"/>
  <c r="FL174" i="52"/>
  <c r="FL67" i="52"/>
  <c r="FL40" i="52"/>
  <c r="EQ178" i="52"/>
  <c r="EQ72" i="52"/>
  <c r="EQ45" i="52"/>
  <c r="FG178" i="52"/>
  <c r="FG72" i="52"/>
  <c r="FG45" i="52"/>
  <c r="FW178" i="52"/>
  <c r="FW45" i="52"/>
  <c r="FW72" i="52"/>
  <c r="GM178" i="52"/>
  <c r="GM72" i="52"/>
  <c r="GM45" i="52"/>
  <c r="GO59" i="52"/>
  <c r="FX172" i="52"/>
  <c r="FX38" i="52"/>
  <c r="FX65" i="52"/>
  <c r="FW167" i="52"/>
  <c r="FW59" i="52"/>
  <c r="HC167" i="52"/>
  <c r="HC59" i="52"/>
  <c r="FH168" i="52"/>
  <c r="FH33" i="52"/>
  <c r="FH60" i="52"/>
  <c r="HD168" i="52"/>
  <c r="HD60" i="52"/>
  <c r="HD33" i="52"/>
  <c r="FI169" i="52"/>
  <c r="FI61" i="52"/>
  <c r="FI34" i="52"/>
  <c r="ES172" i="52"/>
  <c r="ES65" i="52"/>
  <c r="ES12" i="52"/>
  <c r="ET229" i="52" s="1"/>
  <c r="ES38" i="52"/>
  <c r="FY172" i="52"/>
  <c r="FY65" i="52"/>
  <c r="FY38" i="52"/>
  <c r="FY12" i="52"/>
  <c r="HE172" i="52"/>
  <c r="HE65" i="52"/>
  <c r="HE38" i="52"/>
  <c r="HE12" i="52"/>
  <c r="ER173" i="52"/>
  <c r="ER66" i="52"/>
  <c r="ER39" i="52"/>
  <c r="HD173" i="52"/>
  <c r="HD66" i="52"/>
  <c r="HD39" i="52"/>
  <c r="GH67" i="52"/>
  <c r="EQ167" i="52"/>
  <c r="EQ59" i="52"/>
  <c r="FH167" i="52"/>
  <c r="FH59" i="52"/>
  <c r="FX167" i="52"/>
  <c r="FX59" i="52"/>
  <c r="GN167" i="52"/>
  <c r="GN59" i="52"/>
  <c r="HD167" i="52"/>
  <c r="HD59" i="52"/>
  <c r="ER168" i="52"/>
  <c r="ER60" i="52"/>
  <c r="FI168" i="52"/>
  <c r="FI60" i="52"/>
  <c r="FI33" i="52"/>
  <c r="FY168" i="52"/>
  <c r="FY60" i="52"/>
  <c r="FY33" i="52"/>
  <c r="GO168" i="52"/>
  <c r="GO60" i="52"/>
  <c r="GO33" i="52"/>
  <c r="HE168" i="52"/>
  <c r="HE60" i="52"/>
  <c r="HE33" i="52"/>
  <c r="M9" i="52"/>
  <c r="EP177" i="52"/>
  <c r="EP71" i="52"/>
  <c r="EP44" i="52"/>
  <c r="EP18" i="52"/>
  <c r="EQ235" i="52" s="1"/>
  <c r="FF177" i="52"/>
  <c r="FF71" i="52"/>
  <c r="FF44" i="52"/>
  <c r="FF18" i="52"/>
  <c r="FG235" i="52" s="1"/>
  <c r="FV177" i="52"/>
  <c r="FV71" i="52"/>
  <c r="FV44" i="52"/>
  <c r="FV18" i="52"/>
  <c r="FW235" i="52" s="1"/>
  <c r="GL177" i="52"/>
  <c r="GL71" i="52"/>
  <c r="GL44" i="52"/>
  <c r="GL18" i="52"/>
  <c r="GM235" i="52" s="1"/>
  <c r="ER178" i="52"/>
  <c r="ER72" i="52"/>
  <c r="ER45" i="52"/>
  <c r="FH178" i="52"/>
  <c r="FH72" i="52"/>
  <c r="FX178" i="52"/>
  <c r="FX72" i="52"/>
  <c r="FX45" i="52"/>
  <c r="GN178" i="52"/>
  <c r="GN72" i="52"/>
  <c r="GN45" i="52"/>
  <c r="FT179" i="52"/>
  <c r="FT73" i="52"/>
  <c r="FX32" i="52"/>
  <c r="EV33" i="52"/>
  <c r="GM173" i="52"/>
  <c r="GM66" i="52"/>
  <c r="GL178" i="52"/>
  <c r="GL45" i="52"/>
  <c r="GL72" i="52"/>
  <c r="FG167" i="52"/>
  <c r="FG32" i="52"/>
  <c r="GM167" i="52"/>
  <c r="GM59" i="52"/>
  <c r="FX168" i="52"/>
  <c r="FX60" i="52"/>
  <c r="FX33" i="52"/>
  <c r="FI172" i="52"/>
  <c r="FI12" i="52"/>
  <c r="FJ229" i="52" s="1"/>
  <c r="FI38" i="52"/>
  <c r="FI65" i="52"/>
  <c r="GO172" i="52"/>
  <c r="GO65" i="52"/>
  <c r="GO38" i="52"/>
  <c r="GO12" i="52"/>
  <c r="FH173" i="52"/>
  <c r="FH66" i="52"/>
  <c r="FH39" i="52"/>
  <c r="GN173" i="52"/>
  <c r="GN66" i="52"/>
  <c r="GN39" i="52"/>
  <c r="U4" i="52"/>
  <c r="ER167" i="52"/>
  <c r="ER59" i="52"/>
  <c r="ER32" i="52"/>
  <c r="FI167" i="52"/>
  <c r="FI59" i="52"/>
  <c r="FY167" i="52"/>
  <c r="FY59" i="52"/>
  <c r="HE167" i="52"/>
  <c r="HE59" i="52"/>
  <c r="HE32" i="52"/>
  <c r="ES168" i="52"/>
  <c r="ES33" i="52"/>
  <c r="ES60" i="52"/>
  <c r="FJ168" i="52"/>
  <c r="FJ60" i="52"/>
  <c r="FJ33" i="52"/>
  <c r="FZ168" i="52"/>
  <c r="FZ60" i="52"/>
  <c r="FZ33" i="52"/>
  <c r="GP168" i="52"/>
  <c r="GP60" i="52"/>
  <c r="GP33" i="52"/>
  <c r="HF168" i="52"/>
  <c r="HF60" i="52"/>
  <c r="N9" i="52"/>
  <c r="BG9" i="52"/>
  <c r="AA9" i="52" s="1"/>
  <c r="FQ12" i="52"/>
  <c r="FR229" i="52" s="1"/>
  <c r="GJ174" i="52"/>
  <c r="GJ67" i="52"/>
  <c r="GJ40" i="52"/>
  <c r="EQ177" i="52"/>
  <c r="EQ71" i="52"/>
  <c r="EQ44" i="52"/>
  <c r="EQ18" i="52"/>
  <c r="ER235" i="52" s="1"/>
  <c r="FG177" i="52"/>
  <c r="FG71" i="52"/>
  <c r="FG18" i="52"/>
  <c r="FH235" i="52" s="1"/>
  <c r="FW177" i="52"/>
  <c r="FW71" i="52"/>
  <c r="FW18" i="52"/>
  <c r="FX235" i="52" s="1"/>
  <c r="GM177" i="52"/>
  <c r="GM71" i="52"/>
  <c r="GM18" i="52"/>
  <c r="GN235" i="52" s="1"/>
  <c r="ES178" i="52"/>
  <c r="ES72" i="52"/>
  <c r="ES45" i="52"/>
  <c r="FI178" i="52"/>
  <c r="FI72" i="52"/>
  <c r="FI45" i="52"/>
  <c r="FY178" i="52"/>
  <c r="FY72" i="52"/>
  <c r="GO178" i="52"/>
  <c r="GO72" i="52"/>
  <c r="GO45" i="52"/>
  <c r="FY32" i="52"/>
  <c r="HA32" i="52"/>
  <c r="FH45" i="52"/>
  <c r="EN167" i="52"/>
  <c r="EN59" i="52"/>
  <c r="EQ169" i="52"/>
  <c r="EQ61" i="52"/>
  <c r="EQ34" i="52"/>
  <c r="HD172" i="52"/>
  <c r="HD65" i="52"/>
  <c r="HD38" i="52"/>
  <c r="ES167" i="52"/>
  <c r="ES59" i="52"/>
  <c r="FJ167" i="52"/>
  <c r="FJ59" i="52"/>
  <c r="FZ167" i="52"/>
  <c r="FZ59" i="52"/>
  <c r="GP167" i="52"/>
  <c r="GP59" i="52"/>
  <c r="GP32" i="52"/>
  <c r="HF167" i="52"/>
  <c r="HF59" i="52"/>
  <c r="HF32" i="52"/>
  <c r="ET168" i="52"/>
  <c r="ET60" i="52"/>
  <c r="ET33" i="52"/>
  <c r="FK168" i="52"/>
  <c r="FK60" i="52"/>
  <c r="FK33" i="52"/>
  <c r="GA168" i="52"/>
  <c r="GA60" i="52"/>
  <c r="GA33" i="52"/>
  <c r="GQ168" i="52"/>
  <c r="GQ60" i="52"/>
  <c r="P9" i="52"/>
  <c r="S9" i="52" s="1"/>
  <c r="EV172" i="52"/>
  <c r="EV65" i="52"/>
  <c r="EV38" i="52"/>
  <c r="FL172" i="52"/>
  <c r="FL65" i="52"/>
  <c r="FL38" i="52"/>
  <c r="GB172" i="52"/>
  <c r="GB65" i="52"/>
  <c r="GB38" i="52"/>
  <c r="GU172" i="52"/>
  <c r="GU65" i="52"/>
  <c r="EU173" i="52"/>
  <c r="EU66" i="52"/>
  <c r="EU39" i="52"/>
  <c r="FK173" i="52"/>
  <c r="FK66" i="52"/>
  <c r="FK39" i="52"/>
  <c r="GA173" i="52"/>
  <c r="GA66" i="52"/>
  <c r="GA39" i="52"/>
  <c r="GQ173" i="52"/>
  <c r="GQ66" i="52"/>
  <c r="GQ39" i="52"/>
  <c r="L12" i="52"/>
  <c r="GK67" i="52"/>
  <c r="GK40" i="52"/>
  <c r="ER177" i="52"/>
  <c r="ER71" i="52"/>
  <c r="FH177" i="52"/>
  <c r="FH71" i="52"/>
  <c r="FH44" i="52"/>
  <c r="FX177" i="52"/>
  <c r="FX71" i="52"/>
  <c r="FX44" i="52"/>
  <c r="GN177" i="52"/>
  <c r="GN71" i="52"/>
  <c r="GN44" i="52"/>
  <c r="ET178" i="52"/>
  <c r="ET72" i="52"/>
  <c r="ET45" i="52"/>
  <c r="FJ178" i="52"/>
  <c r="FJ72" i="52"/>
  <c r="FJ45" i="52"/>
  <c r="FZ178" i="52"/>
  <c r="FZ72" i="52"/>
  <c r="FZ45" i="52"/>
  <c r="GP178" i="52"/>
  <c r="GP72" i="52"/>
  <c r="FX18" i="52"/>
  <c r="FY235" i="52" s="1"/>
  <c r="FE32" i="52"/>
  <c r="FZ32" i="52"/>
  <c r="HB32" i="52"/>
  <c r="GQ33" i="52"/>
  <c r="FV167" i="52"/>
  <c r="FV59" i="52"/>
  <c r="FV32" i="52"/>
  <c r="GM168" i="52"/>
  <c r="GM60" i="52"/>
  <c r="GM33" i="52"/>
  <c r="ER172" i="52"/>
  <c r="ER65" i="52"/>
  <c r="ER38" i="52"/>
  <c r="ET167" i="52"/>
  <c r="ET59" i="52"/>
  <c r="FK167" i="52"/>
  <c r="FK59" i="52"/>
  <c r="GA167" i="52"/>
  <c r="GA59" i="52"/>
  <c r="GA32" i="52"/>
  <c r="GQ167" i="52"/>
  <c r="GQ59" i="52"/>
  <c r="GQ32" i="52"/>
  <c r="EU168" i="52"/>
  <c r="EU33" i="52"/>
  <c r="EU60" i="52"/>
  <c r="FL168" i="52"/>
  <c r="FL60" i="52"/>
  <c r="FL33" i="52"/>
  <c r="GB168" i="52"/>
  <c r="GB60" i="52"/>
  <c r="GU168" i="52"/>
  <c r="GU60" i="52"/>
  <c r="GU33" i="52"/>
  <c r="M6" i="52"/>
  <c r="M10" i="52"/>
  <c r="EW172" i="52"/>
  <c r="EW65" i="52"/>
  <c r="EW38" i="52"/>
  <c r="FM172" i="52"/>
  <c r="FM65" i="52"/>
  <c r="FM38" i="52"/>
  <c r="GF172" i="52"/>
  <c r="GF65" i="52"/>
  <c r="GW172" i="52"/>
  <c r="GW65" i="52"/>
  <c r="GW38" i="52"/>
  <c r="EV173" i="52"/>
  <c r="EV66" i="52"/>
  <c r="EV39" i="52"/>
  <c r="FL173" i="52"/>
  <c r="FL66" i="52"/>
  <c r="FL39" i="52"/>
  <c r="GB173" i="52"/>
  <c r="GB66" i="52"/>
  <c r="GB39" i="52"/>
  <c r="GU173" i="52"/>
  <c r="GU39" i="52"/>
  <c r="FT67" i="52"/>
  <c r="HD12" i="52"/>
  <c r="ES177" i="52"/>
  <c r="ES71" i="52"/>
  <c r="ES44" i="52"/>
  <c r="FI177" i="52"/>
  <c r="FI71" i="52"/>
  <c r="FI44" i="52"/>
  <c r="FY177" i="52"/>
  <c r="FY71" i="52"/>
  <c r="FY44" i="52"/>
  <c r="GO177" i="52"/>
  <c r="GO71" i="52"/>
  <c r="GO44" i="52"/>
  <c r="EU178" i="52"/>
  <c r="EU72" i="52"/>
  <c r="EU45" i="52"/>
  <c r="FK178" i="52"/>
  <c r="FK72" i="52"/>
  <c r="FK45" i="52"/>
  <c r="GA178" i="52"/>
  <c r="GA72" i="52"/>
  <c r="GA45" i="52"/>
  <c r="GQ178" i="52"/>
  <c r="GQ45" i="52"/>
  <c r="GQ72" i="52"/>
  <c r="FY18" i="52"/>
  <c r="HC32" i="52"/>
  <c r="GF38" i="52"/>
  <c r="ER44" i="52"/>
  <c r="FY45" i="52"/>
  <c r="FF167" i="52"/>
  <c r="FF59" i="52"/>
  <c r="FG168" i="52"/>
  <c r="FG60" i="52"/>
  <c r="HC168" i="52"/>
  <c r="HC60" i="52"/>
  <c r="HC33" i="52"/>
  <c r="HD61" i="52"/>
  <c r="FH172" i="52"/>
  <c r="FH65" i="52"/>
  <c r="FH38" i="52"/>
  <c r="FG173" i="52"/>
  <c r="FG66" i="52"/>
  <c r="FG39" i="52"/>
  <c r="FK174" i="52"/>
  <c r="FK67" i="52"/>
  <c r="FK40" i="52"/>
  <c r="EP178" i="52"/>
  <c r="EP72" i="52"/>
  <c r="EV168" i="52"/>
  <c r="EV60" i="52"/>
  <c r="FM168" i="52"/>
  <c r="FM60" i="52"/>
  <c r="GW168" i="52"/>
  <c r="GW60" i="52"/>
  <c r="GW33" i="52"/>
  <c r="EW169" i="52"/>
  <c r="EW61" i="52"/>
  <c r="EW34" i="52"/>
  <c r="FQ61" i="52"/>
  <c r="EX172" i="52"/>
  <c r="EX65" i="52"/>
  <c r="EX38" i="52"/>
  <c r="FQ172" i="52"/>
  <c r="FQ65" i="52"/>
  <c r="GH172" i="52"/>
  <c r="GH65" i="52"/>
  <c r="GH38" i="52"/>
  <c r="GX172" i="52"/>
  <c r="GX65" i="52"/>
  <c r="GX38" i="52"/>
  <c r="EW173" i="52"/>
  <c r="EW66" i="52"/>
  <c r="EW39" i="52"/>
  <c r="FM173" i="52"/>
  <c r="FM66" i="52"/>
  <c r="FM39" i="52"/>
  <c r="GF173" i="52"/>
  <c r="GF66" i="52"/>
  <c r="GF39" i="52"/>
  <c r="GW173" i="52"/>
  <c r="GW66" i="52"/>
  <c r="GW39" i="52"/>
  <c r="GM12" i="52"/>
  <c r="GN229" i="52" s="1"/>
  <c r="L30" i="52"/>
  <c r="BG17" i="52"/>
  <c r="AA17" i="52" s="1"/>
  <c r="BG16" i="52"/>
  <c r="AA16" i="52" s="1"/>
  <c r="AB14" i="52"/>
  <c r="AB9" i="52"/>
  <c r="ET177" i="52"/>
  <c r="ET71" i="52"/>
  <c r="ET44" i="52"/>
  <c r="FJ177" i="52"/>
  <c r="FJ71" i="52"/>
  <c r="FJ44" i="52"/>
  <c r="FZ177" i="52"/>
  <c r="FZ71" i="52"/>
  <c r="FZ44" i="52"/>
  <c r="GP177" i="52"/>
  <c r="GP71" i="52"/>
  <c r="GP44" i="52"/>
  <c r="EV178" i="52"/>
  <c r="EV72" i="52"/>
  <c r="EV45" i="52"/>
  <c r="FL178" i="52"/>
  <c r="FL72" i="52"/>
  <c r="FL45" i="52"/>
  <c r="GB178" i="52"/>
  <c r="GB45" i="52"/>
  <c r="GB72" i="52"/>
  <c r="FH18" i="52"/>
  <c r="FI235" i="52" s="1"/>
  <c r="FZ18" i="52"/>
  <c r="EN32" i="52"/>
  <c r="FH32" i="52"/>
  <c r="HD32" i="52"/>
  <c r="GL167" i="52"/>
  <c r="GL59" i="52"/>
  <c r="FW168" i="52"/>
  <c r="FW60" i="52"/>
  <c r="FW33" i="52"/>
  <c r="GN169" i="52"/>
  <c r="HC173" i="52"/>
  <c r="HC66" i="52"/>
  <c r="HC39" i="52"/>
  <c r="GF174" i="52"/>
  <c r="GF67" i="52"/>
  <c r="GF40" i="52"/>
  <c r="FF178" i="52"/>
  <c r="FF72" i="52"/>
  <c r="FF45" i="52"/>
  <c r="GB167" i="52"/>
  <c r="GB59" i="52"/>
  <c r="GB32" i="52"/>
  <c r="N3" i="52"/>
  <c r="M4" i="52"/>
  <c r="EV167" i="52"/>
  <c r="EV59" i="52"/>
  <c r="FM167" i="52"/>
  <c r="FM59" i="52"/>
  <c r="FM32" i="52"/>
  <c r="GF167" i="52"/>
  <c r="GF59" i="52"/>
  <c r="GF32" i="52"/>
  <c r="GW167" i="52"/>
  <c r="GW59" i="52"/>
  <c r="GW32" i="52"/>
  <c r="N5" i="52"/>
  <c r="EW168" i="52"/>
  <c r="EW60" i="52"/>
  <c r="EW33" i="52"/>
  <c r="FQ168" i="52"/>
  <c r="FQ60" i="52"/>
  <c r="FQ33" i="52"/>
  <c r="GH168" i="52"/>
  <c r="GH60" i="52"/>
  <c r="GH33" i="52"/>
  <c r="GX168" i="52"/>
  <c r="GX60" i="52"/>
  <c r="GX33" i="52"/>
  <c r="AB6" i="52"/>
  <c r="EX169" i="52"/>
  <c r="EX61" i="52"/>
  <c r="EX34" i="52"/>
  <c r="GI169" i="52"/>
  <c r="GI61" i="52"/>
  <c r="GI34" i="52"/>
  <c r="BG7" i="52"/>
  <c r="AA7" i="52" s="1"/>
  <c r="AB10" i="52"/>
  <c r="FB172" i="52"/>
  <c r="FB65" i="52"/>
  <c r="FS172" i="52"/>
  <c r="FS65" i="52"/>
  <c r="FS38" i="52"/>
  <c r="GI172" i="52"/>
  <c r="GI65" i="52"/>
  <c r="GI38" i="52"/>
  <c r="GY172" i="52"/>
  <c r="GY65" i="52"/>
  <c r="GY38" i="52"/>
  <c r="EX173" i="52"/>
  <c r="EX66" i="52"/>
  <c r="EX39" i="52"/>
  <c r="FQ173" i="52"/>
  <c r="FQ66" i="52"/>
  <c r="FQ39" i="52"/>
  <c r="GH173" i="52"/>
  <c r="GH66" i="52"/>
  <c r="GH39" i="52"/>
  <c r="GX173" i="52"/>
  <c r="GX66" i="52"/>
  <c r="GX39" i="52"/>
  <c r="AB12" i="52"/>
  <c r="FD67" i="52"/>
  <c r="AB15" i="52"/>
  <c r="EU177" i="52"/>
  <c r="EU71" i="52"/>
  <c r="EU44" i="52"/>
  <c r="FK177" i="52"/>
  <c r="FK71" i="52"/>
  <c r="FK44" i="52"/>
  <c r="GA177" i="52"/>
  <c r="GA71" i="52"/>
  <c r="GA44" i="52"/>
  <c r="GQ177" i="52"/>
  <c r="GQ44" i="52"/>
  <c r="GQ71" i="52"/>
  <c r="EW178" i="52"/>
  <c r="EW72" i="52"/>
  <c r="EW45" i="52"/>
  <c r="FM178" i="52"/>
  <c r="FM45" i="52"/>
  <c r="FM72" i="52"/>
  <c r="GF178" i="52"/>
  <c r="GF72" i="52"/>
  <c r="GF45" i="52"/>
  <c r="M18" i="52"/>
  <c r="FI18" i="52"/>
  <c r="FJ235" i="52" s="1"/>
  <c r="GA18" i="52"/>
  <c r="M19" i="52"/>
  <c r="P20" i="52"/>
  <c r="S20" i="52" s="1"/>
  <c r="N20" i="52"/>
  <c r="FI32" i="52"/>
  <c r="GJ32" i="52"/>
  <c r="FG33" i="52"/>
  <c r="FY34" i="52"/>
  <c r="GU38" i="52"/>
  <c r="FG44" i="52"/>
  <c r="GP45" i="52"/>
  <c r="FV178" i="52"/>
  <c r="FV72" i="52"/>
  <c r="FV45" i="52"/>
  <c r="EU167" i="52"/>
  <c r="EU59" i="52"/>
  <c r="GU167" i="52"/>
  <c r="GU59" i="52"/>
  <c r="GU32" i="52"/>
  <c r="O3" i="52"/>
  <c r="U3" i="52" s="1"/>
  <c r="N4" i="52"/>
  <c r="EW167" i="52"/>
  <c r="EW59" i="52"/>
  <c r="EW32" i="52"/>
  <c r="FQ167" i="52"/>
  <c r="FQ59" i="52"/>
  <c r="FQ32" i="52"/>
  <c r="GH167" i="52"/>
  <c r="GH59" i="52"/>
  <c r="GH32" i="52"/>
  <c r="GX167" i="52"/>
  <c r="GX59" i="52"/>
  <c r="AB5" i="52"/>
  <c r="EX168" i="52"/>
  <c r="EX60" i="52"/>
  <c r="FS168" i="52"/>
  <c r="FS60" i="52"/>
  <c r="FS33" i="52"/>
  <c r="GI168" i="52"/>
  <c r="GI60" i="52"/>
  <c r="GI33" i="52"/>
  <c r="GY168" i="52"/>
  <c r="GY60" i="52"/>
  <c r="BG6" i="52"/>
  <c r="AA6" i="52" s="1"/>
  <c r="BG10" i="52"/>
  <c r="AA10" i="52" s="1"/>
  <c r="FD172" i="52"/>
  <c r="FD65" i="52"/>
  <c r="FD38" i="52"/>
  <c r="FT172" i="52"/>
  <c r="FT65" i="52"/>
  <c r="FT38" i="52"/>
  <c r="GJ172" i="52"/>
  <c r="GJ65" i="52"/>
  <c r="GJ38" i="52"/>
  <c r="GZ172" i="52"/>
  <c r="GZ65" i="52"/>
  <c r="GZ38" i="52"/>
  <c r="FB173" i="52"/>
  <c r="FB66" i="52"/>
  <c r="FB39" i="52"/>
  <c r="FS173" i="52"/>
  <c r="FS66" i="52"/>
  <c r="FS39" i="52"/>
  <c r="GI173" i="52"/>
  <c r="GI66" i="52"/>
  <c r="GI39" i="52"/>
  <c r="GY173" i="52"/>
  <c r="GY66" i="52"/>
  <c r="GY39" i="52"/>
  <c r="GQ12" i="52"/>
  <c r="BG15" i="52"/>
  <c r="AA15" i="52" s="1"/>
  <c r="EV177" i="52"/>
  <c r="EV71" i="52"/>
  <c r="EV44" i="52"/>
  <c r="FL177" i="52"/>
  <c r="FL71" i="52"/>
  <c r="FL44" i="52"/>
  <c r="GB177" i="52"/>
  <c r="GB44" i="52"/>
  <c r="GB71" i="52"/>
  <c r="EX178" i="52"/>
  <c r="EX45" i="52"/>
  <c r="EX72" i="52"/>
  <c r="FQ178" i="52"/>
  <c r="FQ72" i="52"/>
  <c r="FQ45" i="52"/>
  <c r="GH178" i="52"/>
  <c r="GH72" i="52"/>
  <c r="GH45" i="52"/>
  <c r="N18" i="52"/>
  <c r="ER18" i="52"/>
  <c r="ES235" i="52" s="1"/>
  <c r="FJ18" i="52"/>
  <c r="GB18" i="52"/>
  <c r="N19" i="52"/>
  <c r="M20" i="52"/>
  <c r="Q28" i="52"/>
  <c r="EP32" i="52"/>
  <c r="FJ32" i="52"/>
  <c r="GL32" i="52"/>
  <c r="FM33" i="52"/>
  <c r="HF33" i="52"/>
  <c r="GN172" i="52"/>
  <c r="GN65" i="52"/>
  <c r="GN38" i="52"/>
  <c r="FW173" i="52"/>
  <c r="FW66" i="52"/>
  <c r="FW39" i="52"/>
  <c r="FQ179" i="52"/>
  <c r="FQ46" i="52"/>
  <c r="FQ73" i="52"/>
  <c r="M3" i="52"/>
  <c r="AB4" i="52"/>
  <c r="EX167" i="52"/>
  <c r="EX59" i="52"/>
  <c r="EX32" i="52"/>
  <c r="FS167" i="52"/>
  <c r="FS59" i="52"/>
  <c r="FS32" i="52"/>
  <c r="GI167" i="52"/>
  <c r="GI59" i="52"/>
  <c r="GY167" i="52"/>
  <c r="GY59" i="52"/>
  <c r="BG5" i="52"/>
  <c r="AA5" i="52" s="1"/>
  <c r="FB168" i="52"/>
  <c r="FB60" i="52"/>
  <c r="FB33" i="52"/>
  <c r="FT168" i="52"/>
  <c r="FT60" i="52"/>
  <c r="FT33" i="52"/>
  <c r="GJ168" i="52"/>
  <c r="GJ60" i="52"/>
  <c r="GZ168" i="52"/>
  <c r="GZ60" i="52"/>
  <c r="EM172" i="52"/>
  <c r="EM65" i="52"/>
  <c r="FE172" i="52"/>
  <c r="FE65" i="52"/>
  <c r="FE38" i="52"/>
  <c r="FU172" i="52"/>
  <c r="FU65" i="52"/>
  <c r="FU38" i="52"/>
  <c r="GK172" i="52"/>
  <c r="GK65" i="52"/>
  <c r="GK38" i="52"/>
  <c r="HA172" i="52"/>
  <c r="HA65" i="52"/>
  <c r="HA38" i="52"/>
  <c r="BG11" i="52"/>
  <c r="AA11" i="52" s="1"/>
  <c r="FD173" i="52"/>
  <c r="FD66" i="52"/>
  <c r="FD39" i="52"/>
  <c r="FT173" i="52"/>
  <c r="FT66" i="52"/>
  <c r="FT39" i="52"/>
  <c r="GJ173" i="52"/>
  <c r="GJ66" i="52"/>
  <c r="GJ39" i="52"/>
  <c r="GZ173" i="52"/>
  <c r="GZ66" i="52"/>
  <c r="GZ39" i="52"/>
  <c r="BG12" i="52"/>
  <c r="AA12" i="52" s="1"/>
  <c r="FX12" i="52"/>
  <c r="FY229" i="52" s="1"/>
  <c r="GU12" i="52"/>
  <c r="GV229" i="52" s="1"/>
  <c r="W287" i="52" s="1"/>
  <c r="O300" i="52" s="1"/>
  <c r="T300" i="52" s="1"/>
  <c r="AB13" i="52"/>
  <c r="EW177" i="52"/>
  <c r="EW71" i="52"/>
  <c r="EW44" i="52"/>
  <c r="FM177" i="52"/>
  <c r="FM44" i="52"/>
  <c r="FM71" i="52"/>
  <c r="GF177" i="52"/>
  <c r="GF71" i="52"/>
  <c r="GF44" i="52"/>
  <c r="AB17" i="52"/>
  <c r="FB178" i="52"/>
  <c r="FB72" i="52"/>
  <c r="FB45" i="52"/>
  <c r="FS178" i="52"/>
  <c r="FS72" i="52"/>
  <c r="FS45" i="52"/>
  <c r="GI178" i="52"/>
  <c r="GI72" i="52"/>
  <c r="GI45" i="52"/>
  <c r="Q18" i="52"/>
  <c r="O20" i="52"/>
  <c r="ES18" i="52"/>
  <c r="ET235" i="52" s="1"/>
  <c r="FK18" i="52"/>
  <c r="GF18" i="52"/>
  <c r="GG235" i="52" s="1"/>
  <c r="EQ32" i="52"/>
  <c r="FK32" i="52"/>
  <c r="GM32" i="52"/>
  <c r="P39" i="52"/>
  <c r="S39" i="52" s="1"/>
  <c r="O39" i="52"/>
  <c r="U39" i="52" s="1"/>
  <c r="N39" i="52"/>
  <c r="M39" i="52"/>
  <c r="FW44" i="52"/>
  <c r="EP168" i="52"/>
  <c r="EP60" i="52"/>
  <c r="EP33" i="52"/>
  <c r="FH169" i="52"/>
  <c r="FH61" i="52"/>
  <c r="FH34" i="52"/>
  <c r="EQ173" i="52"/>
  <c r="EQ66" i="52"/>
  <c r="EQ39" i="52"/>
  <c r="EQ12" i="52"/>
  <c r="ER229" i="52" s="1"/>
  <c r="GY174" i="52"/>
  <c r="GY67" i="52"/>
  <c r="GY40" i="52"/>
  <c r="GF168" i="52"/>
  <c r="GF60" i="52"/>
  <c r="GF33" i="52"/>
  <c r="GX169" i="52"/>
  <c r="GX61" i="52"/>
  <c r="GX34" i="52"/>
  <c r="BG4" i="52"/>
  <c r="AA4" i="52" s="1"/>
  <c r="FB167" i="52"/>
  <c r="FB59" i="52"/>
  <c r="FB32" i="52"/>
  <c r="FT167" i="52"/>
  <c r="FT59" i="52"/>
  <c r="GJ167" i="52"/>
  <c r="GJ59" i="52"/>
  <c r="GZ167" i="52"/>
  <c r="GZ59" i="52"/>
  <c r="GZ32" i="52"/>
  <c r="EM168" i="52"/>
  <c r="EM60" i="52"/>
  <c r="EM33" i="52"/>
  <c r="FE168" i="52"/>
  <c r="FE60" i="52"/>
  <c r="FE33" i="52"/>
  <c r="FU168" i="52"/>
  <c r="FU60" i="52"/>
  <c r="GK168" i="52"/>
  <c r="GK60" i="52"/>
  <c r="HA168" i="52"/>
  <c r="HA33" i="52"/>
  <c r="HA60" i="52"/>
  <c r="EN6" i="52"/>
  <c r="EO223" i="52" s="1"/>
  <c r="FF6" i="52"/>
  <c r="FG223" i="52" s="1"/>
  <c r="FV6" i="52"/>
  <c r="FW223" i="52" s="1"/>
  <c r="GL6" i="52"/>
  <c r="GM223" i="52" s="1"/>
  <c r="EP172" i="52"/>
  <c r="EP65" i="52"/>
  <c r="EP38" i="52"/>
  <c r="FF172" i="52"/>
  <c r="FF65" i="52"/>
  <c r="FF38" i="52"/>
  <c r="FV172" i="52"/>
  <c r="FV65" i="52"/>
  <c r="FV38" i="52"/>
  <c r="GL172" i="52"/>
  <c r="GL65" i="52"/>
  <c r="GL38" i="52"/>
  <c r="HB172" i="52"/>
  <c r="HB65" i="52"/>
  <c r="HB38" i="52"/>
  <c r="EM173" i="52"/>
  <c r="EM39" i="52"/>
  <c r="EM66" i="52"/>
  <c r="FE173" i="52"/>
  <c r="FE66" i="52"/>
  <c r="FE39" i="52"/>
  <c r="FU173" i="52"/>
  <c r="FU66" i="52"/>
  <c r="FU39" i="52"/>
  <c r="GK173" i="52"/>
  <c r="GK66" i="52"/>
  <c r="GK39" i="52"/>
  <c r="HA173" i="52"/>
  <c r="HA66" i="52"/>
  <c r="HA39" i="52"/>
  <c r="EM12" i="52"/>
  <c r="EN229" i="52" s="1"/>
  <c r="GA12" i="52"/>
  <c r="GW12" i="52"/>
  <c r="GX229" i="52" s="1"/>
  <c r="AB16" i="52"/>
  <c r="EX177" i="52"/>
  <c r="EX71" i="52"/>
  <c r="EX44" i="52"/>
  <c r="FQ177" i="52"/>
  <c r="FQ71" i="52"/>
  <c r="FQ44" i="52"/>
  <c r="GH177" i="52"/>
  <c r="GH71" i="52"/>
  <c r="GH44" i="52"/>
  <c r="ET18" i="52"/>
  <c r="EU235" i="52" s="1"/>
  <c r="FL18" i="52"/>
  <c r="GH18" i="52"/>
  <c r="GI235" i="52" s="1"/>
  <c r="ES32" i="52"/>
  <c r="GN32" i="52"/>
  <c r="FU33" i="52"/>
  <c r="EM38" i="52"/>
  <c r="FT46" i="52"/>
  <c r="FG59" i="52"/>
  <c r="HB167" i="52"/>
  <c r="HB59" i="52"/>
  <c r="FX169" i="52"/>
  <c r="FX61" i="52"/>
  <c r="FX34" i="52"/>
  <c r="FL167" i="52"/>
  <c r="FL59" i="52"/>
  <c r="FL32" i="52"/>
  <c r="EM167" i="52"/>
  <c r="EM59" i="52"/>
  <c r="EM32" i="52"/>
  <c r="FE167" i="52"/>
  <c r="FE59" i="52"/>
  <c r="FU167" i="52"/>
  <c r="FU59" i="52"/>
  <c r="GK167" i="52"/>
  <c r="GK59" i="52"/>
  <c r="GK32" i="52"/>
  <c r="HA167" i="52"/>
  <c r="HA59" i="52"/>
  <c r="EN168" i="52"/>
  <c r="EN60" i="52"/>
  <c r="EN33" i="52"/>
  <c r="FF168" i="52"/>
  <c r="FF60" i="52"/>
  <c r="FV168" i="52"/>
  <c r="FV60" i="52"/>
  <c r="GL168" i="52"/>
  <c r="GL33" i="52"/>
  <c r="HB168" i="52"/>
  <c r="HB60" i="52"/>
  <c r="HB33" i="52"/>
  <c r="EP6" i="52"/>
  <c r="EQ223" i="52" s="1"/>
  <c r="FG6" i="52"/>
  <c r="FH223" i="52" s="1"/>
  <c r="FW6" i="52"/>
  <c r="FX223" i="52" s="1"/>
  <c r="GM6" i="52"/>
  <c r="GN223" i="52" s="1"/>
  <c r="HC6" i="52"/>
  <c r="AB8" i="52"/>
  <c r="EQ172" i="52"/>
  <c r="EQ65" i="52"/>
  <c r="EQ38" i="52"/>
  <c r="FG172" i="52"/>
  <c r="FG65" i="52"/>
  <c r="FG38" i="52"/>
  <c r="FW172" i="52"/>
  <c r="FW65" i="52"/>
  <c r="FW38" i="52"/>
  <c r="GM172" i="52"/>
  <c r="GM65" i="52"/>
  <c r="GM38" i="52"/>
  <c r="HC172" i="52"/>
  <c r="HC65" i="52"/>
  <c r="HC38" i="52"/>
  <c r="EP173" i="52"/>
  <c r="EP66" i="52"/>
  <c r="EP39" i="52"/>
  <c r="FF173" i="52"/>
  <c r="FF66" i="52"/>
  <c r="FF39" i="52"/>
  <c r="FV173" i="52"/>
  <c r="FV66" i="52"/>
  <c r="FV39" i="52"/>
  <c r="GL173" i="52"/>
  <c r="GL66" i="52"/>
  <c r="GL39" i="52"/>
  <c r="HB173" i="52"/>
  <c r="HB66" i="52"/>
  <c r="EP12" i="52"/>
  <c r="EQ229" i="52" s="1"/>
  <c r="FH12" i="52"/>
  <c r="FI229" i="52" s="1"/>
  <c r="GB12" i="52"/>
  <c r="GX12" i="52"/>
  <c r="GY229" i="52" s="1"/>
  <c r="BG13" i="52"/>
  <c r="AA13" i="52" s="1"/>
  <c r="FB177" i="52"/>
  <c r="FB71" i="52"/>
  <c r="FB44" i="52"/>
  <c r="FS177" i="52"/>
  <c r="FS71" i="52"/>
  <c r="FS44" i="52"/>
  <c r="GI177" i="52"/>
  <c r="GI71" i="52"/>
  <c r="GI44" i="52"/>
  <c r="EU18" i="52"/>
  <c r="FM18" i="52"/>
  <c r="GI18" i="52"/>
  <c r="GJ235" i="52" s="1"/>
  <c r="ET32" i="52"/>
  <c r="FT32" i="52"/>
  <c r="GO32" i="52"/>
  <c r="FV33" i="52"/>
  <c r="FX39" i="52"/>
  <c r="GM44" i="52"/>
  <c r="BG45" i="52"/>
  <c r="AA48" i="52" s="1"/>
  <c r="AB47" i="52"/>
  <c r="T63" i="52"/>
  <c r="Q63" i="52"/>
  <c r="O49" i="52"/>
  <c r="P41" i="52"/>
  <c r="S41" i="52" s="1"/>
  <c r="BG41" i="52"/>
  <c r="AA44" i="52" s="1"/>
  <c r="L44" i="52"/>
  <c r="N52" i="52"/>
  <c r="ET65" i="52"/>
  <c r="P67" i="52"/>
  <c r="S67" i="52" s="1"/>
  <c r="O67" i="52"/>
  <c r="U67" i="52" s="1"/>
  <c r="N67" i="52"/>
  <c r="M67" i="52"/>
  <c r="L42" i="52"/>
  <c r="AB46" i="52"/>
  <c r="U83" i="52"/>
  <c r="T92" i="52"/>
  <c r="U92" i="52"/>
  <c r="Q92" i="52"/>
  <c r="O47" i="52"/>
  <c r="EV88" i="52"/>
  <c r="EV190" i="52"/>
  <c r="EV114" i="52"/>
  <c r="FH190" i="52"/>
  <c r="FH114" i="52"/>
  <c r="FH88" i="52"/>
  <c r="FH191" i="52" s="1"/>
  <c r="FY114" i="52"/>
  <c r="FY190" i="52"/>
  <c r="FY88" i="52"/>
  <c r="FY191" i="52" s="1"/>
  <c r="EV198" i="52"/>
  <c r="EV120" i="52"/>
  <c r="FH198" i="52"/>
  <c r="FH120" i="52"/>
  <c r="FY198" i="52"/>
  <c r="AA241" i="52" s="1"/>
  <c r="FY120" i="52"/>
  <c r="M51" i="52"/>
  <c r="L94" i="52"/>
  <c r="BG75" i="52"/>
  <c r="AA75" i="52" s="1"/>
  <c r="AB71" i="52"/>
  <c r="BG66" i="52"/>
  <c r="AA66" i="52" s="1"/>
  <c r="BG77" i="52"/>
  <c r="AA77" i="52" s="1"/>
  <c r="AB75" i="52"/>
  <c r="AB66" i="52"/>
  <c r="AB77" i="52"/>
  <c r="BG68" i="52"/>
  <c r="AA68" i="52" s="1"/>
  <c r="BG73" i="52"/>
  <c r="AA73" i="52" s="1"/>
  <c r="AB68" i="52"/>
  <c r="BG64" i="52"/>
  <c r="AA64" i="52" s="1"/>
  <c r="BG74" i="52"/>
  <c r="AA74" i="52" s="1"/>
  <c r="AB73" i="52"/>
  <c r="BG70" i="52"/>
  <c r="AA70" i="52" s="1"/>
  <c r="AB64" i="52"/>
  <c r="AB74" i="52"/>
  <c r="AB70" i="52"/>
  <c r="BG72" i="52"/>
  <c r="AA72" i="52" s="1"/>
  <c r="BG76" i="52"/>
  <c r="AA76" i="52" s="1"/>
  <c r="AB72" i="52"/>
  <c r="BG67" i="52"/>
  <c r="AA67" i="52" s="1"/>
  <c r="BG65" i="52"/>
  <c r="AA65" i="52" s="1"/>
  <c r="AB76" i="52"/>
  <c r="AB67" i="52"/>
  <c r="AB65" i="52"/>
  <c r="BG63" i="52"/>
  <c r="AA63" i="52" s="1"/>
  <c r="BG69" i="52"/>
  <c r="AA69" i="52" s="1"/>
  <c r="AB63" i="52"/>
  <c r="BG78" i="52"/>
  <c r="AA78" i="52" s="1"/>
  <c r="L76" i="52"/>
  <c r="AB69" i="52"/>
  <c r="EQ197" i="52"/>
  <c r="EQ96" i="52"/>
  <c r="EQ119" i="52"/>
  <c r="FC197" i="52"/>
  <c r="FC119" i="52"/>
  <c r="FC96" i="52"/>
  <c r="FC199" i="52" s="1"/>
  <c r="FS197" i="52"/>
  <c r="FS119" i="52"/>
  <c r="FS96" i="52"/>
  <c r="GE197" i="52"/>
  <c r="GE119" i="52"/>
  <c r="GE96" i="52"/>
  <c r="GE199" i="52" s="1"/>
  <c r="EM179" i="52"/>
  <c r="EM46" i="52"/>
  <c r="EM73" i="52"/>
  <c r="FU179" i="52"/>
  <c r="FU73" i="52"/>
  <c r="GK179" i="52"/>
  <c r="GK73" i="52"/>
  <c r="T28" i="52"/>
  <c r="O35" i="52"/>
  <c r="U35" i="52" s="1"/>
  <c r="ET38" i="52"/>
  <c r="BG42" i="52"/>
  <c r="AA45" i="52" s="1"/>
  <c r="AB48" i="52"/>
  <c r="N50" i="52"/>
  <c r="N51" i="52"/>
  <c r="AB78" i="52"/>
  <c r="FJ172" i="52"/>
  <c r="FJ65" i="52"/>
  <c r="FZ172" i="52"/>
  <c r="FZ65" i="52"/>
  <c r="GP172" i="52"/>
  <c r="GP65" i="52"/>
  <c r="HF172" i="52"/>
  <c r="HF65" i="52"/>
  <c r="ES173" i="52"/>
  <c r="ES66" i="52"/>
  <c r="FI173" i="52"/>
  <c r="FI66" i="52"/>
  <c r="FY173" i="52"/>
  <c r="FY66" i="52"/>
  <c r="GO173" i="52"/>
  <c r="GO66" i="52"/>
  <c r="HE173" i="52"/>
  <c r="HE66" i="52"/>
  <c r="FD177" i="52"/>
  <c r="FD71" i="52"/>
  <c r="FT177" i="52"/>
  <c r="FT71" i="52"/>
  <c r="GJ177" i="52"/>
  <c r="GJ71" i="52"/>
  <c r="FD178" i="52"/>
  <c r="FD72" i="52"/>
  <c r="FT178" i="52"/>
  <c r="FT72" i="52"/>
  <c r="GJ178" i="52"/>
  <c r="GJ72" i="52"/>
  <c r="BG35" i="52"/>
  <c r="AA38" i="52" s="1"/>
  <c r="M38" i="52"/>
  <c r="FJ38" i="52"/>
  <c r="AB40" i="52"/>
  <c r="L43" i="52"/>
  <c r="AB45" i="52"/>
  <c r="FT45" i="52"/>
  <c r="O57" i="52"/>
  <c r="S60" i="52"/>
  <c r="T60" i="52" s="1"/>
  <c r="Q60" i="52"/>
  <c r="L62" i="52"/>
  <c r="EU172" i="52"/>
  <c r="EU65" i="52"/>
  <c r="FK172" i="52"/>
  <c r="FK65" i="52"/>
  <c r="GA172" i="52"/>
  <c r="GA65" i="52"/>
  <c r="GQ172" i="52"/>
  <c r="GQ65" i="52"/>
  <c r="ET173" i="52"/>
  <c r="ET66" i="52"/>
  <c r="FJ173" i="52"/>
  <c r="FJ66" i="52"/>
  <c r="FZ173" i="52"/>
  <c r="FZ66" i="52"/>
  <c r="GP173" i="52"/>
  <c r="GP66" i="52"/>
  <c r="HF173" i="52"/>
  <c r="HF66" i="52"/>
  <c r="ET12" i="52"/>
  <c r="EU229" i="52" s="1"/>
  <c r="FJ12" i="52"/>
  <c r="FZ12" i="52"/>
  <c r="GP12" i="52"/>
  <c r="HF12" i="52"/>
  <c r="EM177" i="52"/>
  <c r="EM71" i="52"/>
  <c r="FE177" i="52"/>
  <c r="FE71" i="52"/>
  <c r="FU177" i="52"/>
  <c r="FU71" i="52"/>
  <c r="GK177" i="52"/>
  <c r="GK71" i="52"/>
  <c r="EM178" i="52"/>
  <c r="EM72" i="52"/>
  <c r="FE178" i="52"/>
  <c r="FE72" i="52"/>
  <c r="FU178" i="52"/>
  <c r="FU72" i="52"/>
  <c r="GK178" i="52"/>
  <c r="GK72" i="52"/>
  <c r="GK45" i="52"/>
  <c r="N38" i="52"/>
  <c r="FK38" i="52"/>
  <c r="FZ38" i="52"/>
  <c r="BG40" i="52"/>
  <c r="AA43" i="52" s="1"/>
  <c r="FD44" i="52"/>
  <c r="FT44" i="52"/>
  <c r="GJ44" i="52"/>
  <c r="EM45" i="52"/>
  <c r="FD45" i="52"/>
  <c r="FU45" i="52"/>
  <c r="P50" i="52"/>
  <c r="S50" i="52" s="1"/>
  <c r="T50" i="52" s="1"/>
  <c r="P51" i="52"/>
  <c r="S51" i="52" s="1"/>
  <c r="T51" i="52" s="1"/>
  <c r="O78" i="52"/>
  <c r="EO189" i="52"/>
  <c r="EO113" i="52"/>
  <c r="FA189" i="52"/>
  <c r="FA113" i="52"/>
  <c r="FA88" i="52"/>
  <c r="FA191" i="52" s="1"/>
  <c r="EF192" i="52" s="1"/>
  <c r="FQ189" i="52"/>
  <c r="FQ113" i="52"/>
  <c r="FQ88" i="52"/>
  <c r="GC189" i="52"/>
  <c r="GC113" i="52"/>
  <c r="GC88" i="52"/>
  <c r="GC191" i="52" s="1"/>
  <c r="GA38" i="52"/>
  <c r="GP38" i="52"/>
  <c r="FE44" i="52"/>
  <c r="FU44" i="52"/>
  <c r="GK44" i="52"/>
  <c r="FE45" i="52"/>
  <c r="O79" i="52"/>
  <c r="GQ38" i="52"/>
  <c r="HF38" i="52"/>
  <c r="ES39" i="52"/>
  <c r="M41" i="52"/>
  <c r="AB43" i="52"/>
  <c r="GK46" i="52"/>
  <c r="P83" i="52"/>
  <c r="S83" i="52" s="1"/>
  <c r="T83" i="52" s="1"/>
  <c r="EP189" i="52"/>
  <c r="EP88" i="52"/>
  <c r="EP113" i="52"/>
  <c r="FB189" i="52"/>
  <c r="FB88" i="52"/>
  <c r="FB191" i="52" s="1"/>
  <c r="EG192" i="52" s="1"/>
  <c r="FB113" i="52"/>
  <c r="ER197" i="52"/>
  <c r="ER119" i="52"/>
  <c r="GF197" i="52"/>
  <c r="GF119" i="52"/>
  <c r="GA190" i="52"/>
  <c r="GA114" i="52"/>
  <c r="EX198" i="52"/>
  <c r="EX120" i="52"/>
  <c r="FM198" i="52"/>
  <c r="FM120" i="52"/>
  <c r="GA198" i="52"/>
  <c r="GA120" i="52"/>
  <c r="FF113" i="52"/>
  <c r="EU114" i="52"/>
  <c r="GC120" i="52"/>
  <c r="O86" i="52"/>
  <c r="ER189" i="52"/>
  <c r="ER113" i="52"/>
  <c r="FD189" i="52"/>
  <c r="FD113" i="52"/>
  <c r="FT189" i="52"/>
  <c r="FT113" i="52"/>
  <c r="GF189" i="52"/>
  <c r="GF113" i="52"/>
  <c r="EY190" i="52"/>
  <c r="EY114" i="52"/>
  <c r="FP190" i="52"/>
  <c r="FP114" i="52"/>
  <c r="GB190" i="52"/>
  <c r="GB114" i="52"/>
  <c r="O89" i="52"/>
  <c r="ET197" i="52"/>
  <c r="ET119" i="52"/>
  <c r="FF197" i="52"/>
  <c r="FF119" i="52"/>
  <c r="FV197" i="52"/>
  <c r="FV96" i="52"/>
  <c r="FV119" i="52"/>
  <c r="GH197" i="52"/>
  <c r="GH96" i="52"/>
  <c r="GH199" i="52" s="1"/>
  <c r="FP198" i="52"/>
  <c r="FP120" i="52"/>
  <c r="GB198" i="52"/>
  <c r="GB120" i="52"/>
  <c r="P103" i="52"/>
  <c r="S103" i="52" s="1"/>
  <c r="O103" i="52"/>
  <c r="U103" i="52" s="1"/>
  <c r="N103" i="52"/>
  <c r="M103" i="52"/>
  <c r="EX114" i="52"/>
  <c r="GF120" i="52"/>
  <c r="M70" i="52"/>
  <c r="ES189" i="52"/>
  <c r="ES113" i="52"/>
  <c r="FE189" i="52"/>
  <c r="FE113" i="52"/>
  <c r="EM190" i="52"/>
  <c r="EM114" i="52"/>
  <c r="EZ190" i="52"/>
  <c r="EZ114" i="52"/>
  <c r="FQ190" i="52"/>
  <c r="FQ114" i="52"/>
  <c r="GC190" i="52"/>
  <c r="GC114" i="52"/>
  <c r="EU197" i="52"/>
  <c r="EU119" i="52"/>
  <c r="FG197" i="52"/>
  <c r="FG119" i="52"/>
  <c r="FW197" i="52"/>
  <c r="FW119" i="52"/>
  <c r="GI197" i="52"/>
  <c r="GI119" i="52"/>
  <c r="EZ198" i="52"/>
  <c r="EZ120" i="52"/>
  <c r="FQ198" i="52"/>
  <c r="FQ120" i="52"/>
  <c r="O112" i="52"/>
  <c r="FR113" i="52"/>
  <c r="N70" i="52"/>
  <c r="FV189" i="52"/>
  <c r="FV113" i="52"/>
  <c r="GH189" i="52"/>
  <c r="GH113" i="52"/>
  <c r="EN190" i="52"/>
  <c r="EN114" i="52"/>
  <c r="FA190" i="52"/>
  <c r="FA114" i="52"/>
  <c r="FR190" i="52"/>
  <c r="FR114" i="52"/>
  <c r="GD190" i="52"/>
  <c r="GD114" i="52"/>
  <c r="EV197" i="52"/>
  <c r="EV119" i="52"/>
  <c r="EV96" i="52"/>
  <c r="FH197" i="52"/>
  <c r="FH119" i="52"/>
  <c r="FH96" i="52"/>
  <c r="FH199" i="52" s="1"/>
  <c r="FX197" i="52"/>
  <c r="FX119" i="52"/>
  <c r="FD96" i="52"/>
  <c r="FD199" i="52" s="1"/>
  <c r="GC96" i="52"/>
  <c r="GC199" i="52" s="1"/>
  <c r="N100" i="52"/>
  <c r="U100" i="52"/>
  <c r="FU113" i="52"/>
  <c r="FM114" i="52"/>
  <c r="EU189" i="52"/>
  <c r="EU113" i="52"/>
  <c r="FG189" i="52"/>
  <c r="FG113" i="52"/>
  <c r="FW189" i="52"/>
  <c r="FW113" i="52"/>
  <c r="GI189" i="52"/>
  <c r="GI113" i="52"/>
  <c r="EP190" i="52"/>
  <c r="EP114" i="52"/>
  <c r="FB190" i="52"/>
  <c r="FB114" i="52"/>
  <c r="FS190" i="52"/>
  <c r="FS114" i="52"/>
  <c r="GE190" i="52"/>
  <c r="GE114" i="52"/>
  <c r="EW197" i="52"/>
  <c r="EW119" i="52"/>
  <c r="EW96" i="52"/>
  <c r="FI197" i="52"/>
  <c r="FI119" i="52"/>
  <c r="FI96" i="52"/>
  <c r="FI199" i="52" s="1"/>
  <c r="FY197" i="52"/>
  <c r="Z241" i="52" s="1"/>
  <c r="FY119" i="52"/>
  <c r="FY96" i="52"/>
  <c r="FY199" i="52" s="1"/>
  <c r="FF96" i="52"/>
  <c r="FF199" i="52" s="1"/>
  <c r="GD113" i="52"/>
  <c r="S114" i="52"/>
  <c r="T114" i="52" s="1"/>
  <c r="Q114" i="52"/>
  <c r="EM120" i="52"/>
  <c r="U82" i="52"/>
  <c r="EV189" i="52"/>
  <c r="EV113" i="52"/>
  <c r="FH189" i="52"/>
  <c r="FH113" i="52"/>
  <c r="FX189" i="52"/>
  <c r="FX113" i="52"/>
  <c r="EQ190" i="52"/>
  <c r="EQ114" i="52"/>
  <c r="FC190" i="52"/>
  <c r="FC114" i="52"/>
  <c r="FC115" i="52" s="1"/>
  <c r="FT190" i="52"/>
  <c r="FT114" i="52"/>
  <c r="GF190" i="52"/>
  <c r="GF114" i="52"/>
  <c r="FP88" i="52"/>
  <c r="EQ198" i="52"/>
  <c r="EQ120" i="52"/>
  <c r="FT198" i="52"/>
  <c r="FT120" i="52"/>
  <c r="FG96" i="52"/>
  <c r="FG199" i="52" s="1"/>
  <c r="GF96" i="52"/>
  <c r="GF199" i="52" s="1"/>
  <c r="GG113" i="52"/>
  <c r="EW189" i="52"/>
  <c r="EW113" i="52"/>
  <c r="FI189" i="52"/>
  <c r="FI113" i="52"/>
  <c r="FY189" i="52"/>
  <c r="FY113" i="52"/>
  <c r="ER190" i="52"/>
  <c r="ER114" i="52"/>
  <c r="FD190" i="52"/>
  <c r="FD114" i="52"/>
  <c r="FU190" i="52"/>
  <c r="FU114" i="52"/>
  <c r="GG190" i="52"/>
  <c r="GG114" i="52"/>
  <c r="EY88" i="52"/>
  <c r="EY191" i="52" s="1"/>
  <c r="ED192" i="52" s="1"/>
  <c r="AI93" i="52"/>
  <c r="EM197" i="52"/>
  <c r="EM119" i="52"/>
  <c r="EY197" i="52"/>
  <c r="EY119" i="52"/>
  <c r="FN197" i="52"/>
  <c r="FN119" i="52"/>
  <c r="GA197" i="52"/>
  <c r="GA119" i="52"/>
  <c r="GA96" i="52"/>
  <c r="GA199" i="52" s="1"/>
  <c r="ER198" i="52"/>
  <c r="ER120" i="52"/>
  <c r="FD198" i="52"/>
  <c r="FD120" i="52"/>
  <c r="FU198" i="52"/>
  <c r="FU120" i="52"/>
  <c r="GG198" i="52"/>
  <c r="GG120" i="52"/>
  <c r="GG96" i="52"/>
  <c r="GG199" i="52" s="1"/>
  <c r="FV114" i="52"/>
  <c r="O142" i="52"/>
  <c r="M71" i="52"/>
  <c r="EX189" i="52"/>
  <c r="EX113" i="52"/>
  <c r="FM189" i="52"/>
  <c r="FM113" i="52"/>
  <c r="FZ189" i="52"/>
  <c r="FZ113" i="52"/>
  <c r="ES190" i="52"/>
  <c r="ES114" i="52"/>
  <c r="FE190" i="52"/>
  <c r="FE114" i="52"/>
  <c r="GF88" i="52"/>
  <c r="GF191" i="52" s="1"/>
  <c r="EN197" i="52"/>
  <c r="EN96" i="52"/>
  <c r="EZ197" i="52"/>
  <c r="EZ119" i="52"/>
  <c r="FP197" i="52"/>
  <c r="FP119" i="52"/>
  <c r="GB197" i="52"/>
  <c r="GB119" i="52"/>
  <c r="N115" i="52"/>
  <c r="M115" i="52"/>
  <c r="U115" i="52"/>
  <c r="P115" i="52"/>
  <c r="S115" i="52" s="1"/>
  <c r="T115" i="52" s="1"/>
  <c r="FD119" i="52"/>
  <c r="EY120" i="52"/>
  <c r="N71" i="52"/>
  <c r="M83" i="52"/>
  <c r="O84" i="52"/>
  <c r="EM189" i="52"/>
  <c r="EM113" i="52"/>
  <c r="EY189" i="52"/>
  <c r="EY113" i="52"/>
  <c r="FN189" i="52"/>
  <c r="FN113" i="52"/>
  <c r="GA189" i="52"/>
  <c r="GA113" i="52"/>
  <c r="ET190" i="52"/>
  <c r="ET114" i="52"/>
  <c r="ET115" i="52" s="1"/>
  <c r="FF190" i="52"/>
  <c r="FF114" i="52"/>
  <c r="FW190" i="52"/>
  <c r="FW114" i="52"/>
  <c r="GI190" i="52"/>
  <c r="GI114" i="52"/>
  <c r="EM88" i="52"/>
  <c r="FT88" i="52"/>
  <c r="GG88" i="52"/>
  <c r="GG191" i="52" s="1"/>
  <c r="ET198" i="52"/>
  <c r="ET120" i="52"/>
  <c r="FF198" i="52"/>
  <c r="FF120" i="52"/>
  <c r="FW198" i="52"/>
  <c r="FW120" i="52"/>
  <c r="GI198" i="52"/>
  <c r="GI120" i="52"/>
  <c r="ER96" i="52"/>
  <c r="GH114" i="52"/>
  <c r="O116" i="52"/>
  <c r="FC120" i="52"/>
  <c r="EN189" i="52"/>
  <c r="EN113" i="52"/>
  <c r="EZ189" i="52"/>
  <c r="EZ113" i="52"/>
  <c r="FP189" i="52"/>
  <c r="FP113" i="52"/>
  <c r="GB189" i="52"/>
  <c r="GB113" i="52"/>
  <c r="FX190" i="52"/>
  <c r="FX114" i="52"/>
  <c r="EN88" i="52"/>
  <c r="FC88" i="52"/>
  <c r="FC191" i="52" s="1"/>
  <c r="FU88" i="52"/>
  <c r="GH88" i="52"/>
  <c r="GH191" i="52" s="1"/>
  <c r="EP197" i="52"/>
  <c r="EP119" i="52"/>
  <c r="FB197" i="52"/>
  <c r="FB119" i="52"/>
  <c r="FR197" i="52"/>
  <c r="FR119" i="52"/>
  <c r="FR96" i="52"/>
  <c r="GD197" i="52"/>
  <c r="GD96" i="52"/>
  <c r="GD199" i="52" s="1"/>
  <c r="EU198" i="52"/>
  <c r="EU120" i="52"/>
  <c r="FG198" i="52"/>
  <c r="FG120" i="52"/>
  <c r="FX198" i="52"/>
  <c r="FX120" i="52"/>
  <c r="ET96" i="52"/>
  <c r="FT96" i="52"/>
  <c r="FZ114" i="52"/>
  <c r="FE119" i="52"/>
  <c r="P136" i="52"/>
  <c r="S136" i="52" s="1"/>
  <c r="N136" i="52"/>
  <c r="M136" i="52"/>
  <c r="N158" i="52"/>
  <c r="M158" i="52"/>
  <c r="U158" i="52"/>
  <c r="P158" i="52"/>
  <c r="P105" i="52"/>
  <c r="S105" i="52" s="1"/>
  <c r="M114" i="52"/>
  <c r="ES119" i="52"/>
  <c r="FE120" i="52"/>
  <c r="GH120" i="52"/>
  <c r="GH121" i="52" s="1"/>
  <c r="O145" i="52"/>
  <c r="M131" i="52"/>
  <c r="GI142" i="52"/>
  <c r="AO152" i="52"/>
  <c r="AA152" i="52" s="1"/>
  <c r="AB166" i="52"/>
  <c r="FA198" i="52"/>
  <c r="FA120" i="52"/>
  <c r="M101" i="52"/>
  <c r="N114" i="52"/>
  <c r="ES120" i="52"/>
  <c r="FV120" i="52"/>
  <c r="L126" i="52"/>
  <c r="N131" i="52"/>
  <c r="EX96" i="52"/>
  <c r="EX199" i="52" s="1"/>
  <c r="FM96" i="52"/>
  <c r="N101" i="52"/>
  <c r="AO103" i="52"/>
  <c r="AA103" i="52" s="1"/>
  <c r="M106" i="52"/>
  <c r="AB108" i="52"/>
  <c r="M116" i="52"/>
  <c r="O143" i="52"/>
  <c r="O131" i="52"/>
  <c r="U131" i="52" s="1"/>
  <c r="FM119" i="52"/>
  <c r="FZ119" i="52"/>
  <c r="O144" i="52"/>
  <c r="P131" i="52"/>
  <c r="S131" i="52" s="1"/>
  <c r="EW142" i="52"/>
  <c r="FI142" i="52"/>
  <c r="FZ142" i="52"/>
  <c r="U153" i="52"/>
  <c r="T153" i="52"/>
  <c r="Q153" i="52"/>
  <c r="O172" i="52"/>
  <c r="EX119" i="52"/>
  <c r="FI120" i="52"/>
  <c r="Q121" i="52"/>
  <c r="O173" i="52"/>
  <c r="FA96" i="52"/>
  <c r="FA199" i="52" s="1"/>
  <c r="AO106" i="52"/>
  <c r="AA106" i="52" s="1"/>
  <c r="EW120" i="52"/>
  <c r="FZ120" i="52"/>
  <c r="U122" i="52"/>
  <c r="EM142" i="52"/>
  <c r="FX149" i="52"/>
  <c r="O174" i="52"/>
  <c r="AB156" i="52"/>
  <c r="N166" i="52"/>
  <c r="M166" i="52"/>
  <c r="P166" i="52"/>
  <c r="S166" i="52" s="1"/>
  <c r="GC119" i="52"/>
  <c r="EZ142" i="52"/>
  <c r="FQ142" i="52"/>
  <c r="GC142" i="52"/>
  <c r="P147" i="52"/>
  <c r="S147" i="52" s="1"/>
  <c r="T147" i="52" s="1"/>
  <c r="U147" i="52"/>
  <c r="N147" i="52"/>
  <c r="M147" i="52"/>
  <c r="AB154" i="52"/>
  <c r="O148" i="52"/>
  <c r="AB158" i="52"/>
  <c r="FS113" i="52"/>
  <c r="GE113" i="52"/>
  <c r="EO119" i="52"/>
  <c r="EN120" i="52"/>
  <c r="EN121" i="52" s="1"/>
  <c r="GD120" i="52"/>
  <c r="GD121" i="52" s="1"/>
  <c r="Q124" i="52"/>
  <c r="AO163" i="52"/>
  <c r="AA163" i="52" s="1"/>
  <c r="AO161" i="52"/>
  <c r="AA161" i="52" s="1"/>
  <c r="L188" i="52"/>
  <c r="AB161" i="52"/>
  <c r="AB152" i="52"/>
  <c r="AO167" i="52"/>
  <c r="AA167" i="52" s="1"/>
  <c r="AO153" i="52"/>
  <c r="AA153" i="52" s="1"/>
  <c r="AB167" i="52"/>
  <c r="AB153" i="52"/>
  <c r="AB163" i="52"/>
  <c r="AO166" i="52"/>
  <c r="AA166" i="52" s="1"/>
  <c r="AO159" i="52"/>
  <c r="AA159" i="52" s="1"/>
  <c r="AO156" i="52"/>
  <c r="AA156" i="52" s="1"/>
  <c r="AO165" i="52"/>
  <c r="AA165" i="52" s="1"/>
  <c r="AB162" i="52"/>
  <c r="AB165" i="52"/>
  <c r="AO160" i="52"/>
  <c r="AA160" i="52" s="1"/>
  <c r="AO158" i="52"/>
  <c r="AA158" i="52" s="1"/>
  <c r="AO155" i="52"/>
  <c r="AA155" i="52" s="1"/>
  <c r="AO157" i="52"/>
  <c r="AA157" i="52" s="1"/>
  <c r="L169" i="52"/>
  <c r="AO164" i="52"/>
  <c r="AA164" i="52" s="1"/>
  <c r="AB157" i="52"/>
  <c r="AO154" i="52"/>
  <c r="AA154" i="52" s="1"/>
  <c r="FS88" i="52"/>
  <c r="GE88" i="52"/>
  <c r="GE191" i="52" s="1"/>
  <c r="FU197" i="52"/>
  <c r="FU119" i="52"/>
  <c r="GG197" i="52"/>
  <c r="GG119" i="52"/>
  <c r="ES96" i="52"/>
  <c r="FE96" i="52"/>
  <c r="FE199" i="52" s="1"/>
  <c r="AO102" i="52"/>
  <c r="AA102" i="52" s="1"/>
  <c r="EW114" i="52"/>
  <c r="FI114" i="52"/>
  <c r="FB120" i="52"/>
  <c r="FR120" i="52"/>
  <c r="GE120" i="52"/>
  <c r="P133" i="52"/>
  <c r="S133" i="52" s="1"/>
  <c r="L138" i="52"/>
  <c r="N137" i="52"/>
  <c r="EQ142" i="52"/>
  <c r="FC142" i="52"/>
  <c r="FT142" i="52"/>
  <c r="GF142" i="52"/>
  <c r="Q171" i="52"/>
  <c r="AP196" i="52"/>
  <c r="AO196" i="52"/>
  <c r="AO197" i="52" s="1"/>
  <c r="AB129" i="52"/>
  <c r="AO136" i="52"/>
  <c r="AA136" i="52" s="1"/>
  <c r="N165" i="52"/>
  <c r="U176" i="52"/>
  <c r="P176" i="52"/>
  <c r="O175" i="52"/>
  <c r="Q186" i="52"/>
  <c r="AO132" i="52"/>
  <c r="AA132" i="52" s="1"/>
  <c r="M135" i="52"/>
  <c r="AB137" i="52"/>
  <c r="M163" i="52"/>
  <c r="AO128" i="52"/>
  <c r="AA128" i="52" s="1"/>
  <c r="AB130" i="52"/>
  <c r="O163" i="52"/>
  <c r="O178" i="52"/>
  <c r="O222" i="52"/>
  <c r="U222" i="52" s="1"/>
  <c r="U221" i="52"/>
  <c r="P222" i="52"/>
  <c r="S222" i="52" s="1"/>
  <c r="M222" i="52"/>
  <c r="N222" i="52"/>
  <c r="X248" i="52"/>
  <c r="X245" i="52"/>
  <c r="O258" i="52"/>
  <c r="O260" i="52"/>
  <c r="T257" i="52"/>
  <c r="Q257" i="52"/>
  <c r="O230" i="52"/>
  <c r="AA248" i="52"/>
  <c r="Y249" i="52"/>
  <c r="Y254" i="52"/>
  <c r="Y246" i="52"/>
  <c r="Y243" i="52"/>
  <c r="Y240" i="52"/>
  <c r="Y252" i="52"/>
  <c r="Y248" i="52"/>
  <c r="Y245" i="52"/>
  <c r="Y242" i="52"/>
  <c r="Y255" i="52"/>
  <c r="Y253" i="52"/>
  <c r="Y250" i="52"/>
  <c r="Y251" i="52"/>
  <c r="Y247" i="52"/>
  <c r="Y244" i="52"/>
  <c r="Q272" i="52"/>
  <c r="T272" i="52"/>
  <c r="Q238" i="52"/>
  <c r="Q184" i="52"/>
  <c r="O236" i="52"/>
  <c r="N256" i="52"/>
  <c r="M256" i="52"/>
  <c r="U256" i="52"/>
  <c r="P256" i="52"/>
  <c r="Q268" i="52"/>
  <c r="T189" i="52"/>
  <c r="Q189" i="52"/>
  <c r="O234" i="52"/>
  <c r="AA246" i="52"/>
  <c r="AA243" i="52"/>
  <c r="AA240" i="52"/>
  <c r="AA245" i="52"/>
  <c r="AA242" i="52"/>
  <c r="AA255" i="52"/>
  <c r="AA253" i="52"/>
  <c r="AA250" i="52"/>
  <c r="AA251" i="52"/>
  <c r="AA247" i="52"/>
  <c r="AA244" i="52"/>
  <c r="AA249" i="52"/>
  <c r="AA254" i="52"/>
  <c r="O235" i="52"/>
  <c r="P220" i="52"/>
  <c r="S220" i="52" s="1"/>
  <c r="O220" i="52"/>
  <c r="N220" i="52"/>
  <c r="M220" i="52"/>
  <c r="M221" i="52"/>
  <c r="P221" i="52"/>
  <c r="S221" i="52" s="1"/>
  <c r="T221" i="52" s="1"/>
  <c r="N221" i="52"/>
  <c r="M239" i="52"/>
  <c r="Z249" i="52"/>
  <c r="T250" i="52"/>
  <c r="T268" i="52"/>
  <c r="U278" i="52"/>
  <c r="Z244" i="52"/>
  <c r="Z247" i="52"/>
  <c r="Z251" i="52"/>
  <c r="U268" i="52"/>
  <c r="M238" i="52"/>
  <c r="O239" i="52"/>
  <c r="U239" i="52" s="1"/>
  <c r="Q275" i="52"/>
  <c r="M228" i="52"/>
  <c r="N238" i="52"/>
  <c r="P239" i="52"/>
  <c r="S239" i="52" s="1"/>
  <c r="AD241" i="52"/>
  <c r="O262" i="52" s="1"/>
  <c r="M269" i="52"/>
  <c r="O241" i="52"/>
  <c r="O244" i="52"/>
  <c r="Z250" i="52"/>
  <c r="Z253" i="52"/>
  <c r="Z255" i="52"/>
  <c r="U257" i="52"/>
  <c r="M223" i="52"/>
  <c r="M227" i="52"/>
  <c r="Z242" i="52"/>
  <c r="Z245" i="52"/>
  <c r="Q249" i="52"/>
  <c r="M255" i="52"/>
  <c r="M268" i="52"/>
  <c r="Q279" i="52"/>
  <c r="N223" i="52"/>
  <c r="N227" i="52"/>
  <c r="N255" i="52"/>
  <c r="N268" i="52"/>
  <c r="P269" i="52"/>
  <c r="Z248" i="52"/>
  <c r="Z252" i="52"/>
  <c r="M257" i="52"/>
  <c r="Q278" i="52"/>
  <c r="FW40" i="48"/>
  <c r="FW67" i="48"/>
  <c r="GY40" i="48"/>
  <c r="GY67" i="48"/>
  <c r="GY174" i="48"/>
  <c r="GI34" i="48"/>
  <c r="GI61" i="48"/>
  <c r="GI169" i="48"/>
  <c r="HB174" i="48"/>
  <c r="HB40" i="48"/>
  <c r="HB67" i="48"/>
  <c r="GL40" i="48"/>
  <c r="GL67" i="48"/>
  <c r="FV40" i="48"/>
  <c r="FV67" i="48"/>
  <c r="FV174" i="48"/>
  <c r="FF174" i="48"/>
  <c r="FF40" i="48"/>
  <c r="FF67" i="48"/>
  <c r="GX40" i="48"/>
  <c r="GX67" i="48"/>
  <c r="GX174" i="48"/>
  <c r="GH40" i="48"/>
  <c r="GH67" i="48"/>
  <c r="GH174" i="48"/>
  <c r="FQ40" i="48"/>
  <c r="FQ67" i="48"/>
  <c r="FQ174" i="48"/>
  <c r="FG34" i="48"/>
  <c r="FG61" i="48"/>
  <c r="FG169" i="48"/>
  <c r="GH34" i="48"/>
  <c r="GH61" i="48"/>
  <c r="GH169" i="48"/>
  <c r="FQ34" i="48"/>
  <c r="FQ61" i="48"/>
  <c r="FQ169" i="48"/>
  <c r="FG40" i="48"/>
  <c r="FG67" i="48"/>
  <c r="FG174" i="48"/>
  <c r="FS34" i="48"/>
  <c r="FS61" i="48"/>
  <c r="FS169" i="48"/>
  <c r="GB179" i="48"/>
  <c r="GB46" i="48"/>
  <c r="GB73" i="48"/>
  <c r="FL179" i="48"/>
  <c r="FL46" i="48"/>
  <c r="FL73" i="48"/>
  <c r="GL34" i="48"/>
  <c r="GL61" i="48"/>
  <c r="FV34" i="48"/>
  <c r="FV61" i="48"/>
  <c r="FV169" i="48"/>
  <c r="GH46" i="48"/>
  <c r="GH73" i="48"/>
  <c r="GH179" i="48"/>
  <c r="HA34" i="48"/>
  <c r="HA61" i="48"/>
  <c r="GK34" i="48"/>
  <c r="GK61" i="48"/>
  <c r="GK169" i="48"/>
  <c r="FU34" i="48"/>
  <c r="FU61" i="48"/>
  <c r="FU169" i="48"/>
  <c r="FE34" i="48"/>
  <c r="FE61" i="48"/>
  <c r="FE169" i="48"/>
  <c r="FW174" i="48"/>
  <c r="GY169" i="48"/>
  <c r="GY34" i="48"/>
  <c r="GY61" i="48"/>
  <c r="FH34" i="48"/>
  <c r="FH61" i="48"/>
  <c r="GK46" i="48"/>
  <c r="GK73" i="48"/>
  <c r="GK179" i="48"/>
  <c r="FS40" i="48"/>
  <c r="FS67" i="48"/>
  <c r="FS174" i="48"/>
  <c r="FH169" i="48"/>
  <c r="GJ46" i="48"/>
  <c r="GJ73" i="48"/>
  <c r="GJ179" i="48"/>
  <c r="FT46" i="48"/>
  <c r="FT73" i="48"/>
  <c r="FT179" i="48"/>
  <c r="FD46" i="48"/>
  <c r="FD73" i="48"/>
  <c r="FD179" i="48"/>
  <c r="HA40" i="48"/>
  <c r="HA67" i="48"/>
  <c r="GK40" i="48"/>
  <c r="GK67" i="48"/>
  <c r="GK174" i="48"/>
  <c r="FU174" i="48"/>
  <c r="FU40" i="48"/>
  <c r="FU67" i="48"/>
  <c r="FE40" i="48"/>
  <c r="FE67" i="48"/>
  <c r="FE174" i="48"/>
  <c r="GI40" i="48"/>
  <c r="GI67" i="48"/>
  <c r="GI174" i="48"/>
  <c r="GF115" i="48"/>
  <c r="FT115" i="48"/>
  <c r="FD115" i="48"/>
  <c r="GL46" i="48"/>
  <c r="GL73" i="48"/>
  <c r="GI46" i="48"/>
  <c r="GI73" i="48"/>
  <c r="GI179" i="48"/>
  <c r="GW6" i="48"/>
  <c r="GF6" i="48"/>
  <c r="FM6" i="48"/>
  <c r="FM198" i="48"/>
  <c r="FV178" i="48"/>
  <c r="GK177" i="48"/>
  <c r="FG173" i="48"/>
  <c r="GK172" i="48"/>
  <c r="FV168" i="48"/>
  <c r="GD114" i="48"/>
  <c r="GD115" i="48" s="1"/>
  <c r="FR114" i="48"/>
  <c r="FR115" i="48" s="1"/>
  <c r="FZ113" i="48"/>
  <c r="FZ115" i="48" s="1"/>
  <c r="GA73" i="48"/>
  <c r="GA67" i="48"/>
  <c r="HE66" i="48"/>
  <c r="GA61" i="48"/>
  <c r="GA46" i="48"/>
  <c r="GA40" i="48"/>
  <c r="HE39" i="48"/>
  <c r="GA34" i="48"/>
  <c r="GD190" i="48"/>
  <c r="FR190" i="48"/>
  <c r="GI177" i="48"/>
  <c r="FE177" i="48"/>
  <c r="GI172" i="48"/>
  <c r="FE172" i="48"/>
  <c r="GI167" i="48"/>
  <c r="GB114" i="48"/>
  <c r="GB115" i="48" s="1"/>
  <c r="FP114" i="48"/>
  <c r="FP115" i="48" s="1"/>
  <c r="FA114" i="48"/>
  <c r="FA115" i="48" s="1"/>
  <c r="FX113" i="48"/>
  <c r="FX115" i="48" s="1"/>
  <c r="FY73" i="48"/>
  <c r="GN72" i="48"/>
  <c r="HC66" i="48"/>
  <c r="FY66" i="48"/>
  <c r="GN60" i="48"/>
  <c r="FY46" i="48"/>
  <c r="GN45" i="48"/>
  <c r="HC39" i="48"/>
  <c r="FY39" i="48"/>
  <c r="GN33" i="48"/>
  <c r="GN18" i="48"/>
  <c r="FX18" i="48"/>
  <c r="FH18" i="48"/>
  <c r="FS177" i="48"/>
  <c r="GW174" i="48"/>
  <c r="FS172" i="48"/>
  <c r="GW167" i="48"/>
  <c r="FS167" i="48"/>
  <c r="FH113" i="48"/>
  <c r="FH115" i="48" s="1"/>
  <c r="GC96" i="48"/>
  <c r="GC199" i="48" s="1"/>
  <c r="FQ96" i="48"/>
  <c r="FQ199" i="48" s="1"/>
  <c r="EZ96" i="48"/>
  <c r="EZ199" i="48" s="1"/>
  <c r="FA88" i="48"/>
  <c r="FA191" i="48" s="1"/>
  <c r="FI73" i="48"/>
  <c r="FX72" i="48"/>
  <c r="GM66" i="48"/>
  <c r="FI66" i="48"/>
  <c r="HB60" i="48"/>
  <c r="FX60" i="48"/>
  <c r="FI46" i="48"/>
  <c r="FX45" i="48"/>
  <c r="GM39" i="48"/>
  <c r="FI39" i="48"/>
  <c r="HB33" i="48"/>
  <c r="FX33" i="48"/>
  <c r="HE12" i="48"/>
  <c r="GO12" i="48"/>
  <c r="FY12" i="48"/>
  <c r="FI12" i="48"/>
  <c r="GB190" i="48"/>
  <c r="FP190" i="48"/>
  <c r="EY114" i="48"/>
  <c r="EY115" i="48" s="1"/>
  <c r="GL72" i="48"/>
  <c r="FH72" i="48"/>
  <c r="FW66" i="48"/>
  <c r="HA65" i="48"/>
  <c r="GL60" i="48"/>
  <c r="FH60" i="48"/>
  <c r="GL45" i="48"/>
  <c r="FW39" i="48"/>
  <c r="HA38" i="48"/>
  <c r="GL33" i="48"/>
  <c r="FH33" i="48"/>
  <c r="FV18" i="48"/>
  <c r="FF18" i="48"/>
  <c r="HD6" i="48"/>
  <c r="GN6" i="48"/>
  <c r="FX6" i="48"/>
  <c r="FM113" i="48"/>
  <c r="FM115" i="48" s="1"/>
  <c r="FB177" i="48"/>
  <c r="GF174" i="48"/>
  <c r="FB172" i="48"/>
  <c r="GF167" i="48"/>
  <c r="GA96" i="48"/>
  <c r="GA199" i="48" s="1"/>
  <c r="EY88" i="48"/>
  <c r="EY191" i="48" s="1"/>
  <c r="FV72" i="48"/>
  <c r="GK71" i="48"/>
  <c r="FG66" i="48"/>
  <c r="GK65" i="48"/>
  <c r="FV60" i="48"/>
  <c r="GK44" i="48"/>
  <c r="FG39" i="48"/>
  <c r="GK38" i="48"/>
  <c r="FV33" i="48"/>
  <c r="FU18" i="48"/>
  <c r="FE18" i="48"/>
  <c r="HC12" i="48"/>
  <c r="GM12" i="48"/>
  <c r="FG197" i="48"/>
  <c r="FZ189" i="48"/>
  <c r="FM189" i="48"/>
  <c r="FZ96" i="48"/>
  <c r="FZ199" i="48" s="1"/>
  <c r="FI96" i="48"/>
  <c r="FI199" i="48" s="1"/>
  <c r="FF72" i="48"/>
  <c r="FU71" i="48"/>
  <c r="GY65" i="48"/>
  <c r="FU65" i="48"/>
  <c r="FF60" i="48"/>
  <c r="GY59" i="48"/>
  <c r="GY38" i="48"/>
  <c r="FU38" i="48"/>
  <c r="FF33" i="48"/>
  <c r="GY32" i="48"/>
  <c r="HB6" i="48"/>
  <c r="FX189" i="48"/>
  <c r="GC120" i="48"/>
  <c r="GC121" i="48" s="1"/>
  <c r="FQ120" i="48"/>
  <c r="FQ121" i="48" s="1"/>
  <c r="FY119" i="48"/>
  <c r="FY121" i="48" s="1"/>
  <c r="GI71" i="48"/>
  <c r="FE71" i="48"/>
  <c r="GI65" i="48"/>
  <c r="FE65" i="48"/>
  <c r="GI59" i="48"/>
  <c r="GI44" i="48"/>
  <c r="GI38" i="48"/>
  <c r="FE38" i="48"/>
  <c r="GI32" i="48"/>
  <c r="FS18" i="48"/>
  <c r="FB18" i="48"/>
  <c r="FG96" i="48"/>
  <c r="FG199" i="48" s="1"/>
  <c r="FH88" i="48"/>
  <c r="FH191" i="48" s="1"/>
  <c r="FS71" i="48"/>
  <c r="GW67" i="48"/>
  <c r="FS65" i="48"/>
  <c r="GW59" i="48"/>
  <c r="FS59" i="48"/>
  <c r="FS38" i="48"/>
  <c r="FS32" i="48"/>
  <c r="GA120" i="48"/>
  <c r="GA121" i="48" s="1"/>
  <c r="GI119" i="48"/>
  <c r="GI121" i="48" s="1"/>
  <c r="FW119" i="48"/>
  <c r="FW121" i="48" s="1"/>
  <c r="FB12" i="48"/>
  <c r="GH119" i="48"/>
  <c r="GH121" i="48" s="1"/>
  <c r="FV119" i="48"/>
  <c r="FV121" i="48" s="1"/>
  <c r="FB71" i="48"/>
  <c r="GF67" i="48"/>
  <c r="FB65" i="48"/>
  <c r="GF59" i="48"/>
  <c r="R6" i="51"/>
  <c r="R255" i="51"/>
  <c r="P255" i="51"/>
  <c r="S255" i="51" s="1"/>
  <c r="N255" i="51"/>
  <c r="M255" i="51"/>
  <c r="R254" i="51"/>
  <c r="P254" i="51"/>
  <c r="S254" i="51" s="1"/>
  <c r="N254" i="51"/>
  <c r="M254" i="51"/>
  <c r="R253" i="51"/>
  <c r="P253" i="51"/>
  <c r="S253" i="51" s="1"/>
  <c r="N253" i="51"/>
  <c r="M253" i="51"/>
  <c r="R252" i="51"/>
  <c r="P252" i="51"/>
  <c r="S252" i="51" s="1"/>
  <c r="N252" i="51"/>
  <c r="M252" i="51"/>
  <c r="R251" i="51"/>
  <c r="L251" i="51"/>
  <c r="N251" i="51" s="1"/>
  <c r="R250" i="51"/>
  <c r="L250" i="51"/>
  <c r="M250" i="51" s="1"/>
  <c r="R249" i="51"/>
  <c r="O249" i="51"/>
  <c r="L249" i="51"/>
  <c r="P249" i="51" s="1"/>
  <c r="S249" i="51" s="1"/>
  <c r="R248" i="51"/>
  <c r="O248" i="51"/>
  <c r="L248" i="51"/>
  <c r="P248" i="51" s="1"/>
  <c r="R247" i="51"/>
  <c r="O247" i="51"/>
  <c r="L247" i="51"/>
  <c r="P247" i="51" s="1"/>
  <c r="S247" i="51" s="1"/>
  <c r="R246" i="51"/>
  <c r="L246" i="51"/>
  <c r="N246" i="51" s="1"/>
  <c r="R245" i="51"/>
  <c r="L245" i="51"/>
  <c r="M245" i="51" s="1"/>
  <c r="R244" i="51"/>
  <c r="P244" i="51"/>
  <c r="S244" i="51" s="1"/>
  <c r="N244" i="51"/>
  <c r="M244" i="51"/>
  <c r="R243" i="51"/>
  <c r="P243" i="51"/>
  <c r="S243" i="51" s="1"/>
  <c r="N243" i="51"/>
  <c r="M243" i="51"/>
  <c r="R242" i="51"/>
  <c r="P242" i="51"/>
  <c r="S242" i="51" s="1"/>
  <c r="N242" i="51"/>
  <c r="M242" i="51"/>
  <c r="R241" i="51"/>
  <c r="P241" i="51"/>
  <c r="S241" i="51" s="1"/>
  <c r="N241" i="51"/>
  <c r="M241" i="51"/>
  <c r="AF240" i="51"/>
  <c r="AE240" i="51"/>
  <c r="AD240" i="51"/>
  <c r="AB240" i="51"/>
  <c r="R240" i="51"/>
  <c r="P240" i="51"/>
  <c r="S240" i="51" s="1"/>
  <c r="O240" i="51"/>
  <c r="U240" i="51" s="1"/>
  <c r="N240" i="51"/>
  <c r="M240" i="51"/>
  <c r="AF239" i="51"/>
  <c r="AE239" i="51"/>
  <c r="AD239" i="51"/>
  <c r="AB239" i="51"/>
  <c r="R239" i="51"/>
  <c r="P239" i="51"/>
  <c r="S239" i="51" s="1"/>
  <c r="N239" i="51"/>
  <c r="E239" i="51"/>
  <c r="AF238" i="51"/>
  <c r="AE238" i="51"/>
  <c r="AD238" i="51"/>
  <c r="AB238" i="51"/>
  <c r="R238" i="51"/>
  <c r="L238" i="51"/>
  <c r="N238" i="51" s="1"/>
  <c r="AF237" i="51"/>
  <c r="AE237" i="51"/>
  <c r="AD237" i="51"/>
  <c r="AB237" i="51"/>
  <c r="R237" i="51"/>
  <c r="L237" i="51"/>
  <c r="N237" i="51" s="1"/>
  <c r="AF236" i="51"/>
  <c r="AE236" i="51"/>
  <c r="AD236" i="51"/>
  <c r="AB236" i="51"/>
  <c r="R236" i="51"/>
  <c r="L236" i="51"/>
  <c r="M236" i="51" s="1"/>
  <c r="AF235" i="51"/>
  <c r="AE235" i="51"/>
  <c r="AD235" i="51"/>
  <c r="AB235" i="51"/>
  <c r="R235" i="51"/>
  <c r="P235" i="51"/>
  <c r="S235" i="51" s="1"/>
  <c r="N235" i="51"/>
  <c r="M235" i="51"/>
  <c r="AF234" i="51"/>
  <c r="AE234" i="51"/>
  <c r="AD234" i="51"/>
  <c r="AB234" i="51"/>
  <c r="R234" i="51"/>
  <c r="P234" i="51"/>
  <c r="S234" i="51" s="1"/>
  <c r="N234" i="51"/>
  <c r="M234" i="51"/>
  <c r="F234" i="51"/>
  <c r="AF233" i="51"/>
  <c r="AE233" i="51"/>
  <c r="AD233" i="51"/>
  <c r="AB233" i="51"/>
  <c r="R233" i="51"/>
  <c r="P233" i="51"/>
  <c r="S233" i="51" s="1"/>
  <c r="N233" i="51"/>
  <c r="M233" i="51"/>
  <c r="AF232" i="51"/>
  <c r="AE232" i="51"/>
  <c r="AD232" i="51"/>
  <c r="AB232" i="51"/>
  <c r="AF231" i="51"/>
  <c r="AE231" i="51"/>
  <c r="AD231" i="51"/>
  <c r="AB231" i="51"/>
  <c r="L231" i="51"/>
  <c r="AF230" i="51"/>
  <c r="AE230" i="51"/>
  <c r="AD230" i="51"/>
  <c r="AB230" i="51"/>
  <c r="AF229" i="51"/>
  <c r="AE229" i="51"/>
  <c r="AD229" i="51"/>
  <c r="AB229" i="51"/>
  <c r="AF228" i="51"/>
  <c r="AE228" i="51"/>
  <c r="AD228" i="51"/>
  <c r="AB228" i="51"/>
  <c r="AF227" i="51"/>
  <c r="AE227" i="51"/>
  <c r="AD227" i="51"/>
  <c r="AB227" i="51"/>
  <c r="R227" i="51"/>
  <c r="P227" i="51"/>
  <c r="S227" i="51" s="1"/>
  <c r="N227" i="51"/>
  <c r="M227" i="51"/>
  <c r="AF226" i="51"/>
  <c r="AE226" i="51"/>
  <c r="AD226" i="51"/>
  <c r="AB226" i="51"/>
  <c r="R226" i="51"/>
  <c r="P226" i="51"/>
  <c r="S226" i="51" s="1"/>
  <c r="N226" i="51"/>
  <c r="M226" i="51"/>
  <c r="AF225" i="51"/>
  <c r="AE225" i="51"/>
  <c r="AD225" i="51"/>
  <c r="AB225" i="51"/>
  <c r="R225" i="51"/>
  <c r="P225" i="51"/>
  <c r="S225" i="51" s="1"/>
  <c r="N225" i="51"/>
  <c r="M225" i="51"/>
  <c r="W224" i="51"/>
  <c r="Z236" i="51" s="1"/>
  <c r="R224" i="51"/>
  <c r="P224" i="51"/>
  <c r="S224" i="51" s="1"/>
  <c r="N224" i="51"/>
  <c r="M224" i="51"/>
  <c r="R223" i="51"/>
  <c r="L223" i="51"/>
  <c r="P223" i="51" s="1"/>
  <c r="S223" i="51" s="1"/>
  <c r="BF222" i="51"/>
  <c r="BE222" i="51"/>
  <c r="BD222" i="51"/>
  <c r="AZ222" i="51"/>
  <c r="AY222" i="51"/>
  <c r="AX222" i="51"/>
  <c r="R222" i="51"/>
  <c r="L222" i="51"/>
  <c r="O222" i="51" s="1"/>
  <c r="U222" i="51" s="1"/>
  <c r="BF221" i="51"/>
  <c r="BE221" i="51"/>
  <c r="BD221" i="51"/>
  <c r="AZ221" i="51"/>
  <c r="AY221" i="51"/>
  <c r="AX221" i="51"/>
  <c r="R221" i="51"/>
  <c r="L221" i="51"/>
  <c r="M221" i="51" s="1"/>
  <c r="BF220" i="51"/>
  <c r="BE220" i="51"/>
  <c r="BD220" i="51"/>
  <c r="AZ220" i="51"/>
  <c r="AY220" i="51"/>
  <c r="AX220" i="51"/>
  <c r="R220" i="51"/>
  <c r="O220" i="51"/>
  <c r="L220" i="51"/>
  <c r="P220" i="51" s="1"/>
  <c r="BF219" i="51"/>
  <c r="BE219" i="51"/>
  <c r="BD219" i="51"/>
  <c r="AZ219" i="51"/>
  <c r="AY219" i="51"/>
  <c r="AX219" i="51"/>
  <c r="R219" i="51"/>
  <c r="O219" i="51"/>
  <c r="L219" i="51"/>
  <c r="M219" i="51" s="1"/>
  <c r="BF218" i="51"/>
  <c r="BE218" i="51"/>
  <c r="BD218" i="51"/>
  <c r="AZ218" i="51"/>
  <c r="AY218" i="51"/>
  <c r="AX218" i="51"/>
  <c r="AF218" i="51"/>
  <c r="R218" i="51"/>
  <c r="L218" i="51"/>
  <c r="N218" i="51" s="1"/>
  <c r="BF217" i="51"/>
  <c r="BE217" i="51"/>
  <c r="BD217" i="51"/>
  <c r="AZ217" i="51"/>
  <c r="AY217" i="51"/>
  <c r="AX217" i="51"/>
  <c r="AF217" i="51"/>
  <c r="R217" i="51"/>
  <c r="P217" i="51"/>
  <c r="S217" i="51" s="1"/>
  <c r="N217" i="51"/>
  <c r="M217" i="51"/>
  <c r="BF216" i="51"/>
  <c r="BE216" i="51"/>
  <c r="BD216" i="51"/>
  <c r="AZ216" i="51"/>
  <c r="AY216" i="51"/>
  <c r="AX216" i="51"/>
  <c r="AF216" i="51"/>
  <c r="R216" i="51"/>
  <c r="P216" i="51"/>
  <c r="S216" i="51" s="1"/>
  <c r="N216" i="51"/>
  <c r="M216" i="51"/>
  <c r="BF215" i="51"/>
  <c r="BE215" i="51"/>
  <c r="BD215" i="51"/>
  <c r="AZ215" i="51"/>
  <c r="AY215" i="51"/>
  <c r="AX215" i="51"/>
  <c r="AF215" i="51"/>
  <c r="R215" i="51"/>
  <c r="P215" i="51"/>
  <c r="S215" i="51" s="1"/>
  <c r="N215" i="51"/>
  <c r="M215" i="51"/>
  <c r="BF214" i="51"/>
  <c r="BE214" i="51"/>
  <c r="BD214" i="51"/>
  <c r="AZ214" i="51"/>
  <c r="AY214" i="51"/>
  <c r="AX214" i="51"/>
  <c r="AF214" i="51"/>
  <c r="R214" i="51"/>
  <c r="P214" i="51"/>
  <c r="S214" i="51" s="1"/>
  <c r="N214" i="51"/>
  <c r="M214" i="51"/>
  <c r="BF213" i="51"/>
  <c r="BE213" i="51"/>
  <c r="BD213" i="51"/>
  <c r="AZ213" i="51"/>
  <c r="AY213" i="51"/>
  <c r="AX213" i="51"/>
  <c r="AF213" i="51"/>
  <c r="Z213" i="51"/>
  <c r="R213" i="51"/>
  <c r="BF212" i="51"/>
  <c r="BE212" i="51"/>
  <c r="BD212" i="51"/>
  <c r="AZ212" i="51"/>
  <c r="AY212" i="51"/>
  <c r="AX212" i="51"/>
  <c r="AF212" i="51"/>
  <c r="R212" i="51"/>
  <c r="P212" i="51"/>
  <c r="S212" i="51" s="1"/>
  <c r="O212" i="51"/>
  <c r="U212" i="51" s="1"/>
  <c r="N212" i="51"/>
  <c r="M212" i="51"/>
  <c r="E212" i="51"/>
  <c r="JN211" i="51"/>
  <c r="JM211" i="51"/>
  <c r="JL211" i="51"/>
  <c r="JK211" i="51"/>
  <c r="JJ211" i="51"/>
  <c r="JI211" i="51"/>
  <c r="JH211" i="51"/>
  <c r="JG211" i="51"/>
  <c r="JF211" i="51"/>
  <c r="JE211" i="51"/>
  <c r="JD211" i="51"/>
  <c r="JC211" i="51"/>
  <c r="JB211" i="51"/>
  <c r="JA211" i="51"/>
  <c r="IZ211" i="51"/>
  <c r="IY211" i="51"/>
  <c r="IX211" i="51"/>
  <c r="IW211" i="51"/>
  <c r="IV211" i="51"/>
  <c r="IU211" i="51"/>
  <c r="IT211" i="51"/>
  <c r="BF211" i="51"/>
  <c r="BE211" i="51"/>
  <c r="BD211" i="51"/>
  <c r="AZ211" i="51"/>
  <c r="AY211" i="51"/>
  <c r="AX211" i="51"/>
  <c r="AF211" i="51"/>
  <c r="R211" i="51"/>
  <c r="L211" i="51"/>
  <c r="P211" i="51" s="1"/>
  <c r="S211" i="51" s="1"/>
  <c r="JN210" i="51"/>
  <c r="JM210" i="51"/>
  <c r="JL210" i="51"/>
  <c r="JK210" i="51"/>
  <c r="JJ210" i="51"/>
  <c r="JI210" i="51"/>
  <c r="JH210" i="51"/>
  <c r="JG210" i="51"/>
  <c r="JF210" i="51"/>
  <c r="JE210" i="51"/>
  <c r="JD210" i="51"/>
  <c r="JC210" i="51"/>
  <c r="JB210" i="51"/>
  <c r="JA210" i="51"/>
  <c r="IZ210" i="51"/>
  <c r="IY210" i="51"/>
  <c r="IX210" i="51"/>
  <c r="IW210" i="51"/>
  <c r="IV210" i="51"/>
  <c r="IU210" i="51"/>
  <c r="IT210" i="51"/>
  <c r="BF210" i="51"/>
  <c r="BE210" i="51"/>
  <c r="BD210" i="51"/>
  <c r="AZ210" i="51"/>
  <c r="AY210" i="51"/>
  <c r="AX210" i="51"/>
  <c r="AF210" i="51"/>
  <c r="R210" i="51"/>
  <c r="L210" i="51"/>
  <c r="P210" i="51" s="1"/>
  <c r="S210" i="51" s="1"/>
  <c r="JN209" i="51"/>
  <c r="JM209" i="51"/>
  <c r="JL209" i="51"/>
  <c r="JK209" i="51"/>
  <c r="JJ209" i="51"/>
  <c r="JI209" i="51"/>
  <c r="JH209" i="51"/>
  <c r="JG209" i="51"/>
  <c r="JF209" i="51"/>
  <c r="JE209" i="51"/>
  <c r="JD209" i="51"/>
  <c r="JC209" i="51"/>
  <c r="JB209" i="51"/>
  <c r="JA209" i="51"/>
  <c r="IZ209" i="51"/>
  <c r="IY209" i="51"/>
  <c r="IX209" i="51"/>
  <c r="IW209" i="51"/>
  <c r="IV209" i="51"/>
  <c r="IU209" i="51"/>
  <c r="IT209" i="51"/>
  <c r="GZ209" i="51"/>
  <c r="BF209" i="51"/>
  <c r="BE209" i="51"/>
  <c r="BD209" i="51"/>
  <c r="AZ209" i="51"/>
  <c r="AY209" i="51"/>
  <c r="AX209" i="51"/>
  <c r="AF209" i="51"/>
  <c r="R209" i="51"/>
  <c r="L209" i="51"/>
  <c r="JN208" i="51"/>
  <c r="JM208" i="51"/>
  <c r="JL208" i="51"/>
  <c r="JK208" i="51"/>
  <c r="JJ208" i="51"/>
  <c r="JI208" i="51"/>
  <c r="JH208" i="51"/>
  <c r="JG208" i="51"/>
  <c r="JF208" i="51"/>
  <c r="JE208" i="51"/>
  <c r="JD208" i="51"/>
  <c r="JC208" i="51"/>
  <c r="JB208" i="51"/>
  <c r="JA208" i="51"/>
  <c r="IZ208" i="51"/>
  <c r="IY208" i="51"/>
  <c r="IX208" i="51"/>
  <c r="IW208" i="51"/>
  <c r="IV208" i="51"/>
  <c r="IU208" i="51"/>
  <c r="IT208" i="51"/>
  <c r="GZ208" i="51"/>
  <c r="BF208" i="51"/>
  <c r="BE208" i="51"/>
  <c r="BD208" i="51"/>
  <c r="AZ208" i="51"/>
  <c r="AY208" i="51"/>
  <c r="AX208" i="51"/>
  <c r="AF208" i="51"/>
  <c r="AD208" i="51"/>
  <c r="V208" i="51"/>
  <c r="R208" i="51"/>
  <c r="P208" i="51"/>
  <c r="S208" i="51" s="1"/>
  <c r="N208" i="51"/>
  <c r="M208" i="51"/>
  <c r="BF207" i="51"/>
  <c r="BE207" i="51"/>
  <c r="BD207" i="51"/>
  <c r="AZ207" i="51"/>
  <c r="AY207" i="51"/>
  <c r="AX207" i="51"/>
  <c r="AF207" i="51"/>
  <c r="V207" i="51"/>
  <c r="R207" i="51"/>
  <c r="P207" i="51"/>
  <c r="S207" i="51" s="1"/>
  <c r="N207" i="51"/>
  <c r="M207" i="51"/>
  <c r="F207" i="51"/>
  <c r="AF206" i="51"/>
  <c r="R206" i="51"/>
  <c r="P206" i="51"/>
  <c r="S206" i="51" s="1"/>
  <c r="N206" i="51"/>
  <c r="M206" i="51"/>
  <c r="JN205" i="51"/>
  <c r="JM205" i="51"/>
  <c r="JL205" i="51"/>
  <c r="JK205" i="51"/>
  <c r="JJ205" i="51"/>
  <c r="JI205" i="51"/>
  <c r="JH205" i="51"/>
  <c r="JG205" i="51"/>
  <c r="JF205" i="51"/>
  <c r="JE205" i="51"/>
  <c r="JD205" i="51"/>
  <c r="JC205" i="51"/>
  <c r="JB205" i="51"/>
  <c r="JA205" i="51"/>
  <c r="IZ205" i="51"/>
  <c r="IY205" i="51"/>
  <c r="IX205" i="51"/>
  <c r="IW205" i="51"/>
  <c r="IV205" i="51"/>
  <c r="IU205" i="51"/>
  <c r="IT205" i="51"/>
  <c r="AF205" i="51"/>
  <c r="AD205" i="51"/>
  <c r="JN204" i="51"/>
  <c r="JM204" i="51"/>
  <c r="JL204" i="51"/>
  <c r="JK204" i="51"/>
  <c r="JJ204" i="51"/>
  <c r="JI204" i="51"/>
  <c r="JH204" i="51"/>
  <c r="JG204" i="51"/>
  <c r="JF204" i="51"/>
  <c r="JE204" i="51"/>
  <c r="JD204" i="51"/>
  <c r="JC204" i="51"/>
  <c r="JB204" i="51"/>
  <c r="JA204" i="51"/>
  <c r="IZ204" i="51"/>
  <c r="IY204" i="51"/>
  <c r="IX204" i="51"/>
  <c r="IW204" i="51"/>
  <c r="IV204" i="51"/>
  <c r="IU204" i="51"/>
  <c r="IT204" i="51"/>
  <c r="AF204" i="51"/>
  <c r="AD204" i="51"/>
  <c r="L204" i="51"/>
  <c r="JN203" i="51"/>
  <c r="JM203" i="51"/>
  <c r="JL203" i="51"/>
  <c r="JK203" i="51"/>
  <c r="JJ203" i="51"/>
  <c r="JI203" i="51"/>
  <c r="JH203" i="51"/>
  <c r="JG203" i="51"/>
  <c r="JF203" i="51"/>
  <c r="JE203" i="51"/>
  <c r="JD203" i="51"/>
  <c r="JC203" i="51"/>
  <c r="JB203" i="51"/>
  <c r="JA203" i="51"/>
  <c r="IZ203" i="51"/>
  <c r="IY203" i="51"/>
  <c r="IX203" i="51"/>
  <c r="IW203" i="51"/>
  <c r="IV203" i="51"/>
  <c r="IU203" i="51"/>
  <c r="IT203" i="51"/>
  <c r="AF203" i="51"/>
  <c r="AD203" i="51"/>
  <c r="JN202" i="51"/>
  <c r="JM202" i="51"/>
  <c r="JL202" i="51"/>
  <c r="JK202" i="51"/>
  <c r="JJ202" i="51"/>
  <c r="JI202" i="51"/>
  <c r="JH202" i="51"/>
  <c r="JG202" i="51"/>
  <c r="JF202" i="51"/>
  <c r="JE202" i="51"/>
  <c r="JD202" i="51"/>
  <c r="JC202" i="51"/>
  <c r="JB202" i="51"/>
  <c r="JA202" i="51"/>
  <c r="IZ202" i="51"/>
  <c r="IY202" i="51"/>
  <c r="IX202" i="51"/>
  <c r="IW202" i="51"/>
  <c r="IV202" i="51"/>
  <c r="IU202" i="51"/>
  <c r="IT202" i="51"/>
  <c r="R202" i="51"/>
  <c r="P202" i="51"/>
  <c r="S202" i="51" s="1"/>
  <c r="N202" i="51"/>
  <c r="M202" i="51"/>
  <c r="FL201" i="51"/>
  <c r="R201" i="51"/>
  <c r="P201" i="51"/>
  <c r="S201" i="51" s="1"/>
  <c r="O201" i="51"/>
  <c r="U201" i="51" s="1"/>
  <c r="N201" i="51"/>
  <c r="M201" i="51"/>
  <c r="FL200" i="51"/>
  <c r="R200" i="51"/>
  <c r="P200" i="51"/>
  <c r="S200" i="51" s="1"/>
  <c r="N200" i="51"/>
  <c r="M200" i="51"/>
  <c r="JN199" i="51"/>
  <c r="JM199" i="51"/>
  <c r="JL199" i="51"/>
  <c r="JK199" i="51"/>
  <c r="JJ199" i="51"/>
  <c r="JI199" i="51"/>
  <c r="JH199" i="51"/>
  <c r="JG199" i="51"/>
  <c r="JF199" i="51"/>
  <c r="JE199" i="51"/>
  <c r="JD199" i="51"/>
  <c r="JC199" i="51"/>
  <c r="JB199" i="51"/>
  <c r="JA199" i="51"/>
  <c r="IZ199" i="51"/>
  <c r="IY199" i="51"/>
  <c r="IX199" i="51"/>
  <c r="IW199" i="51"/>
  <c r="IV199" i="51"/>
  <c r="IU199" i="51"/>
  <c r="IT199" i="51"/>
  <c r="FL199" i="51"/>
  <c r="R199" i="51"/>
  <c r="L199" i="51"/>
  <c r="N199" i="51" s="1"/>
  <c r="JN198" i="51"/>
  <c r="JM198" i="51"/>
  <c r="JL198" i="51"/>
  <c r="JK198" i="51"/>
  <c r="JJ198" i="51"/>
  <c r="JI198" i="51"/>
  <c r="JH198" i="51"/>
  <c r="JG198" i="51"/>
  <c r="JF198" i="51"/>
  <c r="JE198" i="51"/>
  <c r="JD198" i="51"/>
  <c r="JC198" i="51"/>
  <c r="JB198" i="51"/>
  <c r="JA198" i="51"/>
  <c r="IZ198" i="51"/>
  <c r="IY198" i="51"/>
  <c r="IX198" i="51"/>
  <c r="IW198" i="51"/>
  <c r="IV198" i="51"/>
  <c r="IU198" i="51"/>
  <c r="IT198" i="51"/>
  <c r="FL198" i="51"/>
  <c r="R198" i="51"/>
  <c r="P198" i="51"/>
  <c r="O198" i="51"/>
  <c r="O200" i="51" s="1"/>
  <c r="N198" i="51"/>
  <c r="M198" i="51"/>
  <c r="JN197" i="51"/>
  <c r="JM197" i="51"/>
  <c r="JL197" i="51"/>
  <c r="JK197" i="51"/>
  <c r="JJ197" i="51"/>
  <c r="JI197" i="51"/>
  <c r="JH197" i="51"/>
  <c r="JG197" i="51"/>
  <c r="JF197" i="51"/>
  <c r="JE197" i="51"/>
  <c r="JD197" i="51"/>
  <c r="JC197" i="51"/>
  <c r="JB197" i="51"/>
  <c r="JA197" i="51"/>
  <c r="IZ197" i="51"/>
  <c r="IY197" i="51"/>
  <c r="IX197" i="51"/>
  <c r="IW197" i="51"/>
  <c r="IV197" i="51"/>
  <c r="IU197" i="51"/>
  <c r="IT197" i="51"/>
  <c r="FL197" i="51"/>
  <c r="R197" i="51"/>
  <c r="O197" i="51"/>
  <c r="L197" i="51"/>
  <c r="M197" i="51" s="1"/>
  <c r="JN196" i="51"/>
  <c r="JM196" i="51"/>
  <c r="JL196" i="51"/>
  <c r="JK196" i="51"/>
  <c r="JJ196" i="51"/>
  <c r="JI196" i="51"/>
  <c r="JH196" i="51"/>
  <c r="JG196" i="51"/>
  <c r="JF196" i="51"/>
  <c r="JE196" i="51"/>
  <c r="JD196" i="51"/>
  <c r="JC196" i="51"/>
  <c r="JB196" i="51"/>
  <c r="JA196" i="51"/>
  <c r="IZ196" i="51"/>
  <c r="IY196" i="51"/>
  <c r="IX196" i="51"/>
  <c r="IW196" i="51"/>
  <c r="IV196" i="51"/>
  <c r="IU196" i="51"/>
  <c r="IT196" i="51"/>
  <c r="FL196" i="51"/>
  <c r="R196" i="51"/>
  <c r="P196" i="51"/>
  <c r="S196" i="51" s="1"/>
  <c r="N196" i="51"/>
  <c r="M196" i="51"/>
  <c r="FL195" i="51"/>
  <c r="R195" i="51"/>
  <c r="P195" i="51"/>
  <c r="S195" i="51" s="1"/>
  <c r="N195" i="51"/>
  <c r="M195" i="51"/>
  <c r="FL194" i="51"/>
  <c r="R194" i="51"/>
  <c r="L194" i="51"/>
  <c r="M194" i="51" s="1"/>
  <c r="JN193" i="51"/>
  <c r="JM193" i="51"/>
  <c r="JL193" i="51"/>
  <c r="JK193" i="51"/>
  <c r="JJ193" i="51"/>
  <c r="JI193" i="51"/>
  <c r="JH193" i="51"/>
  <c r="JG193" i="51"/>
  <c r="JF193" i="51"/>
  <c r="JE193" i="51"/>
  <c r="JD193" i="51"/>
  <c r="JC193" i="51"/>
  <c r="JB193" i="51"/>
  <c r="JA193" i="51"/>
  <c r="IZ193" i="51"/>
  <c r="IY193" i="51"/>
  <c r="IX193" i="51"/>
  <c r="IW193" i="51"/>
  <c r="IV193" i="51"/>
  <c r="IU193" i="51"/>
  <c r="IT193" i="51"/>
  <c r="FL193" i="51"/>
  <c r="CK193" i="51"/>
  <c r="CJ193" i="51"/>
  <c r="CI193" i="51"/>
  <c r="CH193" i="51"/>
  <c r="CG193" i="51"/>
  <c r="CF193" i="51"/>
  <c r="CE193" i="51"/>
  <c r="CD193" i="51"/>
  <c r="CC193" i="51"/>
  <c r="CB193" i="51"/>
  <c r="CA193" i="51"/>
  <c r="BZ193" i="51"/>
  <c r="BY193" i="51"/>
  <c r="BX193" i="51"/>
  <c r="BW193" i="51"/>
  <c r="BV193" i="51"/>
  <c r="BU193" i="51"/>
  <c r="BT193" i="51"/>
  <c r="BS193" i="51"/>
  <c r="BR193" i="51"/>
  <c r="BQ193" i="51"/>
  <c r="BP193" i="51"/>
  <c r="BO193" i="51"/>
  <c r="BN193" i="51"/>
  <c r="BM193" i="51"/>
  <c r="BL193" i="51"/>
  <c r="BK193" i="51"/>
  <c r="BJ193" i="51"/>
  <c r="BI193" i="51"/>
  <c r="BH193" i="51"/>
  <c r="BG193" i="51"/>
  <c r="BF193" i="51"/>
  <c r="BE193" i="51"/>
  <c r="BD193" i="51"/>
  <c r="BC193" i="51"/>
  <c r="BB193" i="51"/>
  <c r="BA193" i="51"/>
  <c r="AZ193" i="51"/>
  <c r="AY193" i="51"/>
  <c r="AX193" i="51"/>
  <c r="AW193" i="51"/>
  <c r="AV193" i="51"/>
  <c r="AU193" i="51"/>
  <c r="AT193" i="51"/>
  <c r="AS193" i="51"/>
  <c r="AR193" i="51"/>
  <c r="AQ193" i="51"/>
  <c r="AP193" i="51"/>
  <c r="AO193" i="51"/>
  <c r="AN193" i="51"/>
  <c r="R193" i="51"/>
  <c r="L193" i="51"/>
  <c r="P193" i="51" s="1"/>
  <c r="S193" i="51" s="1"/>
  <c r="JN192" i="51"/>
  <c r="JM192" i="51"/>
  <c r="JL192" i="51"/>
  <c r="JK192" i="51"/>
  <c r="JJ192" i="51"/>
  <c r="JI192" i="51"/>
  <c r="JH192" i="51"/>
  <c r="JG192" i="51"/>
  <c r="JF192" i="51"/>
  <c r="JE192" i="51"/>
  <c r="JD192" i="51"/>
  <c r="JC192" i="51"/>
  <c r="JB192" i="51"/>
  <c r="JA192" i="51"/>
  <c r="IZ192" i="51"/>
  <c r="IY192" i="51"/>
  <c r="IX192" i="51"/>
  <c r="IW192" i="51"/>
  <c r="IV192" i="51"/>
  <c r="IU192" i="51"/>
  <c r="IT192" i="51"/>
  <c r="R192" i="51"/>
  <c r="P192" i="51"/>
  <c r="S192" i="51" s="1"/>
  <c r="N192" i="51"/>
  <c r="M192" i="51"/>
  <c r="JN191" i="51"/>
  <c r="JM191" i="51"/>
  <c r="JL191" i="51"/>
  <c r="JK191" i="51"/>
  <c r="JJ191" i="51"/>
  <c r="JI191" i="51"/>
  <c r="JH191" i="51"/>
  <c r="JG191" i="51"/>
  <c r="JF191" i="51"/>
  <c r="JE191" i="51"/>
  <c r="JD191" i="51"/>
  <c r="JC191" i="51"/>
  <c r="JB191" i="51"/>
  <c r="JA191" i="51"/>
  <c r="IZ191" i="51"/>
  <c r="IY191" i="51"/>
  <c r="IX191" i="51"/>
  <c r="IW191" i="51"/>
  <c r="IV191" i="51"/>
  <c r="IU191" i="51"/>
  <c r="IT191" i="51"/>
  <c r="R191" i="51"/>
  <c r="L191" i="51"/>
  <c r="JN190" i="51"/>
  <c r="JM190" i="51"/>
  <c r="JL190" i="51"/>
  <c r="JK190" i="51"/>
  <c r="JJ190" i="51"/>
  <c r="JI190" i="51"/>
  <c r="JH190" i="51"/>
  <c r="JG190" i="51"/>
  <c r="JF190" i="51"/>
  <c r="JE190" i="51"/>
  <c r="JD190" i="51"/>
  <c r="JC190" i="51"/>
  <c r="JB190" i="51"/>
  <c r="JA190" i="51"/>
  <c r="IZ190" i="51"/>
  <c r="IY190" i="51"/>
  <c r="IX190" i="51"/>
  <c r="IW190" i="51"/>
  <c r="IV190" i="51"/>
  <c r="IU190" i="51"/>
  <c r="IT190" i="51"/>
  <c r="R190" i="51"/>
  <c r="O190" i="51"/>
  <c r="L190" i="51"/>
  <c r="R189" i="51"/>
  <c r="O189" i="51"/>
  <c r="L189" i="51"/>
  <c r="N189" i="51" s="1"/>
  <c r="R188" i="51"/>
  <c r="P188" i="51"/>
  <c r="S188" i="51" s="1"/>
  <c r="N188" i="51"/>
  <c r="M188" i="51"/>
  <c r="JN187" i="51"/>
  <c r="JM187" i="51"/>
  <c r="JL187" i="51"/>
  <c r="JK187" i="51"/>
  <c r="JJ187" i="51"/>
  <c r="JI187" i="51"/>
  <c r="JH187" i="51"/>
  <c r="JG187" i="51"/>
  <c r="JF187" i="51"/>
  <c r="JE187" i="51"/>
  <c r="JD187" i="51"/>
  <c r="JC187" i="51"/>
  <c r="JB187" i="51"/>
  <c r="JA187" i="51"/>
  <c r="IZ187" i="51"/>
  <c r="IY187" i="51"/>
  <c r="IX187" i="51"/>
  <c r="IW187" i="51"/>
  <c r="IV187" i="51"/>
  <c r="IU187" i="51"/>
  <c r="IT187" i="51"/>
  <c r="R187" i="51"/>
  <c r="P187" i="51"/>
  <c r="S187" i="51" s="1"/>
  <c r="N187" i="51"/>
  <c r="M187" i="51"/>
  <c r="E187" i="51"/>
  <c r="W181" i="51" s="1"/>
  <c r="JN186" i="51"/>
  <c r="JM186" i="51"/>
  <c r="JL186" i="51"/>
  <c r="JK186" i="51"/>
  <c r="JJ186" i="51"/>
  <c r="JI186" i="51"/>
  <c r="JH186" i="51"/>
  <c r="JG186" i="51"/>
  <c r="JF186" i="51"/>
  <c r="JE186" i="51"/>
  <c r="JD186" i="51"/>
  <c r="JC186" i="51"/>
  <c r="JB186" i="51"/>
  <c r="JA186" i="51"/>
  <c r="IZ186" i="51"/>
  <c r="IY186" i="51"/>
  <c r="IX186" i="51"/>
  <c r="IW186" i="51"/>
  <c r="IV186" i="51"/>
  <c r="IU186" i="51"/>
  <c r="IT186" i="51"/>
  <c r="AF186" i="51"/>
  <c r="R186" i="51"/>
  <c r="L186" i="51"/>
  <c r="N186" i="51" s="1"/>
  <c r="JN185" i="51"/>
  <c r="JM185" i="51"/>
  <c r="JL185" i="51"/>
  <c r="JK185" i="51"/>
  <c r="JJ185" i="51"/>
  <c r="JI185" i="51"/>
  <c r="JH185" i="51"/>
  <c r="JG185" i="51"/>
  <c r="JF185" i="51"/>
  <c r="JE185" i="51"/>
  <c r="JD185" i="51"/>
  <c r="JC185" i="51"/>
  <c r="JB185" i="51"/>
  <c r="JA185" i="51"/>
  <c r="IZ185" i="51"/>
  <c r="IY185" i="51"/>
  <c r="IX185" i="51"/>
  <c r="IW185" i="51"/>
  <c r="IV185" i="51"/>
  <c r="IU185" i="51"/>
  <c r="IT185" i="51"/>
  <c r="R185" i="51"/>
  <c r="P185" i="51"/>
  <c r="S185" i="51" s="1"/>
  <c r="N185" i="51"/>
  <c r="M185" i="51"/>
  <c r="JN184" i="51"/>
  <c r="JM184" i="51"/>
  <c r="JL184" i="51"/>
  <c r="JK184" i="51"/>
  <c r="JJ184" i="51"/>
  <c r="JI184" i="51"/>
  <c r="JH184" i="51"/>
  <c r="JG184" i="51"/>
  <c r="JF184" i="51"/>
  <c r="JE184" i="51"/>
  <c r="JD184" i="51"/>
  <c r="JC184" i="51"/>
  <c r="JB184" i="51"/>
  <c r="JA184" i="51"/>
  <c r="IZ184" i="51"/>
  <c r="IY184" i="51"/>
  <c r="IX184" i="51"/>
  <c r="IW184" i="51"/>
  <c r="IV184" i="51"/>
  <c r="IU184" i="51"/>
  <c r="IT184" i="51"/>
  <c r="CK184" i="51"/>
  <c r="CJ184" i="51"/>
  <c r="CI184" i="51"/>
  <c r="CH184" i="51"/>
  <c r="CG184" i="51"/>
  <c r="CF184" i="51"/>
  <c r="CE184" i="51"/>
  <c r="CD184" i="51"/>
  <c r="CC184" i="51"/>
  <c r="CB184" i="51"/>
  <c r="CA184" i="51"/>
  <c r="BZ184" i="51"/>
  <c r="BY184" i="51"/>
  <c r="BX184" i="51"/>
  <c r="BW184" i="51"/>
  <c r="BV184" i="51"/>
  <c r="BU184" i="51"/>
  <c r="BT184" i="51"/>
  <c r="BS184" i="51"/>
  <c r="BR184" i="51"/>
  <c r="BQ184" i="51"/>
  <c r="BP184" i="51"/>
  <c r="BO184" i="51"/>
  <c r="BN184" i="51"/>
  <c r="BM184" i="51"/>
  <c r="BL184" i="51"/>
  <c r="BK184" i="51"/>
  <c r="BJ184" i="51"/>
  <c r="BI184" i="51"/>
  <c r="BH184" i="51"/>
  <c r="BG184" i="51"/>
  <c r="BF184" i="51"/>
  <c r="BE184" i="51"/>
  <c r="BD184" i="51"/>
  <c r="BC184" i="51"/>
  <c r="BB184" i="51"/>
  <c r="BA184" i="51"/>
  <c r="AZ184" i="51"/>
  <c r="AY184" i="51"/>
  <c r="AX184" i="51"/>
  <c r="AW184" i="51"/>
  <c r="AV184" i="51"/>
  <c r="AU184" i="51"/>
  <c r="AT184" i="51"/>
  <c r="AS184" i="51"/>
  <c r="AR184" i="51"/>
  <c r="AQ184" i="51"/>
  <c r="AP184" i="51"/>
  <c r="AO184" i="51"/>
  <c r="AN184" i="51"/>
  <c r="R184" i="51"/>
  <c r="P184" i="51"/>
  <c r="S184" i="51" s="1"/>
  <c r="N184" i="51"/>
  <c r="M184" i="51"/>
  <c r="R183" i="51"/>
  <c r="P183" i="51"/>
  <c r="S183" i="51" s="1"/>
  <c r="N183" i="51"/>
  <c r="M183" i="51"/>
  <c r="AE182" i="51"/>
  <c r="AD182" i="51"/>
  <c r="AC182" i="51"/>
  <c r="AB182" i="51"/>
  <c r="AA182" i="51"/>
  <c r="Z182" i="51"/>
  <c r="X182" i="51"/>
  <c r="R182" i="51"/>
  <c r="P182" i="51"/>
  <c r="S182" i="51" s="1"/>
  <c r="N182" i="51"/>
  <c r="M182" i="51"/>
  <c r="F182" i="51"/>
  <c r="JN181" i="51"/>
  <c r="JM181" i="51"/>
  <c r="JL181" i="51"/>
  <c r="JK181" i="51"/>
  <c r="JJ181" i="51"/>
  <c r="JI181" i="51"/>
  <c r="JH181" i="51"/>
  <c r="JG181" i="51"/>
  <c r="JF181" i="51"/>
  <c r="JE181" i="51"/>
  <c r="JD181" i="51"/>
  <c r="JC181" i="51"/>
  <c r="JB181" i="51"/>
  <c r="JA181" i="51"/>
  <c r="IZ181" i="51"/>
  <c r="IY181" i="51"/>
  <c r="IX181" i="51"/>
  <c r="IW181" i="51"/>
  <c r="IV181" i="51"/>
  <c r="IU181" i="51"/>
  <c r="IT181" i="51"/>
  <c r="AE181" i="51"/>
  <c r="AD181" i="51"/>
  <c r="AC181" i="51"/>
  <c r="AB181" i="51"/>
  <c r="AA181" i="51"/>
  <c r="Z181" i="51"/>
  <c r="X181" i="51"/>
  <c r="R181" i="51"/>
  <c r="P181" i="51"/>
  <c r="S181" i="51" s="1"/>
  <c r="N181" i="51"/>
  <c r="M181" i="51"/>
  <c r="JN180" i="51"/>
  <c r="JM180" i="51"/>
  <c r="JL180" i="51"/>
  <c r="JK180" i="51"/>
  <c r="JJ180" i="51"/>
  <c r="JI180" i="51"/>
  <c r="JH180" i="51"/>
  <c r="JG180" i="51"/>
  <c r="JF180" i="51"/>
  <c r="JE180" i="51"/>
  <c r="JD180" i="51"/>
  <c r="JC180" i="51"/>
  <c r="JB180" i="51"/>
  <c r="JA180" i="51"/>
  <c r="IZ180" i="51"/>
  <c r="IY180" i="51"/>
  <c r="IX180" i="51"/>
  <c r="IW180" i="51"/>
  <c r="IV180" i="51"/>
  <c r="IU180" i="51"/>
  <c r="IT180" i="51"/>
  <c r="AE180" i="51"/>
  <c r="AD180" i="51"/>
  <c r="AC180" i="51"/>
  <c r="AB180" i="51"/>
  <c r="AA180" i="51"/>
  <c r="Z180" i="51"/>
  <c r="X180" i="51"/>
  <c r="W180" i="51"/>
  <c r="R180" i="51"/>
  <c r="P180" i="51"/>
  <c r="S180" i="51" s="1"/>
  <c r="N180" i="51"/>
  <c r="M180" i="51"/>
  <c r="JN179" i="51"/>
  <c r="JM179" i="51"/>
  <c r="JL179" i="51"/>
  <c r="JK179" i="51"/>
  <c r="JJ179" i="51"/>
  <c r="JI179" i="51"/>
  <c r="JH179" i="51"/>
  <c r="JG179" i="51"/>
  <c r="JF179" i="51"/>
  <c r="JE179" i="51"/>
  <c r="JD179" i="51"/>
  <c r="JC179" i="51"/>
  <c r="JB179" i="51"/>
  <c r="JA179" i="51"/>
  <c r="IZ179" i="51"/>
  <c r="IY179" i="51"/>
  <c r="IX179" i="51"/>
  <c r="IW179" i="51"/>
  <c r="IV179" i="51"/>
  <c r="IU179" i="51"/>
  <c r="IT179" i="51"/>
  <c r="AE179" i="51"/>
  <c r="AD179" i="51"/>
  <c r="AC179" i="51"/>
  <c r="AB179" i="51"/>
  <c r="AA179" i="51"/>
  <c r="Z179" i="51"/>
  <c r="X179" i="51"/>
  <c r="R179" i="51"/>
  <c r="P179" i="51"/>
  <c r="S179" i="51" s="1"/>
  <c r="N179" i="51"/>
  <c r="M179" i="51"/>
  <c r="JN178" i="51"/>
  <c r="JM178" i="51"/>
  <c r="JL178" i="51"/>
  <c r="JK178" i="51"/>
  <c r="JJ178" i="51"/>
  <c r="JI178" i="51"/>
  <c r="JH178" i="51"/>
  <c r="JG178" i="51"/>
  <c r="JF178" i="51"/>
  <c r="JE178" i="51"/>
  <c r="JD178" i="51"/>
  <c r="JC178" i="51"/>
  <c r="JB178" i="51"/>
  <c r="JA178" i="51"/>
  <c r="IZ178" i="51"/>
  <c r="IY178" i="51"/>
  <c r="IX178" i="51"/>
  <c r="IW178" i="51"/>
  <c r="IV178" i="51"/>
  <c r="IU178" i="51"/>
  <c r="IT178" i="51"/>
  <c r="AE178" i="51"/>
  <c r="AD178" i="51"/>
  <c r="AC178" i="51"/>
  <c r="AB178" i="51"/>
  <c r="AA178" i="51"/>
  <c r="Z178" i="51"/>
  <c r="X178" i="51"/>
  <c r="W178" i="51"/>
  <c r="HD177" i="51"/>
  <c r="HC177" i="51"/>
  <c r="HA177" i="51"/>
  <c r="AE177" i="51"/>
  <c r="AD177" i="51"/>
  <c r="AC177" i="51"/>
  <c r="AB177" i="51"/>
  <c r="AA177" i="51"/>
  <c r="Z177" i="51"/>
  <c r="X177" i="51"/>
  <c r="L177" i="51"/>
  <c r="HD176" i="51"/>
  <c r="HC176" i="51"/>
  <c r="HA176" i="51"/>
  <c r="AE176" i="51"/>
  <c r="AD176" i="51"/>
  <c r="AC176" i="51"/>
  <c r="AB176" i="51"/>
  <c r="AA176" i="51"/>
  <c r="Z176" i="51"/>
  <c r="X176" i="51"/>
  <c r="JN175" i="51"/>
  <c r="JM175" i="51"/>
  <c r="JL175" i="51"/>
  <c r="JK175" i="51"/>
  <c r="JJ175" i="51"/>
  <c r="JI175" i="51"/>
  <c r="JH175" i="51"/>
  <c r="JG175" i="51"/>
  <c r="JF175" i="51"/>
  <c r="JE175" i="51"/>
  <c r="JD175" i="51"/>
  <c r="JC175" i="51"/>
  <c r="JB175" i="51"/>
  <c r="JA175" i="51"/>
  <c r="IZ175" i="51"/>
  <c r="IY175" i="51"/>
  <c r="IX175" i="51"/>
  <c r="IW175" i="51"/>
  <c r="IV175" i="51"/>
  <c r="IU175" i="51"/>
  <c r="IT175" i="51"/>
  <c r="HD175" i="51"/>
  <c r="HC175" i="51"/>
  <c r="HA175" i="51"/>
  <c r="CK175" i="51"/>
  <c r="CJ175" i="51"/>
  <c r="CI175" i="51"/>
  <c r="CH175" i="51"/>
  <c r="CG175" i="51"/>
  <c r="CF175" i="51"/>
  <c r="CE175" i="51"/>
  <c r="CD175" i="51"/>
  <c r="CC175" i="51"/>
  <c r="CB175" i="51"/>
  <c r="CA175" i="51"/>
  <c r="BZ175" i="51"/>
  <c r="BY175" i="51"/>
  <c r="BX175" i="51"/>
  <c r="BW175" i="51"/>
  <c r="BV175" i="51"/>
  <c r="BU175" i="51"/>
  <c r="BT175" i="51"/>
  <c r="BS175" i="51"/>
  <c r="BR175" i="51"/>
  <c r="BQ175" i="51"/>
  <c r="BP175" i="51"/>
  <c r="BO175" i="51"/>
  <c r="BN175" i="51"/>
  <c r="BM175" i="51"/>
  <c r="BL175" i="51"/>
  <c r="BK175" i="51"/>
  <c r="BJ175" i="51"/>
  <c r="BI175" i="51"/>
  <c r="BH175" i="51"/>
  <c r="BG175" i="51"/>
  <c r="BF175" i="51"/>
  <c r="BE175" i="51"/>
  <c r="BD175" i="51"/>
  <c r="BC175" i="51"/>
  <c r="BB175" i="51"/>
  <c r="BA175" i="51"/>
  <c r="AZ175" i="51"/>
  <c r="AY175" i="51"/>
  <c r="AX175" i="51"/>
  <c r="AW175" i="51"/>
  <c r="AV175" i="51"/>
  <c r="AU175" i="51"/>
  <c r="AT175" i="51"/>
  <c r="AS175" i="51"/>
  <c r="AR175" i="51"/>
  <c r="AQ175" i="51"/>
  <c r="AP175" i="51"/>
  <c r="AO175" i="51"/>
  <c r="AN175" i="51"/>
  <c r="AE175" i="51"/>
  <c r="AD175" i="51"/>
  <c r="AC175" i="51"/>
  <c r="AB175" i="51"/>
  <c r="AA175" i="51"/>
  <c r="Z175" i="51"/>
  <c r="X175" i="51"/>
  <c r="R175" i="51"/>
  <c r="P175" i="51"/>
  <c r="S175" i="51" s="1"/>
  <c r="N175" i="51"/>
  <c r="M175" i="51"/>
  <c r="JN174" i="51"/>
  <c r="JM174" i="51"/>
  <c r="JL174" i="51"/>
  <c r="JK174" i="51"/>
  <c r="JJ174" i="51"/>
  <c r="JI174" i="51"/>
  <c r="JH174" i="51"/>
  <c r="JG174" i="51"/>
  <c r="JF174" i="51"/>
  <c r="JE174" i="51"/>
  <c r="JD174" i="51"/>
  <c r="JC174" i="51"/>
  <c r="JB174" i="51"/>
  <c r="JA174" i="51"/>
  <c r="IZ174" i="51"/>
  <c r="IY174" i="51"/>
  <c r="IX174" i="51"/>
  <c r="IW174" i="51"/>
  <c r="IV174" i="51"/>
  <c r="IU174" i="51"/>
  <c r="IT174" i="51"/>
  <c r="GY174" i="51"/>
  <c r="AE174" i="51"/>
  <c r="AD174" i="51"/>
  <c r="AC174" i="51"/>
  <c r="AB174" i="51"/>
  <c r="AA174" i="51"/>
  <c r="Z174" i="51"/>
  <c r="X174" i="51"/>
  <c r="R174" i="51"/>
  <c r="P174" i="51"/>
  <c r="S174" i="51" s="1"/>
  <c r="O174" i="51"/>
  <c r="N174" i="51"/>
  <c r="M174" i="51"/>
  <c r="JN173" i="51"/>
  <c r="JM173" i="51"/>
  <c r="JL173" i="51"/>
  <c r="JK173" i="51"/>
  <c r="JJ173" i="51"/>
  <c r="JI173" i="51"/>
  <c r="JH173" i="51"/>
  <c r="JG173" i="51"/>
  <c r="JF173" i="51"/>
  <c r="JE173" i="51"/>
  <c r="JD173" i="51"/>
  <c r="JC173" i="51"/>
  <c r="JB173" i="51"/>
  <c r="JA173" i="51"/>
  <c r="IZ173" i="51"/>
  <c r="IY173" i="51"/>
  <c r="IX173" i="51"/>
  <c r="IW173" i="51"/>
  <c r="IV173" i="51"/>
  <c r="IU173" i="51"/>
  <c r="IT173" i="51"/>
  <c r="AE173" i="51"/>
  <c r="AD173" i="51"/>
  <c r="AC173" i="51"/>
  <c r="AB173" i="51"/>
  <c r="AA173" i="51"/>
  <c r="Z173" i="51"/>
  <c r="X173" i="51"/>
  <c r="R173" i="51"/>
  <c r="L173" i="51"/>
  <c r="P173" i="51" s="1"/>
  <c r="S173" i="51" s="1"/>
  <c r="JN172" i="51"/>
  <c r="JM172" i="51"/>
  <c r="JL172" i="51"/>
  <c r="JK172" i="51"/>
  <c r="JJ172" i="51"/>
  <c r="JI172" i="51"/>
  <c r="JH172" i="51"/>
  <c r="JG172" i="51"/>
  <c r="JF172" i="51"/>
  <c r="JE172" i="51"/>
  <c r="JD172" i="51"/>
  <c r="JC172" i="51"/>
  <c r="JB172" i="51"/>
  <c r="JA172" i="51"/>
  <c r="IZ172" i="51"/>
  <c r="IY172" i="51"/>
  <c r="IX172" i="51"/>
  <c r="IW172" i="51"/>
  <c r="IV172" i="51"/>
  <c r="IU172" i="51"/>
  <c r="IT172" i="51"/>
  <c r="AE172" i="51"/>
  <c r="AD172" i="51"/>
  <c r="AC172" i="51"/>
  <c r="AB172" i="51"/>
  <c r="AA172" i="51"/>
  <c r="Z172" i="51"/>
  <c r="X172" i="51"/>
  <c r="W172" i="51"/>
  <c r="R172" i="51"/>
  <c r="L172" i="51"/>
  <c r="O172" i="51" s="1"/>
  <c r="AE171" i="51"/>
  <c r="AD171" i="51"/>
  <c r="AC171" i="51"/>
  <c r="AB171" i="51"/>
  <c r="AA171" i="51"/>
  <c r="Z171" i="51"/>
  <c r="X171" i="51"/>
  <c r="R171" i="51"/>
  <c r="P171" i="51"/>
  <c r="S171" i="51" s="1"/>
  <c r="O171" i="51"/>
  <c r="N171" i="51"/>
  <c r="M171" i="51"/>
  <c r="AE170" i="51"/>
  <c r="AD170" i="51"/>
  <c r="AC170" i="51"/>
  <c r="AB170" i="51"/>
  <c r="AA170" i="51"/>
  <c r="Z170" i="51"/>
  <c r="X170" i="51"/>
  <c r="R170" i="51"/>
  <c r="P170" i="51"/>
  <c r="S170" i="51" s="1"/>
  <c r="N170" i="51"/>
  <c r="M170" i="51"/>
  <c r="JN169" i="51"/>
  <c r="JM169" i="51"/>
  <c r="JL169" i="51"/>
  <c r="JK169" i="51"/>
  <c r="JJ169" i="51"/>
  <c r="JI169" i="51"/>
  <c r="JH169" i="51"/>
  <c r="JG169" i="51"/>
  <c r="JF169" i="51"/>
  <c r="JE169" i="51"/>
  <c r="JD169" i="51"/>
  <c r="JC169" i="51"/>
  <c r="JB169" i="51"/>
  <c r="JA169" i="51"/>
  <c r="IZ169" i="51"/>
  <c r="IY169" i="51"/>
  <c r="IX169" i="51"/>
  <c r="IW169" i="51"/>
  <c r="IV169" i="51"/>
  <c r="IU169" i="51"/>
  <c r="IT169" i="51"/>
  <c r="AE169" i="51"/>
  <c r="AD169" i="51"/>
  <c r="AC169" i="51"/>
  <c r="AB169" i="51"/>
  <c r="AA169" i="51"/>
  <c r="Z169" i="51"/>
  <c r="X169" i="51"/>
  <c r="R169" i="51"/>
  <c r="L169" i="51"/>
  <c r="N169" i="51" s="1"/>
  <c r="JN168" i="51"/>
  <c r="JM168" i="51"/>
  <c r="JL168" i="51"/>
  <c r="JK168" i="51"/>
  <c r="JJ168" i="51"/>
  <c r="JI168" i="51"/>
  <c r="JH168" i="51"/>
  <c r="JG168" i="51"/>
  <c r="JF168" i="51"/>
  <c r="JE168" i="51"/>
  <c r="JD168" i="51"/>
  <c r="JC168" i="51"/>
  <c r="JB168" i="51"/>
  <c r="JA168" i="51"/>
  <c r="IZ168" i="51"/>
  <c r="IY168" i="51"/>
  <c r="IX168" i="51"/>
  <c r="IW168" i="51"/>
  <c r="IV168" i="51"/>
  <c r="IU168" i="51"/>
  <c r="IT168" i="51"/>
  <c r="AE168" i="51"/>
  <c r="AD168" i="51"/>
  <c r="AC168" i="51"/>
  <c r="AB168" i="51"/>
  <c r="AA168" i="51"/>
  <c r="Z168" i="51"/>
  <c r="X168" i="51"/>
  <c r="R168" i="51"/>
  <c r="L168" i="51"/>
  <c r="N168" i="51" s="1"/>
  <c r="JN167" i="51"/>
  <c r="JM167" i="51"/>
  <c r="JL167" i="51"/>
  <c r="JK167" i="51"/>
  <c r="JJ167" i="51"/>
  <c r="JI167" i="51"/>
  <c r="JH167" i="51"/>
  <c r="JG167" i="51"/>
  <c r="JF167" i="51"/>
  <c r="JE167" i="51"/>
  <c r="JD167" i="51"/>
  <c r="JC167" i="51"/>
  <c r="JB167" i="51"/>
  <c r="JA167" i="51"/>
  <c r="IZ167" i="51"/>
  <c r="IY167" i="51"/>
  <c r="IX167" i="51"/>
  <c r="IW167" i="51"/>
  <c r="IV167" i="51"/>
  <c r="IU167" i="51"/>
  <c r="IT167" i="51"/>
  <c r="GY167" i="51"/>
  <c r="HC167" i="51" s="1"/>
  <c r="AE167" i="51"/>
  <c r="AD167" i="51"/>
  <c r="AC167" i="51"/>
  <c r="AB167" i="51"/>
  <c r="AA167" i="51"/>
  <c r="Z167" i="51"/>
  <c r="X167" i="51"/>
  <c r="R167" i="51"/>
  <c r="P167" i="51"/>
  <c r="S167" i="51" s="1"/>
  <c r="N167" i="51"/>
  <c r="M167" i="51"/>
  <c r="JN166" i="51"/>
  <c r="JM166" i="51"/>
  <c r="JL166" i="51"/>
  <c r="JK166" i="51"/>
  <c r="JJ166" i="51"/>
  <c r="JI166" i="51"/>
  <c r="JH166" i="51"/>
  <c r="JG166" i="51"/>
  <c r="JF166" i="51"/>
  <c r="JE166" i="51"/>
  <c r="JD166" i="51"/>
  <c r="JC166" i="51"/>
  <c r="JB166" i="51"/>
  <c r="JA166" i="51"/>
  <c r="IZ166" i="51"/>
  <c r="IY166" i="51"/>
  <c r="IX166" i="51"/>
  <c r="IW166" i="51"/>
  <c r="IV166" i="51"/>
  <c r="IU166" i="51"/>
  <c r="IT166" i="51"/>
  <c r="HC166" i="51"/>
  <c r="HB166" i="51"/>
  <c r="GZ166" i="51"/>
  <c r="CK166" i="51"/>
  <c r="CJ166" i="51"/>
  <c r="CI166" i="51"/>
  <c r="CH166" i="51"/>
  <c r="CG166" i="51"/>
  <c r="CF166" i="51"/>
  <c r="CE166" i="51"/>
  <c r="CD166" i="51"/>
  <c r="CC166" i="51"/>
  <c r="CB166" i="51"/>
  <c r="CA166" i="51"/>
  <c r="BZ166" i="51"/>
  <c r="BY166" i="51"/>
  <c r="BX166" i="51"/>
  <c r="BW166" i="51"/>
  <c r="BV166" i="51"/>
  <c r="BU166" i="51"/>
  <c r="BT166" i="51"/>
  <c r="BS166" i="51"/>
  <c r="BR166" i="51"/>
  <c r="BQ166" i="51"/>
  <c r="BP166" i="51"/>
  <c r="BO166" i="51"/>
  <c r="BN166" i="51"/>
  <c r="BM166" i="51"/>
  <c r="BL166" i="51"/>
  <c r="BK166" i="51"/>
  <c r="BJ166" i="51"/>
  <c r="BI166" i="51"/>
  <c r="BH166" i="51"/>
  <c r="BG166" i="51"/>
  <c r="BF166" i="51"/>
  <c r="BE166" i="51"/>
  <c r="BD166" i="51"/>
  <c r="BC166" i="51"/>
  <c r="BB166" i="51"/>
  <c r="BA166" i="51"/>
  <c r="AZ166" i="51"/>
  <c r="AY166" i="51"/>
  <c r="AX166" i="51"/>
  <c r="AW166" i="51"/>
  <c r="AV166" i="51"/>
  <c r="AU166" i="51"/>
  <c r="AT166" i="51"/>
  <c r="AS166" i="51"/>
  <c r="AR166" i="51"/>
  <c r="AQ166" i="51"/>
  <c r="AP166" i="51"/>
  <c r="AO166" i="51"/>
  <c r="AN166" i="51"/>
  <c r="R166" i="51"/>
  <c r="L166" i="51"/>
  <c r="M166" i="51" s="1"/>
  <c r="HC165" i="51"/>
  <c r="HB165" i="51"/>
  <c r="GZ165" i="51"/>
  <c r="R165" i="51"/>
  <c r="O165" i="51"/>
  <c r="L165" i="51"/>
  <c r="GX164" i="51"/>
  <c r="R164" i="51"/>
  <c r="O164" i="51"/>
  <c r="L164" i="51"/>
  <c r="P164" i="51" s="1"/>
  <c r="S164" i="51" s="1"/>
  <c r="JN163" i="51"/>
  <c r="JM163" i="51"/>
  <c r="JL163" i="51"/>
  <c r="JK163" i="51"/>
  <c r="JJ163" i="51"/>
  <c r="JI163" i="51"/>
  <c r="JH163" i="51"/>
  <c r="JG163" i="51"/>
  <c r="JF163" i="51"/>
  <c r="JE163" i="51"/>
  <c r="JD163" i="51"/>
  <c r="JC163" i="51"/>
  <c r="JB163" i="51"/>
  <c r="JA163" i="51"/>
  <c r="IZ163" i="51"/>
  <c r="IY163" i="51"/>
  <c r="IX163" i="51"/>
  <c r="IW163" i="51"/>
  <c r="IV163" i="51"/>
  <c r="IU163" i="51"/>
  <c r="IT163" i="51"/>
  <c r="R163" i="51"/>
  <c r="P163" i="51"/>
  <c r="S163" i="51" s="1"/>
  <c r="N163" i="51"/>
  <c r="M163" i="51"/>
  <c r="JN162" i="51"/>
  <c r="JM162" i="51"/>
  <c r="JL162" i="51"/>
  <c r="JK162" i="51"/>
  <c r="JJ162" i="51"/>
  <c r="JI162" i="51"/>
  <c r="JH162" i="51"/>
  <c r="JG162" i="51"/>
  <c r="JF162" i="51"/>
  <c r="JE162" i="51"/>
  <c r="JD162" i="51"/>
  <c r="JC162" i="51"/>
  <c r="JB162" i="51"/>
  <c r="JA162" i="51"/>
  <c r="IZ162" i="51"/>
  <c r="IY162" i="51"/>
  <c r="IX162" i="51"/>
  <c r="IW162" i="51"/>
  <c r="IV162" i="51"/>
  <c r="IU162" i="51"/>
  <c r="IT162" i="51"/>
  <c r="R162" i="51"/>
  <c r="P162" i="51"/>
  <c r="S162" i="51" s="1"/>
  <c r="N162" i="51"/>
  <c r="M162" i="51"/>
  <c r="JN161" i="51"/>
  <c r="JM161" i="51"/>
  <c r="JL161" i="51"/>
  <c r="JK161" i="51"/>
  <c r="JJ161" i="51"/>
  <c r="JI161" i="51"/>
  <c r="JH161" i="51"/>
  <c r="JG161" i="51"/>
  <c r="JF161" i="51"/>
  <c r="JE161" i="51"/>
  <c r="JD161" i="51"/>
  <c r="JC161" i="51"/>
  <c r="JB161" i="51"/>
  <c r="JA161" i="51"/>
  <c r="IZ161" i="51"/>
  <c r="IY161" i="51"/>
  <c r="IX161" i="51"/>
  <c r="IW161" i="51"/>
  <c r="IV161" i="51"/>
  <c r="IU161" i="51"/>
  <c r="IT161" i="51"/>
  <c r="R161" i="51"/>
  <c r="L161" i="51"/>
  <c r="N161" i="51" s="1"/>
  <c r="JN160" i="51"/>
  <c r="JM160" i="51"/>
  <c r="JL160" i="51"/>
  <c r="JK160" i="51"/>
  <c r="JJ160" i="51"/>
  <c r="JI160" i="51"/>
  <c r="JH160" i="51"/>
  <c r="JG160" i="51"/>
  <c r="JF160" i="51"/>
  <c r="JE160" i="51"/>
  <c r="JD160" i="51"/>
  <c r="JC160" i="51"/>
  <c r="JB160" i="51"/>
  <c r="JA160" i="51"/>
  <c r="IZ160" i="51"/>
  <c r="IY160" i="51"/>
  <c r="IX160" i="51"/>
  <c r="IW160" i="51"/>
  <c r="IV160" i="51"/>
  <c r="IU160" i="51"/>
  <c r="IT160" i="51"/>
  <c r="R160" i="51"/>
  <c r="P160" i="51"/>
  <c r="S160" i="51" s="1"/>
  <c r="N160" i="51"/>
  <c r="M160" i="51"/>
  <c r="R159" i="51"/>
  <c r="P159" i="51"/>
  <c r="S159" i="51" s="1"/>
  <c r="N159" i="51"/>
  <c r="M159" i="51"/>
  <c r="E159" i="51"/>
  <c r="W157" i="51" s="1"/>
  <c r="AH158" i="51"/>
  <c r="AG158" i="51"/>
  <c r="AF158" i="51"/>
  <c r="AE158" i="51"/>
  <c r="AD158" i="51"/>
  <c r="AC158" i="51"/>
  <c r="AB158" i="51"/>
  <c r="AA158" i="51"/>
  <c r="Z158" i="51"/>
  <c r="X158" i="51"/>
  <c r="R158" i="51"/>
  <c r="P158" i="51"/>
  <c r="S158" i="51" s="1"/>
  <c r="N158" i="51"/>
  <c r="M158" i="51"/>
  <c r="JN157" i="51"/>
  <c r="JM157" i="51"/>
  <c r="JL157" i="51"/>
  <c r="JK157" i="51"/>
  <c r="JJ157" i="51"/>
  <c r="JI157" i="51"/>
  <c r="JH157" i="51"/>
  <c r="JG157" i="51"/>
  <c r="JF157" i="51"/>
  <c r="JE157" i="51"/>
  <c r="JD157" i="51"/>
  <c r="JC157" i="51"/>
  <c r="JB157" i="51"/>
  <c r="JA157" i="51"/>
  <c r="IZ157" i="51"/>
  <c r="IY157" i="51"/>
  <c r="IX157" i="51"/>
  <c r="IW157" i="51"/>
  <c r="IV157" i="51"/>
  <c r="IU157" i="51"/>
  <c r="IT157" i="51"/>
  <c r="AH157" i="51"/>
  <c r="AG157" i="51"/>
  <c r="AF157" i="51"/>
  <c r="AE157" i="51"/>
  <c r="AD157" i="51"/>
  <c r="AC157" i="51"/>
  <c r="AB157" i="51"/>
  <c r="AA157" i="51"/>
  <c r="Z157" i="51"/>
  <c r="X157" i="51"/>
  <c r="R157" i="51"/>
  <c r="P157" i="51"/>
  <c r="S157" i="51" s="1"/>
  <c r="N157" i="51"/>
  <c r="M157" i="51"/>
  <c r="JN156" i="51"/>
  <c r="JM156" i="51"/>
  <c r="JL156" i="51"/>
  <c r="JK156" i="51"/>
  <c r="JJ156" i="51"/>
  <c r="JI156" i="51"/>
  <c r="JH156" i="51"/>
  <c r="JG156" i="51"/>
  <c r="JF156" i="51"/>
  <c r="JE156" i="51"/>
  <c r="JD156" i="51"/>
  <c r="JC156" i="51"/>
  <c r="JB156" i="51"/>
  <c r="JA156" i="51"/>
  <c r="IZ156" i="51"/>
  <c r="IY156" i="51"/>
  <c r="IX156" i="51"/>
  <c r="IW156" i="51"/>
  <c r="IV156" i="51"/>
  <c r="IU156" i="51"/>
  <c r="IT156" i="51"/>
  <c r="CK156" i="51"/>
  <c r="CJ156" i="51"/>
  <c r="CI156" i="51"/>
  <c r="CH156" i="51"/>
  <c r="CG156" i="51"/>
  <c r="CF156" i="51"/>
  <c r="CE156" i="51"/>
  <c r="CD156" i="51"/>
  <c r="CC156" i="51"/>
  <c r="CB156" i="51"/>
  <c r="CA156" i="51"/>
  <c r="BZ156" i="51"/>
  <c r="BY156" i="51"/>
  <c r="BX156" i="51"/>
  <c r="BW156" i="51"/>
  <c r="BV156" i="51"/>
  <c r="BU156" i="51"/>
  <c r="BT156" i="51"/>
  <c r="BS156" i="51"/>
  <c r="BR156" i="51"/>
  <c r="BQ156" i="51"/>
  <c r="BP156" i="51"/>
  <c r="BO156" i="51"/>
  <c r="BN156" i="51"/>
  <c r="BM156" i="51"/>
  <c r="BL156" i="51"/>
  <c r="BK156" i="51"/>
  <c r="BJ156" i="51"/>
  <c r="BI156" i="51"/>
  <c r="BH156" i="51"/>
  <c r="BG156" i="51"/>
  <c r="BF156" i="51"/>
  <c r="BE156" i="51"/>
  <c r="BD156" i="51"/>
  <c r="BC156" i="51"/>
  <c r="BB156" i="51"/>
  <c r="BA156" i="51"/>
  <c r="AZ156" i="51"/>
  <c r="AY156" i="51"/>
  <c r="AX156" i="51"/>
  <c r="AW156" i="51"/>
  <c r="AV156" i="51"/>
  <c r="AU156" i="51"/>
  <c r="AT156" i="51"/>
  <c r="AS156" i="51"/>
  <c r="AR156" i="51"/>
  <c r="AQ156" i="51"/>
  <c r="AP156" i="51"/>
  <c r="AO156" i="51"/>
  <c r="AN156" i="51"/>
  <c r="AH156" i="51"/>
  <c r="AG156" i="51"/>
  <c r="AF156" i="51"/>
  <c r="AE156" i="51"/>
  <c r="AD156" i="51"/>
  <c r="AC156" i="51"/>
  <c r="AB156" i="51"/>
  <c r="AA156" i="51"/>
  <c r="Z156" i="51"/>
  <c r="X156" i="51"/>
  <c r="R156" i="51"/>
  <c r="P156" i="51"/>
  <c r="S156" i="51" s="1"/>
  <c r="N156" i="51"/>
  <c r="M156" i="51"/>
  <c r="JN155" i="51"/>
  <c r="JM155" i="51"/>
  <c r="JL155" i="51"/>
  <c r="JK155" i="51"/>
  <c r="JJ155" i="51"/>
  <c r="JI155" i="51"/>
  <c r="JH155" i="51"/>
  <c r="JG155" i="51"/>
  <c r="JF155" i="51"/>
  <c r="JE155" i="51"/>
  <c r="JD155" i="51"/>
  <c r="JC155" i="51"/>
  <c r="JB155" i="51"/>
  <c r="JA155" i="51"/>
  <c r="IZ155" i="51"/>
  <c r="IY155" i="51"/>
  <c r="IX155" i="51"/>
  <c r="IW155" i="51"/>
  <c r="IV155" i="51"/>
  <c r="IU155" i="51"/>
  <c r="IT155" i="51"/>
  <c r="AH155" i="51"/>
  <c r="AG155" i="51"/>
  <c r="AF155" i="51"/>
  <c r="AE155" i="51"/>
  <c r="AD155" i="51"/>
  <c r="AC155" i="51"/>
  <c r="AB155" i="51"/>
  <c r="AA155" i="51"/>
  <c r="Z155" i="51"/>
  <c r="X155" i="51"/>
  <c r="R155" i="51"/>
  <c r="P155" i="51"/>
  <c r="S155" i="51" s="1"/>
  <c r="N155" i="51"/>
  <c r="M155" i="51"/>
  <c r="JN154" i="51"/>
  <c r="JM154" i="51"/>
  <c r="JL154" i="51"/>
  <c r="JK154" i="51"/>
  <c r="JJ154" i="51"/>
  <c r="JI154" i="51"/>
  <c r="JH154" i="51"/>
  <c r="JG154" i="51"/>
  <c r="JF154" i="51"/>
  <c r="JE154" i="51"/>
  <c r="JD154" i="51"/>
  <c r="JC154" i="51"/>
  <c r="JB154" i="51"/>
  <c r="JA154" i="51"/>
  <c r="IZ154" i="51"/>
  <c r="IY154" i="51"/>
  <c r="IX154" i="51"/>
  <c r="IW154" i="51"/>
  <c r="IV154" i="51"/>
  <c r="IU154" i="51"/>
  <c r="IT154" i="51"/>
  <c r="AH154" i="51"/>
  <c r="AG154" i="51"/>
  <c r="AF154" i="51"/>
  <c r="AE154" i="51"/>
  <c r="AD154" i="51"/>
  <c r="AC154" i="51"/>
  <c r="AB154" i="51"/>
  <c r="AA154" i="51"/>
  <c r="Z154" i="51"/>
  <c r="X154" i="51"/>
  <c r="R154" i="51"/>
  <c r="P154" i="51"/>
  <c r="S154" i="51" s="1"/>
  <c r="N154" i="51"/>
  <c r="M154" i="51"/>
  <c r="F154" i="51"/>
  <c r="AH153" i="51"/>
  <c r="AG153" i="51"/>
  <c r="AF153" i="51"/>
  <c r="AE153" i="51"/>
  <c r="AD153" i="51"/>
  <c r="AC153" i="51"/>
  <c r="AB153" i="51"/>
  <c r="AA153" i="51"/>
  <c r="Z153" i="51"/>
  <c r="X153" i="51"/>
  <c r="R153" i="51"/>
  <c r="P153" i="51"/>
  <c r="S153" i="51" s="1"/>
  <c r="N153" i="51"/>
  <c r="M153" i="51"/>
  <c r="AH152" i="51"/>
  <c r="AG152" i="51"/>
  <c r="AF152" i="51"/>
  <c r="AE152" i="51"/>
  <c r="AD152" i="51"/>
  <c r="AC152" i="51"/>
  <c r="AB152" i="51"/>
  <c r="AA152" i="51"/>
  <c r="Z152" i="51"/>
  <c r="X152" i="51"/>
  <c r="R152" i="51"/>
  <c r="P152" i="51"/>
  <c r="S152" i="51" s="1"/>
  <c r="N152" i="51"/>
  <c r="M152" i="51"/>
  <c r="JN151" i="51"/>
  <c r="JM151" i="51"/>
  <c r="JL151" i="51"/>
  <c r="JK151" i="51"/>
  <c r="JJ151" i="51"/>
  <c r="JI151" i="51"/>
  <c r="JH151" i="51"/>
  <c r="JG151" i="51"/>
  <c r="JF151" i="51"/>
  <c r="JE151" i="51"/>
  <c r="JD151" i="51"/>
  <c r="JC151" i="51"/>
  <c r="JB151" i="51"/>
  <c r="JA151" i="51"/>
  <c r="IZ151" i="51"/>
  <c r="IY151" i="51"/>
  <c r="IX151" i="51"/>
  <c r="IW151" i="51"/>
  <c r="IV151" i="51"/>
  <c r="IU151" i="51"/>
  <c r="IT151" i="51"/>
  <c r="AH151" i="51"/>
  <c r="AG151" i="51"/>
  <c r="AF151" i="51"/>
  <c r="AE151" i="51"/>
  <c r="AD151" i="51"/>
  <c r="AC151" i="51"/>
  <c r="AB151" i="51"/>
  <c r="AA151" i="51"/>
  <c r="Z151" i="51"/>
  <c r="X151" i="51"/>
  <c r="JN150" i="51"/>
  <c r="JM150" i="51"/>
  <c r="JL150" i="51"/>
  <c r="JK150" i="51"/>
  <c r="JJ150" i="51"/>
  <c r="JI150" i="51"/>
  <c r="JH150" i="51"/>
  <c r="JG150" i="51"/>
  <c r="JF150" i="51"/>
  <c r="JE150" i="51"/>
  <c r="JD150" i="51"/>
  <c r="JC150" i="51"/>
  <c r="JB150" i="51"/>
  <c r="JA150" i="51"/>
  <c r="IZ150" i="51"/>
  <c r="IY150" i="51"/>
  <c r="IX150" i="51"/>
  <c r="IW150" i="51"/>
  <c r="IV150" i="51"/>
  <c r="IU150" i="51"/>
  <c r="IT150" i="51"/>
  <c r="AH150" i="51"/>
  <c r="AG150" i="51"/>
  <c r="AF150" i="51"/>
  <c r="AE150" i="51"/>
  <c r="AD150" i="51"/>
  <c r="AC150" i="51"/>
  <c r="AB150" i="51"/>
  <c r="AA150" i="51"/>
  <c r="Z150" i="51"/>
  <c r="X150" i="51"/>
  <c r="L150" i="51"/>
  <c r="JN149" i="51"/>
  <c r="JM149" i="51"/>
  <c r="JL149" i="51"/>
  <c r="JK149" i="51"/>
  <c r="JJ149" i="51"/>
  <c r="JI149" i="51"/>
  <c r="JH149" i="51"/>
  <c r="JG149" i="51"/>
  <c r="JF149" i="51"/>
  <c r="JE149" i="51"/>
  <c r="JD149" i="51"/>
  <c r="JC149" i="51"/>
  <c r="JB149" i="51"/>
  <c r="JA149" i="51"/>
  <c r="IZ149" i="51"/>
  <c r="IY149" i="51"/>
  <c r="IX149" i="51"/>
  <c r="IW149" i="51"/>
  <c r="IV149" i="51"/>
  <c r="IU149" i="51"/>
  <c r="IT149" i="51"/>
  <c r="AH149" i="51"/>
  <c r="AG149" i="51"/>
  <c r="AF149" i="51"/>
  <c r="AE149" i="51"/>
  <c r="AD149" i="51"/>
  <c r="AC149" i="51"/>
  <c r="AB149" i="51"/>
  <c r="AA149" i="51"/>
  <c r="Z149" i="51"/>
  <c r="X149" i="51"/>
  <c r="JN148" i="51"/>
  <c r="JM148" i="51"/>
  <c r="JL148" i="51"/>
  <c r="JK148" i="51"/>
  <c r="JJ148" i="51"/>
  <c r="JI148" i="51"/>
  <c r="JH148" i="51"/>
  <c r="JG148" i="51"/>
  <c r="JF148" i="51"/>
  <c r="JE148" i="51"/>
  <c r="JD148" i="51"/>
  <c r="JC148" i="51"/>
  <c r="JB148" i="51"/>
  <c r="JA148" i="51"/>
  <c r="IZ148" i="51"/>
  <c r="IY148" i="51"/>
  <c r="IX148" i="51"/>
  <c r="IW148" i="51"/>
  <c r="IV148" i="51"/>
  <c r="IU148" i="51"/>
  <c r="IT148" i="51"/>
  <c r="AH148" i="51"/>
  <c r="AG148" i="51"/>
  <c r="AF148" i="51"/>
  <c r="AE148" i="51"/>
  <c r="AD148" i="51"/>
  <c r="AC148" i="51"/>
  <c r="AB148" i="51"/>
  <c r="AA148" i="51"/>
  <c r="Z148" i="51"/>
  <c r="X148" i="51"/>
  <c r="R148" i="51"/>
  <c r="CK147" i="51"/>
  <c r="CJ147" i="51"/>
  <c r="CI147" i="51"/>
  <c r="CH147" i="51"/>
  <c r="CG147" i="51"/>
  <c r="CF147" i="51"/>
  <c r="CE147" i="51"/>
  <c r="CD147" i="51"/>
  <c r="CC147" i="51"/>
  <c r="CB147" i="51"/>
  <c r="CA147" i="51"/>
  <c r="BZ147" i="51"/>
  <c r="BY147" i="51"/>
  <c r="BX147" i="51"/>
  <c r="BW147" i="51"/>
  <c r="BV147" i="51"/>
  <c r="BU147" i="51"/>
  <c r="BT147" i="51"/>
  <c r="BS147" i="51"/>
  <c r="BR147" i="51"/>
  <c r="BQ147" i="51"/>
  <c r="BP147" i="51"/>
  <c r="BO147" i="51"/>
  <c r="BN147" i="51"/>
  <c r="BM147" i="51"/>
  <c r="BL147" i="51"/>
  <c r="BK147" i="51"/>
  <c r="BJ147" i="51"/>
  <c r="BI147" i="51"/>
  <c r="BH147" i="51"/>
  <c r="BG147" i="51"/>
  <c r="BF147" i="51"/>
  <c r="BE147" i="51"/>
  <c r="BD147" i="51"/>
  <c r="BC147" i="51"/>
  <c r="BB147" i="51"/>
  <c r="BA147" i="51"/>
  <c r="AZ147" i="51"/>
  <c r="AY147" i="51"/>
  <c r="AX147" i="51"/>
  <c r="AW147" i="51"/>
  <c r="AV147" i="51"/>
  <c r="AU147" i="51"/>
  <c r="AT147" i="51"/>
  <c r="AS147" i="51"/>
  <c r="AR147" i="51"/>
  <c r="AQ147" i="51"/>
  <c r="AP147" i="51"/>
  <c r="AO147" i="51"/>
  <c r="AN147" i="51"/>
  <c r="AH147" i="51"/>
  <c r="AG147" i="51"/>
  <c r="AF147" i="51"/>
  <c r="AE147" i="51"/>
  <c r="AD147" i="51"/>
  <c r="AC147" i="51"/>
  <c r="AB147" i="51"/>
  <c r="AA147" i="51"/>
  <c r="Z147" i="51"/>
  <c r="X147" i="51"/>
  <c r="R147" i="51"/>
  <c r="AJ146" i="51"/>
  <c r="AK146" i="51" s="1"/>
  <c r="AH146" i="51"/>
  <c r="AG146" i="51"/>
  <c r="AF146" i="51"/>
  <c r="AE146" i="51"/>
  <c r="AD146" i="51"/>
  <c r="AC146" i="51"/>
  <c r="AB146" i="51"/>
  <c r="AA146" i="51"/>
  <c r="Z146" i="51"/>
  <c r="X146" i="51"/>
  <c r="W146" i="51"/>
  <c r="R146" i="51"/>
  <c r="P146" i="51"/>
  <c r="S146" i="51" s="1"/>
  <c r="N146" i="51"/>
  <c r="M146" i="51"/>
  <c r="JN145" i="51"/>
  <c r="JM145" i="51"/>
  <c r="JL145" i="51"/>
  <c r="JK145" i="51"/>
  <c r="JJ145" i="51"/>
  <c r="JI145" i="51"/>
  <c r="JH145" i="51"/>
  <c r="JG145" i="51"/>
  <c r="JF145" i="51"/>
  <c r="JE145" i="51"/>
  <c r="JD145" i="51"/>
  <c r="JC145" i="51"/>
  <c r="JB145" i="51"/>
  <c r="JA145" i="51"/>
  <c r="IZ145" i="51"/>
  <c r="IY145" i="51"/>
  <c r="IX145" i="51"/>
  <c r="IW145" i="51"/>
  <c r="IV145" i="51"/>
  <c r="IU145" i="51"/>
  <c r="IT145" i="51"/>
  <c r="AJ145" i="51"/>
  <c r="AK145" i="51" s="1"/>
  <c r="AH145" i="51"/>
  <c r="AG145" i="51"/>
  <c r="AF145" i="51"/>
  <c r="AE145" i="51"/>
  <c r="AD145" i="51"/>
  <c r="AC145" i="51"/>
  <c r="AB145" i="51"/>
  <c r="AA145" i="51"/>
  <c r="Z145" i="51"/>
  <c r="X145" i="51"/>
  <c r="R145" i="51"/>
  <c r="L145" i="51"/>
  <c r="P145" i="51" s="1"/>
  <c r="S145" i="51" s="1"/>
  <c r="JN144" i="51"/>
  <c r="JM144" i="51"/>
  <c r="JL144" i="51"/>
  <c r="JK144" i="51"/>
  <c r="JJ144" i="51"/>
  <c r="JI144" i="51"/>
  <c r="JH144" i="51"/>
  <c r="JG144" i="51"/>
  <c r="JF144" i="51"/>
  <c r="JE144" i="51"/>
  <c r="JD144" i="51"/>
  <c r="JC144" i="51"/>
  <c r="JB144" i="51"/>
  <c r="JA144" i="51"/>
  <c r="IZ144" i="51"/>
  <c r="IY144" i="51"/>
  <c r="IX144" i="51"/>
  <c r="IW144" i="51"/>
  <c r="IV144" i="51"/>
  <c r="IU144" i="51"/>
  <c r="IT144" i="51"/>
  <c r="AJ144" i="51"/>
  <c r="AK144" i="51" s="1"/>
  <c r="AH144" i="51"/>
  <c r="AG144" i="51"/>
  <c r="AF144" i="51"/>
  <c r="AE144" i="51"/>
  <c r="AD144" i="51"/>
  <c r="AC144" i="51"/>
  <c r="AB144" i="51"/>
  <c r="AA144" i="51"/>
  <c r="Z144" i="51"/>
  <c r="X144" i="51"/>
  <c r="R144" i="51"/>
  <c r="O144" i="51"/>
  <c r="L144" i="51"/>
  <c r="P144" i="51" s="1"/>
  <c r="JN143" i="51"/>
  <c r="JM143" i="51"/>
  <c r="JL143" i="51"/>
  <c r="JK143" i="51"/>
  <c r="JJ143" i="51"/>
  <c r="JI143" i="51"/>
  <c r="JH143" i="51"/>
  <c r="JG143" i="51"/>
  <c r="JF143" i="51"/>
  <c r="JE143" i="51"/>
  <c r="JD143" i="51"/>
  <c r="JC143" i="51"/>
  <c r="JB143" i="51"/>
  <c r="JA143" i="51"/>
  <c r="IZ143" i="51"/>
  <c r="IY143" i="51"/>
  <c r="IX143" i="51"/>
  <c r="IW143" i="51"/>
  <c r="IV143" i="51"/>
  <c r="IU143" i="51"/>
  <c r="IT143" i="51"/>
  <c r="AJ143" i="51"/>
  <c r="AK143" i="51" s="1"/>
  <c r="AH143" i="51"/>
  <c r="AG143" i="51"/>
  <c r="AF143" i="51"/>
  <c r="AE143" i="51"/>
  <c r="AD143" i="51"/>
  <c r="AC143" i="51"/>
  <c r="AB143" i="51"/>
  <c r="AA143" i="51"/>
  <c r="Z143" i="51"/>
  <c r="X143" i="51"/>
  <c r="R143" i="51"/>
  <c r="O143" i="51"/>
  <c r="L143" i="51"/>
  <c r="M143" i="51" s="1"/>
  <c r="JN142" i="51"/>
  <c r="JM142" i="51"/>
  <c r="JL142" i="51"/>
  <c r="JK142" i="51"/>
  <c r="JJ142" i="51"/>
  <c r="JI142" i="51"/>
  <c r="JH142" i="51"/>
  <c r="JG142" i="51"/>
  <c r="JF142" i="51"/>
  <c r="JE142" i="51"/>
  <c r="JD142" i="51"/>
  <c r="JC142" i="51"/>
  <c r="JB142" i="51"/>
  <c r="JA142" i="51"/>
  <c r="IZ142" i="51"/>
  <c r="IY142" i="51"/>
  <c r="IX142" i="51"/>
  <c r="IW142" i="51"/>
  <c r="IV142" i="51"/>
  <c r="IU142" i="51"/>
  <c r="IT142" i="51"/>
  <c r="AJ142" i="51"/>
  <c r="AK142" i="51" s="1"/>
  <c r="R142" i="51"/>
  <c r="L142" i="51"/>
  <c r="AJ141" i="51"/>
  <c r="AK141" i="51" s="1"/>
  <c r="R141" i="51"/>
  <c r="L141" i="51"/>
  <c r="N141" i="51" s="1"/>
  <c r="AJ140" i="51"/>
  <c r="AK140" i="51" s="1"/>
  <c r="R140" i="51"/>
  <c r="P140" i="51"/>
  <c r="S140" i="51" s="1"/>
  <c r="N140" i="51"/>
  <c r="M140" i="51"/>
  <c r="JN139" i="51"/>
  <c r="JM139" i="51"/>
  <c r="JL139" i="51"/>
  <c r="JK139" i="51"/>
  <c r="JJ139" i="51"/>
  <c r="JI139" i="51"/>
  <c r="JH139" i="51"/>
  <c r="JG139" i="51"/>
  <c r="JF139" i="51"/>
  <c r="JE139" i="51"/>
  <c r="JD139" i="51"/>
  <c r="JC139" i="51"/>
  <c r="JB139" i="51"/>
  <c r="JA139" i="51"/>
  <c r="IZ139" i="51"/>
  <c r="IY139" i="51"/>
  <c r="IX139" i="51"/>
  <c r="IW139" i="51"/>
  <c r="IV139" i="51"/>
  <c r="IU139" i="51"/>
  <c r="IT139" i="51"/>
  <c r="AJ139" i="51"/>
  <c r="AK139" i="51" s="1"/>
  <c r="W139" i="51"/>
  <c r="R139" i="51"/>
  <c r="P139" i="51"/>
  <c r="S139" i="51" s="1"/>
  <c r="N139" i="51"/>
  <c r="M139" i="51"/>
  <c r="JN138" i="51"/>
  <c r="JM138" i="51"/>
  <c r="JL138" i="51"/>
  <c r="JK138" i="51"/>
  <c r="JJ138" i="51"/>
  <c r="JI138" i="51"/>
  <c r="JH138" i="51"/>
  <c r="JG138" i="51"/>
  <c r="JF138" i="51"/>
  <c r="JE138" i="51"/>
  <c r="JD138" i="51"/>
  <c r="JC138" i="51"/>
  <c r="JB138" i="51"/>
  <c r="JA138" i="51"/>
  <c r="IZ138" i="51"/>
  <c r="IY138" i="51"/>
  <c r="IX138" i="51"/>
  <c r="IW138" i="51"/>
  <c r="IV138" i="51"/>
  <c r="IU138" i="51"/>
  <c r="IT138" i="51"/>
  <c r="CK138" i="51"/>
  <c r="CJ138" i="51"/>
  <c r="CI138" i="51"/>
  <c r="CH138" i="51"/>
  <c r="CG138" i="51"/>
  <c r="CF138" i="51"/>
  <c r="CE138" i="51"/>
  <c r="CD138" i="51"/>
  <c r="CC138" i="51"/>
  <c r="CB138" i="51"/>
  <c r="CA138" i="51"/>
  <c r="BZ138" i="51"/>
  <c r="BY138" i="51"/>
  <c r="BX138" i="51"/>
  <c r="BW138" i="51"/>
  <c r="BV138" i="51"/>
  <c r="BU138" i="51"/>
  <c r="BT138" i="51"/>
  <c r="BS138" i="51"/>
  <c r="BR138" i="51"/>
  <c r="BQ138" i="51"/>
  <c r="BP138" i="51"/>
  <c r="BO138" i="51"/>
  <c r="BN138" i="51"/>
  <c r="BM138" i="51"/>
  <c r="BL138" i="51"/>
  <c r="BK138" i="51"/>
  <c r="BJ138" i="51"/>
  <c r="BI138" i="51"/>
  <c r="BH138" i="51"/>
  <c r="BG138" i="51"/>
  <c r="BF138" i="51"/>
  <c r="BE138" i="51"/>
  <c r="BD138" i="51"/>
  <c r="BC138" i="51"/>
  <c r="BB138" i="51"/>
  <c r="BA138" i="51"/>
  <c r="AZ138" i="51"/>
  <c r="AY138" i="51"/>
  <c r="AX138" i="51"/>
  <c r="AW138" i="51"/>
  <c r="AV138" i="51"/>
  <c r="AU138" i="51"/>
  <c r="AT138" i="51"/>
  <c r="AS138" i="51"/>
  <c r="AR138" i="51"/>
  <c r="AQ138" i="51"/>
  <c r="AP138" i="51"/>
  <c r="AO138" i="51"/>
  <c r="AN138" i="51"/>
  <c r="AJ138" i="51"/>
  <c r="AK138" i="51" s="1"/>
  <c r="W138" i="51"/>
  <c r="R138" i="51"/>
  <c r="O138" i="51"/>
  <c r="L138" i="51"/>
  <c r="M138" i="51" s="1"/>
  <c r="JN137" i="51"/>
  <c r="JM137" i="51"/>
  <c r="JL137" i="51"/>
  <c r="JK137" i="51"/>
  <c r="JJ137" i="51"/>
  <c r="JI137" i="51"/>
  <c r="JH137" i="51"/>
  <c r="JG137" i="51"/>
  <c r="JF137" i="51"/>
  <c r="JE137" i="51"/>
  <c r="JD137" i="51"/>
  <c r="JC137" i="51"/>
  <c r="JB137" i="51"/>
  <c r="JA137" i="51"/>
  <c r="IZ137" i="51"/>
  <c r="IY137" i="51"/>
  <c r="IX137" i="51"/>
  <c r="IW137" i="51"/>
  <c r="IV137" i="51"/>
  <c r="IU137" i="51"/>
  <c r="IT137" i="51"/>
  <c r="AJ137" i="51"/>
  <c r="AK137" i="51" s="1"/>
  <c r="W137" i="51"/>
  <c r="R137" i="51"/>
  <c r="O137" i="51"/>
  <c r="L137" i="51"/>
  <c r="M137" i="51" s="1"/>
  <c r="JN136" i="51"/>
  <c r="JM136" i="51"/>
  <c r="JL136" i="51"/>
  <c r="JK136" i="51"/>
  <c r="JJ136" i="51"/>
  <c r="JI136" i="51"/>
  <c r="JH136" i="51"/>
  <c r="JG136" i="51"/>
  <c r="JF136" i="51"/>
  <c r="JE136" i="51"/>
  <c r="JD136" i="51"/>
  <c r="JC136" i="51"/>
  <c r="JB136" i="51"/>
  <c r="JA136" i="51"/>
  <c r="IZ136" i="51"/>
  <c r="IY136" i="51"/>
  <c r="IX136" i="51"/>
  <c r="IW136" i="51"/>
  <c r="IV136" i="51"/>
  <c r="IU136" i="51"/>
  <c r="IT136" i="51"/>
  <c r="AJ136" i="51"/>
  <c r="AK136" i="51" s="1"/>
  <c r="W136" i="51"/>
  <c r="R136" i="51"/>
  <c r="O136" i="51"/>
  <c r="L136" i="51"/>
  <c r="AJ135" i="51"/>
  <c r="AK135" i="51" s="1"/>
  <c r="W135" i="51"/>
  <c r="R135" i="51"/>
  <c r="P135" i="51"/>
  <c r="S135" i="51" s="1"/>
  <c r="N135" i="51"/>
  <c r="M135" i="51"/>
  <c r="AJ134" i="51"/>
  <c r="AK134" i="51" s="1"/>
  <c r="W134" i="51"/>
  <c r="R134" i="51"/>
  <c r="O134" i="51"/>
  <c r="O140" i="51" s="1"/>
  <c r="L134" i="51"/>
  <c r="N134" i="51" s="1"/>
  <c r="JN133" i="51"/>
  <c r="JM133" i="51"/>
  <c r="JL133" i="51"/>
  <c r="JK133" i="51"/>
  <c r="JJ133" i="51"/>
  <c r="JI133" i="51"/>
  <c r="JH133" i="51"/>
  <c r="JG133" i="51"/>
  <c r="JF133" i="51"/>
  <c r="JE133" i="51"/>
  <c r="JD133" i="51"/>
  <c r="JC133" i="51"/>
  <c r="JB133" i="51"/>
  <c r="JA133" i="51"/>
  <c r="IZ133" i="51"/>
  <c r="IY133" i="51"/>
  <c r="IX133" i="51"/>
  <c r="IW133" i="51"/>
  <c r="IV133" i="51"/>
  <c r="IU133" i="51"/>
  <c r="IT133" i="51"/>
  <c r="AJ133" i="51"/>
  <c r="AK133" i="51" s="1"/>
  <c r="AE133" i="51"/>
  <c r="O111" i="51" s="1"/>
  <c r="W133" i="51"/>
  <c r="R133" i="51"/>
  <c r="O133" i="51"/>
  <c r="L133" i="51"/>
  <c r="L148" i="51" s="1"/>
  <c r="JN132" i="51"/>
  <c r="JM132" i="51"/>
  <c r="JL132" i="51"/>
  <c r="JK132" i="51"/>
  <c r="JJ132" i="51"/>
  <c r="JI132" i="51"/>
  <c r="JH132" i="51"/>
  <c r="JG132" i="51"/>
  <c r="JF132" i="51"/>
  <c r="JE132" i="51"/>
  <c r="JD132" i="51"/>
  <c r="JC132" i="51"/>
  <c r="JB132" i="51"/>
  <c r="JA132" i="51"/>
  <c r="IZ132" i="51"/>
  <c r="IY132" i="51"/>
  <c r="IX132" i="51"/>
  <c r="IW132" i="51"/>
  <c r="IV132" i="51"/>
  <c r="IU132" i="51"/>
  <c r="IT132" i="51"/>
  <c r="AJ132" i="51"/>
  <c r="AK132" i="51" s="1"/>
  <c r="W132" i="51"/>
  <c r="R132" i="51"/>
  <c r="L132" i="51"/>
  <c r="P132" i="51" s="1"/>
  <c r="S132" i="51" s="1"/>
  <c r="F132" i="51"/>
  <c r="JN131" i="51"/>
  <c r="JM131" i="51"/>
  <c r="JL131" i="51"/>
  <c r="JK131" i="51"/>
  <c r="JJ131" i="51"/>
  <c r="JI131" i="51"/>
  <c r="JH131" i="51"/>
  <c r="JG131" i="51"/>
  <c r="JF131" i="51"/>
  <c r="JE131" i="51"/>
  <c r="JD131" i="51"/>
  <c r="JC131" i="51"/>
  <c r="JB131" i="51"/>
  <c r="JA131" i="51"/>
  <c r="IZ131" i="51"/>
  <c r="IY131" i="51"/>
  <c r="IX131" i="51"/>
  <c r="IW131" i="51"/>
  <c r="IV131" i="51"/>
  <c r="IU131" i="51"/>
  <c r="IT131" i="51"/>
  <c r="AJ131" i="51"/>
  <c r="AK131" i="51" s="1"/>
  <c r="W131" i="51"/>
  <c r="R131" i="51"/>
  <c r="P131" i="51"/>
  <c r="S131" i="51" s="1"/>
  <c r="N131" i="51"/>
  <c r="M131" i="51"/>
  <c r="JN130" i="51"/>
  <c r="JM130" i="51"/>
  <c r="JL130" i="51"/>
  <c r="JK130" i="51"/>
  <c r="JJ130" i="51"/>
  <c r="JI130" i="51"/>
  <c r="JH130" i="51"/>
  <c r="JG130" i="51"/>
  <c r="JF130" i="51"/>
  <c r="JE130" i="51"/>
  <c r="JD130" i="51"/>
  <c r="JC130" i="51"/>
  <c r="JB130" i="51"/>
  <c r="JA130" i="51"/>
  <c r="IZ130" i="51"/>
  <c r="IY130" i="51"/>
  <c r="IX130" i="51"/>
  <c r="IW130" i="51"/>
  <c r="IV130" i="51"/>
  <c r="IU130" i="51"/>
  <c r="IT130" i="51"/>
  <c r="W130" i="51"/>
  <c r="R130" i="51"/>
  <c r="L130" i="51"/>
  <c r="M130" i="51" s="1"/>
  <c r="AH129" i="51"/>
  <c r="AG129" i="51"/>
  <c r="AF129" i="51"/>
  <c r="AE129" i="51"/>
  <c r="AD129" i="51"/>
  <c r="AC129" i="51"/>
  <c r="W129" i="51"/>
  <c r="AH128" i="51"/>
  <c r="AG128" i="51"/>
  <c r="AF128" i="51"/>
  <c r="AE128" i="51"/>
  <c r="AD128" i="51"/>
  <c r="AC128" i="51"/>
  <c r="W128" i="51"/>
  <c r="L128" i="51"/>
  <c r="JN127" i="51"/>
  <c r="JM127" i="51"/>
  <c r="JL127" i="51"/>
  <c r="JK127" i="51"/>
  <c r="JJ127" i="51"/>
  <c r="JI127" i="51"/>
  <c r="JH127" i="51"/>
  <c r="JG127" i="51"/>
  <c r="JF127" i="51"/>
  <c r="JE127" i="51"/>
  <c r="JD127" i="51"/>
  <c r="JC127" i="51"/>
  <c r="JB127" i="51"/>
  <c r="JA127" i="51"/>
  <c r="IZ127" i="51"/>
  <c r="IY127" i="51"/>
  <c r="IX127" i="51"/>
  <c r="IW127" i="51"/>
  <c r="IV127" i="51"/>
  <c r="IU127" i="51"/>
  <c r="IT127" i="51"/>
  <c r="AH127" i="51"/>
  <c r="AG127" i="51"/>
  <c r="AF127" i="51"/>
  <c r="AE127" i="51"/>
  <c r="AD127" i="51"/>
  <c r="AC127" i="51"/>
  <c r="W127" i="51"/>
  <c r="JN126" i="51"/>
  <c r="JM126" i="51"/>
  <c r="JL126" i="51"/>
  <c r="JK126" i="51"/>
  <c r="JJ126" i="51"/>
  <c r="JI126" i="51"/>
  <c r="JH126" i="51"/>
  <c r="JG126" i="51"/>
  <c r="JF126" i="51"/>
  <c r="JE126" i="51"/>
  <c r="JD126" i="51"/>
  <c r="JC126" i="51"/>
  <c r="JB126" i="51"/>
  <c r="JA126" i="51"/>
  <c r="IZ126" i="51"/>
  <c r="IY126" i="51"/>
  <c r="IX126" i="51"/>
  <c r="IW126" i="51"/>
  <c r="IV126" i="51"/>
  <c r="IU126" i="51"/>
  <c r="IT126" i="51"/>
  <c r="AH126" i="51"/>
  <c r="AG126" i="51"/>
  <c r="AF126" i="51"/>
  <c r="AE126" i="51"/>
  <c r="AD126" i="51"/>
  <c r="AC126" i="51"/>
  <c r="W126" i="51"/>
  <c r="JN125" i="51"/>
  <c r="JM125" i="51"/>
  <c r="JL125" i="51"/>
  <c r="JK125" i="51"/>
  <c r="JJ125" i="51"/>
  <c r="JI125" i="51"/>
  <c r="JH125" i="51"/>
  <c r="JG125" i="51"/>
  <c r="JF125" i="51"/>
  <c r="JE125" i="51"/>
  <c r="JD125" i="51"/>
  <c r="JC125" i="51"/>
  <c r="JB125" i="51"/>
  <c r="JA125" i="51"/>
  <c r="IZ125" i="51"/>
  <c r="IY125" i="51"/>
  <c r="IX125" i="51"/>
  <c r="IW125" i="51"/>
  <c r="IV125" i="51"/>
  <c r="IU125" i="51"/>
  <c r="IT125" i="51"/>
  <c r="AH125" i="51"/>
  <c r="AG125" i="51"/>
  <c r="AF125" i="51"/>
  <c r="AE125" i="51"/>
  <c r="AD125" i="51"/>
  <c r="AC125" i="51"/>
  <c r="W125" i="51"/>
  <c r="JN124" i="51"/>
  <c r="JM124" i="51"/>
  <c r="JL124" i="51"/>
  <c r="JK124" i="51"/>
  <c r="JJ124" i="51"/>
  <c r="JI124" i="51"/>
  <c r="JH124" i="51"/>
  <c r="JG124" i="51"/>
  <c r="JF124" i="51"/>
  <c r="JE124" i="51"/>
  <c r="JD124" i="51"/>
  <c r="JC124" i="51"/>
  <c r="JB124" i="51"/>
  <c r="JA124" i="51"/>
  <c r="IZ124" i="51"/>
  <c r="IY124" i="51"/>
  <c r="IX124" i="51"/>
  <c r="IW124" i="51"/>
  <c r="IV124" i="51"/>
  <c r="IU124" i="51"/>
  <c r="IT124" i="51"/>
  <c r="AH124" i="51"/>
  <c r="AG124" i="51"/>
  <c r="AF124" i="51"/>
  <c r="AE124" i="51"/>
  <c r="AD124" i="51"/>
  <c r="AC124" i="51"/>
  <c r="W124" i="51"/>
  <c r="R124" i="51"/>
  <c r="P124" i="51"/>
  <c r="S124" i="51" s="1"/>
  <c r="N124" i="51"/>
  <c r="M124" i="51"/>
  <c r="AH123" i="51"/>
  <c r="AG123" i="51"/>
  <c r="AF123" i="51"/>
  <c r="AE123" i="51"/>
  <c r="AD123" i="51"/>
  <c r="AC123" i="51"/>
  <c r="R123" i="51"/>
  <c r="P123" i="51"/>
  <c r="S123" i="51" s="1"/>
  <c r="N123" i="51"/>
  <c r="M123" i="51"/>
  <c r="AH122" i="51"/>
  <c r="AG122" i="51"/>
  <c r="AF122" i="51"/>
  <c r="AE122" i="51"/>
  <c r="AD122" i="51"/>
  <c r="AC122" i="51"/>
  <c r="R122" i="51"/>
  <c r="P122" i="51"/>
  <c r="S122" i="51" s="1"/>
  <c r="N122" i="51"/>
  <c r="M122" i="51"/>
  <c r="JN121" i="51"/>
  <c r="JM121" i="51"/>
  <c r="JL121" i="51"/>
  <c r="JK121" i="51"/>
  <c r="JJ121" i="51"/>
  <c r="JI121" i="51"/>
  <c r="JH121" i="51"/>
  <c r="JG121" i="51"/>
  <c r="JF121" i="51"/>
  <c r="JE121" i="51"/>
  <c r="JD121" i="51"/>
  <c r="JC121" i="51"/>
  <c r="JB121" i="51"/>
  <c r="JA121" i="51"/>
  <c r="IZ121" i="51"/>
  <c r="IY121" i="51"/>
  <c r="IX121" i="51"/>
  <c r="IW121" i="51"/>
  <c r="IV121" i="51"/>
  <c r="IU121" i="51"/>
  <c r="IT121" i="51"/>
  <c r="EJ121" i="51"/>
  <c r="AH121" i="51"/>
  <c r="AG121" i="51"/>
  <c r="AF121" i="51"/>
  <c r="AE121" i="51"/>
  <c r="AD121" i="51"/>
  <c r="AC121" i="51"/>
  <c r="R121" i="51"/>
  <c r="L121" i="51"/>
  <c r="P121" i="51" s="1"/>
  <c r="S121" i="51" s="1"/>
  <c r="JN120" i="51"/>
  <c r="JM120" i="51"/>
  <c r="JL120" i="51"/>
  <c r="JK120" i="51"/>
  <c r="JJ120" i="51"/>
  <c r="JI120" i="51"/>
  <c r="JH120" i="51"/>
  <c r="JG120" i="51"/>
  <c r="JF120" i="51"/>
  <c r="JE120" i="51"/>
  <c r="JD120" i="51"/>
  <c r="JC120" i="51"/>
  <c r="JB120" i="51"/>
  <c r="JA120" i="51"/>
  <c r="IZ120" i="51"/>
  <c r="IY120" i="51"/>
  <c r="IX120" i="51"/>
  <c r="IW120" i="51"/>
  <c r="IV120" i="51"/>
  <c r="IU120" i="51"/>
  <c r="IT120" i="51"/>
  <c r="CK120" i="51"/>
  <c r="CJ120" i="51"/>
  <c r="CI120" i="51"/>
  <c r="CH120" i="51"/>
  <c r="CG120" i="51"/>
  <c r="CF120" i="51"/>
  <c r="CE120" i="51"/>
  <c r="CD120" i="51"/>
  <c r="CC120" i="51"/>
  <c r="CB120" i="51"/>
  <c r="CA120" i="51"/>
  <c r="BZ120" i="51"/>
  <c r="BY120" i="51"/>
  <c r="BX120" i="51"/>
  <c r="BW120" i="51"/>
  <c r="BV120" i="51"/>
  <c r="BU120" i="51"/>
  <c r="BT120" i="51"/>
  <c r="BS120" i="51"/>
  <c r="BR120" i="51"/>
  <c r="BQ120" i="51"/>
  <c r="BP120" i="51"/>
  <c r="BO120" i="51"/>
  <c r="BN120" i="51"/>
  <c r="BM120" i="51"/>
  <c r="BL120" i="51"/>
  <c r="BK120" i="51"/>
  <c r="BJ120" i="51"/>
  <c r="BI120" i="51"/>
  <c r="BH120" i="51"/>
  <c r="BG120" i="51"/>
  <c r="BF120" i="51"/>
  <c r="BE120" i="51"/>
  <c r="BD120" i="51"/>
  <c r="BC120" i="51"/>
  <c r="BB120" i="51"/>
  <c r="BA120" i="51"/>
  <c r="AZ120" i="51"/>
  <c r="AY120" i="51"/>
  <c r="AX120" i="51"/>
  <c r="AW120" i="51"/>
  <c r="AV120" i="51"/>
  <c r="AU120" i="51"/>
  <c r="AT120" i="51"/>
  <c r="AS120" i="51"/>
  <c r="AR120" i="51"/>
  <c r="AQ120" i="51"/>
  <c r="AP120" i="51"/>
  <c r="AO120" i="51"/>
  <c r="AN120" i="51"/>
  <c r="AH120" i="51"/>
  <c r="AG120" i="51"/>
  <c r="AF120" i="51"/>
  <c r="AE120" i="51"/>
  <c r="AD120" i="51"/>
  <c r="AC120" i="51"/>
  <c r="R120" i="51"/>
  <c r="L120" i="51"/>
  <c r="P120" i="51" s="1"/>
  <c r="S120" i="51" s="1"/>
  <c r="JN119" i="51"/>
  <c r="JM119" i="51"/>
  <c r="JL119" i="51"/>
  <c r="JK119" i="51"/>
  <c r="JJ119" i="51"/>
  <c r="JI119" i="51"/>
  <c r="JH119" i="51"/>
  <c r="JG119" i="51"/>
  <c r="JF119" i="51"/>
  <c r="JE119" i="51"/>
  <c r="JD119" i="51"/>
  <c r="JC119" i="51"/>
  <c r="JB119" i="51"/>
  <c r="JA119" i="51"/>
  <c r="IZ119" i="51"/>
  <c r="IY119" i="51"/>
  <c r="IX119" i="51"/>
  <c r="IW119" i="51"/>
  <c r="IV119" i="51"/>
  <c r="IU119" i="51"/>
  <c r="IT119" i="51"/>
  <c r="AH119" i="51"/>
  <c r="AG119" i="51"/>
  <c r="AF119" i="51"/>
  <c r="AE119" i="51"/>
  <c r="AD119" i="51"/>
  <c r="AC119" i="51"/>
  <c r="W119" i="51"/>
  <c r="R119" i="51"/>
  <c r="L119" i="51"/>
  <c r="JN118" i="51"/>
  <c r="JM118" i="51"/>
  <c r="JL118" i="51"/>
  <c r="JK118" i="51"/>
  <c r="JJ118" i="51"/>
  <c r="JI118" i="51"/>
  <c r="JH118" i="51"/>
  <c r="JG118" i="51"/>
  <c r="JF118" i="51"/>
  <c r="JE118" i="51"/>
  <c r="JD118" i="51"/>
  <c r="JC118" i="51"/>
  <c r="JB118" i="51"/>
  <c r="JA118" i="51"/>
  <c r="IZ118" i="51"/>
  <c r="IY118" i="51"/>
  <c r="IX118" i="51"/>
  <c r="IW118" i="51"/>
  <c r="IV118" i="51"/>
  <c r="IU118" i="51"/>
  <c r="IT118" i="51"/>
  <c r="AH118" i="51"/>
  <c r="AG118" i="51"/>
  <c r="AF118" i="51"/>
  <c r="AE118" i="51"/>
  <c r="AD118" i="51"/>
  <c r="AC118" i="51"/>
  <c r="W118" i="51"/>
  <c r="R118" i="51"/>
  <c r="O118" i="51"/>
  <c r="L118" i="51"/>
  <c r="AH117" i="51"/>
  <c r="AG117" i="51"/>
  <c r="AF117" i="51"/>
  <c r="AE117" i="51"/>
  <c r="AD117" i="51"/>
  <c r="AC117" i="51"/>
  <c r="AB117" i="51"/>
  <c r="AB134" i="51" s="1"/>
  <c r="W117" i="51"/>
  <c r="R117" i="51"/>
  <c r="P117" i="51"/>
  <c r="S117" i="51" s="1"/>
  <c r="N117" i="51"/>
  <c r="M117" i="51"/>
  <c r="AH116" i="51"/>
  <c r="AG116" i="51"/>
  <c r="AF116" i="51"/>
  <c r="AE116" i="51"/>
  <c r="AD116" i="51"/>
  <c r="AC116" i="51"/>
  <c r="W116" i="51"/>
  <c r="R116" i="51"/>
  <c r="O116" i="51"/>
  <c r="L116" i="51"/>
  <c r="M116" i="51" s="1"/>
  <c r="JN115" i="51"/>
  <c r="JM115" i="51"/>
  <c r="JL115" i="51"/>
  <c r="JK115" i="51"/>
  <c r="JJ115" i="51"/>
  <c r="JI115" i="51"/>
  <c r="JH115" i="51"/>
  <c r="JG115" i="51"/>
  <c r="JF115" i="51"/>
  <c r="JE115" i="51"/>
  <c r="JD115" i="51"/>
  <c r="JC115" i="51"/>
  <c r="JB115" i="51"/>
  <c r="JA115" i="51"/>
  <c r="IZ115" i="51"/>
  <c r="IY115" i="51"/>
  <c r="IX115" i="51"/>
  <c r="IW115" i="51"/>
  <c r="IV115" i="51"/>
  <c r="IU115" i="51"/>
  <c r="IT115" i="51"/>
  <c r="AH115" i="51"/>
  <c r="AG115" i="51"/>
  <c r="AF115" i="51"/>
  <c r="AE115" i="51"/>
  <c r="AD115" i="51"/>
  <c r="AC115" i="51"/>
  <c r="W115" i="51"/>
  <c r="R115" i="51"/>
  <c r="O115" i="51"/>
  <c r="L115" i="51"/>
  <c r="N115" i="51" s="1"/>
  <c r="JN114" i="51"/>
  <c r="JM114" i="51"/>
  <c r="JL114" i="51"/>
  <c r="JK114" i="51"/>
  <c r="JJ114" i="51"/>
  <c r="JI114" i="51"/>
  <c r="JH114" i="51"/>
  <c r="JG114" i="51"/>
  <c r="JF114" i="51"/>
  <c r="JE114" i="51"/>
  <c r="JD114" i="51"/>
  <c r="JC114" i="51"/>
  <c r="JB114" i="51"/>
  <c r="JA114" i="51"/>
  <c r="IZ114" i="51"/>
  <c r="IY114" i="51"/>
  <c r="IX114" i="51"/>
  <c r="IW114" i="51"/>
  <c r="IV114" i="51"/>
  <c r="IU114" i="51"/>
  <c r="IT114" i="51"/>
  <c r="AH114" i="51"/>
  <c r="AG114" i="51"/>
  <c r="AF114" i="51"/>
  <c r="AE114" i="51"/>
  <c r="AD114" i="51"/>
  <c r="AC114" i="51"/>
  <c r="W114" i="51"/>
  <c r="R114" i="51"/>
  <c r="L114" i="51"/>
  <c r="N114" i="51" s="1"/>
  <c r="JN113" i="51"/>
  <c r="JM113" i="51"/>
  <c r="JL113" i="51"/>
  <c r="JK113" i="51"/>
  <c r="JJ113" i="51"/>
  <c r="JI113" i="51"/>
  <c r="JH113" i="51"/>
  <c r="JG113" i="51"/>
  <c r="JF113" i="51"/>
  <c r="JE113" i="51"/>
  <c r="JD113" i="51"/>
  <c r="JC113" i="51"/>
  <c r="JB113" i="51"/>
  <c r="JA113" i="51"/>
  <c r="IZ113" i="51"/>
  <c r="IY113" i="51"/>
  <c r="IX113" i="51"/>
  <c r="IW113" i="51"/>
  <c r="IV113" i="51"/>
  <c r="IU113" i="51"/>
  <c r="IT113" i="51"/>
  <c r="W113" i="51"/>
  <c r="R113" i="51"/>
  <c r="P113" i="51"/>
  <c r="S113" i="51" s="1"/>
  <c r="N113" i="51"/>
  <c r="M113" i="51"/>
  <c r="JN112" i="51"/>
  <c r="JM112" i="51"/>
  <c r="JL112" i="51"/>
  <c r="JK112" i="51"/>
  <c r="JJ112" i="51"/>
  <c r="JI112" i="51"/>
  <c r="JH112" i="51"/>
  <c r="JG112" i="51"/>
  <c r="JF112" i="51"/>
  <c r="JE112" i="51"/>
  <c r="JD112" i="51"/>
  <c r="JC112" i="51"/>
  <c r="JB112" i="51"/>
  <c r="JA112" i="51"/>
  <c r="IZ112" i="51"/>
  <c r="IY112" i="51"/>
  <c r="IX112" i="51"/>
  <c r="IW112" i="51"/>
  <c r="IV112" i="51"/>
  <c r="IU112" i="51"/>
  <c r="IT112" i="51"/>
  <c r="W112" i="51"/>
  <c r="R112" i="51"/>
  <c r="L112" i="51"/>
  <c r="P112" i="51" s="1"/>
  <c r="S112" i="51" s="1"/>
  <c r="CK111" i="51"/>
  <c r="CJ111" i="51"/>
  <c r="CI111" i="51"/>
  <c r="CH111" i="51"/>
  <c r="CG111" i="51"/>
  <c r="CF111" i="51"/>
  <c r="CE111" i="51"/>
  <c r="CD111" i="51"/>
  <c r="CC111" i="51"/>
  <c r="CB111" i="51"/>
  <c r="CA111" i="51"/>
  <c r="BZ111" i="51"/>
  <c r="BY111" i="51"/>
  <c r="BX111" i="51"/>
  <c r="BW111" i="51"/>
  <c r="BV111" i="51"/>
  <c r="BU111" i="51"/>
  <c r="BT111" i="51"/>
  <c r="BS111" i="51"/>
  <c r="BR111" i="51"/>
  <c r="BQ111" i="51"/>
  <c r="BP111" i="51"/>
  <c r="BO111" i="51"/>
  <c r="BN111" i="51"/>
  <c r="BM111" i="51"/>
  <c r="BL111" i="51"/>
  <c r="BK111" i="51"/>
  <c r="BJ111" i="51"/>
  <c r="BI111" i="51"/>
  <c r="BH111" i="51"/>
  <c r="BG111" i="51"/>
  <c r="BF111" i="51"/>
  <c r="BE111" i="51"/>
  <c r="BD111" i="51"/>
  <c r="BC111" i="51"/>
  <c r="BB111" i="51"/>
  <c r="BA111" i="51"/>
  <c r="AZ111" i="51"/>
  <c r="AY111" i="51"/>
  <c r="AX111" i="51"/>
  <c r="AW111" i="51"/>
  <c r="AV111" i="51"/>
  <c r="AU111" i="51"/>
  <c r="AT111" i="51"/>
  <c r="AS111" i="51"/>
  <c r="AR111" i="51"/>
  <c r="AQ111" i="51"/>
  <c r="AP111" i="51"/>
  <c r="AO111" i="51"/>
  <c r="AN111" i="51"/>
  <c r="W111" i="51"/>
  <c r="R111" i="51"/>
  <c r="L111" i="51"/>
  <c r="N111" i="51" s="1"/>
  <c r="W110" i="51"/>
  <c r="R110" i="51"/>
  <c r="O110" i="51"/>
  <c r="L110" i="51"/>
  <c r="P110" i="51" s="1"/>
  <c r="S110" i="51" s="1"/>
  <c r="JN109" i="51"/>
  <c r="JM109" i="51"/>
  <c r="JL109" i="51"/>
  <c r="JK109" i="51"/>
  <c r="JJ109" i="51"/>
  <c r="JI109" i="51"/>
  <c r="JH109" i="51"/>
  <c r="JG109" i="51"/>
  <c r="JF109" i="51"/>
  <c r="JE109" i="51"/>
  <c r="JD109" i="51"/>
  <c r="JC109" i="51"/>
  <c r="JB109" i="51"/>
  <c r="JA109" i="51"/>
  <c r="IZ109" i="51"/>
  <c r="IY109" i="51"/>
  <c r="IX109" i="51"/>
  <c r="IW109" i="51"/>
  <c r="IV109" i="51"/>
  <c r="IU109" i="51"/>
  <c r="IT109" i="51"/>
  <c r="W109" i="51"/>
  <c r="R109" i="51"/>
  <c r="O109" i="51"/>
  <c r="L109" i="51"/>
  <c r="N109" i="51" s="1"/>
  <c r="JN108" i="51"/>
  <c r="JM108" i="51"/>
  <c r="JL108" i="51"/>
  <c r="JK108" i="51"/>
  <c r="JJ108" i="51"/>
  <c r="JI108" i="51"/>
  <c r="JH108" i="51"/>
  <c r="JG108" i="51"/>
  <c r="JF108" i="51"/>
  <c r="JE108" i="51"/>
  <c r="JD108" i="51"/>
  <c r="JC108" i="51"/>
  <c r="JB108" i="51"/>
  <c r="JA108" i="51"/>
  <c r="IZ108" i="51"/>
  <c r="IY108" i="51"/>
  <c r="IX108" i="51"/>
  <c r="IW108" i="51"/>
  <c r="IV108" i="51"/>
  <c r="IU108" i="51"/>
  <c r="IT108" i="51"/>
  <c r="W108" i="51"/>
  <c r="R108" i="51"/>
  <c r="O108" i="51"/>
  <c r="N108" i="51"/>
  <c r="F108" i="51"/>
  <c r="JN107" i="51"/>
  <c r="JM107" i="51"/>
  <c r="JL107" i="51"/>
  <c r="JK107" i="51"/>
  <c r="JJ107" i="51"/>
  <c r="JI107" i="51"/>
  <c r="JH107" i="51"/>
  <c r="JG107" i="51"/>
  <c r="JF107" i="51"/>
  <c r="JE107" i="51"/>
  <c r="JD107" i="51"/>
  <c r="JC107" i="51"/>
  <c r="JB107" i="51"/>
  <c r="JA107" i="51"/>
  <c r="IZ107" i="51"/>
  <c r="IY107" i="51"/>
  <c r="IX107" i="51"/>
  <c r="IW107" i="51"/>
  <c r="IV107" i="51"/>
  <c r="IU107" i="51"/>
  <c r="IT107" i="51"/>
  <c r="W107" i="51"/>
  <c r="R107" i="51"/>
  <c r="L107" i="51"/>
  <c r="JN106" i="51"/>
  <c r="JM106" i="51"/>
  <c r="JL106" i="51"/>
  <c r="JK106" i="51"/>
  <c r="JJ106" i="51"/>
  <c r="JI106" i="51"/>
  <c r="JH106" i="51"/>
  <c r="JG106" i="51"/>
  <c r="JF106" i="51"/>
  <c r="JE106" i="51"/>
  <c r="JD106" i="51"/>
  <c r="JC106" i="51"/>
  <c r="JB106" i="51"/>
  <c r="JA106" i="51"/>
  <c r="IZ106" i="51"/>
  <c r="IY106" i="51"/>
  <c r="IX106" i="51"/>
  <c r="IW106" i="51"/>
  <c r="IV106" i="51"/>
  <c r="IU106" i="51"/>
  <c r="IT106" i="51"/>
  <c r="W106" i="51"/>
  <c r="R106" i="51"/>
  <c r="P106" i="51"/>
  <c r="S106" i="51" s="1"/>
  <c r="N106" i="51"/>
  <c r="M106" i="51"/>
  <c r="W105" i="51"/>
  <c r="R105" i="51"/>
  <c r="L105" i="51"/>
  <c r="W104" i="51"/>
  <c r="L103" i="51"/>
  <c r="R99" i="51"/>
  <c r="P99" i="51"/>
  <c r="S99" i="51" s="1"/>
  <c r="O99" i="51"/>
  <c r="U99" i="51" s="1"/>
  <c r="N99" i="51"/>
  <c r="M99" i="51"/>
  <c r="R98" i="51"/>
  <c r="P98" i="51"/>
  <c r="S98" i="51" s="1"/>
  <c r="N98" i="51"/>
  <c r="M98" i="51"/>
  <c r="R97" i="51"/>
  <c r="P97" i="51"/>
  <c r="S97" i="51" s="1"/>
  <c r="N97" i="51"/>
  <c r="M97" i="51"/>
  <c r="F97" i="51"/>
  <c r="R96" i="51"/>
  <c r="P96" i="51"/>
  <c r="S96" i="51" s="1"/>
  <c r="O96" i="51"/>
  <c r="U96" i="51" s="1"/>
  <c r="N96" i="51"/>
  <c r="M96" i="51"/>
  <c r="R95" i="51"/>
  <c r="P95" i="51"/>
  <c r="S95" i="51" s="1"/>
  <c r="O95" i="51"/>
  <c r="U95" i="51" s="1"/>
  <c r="N95" i="51"/>
  <c r="M95" i="51"/>
  <c r="BI94" i="51"/>
  <c r="BH94" i="51"/>
  <c r="R94" i="51"/>
  <c r="P94" i="51"/>
  <c r="S94" i="51" s="1"/>
  <c r="O94" i="51"/>
  <c r="U94" i="51" s="1"/>
  <c r="N94" i="51"/>
  <c r="M94" i="51"/>
  <c r="BI93" i="51"/>
  <c r="BH93" i="51"/>
  <c r="R93" i="51"/>
  <c r="P93" i="51"/>
  <c r="S93" i="51" s="1"/>
  <c r="O93" i="51"/>
  <c r="U93" i="51" s="1"/>
  <c r="N93" i="51"/>
  <c r="M93" i="51"/>
  <c r="BI92" i="51"/>
  <c r="BH92" i="51"/>
  <c r="AI92" i="51"/>
  <c r="R92" i="51"/>
  <c r="P92" i="51"/>
  <c r="S92" i="51" s="1"/>
  <c r="N92" i="51"/>
  <c r="M92" i="51"/>
  <c r="BI91" i="51"/>
  <c r="BH91" i="51"/>
  <c r="AI91" i="51"/>
  <c r="O87" i="51" s="1"/>
  <c r="AH91" i="51"/>
  <c r="O86" i="51" s="1"/>
  <c r="R91" i="51"/>
  <c r="P91" i="51"/>
  <c r="S91" i="51" s="1"/>
  <c r="N91" i="51"/>
  <c r="M91" i="51"/>
  <c r="BI90" i="51"/>
  <c r="BH90" i="51"/>
  <c r="AF90" i="51" a="1"/>
  <c r="AF90" i="51" s="1"/>
  <c r="R90" i="51"/>
  <c r="P90" i="51"/>
  <c r="S90" i="51" s="1"/>
  <c r="O90" i="51"/>
  <c r="U90" i="51" s="1"/>
  <c r="N90" i="51"/>
  <c r="M90" i="51"/>
  <c r="BI89" i="51"/>
  <c r="BH89" i="51"/>
  <c r="R89" i="51"/>
  <c r="P89" i="51"/>
  <c r="S89" i="51" s="1"/>
  <c r="O89" i="51"/>
  <c r="U89" i="51" s="1"/>
  <c r="N89" i="51"/>
  <c r="M89" i="51"/>
  <c r="BI88" i="51"/>
  <c r="BH88" i="51"/>
  <c r="R88" i="51"/>
  <c r="P88" i="51"/>
  <c r="S88" i="51" s="1"/>
  <c r="O88" i="51"/>
  <c r="U88" i="51" s="1"/>
  <c r="N88" i="51"/>
  <c r="M88" i="51"/>
  <c r="BI87" i="51"/>
  <c r="BH87" i="51"/>
  <c r="R87" i="51"/>
  <c r="L87" i="51"/>
  <c r="BI86" i="51"/>
  <c r="BH86" i="51"/>
  <c r="R86" i="51"/>
  <c r="L86" i="51"/>
  <c r="BI85" i="51"/>
  <c r="BH85" i="51"/>
  <c r="R85" i="51"/>
  <c r="P85" i="51"/>
  <c r="S85" i="51" s="1"/>
  <c r="O85" i="51"/>
  <c r="U85" i="51" s="1"/>
  <c r="N85" i="51"/>
  <c r="M85" i="51"/>
  <c r="F85" i="51"/>
  <c r="BI84" i="51"/>
  <c r="BH84" i="51"/>
  <c r="R84" i="51"/>
  <c r="P84" i="51"/>
  <c r="S84" i="51" s="1"/>
  <c r="N84" i="51"/>
  <c r="M84" i="51"/>
  <c r="F84" i="51"/>
  <c r="BI83" i="51"/>
  <c r="BH83" i="51"/>
  <c r="R83" i="51"/>
  <c r="L83" i="51"/>
  <c r="P83" i="51" s="1"/>
  <c r="S83" i="51" s="1"/>
  <c r="BI82" i="51"/>
  <c r="BH82" i="51"/>
  <c r="R82" i="51"/>
  <c r="P82" i="51"/>
  <c r="S82" i="51" s="1"/>
  <c r="O82" i="51"/>
  <c r="N82" i="51"/>
  <c r="M82" i="51"/>
  <c r="F82" i="51"/>
  <c r="BI81" i="51"/>
  <c r="BH81" i="51"/>
  <c r="R81" i="51"/>
  <c r="P81" i="51"/>
  <c r="S81" i="51" s="1"/>
  <c r="N81" i="51"/>
  <c r="M81" i="51"/>
  <c r="BI80" i="51"/>
  <c r="BH80" i="51"/>
  <c r="R80" i="51"/>
  <c r="P80" i="51"/>
  <c r="S80" i="51" s="1"/>
  <c r="N80" i="51"/>
  <c r="M80" i="51"/>
  <c r="BI79" i="51"/>
  <c r="BH79" i="51"/>
  <c r="L78" i="51"/>
  <c r="R74" i="51"/>
  <c r="P74" i="51"/>
  <c r="S74" i="51" s="1"/>
  <c r="O74" i="51"/>
  <c r="U74" i="51" s="1"/>
  <c r="N74" i="51"/>
  <c r="M74" i="51"/>
  <c r="AO73" i="51" a="1"/>
  <c r="AO73" i="51" s="1"/>
  <c r="R73" i="51"/>
  <c r="P73" i="51"/>
  <c r="S73" i="51" s="1"/>
  <c r="N73" i="51"/>
  <c r="M73" i="51"/>
  <c r="R72" i="51"/>
  <c r="P72" i="51"/>
  <c r="S72" i="51" s="1"/>
  <c r="N72" i="51"/>
  <c r="M72" i="51"/>
  <c r="R71" i="51"/>
  <c r="P71" i="51"/>
  <c r="S71" i="51" s="1"/>
  <c r="O71" i="51"/>
  <c r="U71" i="51" s="1"/>
  <c r="N71" i="51"/>
  <c r="M71" i="51"/>
  <c r="F71" i="51"/>
  <c r="R70" i="51"/>
  <c r="P70" i="51"/>
  <c r="O70" i="51"/>
  <c r="U70" i="51" s="1"/>
  <c r="N70" i="51"/>
  <c r="M70" i="51"/>
  <c r="R69" i="51"/>
  <c r="P69" i="51"/>
  <c r="S69" i="51" s="1"/>
  <c r="O69" i="51"/>
  <c r="U69" i="51" s="1"/>
  <c r="N69" i="51"/>
  <c r="M69" i="51"/>
  <c r="BI68" i="51"/>
  <c r="BH68" i="51"/>
  <c r="R68" i="51"/>
  <c r="P68" i="51"/>
  <c r="S68" i="51" s="1"/>
  <c r="O68" i="51"/>
  <c r="N68" i="51"/>
  <c r="M68" i="51"/>
  <c r="BI67" i="51"/>
  <c r="BH67" i="51"/>
  <c r="R67" i="51"/>
  <c r="P67" i="51"/>
  <c r="S67" i="51" s="1"/>
  <c r="N67" i="51"/>
  <c r="M67" i="51"/>
  <c r="BI66" i="51"/>
  <c r="BH66" i="51"/>
  <c r="AI66" i="51"/>
  <c r="O62" i="51" s="1"/>
  <c r="R66" i="51"/>
  <c r="P66" i="51"/>
  <c r="S66" i="51" s="1"/>
  <c r="N66" i="51"/>
  <c r="M66" i="51"/>
  <c r="BI65" i="51"/>
  <c r="BH65" i="51"/>
  <c r="AI65" i="51"/>
  <c r="AH65" i="51"/>
  <c r="R65" i="51"/>
  <c r="P65" i="51"/>
  <c r="S65" i="51" s="1"/>
  <c r="O65" i="51"/>
  <c r="N65" i="51"/>
  <c r="M65" i="51"/>
  <c r="BI64" i="51"/>
  <c r="BH64" i="51"/>
  <c r="AF64" i="51" a="1"/>
  <c r="AF64" i="51" s="1"/>
  <c r="R64" i="51"/>
  <c r="P64" i="51"/>
  <c r="S64" i="51" s="1"/>
  <c r="O64" i="51"/>
  <c r="U64" i="51" s="1"/>
  <c r="N64" i="51"/>
  <c r="M64" i="51"/>
  <c r="BI63" i="51"/>
  <c r="BH63" i="51"/>
  <c r="R63" i="51"/>
  <c r="P63" i="51"/>
  <c r="S63" i="51" s="1"/>
  <c r="O63" i="51"/>
  <c r="U63" i="51" s="1"/>
  <c r="N63" i="51"/>
  <c r="M63" i="51"/>
  <c r="BI62" i="51"/>
  <c r="BH62" i="51"/>
  <c r="R62" i="51"/>
  <c r="L62" i="51"/>
  <c r="P62" i="51" s="1"/>
  <c r="S62" i="51" s="1"/>
  <c r="BI61" i="51"/>
  <c r="BH61" i="51"/>
  <c r="R61" i="51"/>
  <c r="O61" i="51"/>
  <c r="L61" i="51"/>
  <c r="P61" i="51" s="1"/>
  <c r="BI60" i="51"/>
  <c r="BH60" i="51"/>
  <c r="AO60" i="51" a="1"/>
  <c r="AO60" i="51" s="1"/>
  <c r="R60" i="51"/>
  <c r="P60" i="51"/>
  <c r="S60" i="51" s="1"/>
  <c r="O60" i="51"/>
  <c r="U60" i="51" s="1"/>
  <c r="N60" i="51"/>
  <c r="M60" i="51"/>
  <c r="BI59" i="51"/>
  <c r="BH59" i="51"/>
  <c r="R59" i="51"/>
  <c r="P59" i="51"/>
  <c r="S59" i="51" s="1"/>
  <c r="N59" i="51"/>
  <c r="M59" i="51"/>
  <c r="F59" i="51"/>
  <c r="BI58" i="51"/>
  <c r="BH58" i="51"/>
  <c r="R58" i="51"/>
  <c r="P58" i="51"/>
  <c r="S58" i="51" s="1"/>
  <c r="N58" i="51"/>
  <c r="M58" i="51"/>
  <c r="F58" i="51"/>
  <c r="BI57" i="51"/>
  <c r="BH57" i="51"/>
  <c r="AY57" i="51" a="1"/>
  <c r="AY57" i="51" s="1"/>
  <c r="R57" i="51"/>
  <c r="P57" i="51"/>
  <c r="S57" i="51" s="1"/>
  <c r="O57" i="51"/>
  <c r="U57" i="51" s="1"/>
  <c r="N57" i="51"/>
  <c r="M57" i="51"/>
  <c r="BI56" i="51"/>
  <c r="BH56" i="51"/>
  <c r="R56" i="51"/>
  <c r="P56" i="51"/>
  <c r="S56" i="51" s="1"/>
  <c r="O56" i="51"/>
  <c r="U56" i="51" s="1"/>
  <c r="N56" i="51"/>
  <c r="M56" i="51"/>
  <c r="F56" i="51"/>
  <c r="BI55" i="51"/>
  <c r="BH55" i="51"/>
  <c r="R55" i="51"/>
  <c r="P55" i="51"/>
  <c r="S55" i="51" s="1"/>
  <c r="N55" i="51"/>
  <c r="M55" i="51"/>
  <c r="BI54" i="51"/>
  <c r="BH54" i="51"/>
  <c r="R54" i="51"/>
  <c r="P54" i="51"/>
  <c r="S54" i="51" s="1"/>
  <c r="N54" i="51"/>
  <c r="M54" i="51"/>
  <c r="BI53" i="51"/>
  <c r="BH53" i="51"/>
  <c r="L52" i="51"/>
  <c r="R48" i="51"/>
  <c r="S48" i="51"/>
  <c r="R47" i="51"/>
  <c r="S47" i="51"/>
  <c r="R46" i="51"/>
  <c r="S46" i="51"/>
  <c r="R45" i="51"/>
  <c r="S45" i="51"/>
  <c r="R44" i="51"/>
  <c r="R43" i="51"/>
  <c r="S43" i="51"/>
  <c r="R42" i="51"/>
  <c r="S42" i="51"/>
  <c r="AI41" i="51"/>
  <c r="R41" i="51"/>
  <c r="S41" i="51"/>
  <c r="O41" i="51"/>
  <c r="O39" i="51" s="1"/>
  <c r="O46" i="51" s="1"/>
  <c r="AI40" i="51"/>
  <c r="AH40" i="51"/>
  <c r="O34" i="51" s="1"/>
  <c r="R40" i="51"/>
  <c r="S40" i="51"/>
  <c r="AF39" i="51" a="1"/>
  <c r="AF39" i="51" s="1"/>
  <c r="R39" i="51"/>
  <c r="S39" i="51"/>
  <c r="R38" i="51"/>
  <c r="R37" i="51"/>
  <c r="S37" i="51"/>
  <c r="R36" i="51"/>
  <c r="R35" i="51"/>
  <c r="R34" i="51"/>
  <c r="L34" i="51"/>
  <c r="S34" i="51" s="1"/>
  <c r="R33" i="51"/>
  <c r="S33" i="51"/>
  <c r="R32" i="51"/>
  <c r="S32" i="51"/>
  <c r="R31" i="51"/>
  <c r="S31" i="51"/>
  <c r="O31" i="51"/>
  <c r="F32" i="51"/>
  <c r="R30" i="51"/>
  <c r="S30" i="51"/>
  <c r="R29" i="51"/>
  <c r="S29" i="51"/>
  <c r="BI28" i="51"/>
  <c r="R24" i="51"/>
  <c r="S24" i="51"/>
  <c r="R23" i="51"/>
  <c r="S23" i="51"/>
  <c r="R22" i="51"/>
  <c r="S22" i="51"/>
  <c r="R21" i="51"/>
  <c r="S21" i="51"/>
  <c r="R20" i="51"/>
  <c r="S20" i="51"/>
  <c r="R19" i="51"/>
  <c r="S19" i="51"/>
  <c r="R18" i="51"/>
  <c r="S18" i="51"/>
  <c r="BI17" i="51"/>
  <c r="BR17" i="51" s="1"/>
  <c r="BH17" i="51"/>
  <c r="BS17" i="51" s="1"/>
  <c r="R17" i="51"/>
  <c r="BI16" i="51"/>
  <c r="BR16" i="51" s="1"/>
  <c r="BH16" i="51"/>
  <c r="BS16" i="51" s="1"/>
  <c r="R16" i="51"/>
  <c r="S16" i="51"/>
  <c r="BI15" i="51"/>
  <c r="BR15" i="51" s="1"/>
  <c r="BH15" i="51"/>
  <c r="BS15" i="51" s="1"/>
  <c r="AI15" i="51"/>
  <c r="R15" i="51"/>
  <c r="S15" i="51"/>
  <c r="BP14" i="51"/>
  <c r="BI14" i="51"/>
  <c r="BR14" i="51" s="1"/>
  <c r="BH14" i="51"/>
  <c r="BS14" i="51" s="1"/>
  <c r="AI14" i="51"/>
  <c r="AH14" i="51"/>
  <c r="O10" i="51" s="1"/>
  <c r="R14" i="51"/>
  <c r="BP13" i="51"/>
  <c r="BI13" i="51"/>
  <c r="BR13" i="51" s="1"/>
  <c r="BH13" i="51"/>
  <c r="BS13" i="51" s="1"/>
  <c r="AF13" i="51" a="1"/>
  <c r="AF13" i="51" s="1"/>
  <c r="R13" i="51"/>
  <c r="S13" i="51"/>
  <c r="BP12" i="51"/>
  <c r="BI12" i="51"/>
  <c r="BR12" i="51" s="1"/>
  <c r="BH12" i="51"/>
  <c r="BS12" i="51" s="1"/>
  <c r="R12" i="51"/>
  <c r="S12" i="51"/>
  <c r="BP11" i="51"/>
  <c r="BI11" i="51"/>
  <c r="BR11" i="51" s="1"/>
  <c r="BH11" i="51"/>
  <c r="BS11" i="51" s="1"/>
  <c r="R11" i="51"/>
  <c r="S11" i="51"/>
  <c r="BP10" i="51"/>
  <c r="BI10" i="51"/>
  <c r="BR10" i="51" s="1"/>
  <c r="BH10" i="51"/>
  <c r="BS10" i="51" s="1"/>
  <c r="R10" i="51"/>
  <c r="L10" i="51"/>
  <c r="BP9" i="51"/>
  <c r="O6" i="51" s="1"/>
  <c r="BI9" i="51"/>
  <c r="BR9" i="51" s="1"/>
  <c r="BH9" i="51"/>
  <c r="BS9" i="51" s="1"/>
  <c r="R9" i="51"/>
  <c r="S9" i="51"/>
  <c r="BP8" i="51"/>
  <c r="BI8" i="51"/>
  <c r="BR8" i="51" s="1"/>
  <c r="BH8" i="51"/>
  <c r="BS8" i="51" s="1"/>
  <c r="R8" i="51"/>
  <c r="BP7" i="51"/>
  <c r="BI7" i="51"/>
  <c r="BR7" i="51" s="1"/>
  <c r="BH7" i="51"/>
  <c r="BS7" i="51" s="1"/>
  <c r="R7" i="51"/>
  <c r="S7" i="51"/>
  <c r="BP6" i="51"/>
  <c r="BI6" i="51"/>
  <c r="BR6" i="51" s="1"/>
  <c r="BH6" i="51"/>
  <c r="BS6" i="51" s="1"/>
  <c r="AY6" i="51" a="1"/>
  <c r="AY6" i="51" s="1"/>
  <c r="BP5" i="51"/>
  <c r="BI5" i="51"/>
  <c r="BR5" i="51" s="1"/>
  <c r="BH5" i="51"/>
  <c r="BS5" i="51" s="1"/>
  <c r="R5" i="51"/>
  <c r="S5" i="51"/>
  <c r="O5" i="51"/>
  <c r="O25" i="51" s="1"/>
  <c r="BP4" i="51"/>
  <c r="BI4" i="51"/>
  <c r="BR4" i="51" s="1"/>
  <c r="BH4" i="51"/>
  <c r="BS4" i="51" s="1"/>
  <c r="R4" i="51"/>
  <c r="S4" i="51"/>
  <c r="BP3" i="51"/>
  <c r="BI3" i="51"/>
  <c r="BR3" i="51" s="1"/>
  <c r="BH3" i="51"/>
  <c r="BS3" i="51" s="1"/>
  <c r="R3" i="51"/>
  <c r="S3" i="51"/>
  <c r="BI2" i="51"/>
  <c r="BR2" i="51" s="1"/>
  <c r="BH2" i="51"/>
  <c r="BS2" i="51" s="1"/>
  <c r="R156" i="46"/>
  <c r="R157" i="46"/>
  <c r="L157" i="46"/>
  <c r="L156" i="46"/>
  <c r="R110" i="46"/>
  <c r="R111" i="46"/>
  <c r="L111" i="46"/>
  <c r="L110" i="46"/>
  <c r="M110" i="46" s="1"/>
  <c r="L86" i="46"/>
  <c r="M86" i="46" s="1"/>
  <c r="L85" i="46"/>
  <c r="R86" i="46"/>
  <c r="R85" i="46"/>
  <c r="L62" i="46"/>
  <c r="L61" i="46"/>
  <c r="M61" i="46" s="1"/>
  <c r="L60" i="46"/>
  <c r="L59" i="46"/>
  <c r="L58" i="46"/>
  <c r="L56" i="46"/>
  <c r="L55" i="46"/>
  <c r="L54" i="46"/>
  <c r="L11" i="46"/>
  <c r="L10" i="46"/>
  <c r="L9" i="46"/>
  <c r="L8" i="46"/>
  <c r="L7" i="46"/>
  <c r="L5" i="46"/>
  <c r="L4" i="46"/>
  <c r="L3" i="46"/>
  <c r="L35" i="46"/>
  <c r="N35" i="46" s="1"/>
  <c r="L34" i="46"/>
  <c r="L33" i="46"/>
  <c r="L32" i="46"/>
  <c r="L30" i="46"/>
  <c r="L29" i="46"/>
  <c r="L28" i="46"/>
  <c r="L36" i="46"/>
  <c r="R60" i="46"/>
  <c r="R61" i="46"/>
  <c r="X27" i="46"/>
  <c r="X25" i="46"/>
  <c r="R34" i="46"/>
  <c r="R35" i="46"/>
  <c r="R9" i="46"/>
  <c r="R10" i="46"/>
  <c r="NP53" i="46"/>
  <c r="NE32" i="46"/>
  <c r="NF32" i="46"/>
  <c r="ND32" i="46"/>
  <c r="MT158" i="46"/>
  <c r="JU116" i="46"/>
  <c r="OC26" i="46"/>
  <c r="OF25" i="46"/>
  <c r="OF19" i="46"/>
  <c r="OD25" i="46"/>
  <c r="NB74" i="46"/>
  <c r="NC74" i="46"/>
  <c r="ND74" i="46"/>
  <c r="NE74" i="46"/>
  <c r="NF74" i="46"/>
  <c r="NG74" i="46"/>
  <c r="NH74" i="46"/>
  <c r="NI74" i="46"/>
  <c r="NJ74" i="46"/>
  <c r="NK74" i="46"/>
  <c r="NL74" i="46"/>
  <c r="NM74" i="46"/>
  <c r="NN74" i="46"/>
  <c r="NO74" i="46"/>
  <c r="NP74" i="46"/>
  <c r="NQ74" i="46"/>
  <c r="NR74" i="46"/>
  <c r="NS74" i="46"/>
  <c r="NT74" i="46"/>
  <c r="NU74" i="46"/>
  <c r="NV74" i="46"/>
  <c r="NW74" i="46"/>
  <c r="NX74" i="46"/>
  <c r="NY74" i="46"/>
  <c r="NA74" i="46"/>
  <c r="NA53" i="46"/>
  <c r="NB53" i="46"/>
  <c r="NC53" i="46"/>
  <c r="ND53" i="46"/>
  <c r="NE53" i="46"/>
  <c r="NF53" i="46"/>
  <c r="NG53" i="46"/>
  <c r="NH53" i="46"/>
  <c r="NI53" i="46"/>
  <c r="NJ53" i="46"/>
  <c r="NK53" i="46"/>
  <c r="NL53" i="46"/>
  <c r="NM53" i="46"/>
  <c r="NN53" i="46"/>
  <c r="NO53" i="46"/>
  <c r="NQ53" i="46"/>
  <c r="NR53" i="46"/>
  <c r="NS53" i="46"/>
  <c r="NT53" i="46"/>
  <c r="NU53" i="46"/>
  <c r="NV53" i="46"/>
  <c r="NW53" i="46"/>
  <c r="NX53" i="46"/>
  <c r="NY53" i="46"/>
  <c r="NW32" i="46"/>
  <c r="NB32" i="46"/>
  <c r="NC32" i="46"/>
  <c r="NG32" i="46"/>
  <c r="NH32" i="46"/>
  <c r="NI32" i="46"/>
  <c r="NJ32" i="46"/>
  <c r="NK32" i="46"/>
  <c r="NL32" i="46"/>
  <c r="NM32" i="46"/>
  <c r="NN32" i="46"/>
  <c r="NO32" i="46"/>
  <c r="NP32" i="46"/>
  <c r="NQ32" i="46"/>
  <c r="NR32" i="46"/>
  <c r="NS32" i="46"/>
  <c r="NT32" i="46"/>
  <c r="NU32" i="46"/>
  <c r="NV32" i="46"/>
  <c r="NX32" i="46"/>
  <c r="NY32" i="46"/>
  <c r="NA32" i="46"/>
  <c r="NB11" i="46"/>
  <c r="NC11" i="46"/>
  <c r="ND11" i="46"/>
  <c r="NE11" i="46"/>
  <c r="NF11" i="46"/>
  <c r="NG11" i="46"/>
  <c r="NH11" i="46"/>
  <c r="NI11" i="46"/>
  <c r="NJ11" i="46"/>
  <c r="NK11" i="46"/>
  <c r="NL11" i="46"/>
  <c r="NM11" i="46"/>
  <c r="NN11" i="46"/>
  <c r="NO11" i="46"/>
  <c r="NP11" i="46"/>
  <c r="NQ11" i="46"/>
  <c r="NR11" i="46"/>
  <c r="NS11" i="46"/>
  <c r="NT11" i="46"/>
  <c r="NU11" i="46"/>
  <c r="NV11" i="46"/>
  <c r="NW11" i="46"/>
  <c r="NX11" i="46"/>
  <c r="NY11" i="46"/>
  <c r="NA11" i="46"/>
  <c r="MC179" i="46"/>
  <c r="LY179" i="46"/>
  <c r="LZ179" i="46"/>
  <c r="MA179" i="46"/>
  <c r="MB179" i="46"/>
  <c r="MD179" i="46"/>
  <c r="ME179" i="46"/>
  <c r="MF179" i="46"/>
  <c r="MG179" i="46"/>
  <c r="MH179" i="46"/>
  <c r="MI179" i="46"/>
  <c r="MJ179" i="46"/>
  <c r="MK179" i="46"/>
  <c r="ML179" i="46"/>
  <c r="MM179" i="46"/>
  <c r="MN179" i="46"/>
  <c r="MO179" i="46"/>
  <c r="MP179" i="46"/>
  <c r="MQ179" i="46"/>
  <c r="MR179" i="46"/>
  <c r="MS179" i="46"/>
  <c r="MT179" i="46"/>
  <c r="MU179" i="46"/>
  <c r="MV179" i="46"/>
  <c r="MW179" i="46"/>
  <c r="LZ158" i="46"/>
  <c r="MA158" i="46"/>
  <c r="MB158" i="46"/>
  <c r="MC158" i="46"/>
  <c r="MD158" i="46"/>
  <c r="ME158" i="46"/>
  <c r="MF158" i="46"/>
  <c r="MG158" i="46"/>
  <c r="MH158" i="46"/>
  <c r="MI158" i="46"/>
  <c r="MJ158" i="46"/>
  <c r="MK158" i="46"/>
  <c r="ML158" i="46"/>
  <c r="MM158" i="46"/>
  <c r="MN158" i="46"/>
  <c r="MO158" i="46"/>
  <c r="MP158" i="46"/>
  <c r="MQ158" i="46"/>
  <c r="MR158" i="46"/>
  <c r="MS158" i="46"/>
  <c r="MU158" i="46"/>
  <c r="MV158" i="46"/>
  <c r="MW158" i="46"/>
  <c r="LY158" i="46"/>
  <c r="LZ137" i="46"/>
  <c r="MA137" i="46"/>
  <c r="MB137" i="46"/>
  <c r="MC137" i="46"/>
  <c r="MD137" i="46"/>
  <c r="ME137" i="46"/>
  <c r="MF137" i="46"/>
  <c r="MG137" i="46"/>
  <c r="MH137" i="46"/>
  <c r="MI137" i="46"/>
  <c r="MJ137" i="46"/>
  <c r="MK137" i="46"/>
  <c r="ML137" i="46"/>
  <c r="MM137" i="46"/>
  <c r="MN137" i="46"/>
  <c r="MO137" i="46"/>
  <c r="MP137" i="46"/>
  <c r="MQ137" i="46"/>
  <c r="MR137" i="46"/>
  <c r="MS137" i="46"/>
  <c r="MT137" i="46"/>
  <c r="MU137" i="46"/>
  <c r="MV137" i="46"/>
  <c r="MW137" i="46"/>
  <c r="LY137" i="46"/>
  <c r="LZ116" i="46"/>
  <c r="MA116" i="46"/>
  <c r="MB116" i="46"/>
  <c r="MC116" i="46"/>
  <c r="MD116" i="46"/>
  <c r="ME116" i="46"/>
  <c r="MF116" i="46"/>
  <c r="MG116" i="46"/>
  <c r="MH116" i="46"/>
  <c r="MI116" i="46"/>
  <c r="MJ116" i="46"/>
  <c r="MK116" i="46"/>
  <c r="ML116" i="46"/>
  <c r="MM116" i="46"/>
  <c r="MN116" i="46"/>
  <c r="MO116" i="46"/>
  <c r="MP116" i="46"/>
  <c r="MQ116" i="46"/>
  <c r="MR116" i="46"/>
  <c r="MS116" i="46"/>
  <c r="MT116" i="46"/>
  <c r="MU116" i="46"/>
  <c r="MV116" i="46"/>
  <c r="MW116" i="46"/>
  <c r="LY116" i="46"/>
  <c r="LZ95" i="46"/>
  <c r="MA95" i="46"/>
  <c r="MB95" i="46"/>
  <c r="MC95" i="46"/>
  <c r="MD95" i="46"/>
  <c r="ME95" i="46"/>
  <c r="MF95" i="46"/>
  <c r="MG95" i="46"/>
  <c r="MH95" i="46"/>
  <c r="MI95" i="46"/>
  <c r="MJ95" i="46"/>
  <c r="MK95" i="46"/>
  <c r="ML95" i="46"/>
  <c r="MM95" i="46"/>
  <c r="MN95" i="46"/>
  <c r="MO95" i="46"/>
  <c r="MP95" i="46"/>
  <c r="MQ95" i="46"/>
  <c r="MR95" i="46"/>
  <c r="MS95" i="46"/>
  <c r="MT95" i="46"/>
  <c r="MU95" i="46"/>
  <c r="MV95" i="46"/>
  <c r="MW95" i="46"/>
  <c r="LY95" i="46"/>
  <c r="LZ74" i="46"/>
  <c r="MA74" i="46"/>
  <c r="MB74" i="46"/>
  <c r="MC74" i="46"/>
  <c r="MD74" i="46"/>
  <c r="ME74" i="46"/>
  <c r="MF74" i="46"/>
  <c r="MG74" i="46"/>
  <c r="MH74" i="46"/>
  <c r="MI74" i="46"/>
  <c r="MJ74" i="46"/>
  <c r="MK74" i="46"/>
  <c r="ML74" i="46"/>
  <c r="MM74" i="46"/>
  <c r="MN74" i="46"/>
  <c r="MO74" i="46"/>
  <c r="MP74" i="46"/>
  <c r="MQ74" i="46"/>
  <c r="MR74" i="46"/>
  <c r="MS74" i="46"/>
  <c r="MT74" i="46"/>
  <c r="MU74" i="46"/>
  <c r="MV74" i="46"/>
  <c r="MW74" i="46"/>
  <c r="LY74" i="46"/>
  <c r="LZ53" i="46"/>
  <c r="MA53" i="46"/>
  <c r="MB53" i="46"/>
  <c r="MC53" i="46"/>
  <c r="MD53" i="46"/>
  <c r="ME53" i="46"/>
  <c r="MF53" i="46"/>
  <c r="MG53" i="46"/>
  <c r="MH53" i="46"/>
  <c r="MI53" i="46"/>
  <c r="MJ53" i="46"/>
  <c r="MK53" i="46"/>
  <c r="ML53" i="46"/>
  <c r="MM53" i="46"/>
  <c r="MN53" i="46"/>
  <c r="MO53" i="46"/>
  <c r="MP53" i="46"/>
  <c r="MQ53" i="46"/>
  <c r="MR53" i="46"/>
  <c r="MS53" i="46"/>
  <c r="MT53" i="46"/>
  <c r="MU53" i="46"/>
  <c r="MV53" i="46"/>
  <c r="MW53" i="46"/>
  <c r="LY53" i="46"/>
  <c r="LZ32" i="46"/>
  <c r="MA32" i="46"/>
  <c r="MB32" i="46"/>
  <c r="MC32" i="46"/>
  <c r="MD32" i="46"/>
  <c r="ME32" i="46"/>
  <c r="MF32" i="46"/>
  <c r="MG32" i="46"/>
  <c r="MH32" i="46"/>
  <c r="MI32" i="46"/>
  <c r="MJ32" i="46"/>
  <c r="MK32" i="46"/>
  <c r="ML32" i="46"/>
  <c r="MM32" i="46"/>
  <c r="MN32" i="46"/>
  <c r="MO32" i="46"/>
  <c r="MP32" i="46"/>
  <c r="MQ32" i="46"/>
  <c r="MR32" i="46"/>
  <c r="MS32" i="46"/>
  <c r="MT32" i="46"/>
  <c r="MU32" i="46"/>
  <c r="MV32" i="46"/>
  <c r="MW32" i="46"/>
  <c r="LY32" i="46"/>
  <c r="LZ11" i="46"/>
  <c r="MA11" i="46"/>
  <c r="MB11" i="46"/>
  <c r="MC11" i="46"/>
  <c r="MD11" i="46"/>
  <c r="ME11" i="46"/>
  <c r="MF11" i="46"/>
  <c r="MG11" i="46"/>
  <c r="MH11" i="46"/>
  <c r="MI11" i="46"/>
  <c r="MJ11" i="46"/>
  <c r="MK11" i="46"/>
  <c r="ML11" i="46"/>
  <c r="MM11" i="46"/>
  <c r="MN11" i="46"/>
  <c r="MO11" i="46"/>
  <c r="MP11" i="46"/>
  <c r="MQ11" i="46"/>
  <c r="MR11" i="46"/>
  <c r="MS11" i="46"/>
  <c r="MT11" i="46"/>
  <c r="MU11" i="46"/>
  <c r="MV11" i="46"/>
  <c r="MW11" i="46"/>
  <c r="LY11" i="46"/>
  <c r="KX95" i="46"/>
  <c r="KY95" i="46"/>
  <c r="KZ95" i="46"/>
  <c r="LA95" i="46"/>
  <c r="LB95" i="46"/>
  <c r="LC95" i="46"/>
  <c r="LD95" i="46"/>
  <c r="LE95" i="46"/>
  <c r="LF95" i="46"/>
  <c r="LG95" i="46"/>
  <c r="LH95" i="46"/>
  <c r="LI95" i="46"/>
  <c r="LJ95" i="46"/>
  <c r="LK95" i="46"/>
  <c r="LL95" i="46"/>
  <c r="LM95" i="46"/>
  <c r="LN95" i="46"/>
  <c r="LO95" i="46"/>
  <c r="LP95" i="46"/>
  <c r="LQ95" i="46"/>
  <c r="LR95" i="46"/>
  <c r="LS95" i="46"/>
  <c r="LT95" i="46"/>
  <c r="LU95" i="46"/>
  <c r="KW95" i="46"/>
  <c r="KX74" i="46"/>
  <c r="KY74" i="46"/>
  <c r="KZ74" i="46"/>
  <c r="LA74" i="46"/>
  <c r="LB74" i="46"/>
  <c r="LC74" i="46"/>
  <c r="LD74" i="46"/>
  <c r="LE74" i="46"/>
  <c r="LF74" i="46"/>
  <c r="LG74" i="46"/>
  <c r="LH74" i="46"/>
  <c r="LI74" i="46"/>
  <c r="LJ74" i="46"/>
  <c r="LK74" i="46"/>
  <c r="LL74" i="46"/>
  <c r="LM74" i="46"/>
  <c r="LN74" i="46"/>
  <c r="LO74" i="46"/>
  <c r="LP74" i="46"/>
  <c r="LQ74" i="46"/>
  <c r="LR74" i="46"/>
  <c r="LS74" i="46"/>
  <c r="LT74" i="46"/>
  <c r="LU74" i="46"/>
  <c r="KW74" i="46"/>
  <c r="KX53" i="46"/>
  <c r="KY53" i="46"/>
  <c r="KZ53" i="46"/>
  <c r="LA53" i="46"/>
  <c r="LB53" i="46"/>
  <c r="LC53" i="46"/>
  <c r="LD53" i="46"/>
  <c r="LE53" i="46"/>
  <c r="LF53" i="46"/>
  <c r="LG53" i="46"/>
  <c r="LH53" i="46"/>
  <c r="LI53" i="46"/>
  <c r="LJ53" i="46"/>
  <c r="LK53" i="46"/>
  <c r="LL53" i="46"/>
  <c r="LM53" i="46"/>
  <c r="LN53" i="46"/>
  <c r="LO53" i="46"/>
  <c r="LP53" i="46"/>
  <c r="LQ53" i="46"/>
  <c r="LR53" i="46"/>
  <c r="LS53" i="46"/>
  <c r="LT53" i="46"/>
  <c r="LU53" i="46"/>
  <c r="KW53" i="46"/>
  <c r="KX32" i="46"/>
  <c r="KY32" i="46"/>
  <c r="KZ32" i="46"/>
  <c r="LA32" i="46"/>
  <c r="LB32" i="46"/>
  <c r="LC32" i="46"/>
  <c r="LD32" i="46"/>
  <c r="LE32" i="46"/>
  <c r="LF32" i="46"/>
  <c r="LG32" i="46"/>
  <c r="LH32" i="46"/>
  <c r="LI32" i="46"/>
  <c r="LJ32" i="46"/>
  <c r="LK32" i="46"/>
  <c r="LL32" i="46"/>
  <c r="LM32" i="46"/>
  <c r="LN32" i="46"/>
  <c r="LO32" i="46"/>
  <c r="LP32" i="46"/>
  <c r="LQ32" i="46"/>
  <c r="LR32" i="46"/>
  <c r="LS32" i="46"/>
  <c r="LT32" i="46"/>
  <c r="LU32" i="46"/>
  <c r="KW32" i="46"/>
  <c r="KX11" i="46"/>
  <c r="KY11" i="46"/>
  <c r="KZ11" i="46"/>
  <c r="LA11" i="46"/>
  <c r="LB11" i="46"/>
  <c r="LC11" i="46"/>
  <c r="LD11" i="46"/>
  <c r="LE11" i="46"/>
  <c r="LF11" i="46"/>
  <c r="LG11" i="46"/>
  <c r="LH11" i="46"/>
  <c r="LI11" i="46"/>
  <c r="LJ11" i="46"/>
  <c r="LK11" i="46"/>
  <c r="LL11" i="46"/>
  <c r="LM11" i="46"/>
  <c r="LN11" i="46"/>
  <c r="LO11" i="46"/>
  <c r="LP11" i="46"/>
  <c r="LQ11" i="46"/>
  <c r="LR11" i="46"/>
  <c r="LS11" i="46"/>
  <c r="LT11" i="46"/>
  <c r="LU11" i="46"/>
  <c r="KW11" i="46"/>
  <c r="JV158" i="46"/>
  <c r="JW158" i="46"/>
  <c r="JX158" i="46"/>
  <c r="JY158" i="46"/>
  <c r="JZ158" i="46"/>
  <c r="KA158" i="46"/>
  <c r="KB158" i="46"/>
  <c r="KC158" i="46"/>
  <c r="KD158" i="46"/>
  <c r="KE158" i="46"/>
  <c r="KF158" i="46"/>
  <c r="KG158" i="46"/>
  <c r="KH158" i="46"/>
  <c r="KI158" i="46"/>
  <c r="KJ158" i="46"/>
  <c r="KK158" i="46"/>
  <c r="KL158" i="46"/>
  <c r="KM158" i="46"/>
  <c r="KN158" i="46"/>
  <c r="KO158" i="46"/>
  <c r="KP158" i="46"/>
  <c r="KQ158" i="46"/>
  <c r="KR158" i="46"/>
  <c r="KS158" i="46"/>
  <c r="JU158" i="46"/>
  <c r="JV137" i="46"/>
  <c r="JW137" i="46"/>
  <c r="JX137" i="46"/>
  <c r="JY137" i="46"/>
  <c r="JZ137" i="46"/>
  <c r="KA137" i="46"/>
  <c r="KB137" i="46"/>
  <c r="KC137" i="46"/>
  <c r="KD137" i="46"/>
  <c r="KE137" i="46"/>
  <c r="KF137" i="46"/>
  <c r="KG137" i="46"/>
  <c r="KH137" i="46"/>
  <c r="KI137" i="46"/>
  <c r="KJ137" i="46"/>
  <c r="KK137" i="46"/>
  <c r="KL137" i="46"/>
  <c r="KM137" i="46"/>
  <c r="KN137" i="46"/>
  <c r="KO137" i="46"/>
  <c r="KP137" i="46"/>
  <c r="KQ137" i="46"/>
  <c r="KR137" i="46"/>
  <c r="KS137" i="46"/>
  <c r="JU137" i="46"/>
  <c r="JV116" i="46"/>
  <c r="JW116" i="46"/>
  <c r="JX116" i="46"/>
  <c r="JY116" i="46"/>
  <c r="JZ116" i="46"/>
  <c r="KA116" i="46"/>
  <c r="KB116" i="46"/>
  <c r="KC116" i="46"/>
  <c r="KD116" i="46"/>
  <c r="KE116" i="46"/>
  <c r="KF116" i="46"/>
  <c r="KG116" i="46"/>
  <c r="KH116" i="46"/>
  <c r="KI116" i="46"/>
  <c r="KJ116" i="46"/>
  <c r="KK116" i="46"/>
  <c r="KL116" i="46"/>
  <c r="KM116" i="46"/>
  <c r="KN116" i="46"/>
  <c r="KO116" i="46"/>
  <c r="KP116" i="46"/>
  <c r="KQ116" i="46"/>
  <c r="KR116" i="46"/>
  <c r="KS116" i="46"/>
  <c r="JV95" i="46"/>
  <c r="JW95" i="46"/>
  <c r="JX95" i="46"/>
  <c r="JY95" i="46"/>
  <c r="JZ95" i="46"/>
  <c r="KA95" i="46"/>
  <c r="KB95" i="46"/>
  <c r="KC95" i="46"/>
  <c r="KD95" i="46"/>
  <c r="KE95" i="46"/>
  <c r="KF95" i="46"/>
  <c r="KG95" i="46"/>
  <c r="KH95" i="46"/>
  <c r="KI95" i="46"/>
  <c r="KJ95" i="46"/>
  <c r="KK95" i="46"/>
  <c r="KL95" i="46"/>
  <c r="KM95" i="46"/>
  <c r="KN95" i="46"/>
  <c r="KO95" i="46"/>
  <c r="KP95" i="46"/>
  <c r="KQ95" i="46"/>
  <c r="KR95" i="46"/>
  <c r="KS95" i="46"/>
  <c r="JU95" i="46"/>
  <c r="JV74" i="46"/>
  <c r="JW74" i="46"/>
  <c r="JX74" i="46"/>
  <c r="JY74" i="46"/>
  <c r="JZ74" i="46"/>
  <c r="KA74" i="46"/>
  <c r="KB74" i="46"/>
  <c r="KC74" i="46"/>
  <c r="KD74" i="46"/>
  <c r="KE74" i="46"/>
  <c r="KF74" i="46"/>
  <c r="KG74" i="46"/>
  <c r="KH74" i="46"/>
  <c r="KI74" i="46"/>
  <c r="KJ74" i="46"/>
  <c r="KK74" i="46"/>
  <c r="KL74" i="46"/>
  <c r="KM74" i="46"/>
  <c r="KN74" i="46"/>
  <c r="KO74" i="46"/>
  <c r="KP74" i="46"/>
  <c r="KQ74" i="46"/>
  <c r="KR74" i="46"/>
  <c r="KS74" i="46"/>
  <c r="JU74" i="46"/>
  <c r="JV53" i="46"/>
  <c r="JW53" i="46"/>
  <c r="JX53" i="46"/>
  <c r="JY53" i="46"/>
  <c r="JZ53" i="46"/>
  <c r="KA53" i="46"/>
  <c r="KB53" i="46"/>
  <c r="KC53" i="46"/>
  <c r="KD53" i="46"/>
  <c r="KE53" i="46"/>
  <c r="KF53" i="46"/>
  <c r="KG53" i="46"/>
  <c r="KH53" i="46"/>
  <c r="KI53" i="46"/>
  <c r="KJ53" i="46"/>
  <c r="KK53" i="46"/>
  <c r="KL53" i="46"/>
  <c r="KM53" i="46"/>
  <c r="KN53" i="46"/>
  <c r="KO53" i="46"/>
  <c r="KP53" i="46"/>
  <c r="KQ53" i="46"/>
  <c r="KR53" i="46"/>
  <c r="KS53" i="46"/>
  <c r="JU53" i="46"/>
  <c r="KS32" i="46"/>
  <c r="JV32" i="46"/>
  <c r="JW32" i="46"/>
  <c r="JX32" i="46"/>
  <c r="JY32" i="46"/>
  <c r="JZ32" i="46"/>
  <c r="KA32" i="46"/>
  <c r="KB32" i="46"/>
  <c r="KC32" i="46"/>
  <c r="KD32" i="46"/>
  <c r="KE32" i="46"/>
  <c r="KF32" i="46"/>
  <c r="KG32" i="46"/>
  <c r="KH32" i="46"/>
  <c r="KI32" i="46"/>
  <c r="KJ32" i="46"/>
  <c r="KK32" i="46"/>
  <c r="KL32" i="46"/>
  <c r="KM32" i="46"/>
  <c r="KN32" i="46"/>
  <c r="KO32" i="46"/>
  <c r="KP32" i="46"/>
  <c r="KQ32" i="46"/>
  <c r="KR32" i="46"/>
  <c r="JU32" i="46"/>
  <c r="JV11" i="46"/>
  <c r="JX11" i="46"/>
  <c r="JY11" i="46"/>
  <c r="JZ11" i="46"/>
  <c r="KA11" i="46"/>
  <c r="KB11" i="46"/>
  <c r="KC11" i="46"/>
  <c r="KD11" i="46"/>
  <c r="KE11" i="46"/>
  <c r="KF11" i="46"/>
  <c r="KG11" i="46"/>
  <c r="KH11" i="46"/>
  <c r="KI11" i="46"/>
  <c r="KJ11" i="46"/>
  <c r="KK11" i="46"/>
  <c r="KL11" i="46"/>
  <c r="KM11" i="46"/>
  <c r="KN11" i="46"/>
  <c r="KO11" i="46"/>
  <c r="KP11" i="46"/>
  <c r="KQ11" i="46"/>
  <c r="KR11" i="46"/>
  <c r="KS11" i="46"/>
  <c r="JU11" i="46"/>
  <c r="KM20" i="46"/>
  <c r="KM19" i="46"/>
  <c r="KM18" i="46"/>
  <c r="L87" i="47"/>
  <c r="L86" i="47"/>
  <c r="L62" i="47"/>
  <c r="L61" i="47"/>
  <c r="L35" i="47"/>
  <c r="L34" i="47"/>
  <c r="L10" i="47"/>
  <c r="L11" i="47"/>
  <c r="L164" i="47"/>
  <c r="O31" i="47"/>
  <c r="O47" i="47" s="1"/>
  <c r="AI40" i="47"/>
  <c r="R29" i="47"/>
  <c r="O44" i="47"/>
  <c r="O43" i="47"/>
  <c r="O42" i="47"/>
  <c r="O41" i="47"/>
  <c r="O45" i="47" s="1"/>
  <c r="O38" i="47"/>
  <c r="O14" i="47"/>
  <c r="O37" i="47"/>
  <c r="O36" i="47"/>
  <c r="O60" i="47"/>
  <c r="O33" i="47"/>
  <c r="O8" i="47"/>
  <c r="R30" i="47"/>
  <c r="R31" i="47"/>
  <c r="R32" i="47"/>
  <c r="R33" i="47"/>
  <c r="R34" i="47"/>
  <c r="R35" i="47"/>
  <c r="R36" i="47"/>
  <c r="R37" i="47"/>
  <c r="R38" i="47"/>
  <c r="R39" i="47"/>
  <c r="R40" i="47"/>
  <c r="R41" i="47"/>
  <c r="R42" i="47"/>
  <c r="R43" i="47"/>
  <c r="R44" i="47"/>
  <c r="R45" i="47"/>
  <c r="R46" i="47"/>
  <c r="R47" i="47"/>
  <c r="R48" i="47"/>
  <c r="M48" i="47"/>
  <c r="N48" i="47"/>
  <c r="P48" i="47"/>
  <c r="S48" i="47" s="1"/>
  <c r="L38" i="47"/>
  <c r="L14" i="47"/>
  <c r="L32" i="47"/>
  <c r="F58" i="47"/>
  <c r="AO23" i="47" a="1"/>
  <c r="AO23" i="47" s="1"/>
  <c r="AO10" i="47" a="1"/>
  <c r="AO10" i="47" s="1"/>
  <c r="AY6" i="47" a="1"/>
  <c r="AY6" i="47" s="1"/>
  <c r="F34" i="47"/>
  <c r="F33" i="47"/>
  <c r="F7" i="47"/>
  <c r="F8" i="47"/>
  <c r="O5" i="47"/>
  <c r="O23" i="47" s="1"/>
  <c r="R21" i="47"/>
  <c r="R20" i="47"/>
  <c r="O20" i="47"/>
  <c r="O18" i="47"/>
  <c r="O17" i="47"/>
  <c r="O15" i="47" s="1"/>
  <c r="O16" i="47" s="1"/>
  <c r="AF13" i="47" a="1"/>
  <c r="AF13" i="47" s="1"/>
  <c r="O13" i="47"/>
  <c r="O12" i="47"/>
  <c r="AI15" i="47"/>
  <c r="O11" i="47" s="1"/>
  <c r="AI14" i="47"/>
  <c r="AH14" i="47"/>
  <c r="O10" i="47" s="1"/>
  <c r="O9" i="47"/>
  <c r="L8" i="47"/>
  <c r="U71" i="52" l="1"/>
  <c r="GJ34" i="48"/>
  <c r="GJ61" i="48"/>
  <c r="GJ169" i="48"/>
  <c r="EM34" i="52"/>
  <c r="GA169" i="52"/>
  <c r="FK174" i="48"/>
  <c r="FK67" i="48"/>
  <c r="FK40" i="48"/>
  <c r="FK169" i="48"/>
  <c r="FK61" i="48"/>
  <c r="FK34" i="48"/>
  <c r="FJ67" i="48"/>
  <c r="FJ40" i="48"/>
  <c r="FJ174" i="48"/>
  <c r="GP169" i="48"/>
  <c r="GP61" i="48"/>
  <c r="GP34" i="48"/>
  <c r="EM61" i="52"/>
  <c r="FZ61" i="52"/>
  <c r="GM179" i="48"/>
  <c r="GM46" i="48"/>
  <c r="GM73" i="48"/>
  <c r="GQ169" i="48"/>
  <c r="GQ34" i="48"/>
  <c r="GQ61" i="48"/>
  <c r="GP67" i="48"/>
  <c r="GP174" i="48"/>
  <c r="GP40" i="48"/>
  <c r="HF61" i="48"/>
  <c r="HF34" i="48"/>
  <c r="HF169" i="48"/>
  <c r="W152" i="51"/>
  <c r="EM169" i="52"/>
  <c r="ES169" i="52"/>
  <c r="FE40" i="52"/>
  <c r="O101" i="52"/>
  <c r="O105" i="52" s="1"/>
  <c r="O322" i="52"/>
  <c r="FH67" i="48"/>
  <c r="FH40" i="48"/>
  <c r="FH174" i="48"/>
  <c r="GO61" i="48"/>
  <c r="GO34" i="48"/>
  <c r="GO169" i="48"/>
  <c r="GZ61" i="48"/>
  <c r="GZ169" i="48"/>
  <c r="GZ34" i="48"/>
  <c r="FT174" i="48"/>
  <c r="FT67" i="48"/>
  <c r="FT40" i="48"/>
  <c r="FF169" i="48"/>
  <c r="FM40" i="52"/>
  <c r="FJ169" i="48"/>
  <c r="FJ34" i="48"/>
  <c r="FJ61" i="48"/>
  <c r="FJ46" i="48"/>
  <c r="FJ179" i="48"/>
  <c r="FJ73" i="48"/>
  <c r="FF61" i="48"/>
  <c r="FM67" i="52"/>
  <c r="FL174" i="48"/>
  <c r="FL67" i="48"/>
  <c r="FL40" i="48"/>
  <c r="GQ174" i="48"/>
  <c r="GQ67" i="48"/>
  <c r="GQ40" i="48"/>
  <c r="GM169" i="48"/>
  <c r="GM34" i="48"/>
  <c r="GM61" i="48"/>
  <c r="GX169" i="48"/>
  <c r="FZ40" i="48"/>
  <c r="FZ174" i="48"/>
  <c r="FZ67" i="48"/>
  <c r="FY34" i="48"/>
  <c r="FY169" i="48"/>
  <c r="FY61" i="48"/>
  <c r="GZ40" i="48"/>
  <c r="GZ67" i="48"/>
  <c r="GZ174" i="48"/>
  <c r="FW46" i="48"/>
  <c r="FW73" i="48"/>
  <c r="FW179" i="48"/>
  <c r="X206" i="51"/>
  <c r="L213" i="51"/>
  <c r="GX61" i="48"/>
  <c r="FS121" i="52"/>
  <c r="HE61" i="48"/>
  <c r="HE34" i="48"/>
  <c r="HE169" i="48"/>
  <c r="GL67" i="52"/>
  <c r="T71" i="52"/>
  <c r="GL174" i="52"/>
  <c r="GU34" i="48"/>
  <c r="GU169" i="48"/>
  <c r="GU61" i="48"/>
  <c r="P109" i="51"/>
  <c r="S109" i="51" s="1"/>
  <c r="T109" i="51" s="1"/>
  <c r="FV67" i="52"/>
  <c r="FG73" i="48"/>
  <c r="FG46" i="48"/>
  <c r="FG179" i="48"/>
  <c r="Q25" i="51"/>
  <c r="T25" i="51"/>
  <c r="O49" i="51"/>
  <c r="P156" i="46"/>
  <c r="S156" i="46" s="1"/>
  <c r="W149" i="51"/>
  <c r="P197" i="51"/>
  <c r="S197" i="51" s="1"/>
  <c r="T197" i="51" s="1"/>
  <c r="AO48" i="51"/>
  <c r="AO42" i="51"/>
  <c r="O38" i="51" s="1"/>
  <c r="AS203" i="51"/>
  <c r="AT203" i="51" s="1"/>
  <c r="P246" i="51"/>
  <c r="S246" i="51" s="1"/>
  <c r="P134" i="51"/>
  <c r="W155" i="51"/>
  <c r="W156" i="51"/>
  <c r="P169" i="51"/>
  <c r="S169" i="51" s="1"/>
  <c r="AS204" i="51"/>
  <c r="AT204" i="51" s="1"/>
  <c r="M134" i="51"/>
  <c r="W179" i="51"/>
  <c r="AS206" i="51"/>
  <c r="AT206" i="51" s="1"/>
  <c r="AG213" i="51"/>
  <c r="X209" i="51"/>
  <c r="N132" i="51"/>
  <c r="W176" i="51"/>
  <c r="W177" i="51"/>
  <c r="P138" i="51"/>
  <c r="AD206" i="51"/>
  <c r="O80" i="51"/>
  <c r="O81" i="51" s="1"/>
  <c r="U81" i="51" s="1"/>
  <c r="M110" i="51"/>
  <c r="AB126" i="51"/>
  <c r="AB133" i="51"/>
  <c r="M161" i="51"/>
  <c r="N110" i="51"/>
  <c r="P161" i="51"/>
  <c r="S161" i="51" s="1"/>
  <c r="M237" i="51"/>
  <c r="M246" i="51"/>
  <c r="X212" i="51"/>
  <c r="BJ214" i="51"/>
  <c r="BK214" i="51" s="1"/>
  <c r="BL214" i="51" s="1"/>
  <c r="N219" i="51"/>
  <c r="M132" i="51"/>
  <c r="M247" i="51"/>
  <c r="BJ211" i="51"/>
  <c r="BK211" i="51" s="1"/>
  <c r="BL211" i="51" s="1"/>
  <c r="M109" i="51"/>
  <c r="M173" i="51"/>
  <c r="BU3" i="51"/>
  <c r="O7" i="51" s="1"/>
  <c r="P114" i="51"/>
  <c r="S114" i="51" s="1"/>
  <c r="O148" i="51"/>
  <c r="P222" i="51"/>
  <c r="S222" i="51" s="1"/>
  <c r="T222" i="51" s="1"/>
  <c r="O207" i="51"/>
  <c r="U118" i="51"/>
  <c r="M164" i="51"/>
  <c r="N173" i="51"/>
  <c r="AD217" i="51"/>
  <c r="AG203" i="51"/>
  <c r="P238" i="51"/>
  <c r="S238" i="51" s="1"/>
  <c r="Z239" i="51"/>
  <c r="U111" i="51"/>
  <c r="AI114" i="51"/>
  <c r="AJ114" i="51" s="1"/>
  <c r="AK114" i="51" s="1"/>
  <c r="M120" i="51"/>
  <c r="N138" i="51"/>
  <c r="N164" i="51"/>
  <c r="N166" i="51"/>
  <c r="Z230" i="51"/>
  <c r="U164" i="51"/>
  <c r="P166" i="51"/>
  <c r="S166" i="51" s="1"/>
  <c r="Z238" i="51"/>
  <c r="AA238" i="51"/>
  <c r="U109" i="51"/>
  <c r="M199" i="51"/>
  <c r="U219" i="51"/>
  <c r="AA226" i="51"/>
  <c r="P237" i="51"/>
  <c r="S237" i="51" s="1"/>
  <c r="M251" i="51"/>
  <c r="AI116" i="51"/>
  <c r="AJ116" i="51" s="1"/>
  <c r="AK116" i="51" s="1"/>
  <c r="AI117" i="51"/>
  <c r="AJ117" i="51" s="1"/>
  <c r="AK117" i="51" s="1"/>
  <c r="W182" i="51"/>
  <c r="P199" i="51"/>
  <c r="S199" i="51" s="1"/>
  <c r="X203" i="51"/>
  <c r="P219" i="51"/>
  <c r="S219" i="51" s="1"/>
  <c r="T219" i="51" s="1"/>
  <c r="AA237" i="51"/>
  <c r="M144" i="51"/>
  <c r="M193" i="51"/>
  <c r="M222" i="51"/>
  <c r="M223" i="51"/>
  <c r="Z231" i="51"/>
  <c r="N245" i="51"/>
  <c r="O48" i="51"/>
  <c r="O30" i="51"/>
  <c r="U143" i="51"/>
  <c r="U144" i="51"/>
  <c r="N193" i="51"/>
  <c r="BJ207" i="51"/>
  <c r="BK207" i="51" s="1"/>
  <c r="BL207" i="51" s="1"/>
  <c r="N222" i="51"/>
  <c r="N223" i="51"/>
  <c r="AA231" i="51"/>
  <c r="P245" i="51"/>
  <c r="S245" i="51" s="1"/>
  <c r="M114" i="51"/>
  <c r="M121" i="51"/>
  <c r="AA233" i="51"/>
  <c r="O11" i="51"/>
  <c r="M156" i="46"/>
  <c r="N156" i="46"/>
  <c r="M157" i="46"/>
  <c r="P157" i="46"/>
  <c r="S157" i="46" s="1"/>
  <c r="N157" i="46"/>
  <c r="O3" i="51"/>
  <c r="O24" i="51" s="1"/>
  <c r="U199" i="52"/>
  <c r="T199" i="52"/>
  <c r="O35" i="51"/>
  <c r="O288" i="52"/>
  <c r="S6" i="51"/>
  <c r="AJ27" i="52"/>
  <c r="U48" i="52"/>
  <c r="Q48" i="52"/>
  <c r="T180" i="52"/>
  <c r="T15" i="52"/>
  <c r="Q180" i="52"/>
  <c r="Q54" i="52"/>
  <c r="O225" i="52"/>
  <c r="U225" i="52" s="1"/>
  <c r="U332" i="52"/>
  <c r="U202" i="52"/>
  <c r="S177" i="52"/>
  <c r="T177" i="52" s="1"/>
  <c r="U201" i="52"/>
  <c r="Q16" i="52"/>
  <c r="Q337" i="52"/>
  <c r="U16" i="52"/>
  <c r="U270" i="52"/>
  <c r="Q203" i="52"/>
  <c r="T57" i="51"/>
  <c r="U22" i="52"/>
  <c r="Q22" i="52"/>
  <c r="T202" i="52"/>
  <c r="O113" i="51"/>
  <c r="U113" i="51" s="1"/>
  <c r="O12" i="51"/>
  <c r="Q12" i="51" s="1"/>
  <c r="AI122" i="51"/>
  <c r="AJ122" i="51" s="1"/>
  <c r="AK122" i="51" s="1"/>
  <c r="AI125" i="51"/>
  <c r="AJ125" i="51" s="1"/>
  <c r="AK125" i="51" s="1"/>
  <c r="W143" i="51"/>
  <c r="N144" i="51"/>
  <c r="M145" i="51"/>
  <c r="W167" i="51"/>
  <c r="M172" i="51"/>
  <c r="M186" i="51"/>
  <c r="O199" i="51"/>
  <c r="U199" i="51" s="1"/>
  <c r="AS207" i="51"/>
  <c r="AT207" i="51" s="1"/>
  <c r="X208" i="51"/>
  <c r="AD209" i="51"/>
  <c r="AS210" i="51"/>
  <c r="AT210" i="51" s="1"/>
  <c r="BJ215" i="51"/>
  <c r="BK215" i="51" s="1"/>
  <c r="BL215" i="51" s="1"/>
  <c r="BJ216" i="51"/>
  <c r="BK216" i="51" s="1"/>
  <c r="BL216" i="51" s="1"/>
  <c r="BJ217" i="51"/>
  <c r="BK217" i="51" s="1"/>
  <c r="BL217" i="51" s="1"/>
  <c r="BJ218" i="51"/>
  <c r="BK218" i="51" s="1"/>
  <c r="BL218" i="51" s="1"/>
  <c r="U248" i="51"/>
  <c r="O130" i="51"/>
  <c r="O132" i="51" s="1"/>
  <c r="N145" i="51"/>
  <c r="O187" i="51"/>
  <c r="U187" i="51" s="1"/>
  <c r="N172" i="51"/>
  <c r="P186" i="51"/>
  <c r="S186" i="51" s="1"/>
  <c r="M133" i="51"/>
  <c r="M141" i="51"/>
  <c r="O182" i="51"/>
  <c r="T182" i="51" s="1"/>
  <c r="M169" i="51"/>
  <c r="W170" i="51"/>
  <c r="P172" i="51"/>
  <c r="S172" i="51" s="1"/>
  <c r="T172" i="51" s="1"/>
  <c r="W173" i="51"/>
  <c r="AE208" i="51"/>
  <c r="AS209" i="51"/>
  <c r="AT209" i="51" s="1"/>
  <c r="BJ213" i="51"/>
  <c r="BK213" i="51" s="1"/>
  <c r="BL213" i="51" s="1"/>
  <c r="F221" i="51"/>
  <c r="M249" i="51"/>
  <c r="AI128" i="51"/>
  <c r="AJ128" i="51" s="1"/>
  <c r="AK128" i="51" s="1"/>
  <c r="N133" i="51"/>
  <c r="P141" i="51"/>
  <c r="S141" i="51" s="1"/>
  <c r="O152" i="51"/>
  <c r="U152" i="51" s="1"/>
  <c r="O236" i="51"/>
  <c r="O251" i="51" s="1"/>
  <c r="U251" i="51" s="1"/>
  <c r="N249" i="51"/>
  <c r="U133" i="51"/>
  <c r="U148" i="51"/>
  <c r="M112" i="51"/>
  <c r="N120" i="51"/>
  <c r="AI121" i="51"/>
  <c r="AJ121" i="51" s="1"/>
  <c r="AK121" i="51" s="1"/>
  <c r="AI126" i="51"/>
  <c r="AJ126" i="51" s="1"/>
  <c r="AK126" i="51" s="1"/>
  <c r="P133" i="51"/>
  <c r="S133" i="51" s="1"/>
  <c r="T133" i="51" s="1"/>
  <c r="N137" i="51"/>
  <c r="O154" i="51"/>
  <c r="U154" i="51" s="1"/>
  <c r="L147" i="51"/>
  <c r="N147" i="51" s="1"/>
  <c r="O181" i="51"/>
  <c r="Q181" i="51" s="1"/>
  <c r="W169" i="51"/>
  <c r="N197" i="51"/>
  <c r="X200" i="51"/>
  <c r="X202" i="51"/>
  <c r="X204" i="51"/>
  <c r="M211" i="51"/>
  <c r="N220" i="51"/>
  <c r="AA236" i="51"/>
  <c r="N112" i="51"/>
  <c r="U137" i="51"/>
  <c r="N211" i="51"/>
  <c r="U220" i="51"/>
  <c r="BJ222" i="51"/>
  <c r="BK222" i="51" s="1"/>
  <c r="BL222" i="51" s="1"/>
  <c r="O91" i="51"/>
  <c r="O98" i="51" s="1"/>
  <c r="U98" i="51" s="1"/>
  <c r="AI120" i="51"/>
  <c r="AJ120" i="51" s="1"/>
  <c r="AK120" i="51" s="1"/>
  <c r="P137" i="51"/>
  <c r="S137" i="51" s="1"/>
  <c r="T137" i="51" s="1"/>
  <c r="O147" i="51"/>
  <c r="O183" i="51"/>
  <c r="U183" i="51" s="1"/>
  <c r="P168" i="51"/>
  <c r="S168" i="51" s="1"/>
  <c r="HA179" i="51"/>
  <c r="X213" i="51"/>
  <c r="P218" i="51"/>
  <c r="S218" i="51" s="1"/>
  <c r="BJ221" i="51"/>
  <c r="BK221" i="51" s="1"/>
  <c r="BL221" i="51" s="1"/>
  <c r="F248" i="51"/>
  <c r="O157" i="51"/>
  <c r="T157" i="51" s="1"/>
  <c r="M189" i="51"/>
  <c r="O208" i="51"/>
  <c r="U208" i="51" s="1"/>
  <c r="O105" i="51"/>
  <c r="O121" i="51" s="1"/>
  <c r="U121" i="51" s="1"/>
  <c r="AI123" i="51"/>
  <c r="AJ123" i="51" s="1"/>
  <c r="AK123" i="51" s="1"/>
  <c r="O155" i="51"/>
  <c r="T155" i="51" s="1"/>
  <c r="W147" i="51"/>
  <c r="W175" i="51"/>
  <c r="GZ178" i="51"/>
  <c r="HC178" i="51" s="1"/>
  <c r="HC179" i="51" s="1"/>
  <c r="V206" i="51"/>
  <c r="W207" i="51"/>
  <c r="X210" i="51"/>
  <c r="AD211" i="51"/>
  <c r="AD212" i="51"/>
  <c r="AD213" i="51"/>
  <c r="AD218" i="51"/>
  <c r="Z235" i="51"/>
  <c r="M238" i="51"/>
  <c r="AA240" i="51"/>
  <c r="N248" i="51"/>
  <c r="AI127" i="51"/>
  <c r="AJ127" i="51" s="1"/>
  <c r="AK127" i="51" s="1"/>
  <c r="AI129" i="51"/>
  <c r="AJ129" i="51" s="1"/>
  <c r="AK129" i="51" s="1"/>
  <c r="GZ168" i="51"/>
  <c r="F172" i="51"/>
  <c r="P189" i="51"/>
  <c r="S189" i="51" s="1"/>
  <c r="T189" i="51" s="1"/>
  <c r="AD207" i="51"/>
  <c r="V209" i="51"/>
  <c r="AD210" i="51"/>
  <c r="AE212" i="51"/>
  <c r="AD214" i="51"/>
  <c r="AD215" i="51"/>
  <c r="AD216" i="51"/>
  <c r="BJ219" i="51"/>
  <c r="BK219" i="51" s="1"/>
  <c r="BL219" i="51" s="1"/>
  <c r="O206" i="51"/>
  <c r="Q206" i="51" s="1"/>
  <c r="Q65" i="51"/>
  <c r="T140" i="51"/>
  <c r="Q171" i="51"/>
  <c r="T110" i="51"/>
  <c r="T297" i="52"/>
  <c r="T96" i="51"/>
  <c r="Q198" i="51"/>
  <c r="U297" i="52"/>
  <c r="T62" i="51"/>
  <c r="Q17" i="51"/>
  <c r="T74" i="51"/>
  <c r="T247" i="51"/>
  <c r="U337" i="52"/>
  <c r="U203" i="52"/>
  <c r="O191" i="51"/>
  <c r="S198" i="51"/>
  <c r="T198" i="51" s="1"/>
  <c r="O242" i="51"/>
  <c r="Q242" i="51" s="1"/>
  <c r="U198" i="51"/>
  <c r="Q212" i="51"/>
  <c r="T56" i="51"/>
  <c r="T82" i="51"/>
  <c r="Q56" i="51"/>
  <c r="Q74" i="51"/>
  <c r="U110" i="51"/>
  <c r="T200" i="51"/>
  <c r="O241" i="51"/>
  <c r="U241" i="51" s="1"/>
  <c r="Q110" i="51"/>
  <c r="S36" i="51"/>
  <c r="Q164" i="51"/>
  <c r="T249" i="51"/>
  <c r="T201" i="52"/>
  <c r="U197" i="51"/>
  <c r="Q70" i="51"/>
  <c r="Q60" i="51"/>
  <c r="T212" i="51"/>
  <c r="T85" i="51"/>
  <c r="T164" i="51"/>
  <c r="U171" i="51"/>
  <c r="S17" i="51"/>
  <c r="T17" i="51" s="1"/>
  <c r="T99" i="51"/>
  <c r="Q61" i="51"/>
  <c r="U86" i="51"/>
  <c r="U165" i="51"/>
  <c r="U249" i="51"/>
  <c r="S38" i="51"/>
  <c r="Q195" i="52"/>
  <c r="O198" i="52"/>
  <c r="T195" i="52"/>
  <c r="O197" i="52"/>
  <c r="O196" i="52"/>
  <c r="O200" i="52"/>
  <c r="S205" i="52"/>
  <c r="T205" i="52" s="1"/>
  <c r="Q205" i="52"/>
  <c r="O212" i="52"/>
  <c r="Q193" i="52"/>
  <c r="T193" i="52"/>
  <c r="T206" i="52"/>
  <c r="U206" i="52"/>
  <c r="O208" i="52"/>
  <c r="O207" i="52"/>
  <c r="Q206" i="52"/>
  <c r="O210" i="52"/>
  <c r="U195" i="52"/>
  <c r="HB61" i="52"/>
  <c r="O108" i="52"/>
  <c r="U108" i="52" s="1"/>
  <c r="HB169" i="52"/>
  <c r="Q194" i="52"/>
  <c r="FR191" i="52"/>
  <c r="CP326" i="52"/>
  <c r="X252" i="52"/>
  <c r="P139" i="52"/>
  <c r="S139" i="52" s="1"/>
  <c r="FM199" i="52"/>
  <c r="CK334" i="52"/>
  <c r="W321" i="52" s="1"/>
  <c r="O334" i="52" s="1"/>
  <c r="FU191" i="52"/>
  <c r="CS326" i="52"/>
  <c r="EW199" i="52"/>
  <c r="BU334" i="52"/>
  <c r="GN34" i="52"/>
  <c r="FQ34" i="52"/>
  <c r="GH174" i="52"/>
  <c r="EW73" i="52"/>
  <c r="T288" i="52"/>
  <c r="EW179" i="52"/>
  <c r="GB34" i="52"/>
  <c r="EQ191" i="52"/>
  <c r="DV192" i="52" s="1"/>
  <c r="BO326" i="52"/>
  <c r="S336" i="52"/>
  <c r="T336" i="52" s="1"/>
  <c r="X240" i="52"/>
  <c r="ES199" i="52"/>
  <c r="BQ334" i="52"/>
  <c r="EQ199" i="52"/>
  <c r="BO334" i="52"/>
  <c r="X243" i="52"/>
  <c r="EN191" i="52"/>
  <c r="BL326" i="52"/>
  <c r="FT191" i="52"/>
  <c r="CR326" i="52"/>
  <c r="EV191" i="52"/>
  <c r="EA192" i="52" s="1"/>
  <c r="BT326" i="52"/>
  <c r="FQ169" i="52"/>
  <c r="GB61" i="52"/>
  <c r="T25" i="52"/>
  <c r="ER191" i="52"/>
  <c r="DW192" i="52" s="1"/>
  <c r="BP326" i="52"/>
  <c r="FP191" i="52"/>
  <c r="CN326" i="52"/>
  <c r="X254" i="52"/>
  <c r="EM191" i="52"/>
  <c r="BK326" i="52"/>
  <c r="FV199" i="52"/>
  <c r="CT334" i="52"/>
  <c r="Q25" i="52"/>
  <c r="FM191" i="52"/>
  <c r="CK326" i="52"/>
  <c r="X246" i="52"/>
  <c r="X249" i="52"/>
  <c r="FR199" i="52"/>
  <c r="CP334" i="52"/>
  <c r="ER199" i="52"/>
  <c r="BP334" i="52"/>
  <c r="FQ191" i="52"/>
  <c r="CO326" i="52"/>
  <c r="EX46" i="52"/>
  <c r="FW199" i="52"/>
  <c r="CU334" i="52"/>
  <c r="X250" i="52"/>
  <c r="EX73" i="52"/>
  <c r="EU199" i="52"/>
  <c r="BS334" i="52"/>
  <c r="EP199" i="52"/>
  <c r="BN334" i="52"/>
  <c r="X244" i="52"/>
  <c r="X253" i="52"/>
  <c r="X247" i="52"/>
  <c r="FT199" i="52"/>
  <c r="CR334" i="52"/>
  <c r="X241" i="52"/>
  <c r="EV199" i="52"/>
  <c r="BT334" i="52"/>
  <c r="FS199" i="52"/>
  <c r="CQ334" i="52"/>
  <c r="EU67" i="52"/>
  <c r="S321" i="52"/>
  <c r="X255" i="52"/>
  <c r="X251" i="52"/>
  <c r="FS191" i="52"/>
  <c r="CQ326" i="52"/>
  <c r="ET199" i="52"/>
  <c r="BR334" i="52"/>
  <c r="HE34" i="52"/>
  <c r="W21" i="52"/>
  <c r="W4" i="52"/>
  <c r="O17" i="52" s="1"/>
  <c r="FP199" i="52"/>
  <c r="CN334" i="52"/>
  <c r="FU199" i="52"/>
  <c r="CS334" i="52"/>
  <c r="EW191" i="52"/>
  <c r="EB192" i="52" s="1"/>
  <c r="BU326" i="52"/>
  <c r="O326" i="52"/>
  <c r="EN199" i="52"/>
  <c r="BL334" i="52"/>
  <c r="X242" i="52"/>
  <c r="EP191" i="52"/>
  <c r="DU192" i="52" s="1"/>
  <c r="BN326" i="52"/>
  <c r="Q52" i="52"/>
  <c r="GP61" i="52"/>
  <c r="ET191" i="52"/>
  <c r="DY192" i="52" s="1"/>
  <c r="BR326" i="52"/>
  <c r="ES191" i="52"/>
  <c r="DX192" i="52" s="1"/>
  <c r="BQ326" i="52"/>
  <c r="FQ199" i="52"/>
  <c r="CO334" i="52"/>
  <c r="Q19" i="52"/>
  <c r="FD174" i="52"/>
  <c r="GH40" i="52"/>
  <c r="ES61" i="52"/>
  <c r="HB34" i="52"/>
  <c r="EM199" i="52"/>
  <c r="BK334" i="52"/>
  <c r="EU191" i="52"/>
  <c r="DZ192" i="52" s="1"/>
  <c r="BS326" i="52"/>
  <c r="T320" i="52"/>
  <c r="O344" i="52"/>
  <c r="Q344" i="52" s="1"/>
  <c r="Q320" i="52"/>
  <c r="T276" i="52"/>
  <c r="T255" i="52"/>
  <c r="T332" i="52"/>
  <c r="U320" i="52"/>
  <c r="T337" i="52"/>
  <c r="GI67" i="52"/>
  <c r="FH121" i="52"/>
  <c r="ES34" i="52"/>
  <c r="GI174" i="52"/>
  <c r="HD169" i="52"/>
  <c r="FW174" i="52"/>
  <c r="T224" i="52"/>
  <c r="EW40" i="52"/>
  <c r="EW67" i="52"/>
  <c r="Q331" i="52"/>
  <c r="U300" i="52"/>
  <c r="T331" i="52"/>
  <c r="FB67" i="52"/>
  <c r="EV169" i="52"/>
  <c r="P294" i="52"/>
  <c r="S294" i="52" s="1"/>
  <c r="FD46" i="52"/>
  <c r="GK34" i="52"/>
  <c r="GY34" i="52"/>
  <c r="FD73" i="52"/>
  <c r="GK61" i="52"/>
  <c r="O294" i="52"/>
  <c r="U294" i="52" s="1"/>
  <c r="FY121" i="52"/>
  <c r="GY61" i="52"/>
  <c r="FD179" i="52"/>
  <c r="FS46" i="52"/>
  <c r="GK169" i="52"/>
  <c r="ET61" i="52"/>
  <c r="GY169" i="52"/>
  <c r="GK174" i="52"/>
  <c r="FS73" i="52"/>
  <c r="FU40" i="52"/>
  <c r="FS179" i="52"/>
  <c r="FT34" i="52"/>
  <c r="FG40" i="52"/>
  <c r="FU67" i="52"/>
  <c r="FT61" i="52"/>
  <c r="FG67" i="52"/>
  <c r="Q224" i="52"/>
  <c r="FU174" i="52"/>
  <c r="FT169" i="52"/>
  <c r="GU61" i="52"/>
  <c r="FG174" i="52"/>
  <c r="U15" i="52"/>
  <c r="HF169" i="52"/>
  <c r="M294" i="52"/>
  <c r="Q286" i="52"/>
  <c r="Q100" i="52"/>
  <c r="T14" i="52"/>
  <c r="U276" i="52"/>
  <c r="FB174" i="52"/>
  <c r="HA61" i="52"/>
  <c r="T52" i="52"/>
  <c r="N108" i="52"/>
  <c r="Q46" i="52"/>
  <c r="HA34" i="52"/>
  <c r="M108" i="52"/>
  <c r="T46" i="52"/>
  <c r="HA169" i="52"/>
  <c r="GP46" i="52"/>
  <c r="FK34" i="52"/>
  <c r="Q299" i="52"/>
  <c r="EQ115" i="52"/>
  <c r="Q71" i="52"/>
  <c r="FB73" i="52"/>
  <c r="GJ34" i="52"/>
  <c r="GP73" i="52"/>
  <c r="FK61" i="52"/>
  <c r="Q164" i="52"/>
  <c r="FT121" i="52"/>
  <c r="O53" i="52"/>
  <c r="U53" i="52" s="1"/>
  <c r="Q14" i="52"/>
  <c r="FB46" i="52"/>
  <c r="GJ61" i="52"/>
  <c r="U52" i="52"/>
  <c r="FE73" i="52"/>
  <c r="HA40" i="52"/>
  <c r="GO46" i="52"/>
  <c r="FJ34" i="52"/>
  <c r="T299" i="52"/>
  <c r="O328" i="52"/>
  <c r="U328" i="52" s="1"/>
  <c r="GJ169" i="52"/>
  <c r="EP121" i="52"/>
  <c r="EZ115" i="52"/>
  <c r="HA67" i="52"/>
  <c r="GO73" i="52"/>
  <c r="FJ61" i="52"/>
  <c r="HA174" i="52"/>
  <c r="EU34" i="52"/>
  <c r="Q255" i="52"/>
  <c r="FU121" i="52"/>
  <c r="M139" i="52"/>
  <c r="T54" i="52"/>
  <c r="EV34" i="52"/>
  <c r="EU61" i="52"/>
  <c r="FW40" i="52"/>
  <c r="U255" i="52"/>
  <c r="FB40" i="52"/>
  <c r="FW67" i="52"/>
  <c r="P140" i="52"/>
  <c r="S140" i="52" s="1"/>
  <c r="Q81" i="52"/>
  <c r="GP34" i="52"/>
  <c r="GN73" i="52"/>
  <c r="O271" i="52"/>
  <c r="Q271" i="52" s="1"/>
  <c r="T81" i="52"/>
  <c r="EV115" i="52"/>
  <c r="GZ40" i="52"/>
  <c r="FZ34" i="52"/>
  <c r="GN46" i="52"/>
  <c r="FS40" i="52"/>
  <c r="Q270" i="52"/>
  <c r="ET121" i="52"/>
  <c r="GZ67" i="52"/>
  <c r="GA121" i="52"/>
  <c r="GZ174" i="52"/>
  <c r="HB40" i="52"/>
  <c r="FS174" i="52"/>
  <c r="Q300" i="52"/>
  <c r="FD40" i="52"/>
  <c r="FS61" i="52"/>
  <c r="ER34" i="52"/>
  <c r="FS169" i="52"/>
  <c r="ER61" i="52"/>
  <c r="ER169" i="52"/>
  <c r="FZ115" i="52"/>
  <c r="EY121" i="52"/>
  <c r="HF34" i="52"/>
  <c r="M140" i="52"/>
  <c r="FP121" i="52"/>
  <c r="Q336" i="52"/>
  <c r="FM115" i="52"/>
  <c r="U338" i="52"/>
  <c r="T338" i="52"/>
  <c r="Q338" i="52"/>
  <c r="T347" i="52"/>
  <c r="Q347" i="52"/>
  <c r="T335" i="52"/>
  <c r="Q335" i="52"/>
  <c r="T327" i="52"/>
  <c r="Q327" i="52"/>
  <c r="U327" i="52"/>
  <c r="U342" i="52"/>
  <c r="T342" i="52"/>
  <c r="Q342" i="52"/>
  <c r="U339" i="52"/>
  <c r="T339" i="52"/>
  <c r="Q339" i="52"/>
  <c r="O44" i="52"/>
  <c r="U44" i="52" s="1"/>
  <c r="FT223" i="52"/>
  <c r="FT174" i="52"/>
  <c r="FV174" i="52"/>
  <c r="U286" i="52"/>
  <c r="FA121" i="52"/>
  <c r="GG115" i="52"/>
  <c r="O37" i="52"/>
  <c r="U37" i="52" s="1"/>
  <c r="T286" i="52"/>
  <c r="GH61" i="52"/>
  <c r="O310" i="52"/>
  <c r="Q310" i="52" s="1"/>
  <c r="GE115" i="52"/>
  <c r="GH169" i="52"/>
  <c r="GB121" i="52"/>
  <c r="FG115" i="52"/>
  <c r="FQ121" i="52"/>
  <c r="GH34" i="52"/>
  <c r="EX40" i="52"/>
  <c r="O305" i="52"/>
  <c r="U305" i="52" s="1"/>
  <c r="EX67" i="52"/>
  <c r="Q80" i="52"/>
  <c r="O133" i="52"/>
  <c r="O137" i="52" s="1"/>
  <c r="FY115" i="52"/>
  <c r="T80" i="52"/>
  <c r="GJ46" i="52"/>
  <c r="FE34" i="52"/>
  <c r="GJ73" i="52"/>
  <c r="FE61" i="52"/>
  <c r="EV121" i="52"/>
  <c r="GJ179" i="52"/>
  <c r="FT40" i="52"/>
  <c r="FE169" i="52"/>
  <c r="FV40" i="52"/>
  <c r="Q302" i="52"/>
  <c r="Q132" i="52"/>
  <c r="FR121" i="52"/>
  <c r="GB115" i="52"/>
  <c r="FU46" i="52"/>
  <c r="FV235" i="52"/>
  <c r="EM115" i="52"/>
  <c r="O5" i="52"/>
  <c r="O10" i="52" s="1"/>
  <c r="S146" i="52"/>
  <c r="T146" i="52" s="1"/>
  <c r="Q146" i="52"/>
  <c r="GJ223" i="52"/>
  <c r="EX121" i="52"/>
  <c r="ET34" i="52"/>
  <c r="FE46" i="52"/>
  <c r="FF235" i="52"/>
  <c r="FH115" i="52"/>
  <c r="ET169" i="52"/>
  <c r="EN115" i="52"/>
  <c r="GF121" i="52"/>
  <c r="FA115" i="52"/>
  <c r="GU34" i="52"/>
  <c r="O303" i="52"/>
  <c r="U303" i="52" s="1"/>
  <c r="T302" i="52"/>
  <c r="FD121" i="52"/>
  <c r="Q259" i="52"/>
  <c r="S259" i="52"/>
  <c r="T259" i="52" s="1"/>
  <c r="O140" i="52"/>
  <c r="ES121" i="52"/>
  <c r="GI115" i="52"/>
  <c r="GF115" i="52"/>
  <c r="GU169" i="52"/>
  <c r="O123" i="52"/>
  <c r="T99" i="52"/>
  <c r="Q99" i="52"/>
  <c r="U99" i="52"/>
  <c r="O12" i="52"/>
  <c r="U12" i="52" s="1"/>
  <c r="O308" i="52"/>
  <c r="Q308" i="52" s="1"/>
  <c r="FE115" i="52"/>
  <c r="Q82" i="52"/>
  <c r="U298" i="52"/>
  <c r="T298" i="52"/>
  <c r="Q293" i="52"/>
  <c r="P313" i="52"/>
  <c r="S313" i="52" s="1"/>
  <c r="T313" i="52" s="1"/>
  <c r="N313" i="52"/>
  <c r="M313" i="52"/>
  <c r="Q301" i="52"/>
  <c r="Q233" i="52"/>
  <c r="U233" i="52"/>
  <c r="O265" i="52"/>
  <c r="U265" i="52" s="1"/>
  <c r="Q262" i="52"/>
  <c r="U262" i="52"/>
  <c r="T262" i="52"/>
  <c r="O261" i="52"/>
  <c r="FH174" i="52"/>
  <c r="FH67" i="52"/>
  <c r="FH40" i="52"/>
  <c r="FG169" i="52"/>
  <c r="FG61" i="52"/>
  <c r="FG34" i="52"/>
  <c r="GA174" i="52"/>
  <c r="GA67" i="52"/>
  <c r="GA40" i="52"/>
  <c r="P169" i="52"/>
  <c r="S169" i="52" s="1"/>
  <c r="M169" i="52"/>
  <c r="N169" i="52"/>
  <c r="T174" i="52"/>
  <c r="U174" i="52"/>
  <c r="Q174" i="52"/>
  <c r="T84" i="52"/>
  <c r="O85" i="52"/>
  <c r="U84" i="52"/>
  <c r="Q84" i="52"/>
  <c r="EW121" i="52"/>
  <c r="FV121" i="52"/>
  <c r="O76" i="52"/>
  <c r="U76" i="52" s="1"/>
  <c r="EP174" i="52"/>
  <c r="EP67" i="52"/>
  <c r="EP40" i="52"/>
  <c r="EP169" i="52"/>
  <c r="EP61" i="52"/>
  <c r="EP34" i="52"/>
  <c r="EM174" i="52"/>
  <c r="EM67" i="52"/>
  <c r="EM40" i="52"/>
  <c r="FJ179" i="52"/>
  <c r="FJ46" i="52"/>
  <c r="FJ73" i="52"/>
  <c r="GA179" i="52"/>
  <c r="GA73" i="52"/>
  <c r="GA46" i="52"/>
  <c r="FY174" i="52"/>
  <c r="FY67" i="52"/>
  <c r="FY40" i="52"/>
  <c r="FW115" i="52"/>
  <c r="GI121" i="52"/>
  <c r="FF115" i="52"/>
  <c r="ER179" i="52"/>
  <c r="ER73" i="52"/>
  <c r="ER46" i="52"/>
  <c r="FI179" i="52"/>
  <c r="FI73" i="52"/>
  <c r="FI46" i="52"/>
  <c r="FX179" i="52"/>
  <c r="FX73" i="52"/>
  <c r="FX46" i="52"/>
  <c r="Q269" i="52"/>
  <c r="S269" i="52"/>
  <c r="T269" i="52" s="1"/>
  <c r="Q220" i="52"/>
  <c r="O246" i="52"/>
  <c r="U220" i="52"/>
  <c r="T220" i="52"/>
  <c r="O169" i="52"/>
  <c r="U169" i="52" s="1"/>
  <c r="FE121" i="52"/>
  <c r="EZ121" i="52"/>
  <c r="O104" i="52"/>
  <c r="U104" i="52" s="1"/>
  <c r="T103" i="52"/>
  <c r="Q103" i="52"/>
  <c r="T110" i="52"/>
  <c r="Q110" i="52"/>
  <c r="U110" i="52"/>
  <c r="ER121" i="52"/>
  <c r="P62" i="52"/>
  <c r="N62" i="52"/>
  <c r="M62" i="52"/>
  <c r="U62" i="52"/>
  <c r="FC121" i="52"/>
  <c r="N94" i="52"/>
  <c r="M94" i="52"/>
  <c r="U94" i="52"/>
  <c r="P94" i="52"/>
  <c r="Q83" i="52"/>
  <c r="EQ179" i="52"/>
  <c r="EQ73" i="52"/>
  <c r="EQ46" i="52"/>
  <c r="GL179" i="52"/>
  <c r="GL73" i="52"/>
  <c r="GL46" i="52"/>
  <c r="EP179" i="52"/>
  <c r="EP46" i="52"/>
  <c r="EP73" i="52"/>
  <c r="Q236" i="52"/>
  <c r="U236" i="52"/>
  <c r="T236" i="52"/>
  <c r="O185" i="52"/>
  <c r="Q163" i="52"/>
  <c r="T163" i="52"/>
  <c r="GG121" i="52"/>
  <c r="FS115" i="52"/>
  <c r="EX115" i="52"/>
  <c r="EM121" i="52"/>
  <c r="GD115" i="52"/>
  <c r="FX121" i="52"/>
  <c r="FR115" i="52"/>
  <c r="FW121" i="52"/>
  <c r="FF121" i="52"/>
  <c r="HF174" i="52"/>
  <c r="HF67" i="52"/>
  <c r="HF40" i="52"/>
  <c r="O27" i="52"/>
  <c r="Q3" i="52"/>
  <c r="T3" i="52"/>
  <c r="T67" i="52"/>
  <c r="Q67" i="52"/>
  <c r="O91" i="52"/>
  <c r="GQ174" i="52"/>
  <c r="GQ67" i="52"/>
  <c r="GQ40" i="52"/>
  <c r="O240" i="52"/>
  <c r="T239" i="52"/>
  <c r="Q239" i="52"/>
  <c r="U235" i="52"/>
  <c r="T235" i="52"/>
  <c r="Q235" i="52"/>
  <c r="U230" i="52"/>
  <c r="T230" i="52"/>
  <c r="Q230" i="52"/>
  <c r="O229" i="52"/>
  <c r="AH146" i="52"/>
  <c r="O165" i="52"/>
  <c r="Q115" i="52"/>
  <c r="GA115" i="52"/>
  <c r="FX115" i="52"/>
  <c r="N104" i="52"/>
  <c r="M104" i="52"/>
  <c r="P104" i="52"/>
  <c r="S104" i="52" s="1"/>
  <c r="FT115" i="52"/>
  <c r="FB115" i="52"/>
  <c r="GP174" i="52"/>
  <c r="GP67" i="52"/>
  <c r="GP40" i="52"/>
  <c r="EQ121" i="52"/>
  <c r="P44" i="52"/>
  <c r="S44" i="52" s="1"/>
  <c r="N44" i="52"/>
  <c r="M44" i="52"/>
  <c r="FI174" i="52"/>
  <c r="FI40" i="52"/>
  <c r="FI67" i="52"/>
  <c r="P40" i="52"/>
  <c r="S40" i="52" s="1"/>
  <c r="N40" i="52"/>
  <c r="M40" i="52"/>
  <c r="GB179" i="52"/>
  <c r="GB73" i="52"/>
  <c r="GB46" i="52"/>
  <c r="O264" i="52"/>
  <c r="U175" i="52"/>
  <c r="T175" i="52"/>
  <c r="Q175" i="52"/>
  <c r="M138" i="52"/>
  <c r="P138" i="52"/>
  <c r="S138" i="52" s="1"/>
  <c r="N138" i="52"/>
  <c r="Q147" i="52"/>
  <c r="GC121" i="52"/>
  <c r="T172" i="52"/>
  <c r="Q172" i="52"/>
  <c r="U172" i="52"/>
  <c r="U144" i="52"/>
  <c r="Q144" i="52"/>
  <c r="T144" i="52"/>
  <c r="M126" i="52"/>
  <c r="U126" i="52"/>
  <c r="P126" i="52"/>
  <c r="N126" i="52"/>
  <c r="S158" i="52"/>
  <c r="T158" i="52" s="1"/>
  <c r="Q158" i="52"/>
  <c r="FI115" i="52"/>
  <c r="EU115" i="52"/>
  <c r="FG121" i="52"/>
  <c r="U111" i="52"/>
  <c r="Q111" i="52"/>
  <c r="T111" i="52"/>
  <c r="FZ174" i="52"/>
  <c r="FZ67" i="52"/>
  <c r="FZ40" i="52"/>
  <c r="Q51" i="52"/>
  <c r="GM179" i="52"/>
  <c r="GM73" i="52"/>
  <c r="GM46" i="52"/>
  <c r="ES174" i="52"/>
  <c r="ES67" i="52"/>
  <c r="ES40" i="52"/>
  <c r="O266" i="52"/>
  <c r="O227" i="52"/>
  <c r="T222" i="52"/>
  <c r="Q222" i="52"/>
  <c r="O226" i="52"/>
  <c r="O223" i="52"/>
  <c r="M188" i="52"/>
  <c r="U188" i="52"/>
  <c r="P188" i="52"/>
  <c r="N188" i="52"/>
  <c r="N107" i="52"/>
  <c r="P107" i="52"/>
  <c r="S107" i="52" s="1"/>
  <c r="M107" i="52"/>
  <c r="FZ121" i="52"/>
  <c r="O155" i="52"/>
  <c r="Q131" i="52"/>
  <c r="T131" i="52"/>
  <c r="U113" i="52"/>
  <c r="T113" i="52"/>
  <c r="Q113" i="52"/>
  <c r="O118" i="52"/>
  <c r="T116" i="52"/>
  <c r="Q116" i="52"/>
  <c r="O117" i="52"/>
  <c r="U116" i="52"/>
  <c r="FD115" i="52"/>
  <c r="FJ174" i="52"/>
  <c r="FJ67" i="52"/>
  <c r="FJ40" i="52"/>
  <c r="U57" i="52"/>
  <c r="T57" i="52"/>
  <c r="Q57" i="52"/>
  <c r="O59" i="52"/>
  <c r="Q35" i="52"/>
  <c r="T35" i="52"/>
  <c r="GF179" i="52"/>
  <c r="GF46" i="52"/>
  <c r="GF73" i="52"/>
  <c r="FZ179" i="52"/>
  <c r="FZ73" i="52"/>
  <c r="FZ46" i="52"/>
  <c r="P12" i="52"/>
  <c r="S12" i="52" s="1"/>
  <c r="N12" i="52"/>
  <c r="M12" i="52"/>
  <c r="FV179" i="52"/>
  <c r="FV73" i="52"/>
  <c r="FV46" i="52"/>
  <c r="T260" i="52"/>
  <c r="Q260" i="52"/>
  <c r="U260" i="52"/>
  <c r="O150" i="52"/>
  <c r="O149" i="52"/>
  <c r="U148" i="52"/>
  <c r="Q148" i="52"/>
  <c r="T148" i="52"/>
  <c r="FM121" i="52"/>
  <c r="U143" i="52"/>
  <c r="T143" i="52"/>
  <c r="Q143" i="52"/>
  <c r="Q142" i="52"/>
  <c r="T142" i="52"/>
  <c r="U142" i="52"/>
  <c r="EW115" i="52"/>
  <c r="EU121" i="52"/>
  <c r="ES115" i="52"/>
  <c r="T89" i="52"/>
  <c r="U89" i="52"/>
  <c r="Q89" i="52"/>
  <c r="EP115" i="52"/>
  <c r="GC115" i="52"/>
  <c r="ET174" i="52"/>
  <c r="ET67" i="52"/>
  <c r="ET40" i="52"/>
  <c r="Q50" i="52"/>
  <c r="U49" i="52"/>
  <c r="Q49" i="52"/>
  <c r="T49" i="52"/>
  <c r="GL169" i="52"/>
  <c r="GL34" i="52"/>
  <c r="GL61" i="52"/>
  <c r="FK179" i="52"/>
  <c r="FK73" i="52"/>
  <c r="FK46" i="52"/>
  <c r="GU174" i="52"/>
  <c r="GU67" i="52"/>
  <c r="GU40" i="52"/>
  <c r="FH179" i="52"/>
  <c r="FH73" i="52"/>
  <c r="FH46" i="52"/>
  <c r="U72" i="52"/>
  <c r="P72" i="52"/>
  <c r="S72" i="52" s="1"/>
  <c r="T72" i="52" s="1"/>
  <c r="N72" i="52"/>
  <c r="M72" i="52"/>
  <c r="U244" i="52"/>
  <c r="Q244" i="52"/>
  <c r="T244" i="52"/>
  <c r="U271" i="52"/>
  <c r="T271" i="52"/>
  <c r="O179" i="52"/>
  <c r="T178" i="52"/>
  <c r="U178" i="52"/>
  <c r="Q178" i="52"/>
  <c r="S176" i="52"/>
  <c r="T176" i="52" s="1"/>
  <c r="Q176" i="52"/>
  <c r="U163" i="52"/>
  <c r="Q221" i="52"/>
  <c r="U145" i="52"/>
  <c r="T145" i="52"/>
  <c r="Q145" i="52"/>
  <c r="FB121" i="52"/>
  <c r="FP115" i="52"/>
  <c r="EY115" i="52"/>
  <c r="GH115" i="52"/>
  <c r="U112" i="52"/>
  <c r="T112" i="52"/>
  <c r="Q112" i="52"/>
  <c r="ER115" i="52"/>
  <c r="U78" i="52"/>
  <c r="T78" i="52"/>
  <c r="Q78" i="52"/>
  <c r="GE121" i="52"/>
  <c r="P76" i="52"/>
  <c r="S76" i="52" s="1"/>
  <c r="N76" i="52"/>
  <c r="M76" i="52"/>
  <c r="P42" i="52"/>
  <c r="S42" i="52" s="1"/>
  <c r="N42" i="52"/>
  <c r="M42" i="52"/>
  <c r="GI179" i="52"/>
  <c r="GI73" i="52"/>
  <c r="GI46" i="52"/>
  <c r="HC169" i="52"/>
  <c r="HC61" i="52"/>
  <c r="HC34" i="52"/>
  <c r="FV169" i="52"/>
  <c r="FV61" i="52"/>
  <c r="FV34" i="52"/>
  <c r="EQ174" i="52"/>
  <c r="EQ67" i="52"/>
  <c r="EQ40" i="52"/>
  <c r="ES179" i="52"/>
  <c r="ES73" i="52"/>
  <c r="ES46" i="52"/>
  <c r="FX174" i="52"/>
  <c r="FX40" i="52"/>
  <c r="FX67" i="52"/>
  <c r="FW179" i="52"/>
  <c r="FW73" i="52"/>
  <c r="FW46" i="52"/>
  <c r="HE174" i="52"/>
  <c r="HE67" i="52"/>
  <c r="HE40" i="52"/>
  <c r="U241" i="52"/>
  <c r="Q241" i="52"/>
  <c r="T241" i="52"/>
  <c r="Q258" i="52"/>
  <c r="U258" i="52"/>
  <c r="T258" i="52"/>
  <c r="FI121" i="52"/>
  <c r="FU115" i="52"/>
  <c r="Q79" i="52"/>
  <c r="U79" i="52"/>
  <c r="T79" i="52"/>
  <c r="U47" i="52"/>
  <c r="T47" i="52"/>
  <c r="Q47" i="52"/>
  <c r="FM179" i="52"/>
  <c r="FM73" i="52"/>
  <c r="FM46" i="52"/>
  <c r="GX174" i="52"/>
  <c r="GX67" i="52"/>
  <c r="GX40" i="52"/>
  <c r="GM169" i="52"/>
  <c r="GM61" i="52"/>
  <c r="GM34" i="52"/>
  <c r="GH179" i="52"/>
  <c r="GH73" i="52"/>
  <c r="GH46" i="52"/>
  <c r="FF169" i="52"/>
  <c r="FF61" i="52"/>
  <c r="FF34" i="52"/>
  <c r="O40" i="52"/>
  <c r="T39" i="52"/>
  <c r="Q39" i="52"/>
  <c r="Q20" i="52"/>
  <c r="O21" i="52"/>
  <c r="T20" i="52"/>
  <c r="U20" i="52"/>
  <c r="N30" i="52"/>
  <c r="M30" i="52"/>
  <c r="U30" i="52"/>
  <c r="P30" i="52"/>
  <c r="FY179" i="52"/>
  <c r="FY46" i="52"/>
  <c r="FY73" i="52"/>
  <c r="FQ174" i="52"/>
  <c r="FQ67" i="52"/>
  <c r="FQ40" i="52"/>
  <c r="S256" i="52"/>
  <c r="T256" i="52" s="1"/>
  <c r="Q256" i="52"/>
  <c r="ET179" i="52"/>
  <c r="ET73" i="52"/>
  <c r="ET46" i="52"/>
  <c r="HD174" i="52"/>
  <c r="HD67" i="52"/>
  <c r="HD40" i="52"/>
  <c r="FG179" i="52"/>
  <c r="FG73" i="52"/>
  <c r="FG46" i="52"/>
  <c r="U234" i="52"/>
  <c r="T234" i="52"/>
  <c r="Q234" i="52"/>
  <c r="U173" i="52"/>
  <c r="T173" i="52"/>
  <c r="Q173" i="52"/>
  <c r="FV115" i="52"/>
  <c r="U86" i="52"/>
  <c r="T86" i="52"/>
  <c r="Q86" i="52"/>
  <c r="FQ115" i="52"/>
  <c r="N43" i="52"/>
  <c r="M43" i="52"/>
  <c r="U43" i="52"/>
  <c r="P43" i="52"/>
  <c r="O69" i="52"/>
  <c r="EU179" i="52"/>
  <c r="EU46" i="52"/>
  <c r="EU73" i="52"/>
  <c r="GB174" i="52"/>
  <c r="GB67" i="52"/>
  <c r="GB40" i="52"/>
  <c r="FW169" i="52"/>
  <c r="FW34" i="52"/>
  <c r="FW61" i="52"/>
  <c r="FL179" i="52"/>
  <c r="FL73" i="52"/>
  <c r="FL46" i="52"/>
  <c r="GW174" i="52"/>
  <c r="GW67" i="52"/>
  <c r="GW40" i="52"/>
  <c r="EN169" i="52"/>
  <c r="EN61" i="52"/>
  <c r="EN34" i="52"/>
  <c r="GM174" i="52"/>
  <c r="GM40" i="52"/>
  <c r="GM67" i="52"/>
  <c r="GO174" i="52"/>
  <c r="GO67" i="52"/>
  <c r="GO40" i="52"/>
  <c r="FF179" i="52"/>
  <c r="FF73" i="52"/>
  <c r="FF46" i="52"/>
  <c r="FB46" i="48"/>
  <c r="FB73" i="48"/>
  <c r="FB179" i="48"/>
  <c r="GO174" i="48"/>
  <c r="GO40" i="48"/>
  <c r="GO67" i="48"/>
  <c r="FH46" i="48"/>
  <c r="FH73" i="48"/>
  <c r="FH179" i="48"/>
  <c r="FB40" i="48"/>
  <c r="FB67" i="48"/>
  <c r="FB174" i="48"/>
  <c r="FS46" i="48"/>
  <c r="FS73" i="48"/>
  <c r="FS179" i="48"/>
  <c r="HE174" i="48"/>
  <c r="HE40" i="48"/>
  <c r="HE67" i="48"/>
  <c r="FX179" i="48"/>
  <c r="FX46" i="48"/>
  <c r="FX73" i="48"/>
  <c r="GN179" i="48"/>
  <c r="GN46" i="48"/>
  <c r="GN73" i="48"/>
  <c r="HB169" i="48"/>
  <c r="HB34" i="48"/>
  <c r="HB61" i="48"/>
  <c r="FX169" i="48"/>
  <c r="FX34" i="48"/>
  <c r="FX61" i="48"/>
  <c r="GN169" i="48"/>
  <c r="GN34" i="48"/>
  <c r="GN61" i="48"/>
  <c r="HD169" i="48"/>
  <c r="HD34" i="48"/>
  <c r="HD61" i="48"/>
  <c r="FM169" i="48"/>
  <c r="FM34" i="48"/>
  <c r="FM61" i="48"/>
  <c r="FY174" i="48"/>
  <c r="FY40" i="48"/>
  <c r="FY67" i="48"/>
  <c r="FF46" i="48"/>
  <c r="FF73" i="48"/>
  <c r="FF179" i="48"/>
  <c r="GF34" i="48"/>
  <c r="GF61" i="48"/>
  <c r="GF169" i="48"/>
  <c r="GM174" i="48"/>
  <c r="GM40" i="48"/>
  <c r="GM67" i="48"/>
  <c r="FV46" i="48"/>
  <c r="FV73" i="48"/>
  <c r="FV179" i="48"/>
  <c r="GW34" i="48"/>
  <c r="GW61" i="48"/>
  <c r="GW169" i="48"/>
  <c r="HC174" i="48"/>
  <c r="HC40" i="48"/>
  <c r="HC67" i="48"/>
  <c r="FE46" i="48"/>
  <c r="FE73" i="48"/>
  <c r="FE179" i="48"/>
  <c r="FU179" i="48"/>
  <c r="FU46" i="48"/>
  <c r="FU73" i="48"/>
  <c r="FI174" i="48"/>
  <c r="FI40" i="48"/>
  <c r="FI67" i="48"/>
  <c r="BJ209" i="51"/>
  <c r="BK209" i="51" s="1"/>
  <c r="BL209" i="51" s="1"/>
  <c r="BJ208" i="51"/>
  <c r="BK208" i="51" s="1"/>
  <c r="BL208" i="51" s="1"/>
  <c r="BJ212" i="51"/>
  <c r="BK212" i="51" s="1"/>
  <c r="BL212" i="51" s="1"/>
  <c r="BJ220" i="51"/>
  <c r="BK220" i="51" s="1"/>
  <c r="BL220" i="51" s="1"/>
  <c r="AI115" i="51"/>
  <c r="AJ115" i="51" s="1"/>
  <c r="AK115" i="51" s="1"/>
  <c r="AI118" i="51"/>
  <c r="AJ118" i="51" s="1"/>
  <c r="AK118" i="51" s="1"/>
  <c r="BJ210" i="51"/>
  <c r="BK210" i="51" s="1"/>
  <c r="BL210" i="51" s="1"/>
  <c r="O54" i="51"/>
  <c r="Q54" i="51" s="1"/>
  <c r="T60" i="51"/>
  <c r="S61" i="51"/>
  <c r="T61" i="51" s="1"/>
  <c r="T63" i="51"/>
  <c r="T71" i="51"/>
  <c r="T31" i="51"/>
  <c r="U61" i="51"/>
  <c r="T33" i="51"/>
  <c r="Q18" i="51"/>
  <c r="Q99" i="51"/>
  <c r="Q68" i="51"/>
  <c r="M61" i="51"/>
  <c r="Q82" i="51"/>
  <c r="N61" i="51"/>
  <c r="T94" i="51"/>
  <c r="U82" i="51"/>
  <c r="Q34" i="51"/>
  <c r="T34" i="51"/>
  <c r="U87" i="51"/>
  <c r="T39" i="51"/>
  <c r="Q39" i="51"/>
  <c r="O40" i="51"/>
  <c r="Q157" i="51"/>
  <c r="S8" i="51"/>
  <c r="Q23" i="51"/>
  <c r="T23" i="51"/>
  <c r="P190" i="51"/>
  <c r="N190" i="51"/>
  <c r="M190" i="51"/>
  <c r="U190" i="51"/>
  <c r="U191" i="51"/>
  <c r="P191" i="51"/>
  <c r="M191" i="51"/>
  <c r="N191" i="51"/>
  <c r="Q5" i="51"/>
  <c r="S44" i="51"/>
  <c r="S70" i="51"/>
  <c r="T70" i="51" s="1"/>
  <c r="Q94" i="51"/>
  <c r="P108" i="51"/>
  <c r="S108" i="51" s="1"/>
  <c r="T108" i="51" s="1"/>
  <c r="M108" i="51"/>
  <c r="AB135" i="51"/>
  <c r="AB132" i="51"/>
  <c r="AB131" i="51"/>
  <c r="AB124" i="51"/>
  <c r="AB129" i="51"/>
  <c r="AB125" i="51"/>
  <c r="AB128" i="51"/>
  <c r="AB123" i="51"/>
  <c r="AB121" i="51"/>
  <c r="AB130" i="51"/>
  <c r="AB127" i="51"/>
  <c r="AB122" i="51"/>
  <c r="AI119" i="51"/>
  <c r="AJ119" i="51" s="1"/>
  <c r="AK119" i="51" s="1"/>
  <c r="Q90" i="51"/>
  <c r="Q93" i="51"/>
  <c r="O97" i="51"/>
  <c r="Q41" i="51"/>
  <c r="Q42" i="51"/>
  <c r="O66" i="51"/>
  <c r="O72" i="51"/>
  <c r="M87" i="51"/>
  <c r="Q69" i="51"/>
  <c r="T5" i="51"/>
  <c r="Q13" i="51"/>
  <c r="M62" i="51"/>
  <c r="Q63" i="51"/>
  <c r="Q64" i="51"/>
  <c r="M86" i="51"/>
  <c r="N87" i="51"/>
  <c r="Q89" i="51"/>
  <c r="P115" i="51"/>
  <c r="M115" i="51"/>
  <c r="N116" i="51"/>
  <c r="P116" i="51"/>
  <c r="U116" i="51"/>
  <c r="AI124" i="51"/>
  <c r="AJ124" i="51" s="1"/>
  <c r="AK124" i="51" s="1"/>
  <c r="Q47" i="51"/>
  <c r="Q37" i="51"/>
  <c r="T41" i="51"/>
  <c r="T42" i="51"/>
  <c r="O45" i="51"/>
  <c r="T47" i="51"/>
  <c r="N62" i="51"/>
  <c r="T69" i="51"/>
  <c r="T80" i="51"/>
  <c r="N86" i="51"/>
  <c r="Q88" i="51"/>
  <c r="T93" i="51"/>
  <c r="Q96" i="51"/>
  <c r="O159" i="51"/>
  <c r="S144" i="51"/>
  <c r="T144" i="51" s="1"/>
  <c r="Q144" i="51"/>
  <c r="T90" i="51"/>
  <c r="T13" i="51"/>
  <c r="T68" i="51"/>
  <c r="P87" i="51"/>
  <c r="S87" i="51" s="1"/>
  <c r="T87" i="51" s="1"/>
  <c r="T89" i="51"/>
  <c r="P105" i="51"/>
  <c r="S105" i="51" s="1"/>
  <c r="U134" i="51"/>
  <c r="O15" i="51"/>
  <c r="O22" i="51" s="1"/>
  <c r="S35" i="51"/>
  <c r="T37" i="51"/>
  <c r="Q62" i="51"/>
  <c r="T64" i="51"/>
  <c r="T65" i="51"/>
  <c r="U68" i="51"/>
  <c r="M83" i="51"/>
  <c r="Q85" i="51"/>
  <c r="P86" i="51"/>
  <c r="S86" i="51" s="1"/>
  <c r="T86" i="51" s="1"/>
  <c r="N105" i="51"/>
  <c r="P107" i="51"/>
  <c r="S107" i="51" s="1"/>
  <c r="M107" i="51"/>
  <c r="U108" i="51"/>
  <c r="P119" i="51"/>
  <c r="S119" i="51" s="1"/>
  <c r="F119" i="51"/>
  <c r="M119" i="51"/>
  <c r="U136" i="51"/>
  <c r="P136" i="51"/>
  <c r="N136" i="51"/>
  <c r="O179" i="51"/>
  <c r="Q31" i="51"/>
  <c r="Q33" i="51"/>
  <c r="U65" i="51"/>
  <c r="Q71" i="51"/>
  <c r="N83" i="51"/>
  <c r="T88" i="51"/>
  <c r="N107" i="51"/>
  <c r="P111" i="51"/>
  <c r="S111" i="51" s="1"/>
  <c r="T111" i="51" s="1"/>
  <c r="M111" i="51"/>
  <c r="N119" i="51"/>
  <c r="M136" i="51"/>
  <c r="Q57" i="51"/>
  <c r="O83" i="51"/>
  <c r="T95" i="51"/>
  <c r="U115" i="51"/>
  <c r="P118" i="51"/>
  <c r="S118" i="51" s="1"/>
  <c r="T118" i="51" s="1"/>
  <c r="N118" i="51"/>
  <c r="M118" i="51"/>
  <c r="O160" i="51"/>
  <c r="N148" i="51"/>
  <c r="P148" i="51"/>
  <c r="S148" i="51" s="1"/>
  <c r="T148" i="51" s="1"/>
  <c r="M148" i="51"/>
  <c r="T18" i="51"/>
  <c r="AI235" i="51"/>
  <c r="AJ233" i="51"/>
  <c r="AH229" i="51"/>
  <c r="AJ226" i="51"/>
  <c r="AH235" i="51"/>
  <c r="AI233" i="51"/>
  <c r="AJ230" i="51"/>
  <c r="AI226" i="51"/>
  <c r="AJ240" i="51"/>
  <c r="AJ238" i="51"/>
  <c r="AH233" i="51"/>
  <c r="AI230" i="51"/>
  <c r="AH226" i="51"/>
  <c r="AI240" i="51"/>
  <c r="AI238" i="51"/>
  <c r="AJ231" i="51"/>
  <c r="AH230" i="51"/>
  <c r="AH240" i="51"/>
  <c r="AH238" i="51"/>
  <c r="AJ236" i="51"/>
  <c r="AI231" i="51"/>
  <c r="AI236" i="51"/>
  <c r="AJ234" i="51"/>
  <c r="AH231" i="51"/>
  <c r="AH236" i="51"/>
  <c r="AI234" i="51"/>
  <c r="AJ232" i="51"/>
  <c r="AJ227" i="51"/>
  <c r="AH234" i="51"/>
  <c r="AI232" i="51"/>
  <c r="AJ228" i="51"/>
  <c r="AI227" i="51"/>
  <c r="AJ225" i="51"/>
  <c r="AJ239" i="51"/>
  <c r="AH232" i="51"/>
  <c r="AI228" i="51"/>
  <c r="AH227" i="51"/>
  <c r="AI225" i="51"/>
  <c r="AH239" i="51"/>
  <c r="AI237" i="51"/>
  <c r="AJ229" i="51"/>
  <c r="AH237" i="51"/>
  <c r="AJ235" i="51"/>
  <c r="AI229" i="51"/>
  <c r="AH228" i="51"/>
  <c r="AJ237" i="51"/>
  <c r="AI239" i="51"/>
  <c r="AH225" i="51"/>
  <c r="O112" i="51"/>
  <c r="U112" i="51" s="1"/>
  <c r="Q140" i="51"/>
  <c r="U140" i="51"/>
  <c r="T174" i="51"/>
  <c r="Q174" i="51"/>
  <c r="U174" i="51"/>
  <c r="U207" i="51"/>
  <c r="T207" i="51"/>
  <c r="Q207" i="51"/>
  <c r="Q220" i="51"/>
  <c r="S220" i="51"/>
  <c r="T220" i="51" s="1"/>
  <c r="P142" i="51"/>
  <c r="S142" i="51" s="1"/>
  <c r="M142" i="51"/>
  <c r="F142" i="51"/>
  <c r="N142" i="51"/>
  <c r="U62" i="51"/>
  <c r="Q95" i="51"/>
  <c r="AB120" i="51"/>
  <c r="O167" i="51"/>
  <c r="O180" i="51"/>
  <c r="U172" i="51"/>
  <c r="N121" i="51"/>
  <c r="U138" i="51"/>
  <c r="O156" i="51"/>
  <c r="W144" i="51"/>
  <c r="W151" i="51"/>
  <c r="Q200" i="51"/>
  <c r="U200" i="51"/>
  <c r="O184" i="51"/>
  <c r="P130" i="51"/>
  <c r="S130" i="51" s="1"/>
  <c r="N130" i="51"/>
  <c r="T171" i="51"/>
  <c r="Q247" i="51"/>
  <c r="W154" i="51"/>
  <c r="O192" i="51"/>
  <c r="O202" i="51"/>
  <c r="P209" i="51"/>
  <c r="S209" i="51" s="1"/>
  <c r="N209" i="51"/>
  <c r="M209" i="51"/>
  <c r="AS218" i="51"/>
  <c r="AT218" i="51" s="1"/>
  <c r="W208" i="51"/>
  <c r="AE207" i="51"/>
  <c r="X205" i="51"/>
  <c r="AG204" i="51"/>
  <c r="AG218" i="51"/>
  <c r="AS217" i="51"/>
  <c r="AT217" i="51" s="1"/>
  <c r="AS216" i="51"/>
  <c r="AT216" i="51" s="1"/>
  <c r="AS215" i="51"/>
  <c r="AT215" i="51" s="1"/>
  <c r="AG217" i="51"/>
  <c r="AG216" i="51"/>
  <c r="AG215" i="51"/>
  <c r="AS214" i="51"/>
  <c r="AT214" i="51" s="1"/>
  <c r="X207" i="51"/>
  <c r="AE204" i="51"/>
  <c r="AS213" i="51"/>
  <c r="AT213" i="51" s="1"/>
  <c r="AE217" i="51"/>
  <c r="AE216" i="51"/>
  <c r="AE215" i="51"/>
  <c r="AE214" i="51"/>
  <c r="AS211" i="51"/>
  <c r="AT211" i="51" s="1"/>
  <c r="AG210" i="51"/>
  <c r="AG209" i="51"/>
  <c r="AG206" i="51"/>
  <c r="X215" i="51"/>
  <c r="AE213" i="51"/>
  <c r="AS212" i="51"/>
  <c r="AT212" i="51" s="1"/>
  <c r="AG211" i="51"/>
  <c r="AS208" i="51"/>
  <c r="AT208" i="51" s="1"/>
  <c r="X214" i="51"/>
  <c r="AG212" i="51"/>
  <c r="AE210" i="51"/>
  <c r="AE209" i="51"/>
  <c r="AG208" i="51"/>
  <c r="AE206" i="51"/>
  <c r="AS205" i="51"/>
  <c r="AT205" i="51" s="1"/>
  <c r="AE203" i="51"/>
  <c r="AE211" i="51"/>
  <c r="AG205" i="51"/>
  <c r="X211" i="51"/>
  <c r="W209" i="51"/>
  <c r="AG207" i="51"/>
  <c r="W206" i="51"/>
  <c r="AE205" i="51"/>
  <c r="X201" i="51"/>
  <c r="AE218" i="51"/>
  <c r="O166" i="51"/>
  <c r="O153" i="51"/>
  <c r="O158" i="51"/>
  <c r="W148" i="51"/>
  <c r="W150" i="51"/>
  <c r="W145" i="51"/>
  <c r="W153" i="51"/>
  <c r="P165" i="51"/>
  <c r="S165" i="51" s="1"/>
  <c r="T165" i="51" s="1"/>
  <c r="M165" i="51"/>
  <c r="M168" i="51"/>
  <c r="T201" i="51"/>
  <c r="O209" i="51"/>
  <c r="U209" i="51" s="1"/>
  <c r="Q248" i="51"/>
  <c r="S248" i="51"/>
  <c r="T248" i="51" s="1"/>
  <c r="U130" i="51"/>
  <c r="P143" i="51"/>
  <c r="N143" i="51"/>
  <c r="W158" i="51"/>
  <c r="N165" i="51"/>
  <c r="HB167" i="51"/>
  <c r="HB168" i="51" s="1"/>
  <c r="T240" i="51"/>
  <c r="Z240" i="51"/>
  <c r="N194" i="51"/>
  <c r="N221" i="51"/>
  <c r="Z226" i="51"/>
  <c r="AA230" i="51"/>
  <c r="Z233" i="51"/>
  <c r="N236" i="51"/>
  <c r="O244" i="51"/>
  <c r="U247" i="51"/>
  <c r="N250" i="51"/>
  <c r="P251" i="51"/>
  <c r="S251" i="51" s="1"/>
  <c r="F254" i="51"/>
  <c r="O250" i="51"/>
  <c r="U250" i="51" s="1"/>
  <c r="P194" i="51"/>
  <c r="S194" i="51" s="1"/>
  <c r="M210" i="51"/>
  <c r="P221" i="51"/>
  <c r="S221" i="51" s="1"/>
  <c r="F226" i="51"/>
  <c r="Z229" i="51"/>
  <c r="AA235" i="51"/>
  <c r="P236" i="51"/>
  <c r="S236" i="51" s="1"/>
  <c r="P250" i="51"/>
  <c r="S250" i="51" s="1"/>
  <c r="U189" i="51"/>
  <c r="N210" i="51"/>
  <c r="M220" i="51"/>
  <c r="AA229" i="51"/>
  <c r="Z237" i="51"/>
  <c r="O243" i="51"/>
  <c r="M248" i="51"/>
  <c r="F199" i="51"/>
  <c r="Q201" i="51"/>
  <c r="AG214" i="51"/>
  <c r="Z225" i="51"/>
  <c r="Z228" i="51"/>
  <c r="AA239" i="51"/>
  <c r="Q240" i="51"/>
  <c r="N247" i="51"/>
  <c r="Q249" i="51"/>
  <c r="AA225" i="51"/>
  <c r="Z227" i="51"/>
  <c r="AA228" i="51"/>
  <c r="Z232" i="51"/>
  <c r="M218" i="51"/>
  <c r="AA227" i="51"/>
  <c r="AA232" i="51"/>
  <c r="Z234" i="51"/>
  <c r="W168" i="51"/>
  <c r="W171" i="51"/>
  <c r="W174" i="51"/>
  <c r="AA234" i="51"/>
  <c r="P111" i="46"/>
  <c r="S111" i="46" s="1"/>
  <c r="N111" i="46"/>
  <c r="P110" i="46"/>
  <c r="S110" i="46" s="1"/>
  <c r="M111" i="46"/>
  <c r="N110" i="46"/>
  <c r="P61" i="46"/>
  <c r="S61" i="46" s="1"/>
  <c r="N61" i="46"/>
  <c r="M35" i="46"/>
  <c r="P35" i="46"/>
  <c r="S35" i="46" s="1"/>
  <c r="P85" i="46"/>
  <c r="P86" i="46"/>
  <c r="N86" i="46"/>
  <c r="N85" i="46"/>
  <c r="M85" i="46"/>
  <c r="N60" i="46"/>
  <c r="M60" i="46"/>
  <c r="P60" i="46"/>
  <c r="S60" i="46" s="1"/>
  <c r="P34" i="46"/>
  <c r="N34" i="46"/>
  <c r="M34" i="46"/>
  <c r="N10" i="46"/>
  <c r="M10" i="46"/>
  <c r="P10" i="46"/>
  <c r="N9" i="46"/>
  <c r="M9" i="46"/>
  <c r="P9" i="46"/>
  <c r="O39" i="47"/>
  <c r="O21" i="47"/>
  <c r="O22" i="47"/>
  <c r="S134" i="51" l="1"/>
  <c r="T134" i="51" s="1"/>
  <c r="Q134" i="51"/>
  <c r="S138" i="51"/>
  <c r="T138" i="51" s="1"/>
  <c r="Q138" i="51"/>
  <c r="U157" i="51"/>
  <c r="T181" i="51"/>
  <c r="Q109" i="51"/>
  <c r="O323" i="52"/>
  <c r="O321" i="52" s="1"/>
  <c r="Q225" i="52"/>
  <c r="T225" i="52"/>
  <c r="T49" i="51"/>
  <c r="Q49" i="51"/>
  <c r="BC7" i="51"/>
  <c r="O8" i="51" s="1"/>
  <c r="BC13" i="51" s="1"/>
  <c r="O14" i="51" s="1"/>
  <c r="BC8" i="51"/>
  <c r="O84" i="51"/>
  <c r="T84" i="51" s="1"/>
  <c r="U80" i="51"/>
  <c r="U100" i="51" s="1"/>
  <c r="Q81" i="51"/>
  <c r="T11" i="51"/>
  <c r="Q11" i="51"/>
  <c r="T81" i="51"/>
  <c r="Q80" i="51"/>
  <c r="AO47" i="51"/>
  <c r="U147" i="51"/>
  <c r="P147" i="51"/>
  <c r="S147" i="51" s="1"/>
  <c r="T147" i="51" s="1"/>
  <c r="Q197" i="51"/>
  <c r="M147" i="51"/>
  <c r="BC19" i="51"/>
  <c r="O20" i="51" s="1"/>
  <c r="T35" i="51"/>
  <c r="Q208" i="51"/>
  <c r="T208" i="51"/>
  <c r="T183" i="51"/>
  <c r="Q222" i="51"/>
  <c r="O213" i="51"/>
  <c r="U213" i="51" s="1"/>
  <c r="O161" i="51"/>
  <c r="Q161" i="51" s="1"/>
  <c r="Q182" i="51"/>
  <c r="Q219" i="51"/>
  <c r="T24" i="51"/>
  <c r="O122" i="51"/>
  <c r="T122" i="51" s="1"/>
  <c r="Q137" i="51"/>
  <c r="U182" i="51"/>
  <c r="T154" i="51"/>
  <c r="Q154" i="51"/>
  <c r="T3" i="51"/>
  <c r="BQ2" i="51"/>
  <c r="Q3" i="51"/>
  <c r="O4" i="51"/>
  <c r="BQ23" i="51"/>
  <c r="Q7" i="51"/>
  <c r="T9" i="51"/>
  <c r="BQ14" i="51"/>
  <c r="BQ3" i="51"/>
  <c r="BQ15" i="51"/>
  <c r="BQ4" i="51"/>
  <c r="BQ16" i="51"/>
  <c r="BQ5" i="51"/>
  <c r="BQ17" i="51"/>
  <c r="BQ6" i="51"/>
  <c r="BQ18" i="51"/>
  <c r="BQ7" i="51"/>
  <c r="BQ19" i="51"/>
  <c r="BQ8" i="51"/>
  <c r="BQ9" i="51"/>
  <c r="BQ10" i="51"/>
  <c r="BQ11" i="51"/>
  <c r="BQ12" i="51"/>
  <c r="BQ13" i="51"/>
  <c r="Q48" i="51"/>
  <c r="T29" i="51"/>
  <c r="Q29" i="51"/>
  <c r="T12" i="51"/>
  <c r="T6" i="51"/>
  <c r="Q6" i="51"/>
  <c r="Q199" i="51"/>
  <c r="T21" i="51"/>
  <c r="Q183" i="51"/>
  <c r="U105" i="51"/>
  <c r="O107" i="51"/>
  <c r="O124" i="51" s="1"/>
  <c r="U124" i="51" s="1"/>
  <c r="O119" i="51"/>
  <c r="U119" i="51" s="1"/>
  <c r="O106" i="51"/>
  <c r="Q106" i="51" s="1"/>
  <c r="T105" i="51"/>
  <c r="O114" i="51"/>
  <c r="U114" i="51" s="1"/>
  <c r="Q152" i="51"/>
  <c r="T152" i="51"/>
  <c r="O239" i="51"/>
  <c r="U239" i="51" s="1"/>
  <c r="O146" i="51"/>
  <c r="T146" i="51" s="1"/>
  <c r="T236" i="51"/>
  <c r="O245" i="51"/>
  <c r="U245" i="51" s="1"/>
  <c r="O145" i="51"/>
  <c r="Q145" i="51" s="1"/>
  <c r="T44" i="52"/>
  <c r="U236" i="51"/>
  <c r="O253" i="51"/>
  <c r="T253" i="51" s="1"/>
  <c r="T206" i="51"/>
  <c r="O237" i="51"/>
  <c r="U237" i="51" s="1"/>
  <c r="O246" i="51"/>
  <c r="U246" i="51" s="1"/>
  <c r="U206" i="51"/>
  <c r="T130" i="51"/>
  <c r="O141" i="51"/>
  <c r="Q141" i="51" s="1"/>
  <c r="O238" i="51"/>
  <c r="T238" i="51" s="1"/>
  <c r="O131" i="51"/>
  <c r="U131" i="51" s="1"/>
  <c r="O142" i="51"/>
  <c r="U142" i="51" s="1"/>
  <c r="U181" i="51"/>
  <c r="T251" i="51"/>
  <c r="Q189" i="51"/>
  <c r="T241" i="51"/>
  <c r="Q113" i="51"/>
  <c r="T308" i="52"/>
  <c r="T113" i="51"/>
  <c r="Q21" i="51"/>
  <c r="Q155" i="51"/>
  <c r="U155" i="51"/>
  <c r="Q133" i="51"/>
  <c r="Q172" i="51"/>
  <c r="T199" i="51"/>
  <c r="O227" i="51"/>
  <c r="U227" i="51" s="1"/>
  <c r="V203" i="51"/>
  <c r="O185" i="51"/>
  <c r="U185" i="51" s="1"/>
  <c r="Q91" i="51"/>
  <c r="T187" i="51"/>
  <c r="Q187" i="51"/>
  <c r="Q98" i="51"/>
  <c r="W203" i="51"/>
  <c r="O186" i="51"/>
  <c r="Q186" i="51" s="1"/>
  <c r="T98" i="51"/>
  <c r="U242" i="51"/>
  <c r="U91" i="51"/>
  <c r="T242" i="51"/>
  <c r="O92" i="51"/>
  <c r="U92" i="51" s="1"/>
  <c r="T91" i="51"/>
  <c r="T54" i="51"/>
  <c r="O58" i="51"/>
  <c r="Q58" i="51" s="1"/>
  <c r="Q111" i="51"/>
  <c r="U101" i="52"/>
  <c r="Q241" i="51"/>
  <c r="Q118" i="51"/>
  <c r="O102" i="52"/>
  <c r="T102" i="52" s="1"/>
  <c r="U54" i="51"/>
  <c r="Q101" i="52"/>
  <c r="O59" i="51"/>
  <c r="Q59" i="51" s="1"/>
  <c r="O55" i="51"/>
  <c r="Q55" i="51" s="1"/>
  <c r="Q148" i="51"/>
  <c r="Q212" i="52"/>
  <c r="T212" i="52"/>
  <c r="U212" i="52"/>
  <c r="O267" i="52"/>
  <c r="O274" i="52" s="1"/>
  <c r="T210" i="52"/>
  <c r="U210" i="52"/>
  <c r="Q210" i="52"/>
  <c r="Q200" i="52"/>
  <c r="T200" i="52"/>
  <c r="U200" i="52"/>
  <c r="Q196" i="52"/>
  <c r="T196" i="52"/>
  <c r="O211" i="52"/>
  <c r="U196" i="52"/>
  <c r="Q207" i="52"/>
  <c r="T207" i="52"/>
  <c r="U207" i="52"/>
  <c r="T197" i="52"/>
  <c r="U197" i="52"/>
  <c r="Q197" i="52"/>
  <c r="U344" i="52"/>
  <c r="Q208" i="52"/>
  <c r="T208" i="52"/>
  <c r="U208" i="52"/>
  <c r="Q198" i="52"/>
  <c r="T198" i="52"/>
  <c r="U198" i="52"/>
  <c r="T101" i="52"/>
  <c r="Q53" i="52"/>
  <c r="T344" i="52"/>
  <c r="T53" i="52"/>
  <c r="O324" i="52"/>
  <c r="U334" i="52"/>
  <c r="T334" i="52"/>
  <c r="Q334" i="52"/>
  <c r="O41" i="52"/>
  <c r="O58" i="52" s="1"/>
  <c r="O289" i="52"/>
  <c r="O290" i="52"/>
  <c r="O106" i="52"/>
  <c r="O107" i="52" s="1"/>
  <c r="O120" i="52" s="1"/>
  <c r="O119" i="52" s="1"/>
  <c r="Q294" i="52"/>
  <c r="T294" i="52"/>
  <c r="U308" i="52"/>
  <c r="O42" i="52"/>
  <c r="T42" i="52" s="1"/>
  <c r="U288" i="52"/>
  <c r="Q37" i="52"/>
  <c r="T37" i="52"/>
  <c r="O38" i="52"/>
  <c r="O36" i="52" s="1"/>
  <c r="T36" i="52" s="1"/>
  <c r="Q305" i="52"/>
  <c r="Q288" i="52"/>
  <c r="T140" i="52"/>
  <c r="U5" i="52"/>
  <c r="U140" i="52"/>
  <c r="Q140" i="52"/>
  <c r="Q265" i="52"/>
  <c r="T265" i="52"/>
  <c r="O292" i="52"/>
  <c r="Q292" i="52" s="1"/>
  <c r="Q328" i="52"/>
  <c r="T328" i="52"/>
  <c r="T5" i="52"/>
  <c r="O6" i="52"/>
  <c r="Q5" i="52"/>
  <c r="O9" i="52"/>
  <c r="T9" i="52" s="1"/>
  <c r="Q133" i="52"/>
  <c r="O134" i="52"/>
  <c r="T134" i="52" s="1"/>
  <c r="T133" i="52"/>
  <c r="U133" i="52"/>
  <c r="O138" i="52"/>
  <c r="U138" i="52" s="1"/>
  <c r="U322" i="52"/>
  <c r="T322" i="52"/>
  <c r="Q322" i="52"/>
  <c r="T12" i="52"/>
  <c r="U310" i="52"/>
  <c r="T310" i="52"/>
  <c r="T305" i="52"/>
  <c r="T108" i="52"/>
  <c r="Q123" i="52"/>
  <c r="U123" i="52"/>
  <c r="T123" i="52"/>
  <c r="O304" i="52"/>
  <c r="Q303" i="52"/>
  <c r="Q17" i="52"/>
  <c r="U17" i="52"/>
  <c r="T17" i="52"/>
  <c r="Q108" i="52"/>
  <c r="T303" i="52"/>
  <c r="U296" i="52"/>
  <c r="T296" i="52"/>
  <c r="Q313" i="52"/>
  <c r="Q296" i="52"/>
  <c r="O75" i="52"/>
  <c r="O77" i="52"/>
  <c r="O73" i="52"/>
  <c r="O74" i="52"/>
  <c r="O70" i="52"/>
  <c r="O68" i="52" s="1"/>
  <c r="T69" i="52"/>
  <c r="Q69" i="52"/>
  <c r="U69" i="52"/>
  <c r="U266" i="52"/>
  <c r="T266" i="52"/>
  <c r="Q266" i="52"/>
  <c r="T76" i="52"/>
  <c r="Q76" i="52"/>
  <c r="S126" i="52"/>
  <c r="T126" i="52" s="1"/>
  <c r="Q126" i="52"/>
  <c r="Q185" i="52"/>
  <c r="U185" i="52"/>
  <c r="T185" i="52"/>
  <c r="S43" i="52"/>
  <c r="T43" i="52" s="1"/>
  <c r="Q43" i="52"/>
  <c r="Q40" i="52"/>
  <c r="T40" i="52"/>
  <c r="U179" i="52"/>
  <c r="T179" i="52"/>
  <c r="Q179" i="52"/>
  <c r="T223" i="52"/>
  <c r="U223" i="52"/>
  <c r="Q223" i="52"/>
  <c r="U40" i="52"/>
  <c r="S94" i="52"/>
  <c r="T94" i="52" s="1"/>
  <c r="Q94" i="52"/>
  <c r="U246" i="52"/>
  <c r="T246" i="52"/>
  <c r="Q246" i="52"/>
  <c r="Q155" i="52"/>
  <c r="U155" i="52"/>
  <c r="T155" i="52"/>
  <c r="Q226" i="52"/>
  <c r="O245" i="52"/>
  <c r="T226" i="52"/>
  <c r="U226" i="52"/>
  <c r="Q44" i="52"/>
  <c r="Q12" i="52"/>
  <c r="S30" i="52"/>
  <c r="T30" i="52" s="1"/>
  <c r="Q30" i="52"/>
  <c r="U149" i="52"/>
  <c r="Q149" i="52"/>
  <c r="T149" i="52"/>
  <c r="O170" i="52"/>
  <c r="O167" i="52"/>
  <c r="T165" i="52"/>
  <c r="O168" i="52"/>
  <c r="O166" i="52"/>
  <c r="Q165" i="52"/>
  <c r="O182" i="52"/>
  <c r="U165" i="52"/>
  <c r="Q104" i="52"/>
  <c r="T104" i="52"/>
  <c r="O263" i="52"/>
  <c r="U261" i="52"/>
  <c r="T261" i="52"/>
  <c r="Q261" i="52"/>
  <c r="U150" i="52"/>
  <c r="Q150" i="52"/>
  <c r="T150" i="52"/>
  <c r="U117" i="52"/>
  <c r="Q117" i="52"/>
  <c r="T117" i="52"/>
  <c r="U240" i="52"/>
  <c r="T240" i="52"/>
  <c r="Q240" i="52"/>
  <c r="T27" i="52"/>
  <c r="U27" i="52"/>
  <c r="Q27" i="52"/>
  <c r="T85" i="52"/>
  <c r="Q85" i="52"/>
  <c r="U85" i="52"/>
  <c r="T105" i="52"/>
  <c r="Q105" i="52"/>
  <c r="U105" i="52"/>
  <c r="T227" i="52"/>
  <c r="U227" i="52"/>
  <c r="Q227" i="52"/>
  <c r="O228" i="52"/>
  <c r="O231" i="52"/>
  <c r="U229" i="52"/>
  <c r="T229" i="52"/>
  <c r="Q229" i="52"/>
  <c r="T169" i="52"/>
  <c r="Q169" i="52"/>
  <c r="Q72" i="52"/>
  <c r="U59" i="52"/>
  <c r="T59" i="52"/>
  <c r="Q59" i="52"/>
  <c r="T118" i="52"/>
  <c r="Q118" i="52"/>
  <c r="U118" i="52"/>
  <c r="Q10" i="52"/>
  <c r="T10" i="52"/>
  <c r="O11" i="52"/>
  <c r="U10" i="52"/>
  <c r="Q21" i="52"/>
  <c r="U21" i="52"/>
  <c r="T21" i="52"/>
  <c r="T264" i="52"/>
  <c r="Q264" i="52"/>
  <c r="U264" i="52"/>
  <c r="T91" i="52"/>
  <c r="U91" i="52"/>
  <c r="Q91" i="52"/>
  <c r="S62" i="52"/>
  <c r="T62" i="52" s="1"/>
  <c r="Q62" i="52"/>
  <c r="S188" i="52"/>
  <c r="T188" i="52" s="1"/>
  <c r="Q188" i="52"/>
  <c r="Q137" i="52"/>
  <c r="T137" i="52"/>
  <c r="U137" i="52"/>
  <c r="O168" i="51"/>
  <c r="O162" i="51"/>
  <c r="T161" i="51"/>
  <c r="U161" i="51"/>
  <c r="U244" i="51"/>
  <c r="T244" i="51"/>
  <c r="Q244" i="51"/>
  <c r="O175" i="51"/>
  <c r="T166" i="51"/>
  <c r="U166" i="51"/>
  <c r="Q166" i="51"/>
  <c r="U66" i="51"/>
  <c r="T66" i="51"/>
  <c r="O73" i="51"/>
  <c r="Q66" i="51"/>
  <c r="O67" i="51"/>
  <c r="S191" i="51"/>
  <c r="T191" i="51" s="1"/>
  <c r="Q191" i="51"/>
  <c r="T243" i="51"/>
  <c r="Q243" i="51"/>
  <c r="U243" i="51"/>
  <c r="S143" i="51"/>
  <c r="T143" i="51" s="1"/>
  <c r="Q143" i="51"/>
  <c r="T112" i="51"/>
  <c r="Q112" i="51"/>
  <c r="Q130" i="51"/>
  <c r="Q108" i="51"/>
  <c r="Q236" i="51"/>
  <c r="Q87" i="51"/>
  <c r="U72" i="51"/>
  <c r="T72" i="51"/>
  <c r="Q72" i="51"/>
  <c r="Q10" i="51"/>
  <c r="S10" i="51"/>
  <c r="T10" i="51" s="1"/>
  <c r="O234" i="51"/>
  <c r="Q92" i="51"/>
  <c r="Q83" i="51"/>
  <c r="U83" i="51"/>
  <c r="T83" i="51"/>
  <c r="S14" i="51"/>
  <c r="T106" i="51"/>
  <c r="T179" i="51"/>
  <c r="U179" i="51"/>
  <c r="Q179" i="51"/>
  <c r="T132" i="51"/>
  <c r="O135" i="51"/>
  <c r="U132" i="51"/>
  <c r="Q132" i="51"/>
  <c r="O16" i="51"/>
  <c r="Q15" i="51"/>
  <c r="T15" i="51"/>
  <c r="S190" i="51"/>
  <c r="T190" i="51" s="1"/>
  <c r="Q190" i="51"/>
  <c r="Q121" i="51"/>
  <c r="T121" i="51"/>
  <c r="U180" i="51"/>
  <c r="Q180" i="51"/>
  <c r="T180" i="51"/>
  <c r="O235" i="51"/>
  <c r="Q160" i="51"/>
  <c r="U160" i="51"/>
  <c r="T160" i="51"/>
  <c r="Q122" i="51"/>
  <c r="T209" i="51"/>
  <c r="O223" i="51"/>
  <c r="O211" i="51"/>
  <c r="O221" i="51"/>
  <c r="O224" i="51"/>
  <c r="O225" i="51"/>
  <c r="O218" i="51"/>
  <c r="O210" i="51"/>
  <c r="Q209" i="51"/>
  <c r="T158" i="51"/>
  <c r="U158" i="51"/>
  <c r="Q158" i="51"/>
  <c r="P213" i="51"/>
  <c r="S213" i="51" s="1"/>
  <c r="N213" i="51"/>
  <c r="M213" i="51"/>
  <c r="Q165" i="51"/>
  <c r="Q86" i="51"/>
  <c r="T45" i="51"/>
  <c r="Q45" i="51"/>
  <c r="U97" i="51"/>
  <c r="T97" i="51"/>
  <c r="Q97" i="51"/>
  <c r="T40" i="51"/>
  <c r="Q40" i="51"/>
  <c r="T250" i="51"/>
  <c r="Q250" i="51"/>
  <c r="U153" i="51"/>
  <c r="T153" i="51"/>
  <c r="Q153" i="51"/>
  <c r="U202" i="51"/>
  <c r="T202" i="51"/>
  <c r="Q202" i="51"/>
  <c r="T167" i="51"/>
  <c r="Q167" i="51"/>
  <c r="U167" i="51"/>
  <c r="T145" i="51"/>
  <c r="U145" i="51"/>
  <c r="Q105" i="51"/>
  <c r="Q251" i="51"/>
  <c r="T156" i="51"/>
  <c r="Q156" i="51"/>
  <c r="U156" i="51"/>
  <c r="O233" i="51"/>
  <c r="U159" i="51"/>
  <c r="T159" i="51"/>
  <c r="Q159" i="51"/>
  <c r="S116" i="51"/>
  <c r="T116" i="51" s="1"/>
  <c r="Q116" i="51"/>
  <c r="T46" i="51"/>
  <c r="Q46" i="51"/>
  <c r="U192" i="51"/>
  <c r="Q192" i="51"/>
  <c r="T192" i="51"/>
  <c r="T30" i="51"/>
  <c r="Q30" i="51"/>
  <c r="S115" i="51"/>
  <c r="T115" i="51" s="1"/>
  <c r="Q115" i="51"/>
  <c r="Q184" i="51"/>
  <c r="U184" i="51"/>
  <c r="T184" i="51"/>
  <c r="S136" i="51"/>
  <c r="T136" i="51" s="1"/>
  <c r="Q136" i="51"/>
  <c r="Q35" i="51"/>
  <c r="T32" i="51"/>
  <c r="Q32" i="51"/>
  <c r="S85" i="46"/>
  <c r="S86" i="46"/>
  <c r="S34" i="46"/>
  <c r="S10" i="46"/>
  <c r="S9" i="46"/>
  <c r="O40" i="47"/>
  <c r="O46" i="47"/>
  <c r="BP19" i="47"/>
  <c r="BP18" i="47"/>
  <c r="BP17" i="47"/>
  <c r="BP16" i="47"/>
  <c r="O6" i="47" s="1"/>
  <c r="BP15" i="47"/>
  <c r="BP14" i="47"/>
  <c r="BP13" i="47"/>
  <c r="BP12" i="47"/>
  <c r="BP11" i="47"/>
  <c r="BP10" i="47"/>
  <c r="BP9" i="47"/>
  <c r="BP8" i="47"/>
  <c r="BP7" i="47"/>
  <c r="BP6" i="47"/>
  <c r="BP5" i="47"/>
  <c r="BP4" i="47"/>
  <c r="BP3" i="47"/>
  <c r="BP2" i="47"/>
  <c r="BH2" i="47"/>
  <c r="L6" i="47"/>
  <c r="AO73" i="47" a="1"/>
  <c r="AO73" i="47" s="1"/>
  <c r="R4" i="47"/>
  <c r="R5" i="47"/>
  <c r="R6" i="47"/>
  <c r="R7" i="47"/>
  <c r="R8" i="47"/>
  <c r="R9" i="47"/>
  <c r="R10" i="47"/>
  <c r="R11" i="47"/>
  <c r="R12" i="47"/>
  <c r="R13" i="47"/>
  <c r="R14" i="47"/>
  <c r="R15" i="47"/>
  <c r="R16" i="47"/>
  <c r="R17" i="47"/>
  <c r="R18" i="47"/>
  <c r="R19" i="47"/>
  <c r="R22" i="47"/>
  <c r="R23" i="47"/>
  <c r="R24" i="47"/>
  <c r="R3" i="47"/>
  <c r="P24" i="47"/>
  <c r="N24" i="47"/>
  <c r="M24" i="47"/>
  <c r="U84" i="51" l="1"/>
  <c r="Q84" i="51"/>
  <c r="U122" i="51"/>
  <c r="Q253" i="51"/>
  <c r="O254" i="51"/>
  <c r="U321" i="52"/>
  <c r="Q321" i="52"/>
  <c r="T321" i="52"/>
  <c r="Q147" i="51"/>
  <c r="Q114" i="51"/>
  <c r="T114" i="51"/>
  <c r="U6" i="52"/>
  <c r="O7" i="52"/>
  <c r="U253" i="51"/>
  <c r="O163" i="51"/>
  <c r="T163" i="51" s="1"/>
  <c r="O169" i="51"/>
  <c r="Q169" i="51" s="1"/>
  <c r="U106" i="51"/>
  <c r="BC18" i="51"/>
  <c r="O19" i="51" s="1"/>
  <c r="Q142" i="51"/>
  <c r="T142" i="51"/>
  <c r="T267" i="52"/>
  <c r="U267" i="52"/>
  <c r="Q267" i="52"/>
  <c r="U186" i="51"/>
  <c r="O117" i="51"/>
  <c r="Q117" i="51" s="1"/>
  <c r="U107" i="51"/>
  <c r="Q245" i="51"/>
  <c r="Q107" i="51"/>
  <c r="T124" i="51"/>
  <c r="T245" i="51"/>
  <c r="T186" i="51"/>
  <c r="T107" i="51"/>
  <c r="O123" i="51"/>
  <c r="T123" i="51" s="1"/>
  <c r="Q4" i="51"/>
  <c r="Q124" i="51"/>
  <c r="O193" i="51"/>
  <c r="Q193" i="51" s="1"/>
  <c r="Q131" i="51"/>
  <c r="O120" i="51"/>
  <c r="T120" i="51" s="1"/>
  <c r="O139" i="51"/>
  <c r="Q139" i="51" s="1"/>
  <c r="T48" i="51"/>
  <c r="Q119" i="51"/>
  <c r="T119" i="51"/>
  <c r="T131" i="51"/>
  <c r="U102" i="52"/>
  <c r="T4" i="51"/>
  <c r="Q8" i="51"/>
  <c r="Q9" i="51"/>
  <c r="T8" i="51"/>
  <c r="T20" i="51"/>
  <c r="Q20" i="51"/>
  <c r="Q24" i="51"/>
  <c r="T38" i="51"/>
  <c r="Q38" i="51"/>
  <c r="Q43" i="51"/>
  <c r="T43" i="51"/>
  <c r="O291" i="52"/>
  <c r="O287" i="52"/>
  <c r="T7" i="51"/>
  <c r="Q246" i="51"/>
  <c r="T246" i="51"/>
  <c r="T185" i="51"/>
  <c r="U36" i="52"/>
  <c r="Q36" i="52"/>
  <c r="U41" i="52"/>
  <c r="Q41" i="52"/>
  <c r="T41" i="52"/>
  <c r="T6" i="52"/>
  <c r="T58" i="51"/>
  <c r="U58" i="51"/>
  <c r="Q239" i="51"/>
  <c r="O255" i="51"/>
  <c r="Q255" i="51" s="1"/>
  <c r="T239" i="51"/>
  <c r="T141" i="51"/>
  <c r="U141" i="51"/>
  <c r="U146" i="51"/>
  <c r="Q146" i="51"/>
  <c r="T106" i="52"/>
  <c r="U238" i="51"/>
  <c r="Q107" i="52"/>
  <c r="Q238" i="51"/>
  <c r="T107" i="52"/>
  <c r="T44" i="51"/>
  <c r="U107" i="52"/>
  <c r="Q42" i="52"/>
  <c r="U42" i="52"/>
  <c r="Q102" i="52"/>
  <c r="Q237" i="51"/>
  <c r="T237" i="51"/>
  <c r="T59" i="51"/>
  <c r="Q227" i="51"/>
  <c r="T227" i="51"/>
  <c r="U59" i="51"/>
  <c r="U38" i="52"/>
  <c r="Q185" i="51"/>
  <c r="Q44" i="51"/>
  <c r="T92" i="51"/>
  <c r="T100" i="51" s="1" a="1"/>
  <c r="Q36" i="51"/>
  <c r="T55" i="51"/>
  <c r="T75" i="51" s="1"/>
  <c r="U55" i="51"/>
  <c r="U75" i="51" s="1"/>
  <c r="U106" i="52"/>
  <c r="Q106" i="52"/>
  <c r="T36" i="51"/>
  <c r="O188" i="51"/>
  <c r="T188" i="51" s="1"/>
  <c r="O194" i="51"/>
  <c r="T194" i="51" s="1"/>
  <c r="T215" i="52"/>
  <c r="U215" i="52"/>
  <c r="T120" i="52"/>
  <c r="O45" i="52"/>
  <c r="T45" i="52" s="1"/>
  <c r="Q38" i="52"/>
  <c r="T38" i="52"/>
  <c r="Q211" i="52"/>
  <c r="T211" i="52"/>
  <c r="U211" i="52"/>
  <c r="O209" i="52"/>
  <c r="O135" i="52"/>
  <c r="U135" i="52" s="1"/>
  <c r="Q134" i="52"/>
  <c r="U134" i="52"/>
  <c r="Q120" i="52"/>
  <c r="U120" i="52"/>
  <c r="O109" i="52"/>
  <c r="T109" i="52" s="1"/>
  <c r="Q6" i="52"/>
  <c r="O329" i="52"/>
  <c r="U9" i="52"/>
  <c r="O26" i="52"/>
  <c r="T26" i="52" s="1"/>
  <c r="Q9" i="52"/>
  <c r="U292" i="52"/>
  <c r="T292" i="52"/>
  <c r="Q138" i="52"/>
  <c r="O295" i="52"/>
  <c r="Q295" i="52" s="1"/>
  <c r="Q289" i="52"/>
  <c r="U289" i="52"/>
  <c r="T289" i="52"/>
  <c r="T138" i="52"/>
  <c r="O139" i="52"/>
  <c r="U139" i="52" s="1"/>
  <c r="U326" i="52"/>
  <c r="T326" i="52"/>
  <c r="Q326" i="52"/>
  <c r="U323" i="52"/>
  <c r="O325" i="52"/>
  <c r="T323" i="52"/>
  <c r="Q323" i="52"/>
  <c r="U304" i="52"/>
  <c r="T304" i="52"/>
  <c r="Q304" i="52"/>
  <c r="T263" i="52"/>
  <c r="Q263" i="52"/>
  <c r="U263" i="52"/>
  <c r="U58" i="52"/>
  <c r="T58" i="52"/>
  <c r="Q58" i="52"/>
  <c r="O56" i="52"/>
  <c r="U75" i="52"/>
  <c r="T75" i="52"/>
  <c r="Q75" i="52"/>
  <c r="U231" i="52"/>
  <c r="T231" i="52"/>
  <c r="Q231" i="52"/>
  <c r="U170" i="52"/>
  <c r="T170" i="52"/>
  <c r="Q170" i="52"/>
  <c r="U228" i="52"/>
  <c r="Q228" i="52"/>
  <c r="T228" i="52"/>
  <c r="O232" i="52"/>
  <c r="U182" i="52"/>
  <c r="T182" i="52"/>
  <c r="Q182" i="52"/>
  <c r="O181" i="52"/>
  <c r="U119" i="52"/>
  <c r="T119" i="52"/>
  <c r="Q119" i="52"/>
  <c r="T70" i="52"/>
  <c r="Q70" i="52"/>
  <c r="U70" i="52"/>
  <c r="Q166" i="52"/>
  <c r="T166" i="52"/>
  <c r="U166" i="52"/>
  <c r="Q74" i="52"/>
  <c r="T74" i="52"/>
  <c r="U74" i="52"/>
  <c r="T11" i="52"/>
  <c r="Q11" i="52"/>
  <c r="U11" i="52"/>
  <c r="O13" i="52"/>
  <c r="U168" i="52"/>
  <c r="Q168" i="52"/>
  <c r="T168" i="52"/>
  <c r="Q245" i="52"/>
  <c r="U245" i="52"/>
  <c r="T245" i="52"/>
  <c r="O243" i="52"/>
  <c r="Q68" i="52"/>
  <c r="U68" i="52"/>
  <c r="T68" i="52"/>
  <c r="T274" i="52"/>
  <c r="O273" i="52"/>
  <c r="Q274" i="52"/>
  <c r="U274" i="52"/>
  <c r="Q73" i="52"/>
  <c r="O90" i="52"/>
  <c r="T73" i="52"/>
  <c r="U73" i="52"/>
  <c r="U167" i="52"/>
  <c r="T167" i="52"/>
  <c r="Q167" i="52"/>
  <c r="Q77" i="52"/>
  <c r="U77" i="52"/>
  <c r="T77" i="52"/>
  <c r="T162" i="51"/>
  <c r="U162" i="51"/>
  <c r="Q162" i="51"/>
  <c r="O170" i="51"/>
  <c r="Q163" i="51"/>
  <c r="O173" i="51"/>
  <c r="Q210" i="51"/>
  <c r="U210" i="51"/>
  <c r="T210" i="51"/>
  <c r="Q233" i="51"/>
  <c r="T233" i="51"/>
  <c r="U233" i="51"/>
  <c r="T218" i="51"/>
  <c r="Q218" i="51"/>
  <c r="U218" i="51"/>
  <c r="Q168" i="51"/>
  <c r="T168" i="51"/>
  <c r="U168" i="51"/>
  <c r="O226" i="51"/>
  <c r="U225" i="51"/>
  <c r="T225" i="51"/>
  <c r="Q225" i="51"/>
  <c r="Q235" i="51"/>
  <c r="U235" i="51"/>
  <c r="T235" i="51"/>
  <c r="O252" i="51"/>
  <c r="T254" i="51"/>
  <c r="Q254" i="51"/>
  <c r="U254" i="51"/>
  <c r="Q213" i="51"/>
  <c r="T213" i="51"/>
  <c r="U224" i="51"/>
  <c r="T224" i="51"/>
  <c r="Q224" i="51"/>
  <c r="Q16" i="51"/>
  <c r="T16" i="51"/>
  <c r="U234" i="51"/>
  <c r="T234" i="51"/>
  <c r="Q234" i="51"/>
  <c r="T221" i="51"/>
  <c r="Q221" i="51"/>
  <c r="U221" i="51"/>
  <c r="T22" i="51"/>
  <c r="Q22" i="51"/>
  <c r="U67" i="51"/>
  <c r="T67" i="51"/>
  <c r="Q67" i="51"/>
  <c r="Q175" i="51"/>
  <c r="U175" i="51"/>
  <c r="T175" i="51"/>
  <c r="T211" i="51"/>
  <c r="O214" i="51"/>
  <c r="Q211" i="51"/>
  <c r="U211" i="51"/>
  <c r="T223" i="51"/>
  <c r="Q223" i="51"/>
  <c r="U223" i="51"/>
  <c r="U117" i="51"/>
  <c r="Q73" i="51"/>
  <c r="U73" i="51"/>
  <c r="T73" i="51"/>
  <c r="T255" i="51"/>
  <c r="T135" i="51"/>
  <c r="U135" i="51"/>
  <c r="Q135" i="51"/>
  <c r="S24" i="47"/>
  <c r="T100" i="51" l="1"/>
  <c r="T117" i="51"/>
  <c r="T169" i="51"/>
  <c r="T139" i="51"/>
  <c r="U169" i="51"/>
  <c r="U139" i="51"/>
  <c r="U149" i="51" s="1"/>
  <c r="U163" i="51"/>
  <c r="U50" i="51"/>
  <c r="T50" i="51"/>
  <c r="O8" i="52"/>
  <c r="Q7" i="52"/>
  <c r="U7" i="52"/>
  <c r="T7" i="52"/>
  <c r="U26" i="51"/>
  <c r="T19" i="51"/>
  <c r="Q19" i="51"/>
  <c r="U193" i="51"/>
  <c r="T193" i="51"/>
  <c r="U120" i="51"/>
  <c r="Q120" i="51"/>
  <c r="U255" i="51"/>
  <c r="U123" i="51"/>
  <c r="Q123" i="51"/>
  <c r="Q14" i="51"/>
  <c r="T14" i="51"/>
  <c r="U287" i="52"/>
  <c r="T287" i="52"/>
  <c r="Q287" i="52"/>
  <c r="U188" i="51"/>
  <c r="O195" i="51"/>
  <c r="Q195" i="51" s="1"/>
  <c r="U194" i="51"/>
  <c r="Q194" i="51"/>
  <c r="Q26" i="52"/>
  <c r="U26" i="52"/>
  <c r="U109" i="52"/>
  <c r="U128" i="52" s="1"/>
  <c r="U45" i="52"/>
  <c r="Q45" i="52"/>
  <c r="Q188" i="51"/>
  <c r="Q109" i="52"/>
  <c r="T149" i="51"/>
  <c r="O136" i="52"/>
  <c r="U136" i="52" s="1"/>
  <c r="T125" i="51"/>
  <c r="Q135" i="52"/>
  <c r="T135" i="52"/>
  <c r="Q209" i="52"/>
  <c r="T209" i="52"/>
  <c r="U209" i="52"/>
  <c r="U329" i="52"/>
  <c r="T329" i="52"/>
  <c r="Q329" i="52"/>
  <c r="Q139" i="52"/>
  <c r="O24" i="52"/>
  <c r="T24" i="52" s="1"/>
  <c r="T139" i="52"/>
  <c r="T291" i="52"/>
  <c r="Q291" i="52"/>
  <c r="U291" i="52"/>
  <c r="O141" i="52"/>
  <c r="T141" i="52" s="1"/>
  <c r="O152" i="52"/>
  <c r="T152" i="52" s="1"/>
  <c r="T295" i="52"/>
  <c r="U295" i="52"/>
  <c r="T290" i="52"/>
  <c r="U290" i="52"/>
  <c r="O309" i="52"/>
  <c r="Q290" i="52"/>
  <c r="O341" i="52"/>
  <c r="O340" i="52" s="1"/>
  <c r="U324" i="52"/>
  <c r="T324" i="52"/>
  <c r="Q324" i="52"/>
  <c r="Q325" i="52"/>
  <c r="U325" i="52"/>
  <c r="T325" i="52"/>
  <c r="T128" i="52"/>
  <c r="T273" i="52"/>
  <c r="T280" i="52" s="1"/>
  <c r="Q273" i="52"/>
  <c r="U273" i="52"/>
  <c r="U280" i="52" s="1"/>
  <c r="Q13" i="52"/>
  <c r="U13" i="52"/>
  <c r="T13" i="52"/>
  <c r="Q232" i="52"/>
  <c r="U232" i="52"/>
  <c r="T232" i="52"/>
  <c r="O242" i="52"/>
  <c r="U243" i="52"/>
  <c r="T243" i="52"/>
  <c r="Q243" i="52"/>
  <c r="O55" i="52"/>
  <c r="Q56" i="52"/>
  <c r="U56" i="52"/>
  <c r="T56" i="52"/>
  <c r="T181" i="52"/>
  <c r="T190" i="52" s="1"/>
  <c r="Q181" i="52"/>
  <c r="U181" i="52"/>
  <c r="U190" i="52" s="1"/>
  <c r="T90" i="52"/>
  <c r="U90" i="52"/>
  <c r="Q90" i="52"/>
  <c r="O88" i="52"/>
  <c r="O217" i="51"/>
  <c r="O216" i="51"/>
  <c r="Q214" i="51"/>
  <c r="O215" i="51"/>
  <c r="U214" i="51"/>
  <c r="T214" i="51"/>
  <c r="U173" i="51"/>
  <c r="T173" i="51"/>
  <c r="Q173" i="51"/>
  <c r="U252" i="51"/>
  <c r="T252" i="51"/>
  <c r="T256" i="51" s="1"/>
  <c r="Q252" i="51"/>
  <c r="T170" i="51"/>
  <c r="Q170" i="51"/>
  <c r="U170" i="51"/>
  <c r="U195" i="51"/>
  <c r="Q226" i="51"/>
  <c r="T226" i="51"/>
  <c r="U226" i="51"/>
  <c r="L1" i="47"/>
  <c r="P47" i="47"/>
  <c r="S47" i="47" s="1"/>
  <c r="U47" i="47"/>
  <c r="N47" i="47"/>
  <c r="M47" i="47"/>
  <c r="P46" i="47"/>
  <c r="S46" i="47" s="1"/>
  <c r="N46" i="47"/>
  <c r="M46" i="47"/>
  <c r="P45" i="47"/>
  <c r="S45" i="47" s="1"/>
  <c r="N45" i="47"/>
  <c r="M45" i="47"/>
  <c r="F46" i="47"/>
  <c r="P44" i="47"/>
  <c r="S44" i="47" s="1"/>
  <c r="U44" i="47"/>
  <c r="N44" i="47"/>
  <c r="M44" i="47"/>
  <c r="P43" i="47"/>
  <c r="S43" i="47" s="1"/>
  <c r="U43" i="47"/>
  <c r="N43" i="47"/>
  <c r="M43" i="47"/>
  <c r="BI43" i="47"/>
  <c r="BH43" i="47"/>
  <c r="P42" i="47"/>
  <c r="S42" i="47" s="1"/>
  <c r="N42" i="47"/>
  <c r="M42" i="47"/>
  <c r="BI42" i="47"/>
  <c r="BH42" i="47"/>
  <c r="P41" i="47"/>
  <c r="S41" i="47" s="1"/>
  <c r="U41" i="47"/>
  <c r="N41" i="47"/>
  <c r="M41" i="47"/>
  <c r="BI41" i="47"/>
  <c r="BH41" i="47"/>
  <c r="AI41" i="47"/>
  <c r="P40" i="47"/>
  <c r="S40" i="47" s="1"/>
  <c r="N40" i="47"/>
  <c r="M40" i="47"/>
  <c r="BI40" i="47"/>
  <c r="BH40" i="47"/>
  <c r="O35" i="47"/>
  <c r="AH40" i="47"/>
  <c r="O34" i="47" s="1"/>
  <c r="P39" i="47"/>
  <c r="S39" i="47" s="1"/>
  <c r="N39" i="47"/>
  <c r="M39" i="47"/>
  <c r="BI39" i="47"/>
  <c r="BH39" i="47"/>
  <c r="AF39" i="47" a="1"/>
  <c r="AF39" i="47" s="1"/>
  <c r="U37" i="47" s="1"/>
  <c r="P38" i="47"/>
  <c r="S38" i="47" s="1"/>
  <c r="N38" i="47"/>
  <c r="M38" i="47"/>
  <c r="BI38" i="47"/>
  <c r="BH38" i="47"/>
  <c r="P37" i="47"/>
  <c r="S37" i="47" s="1"/>
  <c r="N37" i="47"/>
  <c r="M37" i="47"/>
  <c r="BI37" i="47"/>
  <c r="BH37" i="47"/>
  <c r="P36" i="47"/>
  <c r="S36" i="47" s="1"/>
  <c r="U36" i="47"/>
  <c r="N36" i="47"/>
  <c r="M36" i="47"/>
  <c r="BI36" i="47"/>
  <c r="BH36" i="47"/>
  <c r="P35" i="47"/>
  <c r="S35" i="47" s="1"/>
  <c r="N35" i="47"/>
  <c r="M35" i="47"/>
  <c r="BI35" i="47"/>
  <c r="BH35" i="47"/>
  <c r="P34" i="47"/>
  <c r="S34" i="47" s="1"/>
  <c r="N34" i="47"/>
  <c r="M34" i="47"/>
  <c r="BI34" i="47"/>
  <c r="BH34" i="47"/>
  <c r="U33" i="47"/>
  <c r="P33" i="47"/>
  <c r="S33" i="47" s="1"/>
  <c r="N33" i="47"/>
  <c r="M33" i="47"/>
  <c r="BI33" i="47"/>
  <c r="BH33" i="47"/>
  <c r="P32" i="47"/>
  <c r="S32" i="47" s="1"/>
  <c r="N32" i="47"/>
  <c r="M32" i="47"/>
  <c r="BI32" i="47"/>
  <c r="BH32" i="47"/>
  <c r="BI31" i="47"/>
  <c r="BH31" i="47"/>
  <c r="P31" i="47"/>
  <c r="S31" i="47" s="1"/>
  <c r="U31" i="47"/>
  <c r="N31" i="47"/>
  <c r="M31" i="47"/>
  <c r="F31" i="47"/>
  <c r="BI30" i="47"/>
  <c r="BH30" i="47"/>
  <c r="P30" i="47"/>
  <c r="S30" i="47" s="1"/>
  <c r="N30" i="47"/>
  <c r="M30" i="47"/>
  <c r="BI29" i="47"/>
  <c r="BH29" i="47"/>
  <c r="P29" i="47"/>
  <c r="S29" i="47" s="1"/>
  <c r="N29" i="47"/>
  <c r="M29" i="47"/>
  <c r="BI28" i="47"/>
  <c r="BH28" i="47"/>
  <c r="L27" i="47"/>
  <c r="P23" i="47"/>
  <c r="S23" i="47" s="1"/>
  <c r="U23" i="47"/>
  <c r="N23" i="47"/>
  <c r="M23" i="47"/>
  <c r="P22" i="47"/>
  <c r="S22" i="47" s="1"/>
  <c r="N22" i="47"/>
  <c r="M22" i="47"/>
  <c r="P21" i="47"/>
  <c r="S21" i="47" s="1"/>
  <c r="N21" i="47"/>
  <c r="M21" i="47"/>
  <c r="P20" i="47"/>
  <c r="S20" i="47" s="1"/>
  <c r="U20" i="47"/>
  <c r="N20" i="47"/>
  <c r="M20" i="47"/>
  <c r="F20" i="47"/>
  <c r="P19" i="47"/>
  <c r="N19" i="47"/>
  <c r="M19" i="47"/>
  <c r="P18" i="47"/>
  <c r="S18" i="47" s="1"/>
  <c r="U18" i="47"/>
  <c r="N18" i="47"/>
  <c r="M18" i="47"/>
  <c r="BI17" i="47"/>
  <c r="BH17" i="47"/>
  <c r="P17" i="47"/>
  <c r="S17" i="47" s="1"/>
  <c r="N17" i="47"/>
  <c r="M17" i="47"/>
  <c r="BI16" i="47"/>
  <c r="BH16" i="47"/>
  <c r="P16" i="47"/>
  <c r="S16" i="47" s="1"/>
  <c r="N16" i="47"/>
  <c r="M16" i="47"/>
  <c r="BI15" i="47"/>
  <c r="BH15" i="47"/>
  <c r="P15" i="47"/>
  <c r="S15" i="47" s="1"/>
  <c r="N15" i="47"/>
  <c r="M15" i="47"/>
  <c r="BI14" i="47"/>
  <c r="BH14" i="47"/>
  <c r="P14" i="47"/>
  <c r="S14" i="47" s="1"/>
  <c r="N14" i="47"/>
  <c r="M14" i="47"/>
  <c r="BI13" i="47"/>
  <c r="BH13" i="47"/>
  <c r="P13" i="47"/>
  <c r="S13" i="47" s="1"/>
  <c r="U13" i="47"/>
  <c r="N13" i="47"/>
  <c r="M13" i="47"/>
  <c r="BI12" i="47"/>
  <c r="BH12" i="47"/>
  <c r="P12" i="47"/>
  <c r="S12" i="47" s="1"/>
  <c r="N12" i="47"/>
  <c r="M12" i="47"/>
  <c r="BI11" i="47"/>
  <c r="BH11" i="47"/>
  <c r="P11" i="47"/>
  <c r="N11" i="47"/>
  <c r="M11" i="47"/>
  <c r="BI10" i="47"/>
  <c r="BH10" i="47"/>
  <c r="P10" i="47"/>
  <c r="S10" i="47" s="1"/>
  <c r="U10" i="47"/>
  <c r="N10" i="47"/>
  <c r="M10" i="47"/>
  <c r="BI9" i="47"/>
  <c r="BH9" i="47"/>
  <c r="P9" i="47"/>
  <c r="S9" i="47" s="1"/>
  <c r="N9" i="47"/>
  <c r="M9" i="47"/>
  <c r="BI8" i="47"/>
  <c r="BH8" i="47"/>
  <c r="P8" i="47"/>
  <c r="S8" i="47" s="1"/>
  <c r="N8" i="47"/>
  <c r="M8" i="47"/>
  <c r="BI7" i="47"/>
  <c r="BH7" i="47"/>
  <c r="P7" i="47"/>
  <c r="S7" i="47" s="1"/>
  <c r="N7" i="47"/>
  <c r="M7" i="47"/>
  <c r="BI6" i="47"/>
  <c r="BH6" i="47"/>
  <c r="U6" i="47"/>
  <c r="P6" i="47"/>
  <c r="S6" i="47" s="1"/>
  <c r="N6" i="47"/>
  <c r="M6" i="47"/>
  <c r="BI5" i="47"/>
  <c r="BH5" i="47"/>
  <c r="P5" i="47"/>
  <c r="S5" i="47" s="1"/>
  <c r="U5" i="47"/>
  <c r="N5" i="47"/>
  <c r="M5" i="47"/>
  <c r="F5" i="47"/>
  <c r="BI4" i="47"/>
  <c r="BH4" i="47"/>
  <c r="P4" i="47"/>
  <c r="S4" i="47" s="1"/>
  <c r="N4" i="47"/>
  <c r="M4" i="47"/>
  <c r="BI3" i="47"/>
  <c r="BH3" i="47"/>
  <c r="P3" i="47"/>
  <c r="S3" i="47" s="1"/>
  <c r="N3" i="47"/>
  <c r="M3" i="47"/>
  <c r="BI2" i="47"/>
  <c r="O95" i="47"/>
  <c r="U95" i="47" s="1"/>
  <c r="O57" i="47"/>
  <c r="L52" i="47"/>
  <c r="O82" i="47"/>
  <c r="U82" i="47" s="1"/>
  <c r="P84" i="47"/>
  <c r="S84" i="47" s="1"/>
  <c r="R82" i="47"/>
  <c r="R80" i="47"/>
  <c r="R86" i="47"/>
  <c r="R99" i="47"/>
  <c r="R91" i="47"/>
  <c r="R74" i="47"/>
  <c r="R81" i="47"/>
  <c r="R83" i="47"/>
  <c r="R84" i="47"/>
  <c r="R85" i="47"/>
  <c r="R87" i="47"/>
  <c r="R88" i="47"/>
  <c r="R89" i="47"/>
  <c r="R90" i="47"/>
  <c r="R92" i="47"/>
  <c r="R93" i="47"/>
  <c r="R94" i="47"/>
  <c r="R95" i="47"/>
  <c r="R96" i="47"/>
  <c r="R97" i="47"/>
  <c r="R98" i="47"/>
  <c r="P81" i="47"/>
  <c r="S81" i="47" s="1"/>
  <c r="P82" i="47"/>
  <c r="P85" i="47"/>
  <c r="S85" i="47" s="1"/>
  <c r="P86" i="47"/>
  <c r="S86" i="47" s="1"/>
  <c r="P87" i="47"/>
  <c r="S87" i="47" s="1"/>
  <c r="P88" i="47"/>
  <c r="S88" i="47" s="1"/>
  <c r="P89" i="47"/>
  <c r="S89" i="47" s="1"/>
  <c r="P90" i="47"/>
  <c r="S90" i="47" s="1"/>
  <c r="P91" i="47"/>
  <c r="S91" i="47" s="1"/>
  <c r="P92" i="47"/>
  <c r="S92" i="47" s="1"/>
  <c r="P93" i="47"/>
  <c r="S93" i="47" s="1"/>
  <c r="P94" i="47"/>
  <c r="S94" i="47" s="1"/>
  <c r="P95" i="47"/>
  <c r="S95" i="47" s="1"/>
  <c r="P96" i="47"/>
  <c r="S96" i="47" s="1"/>
  <c r="P97" i="47"/>
  <c r="S97" i="47" s="1"/>
  <c r="P98" i="47"/>
  <c r="S98" i="47" s="1"/>
  <c r="P99" i="47"/>
  <c r="S99" i="47" s="1"/>
  <c r="F85" i="47"/>
  <c r="F84" i="47"/>
  <c r="F82" i="47"/>
  <c r="O99" i="47"/>
  <c r="U99" i="47" s="1"/>
  <c r="O74" i="47"/>
  <c r="O96" i="47"/>
  <c r="U96" i="47" s="1"/>
  <c r="O70" i="47"/>
  <c r="O69" i="47"/>
  <c r="U256" i="51" l="1"/>
  <c r="O29" i="47"/>
  <c r="O48" i="47" s="1"/>
  <c r="T26" i="51"/>
  <c r="U8" i="52"/>
  <c r="Q8" i="52"/>
  <c r="T8" i="52"/>
  <c r="U125" i="51"/>
  <c r="Q136" i="52"/>
  <c r="T136" i="52"/>
  <c r="T195" i="51"/>
  <c r="O196" i="51"/>
  <c r="U196" i="51" s="1"/>
  <c r="U203" i="51" s="1"/>
  <c r="Q24" i="52"/>
  <c r="U24" i="52"/>
  <c r="U141" i="52"/>
  <c r="Q152" i="52"/>
  <c r="U152" i="52"/>
  <c r="Q141" i="52"/>
  <c r="T176" i="51"/>
  <c r="U176" i="51"/>
  <c r="O23" i="52"/>
  <c r="U23" i="52" s="1"/>
  <c r="O151" i="52"/>
  <c r="Q151" i="52" s="1"/>
  <c r="O307" i="52"/>
  <c r="U309" i="52"/>
  <c r="T309" i="52"/>
  <c r="Q309" i="52"/>
  <c r="U343" i="52"/>
  <c r="T343" i="52"/>
  <c r="Q343" i="52"/>
  <c r="O87" i="52"/>
  <c r="U88" i="52"/>
  <c r="T88" i="52"/>
  <c r="Q88" i="52"/>
  <c r="U55" i="52"/>
  <c r="U64" i="52" s="1"/>
  <c r="T55" i="52"/>
  <c r="T64" i="52" s="1"/>
  <c r="Q55" i="52"/>
  <c r="Q242" i="52"/>
  <c r="U242" i="52"/>
  <c r="U251" i="52" s="1"/>
  <c r="T242" i="52"/>
  <c r="T251" i="52" s="1"/>
  <c r="U215" i="51"/>
  <c r="T215" i="51"/>
  <c r="Q215" i="51"/>
  <c r="U216" i="51"/>
  <c r="T216" i="51"/>
  <c r="Q216" i="51"/>
  <c r="U217" i="51"/>
  <c r="T217" i="51"/>
  <c r="Q217" i="51"/>
  <c r="Q48" i="47"/>
  <c r="U48" i="47"/>
  <c r="T48" i="47"/>
  <c r="O30" i="47"/>
  <c r="O32" i="47"/>
  <c r="U32" i="47" s="1"/>
  <c r="T29" i="47"/>
  <c r="T33" i="47"/>
  <c r="O3" i="47"/>
  <c r="O24" i="47" s="1"/>
  <c r="T95" i="47"/>
  <c r="U14" i="47"/>
  <c r="Q9" i="47"/>
  <c r="T31" i="47"/>
  <c r="T10" i="47"/>
  <c r="Q11" i="47"/>
  <c r="U11" i="47"/>
  <c r="Q15" i="47"/>
  <c r="U15" i="47"/>
  <c r="T5" i="47"/>
  <c r="Q10" i="47"/>
  <c r="T12" i="47"/>
  <c r="T17" i="47"/>
  <c r="S19" i="47"/>
  <c r="Q31" i="47"/>
  <c r="Q33" i="47"/>
  <c r="Q82" i="47"/>
  <c r="U12" i="47"/>
  <c r="U17" i="47"/>
  <c r="U9" i="47"/>
  <c r="Q43" i="47"/>
  <c r="T6" i="47"/>
  <c r="S11" i="47"/>
  <c r="T11" i="47" s="1"/>
  <c r="Q29" i="47"/>
  <c r="Q5" i="47"/>
  <c r="T9" i="47"/>
  <c r="T15" i="47"/>
  <c r="T18" i="47"/>
  <c r="U29" i="47"/>
  <c r="U34" i="47"/>
  <c r="T34" i="47"/>
  <c r="Q34" i="47"/>
  <c r="U35" i="47"/>
  <c r="T35" i="47"/>
  <c r="Q35" i="47"/>
  <c r="Q44" i="47"/>
  <c r="Q20" i="47"/>
  <c r="T44" i="47"/>
  <c r="Q37" i="47"/>
  <c r="Q47" i="47"/>
  <c r="T20" i="47"/>
  <c r="Q36" i="47"/>
  <c r="Q41" i="47"/>
  <c r="T43" i="47"/>
  <c r="Q18" i="47"/>
  <c r="Q23" i="47"/>
  <c r="T37" i="47"/>
  <c r="T47" i="47"/>
  <c r="Q13" i="47"/>
  <c r="Q12" i="47"/>
  <c r="Q17" i="47"/>
  <c r="T36" i="47"/>
  <c r="T41" i="47"/>
  <c r="Q6" i="47"/>
  <c r="T13" i="47"/>
  <c r="T23" i="47"/>
  <c r="S82" i="47"/>
  <c r="T82" i="47" s="1"/>
  <c r="Q99" i="47"/>
  <c r="T99" i="47"/>
  <c r="Q96" i="47"/>
  <c r="Q95" i="47"/>
  <c r="T96" i="47"/>
  <c r="O93" i="47"/>
  <c r="O91" i="47" s="1"/>
  <c r="O68" i="47"/>
  <c r="O72" i="47" s="1"/>
  <c r="O71" i="47"/>
  <c r="O65" i="47"/>
  <c r="O64" i="47"/>
  <c r="AF90" i="47" a="1"/>
  <c r="AF90" i="47" s="1"/>
  <c r="O89" i="47" s="1"/>
  <c r="AF64" i="47" a="1"/>
  <c r="AF64" i="47" s="1"/>
  <c r="AH91" i="47"/>
  <c r="O86" i="47" s="1"/>
  <c r="AH65" i="47"/>
  <c r="N64" i="47"/>
  <c r="M64" i="47"/>
  <c r="J39" i="49"/>
  <c r="J38" i="49"/>
  <c r="J41" i="49"/>
  <c r="R41" i="49" s="1"/>
  <c r="J40" i="49"/>
  <c r="R40" i="49" s="1"/>
  <c r="J18" i="49"/>
  <c r="R18" i="49" s="1"/>
  <c r="J17" i="49"/>
  <c r="R17" i="49" s="1"/>
  <c r="I26" i="49"/>
  <c r="L26" i="49" s="1"/>
  <c r="I15" i="49"/>
  <c r="O39" i="49"/>
  <c r="O40" i="49"/>
  <c r="O41" i="49"/>
  <c r="O38" i="49"/>
  <c r="O29" i="49"/>
  <c r="O27" i="49"/>
  <c r="O28" i="49"/>
  <c r="O26" i="49"/>
  <c r="O5" i="49"/>
  <c r="I38" i="49"/>
  <c r="K5" i="49"/>
  <c r="J26" i="49"/>
  <c r="J28" i="49" s="1"/>
  <c r="R28" i="49" s="1"/>
  <c r="M41" i="49"/>
  <c r="P41" i="49" s="1"/>
  <c r="L41" i="49"/>
  <c r="K41" i="49"/>
  <c r="M40" i="49"/>
  <c r="P40" i="49" s="1"/>
  <c r="L40" i="49"/>
  <c r="K40" i="49"/>
  <c r="M29" i="49"/>
  <c r="P29" i="49" s="1"/>
  <c r="L29" i="49"/>
  <c r="K29" i="49"/>
  <c r="M28" i="49"/>
  <c r="P28" i="49" s="1"/>
  <c r="L28" i="49"/>
  <c r="K28" i="49"/>
  <c r="J27" i="49"/>
  <c r="J4" i="49"/>
  <c r="J6" i="49" s="1"/>
  <c r="R6" i="49" s="1"/>
  <c r="J3" i="49"/>
  <c r="J5" i="49" s="1"/>
  <c r="R5" i="49" s="1"/>
  <c r="O88" i="47"/>
  <c r="F56" i="47"/>
  <c r="AI92" i="47"/>
  <c r="AI91" i="47"/>
  <c r="AI66" i="47"/>
  <c r="O85" i="47"/>
  <c r="O61" i="47"/>
  <c r="F59" i="47"/>
  <c r="O63" i="47"/>
  <c r="AI65" i="47"/>
  <c r="O56" i="47"/>
  <c r="R15" i="49" l="1"/>
  <c r="M15" i="49"/>
  <c r="K15" i="49"/>
  <c r="L15" i="49"/>
  <c r="R38" i="49"/>
  <c r="Q196" i="51"/>
  <c r="T196" i="51"/>
  <c r="T203" i="51" s="1"/>
  <c r="U32" i="52"/>
  <c r="I16" i="49"/>
  <c r="I39" i="49"/>
  <c r="R39" i="49" s="1"/>
  <c r="R26" i="49"/>
  <c r="T23" i="52"/>
  <c r="T32" i="52" s="1"/>
  <c r="Q32" i="47"/>
  <c r="Q23" i="52"/>
  <c r="J29" i="49"/>
  <c r="R29" i="49" s="1"/>
  <c r="BQ16" i="47"/>
  <c r="O7" i="47" s="1"/>
  <c r="Q7" i="47" s="1"/>
  <c r="U228" i="51"/>
  <c r="U151" i="52"/>
  <c r="U160" i="52" s="1"/>
  <c r="Q41" i="49"/>
  <c r="BQ15" i="47"/>
  <c r="BQ4" i="47"/>
  <c r="T228" i="51"/>
  <c r="BQ10" i="47"/>
  <c r="BQ11" i="47"/>
  <c r="T151" i="52"/>
  <c r="T160" i="52" s="1"/>
  <c r="O19" i="47"/>
  <c r="T19" i="47" s="1"/>
  <c r="O306" i="52"/>
  <c r="Q307" i="52"/>
  <c r="U307" i="52"/>
  <c r="T307" i="52"/>
  <c r="T341" i="52"/>
  <c r="U341" i="52"/>
  <c r="Q341" i="52"/>
  <c r="T87" i="52"/>
  <c r="T96" i="52" s="1"/>
  <c r="Q87" i="52"/>
  <c r="U87" i="52"/>
  <c r="U96" i="52" s="1"/>
  <c r="T32" i="47"/>
  <c r="BQ17" i="47"/>
  <c r="T3" i="47"/>
  <c r="BQ6" i="47"/>
  <c r="BQ5" i="47"/>
  <c r="BQ7" i="47"/>
  <c r="Q3" i="47"/>
  <c r="BQ13" i="47"/>
  <c r="BQ19" i="47"/>
  <c r="BQ2" i="47"/>
  <c r="BQ12" i="47"/>
  <c r="BQ14" i="47"/>
  <c r="BQ8" i="47"/>
  <c r="BQ18" i="47"/>
  <c r="BQ3" i="47"/>
  <c r="BQ9" i="47"/>
  <c r="Q14" i="47"/>
  <c r="T14" i="47"/>
  <c r="U24" i="47"/>
  <c r="Q24" i="47"/>
  <c r="T24" i="47"/>
  <c r="O4" i="47"/>
  <c r="U4" i="47" s="1"/>
  <c r="U3" i="47"/>
  <c r="T38" i="47"/>
  <c r="T42" i="47"/>
  <c r="T30" i="47"/>
  <c r="Q21" i="47"/>
  <c r="U21" i="47"/>
  <c r="T21" i="47"/>
  <c r="U39" i="47"/>
  <c r="T39" i="47"/>
  <c r="Q39" i="47"/>
  <c r="Q16" i="47"/>
  <c r="U16" i="47"/>
  <c r="T16" i="47"/>
  <c r="Q8" i="47"/>
  <c r="U8" i="47"/>
  <c r="T8" i="47"/>
  <c r="Q45" i="47"/>
  <c r="U45" i="47"/>
  <c r="T45" i="47"/>
  <c r="T22" i="47"/>
  <c r="Q22" i="47"/>
  <c r="U22" i="47"/>
  <c r="U38" i="47"/>
  <c r="Q30" i="47"/>
  <c r="U30" i="47"/>
  <c r="O62" i="47"/>
  <c r="O66" i="47"/>
  <c r="O67" i="47" s="1"/>
  <c r="T91" i="47"/>
  <c r="Q91" i="47"/>
  <c r="O98" i="47"/>
  <c r="U91" i="47"/>
  <c r="O92" i="47"/>
  <c r="T93" i="47"/>
  <c r="Q93" i="47"/>
  <c r="U93" i="47"/>
  <c r="O97" i="47"/>
  <c r="U85" i="47"/>
  <c r="Q85" i="47"/>
  <c r="T85" i="47"/>
  <c r="Q86" i="47"/>
  <c r="U86" i="47"/>
  <c r="T86" i="47"/>
  <c r="T88" i="47"/>
  <c r="Q88" i="47"/>
  <c r="U88" i="47"/>
  <c r="T89" i="47"/>
  <c r="Q89" i="47"/>
  <c r="U89" i="47"/>
  <c r="I27" i="49"/>
  <c r="R27" i="49" s="1"/>
  <c r="Q40" i="49"/>
  <c r="M38" i="49"/>
  <c r="L38" i="49"/>
  <c r="Q28" i="49"/>
  <c r="N41" i="49"/>
  <c r="N28" i="49"/>
  <c r="M26" i="49"/>
  <c r="N40" i="49"/>
  <c r="K26" i="49"/>
  <c r="K38" i="49"/>
  <c r="O87" i="47"/>
  <c r="L83" i="47"/>
  <c r="M16" i="49" l="1"/>
  <c r="L16" i="49"/>
  <c r="P15" i="49"/>
  <c r="Q15" i="49" s="1"/>
  <c r="N15" i="49"/>
  <c r="M39" i="49"/>
  <c r="P39" i="49" s="1"/>
  <c r="Q39" i="49" s="1"/>
  <c r="L39" i="49"/>
  <c r="K39" i="49"/>
  <c r="T7" i="47"/>
  <c r="U7" i="47"/>
  <c r="R30" i="49"/>
  <c r="R42" i="49"/>
  <c r="T4" i="47"/>
  <c r="T25" i="47" s="1"/>
  <c r="U19" i="47"/>
  <c r="U25" i="47" s="1"/>
  <c r="N38" i="49"/>
  <c r="P38" i="49"/>
  <c r="Q38" i="49" s="1"/>
  <c r="Q19" i="47"/>
  <c r="T306" i="52"/>
  <c r="T315" i="52" s="1"/>
  <c r="Q306" i="52"/>
  <c r="U306" i="52"/>
  <c r="U315" i="52" s="1"/>
  <c r="U340" i="52"/>
  <c r="U349" i="52" s="1"/>
  <c r="T340" i="52"/>
  <c r="T349" i="52" s="1"/>
  <c r="Q340" i="52"/>
  <c r="Q4" i="47"/>
  <c r="U42" i="47"/>
  <c r="Q42" i="47"/>
  <c r="Q38" i="47"/>
  <c r="U40" i="47"/>
  <c r="T40" i="47"/>
  <c r="Q40" i="47"/>
  <c r="U46" i="47"/>
  <c r="T46" i="47"/>
  <c r="Q46" i="47"/>
  <c r="O73" i="47"/>
  <c r="N83" i="47"/>
  <c r="P83" i="47"/>
  <c r="S83" i="47" s="1"/>
  <c r="U97" i="47"/>
  <c r="T97" i="47"/>
  <c r="Q97" i="47"/>
  <c r="T92" i="47"/>
  <c r="Q92" i="47"/>
  <c r="U92" i="47"/>
  <c r="U98" i="47"/>
  <c r="T98" i="47"/>
  <c r="Q98" i="47"/>
  <c r="U87" i="47"/>
  <c r="T87" i="47"/>
  <c r="Q87" i="47"/>
  <c r="P26" i="49"/>
  <c r="Q26" i="49" s="1"/>
  <c r="M27" i="49"/>
  <c r="P27" i="49" s="1"/>
  <c r="K27" i="49"/>
  <c r="L27" i="49"/>
  <c r="Q29" i="49"/>
  <c r="N29" i="49"/>
  <c r="N26" i="49"/>
  <c r="M83" i="47"/>
  <c r="BI79" i="47"/>
  <c r="BH79" i="47"/>
  <c r="BH94" i="47"/>
  <c r="BH80" i="47"/>
  <c r="BI80" i="47"/>
  <c r="BH81" i="47"/>
  <c r="BI81" i="47"/>
  <c r="BH82" i="47"/>
  <c r="BI82" i="47"/>
  <c r="BH83" i="47"/>
  <c r="BI83" i="47"/>
  <c r="BH84" i="47"/>
  <c r="BI84" i="47"/>
  <c r="BH85" i="47"/>
  <c r="BI85" i="47"/>
  <c r="BH86" i="47"/>
  <c r="BI86" i="47"/>
  <c r="BH87" i="47"/>
  <c r="BI87" i="47"/>
  <c r="BH88" i="47"/>
  <c r="BI88" i="47"/>
  <c r="BH89" i="47"/>
  <c r="BI89" i="47"/>
  <c r="BH90" i="47"/>
  <c r="BI90" i="47"/>
  <c r="BH91" i="47"/>
  <c r="BI91" i="47"/>
  <c r="BH92" i="47"/>
  <c r="BI92" i="47"/>
  <c r="BH93" i="47"/>
  <c r="BI93" i="47"/>
  <c r="BI94" i="47"/>
  <c r="BH54" i="47"/>
  <c r="BH53" i="47"/>
  <c r="L78" i="47"/>
  <c r="N99" i="47"/>
  <c r="M99" i="47"/>
  <c r="N98" i="47"/>
  <c r="M98" i="47"/>
  <c r="N97" i="47"/>
  <c r="M97" i="47"/>
  <c r="N96" i="47"/>
  <c r="M96" i="47"/>
  <c r="F97" i="47"/>
  <c r="N95" i="47"/>
  <c r="M95" i="47"/>
  <c r="N94" i="47"/>
  <c r="M94" i="47"/>
  <c r="N93" i="47"/>
  <c r="M93" i="47"/>
  <c r="N92" i="47"/>
  <c r="M92" i="47"/>
  <c r="N91" i="47"/>
  <c r="M91" i="47"/>
  <c r="N90" i="47"/>
  <c r="M90" i="47"/>
  <c r="N89" i="47"/>
  <c r="M89" i="47"/>
  <c r="N88" i="47"/>
  <c r="M88" i="47"/>
  <c r="N87" i="47"/>
  <c r="M87" i="47"/>
  <c r="N86" i="47"/>
  <c r="M86" i="47"/>
  <c r="N85" i="47"/>
  <c r="M85" i="47"/>
  <c r="N84" i="47"/>
  <c r="M84" i="47"/>
  <c r="N82" i="47"/>
  <c r="M82" i="47"/>
  <c r="N81" i="47"/>
  <c r="M81" i="47"/>
  <c r="P80" i="47"/>
  <c r="S80" i="47" s="1"/>
  <c r="N80" i="47"/>
  <c r="M80" i="47"/>
  <c r="L103" i="47"/>
  <c r="F71" i="47"/>
  <c r="M58" i="47"/>
  <c r="M57" i="47"/>
  <c r="R55" i="47"/>
  <c r="R56" i="47"/>
  <c r="R57" i="47"/>
  <c r="R58" i="47"/>
  <c r="R59" i="47"/>
  <c r="R60" i="47"/>
  <c r="R61" i="47"/>
  <c r="R62" i="47"/>
  <c r="R63" i="47"/>
  <c r="R64" i="47"/>
  <c r="R65" i="47"/>
  <c r="R66" i="47"/>
  <c r="R67" i="47"/>
  <c r="R68" i="47"/>
  <c r="R69" i="47"/>
  <c r="R70" i="47"/>
  <c r="R71" i="47"/>
  <c r="R72" i="47"/>
  <c r="R73" i="47"/>
  <c r="R54" i="47"/>
  <c r="P55" i="47"/>
  <c r="P56" i="47"/>
  <c r="P57" i="47"/>
  <c r="P58" i="47"/>
  <c r="S58" i="47" s="1"/>
  <c r="P59" i="47"/>
  <c r="S59" i="47" s="1"/>
  <c r="P60" i="47"/>
  <c r="S60" i="47" s="1"/>
  <c r="P61" i="47"/>
  <c r="S61" i="47" s="1"/>
  <c r="P62" i="47"/>
  <c r="S62" i="47" s="1"/>
  <c r="P63" i="47"/>
  <c r="S63" i="47" s="1"/>
  <c r="P64" i="47"/>
  <c r="P65" i="47"/>
  <c r="P66" i="47"/>
  <c r="P67" i="47"/>
  <c r="P68" i="47"/>
  <c r="P69" i="47"/>
  <c r="S69" i="47" s="1"/>
  <c r="P70" i="47"/>
  <c r="S70" i="47" s="1"/>
  <c r="P71" i="47"/>
  <c r="S71" i="47" s="1"/>
  <c r="P72" i="47"/>
  <c r="S72" i="47" s="1"/>
  <c r="P73" i="47"/>
  <c r="S73" i="47" s="1"/>
  <c r="P74" i="47"/>
  <c r="S74" i="47" s="1"/>
  <c r="P54" i="47"/>
  <c r="N55" i="47"/>
  <c r="N56" i="47"/>
  <c r="N57" i="47"/>
  <c r="N58" i="47"/>
  <c r="N59" i="47"/>
  <c r="N60" i="47"/>
  <c r="N61" i="47"/>
  <c r="N62" i="47"/>
  <c r="N63" i="47"/>
  <c r="N65" i="47"/>
  <c r="N66" i="47"/>
  <c r="N67" i="47"/>
  <c r="N68" i="47"/>
  <c r="N69" i="47"/>
  <c r="N70" i="47"/>
  <c r="N71" i="47"/>
  <c r="N72" i="47"/>
  <c r="N73" i="47"/>
  <c r="N74" i="47"/>
  <c r="N54" i="47"/>
  <c r="M55" i="47"/>
  <c r="M56" i="47"/>
  <c r="M59" i="47"/>
  <c r="M60" i="47"/>
  <c r="M61" i="47"/>
  <c r="M62" i="47"/>
  <c r="M63" i="47"/>
  <c r="M65" i="47"/>
  <c r="M66" i="47"/>
  <c r="M67" i="47"/>
  <c r="M68" i="47"/>
  <c r="M69" i="47"/>
  <c r="M70" i="47"/>
  <c r="M71" i="47"/>
  <c r="M72" i="47"/>
  <c r="M73" i="47"/>
  <c r="M74" i="47"/>
  <c r="M54" i="47"/>
  <c r="U64" i="47"/>
  <c r="U71" i="47"/>
  <c r="U74" i="47"/>
  <c r="U62" i="47"/>
  <c r="U61" i="47"/>
  <c r="U70" i="47"/>
  <c r="U72" i="47"/>
  <c r="U57" i="47"/>
  <c r="U66" i="47"/>
  <c r="U56" i="47"/>
  <c r="BH66" i="47"/>
  <c r="BI66" i="47"/>
  <c r="BH67" i="47"/>
  <c r="BI67" i="47"/>
  <c r="BH68" i="47"/>
  <c r="BI68" i="47"/>
  <c r="BI54" i="47"/>
  <c r="BH55" i="47"/>
  <c r="BI55" i="47"/>
  <c r="BH56" i="47"/>
  <c r="BI56" i="47"/>
  <c r="BH57" i="47"/>
  <c r="BI57" i="47"/>
  <c r="BH58" i="47"/>
  <c r="BI58" i="47"/>
  <c r="BH59" i="47"/>
  <c r="BI59" i="47"/>
  <c r="BH60" i="47"/>
  <c r="BI60" i="47"/>
  <c r="BH61" i="47"/>
  <c r="BI61" i="47"/>
  <c r="BH62" i="47"/>
  <c r="BI62" i="47"/>
  <c r="BH63" i="47"/>
  <c r="BI63" i="47"/>
  <c r="BH64" i="47"/>
  <c r="BI64" i="47"/>
  <c r="BH65" i="47"/>
  <c r="BI65" i="47"/>
  <c r="BI53" i="47"/>
  <c r="W104" i="47"/>
  <c r="N39" i="49" l="1"/>
  <c r="Q42" i="49"/>
  <c r="U49" i="47"/>
  <c r="T49" i="47"/>
  <c r="Q27" i="49"/>
  <c r="Q30" i="49" s="1"/>
  <c r="N27" i="49"/>
  <c r="O54" i="47"/>
  <c r="O80" i="47"/>
  <c r="U60" i="47"/>
  <c r="T63" i="47"/>
  <c r="Q66" i="47"/>
  <c r="Q74" i="47"/>
  <c r="Q62" i="47"/>
  <c r="S55" i="47"/>
  <c r="Q64" i="47"/>
  <c r="U63" i="47"/>
  <c r="Q63" i="47"/>
  <c r="T74" i="47"/>
  <c r="T62" i="47"/>
  <c r="T61" i="47"/>
  <c r="T72" i="47"/>
  <c r="T71" i="47"/>
  <c r="T70" i="47"/>
  <c r="Q57" i="47"/>
  <c r="U68" i="47"/>
  <c r="Q68" i="47"/>
  <c r="Q56" i="47"/>
  <c r="Q61" i="47"/>
  <c r="S68" i="47"/>
  <c r="T68" i="47" s="1"/>
  <c r="S56" i="47"/>
  <c r="T56" i="47" s="1"/>
  <c r="Q72" i="47"/>
  <c r="S67" i="47"/>
  <c r="S57" i="47"/>
  <c r="T57" i="47" s="1"/>
  <c r="Q71" i="47"/>
  <c r="S66" i="47"/>
  <c r="T66" i="47" s="1"/>
  <c r="Q70" i="47"/>
  <c r="S65" i="47"/>
  <c r="S64" i="47"/>
  <c r="T64" i="47" s="1"/>
  <c r="S54" i="47"/>
  <c r="U69" i="47"/>
  <c r="U73" i="47"/>
  <c r="U67" i="47"/>
  <c r="AY57" i="47" a="1"/>
  <c r="AY57" i="47" s="1"/>
  <c r="AO60" i="47" a="1"/>
  <c r="AO60" i="47" s="1"/>
  <c r="O17" i="49"/>
  <c r="O18" i="49"/>
  <c r="K6" i="49"/>
  <c r="K17" i="49"/>
  <c r="K18" i="49"/>
  <c r="O6" i="49"/>
  <c r="M6" i="49"/>
  <c r="P6" i="49" s="1"/>
  <c r="L6" i="49"/>
  <c r="J16" i="49"/>
  <c r="R16" i="49" s="1"/>
  <c r="K16" i="49"/>
  <c r="O4" i="49"/>
  <c r="O3" i="49"/>
  <c r="U14" i="49"/>
  <c r="I3" i="49"/>
  <c r="R3" i="49" s="1"/>
  <c r="R19" i="49" l="1"/>
  <c r="O94" i="47"/>
  <c r="O81" i="47"/>
  <c r="O84" i="47"/>
  <c r="O59" i="47"/>
  <c r="T59" i="47" s="1"/>
  <c r="O55" i="47"/>
  <c r="U55" i="47" s="1"/>
  <c r="O83" i="47"/>
  <c r="O90" i="47"/>
  <c r="U80" i="47"/>
  <c r="U100" i="47" s="1"/>
  <c r="T80" i="47"/>
  <c r="N18" i="49"/>
  <c r="N17" i="49"/>
  <c r="U54" i="47"/>
  <c r="O58" i="47"/>
  <c r="Q58" i="47" s="1"/>
  <c r="Q80" i="47"/>
  <c r="T54" i="47"/>
  <c r="Q54" i="47"/>
  <c r="U65" i="47"/>
  <c r="T60" i="47"/>
  <c r="Q60" i="47"/>
  <c r="T67" i="47"/>
  <c r="Q69" i="47"/>
  <c r="Q73" i="47"/>
  <c r="T73" i="47"/>
  <c r="Q67" i="47"/>
  <c r="T69" i="47"/>
  <c r="P18" i="49"/>
  <c r="Q18" i="49" s="1"/>
  <c r="P17" i="49"/>
  <c r="Q17" i="49" s="1"/>
  <c r="Q6" i="49"/>
  <c r="N6" i="49"/>
  <c r="K3" i="49"/>
  <c r="L5" i="49"/>
  <c r="M5" i="49"/>
  <c r="P5" i="49" s="1"/>
  <c r="Q5" i="49" s="1"/>
  <c r="M3" i="49"/>
  <c r="I4" i="49"/>
  <c r="R4" i="49" s="1"/>
  <c r="R7" i="49" s="1"/>
  <c r="L3" i="49"/>
  <c r="U16" i="49"/>
  <c r="X148" i="46"/>
  <c r="AL148" i="46" s="1"/>
  <c r="X149" i="46"/>
  <c r="AL149" i="46" s="1"/>
  <c r="X150" i="46"/>
  <c r="AL150" i="46" s="1"/>
  <c r="X151" i="46"/>
  <c r="AL151" i="46" s="1"/>
  <c r="X152" i="46"/>
  <c r="AL152" i="46" s="1"/>
  <c r="X153" i="46"/>
  <c r="AL153" i="46" s="1"/>
  <c r="X154" i="46"/>
  <c r="AL154" i="46" s="1"/>
  <c r="X155" i="46"/>
  <c r="AL155" i="46" s="1"/>
  <c r="X156" i="46"/>
  <c r="AL156" i="46" s="1"/>
  <c r="X157" i="46"/>
  <c r="AL157" i="46" s="1"/>
  <c r="X158" i="46"/>
  <c r="AL158" i="46" s="1"/>
  <c r="X159" i="46"/>
  <c r="AL159" i="46" s="1"/>
  <c r="X160" i="46"/>
  <c r="AL160" i="46" s="1"/>
  <c r="X161" i="46"/>
  <c r="AL161" i="46" s="1"/>
  <c r="X162" i="46"/>
  <c r="AL162" i="46" s="1"/>
  <c r="X147" i="46"/>
  <c r="AL147" i="46" s="1"/>
  <c r="E173" i="48"/>
  <c r="L169" i="48" s="1"/>
  <c r="X126" i="46"/>
  <c r="AL126" i="46" s="1"/>
  <c r="X127" i="46"/>
  <c r="AL127" i="46" s="1"/>
  <c r="X128" i="46"/>
  <c r="AL128" i="46" s="1"/>
  <c r="X129" i="46"/>
  <c r="AL129" i="46" s="1"/>
  <c r="X130" i="46"/>
  <c r="AL130" i="46" s="1"/>
  <c r="X131" i="46"/>
  <c r="AL131" i="46" s="1"/>
  <c r="X132" i="46"/>
  <c r="AL132" i="46" s="1"/>
  <c r="X133" i="46"/>
  <c r="AL133" i="46" s="1"/>
  <c r="X134" i="46"/>
  <c r="AL134" i="46" s="1"/>
  <c r="X135" i="46"/>
  <c r="AL135" i="46" s="1"/>
  <c r="X136" i="46"/>
  <c r="AL136" i="46" s="1"/>
  <c r="X137" i="46"/>
  <c r="AL137" i="46" s="1"/>
  <c r="X138" i="46"/>
  <c r="AL138" i="46" s="1"/>
  <c r="X139" i="46"/>
  <c r="AL139" i="46" s="1"/>
  <c r="X140" i="46"/>
  <c r="AL140" i="46" s="1"/>
  <c r="X125" i="46"/>
  <c r="AL125" i="46" s="1"/>
  <c r="X88" i="46"/>
  <c r="AL88" i="46" s="1"/>
  <c r="X89" i="46"/>
  <c r="AL89" i="46" s="1"/>
  <c r="X90" i="46"/>
  <c r="AL90" i="46" s="1"/>
  <c r="X91" i="46"/>
  <c r="AL91" i="46" s="1"/>
  <c r="X92" i="46"/>
  <c r="AL92" i="46" s="1"/>
  <c r="X93" i="46"/>
  <c r="AL93" i="46" s="1"/>
  <c r="X94" i="46"/>
  <c r="AL94" i="46" s="1"/>
  <c r="X95" i="46"/>
  <c r="AL95" i="46" s="1"/>
  <c r="X96" i="46"/>
  <c r="AL96" i="46" s="1"/>
  <c r="X97" i="46"/>
  <c r="AL97" i="46" s="1"/>
  <c r="X98" i="46"/>
  <c r="AL98" i="46" s="1"/>
  <c r="X99" i="46"/>
  <c r="AL99" i="46" s="1"/>
  <c r="X100" i="46"/>
  <c r="AL100" i="46" s="1"/>
  <c r="X101" i="46"/>
  <c r="AL101" i="46" s="1"/>
  <c r="X102" i="46"/>
  <c r="AL102" i="46" s="1"/>
  <c r="X87" i="46"/>
  <c r="AL87" i="46" s="1"/>
  <c r="X66" i="46"/>
  <c r="AL66" i="46" s="1"/>
  <c r="X67" i="46"/>
  <c r="AL67" i="46" s="1"/>
  <c r="X68" i="46"/>
  <c r="AL68" i="46" s="1"/>
  <c r="X69" i="46"/>
  <c r="AL69" i="46" s="1"/>
  <c r="X70" i="46"/>
  <c r="AL70" i="46" s="1"/>
  <c r="X71" i="46"/>
  <c r="AL71" i="46" s="1"/>
  <c r="X72" i="46"/>
  <c r="AL72" i="46" s="1"/>
  <c r="X73" i="46"/>
  <c r="AL73" i="46" s="1"/>
  <c r="X74" i="46"/>
  <c r="AL74" i="46" s="1"/>
  <c r="X75" i="46"/>
  <c r="AL75" i="46" s="1"/>
  <c r="X76" i="46"/>
  <c r="AL76" i="46" s="1"/>
  <c r="X77" i="46"/>
  <c r="AL77" i="46" s="1"/>
  <c r="X78" i="46"/>
  <c r="AL78" i="46" s="1"/>
  <c r="X79" i="46"/>
  <c r="AL79" i="46" s="1"/>
  <c r="X80" i="46"/>
  <c r="AL80" i="46" s="1"/>
  <c r="X47" i="46"/>
  <c r="AL47" i="46" s="1"/>
  <c r="X48" i="46"/>
  <c r="AL48" i="46" s="1"/>
  <c r="X49" i="46"/>
  <c r="AL49" i="46" s="1"/>
  <c r="X50" i="46"/>
  <c r="AL50" i="46" s="1"/>
  <c r="X51" i="46"/>
  <c r="AL51" i="46" s="1"/>
  <c r="X52" i="46"/>
  <c r="AL52" i="46" s="1"/>
  <c r="X53" i="46"/>
  <c r="AL53" i="46" s="1"/>
  <c r="X54" i="46"/>
  <c r="AL54" i="46" s="1"/>
  <c r="X55" i="46"/>
  <c r="AL55" i="46" s="1"/>
  <c r="X56" i="46"/>
  <c r="AL56" i="46" s="1"/>
  <c r="X57" i="46"/>
  <c r="AL57" i="46" s="1"/>
  <c r="X58" i="46"/>
  <c r="AL58" i="46" s="1"/>
  <c r="X59" i="46"/>
  <c r="AL59" i="46" s="1"/>
  <c r="X60" i="46"/>
  <c r="AL60" i="46" s="1"/>
  <c r="X61" i="46"/>
  <c r="AL61" i="46" s="1"/>
  <c r="X46" i="46"/>
  <c r="AL46" i="46" s="1"/>
  <c r="X23" i="46"/>
  <c r="AL23" i="46" s="1"/>
  <c r="X24" i="46"/>
  <c r="AL24" i="46" s="1"/>
  <c r="AL25" i="46"/>
  <c r="X26" i="46"/>
  <c r="AL26" i="46" s="1"/>
  <c r="AL27" i="46"/>
  <c r="X28" i="46"/>
  <c r="AL28" i="46" s="1"/>
  <c r="X29" i="46"/>
  <c r="AL29" i="46" s="1"/>
  <c r="X30" i="46"/>
  <c r="AL30" i="46" s="1"/>
  <c r="X31" i="46"/>
  <c r="AL31" i="46" s="1"/>
  <c r="X32" i="46"/>
  <c r="AL32" i="46" s="1"/>
  <c r="X33" i="46"/>
  <c r="AL33" i="46" s="1"/>
  <c r="X34" i="46"/>
  <c r="AL34" i="46" s="1"/>
  <c r="X35" i="46"/>
  <c r="AL35" i="46" s="1"/>
  <c r="X36" i="46"/>
  <c r="AL36" i="46" s="1"/>
  <c r="X37" i="46"/>
  <c r="AL37" i="46" s="1"/>
  <c r="X22" i="46"/>
  <c r="AL22" i="46" s="1"/>
  <c r="X5" i="46"/>
  <c r="AL5" i="46" s="1"/>
  <c r="X3" i="46"/>
  <c r="AL3" i="46" s="1"/>
  <c r="X4" i="46"/>
  <c r="AL4" i="46" s="1"/>
  <c r="X6" i="46"/>
  <c r="AL6" i="46" s="1"/>
  <c r="X7" i="46"/>
  <c r="AL7" i="46" s="1"/>
  <c r="X8" i="46"/>
  <c r="AL8" i="46" s="1"/>
  <c r="X9" i="46"/>
  <c r="AL9" i="46" s="1"/>
  <c r="X10" i="46"/>
  <c r="AL10" i="46" s="1"/>
  <c r="X11" i="46"/>
  <c r="AL11" i="46" s="1"/>
  <c r="X12" i="46"/>
  <c r="AL12" i="46" s="1"/>
  <c r="X13" i="46"/>
  <c r="AL13" i="46" s="1"/>
  <c r="X14" i="46"/>
  <c r="AL14" i="46" s="1"/>
  <c r="X15" i="46"/>
  <c r="AL15" i="46" s="1"/>
  <c r="X16" i="46"/>
  <c r="AL16" i="46" s="1"/>
  <c r="X17" i="46"/>
  <c r="AL17" i="46" s="1"/>
  <c r="P190" i="46"/>
  <c r="R190" i="46"/>
  <c r="N190" i="46"/>
  <c r="M190" i="46"/>
  <c r="M79" i="44"/>
  <c r="E212" i="47"/>
  <c r="U59" i="47" l="1"/>
  <c r="N16" i="49"/>
  <c r="P16" i="49"/>
  <c r="Q16" i="49" s="1"/>
  <c r="U84" i="47"/>
  <c r="T84" i="47"/>
  <c r="Q84" i="47"/>
  <c r="O159" i="46"/>
  <c r="O63" i="46"/>
  <c r="O113" i="46"/>
  <c r="O37" i="46"/>
  <c r="U75" i="47"/>
  <c r="U81" i="47"/>
  <c r="Q81" i="47"/>
  <c r="T81" i="47"/>
  <c r="T94" i="47"/>
  <c r="U94" i="47"/>
  <c r="Q94" i="47"/>
  <c r="Q90" i="47"/>
  <c r="T90" i="47"/>
  <c r="U90" i="47"/>
  <c r="U83" i="47"/>
  <c r="Q83" i="47"/>
  <c r="T83" i="47"/>
  <c r="Q55" i="47"/>
  <c r="U58" i="47"/>
  <c r="T55" i="47"/>
  <c r="T75" i="47" s="1"/>
  <c r="T65" i="47"/>
  <c r="Q59" i="47"/>
  <c r="T58" i="47"/>
  <c r="Q65" i="47"/>
  <c r="K4" i="49"/>
  <c r="N5" i="49"/>
  <c r="M4" i="49"/>
  <c r="L4" i="49"/>
  <c r="P3" i="49"/>
  <c r="Q3" i="49" s="1"/>
  <c r="N3" i="49"/>
  <c r="O179" i="46"/>
  <c r="S190" i="46"/>
  <c r="Z75" i="44"/>
  <c r="Z76" i="44"/>
  <c r="Z77" i="44"/>
  <c r="Z78" i="44"/>
  <c r="O78" i="44" s="1"/>
  <c r="U78" i="44" s="1"/>
  <c r="Z79" i="44"/>
  <c r="O79" i="44" s="1"/>
  <c r="U79" i="44" s="1"/>
  <c r="Z80" i="44"/>
  <c r="O80" i="44" s="1"/>
  <c r="U80" i="44" s="1"/>
  <c r="Z81" i="44"/>
  <c r="O81" i="44" s="1"/>
  <c r="Z82" i="44"/>
  <c r="O82" i="44" s="1"/>
  <c r="Z83" i="44"/>
  <c r="O83" i="44" s="1"/>
  <c r="Z84" i="44"/>
  <c r="O84" i="44" s="1"/>
  <c r="Z85" i="44"/>
  <c r="O85" i="44" s="1"/>
  <c r="Z86" i="44"/>
  <c r="O86" i="44" s="1"/>
  <c r="Z87" i="44"/>
  <c r="O87" i="44" s="1"/>
  <c r="Z74" i="44"/>
  <c r="O74" i="44" s="1"/>
  <c r="U74" i="44" s="1"/>
  <c r="M78" i="44"/>
  <c r="M77" i="44"/>
  <c r="M76" i="44"/>
  <c r="M75" i="44"/>
  <c r="M74" i="44"/>
  <c r="N79" i="44"/>
  <c r="L194" i="47"/>
  <c r="R74" i="44"/>
  <c r="L85" i="44"/>
  <c r="P85" i="44" s="1"/>
  <c r="S85" i="44" s="1"/>
  <c r="L84" i="44"/>
  <c r="P84" i="44" s="1"/>
  <c r="S84" i="44" s="1"/>
  <c r="R75" i="44"/>
  <c r="R76" i="44"/>
  <c r="R77" i="44"/>
  <c r="R78" i="44"/>
  <c r="R79" i="44"/>
  <c r="R80" i="44"/>
  <c r="R81" i="44"/>
  <c r="R82" i="44"/>
  <c r="R83" i="44"/>
  <c r="R84" i="44"/>
  <c r="R85" i="44"/>
  <c r="R86" i="44"/>
  <c r="R87" i="44"/>
  <c r="N74" i="44"/>
  <c r="O75" i="44"/>
  <c r="U75" i="44" s="1"/>
  <c r="O76" i="44"/>
  <c r="O77" i="44"/>
  <c r="U77" i="44" s="1"/>
  <c r="U81" i="44"/>
  <c r="O61" i="44"/>
  <c r="L60" i="44"/>
  <c r="P87" i="44"/>
  <c r="S87" i="44" s="1"/>
  <c r="N87" i="44"/>
  <c r="M87" i="44"/>
  <c r="P86" i="44"/>
  <c r="S86" i="44" s="1"/>
  <c r="N86" i="44"/>
  <c r="M86" i="44"/>
  <c r="P82" i="44"/>
  <c r="S82" i="44" s="1"/>
  <c r="N82" i="44"/>
  <c r="M82" i="44"/>
  <c r="P81" i="44"/>
  <c r="S81" i="44" s="1"/>
  <c r="N81" i="44"/>
  <c r="M81" i="44"/>
  <c r="P80" i="44"/>
  <c r="S80" i="44" s="1"/>
  <c r="N80" i="44"/>
  <c r="M80" i="44"/>
  <c r="P79" i="44"/>
  <c r="S79" i="44" s="1"/>
  <c r="P78" i="44"/>
  <c r="S78" i="44" s="1"/>
  <c r="N78" i="44"/>
  <c r="P77" i="44"/>
  <c r="S77" i="44" s="1"/>
  <c r="N77" i="44"/>
  <c r="P76" i="44"/>
  <c r="S76" i="44" s="1"/>
  <c r="N76" i="44"/>
  <c r="P75" i="44"/>
  <c r="S75" i="44" s="1"/>
  <c r="N75" i="44"/>
  <c r="P74" i="44"/>
  <c r="S74" i="44" s="1"/>
  <c r="M244" i="47"/>
  <c r="M252" i="47"/>
  <c r="M253" i="47"/>
  <c r="M254" i="47"/>
  <c r="M255" i="47"/>
  <c r="N243" i="47"/>
  <c r="N244" i="47"/>
  <c r="N252" i="47"/>
  <c r="N253" i="47"/>
  <c r="N254" i="47"/>
  <c r="N255" i="47"/>
  <c r="N217" i="47"/>
  <c r="N224" i="47"/>
  <c r="N225" i="47"/>
  <c r="N226" i="47"/>
  <c r="N227" i="47"/>
  <c r="M217" i="47"/>
  <c r="M224" i="47"/>
  <c r="M225" i="47"/>
  <c r="M226" i="47"/>
  <c r="M227" i="47"/>
  <c r="N135" i="47"/>
  <c r="N139" i="47"/>
  <c r="N140" i="47"/>
  <c r="N146" i="47"/>
  <c r="M139" i="47"/>
  <c r="M140" i="47"/>
  <c r="M146" i="47"/>
  <c r="N122" i="47"/>
  <c r="N123" i="47"/>
  <c r="M122" i="47"/>
  <c r="M123" i="47"/>
  <c r="L114" i="47"/>
  <c r="M114" i="47" s="1"/>
  <c r="L141" i="47"/>
  <c r="N141" i="47" s="1"/>
  <c r="L251" i="47"/>
  <c r="M251" i="47" s="1"/>
  <c r="L245" i="47"/>
  <c r="N245" i="47" s="1"/>
  <c r="L223" i="47"/>
  <c r="M223" i="47" s="1"/>
  <c r="L218" i="47"/>
  <c r="N218" i="47" s="1"/>
  <c r="L121" i="47"/>
  <c r="N121" i="47" s="1"/>
  <c r="L145" i="47"/>
  <c r="N145" i="47" s="1"/>
  <c r="O136" i="47"/>
  <c r="L136" i="47"/>
  <c r="M136" i="47" s="1"/>
  <c r="O38" i="46" l="1"/>
  <c r="O39" i="46" s="1"/>
  <c r="O40" i="46"/>
  <c r="O116" i="46"/>
  <c r="O115" i="46"/>
  <c r="O65" i="46"/>
  <c r="O66" i="46"/>
  <c r="O162" i="46"/>
  <c r="O161" i="46"/>
  <c r="Q19" i="49"/>
  <c r="T100" i="47" a="1"/>
  <c r="N114" i="47"/>
  <c r="M121" i="47"/>
  <c r="N136" i="47"/>
  <c r="M145" i="47"/>
  <c r="M141" i="47"/>
  <c r="N251" i="47"/>
  <c r="M245" i="47"/>
  <c r="P4" i="49"/>
  <c r="Q4" i="49" s="1"/>
  <c r="Q7" i="49" s="1"/>
  <c r="N4" i="49"/>
  <c r="N223" i="47"/>
  <c r="M218" i="47"/>
  <c r="U76" i="44"/>
  <c r="T84" i="44"/>
  <c r="T75" i="44"/>
  <c r="U83" i="44"/>
  <c r="N85" i="44"/>
  <c r="U84" i="44"/>
  <c r="Q79" i="44"/>
  <c r="Q74" i="44"/>
  <c r="Q80" i="44"/>
  <c r="Q82" i="44"/>
  <c r="N84" i="44"/>
  <c r="Q78" i="44"/>
  <c r="Q76" i="44"/>
  <c r="T74" i="44"/>
  <c r="T76" i="44"/>
  <c r="T78" i="44"/>
  <c r="T80" i="44"/>
  <c r="T82" i="44"/>
  <c r="M85" i="44"/>
  <c r="T77" i="44"/>
  <c r="Q84" i="44"/>
  <c r="T79" i="44"/>
  <c r="M84" i="44"/>
  <c r="U85" i="44"/>
  <c r="Q77" i="44"/>
  <c r="Q81" i="44"/>
  <c r="M83" i="44"/>
  <c r="U82" i="44"/>
  <c r="N83" i="44"/>
  <c r="T81" i="44"/>
  <c r="P83" i="44"/>
  <c r="Q75" i="44"/>
  <c r="AE17" i="46"/>
  <c r="L109" i="47"/>
  <c r="O16" i="46"/>
  <c r="L16" i="46"/>
  <c r="L246" i="47"/>
  <c r="L219" i="47"/>
  <c r="L137" i="47"/>
  <c r="L115" i="47"/>
  <c r="L137" i="48"/>
  <c r="L139" i="48" s="1"/>
  <c r="L135" i="48"/>
  <c r="L136" i="48" s="1"/>
  <c r="L134" i="48"/>
  <c r="L133" i="48"/>
  <c r="L106" i="48"/>
  <c r="L105" i="48"/>
  <c r="L107" i="48" s="1"/>
  <c r="L103" i="48"/>
  <c r="L104" i="48" s="1"/>
  <c r="L102" i="48"/>
  <c r="L101" i="48"/>
  <c r="L73" i="48"/>
  <c r="L71" i="48"/>
  <c r="L72" i="48" s="1"/>
  <c r="L70" i="48"/>
  <c r="L69" i="48"/>
  <c r="L41" i="48"/>
  <c r="L43" i="48" s="1"/>
  <c r="L39" i="48"/>
  <c r="L40" i="48" s="1"/>
  <c r="L38" i="48"/>
  <c r="L37" i="48"/>
  <c r="T100" i="47" l="1"/>
  <c r="M137" i="47"/>
  <c r="N137" i="47"/>
  <c r="M246" i="47"/>
  <c r="N246" i="47"/>
  <c r="M219" i="47"/>
  <c r="N219" i="47"/>
  <c r="S83" i="44"/>
  <c r="T83" i="44" s="1"/>
  <c r="Q83" i="44"/>
  <c r="T85" i="44"/>
  <c r="Q85" i="44"/>
  <c r="L138" i="48"/>
  <c r="L42" i="48"/>
  <c r="T87" i="44" l="1"/>
  <c r="Q87" i="44"/>
  <c r="U87" i="44"/>
  <c r="Q86" i="44"/>
  <c r="U86" i="44"/>
  <c r="T86" i="44"/>
  <c r="L224" i="48"/>
  <c r="L1" i="48"/>
  <c r="T88" i="44" l="1"/>
  <c r="U88" i="44"/>
  <c r="L169" i="47"/>
  <c r="L173" i="47"/>
  <c r="L226" i="48"/>
  <c r="L227" i="48"/>
  <c r="L228" i="48"/>
  <c r="L223" i="48"/>
  <c r="L7" i="48"/>
  <c r="L8" i="48" s="1"/>
  <c r="L6" i="48"/>
  <c r="L11" i="48"/>
  <c r="L10" i="48"/>
  <c r="L97" i="48"/>
  <c r="L9" i="48"/>
  <c r="L259" i="48"/>
  <c r="L132" i="47"/>
  <c r="L238" i="47"/>
  <c r="L237" i="47"/>
  <c r="L236" i="47"/>
  <c r="L209" i="47"/>
  <c r="L211" i="47"/>
  <c r="L210" i="47"/>
  <c r="O249" i="47"/>
  <c r="L222" i="47"/>
  <c r="L191" i="47"/>
  <c r="N222" i="47" l="1"/>
  <c r="M222" i="47"/>
  <c r="L95" i="46"/>
  <c r="AJ131" i="47"/>
  <c r="AK131" i="47" s="1"/>
  <c r="L107" i="47"/>
  <c r="P227" i="47" l="1"/>
  <c r="R227" i="47"/>
  <c r="AF204" i="47"/>
  <c r="M214" i="47"/>
  <c r="N214" i="47"/>
  <c r="P214" i="47"/>
  <c r="S214" i="47" s="1"/>
  <c r="R214" i="47"/>
  <c r="M215" i="47"/>
  <c r="N215" i="47"/>
  <c r="P215" i="47"/>
  <c r="S215" i="47" s="1"/>
  <c r="R215" i="47"/>
  <c r="S227" i="47" l="1"/>
  <c r="AJ146" i="47"/>
  <c r="AK146" i="47" s="1"/>
  <c r="AJ145" i="47"/>
  <c r="AK145" i="47" s="1"/>
  <c r="AJ132" i="47"/>
  <c r="AK132" i="47" s="1"/>
  <c r="AJ133" i="47"/>
  <c r="AK133" i="47" s="1"/>
  <c r="AJ134" i="47"/>
  <c r="AK134" i="47" s="1"/>
  <c r="AJ135" i="47"/>
  <c r="AK135" i="47" s="1"/>
  <c r="AJ136" i="47"/>
  <c r="AK136" i="47" s="1"/>
  <c r="AJ137" i="47"/>
  <c r="AK137" i="47" s="1"/>
  <c r="AJ138" i="47"/>
  <c r="AK138" i="47" s="1"/>
  <c r="AJ139" i="47"/>
  <c r="AK139" i="47" s="1"/>
  <c r="AJ140" i="47"/>
  <c r="AK140" i="47" s="1"/>
  <c r="AJ141" i="47"/>
  <c r="AK141" i="47" s="1"/>
  <c r="AJ142" i="47"/>
  <c r="AK142" i="47" s="1"/>
  <c r="AJ143" i="47"/>
  <c r="AK143" i="47" s="1"/>
  <c r="AJ144" i="47"/>
  <c r="AK144" i="47" s="1"/>
  <c r="O108" i="47"/>
  <c r="O110" i="47"/>
  <c r="L108" i="47"/>
  <c r="EJ121" i="47"/>
  <c r="O113" i="47" l="1"/>
  <c r="L130" i="47"/>
  <c r="O144" i="47" l="1"/>
  <c r="L190" i="47"/>
  <c r="L189" i="47"/>
  <c r="L112" i="47"/>
  <c r="L111" i="47"/>
  <c r="AF186" i="47"/>
  <c r="R148" i="47"/>
  <c r="R147" i="47"/>
  <c r="L133" i="47"/>
  <c r="AE133" i="47"/>
  <c r="AE141" i="46"/>
  <c r="AE101" i="46"/>
  <c r="AE79" i="46"/>
  <c r="AE30" i="46"/>
  <c r="AE54" i="46"/>
  <c r="O41" i="46"/>
  <c r="L63" i="46"/>
  <c r="L113" i="46"/>
  <c r="L41" i="46"/>
  <c r="F153" i="46"/>
  <c r="F107" i="46"/>
  <c r="F82" i="46"/>
  <c r="F57" i="46"/>
  <c r="F6" i="46"/>
  <c r="F31" i="46"/>
  <c r="L147" i="47" l="1"/>
  <c r="L148" i="47"/>
  <c r="N148" i="47" l="1"/>
  <c r="M148" i="47"/>
  <c r="M147" i="47"/>
  <c r="N147" i="47"/>
  <c r="P148" i="47"/>
  <c r="S148" i="47" s="1"/>
  <c r="P147" i="47"/>
  <c r="S147" i="47" s="1"/>
  <c r="R50" i="46"/>
  <c r="P50" i="46"/>
  <c r="M50" i="46"/>
  <c r="N50" i="46"/>
  <c r="L170" i="46"/>
  <c r="L124" i="46"/>
  <c r="L99" i="46"/>
  <c r="L74" i="46"/>
  <c r="L48" i="46"/>
  <c r="L23" i="46"/>
  <c r="S50" i="46" l="1"/>
  <c r="AF225" i="47"/>
  <c r="BD208" i="47"/>
  <c r="BE208" i="47"/>
  <c r="BF208" i="47"/>
  <c r="BD209" i="47"/>
  <c r="BE209" i="47"/>
  <c r="BF209" i="47"/>
  <c r="BD210" i="47"/>
  <c r="BE210" i="47"/>
  <c r="BF210" i="47"/>
  <c r="BD211" i="47"/>
  <c r="BE211" i="47"/>
  <c r="BF211" i="47"/>
  <c r="BD212" i="47"/>
  <c r="BE212" i="47"/>
  <c r="BF212" i="47"/>
  <c r="BD213" i="47"/>
  <c r="BE213" i="47"/>
  <c r="BF213" i="47"/>
  <c r="BD214" i="47"/>
  <c r="BE214" i="47"/>
  <c r="BF214" i="47"/>
  <c r="BD215" i="47"/>
  <c r="BE215" i="47"/>
  <c r="BF215" i="47"/>
  <c r="BD216" i="47"/>
  <c r="BE216" i="47"/>
  <c r="BF216" i="47"/>
  <c r="BD217" i="47"/>
  <c r="BE217" i="47"/>
  <c r="BF217" i="47"/>
  <c r="BD218" i="47"/>
  <c r="BE218" i="47"/>
  <c r="BF218" i="47"/>
  <c r="BD219" i="47"/>
  <c r="BE219" i="47"/>
  <c r="BF219" i="47"/>
  <c r="BD220" i="47"/>
  <c r="BE220" i="47"/>
  <c r="BF220" i="47"/>
  <c r="BD221" i="47"/>
  <c r="BE221" i="47"/>
  <c r="BF221" i="47"/>
  <c r="BD222" i="47"/>
  <c r="BE222" i="47"/>
  <c r="BF222" i="47"/>
  <c r="BF207" i="47"/>
  <c r="BE207" i="47"/>
  <c r="BD207" i="47"/>
  <c r="AY215" i="47"/>
  <c r="AX208" i="47"/>
  <c r="AY208" i="47"/>
  <c r="AZ208" i="47"/>
  <c r="AX209" i="47"/>
  <c r="AY209" i="47"/>
  <c r="AZ209" i="47"/>
  <c r="AX210" i="47"/>
  <c r="AY210" i="47"/>
  <c r="AZ210" i="47"/>
  <c r="AX211" i="47"/>
  <c r="AY211" i="47"/>
  <c r="AZ211" i="47"/>
  <c r="AX212" i="47"/>
  <c r="AY212" i="47"/>
  <c r="AZ212" i="47"/>
  <c r="AX213" i="47"/>
  <c r="AY213" i="47"/>
  <c r="AZ213" i="47"/>
  <c r="AX214" i="47"/>
  <c r="AY214" i="47"/>
  <c r="AZ214" i="47"/>
  <c r="AX215" i="47"/>
  <c r="AZ215" i="47"/>
  <c r="AX216" i="47"/>
  <c r="AY216" i="47"/>
  <c r="AZ216" i="47"/>
  <c r="AX217" i="47"/>
  <c r="AY217" i="47"/>
  <c r="AZ217" i="47"/>
  <c r="AX218" i="47"/>
  <c r="AY218" i="47"/>
  <c r="AZ218" i="47"/>
  <c r="AX219" i="47"/>
  <c r="AY219" i="47"/>
  <c r="AZ219" i="47"/>
  <c r="AX220" i="47"/>
  <c r="AY220" i="47"/>
  <c r="AZ220" i="47"/>
  <c r="AX221" i="47"/>
  <c r="AY221" i="47"/>
  <c r="AZ221" i="47"/>
  <c r="AX222" i="47"/>
  <c r="AY222" i="47"/>
  <c r="AZ222" i="47"/>
  <c r="AZ207" i="47"/>
  <c r="AY207" i="47"/>
  <c r="AX207" i="47"/>
  <c r="AH115" i="47"/>
  <c r="AH116" i="47"/>
  <c r="AH117" i="47"/>
  <c r="AH118" i="47"/>
  <c r="AH119" i="47"/>
  <c r="AH120" i="47"/>
  <c r="AH121" i="47"/>
  <c r="AH122" i="47"/>
  <c r="AH123" i="47"/>
  <c r="AH124" i="47"/>
  <c r="AH125" i="47"/>
  <c r="AH126" i="47"/>
  <c r="AH127" i="47"/>
  <c r="AH128" i="47"/>
  <c r="AH129" i="47"/>
  <c r="AH114" i="47"/>
  <c r="AG115" i="47"/>
  <c r="AG116" i="47"/>
  <c r="AG117" i="47"/>
  <c r="AG118" i="47"/>
  <c r="AG119" i="47"/>
  <c r="AG120" i="47"/>
  <c r="AG121" i="47"/>
  <c r="AG122" i="47"/>
  <c r="AG123" i="47"/>
  <c r="AG124" i="47"/>
  <c r="AG125" i="47"/>
  <c r="AG126" i="47"/>
  <c r="AG127" i="47"/>
  <c r="AG128" i="47"/>
  <c r="AG129" i="47"/>
  <c r="AG114" i="47"/>
  <c r="AF115" i="47"/>
  <c r="AF116" i="47"/>
  <c r="AF117" i="47"/>
  <c r="AF118" i="47"/>
  <c r="AF119" i="47"/>
  <c r="AF120" i="47"/>
  <c r="AF121" i="47"/>
  <c r="AF122" i="47"/>
  <c r="AF123" i="47"/>
  <c r="AF124" i="47"/>
  <c r="AF125" i="47"/>
  <c r="AF126" i="47"/>
  <c r="AF127" i="47"/>
  <c r="AF128" i="47"/>
  <c r="AF129" i="47"/>
  <c r="AF114" i="47"/>
  <c r="AE115" i="47"/>
  <c r="AE116" i="47"/>
  <c r="AE117" i="47"/>
  <c r="AE118" i="47"/>
  <c r="AE119" i="47"/>
  <c r="AE120" i="47"/>
  <c r="AE121" i="47"/>
  <c r="AE122" i="47"/>
  <c r="AE123" i="47"/>
  <c r="AE124" i="47"/>
  <c r="AE125" i="47"/>
  <c r="AE126" i="47"/>
  <c r="AE127" i="47"/>
  <c r="AE128" i="47"/>
  <c r="AE129" i="47"/>
  <c r="AE114" i="47"/>
  <c r="AD115" i="47"/>
  <c r="AD116" i="47"/>
  <c r="AD117" i="47"/>
  <c r="AD118" i="47"/>
  <c r="AD119" i="47"/>
  <c r="AD120" i="47"/>
  <c r="AD121" i="47"/>
  <c r="AD122" i="47"/>
  <c r="AD123" i="47"/>
  <c r="AD124" i="47"/>
  <c r="AD125" i="47"/>
  <c r="AD126" i="47"/>
  <c r="AD127" i="47"/>
  <c r="AD128" i="47"/>
  <c r="AD129" i="47"/>
  <c r="AD114" i="47"/>
  <c r="AC118" i="47"/>
  <c r="AC115" i="47"/>
  <c r="AC116" i="47"/>
  <c r="AC117" i="47"/>
  <c r="AC119" i="47"/>
  <c r="AC120" i="47"/>
  <c r="AC121" i="47"/>
  <c r="AC122" i="47"/>
  <c r="AC123" i="47"/>
  <c r="AC124" i="47"/>
  <c r="AC125" i="47"/>
  <c r="AC126" i="47"/>
  <c r="AC127" i="47"/>
  <c r="AC128" i="47"/>
  <c r="AC129" i="47"/>
  <c r="AC114" i="47"/>
  <c r="AI114" i="47" l="1"/>
  <c r="AJ114" i="47" s="1"/>
  <c r="AK114" i="47" s="1"/>
  <c r="BJ207" i="47"/>
  <c r="BK207" i="47" s="1"/>
  <c r="GY174" i="47"/>
  <c r="L178" i="46" l="1"/>
  <c r="M124" i="47" l="1"/>
  <c r="N124" i="47"/>
  <c r="P124" i="47"/>
  <c r="S124" i="47" s="1"/>
  <c r="R124" i="47"/>
  <c r="O212" i="47" l="1"/>
  <c r="O240" i="47"/>
  <c r="O243" i="47" s="1"/>
  <c r="O244" i="47" l="1"/>
  <c r="O241" i="47"/>
  <c r="O242" i="47"/>
  <c r="F177" i="46" l="1"/>
  <c r="R260" i="48" l="1"/>
  <c r="R227" i="48"/>
  <c r="R173" i="48"/>
  <c r="R139" i="48"/>
  <c r="R107" i="48"/>
  <c r="R77" i="48"/>
  <c r="R39" i="48"/>
  <c r="R12" i="48"/>
  <c r="R112" i="47"/>
  <c r="R138" i="47"/>
  <c r="R157" i="47"/>
  <c r="R182" i="47"/>
  <c r="R216" i="47"/>
  <c r="R211" i="47"/>
  <c r="R237" i="47"/>
  <c r="R238" i="47"/>
  <c r="R15" i="46"/>
  <c r="R36" i="46"/>
  <c r="R58" i="46"/>
  <c r="R81" i="46"/>
  <c r="R121" i="46"/>
  <c r="R130" i="46"/>
  <c r="R150" i="46"/>
  <c r="R181" i="46"/>
  <c r="R176" i="46"/>
  <c r="R177" i="46"/>
  <c r="R178" i="46"/>
  <c r="R179" i="46"/>
  <c r="R180" i="46"/>
  <c r="R182" i="46"/>
  <c r="R183" i="46"/>
  <c r="R184" i="46"/>
  <c r="R185" i="46"/>
  <c r="R186" i="46"/>
  <c r="R187" i="46"/>
  <c r="R188" i="46"/>
  <c r="R189" i="46"/>
  <c r="R175" i="46"/>
  <c r="AD225" i="47" l="1"/>
  <c r="AE225" i="47"/>
  <c r="P189" i="46" l="1"/>
  <c r="S189" i="46" s="1"/>
  <c r="M189" i="46"/>
  <c r="N189" i="46"/>
  <c r="P188" i="46"/>
  <c r="S188" i="46" s="1"/>
  <c r="M188" i="46"/>
  <c r="N188" i="46"/>
  <c r="O181" i="46"/>
  <c r="O180" i="46"/>
  <c r="O184" i="46"/>
  <c r="W151" i="46"/>
  <c r="W152" i="46"/>
  <c r="W130" i="46"/>
  <c r="W129" i="46"/>
  <c r="L182" i="46"/>
  <c r="L181" i="46"/>
  <c r="L180" i="46"/>
  <c r="L18" i="48"/>
  <c r="W71" i="46"/>
  <c r="Z148" i="46" l="1"/>
  <c r="O178" i="46"/>
  <c r="Z155" i="46"/>
  <c r="Z154" i="46"/>
  <c r="Z151" i="46"/>
  <c r="Z149" i="46"/>
  <c r="Z152" i="46"/>
  <c r="O182" i="46"/>
  <c r="AB148" i="46"/>
  <c r="AB155" i="46"/>
  <c r="AB160" i="46"/>
  <c r="AB153" i="46"/>
  <c r="AB149" i="46"/>
  <c r="AB163" i="46"/>
  <c r="AB154" i="46"/>
  <c r="AB159" i="46"/>
  <c r="AB162" i="46"/>
  <c r="AB158" i="46"/>
  <c r="AB151" i="46"/>
  <c r="AB157" i="46"/>
  <c r="AB150" i="46"/>
  <c r="AB161" i="46"/>
  <c r="AB156" i="46"/>
  <c r="AB152" i="46"/>
  <c r="AD162" i="46"/>
  <c r="AD158" i="46"/>
  <c r="AD161" i="46"/>
  <c r="AD157" i="46"/>
  <c r="AD150" i="46"/>
  <c r="AD152" i="46"/>
  <c r="AD148" i="46"/>
  <c r="AD159" i="46"/>
  <c r="AD160" i="46"/>
  <c r="AD153" i="46"/>
  <c r="AD149" i="46"/>
  <c r="AD163" i="46"/>
  <c r="AD154" i="46"/>
  <c r="AD156" i="46"/>
  <c r="AD155" i="46"/>
  <c r="AD151" i="46"/>
  <c r="Y152" i="46"/>
  <c r="Y163" i="46"/>
  <c r="Y149" i="46"/>
  <c r="Y148" i="46"/>
  <c r="Y156" i="46"/>
  <c r="Y158" i="46"/>
  <c r="Y160" i="46"/>
  <c r="Y162" i="46"/>
  <c r="Y159" i="46"/>
  <c r="Y161" i="46"/>
  <c r="Y151" i="46"/>
  <c r="Y150" i="46"/>
  <c r="Y155" i="46"/>
  <c r="Y153" i="46"/>
  <c r="Y157" i="46"/>
  <c r="Y154" i="46"/>
  <c r="O183" i="46"/>
  <c r="P182" i="46"/>
  <c r="S182" i="46" s="1"/>
  <c r="L173" i="46"/>
  <c r="P187" i="46"/>
  <c r="S187" i="46" s="1"/>
  <c r="N187" i="46"/>
  <c r="M187" i="46"/>
  <c r="P185" i="46"/>
  <c r="S185" i="46" s="1"/>
  <c r="N185" i="46"/>
  <c r="M185" i="46"/>
  <c r="N181" i="46"/>
  <c r="P180" i="46"/>
  <c r="S180" i="46" s="1"/>
  <c r="N179" i="46"/>
  <c r="P178" i="46"/>
  <c r="S178" i="46" s="1"/>
  <c r="N178" i="46"/>
  <c r="M178" i="46"/>
  <c r="P175" i="46"/>
  <c r="O190" i="46" l="1"/>
  <c r="O188" i="46"/>
  <c r="O186" i="46"/>
  <c r="U186" i="46" s="1"/>
  <c r="U178" i="46"/>
  <c r="O175" i="46"/>
  <c r="U175" i="46" s="1"/>
  <c r="S175" i="46"/>
  <c r="O176" i="46"/>
  <c r="U176" i="46" s="1"/>
  <c r="O177" i="46"/>
  <c r="O185" i="46" s="1"/>
  <c r="U180" i="46"/>
  <c r="M182" i="46"/>
  <c r="T182" i="46"/>
  <c r="N182" i="46"/>
  <c r="P181" i="46"/>
  <c r="P179" i="46"/>
  <c r="S179" i="46" s="1"/>
  <c r="U181" i="46"/>
  <c r="M186" i="46"/>
  <c r="P186" i="46"/>
  <c r="M181" i="46"/>
  <c r="U184" i="46"/>
  <c r="N184" i="46"/>
  <c r="P184" i="46"/>
  <c r="M184" i="46"/>
  <c r="T180" i="46"/>
  <c r="Q180" i="46"/>
  <c r="M177" i="46"/>
  <c r="M183" i="46"/>
  <c r="M176" i="46"/>
  <c r="Q178" i="46"/>
  <c r="N183" i="46"/>
  <c r="N177" i="46"/>
  <c r="P183" i="46"/>
  <c r="S183" i="46" s="1"/>
  <c r="N186" i="46"/>
  <c r="U183" i="46"/>
  <c r="M175" i="46"/>
  <c r="N175" i="46"/>
  <c r="T178" i="46"/>
  <c r="P177" i="46"/>
  <c r="S177" i="46" s="1"/>
  <c r="P176" i="46"/>
  <c r="S176" i="46" s="1"/>
  <c r="M180" i="46"/>
  <c r="N180" i="46"/>
  <c r="N176" i="46"/>
  <c r="M179" i="46"/>
  <c r="T188" i="46" l="1"/>
  <c r="O189" i="46"/>
  <c r="Q188" i="46"/>
  <c r="U188" i="46"/>
  <c r="Q190" i="46"/>
  <c r="U190" i="46"/>
  <c r="T190" i="46"/>
  <c r="T175" i="46"/>
  <c r="Q175" i="46"/>
  <c r="S181" i="46"/>
  <c r="T181" i="46" s="1"/>
  <c r="S184" i="46"/>
  <c r="T184" i="46" s="1"/>
  <c r="S186" i="46"/>
  <c r="T186" i="46" s="1"/>
  <c r="U177" i="46"/>
  <c r="T185" i="46"/>
  <c r="T179" i="46"/>
  <c r="U182" i="46"/>
  <c r="U179" i="46"/>
  <c r="O187" i="46"/>
  <c r="T187" i="46" s="1"/>
  <c r="Q182" i="46"/>
  <c r="Q179" i="46"/>
  <c r="Q186" i="46"/>
  <c r="Q181" i="46"/>
  <c r="T177" i="46"/>
  <c r="Q177" i="46"/>
  <c r="T176" i="46"/>
  <c r="Q176" i="46"/>
  <c r="Q184" i="46"/>
  <c r="T183" i="46"/>
  <c r="Q183" i="46"/>
  <c r="Z143" i="47"/>
  <c r="AB117" i="47"/>
  <c r="AN120" i="47"/>
  <c r="AO120" i="47"/>
  <c r="AP120" i="47"/>
  <c r="AQ120" i="47"/>
  <c r="AR120" i="47"/>
  <c r="AS120" i="47"/>
  <c r="U189" i="46" l="1"/>
  <c r="Q189" i="46"/>
  <c r="T189" i="46"/>
  <c r="T191" i="46" s="1"/>
  <c r="AI124" i="47"/>
  <c r="AJ124" i="47" s="1"/>
  <c r="AK124" i="47" s="1"/>
  <c r="AI118" i="47"/>
  <c r="AJ118" i="47" s="1"/>
  <c r="AK118" i="47" s="1"/>
  <c r="AI125" i="47"/>
  <c r="AJ125" i="47" s="1"/>
  <c r="AK125" i="47" s="1"/>
  <c r="AI123" i="47"/>
  <c r="AJ123" i="47" s="1"/>
  <c r="AK123" i="47" s="1"/>
  <c r="AI122" i="47"/>
  <c r="AJ122" i="47" s="1"/>
  <c r="AK122" i="47" s="1"/>
  <c r="AI117" i="47"/>
  <c r="AJ117" i="47" s="1"/>
  <c r="AK117" i="47" s="1"/>
  <c r="AI128" i="47"/>
  <c r="AJ128" i="47" s="1"/>
  <c r="AK128" i="47" s="1"/>
  <c r="AI116" i="47"/>
  <c r="AJ116" i="47" s="1"/>
  <c r="AK116" i="47" s="1"/>
  <c r="AI129" i="47"/>
  <c r="AJ129" i="47" s="1"/>
  <c r="AK129" i="47" s="1"/>
  <c r="AI127" i="47"/>
  <c r="AJ127" i="47" s="1"/>
  <c r="AK127" i="47" s="1"/>
  <c r="AI121" i="47"/>
  <c r="AJ121" i="47" s="1"/>
  <c r="AK121" i="47" s="1"/>
  <c r="AI115" i="47"/>
  <c r="AJ115" i="47" s="1"/>
  <c r="AK115" i="47" s="1"/>
  <c r="AI126" i="47"/>
  <c r="AJ126" i="47" s="1"/>
  <c r="AK126" i="47" s="1"/>
  <c r="AI120" i="47"/>
  <c r="AJ120" i="47" s="1"/>
  <c r="AK120" i="47" s="1"/>
  <c r="BL207" i="47"/>
  <c r="AI119" i="47"/>
  <c r="AJ119" i="47" s="1"/>
  <c r="AK119" i="47" s="1"/>
  <c r="U187" i="46"/>
  <c r="U185" i="46"/>
  <c r="Q185" i="46"/>
  <c r="Q187" i="46"/>
  <c r="U191" i="46" l="1"/>
  <c r="AA167" i="47"/>
  <c r="GZ209" i="47" l="1"/>
  <c r="GZ208" i="47"/>
  <c r="HC176" i="47"/>
  <c r="HD177" i="47"/>
  <c r="HC177" i="47" l="1"/>
  <c r="HA177" i="47" l="1"/>
  <c r="HA176" i="47"/>
  <c r="HA175" i="47"/>
  <c r="HD176" i="47"/>
  <c r="HD175" i="47"/>
  <c r="HC175" i="47"/>
  <c r="P255" i="47"/>
  <c r="S255" i="47" s="1"/>
  <c r="R255" i="47"/>
  <c r="GZ178" i="47" l="1"/>
  <c r="HC178" i="47" s="1"/>
  <c r="HC179" i="47" s="1"/>
  <c r="HA179" i="47"/>
  <c r="BJ213" i="47"/>
  <c r="BK213" i="47" s="1"/>
  <c r="BL213" i="47" s="1"/>
  <c r="BJ219" i="47"/>
  <c r="BK219" i="47" s="1"/>
  <c r="BL219" i="47" s="1"/>
  <c r="BJ212" i="47"/>
  <c r="BK212" i="47" s="1"/>
  <c r="BL212" i="47" s="1"/>
  <c r="BJ211" i="47"/>
  <c r="BK211" i="47" s="1"/>
  <c r="BL211" i="47" s="1"/>
  <c r="BJ215" i="47" l="1"/>
  <c r="BK215" i="47" s="1"/>
  <c r="BL215" i="47" s="1"/>
  <c r="BJ222" i="47"/>
  <c r="BK222" i="47" s="1"/>
  <c r="BL222" i="47" s="1"/>
  <c r="BJ208" i="47"/>
  <c r="BK208" i="47" s="1"/>
  <c r="BL208" i="47" s="1"/>
  <c r="BJ210" i="47"/>
  <c r="BK210" i="47" s="1"/>
  <c r="BL210" i="47" s="1"/>
  <c r="BJ221" i="47"/>
  <c r="BK221" i="47" s="1"/>
  <c r="BL221" i="47" s="1"/>
  <c r="BJ217" i="47"/>
  <c r="BK217" i="47" s="1"/>
  <c r="BL217" i="47" s="1"/>
  <c r="BJ214" i="47"/>
  <c r="BK214" i="47" s="1"/>
  <c r="BL214" i="47" s="1"/>
  <c r="BJ216" i="47"/>
  <c r="BK216" i="47" s="1"/>
  <c r="BL216" i="47" s="1"/>
  <c r="BJ209" i="47"/>
  <c r="BK209" i="47" s="1"/>
  <c r="BL209" i="47" s="1"/>
  <c r="BJ220" i="47"/>
  <c r="BK220" i="47" s="1"/>
  <c r="BL220" i="47" s="1"/>
  <c r="BJ218" i="47"/>
  <c r="BK218" i="47" s="1"/>
  <c r="BL218" i="47" s="1"/>
  <c r="R239" i="47"/>
  <c r="P239" i="47"/>
  <c r="S239" i="47" s="1"/>
  <c r="N239" i="47"/>
  <c r="Z213" i="47" l="1"/>
  <c r="AE203" i="47" s="1"/>
  <c r="L213" i="47"/>
  <c r="M213" i="47" s="1"/>
  <c r="AS213" i="47" l="1"/>
  <c r="AT213" i="47" s="1"/>
  <c r="AG208" i="47"/>
  <c r="AD203" i="47"/>
  <c r="AG209" i="47"/>
  <c r="AG212" i="47"/>
  <c r="AS214" i="47"/>
  <c r="AT214" i="47" s="1"/>
  <c r="AS215" i="47"/>
  <c r="AT215" i="47" s="1"/>
  <c r="AS204" i="47"/>
  <c r="AT204" i="47" s="1"/>
  <c r="AS216" i="47"/>
  <c r="AT216" i="47" s="1"/>
  <c r="AS205" i="47"/>
  <c r="AT205" i="47" s="1"/>
  <c r="AS217" i="47"/>
  <c r="AT217" i="47" s="1"/>
  <c r="AS206" i="47"/>
  <c r="AT206" i="47" s="1"/>
  <c r="AS218" i="47"/>
  <c r="AT218" i="47" s="1"/>
  <c r="AG213" i="47"/>
  <c r="AS207" i="47"/>
  <c r="AT207" i="47" s="1"/>
  <c r="AS203" i="47"/>
  <c r="AT203" i="47" s="1"/>
  <c r="AG214" i="47"/>
  <c r="AG205" i="47"/>
  <c r="AG217" i="47"/>
  <c r="AS208" i="47"/>
  <c r="AT208" i="47" s="1"/>
  <c r="AG218" i="47"/>
  <c r="AG215" i="47"/>
  <c r="AS209" i="47"/>
  <c r="AT209" i="47" s="1"/>
  <c r="AG204" i="47"/>
  <c r="AG216" i="47"/>
  <c r="AS210" i="47"/>
  <c r="AT210" i="47" s="1"/>
  <c r="AS211" i="47"/>
  <c r="AT211" i="47" s="1"/>
  <c r="AG206" i="47"/>
  <c r="AG203" i="47"/>
  <c r="AG207" i="47"/>
  <c r="AF203" i="47"/>
  <c r="AG210" i="47"/>
  <c r="AE204" i="47"/>
  <c r="AG211" i="47"/>
  <c r="AS212" i="47"/>
  <c r="AT212" i="47" s="1"/>
  <c r="O227" i="47" l="1"/>
  <c r="O213" i="47"/>
  <c r="W6" i="46"/>
  <c r="U227" i="47" l="1"/>
  <c r="T227" i="47"/>
  <c r="Q227" i="47"/>
  <c r="L253" i="48"/>
  <c r="W209" i="48" l="1"/>
  <c r="Z240" i="48"/>
  <c r="AA240" i="48"/>
  <c r="X241" i="48"/>
  <c r="Y241" i="48"/>
  <c r="EL197" i="48"/>
  <c r="EL198" i="48"/>
  <c r="EO198" i="48"/>
  <c r="EL199" i="48"/>
  <c r="EO199" i="48"/>
  <c r="EL200" i="48"/>
  <c r="EM200" i="48"/>
  <c r="EN200" i="48"/>
  <c r="EO200" i="48"/>
  <c r="EP200" i="48"/>
  <c r="EQ200" i="48"/>
  <c r="ER200" i="48"/>
  <c r="ES200" i="48"/>
  <c r="ET200" i="48"/>
  <c r="EU200" i="48"/>
  <c r="EV200" i="48"/>
  <c r="EW200" i="48"/>
  <c r="EX200" i="48"/>
  <c r="EM196" i="48"/>
  <c r="EN196" i="48"/>
  <c r="EO196" i="48"/>
  <c r="EP196" i="48"/>
  <c r="EQ196" i="48"/>
  <c r="ER196" i="48"/>
  <c r="ES196" i="48"/>
  <c r="ET196" i="48"/>
  <c r="EU196" i="48"/>
  <c r="EV196" i="48"/>
  <c r="EW196" i="48"/>
  <c r="EX196" i="48"/>
  <c r="EL196" i="48"/>
  <c r="EL189" i="48"/>
  <c r="EL190" i="48"/>
  <c r="EO190" i="48"/>
  <c r="EL191" i="48"/>
  <c r="EO191" i="48"/>
  <c r="EL192" i="48"/>
  <c r="EM192" i="48"/>
  <c r="EN192" i="48"/>
  <c r="EO192" i="48"/>
  <c r="EP192" i="48"/>
  <c r="EQ192" i="48"/>
  <c r="ER192" i="48"/>
  <c r="ES192" i="48"/>
  <c r="ET192" i="48"/>
  <c r="EU192" i="48"/>
  <c r="EV192" i="48"/>
  <c r="EW192" i="48"/>
  <c r="EX192" i="48"/>
  <c r="EM188" i="48"/>
  <c r="EN188" i="48"/>
  <c r="EO188" i="48"/>
  <c r="EP188" i="48"/>
  <c r="EQ188" i="48"/>
  <c r="ER188" i="48"/>
  <c r="ES188" i="48"/>
  <c r="ET188" i="48"/>
  <c r="EU188" i="48"/>
  <c r="EV188" i="48"/>
  <c r="EW188" i="48"/>
  <c r="EX188" i="48"/>
  <c r="EL188" i="48"/>
  <c r="W96" i="48"/>
  <c r="EN86" i="48"/>
  <c r="EN189" i="48" s="1"/>
  <c r="R224" i="47"/>
  <c r="R251" i="47"/>
  <c r="P253" i="47"/>
  <c r="S253" i="47" s="1"/>
  <c r="R253" i="47"/>
  <c r="P254" i="47"/>
  <c r="S254" i="47" s="1"/>
  <c r="R254" i="47"/>
  <c r="P241" i="47"/>
  <c r="S241" i="47" s="1"/>
  <c r="R241" i="47"/>
  <c r="P242" i="47"/>
  <c r="S242" i="47" s="1"/>
  <c r="R242" i="47"/>
  <c r="P243" i="47"/>
  <c r="S243" i="47" s="1"/>
  <c r="R243" i="47"/>
  <c r="P244" i="47"/>
  <c r="S244" i="47" s="1"/>
  <c r="R244" i="47"/>
  <c r="M241" i="47"/>
  <c r="N241" i="47"/>
  <c r="M242" i="47"/>
  <c r="N242" i="47"/>
  <c r="M243" i="47"/>
  <c r="R225" i="47"/>
  <c r="P225" i="47"/>
  <c r="S225" i="47" s="1"/>
  <c r="P226" i="47"/>
  <c r="S226" i="47" s="1"/>
  <c r="R226" i="47"/>
  <c r="U244" i="47"/>
  <c r="F156" i="46"/>
  <c r="F111" i="46"/>
  <c r="F85" i="46"/>
  <c r="F61" i="46"/>
  <c r="F35" i="46"/>
  <c r="F10" i="46"/>
  <c r="Z255" i="48" l="1"/>
  <c r="Z252" i="48"/>
  <c r="AA255" i="48"/>
  <c r="Z249" i="48"/>
  <c r="Z248" i="48"/>
  <c r="Z243" i="48"/>
  <c r="Y249" i="48"/>
  <c r="X249" i="48"/>
  <c r="Y255" i="48"/>
  <c r="X255" i="48"/>
  <c r="AA246" i="48"/>
  <c r="Z254" i="48"/>
  <c r="Z246" i="48"/>
  <c r="AA252" i="48"/>
  <c r="Y246" i="48"/>
  <c r="X246" i="48"/>
  <c r="Y252" i="48"/>
  <c r="AA243" i="48"/>
  <c r="X252" i="48"/>
  <c r="Z251" i="48"/>
  <c r="Y243" i="48"/>
  <c r="AA249" i="48"/>
  <c r="X243" i="48"/>
  <c r="AA254" i="48"/>
  <c r="AA251" i="48"/>
  <c r="AA248" i="48"/>
  <c r="AA245" i="48"/>
  <c r="AA242" i="48"/>
  <c r="Z245" i="48"/>
  <c r="Z242" i="48"/>
  <c r="Y254" i="48"/>
  <c r="Y251" i="48"/>
  <c r="Y248" i="48"/>
  <c r="Y245" i="48"/>
  <c r="Y242" i="48"/>
  <c r="W240" i="48"/>
  <c r="X254" i="48"/>
  <c r="X251" i="48"/>
  <c r="X248" i="48"/>
  <c r="X245" i="48"/>
  <c r="X242" i="48"/>
  <c r="X240" i="48"/>
  <c r="AA253" i="48"/>
  <c r="AA250" i="48"/>
  <c r="AA247" i="48"/>
  <c r="AA244" i="48"/>
  <c r="AA241" i="48"/>
  <c r="Y240" i="48"/>
  <c r="Z253" i="48"/>
  <c r="Z250" i="48"/>
  <c r="Z247" i="48"/>
  <c r="Z244" i="48"/>
  <c r="Z241" i="48"/>
  <c r="Y253" i="48"/>
  <c r="Y250" i="48"/>
  <c r="Y247" i="48"/>
  <c r="Y244" i="48"/>
  <c r="X253" i="48"/>
  <c r="X250" i="48"/>
  <c r="X247" i="48"/>
  <c r="X244" i="48"/>
  <c r="Q244" i="47"/>
  <c r="T244" i="47"/>
  <c r="U242" i="47"/>
  <c r="U243" i="47"/>
  <c r="U241" i="47"/>
  <c r="O264" i="48" l="1"/>
  <c r="T243" i="47"/>
  <c r="T242" i="47"/>
  <c r="Q241" i="47"/>
  <c r="Q242" i="47"/>
  <c r="T241" i="47"/>
  <c r="Q243" i="47"/>
  <c r="O109" i="47" l="1"/>
  <c r="AB127" i="47" l="1"/>
  <c r="AB120" i="47"/>
  <c r="AB122" i="47"/>
  <c r="AB132" i="47"/>
  <c r="AB135" i="47"/>
  <c r="AB131" i="47"/>
  <c r="AB130" i="47"/>
  <c r="AB129" i="47"/>
  <c r="AB126" i="47"/>
  <c r="AB124" i="47"/>
  <c r="AB134" i="47"/>
  <c r="AB133" i="47"/>
  <c r="AB125" i="47"/>
  <c r="AB123" i="47"/>
  <c r="AB121" i="47"/>
  <c r="AB128" i="47"/>
  <c r="AD211" i="47"/>
  <c r="AD213" i="47"/>
  <c r="AD209" i="47"/>
  <c r="AD206" i="47"/>
  <c r="AD204" i="47"/>
  <c r="AD210" i="47"/>
  <c r="AD208" i="47"/>
  <c r="AD218" i="47"/>
  <c r="AD217" i="47"/>
  <c r="AD212" i="47"/>
  <c r="AD207" i="47"/>
  <c r="AD205" i="47"/>
  <c r="AD216" i="47"/>
  <c r="AD215" i="47"/>
  <c r="AD214" i="47"/>
  <c r="P123" i="47"/>
  <c r="S123" i="47" s="1"/>
  <c r="R123" i="47"/>
  <c r="R131" i="47"/>
  <c r="R132" i="47"/>
  <c r="R133" i="47"/>
  <c r="R134" i="47"/>
  <c r="R135" i="47"/>
  <c r="R136" i="47"/>
  <c r="R137" i="47"/>
  <c r="R139" i="47"/>
  <c r="R140" i="47"/>
  <c r="R141" i="47"/>
  <c r="R142" i="47"/>
  <c r="R143" i="47"/>
  <c r="R144" i="47"/>
  <c r="R145" i="47"/>
  <c r="R146" i="47"/>
  <c r="L120" i="47"/>
  <c r="R170" i="46"/>
  <c r="R137" i="46"/>
  <c r="R123" i="46"/>
  <c r="R96" i="46"/>
  <c r="R73" i="46"/>
  <c r="R45" i="46"/>
  <c r="R23" i="46"/>
  <c r="N120" i="47" l="1"/>
  <c r="M120" i="47"/>
  <c r="X67" i="48"/>
  <c r="W66" i="48"/>
  <c r="X66" i="48"/>
  <c r="Y66" i="48"/>
  <c r="Z66" i="48"/>
  <c r="W67" i="48"/>
  <c r="Y67" i="48"/>
  <c r="Z67" i="48"/>
  <c r="W68" i="48"/>
  <c r="X68" i="48"/>
  <c r="Y68" i="48"/>
  <c r="Z68" i="48"/>
  <c r="W69" i="48"/>
  <c r="X69" i="48"/>
  <c r="Y69" i="48"/>
  <c r="Z69" i="48"/>
  <c r="W70" i="48"/>
  <c r="X70" i="48"/>
  <c r="Y70" i="48"/>
  <c r="Z70" i="48"/>
  <c r="W71" i="48"/>
  <c r="X71" i="48"/>
  <c r="Y71" i="48"/>
  <c r="Z71" i="48"/>
  <c r="W72" i="48"/>
  <c r="X72" i="48"/>
  <c r="Y72" i="48"/>
  <c r="Z72" i="48"/>
  <c r="W73" i="48"/>
  <c r="X73" i="48"/>
  <c r="Y73" i="48"/>
  <c r="Z73" i="48"/>
  <c r="W74" i="48"/>
  <c r="X74" i="48"/>
  <c r="Y74" i="48"/>
  <c r="Z74" i="48"/>
  <c r="W75" i="48"/>
  <c r="X75" i="48"/>
  <c r="Y75" i="48"/>
  <c r="Z75" i="48"/>
  <c r="W76" i="48"/>
  <c r="X76" i="48"/>
  <c r="Y76" i="48"/>
  <c r="Z76" i="48"/>
  <c r="W77" i="48"/>
  <c r="X77" i="48"/>
  <c r="Y77" i="48"/>
  <c r="Z77" i="48"/>
  <c r="W78" i="48"/>
  <c r="X78" i="48"/>
  <c r="Y78" i="48"/>
  <c r="Z78" i="48"/>
  <c r="W79" i="48"/>
  <c r="X79" i="48"/>
  <c r="Y79" i="48"/>
  <c r="Z79" i="48"/>
  <c r="W80" i="48"/>
  <c r="X80" i="48"/>
  <c r="Y80" i="48"/>
  <c r="Z80" i="48"/>
  <c r="L165" i="48" l="1"/>
  <c r="Z124" i="48" l="1"/>
  <c r="X96" i="48"/>
  <c r="X125" i="48"/>
  <c r="Y125" i="48"/>
  <c r="Z125" i="48"/>
  <c r="X126" i="48"/>
  <c r="Y126" i="48"/>
  <c r="Z126" i="48"/>
  <c r="X127" i="48"/>
  <c r="Y127" i="48"/>
  <c r="Z127" i="48"/>
  <c r="X128" i="48"/>
  <c r="Y128" i="48"/>
  <c r="Z128" i="48"/>
  <c r="X129" i="48"/>
  <c r="Y129" i="48"/>
  <c r="Z129" i="48"/>
  <c r="X130" i="48"/>
  <c r="Y130" i="48"/>
  <c r="Z130" i="48"/>
  <c r="X131" i="48"/>
  <c r="Y131" i="48"/>
  <c r="Z131" i="48"/>
  <c r="X132" i="48"/>
  <c r="Y132" i="48"/>
  <c r="Z132" i="48"/>
  <c r="X133" i="48"/>
  <c r="Y133" i="48"/>
  <c r="Z133" i="48"/>
  <c r="X134" i="48"/>
  <c r="Y134" i="48"/>
  <c r="Z134" i="48"/>
  <c r="X135" i="48"/>
  <c r="Y135" i="48"/>
  <c r="Z135" i="48"/>
  <c r="X136" i="48"/>
  <c r="Y136" i="48"/>
  <c r="Z136" i="48"/>
  <c r="X137" i="48"/>
  <c r="Y137" i="48"/>
  <c r="Z137" i="48"/>
  <c r="X138" i="48"/>
  <c r="Y138" i="48"/>
  <c r="Z138" i="48"/>
  <c r="X139" i="48"/>
  <c r="Y139" i="48"/>
  <c r="Z139" i="48"/>
  <c r="Y124" i="48"/>
  <c r="X124" i="48"/>
  <c r="W139" i="48"/>
  <c r="W125" i="48"/>
  <c r="W126" i="48"/>
  <c r="W127" i="48"/>
  <c r="W128" i="48"/>
  <c r="W129" i="48"/>
  <c r="W130" i="48"/>
  <c r="W131" i="48"/>
  <c r="W132" i="48"/>
  <c r="W133" i="48"/>
  <c r="W134" i="48"/>
  <c r="W135" i="48"/>
  <c r="W136" i="48"/>
  <c r="W137" i="48"/>
  <c r="W138" i="48"/>
  <c r="W124" i="48"/>
  <c r="EM112" i="48"/>
  <c r="M27" i="42"/>
  <c r="M25" i="42"/>
  <c r="B27" i="42"/>
  <c r="M26" i="42"/>
  <c r="M24" i="42"/>
  <c r="M23" i="42"/>
  <c r="M22" i="42"/>
  <c r="M21" i="42"/>
  <c r="S21" i="42"/>
  <c r="R104" i="48"/>
  <c r="R103" i="48"/>
  <c r="N102" i="48"/>
  <c r="N101" i="48"/>
  <c r="X106" i="46"/>
  <c r="B36" i="42" l="1"/>
  <c r="O142" i="48"/>
  <c r="M103" i="48"/>
  <c r="N103" i="48"/>
  <c r="M104" i="48"/>
  <c r="P104" i="48"/>
  <c r="S104" i="48" s="1"/>
  <c r="N104" i="48"/>
  <c r="P103" i="48"/>
  <c r="S103" i="48" s="1"/>
  <c r="O137" i="46"/>
  <c r="X107" i="46"/>
  <c r="W93" i="46"/>
  <c r="W92" i="46"/>
  <c r="W70" i="46"/>
  <c r="X65" i="46" s="1"/>
  <c r="AL65" i="46" s="1"/>
  <c r="O88" i="46" s="1"/>
  <c r="O90" i="46" l="1"/>
  <c r="O91" i="46"/>
  <c r="W48" i="46"/>
  <c r="W47" i="46"/>
  <c r="W25" i="46"/>
  <c r="W24" i="46"/>
  <c r="W5" i="46"/>
  <c r="Z1" i="46" l="1"/>
  <c r="X2" i="46"/>
  <c r="AL2" i="46" s="1"/>
  <c r="O12" i="46" s="1"/>
  <c r="JL3" i="46"/>
  <c r="JM11" i="46"/>
  <c r="JM16" i="46"/>
  <c r="JM4" i="46"/>
  <c r="JM15" i="46"/>
  <c r="JM7" i="46"/>
  <c r="JM9" i="46"/>
  <c r="JM5" i="46"/>
  <c r="JM13" i="46"/>
  <c r="JM8" i="46"/>
  <c r="JM14" i="46"/>
  <c r="JM10" i="46"/>
  <c r="JM6" i="46"/>
  <c r="JM17" i="46"/>
  <c r="JM12" i="46"/>
  <c r="JM3" i="46"/>
  <c r="JM18" i="46"/>
  <c r="JI3" i="46"/>
  <c r="AD29" i="46"/>
  <c r="AD23" i="46"/>
  <c r="JL4" i="46"/>
  <c r="JI6" i="46"/>
  <c r="JO7" i="46"/>
  <c r="JQ10" i="46"/>
  <c r="JN12" i="46"/>
  <c r="JJ14" i="46"/>
  <c r="JP15" i="46"/>
  <c r="JL17" i="46"/>
  <c r="JQ18" i="46"/>
  <c r="JJ4" i="46"/>
  <c r="JP10" i="46"/>
  <c r="JN4" i="46"/>
  <c r="JJ6" i="46"/>
  <c r="JP7" i="46"/>
  <c r="JL9" i="46"/>
  <c r="JI11" i="46"/>
  <c r="JO12" i="46"/>
  <c r="JL14" i="46"/>
  <c r="JQ15" i="46"/>
  <c r="JN17" i="46"/>
  <c r="JQ3" i="46"/>
  <c r="JJ9" i="46"/>
  <c r="JO4" i="46"/>
  <c r="JQ7" i="46"/>
  <c r="JN9" i="46"/>
  <c r="JJ11" i="46"/>
  <c r="JP12" i="46"/>
  <c r="JN14" i="46"/>
  <c r="JI16" i="46"/>
  <c r="JO17" i="46"/>
  <c r="JP3" i="46"/>
  <c r="JP18" i="46"/>
  <c r="JP4" i="46"/>
  <c r="JL6" i="46"/>
  <c r="JI8" i="46"/>
  <c r="JO9" i="46"/>
  <c r="JL11" i="46"/>
  <c r="JQ12" i="46"/>
  <c r="JO14" i="46"/>
  <c r="JJ16" i="46"/>
  <c r="JP17" i="46"/>
  <c r="JO3" i="46"/>
  <c r="JK17" i="46"/>
  <c r="JQ4" i="46"/>
  <c r="JN6" i="46"/>
  <c r="JJ8" i="46"/>
  <c r="JP9" i="46"/>
  <c r="JN11" i="46"/>
  <c r="JI13" i="46"/>
  <c r="JP14" i="46"/>
  <c r="JL16" i="46"/>
  <c r="JQ17" i="46"/>
  <c r="JO15" i="46"/>
  <c r="JI5" i="46"/>
  <c r="JO6" i="46"/>
  <c r="JL8" i="46"/>
  <c r="JQ9" i="46"/>
  <c r="JO11" i="46"/>
  <c r="JJ13" i="46"/>
  <c r="JQ14" i="46"/>
  <c r="JN16" i="46"/>
  <c r="JI18" i="46"/>
  <c r="JN3" i="46"/>
  <c r="JL12" i="46"/>
  <c r="JJ5" i="46"/>
  <c r="JP6" i="46"/>
  <c r="JN8" i="46"/>
  <c r="JI10" i="46"/>
  <c r="JP11" i="46"/>
  <c r="JL13" i="46"/>
  <c r="JI15" i="46"/>
  <c r="JO16" i="46"/>
  <c r="JJ18" i="46"/>
  <c r="AR3" i="46"/>
  <c r="JI14" i="46"/>
  <c r="JL5" i="46"/>
  <c r="JQ6" i="46"/>
  <c r="JO8" i="46"/>
  <c r="JJ10" i="46"/>
  <c r="JQ11" i="46"/>
  <c r="JN13" i="46"/>
  <c r="JJ15" i="46"/>
  <c r="JP16" i="46"/>
  <c r="AQ3" i="46"/>
  <c r="JQ5" i="46"/>
  <c r="JN5" i="46"/>
  <c r="JI7" i="46"/>
  <c r="JP8" i="46"/>
  <c r="JL10" i="46"/>
  <c r="JI12" i="46"/>
  <c r="JO13" i="46"/>
  <c r="JQ16" i="46"/>
  <c r="JL18" i="46"/>
  <c r="AP3" i="46"/>
  <c r="JO5" i="46"/>
  <c r="JJ7" i="46"/>
  <c r="JQ8" i="46"/>
  <c r="JN10" i="46"/>
  <c r="JJ12" i="46"/>
  <c r="JP13" i="46"/>
  <c r="JL15" i="46"/>
  <c r="JI17" i="46"/>
  <c r="JN18" i="46"/>
  <c r="JI4" i="46"/>
  <c r="JP5" i="46"/>
  <c r="JL7" i="46"/>
  <c r="JI9" i="46"/>
  <c r="JO10" i="46"/>
  <c r="JQ13" i="46"/>
  <c r="JN15" i="46"/>
  <c r="JJ17" i="46"/>
  <c r="JO18" i="46"/>
  <c r="JN7" i="46"/>
  <c r="JK7" i="46"/>
  <c r="JK13" i="46"/>
  <c r="JK4" i="46"/>
  <c r="JK14" i="46"/>
  <c r="JK11" i="46"/>
  <c r="JK16" i="46"/>
  <c r="JK8" i="46"/>
  <c r="JK10" i="46"/>
  <c r="JK9" i="46"/>
  <c r="JK5" i="46"/>
  <c r="JK15" i="46"/>
  <c r="JK12" i="46"/>
  <c r="JK3" i="46"/>
  <c r="JK18" i="46"/>
  <c r="JK6" i="46"/>
  <c r="L250" i="47"/>
  <c r="L249" i="47"/>
  <c r="L248" i="47"/>
  <c r="L247" i="47"/>
  <c r="L221" i="47"/>
  <c r="F221" i="47" s="1"/>
  <c r="O4" i="46" l="1"/>
  <c r="O3" i="46"/>
  <c r="O15" i="46"/>
  <c r="O14" i="46"/>
  <c r="O57" i="46"/>
  <c r="O6" i="46"/>
  <c r="O31" i="46"/>
  <c r="O82" i="46"/>
  <c r="O153" i="46"/>
  <c r="O107" i="46"/>
  <c r="O5" i="46"/>
  <c r="O7" i="46"/>
  <c r="O157" i="46"/>
  <c r="Q157" i="46" s="1"/>
  <c r="O156" i="46"/>
  <c r="O9" i="46"/>
  <c r="Q9" i="46" s="1"/>
  <c r="O10" i="46"/>
  <c r="O110" i="46"/>
  <c r="O86" i="46"/>
  <c r="Q86" i="46" s="1"/>
  <c r="O111" i="46"/>
  <c r="O85" i="46"/>
  <c r="O33" i="46"/>
  <c r="O35" i="46"/>
  <c r="O58" i="46"/>
  <c r="O62" i="46"/>
  <c r="O56" i="46"/>
  <c r="O29" i="46"/>
  <c r="O60" i="46"/>
  <c r="O61" i="46"/>
  <c r="O28" i="46"/>
  <c r="O36" i="46"/>
  <c r="O50" i="46" s="1"/>
  <c r="O54" i="46"/>
  <c r="O30" i="46"/>
  <c r="O34" i="46"/>
  <c r="O59" i="46"/>
  <c r="O55" i="46"/>
  <c r="O8" i="46"/>
  <c r="O32" i="46"/>
  <c r="M249" i="47"/>
  <c r="N249" i="47"/>
  <c r="M247" i="47"/>
  <c r="N247" i="47"/>
  <c r="M248" i="47"/>
  <c r="N248" i="47"/>
  <c r="M250" i="47"/>
  <c r="N250" i="47"/>
  <c r="M221" i="47"/>
  <c r="N221" i="47"/>
  <c r="U107" i="46" l="1"/>
  <c r="Q107" i="46"/>
  <c r="T107" i="46"/>
  <c r="U153" i="46"/>
  <c r="Q153" i="46"/>
  <c r="T153" i="46"/>
  <c r="U82" i="46"/>
  <c r="Q82" i="46"/>
  <c r="T82" i="46"/>
  <c r="U31" i="46"/>
  <c r="T31" i="46"/>
  <c r="Q31" i="46"/>
  <c r="U6" i="46"/>
  <c r="T6" i="46"/>
  <c r="Q6" i="46"/>
  <c r="U57" i="46"/>
  <c r="Q57" i="46"/>
  <c r="T57" i="46"/>
  <c r="U86" i="46"/>
  <c r="U157" i="46"/>
  <c r="T157" i="46"/>
  <c r="T86" i="46"/>
  <c r="U156" i="46"/>
  <c r="Q156" i="46"/>
  <c r="T156" i="46"/>
  <c r="U9" i="46"/>
  <c r="Q111" i="46"/>
  <c r="T111" i="46"/>
  <c r="U111" i="46"/>
  <c r="T110" i="46"/>
  <c r="Q110" i="46"/>
  <c r="U110" i="46"/>
  <c r="T9" i="46"/>
  <c r="U85" i="46"/>
  <c r="Q85" i="46"/>
  <c r="T85" i="46"/>
  <c r="U60" i="46"/>
  <c r="Q60" i="46"/>
  <c r="T60" i="46"/>
  <c r="U10" i="46"/>
  <c r="Q10" i="46"/>
  <c r="T10" i="46"/>
  <c r="U34" i="46"/>
  <c r="Q34" i="46"/>
  <c r="T34" i="46"/>
  <c r="U61" i="46"/>
  <c r="Q61" i="46"/>
  <c r="T61" i="46"/>
  <c r="T35" i="46"/>
  <c r="Q35" i="46"/>
  <c r="U35" i="46"/>
  <c r="AP5" i="46"/>
  <c r="AP7" i="46"/>
  <c r="AP9" i="46"/>
  <c r="AP11" i="46"/>
  <c r="AP13" i="46"/>
  <c r="AP15" i="46"/>
  <c r="AP17" i="46"/>
  <c r="AP4" i="46"/>
  <c r="AP6" i="46"/>
  <c r="AP8" i="46"/>
  <c r="AP10" i="46"/>
  <c r="AP12" i="46"/>
  <c r="AP14" i="46"/>
  <c r="AP16" i="46"/>
  <c r="AP18" i="46"/>
  <c r="AQ5" i="46"/>
  <c r="AQ7" i="46"/>
  <c r="AQ9" i="46"/>
  <c r="AQ11" i="46"/>
  <c r="AQ13" i="46"/>
  <c r="AQ15" i="46"/>
  <c r="AQ17" i="46"/>
  <c r="AQ4" i="46"/>
  <c r="AQ6" i="46"/>
  <c r="AQ8" i="46"/>
  <c r="AQ10" i="46"/>
  <c r="AQ12" i="46"/>
  <c r="AQ14" i="46"/>
  <c r="AQ16" i="46"/>
  <c r="AQ18" i="46"/>
  <c r="IT112" i="47"/>
  <c r="IU112" i="47"/>
  <c r="IV112" i="47"/>
  <c r="IW112" i="47"/>
  <c r="IX112" i="47"/>
  <c r="IY112" i="47"/>
  <c r="IZ112" i="47"/>
  <c r="JA112" i="47"/>
  <c r="JB112" i="47"/>
  <c r="JC112" i="47"/>
  <c r="JD112" i="47"/>
  <c r="JE112" i="47"/>
  <c r="JF112" i="47"/>
  <c r="JG112" i="47"/>
  <c r="JH112" i="47"/>
  <c r="JI112" i="47"/>
  <c r="JJ112" i="47"/>
  <c r="JK112" i="47"/>
  <c r="JL112" i="47"/>
  <c r="JM112" i="47"/>
  <c r="JN112" i="47"/>
  <c r="IT113" i="47"/>
  <c r="IU113" i="47"/>
  <c r="IV113" i="47"/>
  <c r="IW113" i="47"/>
  <c r="IX113" i="47"/>
  <c r="IY113" i="47"/>
  <c r="IZ113" i="47"/>
  <c r="JA113" i="47"/>
  <c r="JB113" i="47"/>
  <c r="JC113" i="47"/>
  <c r="JD113" i="47"/>
  <c r="JE113" i="47"/>
  <c r="JF113" i="47"/>
  <c r="JG113" i="47"/>
  <c r="JH113" i="47"/>
  <c r="JI113" i="47"/>
  <c r="JJ113" i="47"/>
  <c r="JK113" i="47"/>
  <c r="JL113" i="47"/>
  <c r="JM113" i="47"/>
  <c r="JN113" i="47"/>
  <c r="IT114" i="47"/>
  <c r="IU114" i="47"/>
  <c r="IV114" i="47"/>
  <c r="IW114" i="47"/>
  <c r="IX114" i="47"/>
  <c r="IY114" i="47"/>
  <c r="IZ114" i="47"/>
  <c r="JA114" i="47"/>
  <c r="JB114" i="47"/>
  <c r="JC114" i="47"/>
  <c r="JD114" i="47"/>
  <c r="JE114" i="47"/>
  <c r="JF114" i="47"/>
  <c r="JG114" i="47"/>
  <c r="JH114" i="47"/>
  <c r="JI114" i="47"/>
  <c r="JJ114" i="47"/>
  <c r="JK114" i="47"/>
  <c r="JL114" i="47"/>
  <c r="JM114" i="47"/>
  <c r="JN114" i="47"/>
  <c r="IT115" i="47"/>
  <c r="IU115" i="47"/>
  <c r="IV115" i="47"/>
  <c r="IW115" i="47"/>
  <c r="IX115" i="47"/>
  <c r="IY115" i="47"/>
  <c r="IZ115" i="47"/>
  <c r="JA115" i="47"/>
  <c r="JB115" i="47"/>
  <c r="JC115" i="47"/>
  <c r="JD115" i="47"/>
  <c r="JE115" i="47"/>
  <c r="JF115" i="47"/>
  <c r="JG115" i="47"/>
  <c r="JH115" i="47"/>
  <c r="JI115" i="47"/>
  <c r="JJ115" i="47"/>
  <c r="JK115" i="47"/>
  <c r="JL115" i="47"/>
  <c r="JM115" i="47"/>
  <c r="JN115" i="47"/>
  <c r="IT118" i="47"/>
  <c r="IU118" i="47"/>
  <c r="IV118" i="47"/>
  <c r="IW118" i="47"/>
  <c r="IX118" i="47"/>
  <c r="IY118" i="47"/>
  <c r="IZ118" i="47"/>
  <c r="JA118" i="47"/>
  <c r="JB118" i="47"/>
  <c r="JC118" i="47"/>
  <c r="JD118" i="47"/>
  <c r="JE118" i="47"/>
  <c r="JF118" i="47"/>
  <c r="JG118" i="47"/>
  <c r="JH118" i="47"/>
  <c r="JI118" i="47"/>
  <c r="JJ118" i="47"/>
  <c r="JK118" i="47"/>
  <c r="JL118" i="47"/>
  <c r="JM118" i="47"/>
  <c r="JN118" i="47"/>
  <c r="IT119" i="47"/>
  <c r="IU119" i="47"/>
  <c r="IV119" i="47"/>
  <c r="IW119" i="47"/>
  <c r="IX119" i="47"/>
  <c r="IY119" i="47"/>
  <c r="IZ119" i="47"/>
  <c r="JA119" i="47"/>
  <c r="JB119" i="47"/>
  <c r="JC119" i="47"/>
  <c r="JD119" i="47"/>
  <c r="JE119" i="47"/>
  <c r="JF119" i="47"/>
  <c r="JG119" i="47"/>
  <c r="JH119" i="47"/>
  <c r="JI119" i="47"/>
  <c r="JJ119" i="47"/>
  <c r="JK119" i="47"/>
  <c r="JL119" i="47"/>
  <c r="JM119" i="47"/>
  <c r="JN119" i="47"/>
  <c r="IT120" i="47"/>
  <c r="IU120" i="47"/>
  <c r="IV120" i="47"/>
  <c r="IW120" i="47"/>
  <c r="IX120" i="47"/>
  <c r="IY120" i="47"/>
  <c r="IZ120" i="47"/>
  <c r="JA120" i="47"/>
  <c r="JB120" i="47"/>
  <c r="JC120" i="47"/>
  <c r="JD120" i="47"/>
  <c r="JE120" i="47"/>
  <c r="JF120" i="47"/>
  <c r="JG120" i="47"/>
  <c r="JH120" i="47"/>
  <c r="JI120" i="47"/>
  <c r="JJ120" i="47"/>
  <c r="JK120" i="47"/>
  <c r="JL120" i="47"/>
  <c r="JM120" i="47"/>
  <c r="JN120" i="47"/>
  <c r="IT121" i="47"/>
  <c r="IU121" i="47"/>
  <c r="IV121" i="47"/>
  <c r="IW121" i="47"/>
  <c r="IX121" i="47"/>
  <c r="IY121" i="47"/>
  <c r="IZ121" i="47"/>
  <c r="JA121" i="47"/>
  <c r="JB121" i="47"/>
  <c r="JC121" i="47"/>
  <c r="JD121" i="47"/>
  <c r="JE121" i="47"/>
  <c r="JF121" i="47"/>
  <c r="JG121" i="47"/>
  <c r="JH121" i="47"/>
  <c r="JI121" i="47"/>
  <c r="JJ121" i="47"/>
  <c r="JK121" i="47"/>
  <c r="JL121" i="47"/>
  <c r="JM121" i="47"/>
  <c r="JN121" i="47"/>
  <c r="IT124" i="47"/>
  <c r="IU124" i="47"/>
  <c r="IV124" i="47"/>
  <c r="IW124" i="47"/>
  <c r="IX124" i="47"/>
  <c r="IY124" i="47"/>
  <c r="IZ124" i="47"/>
  <c r="JA124" i="47"/>
  <c r="JB124" i="47"/>
  <c r="JC124" i="47"/>
  <c r="JD124" i="47"/>
  <c r="JE124" i="47"/>
  <c r="JF124" i="47"/>
  <c r="JG124" i="47"/>
  <c r="JH124" i="47"/>
  <c r="JI124" i="47"/>
  <c r="JJ124" i="47"/>
  <c r="JK124" i="47"/>
  <c r="JL124" i="47"/>
  <c r="JM124" i="47"/>
  <c r="JN124" i="47"/>
  <c r="IT125" i="47"/>
  <c r="IU125" i="47"/>
  <c r="IV125" i="47"/>
  <c r="IW125" i="47"/>
  <c r="IX125" i="47"/>
  <c r="IY125" i="47"/>
  <c r="IZ125" i="47"/>
  <c r="JA125" i="47"/>
  <c r="JB125" i="47"/>
  <c r="JC125" i="47"/>
  <c r="JD125" i="47"/>
  <c r="JE125" i="47"/>
  <c r="JF125" i="47"/>
  <c r="JG125" i="47"/>
  <c r="JH125" i="47"/>
  <c r="JI125" i="47"/>
  <c r="JJ125" i="47"/>
  <c r="JK125" i="47"/>
  <c r="JL125" i="47"/>
  <c r="JM125" i="47"/>
  <c r="JN125" i="47"/>
  <c r="IT126" i="47"/>
  <c r="IU126" i="47"/>
  <c r="IV126" i="47"/>
  <c r="IW126" i="47"/>
  <c r="IX126" i="47"/>
  <c r="IY126" i="47"/>
  <c r="IZ126" i="47"/>
  <c r="JA126" i="47"/>
  <c r="JB126" i="47"/>
  <c r="JC126" i="47"/>
  <c r="JD126" i="47"/>
  <c r="JE126" i="47"/>
  <c r="JF126" i="47"/>
  <c r="JG126" i="47"/>
  <c r="JH126" i="47"/>
  <c r="JI126" i="47"/>
  <c r="JJ126" i="47"/>
  <c r="JK126" i="47"/>
  <c r="JL126" i="47"/>
  <c r="JM126" i="47"/>
  <c r="JN126" i="47"/>
  <c r="IT127" i="47"/>
  <c r="IU127" i="47"/>
  <c r="IV127" i="47"/>
  <c r="IW127" i="47"/>
  <c r="IX127" i="47"/>
  <c r="IY127" i="47"/>
  <c r="IZ127" i="47"/>
  <c r="JA127" i="47"/>
  <c r="JB127" i="47"/>
  <c r="JC127" i="47"/>
  <c r="JD127" i="47"/>
  <c r="JE127" i="47"/>
  <c r="JF127" i="47"/>
  <c r="JG127" i="47"/>
  <c r="JH127" i="47"/>
  <c r="JI127" i="47"/>
  <c r="JJ127" i="47"/>
  <c r="JK127" i="47"/>
  <c r="JL127" i="47"/>
  <c r="JM127" i="47"/>
  <c r="JN127" i="47"/>
  <c r="IT130" i="47"/>
  <c r="IU130" i="47"/>
  <c r="IV130" i="47"/>
  <c r="IW130" i="47"/>
  <c r="IX130" i="47"/>
  <c r="IY130" i="47"/>
  <c r="IZ130" i="47"/>
  <c r="JA130" i="47"/>
  <c r="JB130" i="47"/>
  <c r="JC130" i="47"/>
  <c r="JD130" i="47"/>
  <c r="JE130" i="47"/>
  <c r="JF130" i="47"/>
  <c r="JG130" i="47"/>
  <c r="JH130" i="47"/>
  <c r="JI130" i="47"/>
  <c r="JJ130" i="47"/>
  <c r="JK130" i="47"/>
  <c r="JL130" i="47"/>
  <c r="JM130" i="47"/>
  <c r="JN130" i="47"/>
  <c r="IT131" i="47"/>
  <c r="IU131" i="47"/>
  <c r="IV131" i="47"/>
  <c r="IW131" i="47"/>
  <c r="IX131" i="47"/>
  <c r="IY131" i="47"/>
  <c r="IZ131" i="47"/>
  <c r="JA131" i="47"/>
  <c r="JB131" i="47"/>
  <c r="JC131" i="47"/>
  <c r="JD131" i="47"/>
  <c r="JE131" i="47"/>
  <c r="JF131" i="47"/>
  <c r="JG131" i="47"/>
  <c r="JH131" i="47"/>
  <c r="JI131" i="47"/>
  <c r="JJ131" i="47"/>
  <c r="JK131" i="47"/>
  <c r="JL131" i="47"/>
  <c r="JM131" i="47"/>
  <c r="JN131" i="47"/>
  <c r="IT132" i="47"/>
  <c r="IU132" i="47"/>
  <c r="IV132" i="47"/>
  <c r="IW132" i="47"/>
  <c r="IX132" i="47"/>
  <c r="IY132" i="47"/>
  <c r="IZ132" i="47"/>
  <c r="JA132" i="47"/>
  <c r="JB132" i="47"/>
  <c r="JC132" i="47"/>
  <c r="JD132" i="47"/>
  <c r="JE132" i="47"/>
  <c r="JF132" i="47"/>
  <c r="JG132" i="47"/>
  <c r="JH132" i="47"/>
  <c r="JI132" i="47"/>
  <c r="JJ132" i="47"/>
  <c r="JK132" i="47"/>
  <c r="JL132" i="47"/>
  <c r="JM132" i="47"/>
  <c r="JN132" i="47"/>
  <c r="IT133" i="47"/>
  <c r="IU133" i="47"/>
  <c r="IV133" i="47"/>
  <c r="IW133" i="47"/>
  <c r="IX133" i="47"/>
  <c r="IY133" i="47"/>
  <c r="IZ133" i="47"/>
  <c r="JA133" i="47"/>
  <c r="JB133" i="47"/>
  <c r="JC133" i="47"/>
  <c r="JD133" i="47"/>
  <c r="JE133" i="47"/>
  <c r="JF133" i="47"/>
  <c r="JG133" i="47"/>
  <c r="JH133" i="47"/>
  <c r="JI133" i="47"/>
  <c r="JJ133" i="47"/>
  <c r="JK133" i="47"/>
  <c r="JL133" i="47"/>
  <c r="JM133" i="47"/>
  <c r="JN133" i="47"/>
  <c r="IT136" i="47"/>
  <c r="IU136" i="47"/>
  <c r="IV136" i="47"/>
  <c r="IW136" i="47"/>
  <c r="IX136" i="47"/>
  <c r="IY136" i="47"/>
  <c r="IZ136" i="47"/>
  <c r="JA136" i="47"/>
  <c r="JB136" i="47"/>
  <c r="JC136" i="47"/>
  <c r="JD136" i="47"/>
  <c r="JE136" i="47"/>
  <c r="JF136" i="47"/>
  <c r="JG136" i="47"/>
  <c r="JH136" i="47"/>
  <c r="JI136" i="47"/>
  <c r="JJ136" i="47"/>
  <c r="JK136" i="47"/>
  <c r="JL136" i="47"/>
  <c r="JM136" i="47"/>
  <c r="JN136" i="47"/>
  <c r="IT137" i="47"/>
  <c r="IU137" i="47"/>
  <c r="IV137" i="47"/>
  <c r="IW137" i="47"/>
  <c r="IX137" i="47"/>
  <c r="IY137" i="47"/>
  <c r="IZ137" i="47"/>
  <c r="JA137" i="47"/>
  <c r="JB137" i="47"/>
  <c r="JC137" i="47"/>
  <c r="JD137" i="47"/>
  <c r="JE137" i="47"/>
  <c r="JF137" i="47"/>
  <c r="JG137" i="47"/>
  <c r="JH137" i="47"/>
  <c r="JI137" i="47"/>
  <c r="JJ137" i="47"/>
  <c r="JK137" i="47"/>
  <c r="JL137" i="47"/>
  <c r="JM137" i="47"/>
  <c r="JN137" i="47"/>
  <c r="IT138" i="47"/>
  <c r="IU138" i="47"/>
  <c r="IV138" i="47"/>
  <c r="IW138" i="47"/>
  <c r="IX138" i="47"/>
  <c r="IY138" i="47"/>
  <c r="IZ138" i="47"/>
  <c r="JA138" i="47"/>
  <c r="JB138" i="47"/>
  <c r="JC138" i="47"/>
  <c r="JD138" i="47"/>
  <c r="JE138" i="47"/>
  <c r="JF138" i="47"/>
  <c r="JG138" i="47"/>
  <c r="JH138" i="47"/>
  <c r="JI138" i="47"/>
  <c r="JJ138" i="47"/>
  <c r="JK138" i="47"/>
  <c r="JL138" i="47"/>
  <c r="JM138" i="47"/>
  <c r="JN138" i="47"/>
  <c r="IT139" i="47"/>
  <c r="IU139" i="47"/>
  <c r="IV139" i="47"/>
  <c r="IW139" i="47"/>
  <c r="IX139" i="47"/>
  <c r="IY139" i="47"/>
  <c r="IZ139" i="47"/>
  <c r="JA139" i="47"/>
  <c r="JB139" i="47"/>
  <c r="JC139" i="47"/>
  <c r="JD139" i="47"/>
  <c r="JE139" i="47"/>
  <c r="JF139" i="47"/>
  <c r="JG139" i="47"/>
  <c r="JH139" i="47"/>
  <c r="JI139" i="47"/>
  <c r="JJ139" i="47"/>
  <c r="JK139" i="47"/>
  <c r="JL139" i="47"/>
  <c r="JM139" i="47"/>
  <c r="JN139" i="47"/>
  <c r="IT142" i="47"/>
  <c r="IU142" i="47"/>
  <c r="IV142" i="47"/>
  <c r="IW142" i="47"/>
  <c r="IX142" i="47"/>
  <c r="IY142" i="47"/>
  <c r="IZ142" i="47"/>
  <c r="JA142" i="47"/>
  <c r="JB142" i="47"/>
  <c r="JC142" i="47"/>
  <c r="JD142" i="47"/>
  <c r="JE142" i="47"/>
  <c r="JF142" i="47"/>
  <c r="JG142" i="47"/>
  <c r="JH142" i="47"/>
  <c r="JI142" i="47"/>
  <c r="JJ142" i="47"/>
  <c r="JK142" i="47"/>
  <c r="JL142" i="47"/>
  <c r="JM142" i="47"/>
  <c r="JN142" i="47"/>
  <c r="IT143" i="47"/>
  <c r="IU143" i="47"/>
  <c r="IV143" i="47"/>
  <c r="IW143" i="47"/>
  <c r="IX143" i="47"/>
  <c r="IY143" i="47"/>
  <c r="IZ143" i="47"/>
  <c r="JA143" i="47"/>
  <c r="JB143" i="47"/>
  <c r="JC143" i="47"/>
  <c r="JD143" i="47"/>
  <c r="JE143" i="47"/>
  <c r="JF143" i="47"/>
  <c r="JG143" i="47"/>
  <c r="JH143" i="47"/>
  <c r="JI143" i="47"/>
  <c r="JJ143" i="47"/>
  <c r="JK143" i="47"/>
  <c r="JL143" i="47"/>
  <c r="JM143" i="47"/>
  <c r="JN143" i="47"/>
  <c r="IT144" i="47"/>
  <c r="IU144" i="47"/>
  <c r="IV144" i="47"/>
  <c r="IW144" i="47"/>
  <c r="IX144" i="47"/>
  <c r="IY144" i="47"/>
  <c r="IZ144" i="47"/>
  <c r="JA144" i="47"/>
  <c r="JB144" i="47"/>
  <c r="JC144" i="47"/>
  <c r="JD144" i="47"/>
  <c r="JE144" i="47"/>
  <c r="JF144" i="47"/>
  <c r="JG144" i="47"/>
  <c r="JH144" i="47"/>
  <c r="JI144" i="47"/>
  <c r="JJ144" i="47"/>
  <c r="JK144" i="47"/>
  <c r="JL144" i="47"/>
  <c r="JM144" i="47"/>
  <c r="JN144" i="47"/>
  <c r="IT145" i="47"/>
  <c r="IU145" i="47"/>
  <c r="IV145" i="47"/>
  <c r="IW145" i="47"/>
  <c r="IX145" i="47"/>
  <c r="IY145" i="47"/>
  <c r="IZ145" i="47"/>
  <c r="JA145" i="47"/>
  <c r="JB145" i="47"/>
  <c r="JC145" i="47"/>
  <c r="JD145" i="47"/>
  <c r="JE145" i="47"/>
  <c r="JF145" i="47"/>
  <c r="JG145" i="47"/>
  <c r="JH145" i="47"/>
  <c r="JI145" i="47"/>
  <c r="JJ145" i="47"/>
  <c r="JK145" i="47"/>
  <c r="JL145" i="47"/>
  <c r="JM145" i="47"/>
  <c r="JN145" i="47"/>
  <c r="IT148" i="47"/>
  <c r="IU148" i="47"/>
  <c r="IV148" i="47"/>
  <c r="IW148" i="47"/>
  <c r="IX148" i="47"/>
  <c r="IY148" i="47"/>
  <c r="IZ148" i="47"/>
  <c r="JA148" i="47"/>
  <c r="JB148" i="47"/>
  <c r="JC148" i="47"/>
  <c r="JD148" i="47"/>
  <c r="JE148" i="47"/>
  <c r="JF148" i="47"/>
  <c r="JG148" i="47"/>
  <c r="JH148" i="47"/>
  <c r="JI148" i="47"/>
  <c r="JJ148" i="47"/>
  <c r="JK148" i="47"/>
  <c r="JL148" i="47"/>
  <c r="JM148" i="47"/>
  <c r="JN148" i="47"/>
  <c r="IT149" i="47"/>
  <c r="IU149" i="47"/>
  <c r="IV149" i="47"/>
  <c r="IW149" i="47"/>
  <c r="IX149" i="47"/>
  <c r="IY149" i="47"/>
  <c r="IZ149" i="47"/>
  <c r="JA149" i="47"/>
  <c r="JB149" i="47"/>
  <c r="JC149" i="47"/>
  <c r="JD149" i="47"/>
  <c r="JE149" i="47"/>
  <c r="JF149" i="47"/>
  <c r="JG149" i="47"/>
  <c r="JH149" i="47"/>
  <c r="JI149" i="47"/>
  <c r="JJ149" i="47"/>
  <c r="JK149" i="47"/>
  <c r="JL149" i="47"/>
  <c r="JM149" i="47"/>
  <c r="JN149" i="47"/>
  <c r="IT150" i="47"/>
  <c r="IU150" i="47"/>
  <c r="IV150" i="47"/>
  <c r="IW150" i="47"/>
  <c r="IX150" i="47"/>
  <c r="IY150" i="47"/>
  <c r="IZ150" i="47"/>
  <c r="JA150" i="47"/>
  <c r="JB150" i="47"/>
  <c r="JC150" i="47"/>
  <c r="JD150" i="47"/>
  <c r="JE150" i="47"/>
  <c r="JF150" i="47"/>
  <c r="JG150" i="47"/>
  <c r="JH150" i="47"/>
  <c r="JI150" i="47"/>
  <c r="JJ150" i="47"/>
  <c r="JK150" i="47"/>
  <c r="JL150" i="47"/>
  <c r="JM150" i="47"/>
  <c r="JN150" i="47"/>
  <c r="IT151" i="47"/>
  <c r="IU151" i="47"/>
  <c r="IV151" i="47"/>
  <c r="IW151" i="47"/>
  <c r="IX151" i="47"/>
  <c r="IY151" i="47"/>
  <c r="IZ151" i="47"/>
  <c r="JA151" i="47"/>
  <c r="JB151" i="47"/>
  <c r="JC151" i="47"/>
  <c r="JD151" i="47"/>
  <c r="JE151" i="47"/>
  <c r="JF151" i="47"/>
  <c r="JG151" i="47"/>
  <c r="JH151" i="47"/>
  <c r="JI151" i="47"/>
  <c r="JJ151" i="47"/>
  <c r="JK151" i="47"/>
  <c r="JL151" i="47"/>
  <c r="JM151" i="47"/>
  <c r="JN151" i="47"/>
  <c r="IT154" i="47"/>
  <c r="IU154" i="47"/>
  <c r="IV154" i="47"/>
  <c r="IW154" i="47"/>
  <c r="IX154" i="47"/>
  <c r="IY154" i="47"/>
  <c r="IZ154" i="47"/>
  <c r="JA154" i="47"/>
  <c r="JB154" i="47"/>
  <c r="JC154" i="47"/>
  <c r="JD154" i="47"/>
  <c r="JE154" i="47"/>
  <c r="JF154" i="47"/>
  <c r="JG154" i="47"/>
  <c r="JH154" i="47"/>
  <c r="JI154" i="47"/>
  <c r="JJ154" i="47"/>
  <c r="JK154" i="47"/>
  <c r="JL154" i="47"/>
  <c r="JM154" i="47"/>
  <c r="JN154" i="47"/>
  <c r="IT155" i="47"/>
  <c r="IU155" i="47"/>
  <c r="IV155" i="47"/>
  <c r="IW155" i="47"/>
  <c r="IX155" i="47"/>
  <c r="IY155" i="47"/>
  <c r="IZ155" i="47"/>
  <c r="JA155" i="47"/>
  <c r="JB155" i="47"/>
  <c r="JC155" i="47"/>
  <c r="JD155" i="47"/>
  <c r="JE155" i="47"/>
  <c r="JF155" i="47"/>
  <c r="JG155" i="47"/>
  <c r="JH155" i="47"/>
  <c r="JI155" i="47"/>
  <c r="JJ155" i="47"/>
  <c r="JK155" i="47"/>
  <c r="JL155" i="47"/>
  <c r="JM155" i="47"/>
  <c r="JN155" i="47"/>
  <c r="IT156" i="47"/>
  <c r="IU156" i="47"/>
  <c r="IV156" i="47"/>
  <c r="IW156" i="47"/>
  <c r="IX156" i="47"/>
  <c r="IY156" i="47"/>
  <c r="IZ156" i="47"/>
  <c r="JA156" i="47"/>
  <c r="JB156" i="47"/>
  <c r="JC156" i="47"/>
  <c r="JD156" i="47"/>
  <c r="JE156" i="47"/>
  <c r="JF156" i="47"/>
  <c r="JG156" i="47"/>
  <c r="JH156" i="47"/>
  <c r="JI156" i="47"/>
  <c r="JJ156" i="47"/>
  <c r="JK156" i="47"/>
  <c r="JL156" i="47"/>
  <c r="JM156" i="47"/>
  <c r="JN156" i="47"/>
  <c r="IT157" i="47"/>
  <c r="IU157" i="47"/>
  <c r="IV157" i="47"/>
  <c r="IW157" i="47"/>
  <c r="IX157" i="47"/>
  <c r="IY157" i="47"/>
  <c r="IZ157" i="47"/>
  <c r="JA157" i="47"/>
  <c r="JB157" i="47"/>
  <c r="JC157" i="47"/>
  <c r="JD157" i="47"/>
  <c r="JE157" i="47"/>
  <c r="JF157" i="47"/>
  <c r="JG157" i="47"/>
  <c r="JH157" i="47"/>
  <c r="JI157" i="47"/>
  <c r="JJ157" i="47"/>
  <c r="JK157" i="47"/>
  <c r="JL157" i="47"/>
  <c r="JM157" i="47"/>
  <c r="JN157" i="47"/>
  <c r="IT160" i="47"/>
  <c r="IU160" i="47"/>
  <c r="IV160" i="47"/>
  <c r="IW160" i="47"/>
  <c r="IX160" i="47"/>
  <c r="IY160" i="47"/>
  <c r="IZ160" i="47"/>
  <c r="JA160" i="47"/>
  <c r="JB160" i="47"/>
  <c r="JC160" i="47"/>
  <c r="JD160" i="47"/>
  <c r="JE160" i="47"/>
  <c r="JF160" i="47"/>
  <c r="JG160" i="47"/>
  <c r="JH160" i="47"/>
  <c r="JI160" i="47"/>
  <c r="JJ160" i="47"/>
  <c r="JK160" i="47"/>
  <c r="JL160" i="47"/>
  <c r="JM160" i="47"/>
  <c r="JN160" i="47"/>
  <c r="IT161" i="47"/>
  <c r="IU161" i="47"/>
  <c r="IV161" i="47"/>
  <c r="IW161" i="47"/>
  <c r="IX161" i="47"/>
  <c r="IY161" i="47"/>
  <c r="IZ161" i="47"/>
  <c r="JA161" i="47"/>
  <c r="JB161" i="47"/>
  <c r="JC161" i="47"/>
  <c r="JD161" i="47"/>
  <c r="JE161" i="47"/>
  <c r="JF161" i="47"/>
  <c r="JG161" i="47"/>
  <c r="JH161" i="47"/>
  <c r="JI161" i="47"/>
  <c r="JJ161" i="47"/>
  <c r="JK161" i="47"/>
  <c r="JL161" i="47"/>
  <c r="JM161" i="47"/>
  <c r="JN161" i="47"/>
  <c r="IT162" i="47"/>
  <c r="IU162" i="47"/>
  <c r="IV162" i="47"/>
  <c r="IW162" i="47"/>
  <c r="IX162" i="47"/>
  <c r="IY162" i="47"/>
  <c r="IZ162" i="47"/>
  <c r="JA162" i="47"/>
  <c r="JB162" i="47"/>
  <c r="JC162" i="47"/>
  <c r="JD162" i="47"/>
  <c r="JE162" i="47"/>
  <c r="JF162" i="47"/>
  <c r="JG162" i="47"/>
  <c r="JH162" i="47"/>
  <c r="JI162" i="47"/>
  <c r="JJ162" i="47"/>
  <c r="JK162" i="47"/>
  <c r="JL162" i="47"/>
  <c r="JM162" i="47"/>
  <c r="JN162" i="47"/>
  <c r="IT163" i="47"/>
  <c r="IU163" i="47"/>
  <c r="IV163" i="47"/>
  <c r="IW163" i="47"/>
  <c r="IX163" i="47"/>
  <c r="IY163" i="47"/>
  <c r="IZ163" i="47"/>
  <c r="JA163" i="47"/>
  <c r="JB163" i="47"/>
  <c r="JC163" i="47"/>
  <c r="JD163" i="47"/>
  <c r="JE163" i="47"/>
  <c r="JF163" i="47"/>
  <c r="JG163" i="47"/>
  <c r="JH163" i="47"/>
  <c r="JI163" i="47"/>
  <c r="JJ163" i="47"/>
  <c r="JK163" i="47"/>
  <c r="JL163" i="47"/>
  <c r="JM163" i="47"/>
  <c r="JN163" i="47"/>
  <c r="IT166" i="47"/>
  <c r="IU166" i="47"/>
  <c r="IV166" i="47"/>
  <c r="IW166" i="47"/>
  <c r="IX166" i="47"/>
  <c r="IY166" i="47"/>
  <c r="IZ166" i="47"/>
  <c r="JA166" i="47"/>
  <c r="JB166" i="47"/>
  <c r="JC166" i="47"/>
  <c r="JD166" i="47"/>
  <c r="JE166" i="47"/>
  <c r="JF166" i="47"/>
  <c r="JG166" i="47"/>
  <c r="JH166" i="47"/>
  <c r="JI166" i="47"/>
  <c r="JJ166" i="47"/>
  <c r="JK166" i="47"/>
  <c r="JL166" i="47"/>
  <c r="JM166" i="47"/>
  <c r="JN166" i="47"/>
  <c r="IT167" i="47"/>
  <c r="IU167" i="47"/>
  <c r="IV167" i="47"/>
  <c r="IW167" i="47"/>
  <c r="IX167" i="47"/>
  <c r="IY167" i="47"/>
  <c r="IZ167" i="47"/>
  <c r="JA167" i="47"/>
  <c r="JB167" i="47"/>
  <c r="JC167" i="47"/>
  <c r="JD167" i="47"/>
  <c r="JE167" i="47"/>
  <c r="JF167" i="47"/>
  <c r="JG167" i="47"/>
  <c r="JH167" i="47"/>
  <c r="JI167" i="47"/>
  <c r="JJ167" i="47"/>
  <c r="JK167" i="47"/>
  <c r="JL167" i="47"/>
  <c r="JM167" i="47"/>
  <c r="JN167" i="47"/>
  <c r="IT168" i="47"/>
  <c r="IU168" i="47"/>
  <c r="IV168" i="47"/>
  <c r="IW168" i="47"/>
  <c r="IX168" i="47"/>
  <c r="IY168" i="47"/>
  <c r="IZ168" i="47"/>
  <c r="JA168" i="47"/>
  <c r="JB168" i="47"/>
  <c r="JC168" i="47"/>
  <c r="JD168" i="47"/>
  <c r="JE168" i="47"/>
  <c r="JF168" i="47"/>
  <c r="JG168" i="47"/>
  <c r="JH168" i="47"/>
  <c r="JI168" i="47"/>
  <c r="JJ168" i="47"/>
  <c r="JK168" i="47"/>
  <c r="JL168" i="47"/>
  <c r="JM168" i="47"/>
  <c r="JN168" i="47"/>
  <c r="IT169" i="47"/>
  <c r="IU169" i="47"/>
  <c r="IV169" i="47"/>
  <c r="IW169" i="47"/>
  <c r="IX169" i="47"/>
  <c r="IY169" i="47"/>
  <c r="IZ169" i="47"/>
  <c r="JA169" i="47"/>
  <c r="JB169" i="47"/>
  <c r="JC169" i="47"/>
  <c r="JD169" i="47"/>
  <c r="JE169" i="47"/>
  <c r="JF169" i="47"/>
  <c r="JG169" i="47"/>
  <c r="JH169" i="47"/>
  <c r="JI169" i="47"/>
  <c r="JJ169" i="47"/>
  <c r="JK169" i="47"/>
  <c r="JL169" i="47"/>
  <c r="JM169" i="47"/>
  <c r="JN169" i="47"/>
  <c r="IT172" i="47"/>
  <c r="IU172" i="47"/>
  <c r="IV172" i="47"/>
  <c r="IW172" i="47"/>
  <c r="IX172" i="47"/>
  <c r="IY172" i="47"/>
  <c r="IZ172" i="47"/>
  <c r="JA172" i="47"/>
  <c r="JB172" i="47"/>
  <c r="JC172" i="47"/>
  <c r="JD172" i="47"/>
  <c r="JE172" i="47"/>
  <c r="JF172" i="47"/>
  <c r="JG172" i="47"/>
  <c r="JH172" i="47"/>
  <c r="JI172" i="47"/>
  <c r="JJ172" i="47"/>
  <c r="JK172" i="47"/>
  <c r="JL172" i="47"/>
  <c r="JM172" i="47"/>
  <c r="JN172" i="47"/>
  <c r="IT173" i="47"/>
  <c r="IU173" i="47"/>
  <c r="IV173" i="47"/>
  <c r="IW173" i="47"/>
  <c r="IX173" i="47"/>
  <c r="IY173" i="47"/>
  <c r="IZ173" i="47"/>
  <c r="JA173" i="47"/>
  <c r="JB173" i="47"/>
  <c r="JC173" i="47"/>
  <c r="JD173" i="47"/>
  <c r="JE173" i="47"/>
  <c r="JF173" i="47"/>
  <c r="JG173" i="47"/>
  <c r="JH173" i="47"/>
  <c r="JI173" i="47"/>
  <c r="JJ173" i="47"/>
  <c r="JK173" i="47"/>
  <c r="JL173" i="47"/>
  <c r="JM173" i="47"/>
  <c r="JN173" i="47"/>
  <c r="IT174" i="47"/>
  <c r="IU174" i="47"/>
  <c r="IV174" i="47"/>
  <c r="IW174" i="47"/>
  <c r="IX174" i="47"/>
  <c r="IY174" i="47"/>
  <c r="IZ174" i="47"/>
  <c r="JA174" i="47"/>
  <c r="JB174" i="47"/>
  <c r="JC174" i="47"/>
  <c r="JD174" i="47"/>
  <c r="JE174" i="47"/>
  <c r="JF174" i="47"/>
  <c r="JG174" i="47"/>
  <c r="JH174" i="47"/>
  <c r="JI174" i="47"/>
  <c r="JJ174" i="47"/>
  <c r="JK174" i="47"/>
  <c r="JL174" i="47"/>
  <c r="JM174" i="47"/>
  <c r="JN174" i="47"/>
  <c r="IT175" i="47"/>
  <c r="IU175" i="47"/>
  <c r="IV175" i="47"/>
  <c r="IW175" i="47"/>
  <c r="IX175" i="47"/>
  <c r="IY175" i="47"/>
  <c r="IZ175" i="47"/>
  <c r="JA175" i="47"/>
  <c r="JB175" i="47"/>
  <c r="JC175" i="47"/>
  <c r="JD175" i="47"/>
  <c r="JE175" i="47"/>
  <c r="JF175" i="47"/>
  <c r="JG175" i="47"/>
  <c r="JH175" i="47"/>
  <c r="JI175" i="47"/>
  <c r="JJ175" i="47"/>
  <c r="JK175" i="47"/>
  <c r="JL175" i="47"/>
  <c r="JM175" i="47"/>
  <c r="JN175" i="47"/>
  <c r="IT178" i="47"/>
  <c r="IU178" i="47"/>
  <c r="IV178" i="47"/>
  <c r="IW178" i="47"/>
  <c r="IX178" i="47"/>
  <c r="IY178" i="47"/>
  <c r="IZ178" i="47"/>
  <c r="JA178" i="47"/>
  <c r="JB178" i="47"/>
  <c r="JC178" i="47"/>
  <c r="JD178" i="47"/>
  <c r="JE178" i="47"/>
  <c r="JF178" i="47"/>
  <c r="JG178" i="47"/>
  <c r="JH178" i="47"/>
  <c r="JI178" i="47"/>
  <c r="JJ178" i="47"/>
  <c r="JK178" i="47"/>
  <c r="JL178" i="47"/>
  <c r="JM178" i="47"/>
  <c r="JN178" i="47"/>
  <c r="IT179" i="47"/>
  <c r="IU179" i="47"/>
  <c r="IV179" i="47"/>
  <c r="IW179" i="47"/>
  <c r="IX179" i="47"/>
  <c r="IY179" i="47"/>
  <c r="IZ179" i="47"/>
  <c r="JA179" i="47"/>
  <c r="JB179" i="47"/>
  <c r="JC179" i="47"/>
  <c r="JD179" i="47"/>
  <c r="JE179" i="47"/>
  <c r="JF179" i="47"/>
  <c r="JG179" i="47"/>
  <c r="JH179" i="47"/>
  <c r="JI179" i="47"/>
  <c r="JJ179" i="47"/>
  <c r="JK179" i="47"/>
  <c r="JL179" i="47"/>
  <c r="JM179" i="47"/>
  <c r="JN179" i="47"/>
  <c r="IT180" i="47"/>
  <c r="IU180" i="47"/>
  <c r="IV180" i="47"/>
  <c r="IW180" i="47"/>
  <c r="IX180" i="47"/>
  <c r="IY180" i="47"/>
  <c r="IZ180" i="47"/>
  <c r="JA180" i="47"/>
  <c r="JB180" i="47"/>
  <c r="JC180" i="47"/>
  <c r="JD180" i="47"/>
  <c r="JE180" i="47"/>
  <c r="JF180" i="47"/>
  <c r="JG180" i="47"/>
  <c r="JH180" i="47"/>
  <c r="JI180" i="47"/>
  <c r="JJ180" i="47"/>
  <c r="JK180" i="47"/>
  <c r="JL180" i="47"/>
  <c r="JM180" i="47"/>
  <c r="JN180" i="47"/>
  <c r="IT181" i="47"/>
  <c r="IU181" i="47"/>
  <c r="IV181" i="47"/>
  <c r="IW181" i="47"/>
  <c r="IX181" i="47"/>
  <c r="IY181" i="47"/>
  <c r="IZ181" i="47"/>
  <c r="JA181" i="47"/>
  <c r="JB181" i="47"/>
  <c r="JC181" i="47"/>
  <c r="JD181" i="47"/>
  <c r="JE181" i="47"/>
  <c r="JF181" i="47"/>
  <c r="JG181" i="47"/>
  <c r="JH181" i="47"/>
  <c r="JI181" i="47"/>
  <c r="JJ181" i="47"/>
  <c r="JK181" i="47"/>
  <c r="JL181" i="47"/>
  <c r="JM181" i="47"/>
  <c r="JN181" i="47"/>
  <c r="IT184" i="47"/>
  <c r="IU184" i="47"/>
  <c r="IV184" i="47"/>
  <c r="IW184" i="47"/>
  <c r="IX184" i="47"/>
  <c r="IY184" i="47"/>
  <c r="IZ184" i="47"/>
  <c r="JA184" i="47"/>
  <c r="JB184" i="47"/>
  <c r="JC184" i="47"/>
  <c r="JD184" i="47"/>
  <c r="JE184" i="47"/>
  <c r="JF184" i="47"/>
  <c r="JG184" i="47"/>
  <c r="JH184" i="47"/>
  <c r="JI184" i="47"/>
  <c r="JJ184" i="47"/>
  <c r="JK184" i="47"/>
  <c r="JL184" i="47"/>
  <c r="JM184" i="47"/>
  <c r="JN184" i="47"/>
  <c r="IT185" i="47"/>
  <c r="IU185" i="47"/>
  <c r="IV185" i="47"/>
  <c r="IW185" i="47"/>
  <c r="IX185" i="47"/>
  <c r="IY185" i="47"/>
  <c r="IZ185" i="47"/>
  <c r="JA185" i="47"/>
  <c r="JB185" i="47"/>
  <c r="JC185" i="47"/>
  <c r="JD185" i="47"/>
  <c r="JE185" i="47"/>
  <c r="JF185" i="47"/>
  <c r="JG185" i="47"/>
  <c r="JH185" i="47"/>
  <c r="JI185" i="47"/>
  <c r="JJ185" i="47"/>
  <c r="JK185" i="47"/>
  <c r="JL185" i="47"/>
  <c r="JM185" i="47"/>
  <c r="JN185" i="47"/>
  <c r="IT186" i="47"/>
  <c r="IU186" i="47"/>
  <c r="IV186" i="47"/>
  <c r="IW186" i="47"/>
  <c r="IX186" i="47"/>
  <c r="IY186" i="47"/>
  <c r="IZ186" i="47"/>
  <c r="JA186" i="47"/>
  <c r="JB186" i="47"/>
  <c r="JC186" i="47"/>
  <c r="JD186" i="47"/>
  <c r="JE186" i="47"/>
  <c r="JF186" i="47"/>
  <c r="JG186" i="47"/>
  <c r="JH186" i="47"/>
  <c r="JI186" i="47"/>
  <c r="JJ186" i="47"/>
  <c r="JK186" i="47"/>
  <c r="JL186" i="47"/>
  <c r="JM186" i="47"/>
  <c r="JN186" i="47"/>
  <c r="IT187" i="47"/>
  <c r="IU187" i="47"/>
  <c r="IV187" i="47"/>
  <c r="IW187" i="47"/>
  <c r="IX187" i="47"/>
  <c r="IY187" i="47"/>
  <c r="IZ187" i="47"/>
  <c r="JA187" i="47"/>
  <c r="JB187" i="47"/>
  <c r="JC187" i="47"/>
  <c r="JD187" i="47"/>
  <c r="JE187" i="47"/>
  <c r="JF187" i="47"/>
  <c r="JG187" i="47"/>
  <c r="JH187" i="47"/>
  <c r="JI187" i="47"/>
  <c r="JJ187" i="47"/>
  <c r="JK187" i="47"/>
  <c r="JL187" i="47"/>
  <c r="JM187" i="47"/>
  <c r="JN187" i="47"/>
  <c r="IT190" i="47"/>
  <c r="IU190" i="47"/>
  <c r="IV190" i="47"/>
  <c r="IW190" i="47"/>
  <c r="IX190" i="47"/>
  <c r="IY190" i="47"/>
  <c r="IZ190" i="47"/>
  <c r="JA190" i="47"/>
  <c r="JB190" i="47"/>
  <c r="JC190" i="47"/>
  <c r="JD190" i="47"/>
  <c r="JE190" i="47"/>
  <c r="JF190" i="47"/>
  <c r="JG190" i="47"/>
  <c r="JH190" i="47"/>
  <c r="JI190" i="47"/>
  <c r="JJ190" i="47"/>
  <c r="JK190" i="47"/>
  <c r="JL190" i="47"/>
  <c r="JM190" i="47"/>
  <c r="JN190" i="47"/>
  <c r="IT191" i="47"/>
  <c r="IU191" i="47"/>
  <c r="IV191" i="47"/>
  <c r="IW191" i="47"/>
  <c r="IX191" i="47"/>
  <c r="IY191" i="47"/>
  <c r="IZ191" i="47"/>
  <c r="JA191" i="47"/>
  <c r="JB191" i="47"/>
  <c r="JC191" i="47"/>
  <c r="JD191" i="47"/>
  <c r="JE191" i="47"/>
  <c r="JF191" i="47"/>
  <c r="JG191" i="47"/>
  <c r="JH191" i="47"/>
  <c r="JI191" i="47"/>
  <c r="JJ191" i="47"/>
  <c r="JK191" i="47"/>
  <c r="JL191" i="47"/>
  <c r="JM191" i="47"/>
  <c r="JN191" i="47"/>
  <c r="IT192" i="47"/>
  <c r="IU192" i="47"/>
  <c r="IV192" i="47"/>
  <c r="IW192" i="47"/>
  <c r="IX192" i="47"/>
  <c r="IY192" i="47"/>
  <c r="IZ192" i="47"/>
  <c r="JA192" i="47"/>
  <c r="JB192" i="47"/>
  <c r="JC192" i="47"/>
  <c r="JD192" i="47"/>
  <c r="JE192" i="47"/>
  <c r="JF192" i="47"/>
  <c r="JG192" i="47"/>
  <c r="JH192" i="47"/>
  <c r="JI192" i="47"/>
  <c r="JJ192" i="47"/>
  <c r="JK192" i="47"/>
  <c r="JL192" i="47"/>
  <c r="JM192" i="47"/>
  <c r="JN192" i="47"/>
  <c r="IT193" i="47"/>
  <c r="IU193" i="47"/>
  <c r="IV193" i="47"/>
  <c r="IW193" i="47"/>
  <c r="IX193" i="47"/>
  <c r="IY193" i="47"/>
  <c r="IZ193" i="47"/>
  <c r="JA193" i="47"/>
  <c r="JB193" i="47"/>
  <c r="JC193" i="47"/>
  <c r="JD193" i="47"/>
  <c r="JE193" i="47"/>
  <c r="JF193" i="47"/>
  <c r="JG193" i="47"/>
  <c r="JH193" i="47"/>
  <c r="JI193" i="47"/>
  <c r="JJ193" i="47"/>
  <c r="JK193" i="47"/>
  <c r="JL193" i="47"/>
  <c r="JM193" i="47"/>
  <c r="JN193" i="47"/>
  <c r="IT196" i="47"/>
  <c r="IU196" i="47"/>
  <c r="IV196" i="47"/>
  <c r="IW196" i="47"/>
  <c r="IX196" i="47"/>
  <c r="IY196" i="47"/>
  <c r="IZ196" i="47"/>
  <c r="JA196" i="47"/>
  <c r="JB196" i="47"/>
  <c r="JC196" i="47"/>
  <c r="JD196" i="47"/>
  <c r="JE196" i="47"/>
  <c r="JF196" i="47"/>
  <c r="JG196" i="47"/>
  <c r="JH196" i="47"/>
  <c r="JI196" i="47"/>
  <c r="JJ196" i="47"/>
  <c r="JK196" i="47"/>
  <c r="JL196" i="47"/>
  <c r="JM196" i="47"/>
  <c r="JN196" i="47"/>
  <c r="IT197" i="47"/>
  <c r="IU197" i="47"/>
  <c r="IV197" i="47"/>
  <c r="IW197" i="47"/>
  <c r="IX197" i="47"/>
  <c r="IY197" i="47"/>
  <c r="IZ197" i="47"/>
  <c r="JA197" i="47"/>
  <c r="JB197" i="47"/>
  <c r="JC197" i="47"/>
  <c r="JD197" i="47"/>
  <c r="JE197" i="47"/>
  <c r="JF197" i="47"/>
  <c r="JG197" i="47"/>
  <c r="JH197" i="47"/>
  <c r="JI197" i="47"/>
  <c r="JJ197" i="47"/>
  <c r="JK197" i="47"/>
  <c r="JL197" i="47"/>
  <c r="JM197" i="47"/>
  <c r="JN197" i="47"/>
  <c r="IT198" i="47"/>
  <c r="IU198" i="47"/>
  <c r="IV198" i="47"/>
  <c r="IW198" i="47"/>
  <c r="IX198" i="47"/>
  <c r="IY198" i="47"/>
  <c r="IZ198" i="47"/>
  <c r="JA198" i="47"/>
  <c r="JB198" i="47"/>
  <c r="JC198" i="47"/>
  <c r="JD198" i="47"/>
  <c r="JE198" i="47"/>
  <c r="JF198" i="47"/>
  <c r="JG198" i="47"/>
  <c r="JH198" i="47"/>
  <c r="JI198" i="47"/>
  <c r="JJ198" i="47"/>
  <c r="JK198" i="47"/>
  <c r="JL198" i="47"/>
  <c r="JM198" i="47"/>
  <c r="JN198" i="47"/>
  <c r="IT199" i="47"/>
  <c r="IU199" i="47"/>
  <c r="IV199" i="47"/>
  <c r="IW199" i="47"/>
  <c r="IX199" i="47"/>
  <c r="IY199" i="47"/>
  <c r="IZ199" i="47"/>
  <c r="JA199" i="47"/>
  <c r="JB199" i="47"/>
  <c r="JC199" i="47"/>
  <c r="JD199" i="47"/>
  <c r="JE199" i="47"/>
  <c r="JF199" i="47"/>
  <c r="JG199" i="47"/>
  <c r="JH199" i="47"/>
  <c r="JI199" i="47"/>
  <c r="JJ199" i="47"/>
  <c r="JK199" i="47"/>
  <c r="JL199" i="47"/>
  <c r="JM199" i="47"/>
  <c r="JN199" i="47"/>
  <c r="IT202" i="47"/>
  <c r="IU202" i="47"/>
  <c r="IV202" i="47"/>
  <c r="IW202" i="47"/>
  <c r="IX202" i="47"/>
  <c r="IY202" i="47"/>
  <c r="IZ202" i="47"/>
  <c r="JA202" i="47"/>
  <c r="JB202" i="47"/>
  <c r="JC202" i="47"/>
  <c r="JD202" i="47"/>
  <c r="JE202" i="47"/>
  <c r="JF202" i="47"/>
  <c r="JG202" i="47"/>
  <c r="JH202" i="47"/>
  <c r="JI202" i="47"/>
  <c r="JJ202" i="47"/>
  <c r="JK202" i="47"/>
  <c r="JL202" i="47"/>
  <c r="JM202" i="47"/>
  <c r="JN202" i="47"/>
  <c r="IT203" i="47"/>
  <c r="IU203" i="47"/>
  <c r="IV203" i="47"/>
  <c r="IW203" i="47"/>
  <c r="IX203" i="47"/>
  <c r="IY203" i="47"/>
  <c r="IZ203" i="47"/>
  <c r="JA203" i="47"/>
  <c r="JB203" i="47"/>
  <c r="JC203" i="47"/>
  <c r="JD203" i="47"/>
  <c r="JE203" i="47"/>
  <c r="JF203" i="47"/>
  <c r="JG203" i="47"/>
  <c r="JH203" i="47"/>
  <c r="JI203" i="47"/>
  <c r="JJ203" i="47"/>
  <c r="JK203" i="47"/>
  <c r="JL203" i="47"/>
  <c r="JM203" i="47"/>
  <c r="JN203" i="47"/>
  <c r="IT204" i="47"/>
  <c r="IU204" i="47"/>
  <c r="IV204" i="47"/>
  <c r="IW204" i="47"/>
  <c r="IX204" i="47"/>
  <c r="IY204" i="47"/>
  <c r="IZ204" i="47"/>
  <c r="JA204" i="47"/>
  <c r="JB204" i="47"/>
  <c r="JC204" i="47"/>
  <c r="JD204" i="47"/>
  <c r="JE204" i="47"/>
  <c r="JF204" i="47"/>
  <c r="JG204" i="47"/>
  <c r="JH204" i="47"/>
  <c r="JI204" i="47"/>
  <c r="JJ204" i="47"/>
  <c r="JK204" i="47"/>
  <c r="JL204" i="47"/>
  <c r="JM204" i="47"/>
  <c r="JN204" i="47"/>
  <c r="IT205" i="47"/>
  <c r="IU205" i="47"/>
  <c r="IV205" i="47"/>
  <c r="IW205" i="47"/>
  <c r="IX205" i="47"/>
  <c r="IY205" i="47"/>
  <c r="IZ205" i="47"/>
  <c r="JA205" i="47"/>
  <c r="JB205" i="47"/>
  <c r="JC205" i="47"/>
  <c r="JD205" i="47"/>
  <c r="JE205" i="47"/>
  <c r="JF205" i="47"/>
  <c r="JG205" i="47"/>
  <c r="JH205" i="47"/>
  <c r="JI205" i="47"/>
  <c r="JJ205" i="47"/>
  <c r="JK205" i="47"/>
  <c r="JL205" i="47"/>
  <c r="JM205" i="47"/>
  <c r="JN205" i="47"/>
  <c r="IT208" i="47"/>
  <c r="IU208" i="47"/>
  <c r="IV208" i="47"/>
  <c r="IW208" i="47"/>
  <c r="IX208" i="47"/>
  <c r="IY208" i="47"/>
  <c r="IZ208" i="47"/>
  <c r="JA208" i="47"/>
  <c r="JB208" i="47"/>
  <c r="JC208" i="47"/>
  <c r="JD208" i="47"/>
  <c r="JE208" i="47"/>
  <c r="JF208" i="47"/>
  <c r="JG208" i="47"/>
  <c r="JH208" i="47"/>
  <c r="JI208" i="47"/>
  <c r="JJ208" i="47"/>
  <c r="JK208" i="47"/>
  <c r="JL208" i="47"/>
  <c r="JM208" i="47"/>
  <c r="JN208" i="47"/>
  <c r="IT209" i="47"/>
  <c r="IU209" i="47"/>
  <c r="IV209" i="47"/>
  <c r="IW209" i="47"/>
  <c r="IX209" i="47"/>
  <c r="IY209" i="47"/>
  <c r="IZ209" i="47"/>
  <c r="JA209" i="47"/>
  <c r="JB209" i="47"/>
  <c r="JC209" i="47"/>
  <c r="JD209" i="47"/>
  <c r="JE209" i="47"/>
  <c r="JF209" i="47"/>
  <c r="JG209" i="47"/>
  <c r="JH209" i="47"/>
  <c r="JI209" i="47"/>
  <c r="JJ209" i="47"/>
  <c r="JK209" i="47"/>
  <c r="JL209" i="47"/>
  <c r="JM209" i="47"/>
  <c r="JN209" i="47"/>
  <c r="IT210" i="47"/>
  <c r="IU210" i="47"/>
  <c r="IV210" i="47"/>
  <c r="IW210" i="47"/>
  <c r="IX210" i="47"/>
  <c r="IY210" i="47"/>
  <c r="IZ210" i="47"/>
  <c r="JA210" i="47"/>
  <c r="JB210" i="47"/>
  <c r="JC210" i="47"/>
  <c r="JD210" i="47"/>
  <c r="JE210" i="47"/>
  <c r="JF210" i="47"/>
  <c r="JG210" i="47"/>
  <c r="JH210" i="47"/>
  <c r="JI210" i="47"/>
  <c r="JJ210" i="47"/>
  <c r="JK210" i="47"/>
  <c r="JL210" i="47"/>
  <c r="JM210" i="47"/>
  <c r="JN210" i="47"/>
  <c r="IT211" i="47"/>
  <c r="IU211" i="47"/>
  <c r="IV211" i="47"/>
  <c r="IW211" i="47"/>
  <c r="IX211" i="47"/>
  <c r="IY211" i="47"/>
  <c r="IZ211" i="47"/>
  <c r="JA211" i="47"/>
  <c r="JB211" i="47"/>
  <c r="JC211" i="47"/>
  <c r="JD211" i="47"/>
  <c r="JE211" i="47"/>
  <c r="JF211" i="47"/>
  <c r="JG211" i="47"/>
  <c r="JH211" i="47"/>
  <c r="JI211" i="47"/>
  <c r="JJ211" i="47"/>
  <c r="JK211" i="47"/>
  <c r="JL211" i="47"/>
  <c r="JM211" i="47"/>
  <c r="JN211" i="47"/>
  <c r="JB109" i="47"/>
  <c r="IT107" i="47"/>
  <c r="IU107" i="47"/>
  <c r="IV107" i="47"/>
  <c r="IW107" i="47"/>
  <c r="IX107" i="47"/>
  <c r="IY107" i="47"/>
  <c r="IZ107" i="47"/>
  <c r="JA107" i="47"/>
  <c r="JB107" i="47"/>
  <c r="JC107" i="47"/>
  <c r="JD107" i="47"/>
  <c r="JE107" i="47"/>
  <c r="JF107" i="47"/>
  <c r="JG107" i="47"/>
  <c r="JH107" i="47"/>
  <c r="JI107" i="47"/>
  <c r="JJ107" i="47"/>
  <c r="JK107" i="47"/>
  <c r="JL107" i="47"/>
  <c r="JM107" i="47"/>
  <c r="JN107" i="47"/>
  <c r="IT108" i="47"/>
  <c r="IU108" i="47"/>
  <c r="IV108" i="47"/>
  <c r="IW108" i="47"/>
  <c r="IX108" i="47"/>
  <c r="IY108" i="47"/>
  <c r="IZ108" i="47"/>
  <c r="JA108" i="47"/>
  <c r="JB108" i="47"/>
  <c r="JC108" i="47"/>
  <c r="JD108" i="47"/>
  <c r="JE108" i="47"/>
  <c r="JF108" i="47"/>
  <c r="JG108" i="47"/>
  <c r="JH108" i="47"/>
  <c r="JI108" i="47"/>
  <c r="JJ108" i="47"/>
  <c r="JK108" i="47"/>
  <c r="JL108" i="47"/>
  <c r="JM108" i="47"/>
  <c r="JN108" i="47"/>
  <c r="IT109" i="47"/>
  <c r="IU109" i="47"/>
  <c r="IV109" i="47"/>
  <c r="IW109" i="47"/>
  <c r="IX109" i="47"/>
  <c r="IY109" i="47"/>
  <c r="IZ109" i="47"/>
  <c r="JA109" i="47"/>
  <c r="JC109" i="47"/>
  <c r="JD109" i="47"/>
  <c r="JE109" i="47"/>
  <c r="JF109" i="47"/>
  <c r="JG109" i="47"/>
  <c r="JH109" i="47"/>
  <c r="JI109" i="47"/>
  <c r="JJ109" i="47"/>
  <c r="JK109" i="47"/>
  <c r="JL109" i="47"/>
  <c r="JM109" i="47"/>
  <c r="JN109" i="47"/>
  <c r="JB106" i="47"/>
  <c r="JC106" i="47"/>
  <c r="JD106" i="47"/>
  <c r="JE106" i="47"/>
  <c r="JF106" i="47"/>
  <c r="JG106" i="47"/>
  <c r="JH106" i="47"/>
  <c r="JI106" i="47"/>
  <c r="JJ106" i="47"/>
  <c r="JK106" i="47"/>
  <c r="JL106" i="47"/>
  <c r="JM106" i="47"/>
  <c r="JN106" i="47"/>
  <c r="IU106" i="47"/>
  <c r="IV106" i="47"/>
  <c r="IW106" i="47"/>
  <c r="IX106" i="47"/>
  <c r="IY106" i="47"/>
  <c r="IZ106" i="47"/>
  <c r="JA106" i="47"/>
  <c r="IT106" i="47"/>
  <c r="AD226" i="47"/>
  <c r="AE226" i="47"/>
  <c r="AF226" i="47"/>
  <c r="AD227" i="47"/>
  <c r="AE227" i="47"/>
  <c r="AF227" i="47"/>
  <c r="AD228" i="47"/>
  <c r="AE228" i="47"/>
  <c r="AF228" i="47"/>
  <c r="AD229" i="47"/>
  <c r="AE229" i="47"/>
  <c r="AF229" i="47"/>
  <c r="AD230" i="47"/>
  <c r="AE230" i="47"/>
  <c r="AF230" i="47"/>
  <c r="AD231" i="47"/>
  <c r="AE231" i="47"/>
  <c r="AF231" i="47"/>
  <c r="AD232" i="47"/>
  <c r="AE232" i="47"/>
  <c r="AF232" i="47"/>
  <c r="AD233" i="47"/>
  <c r="AE233" i="47"/>
  <c r="AF233" i="47"/>
  <c r="AD234" i="47"/>
  <c r="AE234" i="47"/>
  <c r="AF234" i="47"/>
  <c r="AD235" i="47"/>
  <c r="AE235" i="47"/>
  <c r="AF235" i="47"/>
  <c r="AD236" i="47"/>
  <c r="AE236" i="47"/>
  <c r="AF236" i="47"/>
  <c r="AD237" i="47"/>
  <c r="AE237" i="47"/>
  <c r="AF237" i="47"/>
  <c r="AD238" i="47"/>
  <c r="AE238" i="47"/>
  <c r="AF238" i="47"/>
  <c r="AD239" i="47"/>
  <c r="AE239" i="47"/>
  <c r="AF239" i="47"/>
  <c r="AD240" i="47"/>
  <c r="AE240" i="47"/>
  <c r="AF240" i="47"/>
  <c r="O206" i="47" l="1"/>
  <c r="AJ230" i="47"/>
  <c r="AH225" i="47"/>
  <c r="O208" i="47"/>
  <c r="AJ231" i="47"/>
  <c r="AH228" i="47"/>
  <c r="AI225" i="47"/>
  <c r="AH239" i="47"/>
  <c r="AJ225" i="47"/>
  <c r="AI231" i="47"/>
  <c r="AJ236" i="47"/>
  <c r="AH238" i="47"/>
  <c r="AI236" i="47"/>
  <c r="AI230" i="47"/>
  <c r="AH237" i="47"/>
  <c r="AH226" i="47"/>
  <c r="AJ235" i="47"/>
  <c r="AJ229" i="47"/>
  <c r="AH236" i="47"/>
  <c r="AH227" i="47"/>
  <c r="AI235" i="47"/>
  <c r="AI229" i="47"/>
  <c r="AH235" i="47"/>
  <c r="AJ240" i="47"/>
  <c r="AJ234" i="47"/>
  <c r="AJ228" i="47"/>
  <c r="AH234" i="47"/>
  <c r="AI240" i="47"/>
  <c r="AI234" i="47"/>
  <c r="AI228" i="47"/>
  <c r="AH233" i="47"/>
  <c r="AJ239" i="47"/>
  <c r="AJ233" i="47"/>
  <c r="AJ227" i="47"/>
  <c r="AH232" i="47"/>
  <c r="AI239" i="47"/>
  <c r="AI233" i="47"/>
  <c r="AI227" i="47"/>
  <c r="AH231" i="47"/>
  <c r="AJ238" i="47"/>
  <c r="AJ232" i="47"/>
  <c r="AJ226" i="47"/>
  <c r="AH230" i="47"/>
  <c r="AI238" i="47"/>
  <c r="AI232" i="47"/>
  <c r="AI226" i="47"/>
  <c r="AH229" i="47"/>
  <c r="AJ237" i="47"/>
  <c r="AH240" i="47"/>
  <c r="AI237" i="47"/>
  <c r="O207" i="47"/>
  <c r="GX164" i="47"/>
  <c r="O235" i="47" l="1"/>
  <c r="O234" i="47"/>
  <c r="O233" i="47"/>
  <c r="HB166" i="47"/>
  <c r="GY167" i="47"/>
  <c r="HB167" i="47" s="1"/>
  <c r="HC166" i="47"/>
  <c r="GZ166" i="47"/>
  <c r="HC165" i="47"/>
  <c r="HB165" i="47"/>
  <c r="GZ165" i="47"/>
  <c r="AT18" i="46"/>
  <c r="HC167" i="47" l="1"/>
  <c r="GZ168" i="47"/>
  <c r="HB168" i="47"/>
  <c r="L220" i="47" l="1"/>
  <c r="M220" i="47" l="1"/>
  <c r="N220" i="47"/>
  <c r="AB226" i="47"/>
  <c r="AB227" i="47"/>
  <c r="AB228" i="47"/>
  <c r="AB229" i="47"/>
  <c r="AB230" i="47"/>
  <c r="AB231" i="47"/>
  <c r="AB232" i="47"/>
  <c r="AB233" i="47"/>
  <c r="AB234" i="47"/>
  <c r="AB235" i="47"/>
  <c r="AB236" i="47"/>
  <c r="AB237" i="47"/>
  <c r="AB238" i="47"/>
  <c r="AB239" i="47"/>
  <c r="AB240" i="47"/>
  <c r="W224" i="47"/>
  <c r="E239" i="47"/>
  <c r="R252" i="47"/>
  <c r="P252" i="47"/>
  <c r="S252" i="47" s="1"/>
  <c r="P224" i="47"/>
  <c r="S224" i="47" s="1"/>
  <c r="AA225" i="47" l="1"/>
  <c r="AB225" i="47" s="1"/>
  <c r="O236" i="47" s="1"/>
  <c r="Z225" i="47"/>
  <c r="Z233" i="47"/>
  <c r="Z232" i="47"/>
  <c r="Z231" i="47"/>
  <c r="Z230" i="47"/>
  <c r="Z229" i="47"/>
  <c r="Z228" i="47"/>
  <c r="Z227" i="47"/>
  <c r="Z240" i="47"/>
  <c r="Z239" i="47"/>
  <c r="Z226" i="47"/>
  <c r="Z238" i="47"/>
  <c r="Z235" i="47"/>
  <c r="Z237" i="47"/>
  <c r="Z236" i="47"/>
  <c r="Z234" i="47"/>
  <c r="AA230" i="47"/>
  <c r="AA238" i="47"/>
  <c r="AA226" i="47"/>
  <c r="AA239" i="47"/>
  <c r="AA228" i="47"/>
  <c r="AA229" i="47"/>
  <c r="AA231" i="47"/>
  <c r="AA232" i="47"/>
  <c r="AA233" i="47"/>
  <c r="AA237" i="47"/>
  <c r="AA227" i="47"/>
  <c r="AA240" i="47"/>
  <c r="AA234" i="47"/>
  <c r="AA235" i="47"/>
  <c r="AA236" i="47"/>
  <c r="R234" i="47"/>
  <c r="R235" i="47"/>
  <c r="R236" i="47"/>
  <c r="R240" i="47"/>
  <c r="R245" i="47"/>
  <c r="R246" i="47"/>
  <c r="R247" i="47"/>
  <c r="R248" i="47"/>
  <c r="R249" i="47"/>
  <c r="R250" i="47"/>
  <c r="R233" i="47"/>
  <c r="P238" i="47"/>
  <c r="S238" i="47" s="1"/>
  <c r="L231" i="47"/>
  <c r="P251" i="47"/>
  <c r="S251" i="47" s="1"/>
  <c r="P249" i="47"/>
  <c r="S249" i="47" s="1"/>
  <c r="P248" i="47"/>
  <c r="S248" i="47" s="1"/>
  <c r="P247" i="47"/>
  <c r="S247" i="47" s="1"/>
  <c r="F254" i="47"/>
  <c r="P237" i="47"/>
  <c r="S237" i="47" s="1"/>
  <c r="N237" i="47"/>
  <c r="M237" i="47"/>
  <c r="P236" i="47"/>
  <c r="S236" i="47" s="1"/>
  <c r="N236" i="47"/>
  <c r="M236" i="47"/>
  <c r="U235" i="47"/>
  <c r="P235" i="47"/>
  <c r="N235" i="47"/>
  <c r="M235" i="47"/>
  <c r="U234" i="47"/>
  <c r="P234" i="47"/>
  <c r="S234" i="47" s="1"/>
  <c r="T234" i="47" s="1"/>
  <c r="N234" i="47"/>
  <c r="M234" i="47"/>
  <c r="F234" i="47"/>
  <c r="U233" i="47"/>
  <c r="P233" i="47"/>
  <c r="N233" i="47"/>
  <c r="M233" i="47"/>
  <c r="O251" i="47" l="1"/>
  <c r="O245" i="47"/>
  <c r="O253" i="47"/>
  <c r="O254" i="47" s="1"/>
  <c r="O248" i="47"/>
  <c r="O250" i="47"/>
  <c r="O246" i="47"/>
  <c r="O252" i="47" s="1"/>
  <c r="U245" i="47"/>
  <c r="S235" i="47"/>
  <c r="T235" i="47" s="1"/>
  <c r="S233" i="47"/>
  <c r="T233" i="47" s="1"/>
  <c r="U250" i="47"/>
  <c r="U249" i="47"/>
  <c r="T251" i="47"/>
  <c r="P246" i="47"/>
  <c r="S246" i="47" s="1"/>
  <c r="Q234" i="47"/>
  <c r="U240" i="47"/>
  <c r="P245" i="47"/>
  <c r="S245" i="47" s="1"/>
  <c r="M240" i="47"/>
  <c r="P240" i="47"/>
  <c r="S240" i="47" s="1"/>
  <c r="N240" i="47"/>
  <c r="Q233" i="47"/>
  <c r="F248" i="47"/>
  <c r="P250" i="47"/>
  <c r="S250" i="47" s="1"/>
  <c r="Q236" i="47"/>
  <c r="Q235" i="47"/>
  <c r="M238" i="47"/>
  <c r="U236" i="47"/>
  <c r="N238" i="47"/>
  <c r="T236" i="47" l="1"/>
  <c r="O239" i="47"/>
  <c r="T248" i="47"/>
  <c r="O238" i="47"/>
  <c r="O237" i="47"/>
  <c r="Q237" i="47" s="1"/>
  <c r="U251" i="47"/>
  <c r="Q251" i="47"/>
  <c r="T245" i="47"/>
  <c r="Q245" i="47"/>
  <c r="Q240" i="47"/>
  <c r="T240" i="47"/>
  <c r="T249" i="47"/>
  <c r="Q249" i="47"/>
  <c r="T250" i="47"/>
  <c r="Q250" i="47"/>
  <c r="T237" i="47" l="1"/>
  <c r="U248" i="47"/>
  <c r="Q239" i="47"/>
  <c r="O255" i="47"/>
  <c r="O247" i="47"/>
  <c r="U238" i="47"/>
  <c r="Q248" i="47"/>
  <c r="U237" i="47"/>
  <c r="U239" i="47"/>
  <c r="T239" i="47"/>
  <c r="Q238" i="47"/>
  <c r="T238" i="47"/>
  <c r="T253" i="47"/>
  <c r="U253" i="47"/>
  <c r="Q253" i="47"/>
  <c r="U206" i="47"/>
  <c r="Q255" i="47" l="1"/>
  <c r="T255" i="47"/>
  <c r="U255" i="47"/>
  <c r="T254" i="47"/>
  <c r="Q254" i="47"/>
  <c r="U254" i="47"/>
  <c r="R210" i="47"/>
  <c r="R221" i="47"/>
  <c r="R222" i="47"/>
  <c r="L204" i="47"/>
  <c r="F207" i="47" l="1"/>
  <c r="P220" i="47"/>
  <c r="S220" i="47" s="1"/>
  <c r="P221" i="47" l="1"/>
  <c r="S221" i="47" s="1"/>
  <c r="P222" i="47"/>
  <c r="S222" i="47" s="1"/>
  <c r="AF205" i="47"/>
  <c r="AF206" i="47"/>
  <c r="AF207" i="47"/>
  <c r="AF208" i="47"/>
  <c r="AF209" i="47"/>
  <c r="AF210" i="47"/>
  <c r="AF211" i="47"/>
  <c r="AF212" i="47"/>
  <c r="AF213" i="47"/>
  <c r="AF214" i="47"/>
  <c r="AF215" i="47"/>
  <c r="AF216" i="47"/>
  <c r="AF217" i="47"/>
  <c r="AF218" i="47"/>
  <c r="O209" i="47" l="1"/>
  <c r="V207" i="47"/>
  <c r="V208" i="47"/>
  <c r="V209" i="47"/>
  <c r="V206" i="47"/>
  <c r="W207" i="47"/>
  <c r="O211" i="47" l="1"/>
  <c r="O210" i="47"/>
  <c r="O218" i="47"/>
  <c r="O223" i="47"/>
  <c r="O224" i="47"/>
  <c r="O225" i="47"/>
  <c r="O226" i="47" s="1"/>
  <c r="O222" i="47"/>
  <c r="O219" i="47"/>
  <c r="V203" i="47"/>
  <c r="U213" i="47" l="1"/>
  <c r="X168" i="47"/>
  <c r="X152" i="47"/>
  <c r="X146" i="47"/>
  <c r="X147" i="47"/>
  <c r="X148" i="47"/>
  <c r="X149" i="47"/>
  <c r="X150" i="47"/>
  <c r="X151" i="47"/>
  <c r="X153" i="47"/>
  <c r="X154" i="47"/>
  <c r="X155" i="47"/>
  <c r="X156" i="47"/>
  <c r="X157" i="47"/>
  <c r="X158" i="47"/>
  <c r="E187" i="47"/>
  <c r="W177" i="47" s="1"/>
  <c r="E159" i="47"/>
  <c r="R207" i="47"/>
  <c r="R208" i="47"/>
  <c r="R209" i="47"/>
  <c r="R212" i="47"/>
  <c r="R213" i="47"/>
  <c r="R217" i="47"/>
  <c r="R218" i="47"/>
  <c r="R219" i="47"/>
  <c r="R220" i="47"/>
  <c r="R223" i="47"/>
  <c r="R206" i="47"/>
  <c r="M207" i="47"/>
  <c r="M208" i="47"/>
  <c r="M209" i="47"/>
  <c r="M210" i="47"/>
  <c r="M211" i="47"/>
  <c r="M216" i="47"/>
  <c r="M206" i="47"/>
  <c r="M212" i="47"/>
  <c r="W143" i="47" l="1"/>
  <c r="X143" i="47" s="1"/>
  <c r="W147" i="47"/>
  <c r="AE209" i="47"/>
  <c r="AE215" i="47"/>
  <c r="AE211" i="47"/>
  <c r="AE214" i="47"/>
  <c r="W208" i="47"/>
  <c r="W209" i="47"/>
  <c r="AE218" i="47"/>
  <c r="W206" i="47"/>
  <c r="AE205" i="47"/>
  <c r="AE216" i="47"/>
  <c r="AE206" i="47"/>
  <c r="AE212" i="47"/>
  <c r="AE207" i="47"/>
  <c r="AE213" i="47"/>
  <c r="AE210" i="47"/>
  <c r="AE208" i="47"/>
  <c r="AE217" i="47"/>
  <c r="X210" i="47"/>
  <c r="X212" i="47"/>
  <c r="X201" i="47"/>
  <c r="X213" i="47"/>
  <c r="X202" i="47"/>
  <c r="X214" i="47"/>
  <c r="X206" i="47"/>
  <c r="X208" i="47"/>
  <c r="X211" i="47"/>
  <c r="X203" i="47"/>
  <c r="X215" i="47"/>
  <c r="X204" i="47"/>
  <c r="X200" i="47"/>
  <c r="X205" i="47"/>
  <c r="X207" i="47"/>
  <c r="X209" i="47"/>
  <c r="W182" i="47"/>
  <c r="W171" i="47"/>
  <c r="W176" i="47"/>
  <c r="W175" i="47"/>
  <c r="W154" i="47"/>
  <c r="W174" i="47"/>
  <c r="W155" i="47"/>
  <c r="W170" i="47"/>
  <c r="W144" i="47"/>
  <c r="X144" i="47" s="1"/>
  <c r="W156" i="47"/>
  <c r="W149" i="47"/>
  <c r="W173" i="47"/>
  <c r="W157" i="47"/>
  <c r="W150" i="47"/>
  <c r="W167" i="47"/>
  <c r="X167" i="47" s="1"/>
  <c r="W172" i="47"/>
  <c r="W148" i="47"/>
  <c r="W153" i="47"/>
  <c r="W180" i="47"/>
  <c r="W168" i="47"/>
  <c r="W146" i="47"/>
  <c r="W178" i="47"/>
  <c r="W181" i="47"/>
  <c r="W169" i="47"/>
  <c r="W152" i="47"/>
  <c r="W179" i="47"/>
  <c r="W158" i="47"/>
  <c r="W151" i="47"/>
  <c r="W145" i="47"/>
  <c r="X145" i="47" s="1"/>
  <c r="W203" i="47" l="1"/>
  <c r="O185" i="47"/>
  <c r="U209" i="47"/>
  <c r="O186" i="47"/>
  <c r="P223" i="47"/>
  <c r="S223" i="47" s="1"/>
  <c r="P219" i="47"/>
  <c r="S219" i="47" s="1"/>
  <c r="P217" i="47"/>
  <c r="S217" i="47" s="1"/>
  <c r="P213" i="47"/>
  <c r="S213" i="47" s="1"/>
  <c r="U212" i="47"/>
  <c r="N212" i="47"/>
  <c r="P211" i="47"/>
  <c r="S211" i="47" s="1"/>
  <c r="N211" i="47"/>
  <c r="P210" i="47"/>
  <c r="S210" i="47" s="1"/>
  <c r="N210" i="47"/>
  <c r="P209" i="47"/>
  <c r="S209" i="47" s="1"/>
  <c r="N209" i="47"/>
  <c r="P208" i="47"/>
  <c r="S208" i="47" s="1"/>
  <c r="N208" i="47"/>
  <c r="P207" i="47"/>
  <c r="S207" i="47" s="1"/>
  <c r="U207" i="47"/>
  <c r="N207" i="47"/>
  <c r="P206" i="47"/>
  <c r="S206" i="47" s="1"/>
  <c r="N206" i="47"/>
  <c r="O194" i="47" l="1"/>
  <c r="O193" i="47"/>
  <c r="U225" i="47"/>
  <c r="Q225" i="47"/>
  <c r="T225" i="47"/>
  <c r="O220" i="47"/>
  <c r="O221" i="47"/>
  <c r="O214" i="47"/>
  <c r="O217" i="47" s="1"/>
  <c r="T207" i="47"/>
  <c r="F226" i="47"/>
  <c r="P218" i="47"/>
  <c r="S218" i="47" s="1"/>
  <c r="N213" i="47"/>
  <c r="Q206" i="47"/>
  <c r="T208" i="47"/>
  <c r="Q207" i="47"/>
  <c r="Q208" i="47"/>
  <c r="N216" i="47"/>
  <c r="T206" i="47"/>
  <c r="T209" i="47"/>
  <c r="P212" i="47"/>
  <c r="S212" i="47" s="1"/>
  <c r="P216" i="47"/>
  <c r="S216" i="47" s="1"/>
  <c r="U208" i="47"/>
  <c r="Q209" i="47"/>
  <c r="P14" i="46"/>
  <c r="P38" i="46"/>
  <c r="P39" i="46"/>
  <c r="P40" i="46"/>
  <c r="P46" i="46"/>
  <c r="P47" i="46"/>
  <c r="P49" i="46"/>
  <c r="N38" i="46"/>
  <c r="N39" i="46"/>
  <c r="N40" i="46"/>
  <c r="N46" i="46"/>
  <c r="N47" i="46"/>
  <c r="N49" i="46"/>
  <c r="M38" i="46"/>
  <c r="M39" i="46"/>
  <c r="M40" i="46"/>
  <c r="M46" i="46"/>
  <c r="M47" i="46"/>
  <c r="M49" i="46"/>
  <c r="P5" i="46"/>
  <c r="P7" i="46"/>
  <c r="P21" i="46"/>
  <c r="P22" i="46"/>
  <c r="P24" i="46"/>
  <c r="N5" i="46"/>
  <c r="N7" i="46"/>
  <c r="N21" i="46"/>
  <c r="N22" i="46"/>
  <c r="N24" i="46"/>
  <c r="M5" i="46"/>
  <c r="M7" i="46"/>
  <c r="M21" i="46"/>
  <c r="M22" i="46"/>
  <c r="M24" i="46"/>
  <c r="O216" i="47" l="1"/>
  <c r="O215" i="47"/>
  <c r="U226" i="47"/>
  <c r="Q226" i="47"/>
  <c r="T226" i="47"/>
  <c r="M14" i="46"/>
  <c r="N14" i="46"/>
  <c r="U246" i="47"/>
  <c r="Q246" i="47"/>
  <c r="T246" i="47"/>
  <c r="U221" i="47"/>
  <c r="T221" i="47"/>
  <c r="Q221" i="47"/>
  <c r="U222" i="47"/>
  <c r="Q222" i="47"/>
  <c r="T222" i="47"/>
  <c r="Q213" i="47"/>
  <c r="T213" i="47"/>
  <c r="Q211" i="47"/>
  <c r="T211" i="47"/>
  <c r="U211" i="47"/>
  <c r="T210" i="47"/>
  <c r="U210" i="47"/>
  <c r="Q210" i="47"/>
  <c r="T212" i="47"/>
  <c r="Q212" i="47"/>
  <c r="L164" i="46"/>
  <c r="L167" i="46" s="1"/>
  <c r="L163" i="46"/>
  <c r="L131" i="46"/>
  <c r="L135" i="46" s="1"/>
  <c r="L120" i="46"/>
  <c r="L119" i="46"/>
  <c r="L118" i="46"/>
  <c r="L121" i="46" s="1"/>
  <c r="L117" i="46"/>
  <c r="L93" i="46"/>
  <c r="L96" i="46" s="1"/>
  <c r="L68" i="46"/>
  <c r="L71" i="46" s="1"/>
  <c r="L42" i="46"/>
  <c r="L45" i="46" s="1"/>
  <c r="L17" i="46"/>
  <c r="L20" i="46" s="1"/>
  <c r="Q214" i="47" l="1"/>
  <c r="T217" i="47"/>
  <c r="U214" i="47"/>
  <c r="T214" i="47"/>
  <c r="T216" i="47"/>
  <c r="U216" i="47"/>
  <c r="N41" i="46"/>
  <c r="M41" i="46"/>
  <c r="P41" i="46"/>
  <c r="P42" i="46"/>
  <c r="N42" i="46"/>
  <c r="M42" i="46"/>
  <c r="U224" i="47"/>
  <c r="T224" i="47"/>
  <c r="Q224" i="47"/>
  <c r="Q252" i="47"/>
  <c r="T252" i="47"/>
  <c r="U252" i="47"/>
  <c r="T247" i="47"/>
  <c r="Q247" i="47"/>
  <c r="U247" i="47"/>
  <c r="Q216" i="47"/>
  <c r="U217" i="47"/>
  <c r="U223" i="47"/>
  <c r="T223" i="47"/>
  <c r="Q223" i="47"/>
  <c r="P17" i="46"/>
  <c r="M17" i="46"/>
  <c r="N17" i="46"/>
  <c r="N16" i="46"/>
  <c r="P16" i="46"/>
  <c r="S16" i="46" s="1"/>
  <c r="M16" i="46"/>
  <c r="O164" i="48"/>
  <c r="Q217" i="47" l="1"/>
  <c r="T215" i="47"/>
  <c r="U215" i="47"/>
  <c r="Q215" i="47"/>
  <c r="U256" i="47"/>
  <c r="T256" i="47"/>
  <c r="M55" i="48"/>
  <c r="N55" i="48"/>
  <c r="P55" i="48"/>
  <c r="S55" i="48" s="1"/>
  <c r="R55" i="48"/>
  <c r="M87" i="48"/>
  <c r="N87" i="48"/>
  <c r="P87" i="48"/>
  <c r="S87" i="48" s="1"/>
  <c r="R87" i="48"/>
  <c r="M119" i="48"/>
  <c r="N119" i="48"/>
  <c r="P119" i="48"/>
  <c r="S119" i="48" s="1"/>
  <c r="R119" i="48"/>
  <c r="M151" i="48"/>
  <c r="N151" i="48"/>
  <c r="P151" i="48"/>
  <c r="S151" i="48" s="1"/>
  <c r="R151" i="48"/>
  <c r="M181" i="48"/>
  <c r="N181" i="48"/>
  <c r="P181" i="48"/>
  <c r="R181" i="48"/>
  <c r="M242" i="48"/>
  <c r="N242" i="48"/>
  <c r="P242" i="48"/>
  <c r="R242" i="48"/>
  <c r="M273" i="48"/>
  <c r="N273" i="48"/>
  <c r="P273" i="48"/>
  <c r="R273" i="48"/>
  <c r="M23" i="48"/>
  <c r="N23" i="48"/>
  <c r="P23" i="48"/>
  <c r="S23" i="48" s="1"/>
  <c r="R23" i="48"/>
  <c r="S181" i="48" l="1"/>
  <c r="S242" i="48"/>
  <c r="S273" i="48"/>
  <c r="R255" i="48"/>
  <c r="R221" i="48"/>
  <c r="R220" i="48"/>
  <c r="D14" i="48" l="1"/>
  <c r="D45" i="48"/>
  <c r="P69" i="44" l="1"/>
  <c r="R69" i="44"/>
  <c r="M69" i="44"/>
  <c r="N69" i="44"/>
  <c r="O69" i="44"/>
  <c r="U69" i="44" s="1"/>
  <c r="P46" i="44"/>
  <c r="R46" i="44"/>
  <c r="M46" i="44"/>
  <c r="N46" i="44"/>
  <c r="O46" i="44"/>
  <c r="U46" i="44" s="1"/>
  <c r="O21" i="44"/>
  <c r="M21" i="44"/>
  <c r="N21" i="44"/>
  <c r="P21" i="44"/>
  <c r="S21" i="44" s="1"/>
  <c r="R21" i="44"/>
  <c r="Q46" i="44" l="1"/>
  <c r="Q69" i="44"/>
  <c r="Q21" i="44"/>
  <c r="S69" i="44"/>
  <c r="T69" i="44" s="1"/>
  <c r="S46" i="44"/>
  <c r="T46" i="44" s="1"/>
  <c r="U21" i="44"/>
  <c r="T21" i="44"/>
  <c r="L257" i="48"/>
  <c r="P257" i="48" s="1"/>
  <c r="S257" i="48" s="1"/>
  <c r="L258" i="48"/>
  <c r="P258" i="48" s="1"/>
  <c r="S258" i="48" s="1"/>
  <c r="R197" i="47" l="1"/>
  <c r="R198" i="47"/>
  <c r="R199" i="47"/>
  <c r="R200" i="47"/>
  <c r="R201" i="47"/>
  <c r="R202" i="47"/>
  <c r="Z23" i="46" l="1"/>
  <c r="Z25" i="46"/>
  <c r="Z27" i="46"/>
  <c r="Z35" i="46"/>
  <c r="Z24" i="46"/>
  <c r="Z26" i="46"/>
  <c r="Z28" i="46"/>
  <c r="Z30" i="46"/>
  <c r="Z32" i="46"/>
  <c r="Z34" i="46"/>
  <c r="Z36" i="46"/>
  <c r="Z38" i="46"/>
  <c r="Z37" i="46"/>
  <c r="Z31" i="46"/>
  <c r="Z29" i="46"/>
  <c r="Z33" i="46"/>
  <c r="P48" i="46"/>
  <c r="M48" i="46"/>
  <c r="N48" i="46"/>
  <c r="M28" i="46"/>
  <c r="P28" i="46"/>
  <c r="N28" i="46"/>
  <c r="M23" i="46"/>
  <c r="P23" i="46"/>
  <c r="N23" i="46"/>
  <c r="L3" i="48"/>
  <c r="M3" i="48" l="1"/>
  <c r="N3" i="48"/>
  <c r="J14" i="48"/>
  <c r="J45" i="48"/>
  <c r="J77" i="48"/>
  <c r="J110" i="48"/>
  <c r="J141" i="48"/>
  <c r="J174" i="48"/>
  <c r="J231" i="48"/>
  <c r="J266" i="48"/>
  <c r="L255" i="48"/>
  <c r="O255" i="48" s="1"/>
  <c r="L220" i="48"/>
  <c r="D266" i="48"/>
  <c r="D231" i="48"/>
  <c r="L163" i="48"/>
  <c r="O163" i="48" s="1"/>
  <c r="D174" i="48"/>
  <c r="L131" i="48"/>
  <c r="D110" i="48"/>
  <c r="L99" i="48"/>
  <c r="D141" i="48"/>
  <c r="D77" i="48"/>
  <c r="L67" i="48"/>
  <c r="O67" i="48" s="1"/>
  <c r="L35" i="48"/>
  <c r="O35" i="48" s="1"/>
  <c r="O189" i="48"/>
  <c r="U189" i="48" s="1"/>
  <c r="M189" i="48"/>
  <c r="N189" i="48"/>
  <c r="P189" i="48"/>
  <c r="S189" i="48" s="1"/>
  <c r="R189" i="48"/>
  <c r="O159" i="48"/>
  <c r="U159" i="48" s="1"/>
  <c r="M159" i="48"/>
  <c r="N159" i="48"/>
  <c r="P159" i="48"/>
  <c r="R159" i="48"/>
  <c r="O127" i="48"/>
  <c r="U127" i="48" s="1"/>
  <c r="M127" i="48"/>
  <c r="N127" i="48"/>
  <c r="P127" i="48"/>
  <c r="S127" i="48" s="1"/>
  <c r="R127" i="48"/>
  <c r="O95" i="48"/>
  <c r="U95" i="48" s="1"/>
  <c r="M95" i="48"/>
  <c r="N95" i="48"/>
  <c r="P95" i="48"/>
  <c r="S95" i="48" s="1"/>
  <c r="R95" i="48"/>
  <c r="R63" i="48"/>
  <c r="O63" i="48"/>
  <c r="M63" i="48"/>
  <c r="N63" i="48"/>
  <c r="P63" i="48"/>
  <c r="S63" i="48" s="1"/>
  <c r="O31" i="48"/>
  <c r="M31" i="48"/>
  <c r="N31" i="48"/>
  <c r="P31" i="48"/>
  <c r="S31" i="48" s="1"/>
  <c r="R31" i="48"/>
  <c r="O30" i="48"/>
  <c r="Q159" i="48" l="1"/>
  <c r="S159" i="48"/>
  <c r="T159" i="48" s="1"/>
  <c r="T95" i="48"/>
  <c r="T189" i="48"/>
  <c r="T127" i="48"/>
  <c r="Q189" i="48"/>
  <c r="Q127" i="48"/>
  <c r="Q95" i="48"/>
  <c r="Q63" i="48"/>
  <c r="U63" i="48"/>
  <c r="T63" i="48"/>
  <c r="Q31" i="48"/>
  <c r="U31" i="48"/>
  <c r="T31" i="48"/>
  <c r="O23" i="46" l="1"/>
  <c r="U23" i="46" s="1"/>
  <c r="O48" i="46"/>
  <c r="U48" i="46" s="1"/>
  <c r="O74" i="46"/>
  <c r="O99" i="46"/>
  <c r="O124" i="46"/>
  <c r="O170" i="46"/>
  <c r="O168" i="46"/>
  <c r="O169" i="46" s="1"/>
  <c r="O122" i="46"/>
  <c r="O123" i="46" s="1"/>
  <c r="O97" i="46"/>
  <c r="O98" i="46" s="1"/>
  <c r="O72" i="46"/>
  <c r="O73" i="46" s="1"/>
  <c r="O46" i="46"/>
  <c r="O21" i="46"/>
  <c r="L166" i="46"/>
  <c r="L165" i="46"/>
  <c r="L94" i="46"/>
  <c r="L92" i="46"/>
  <c r="L70" i="46"/>
  <c r="L69" i="46"/>
  <c r="L67" i="46"/>
  <c r="L44" i="46"/>
  <c r="L43" i="46"/>
  <c r="L18" i="46"/>
  <c r="L19" i="46"/>
  <c r="O20" i="46"/>
  <c r="S39" i="46"/>
  <c r="R39" i="46"/>
  <c r="AN3" i="46" l="1"/>
  <c r="U16" i="46"/>
  <c r="Y37" i="46"/>
  <c r="Y27" i="46"/>
  <c r="Y23" i="46"/>
  <c r="Y25" i="46"/>
  <c r="Y24" i="46"/>
  <c r="Y26" i="46"/>
  <c r="Y28" i="46"/>
  <c r="Y30" i="46"/>
  <c r="Y32" i="46"/>
  <c r="Y34" i="46"/>
  <c r="Y36" i="46"/>
  <c r="Y38" i="46"/>
  <c r="Y33" i="46"/>
  <c r="Y35" i="46"/>
  <c r="Y29" i="46"/>
  <c r="Y31" i="46"/>
  <c r="AN13" i="46"/>
  <c r="AN5" i="46"/>
  <c r="AN15" i="46"/>
  <c r="AN4" i="46"/>
  <c r="AN6" i="46"/>
  <c r="AN8" i="46"/>
  <c r="AN10" i="46"/>
  <c r="AN12" i="46"/>
  <c r="AN14" i="46"/>
  <c r="AN16" i="46"/>
  <c r="AN18" i="46"/>
  <c r="AN17" i="46"/>
  <c r="AN9" i="46"/>
  <c r="AN7" i="46"/>
  <c r="AN11" i="46"/>
  <c r="P43" i="46"/>
  <c r="M43" i="46"/>
  <c r="N43" i="46"/>
  <c r="P36" i="46"/>
  <c r="N36" i="46"/>
  <c r="M36" i="46"/>
  <c r="M44" i="46"/>
  <c r="P44" i="46"/>
  <c r="N44" i="46"/>
  <c r="N3" i="46"/>
  <c r="M3" i="46"/>
  <c r="P3" i="46"/>
  <c r="P15" i="46"/>
  <c r="N15" i="46"/>
  <c r="M15" i="46"/>
  <c r="N18" i="46"/>
  <c r="P18" i="46"/>
  <c r="M18" i="46"/>
  <c r="M19" i="46"/>
  <c r="N19" i="46"/>
  <c r="P19" i="46"/>
  <c r="O22" i="46"/>
  <c r="U22" i="46" s="1"/>
  <c r="U21" i="46"/>
  <c r="O47" i="46"/>
  <c r="U47" i="46" s="1"/>
  <c r="U46" i="46"/>
  <c r="O11" i="46" l="1"/>
  <c r="AM21" i="46"/>
  <c r="AO3" i="46"/>
  <c r="AO4" i="46"/>
  <c r="AO6" i="46"/>
  <c r="AO8" i="46"/>
  <c r="AO10" i="46"/>
  <c r="AO12" i="46"/>
  <c r="AO14" i="46"/>
  <c r="AO16" i="46"/>
  <c r="AO18" i="46"/>
  <c r="AO5" i="46"/>
  <c r="AO7" i="46"/>
  <c r="AO9" i="46"/>
  <c r="AO11" i="46"/>
  <c r="AO13" i="46"/>
  <c r="AO15" i="46"/>
  <c r="AO17" i="46"/>
  <c r="AR5" i="46"/>
  <c r="AR7" i="46"/>
  <c r="AR9" i="46"/>
  <c r="AR11" i="46"/>
  <c r="AR13" i="46"/>
  <c r="AR15" i="46"/>
  <c r="AR17" i="46"/>
  <c r="AR4" i="46"/>
  <c r="AR6" i="46"/>
  <c r="AR8" i="46"/>
  <c r="AR10" i="46"/>
  <c r="AR12" i="46"/>
  <c r="AR14" i="46"/>
  <c r="AR16" i="46"/>
  <c r="AR18" i="46"/>
  <c r="AM3" i="46"/>
  <c r="AM4" i="46"/>
  <c r="AM6" i="46"/>
  <c r="AM8" i="46"/>
  <c r="AM10" i="46"/>
  <c r="AM12" i="46"/>
  <c r="AM14" i="46"/>
  <c r="AM16" i="46"/>
  <c r="AM18" i="46"/>
  <c r="AM5" i="46"/>
  <c r="AM7" i="46"/>
  <c r="AM9" i="46"/>
  <c r="AM11" i="46"/>
  <c r="AM13" i="46"/>
  <c r="AM15" i="46"/>
  <c r="AM17" i="46"/>
  <c r="N45" i="46"/>
  <c r="M45" i="46"/>
  <c r="P45" i="46"/>
  <c r="N4" i="46"/>
  <c r="M4" i="46"/>
  <c r="P4" i="46"/>
  <c r="N8" i="46"/>
  <c r="M8" i="46"/>
  <c r="P8" i="46"/>
  <c r="P11" i="46"/>
  <c r="N11" i="46"/>
  <c r="M11" i="46"/>
  <c r="P20" i="46"/>
  <c r="M20" i="46"/>
  <c r="N20" i="46"/>
  <c r="U20" i="46"/>
  <c r="Y210" i="48"/>
  <c r="Z209" i="48"/>
  <c r="Y209" i="48"/>
  <c r="X209" i="48"/>
  <c r="W210" i="48"/>
  <c r="X210" i="48"/>
  <c r="Z210" i="48"/>
  <c r="W211" i="48"/>
  <c r="X211" i="48"/>
  <c r="Y211" i="48"/>
  <c r="Z211" i="48"/>
  <c r="W212" i="48"/>
  <c r="X212" i="48"/>
  <c r="Y212" i="48"/>
  <c r="Z212" i="48"/>
  <c r="W213" i="48"/>
  <c r="X213" i="48"/>
  <c r="Y213" i="48"/>
  <c r="Z213" i="48"/>
  <c r="W214" i="48"/>
  <c r="X214" i="48"/>
  <c r="Y214" i="48"/>
  <c r="Z214" i="48"/>
  <c r="W215" i="48"/>
  <c r="X215" i="48"/>
  <c r="Y215" i="48"/>
  <c r="Z215" i="48"/>
  <c r="W216" i="48"/>
  <c r="X216" i="48"/>
  <c r="Y216" i="48"/>
  <c r="Z216" i="48"/>
  <c r="W217" i="48"/>
  <c r="X217" i="48"/>
  <c r="Y217" i="48"/>
  <c r="Z217" i="48"/>
  <c r="W218" i="48"/>
  <c r="X218" i="48"/>
  <c r="Y218" i="48"/>
  <c r="Z218" i="48"/>
  <c r="W219" i="48"/>
  <c r="X219" i="48"/>
  <c r="Y219" i="48"/>
  <c r="Z219" i="48"/>
  <c r="W220" i="48"/>
  <c r="X220" i="48"/>
  <c r="Y220" i="48"/>
  <c r="Z220" i="48"/>
  <c r="W221" i="48"/>
  <c r="X221" i="48"/>
  <c r="Y221" i="48"/>
  <c r="Z221" i="48"/>
  <c r="W222" i="48"/>
  <c r="X222" i="48"/>
  <c r="Y222" i="48"/>
  <c r="Z222" i="48"/>
  <c r="W223" i="48"/>
  <c r="X223" i="48"/>
  <c r="Y223" i="48"/>
  <c r="Z223" i="48"/>
  <c r="W224" i="48"/>
  <c r="X224" i="48"/>
  <c r="Y224" i="48"/>
  <c r="Z224" i="48"/>
  <c r="U36" i="46" l="1"/>
  <c r="U40" i="46"/>
  <c r="O233" i="48"/>
  <c r="U11" i="46"/>
  <c r="U39" i="46"/>
  <c r="U38" i="46"/>
  <c r="AG208" i="48"/>
  <c r="AD208" i="48" s="1"/>
  <c r="AG209" i="48"/>
  <c r="AD209" i="48" s="1"/>
  <c r="AG210" i="48"/>
  <c r="AD210" i="48" s="1"/>
  <c r="AG211" i="48"/>
  <c r="AD211" i="48" s="1"/>
  <c r="AG212" i="48"/>
  <c r="AD212" i="48" s="1"/>
  <c r="AG213" i="48"/>
  <c r="AD213" i="48" s="1"/>
  <c r="AG214" i="48"/>
  <c r="AD214" i="48" s="1"/>
  <c r="AG215" i="48"/>
  <c r="AD215" i="48" s="1"/>
  <c r="AG216" i="48"/>
  <c r="AD216" i="48" s="1"/>
  <c r="AG217" i="48"/>
  <c r="AD217" i="48" s="1"/>
  <c r="AG218" i="48"/>
  <c r="AD218" i="48" s="1"/>
  <c r="AG219" i="48"/>
  <c r="AD219" i="48" s="1"/>
  <c r="AG220" i="48"/>
  <c r="AD220" i="48" s="1"/>
  <c r="AG221" i="48"/>
  <c r="AD221" i="48" s="1"/>
  <c r="AG222" i="48"/>
  <c r="AD222" i="48" s="1"/>
  <c r="AG207" i="48"/>
  <c r="AD207" i="48" s="1"/>
  <c r="AE207" i="48"/>
  <c r="AC207" i="48"/>
  <c r="AG240" i="48"/>
  <c r="AD240" i="48" s="1"/>
  <c r="AG241" i="48"/>
  <c r="AG242" i="48"/>
  <c r="AG243" i="48"/>
  <c r="AG244" i="48"/>
  <c r="AG245" i="48"/>
  <c r="AG246" i="48"/>
  <c r="AG247" i="48"/>
  <c r="AG248" i="48"/>
  <c r="AG249" i="48"/>
  <c r="AG250" i="48"/>
  <c r="AG251" i="48"/>
  <c r="AG252" i="48"/>
  <c r="AG253" i="48"/>
  <c r="AG254" i="48"/>
  <c r="AG255" i="48"/>
  <c r="E265" i="48"/>
  <c r="U50" i="46" l="1"/>
  <c r="Q50" i="46"/>
  <c r="T50" i="46"/>
  <c r="AE241" i="48"/>
  <c r="AE242" i="48"/>
  <c r="AE243" i="48"/>
  <c r="AE244" i="48"/>
  <c r="AE245" i="48"/>
  <c r="AE246" i="48"/>
  <c r="AE247" i="48"/>
  <c r="AE248" i="48"/>
  <c r="AE249" i="48"/>
  <c r="AE250" i="48"/>
  <c r="AE251" i="48"/>
  <c r="AE252" i="48"/>
  <c r="AE253" i="48"/>
  <c r="AE254" i="48"/>
  <c r="AE255" i="48"/>
  <c r="AE240" i="48"/>
  <c r="O259" i="48"/>
  <c r="O257" i="48" l="1"/>
  <c r="F182" i="47"/>
  <c r="F154" i="47"/>
  <c r="F132" i="47"/>
  <c r="F108" i="47"/>
  <c r="W5" i="48" l="1"/>
  <c r="X5" i="48"/>
  <c r="Y5" i="48"/>
  <c r="Z5" i="48"/>
  <c r="W6" i="48"/>
  <c r="X6" i="48"/>
  <c r="Y6" i="48"/>
  <c r="Z6" i="48"/>
  <c r="W7" i="48"/>
  <c r="X7" i="48"/>
  <c r="Y7" i="48"/>
  <c r="Z7" i="48"/>
  <c r="W8" i="48"/>
  <c r="X8" i="48"/>
  <c r="Y8" i="48"/>
  <c r="Z8" i="48"/>
  <c r="W9" i="48"/>
  <c r="X9" i="48"/>
  <c r="Y9" i="48"/>
  <c r="Z9" i="48"/>
  <c r="W10" i="48"/>
  <c r="X10" i="48"/>
  <c r="Y10" i="48"/>
  <c r="Z10" i="48"/>
  <c r="W11" i="48"/>
  <c r="X11" i="48"/>
  <c r="Y11" i="48"/>
  <c r="Z11" i="48"/>
  <c r="W12" i="48"/>
  <c r="X12" i="48"/>
  <c r="Y12" i="48"/>
  <c r="Z12" i="48"/>
  <c r="W13" i="48"/>
  <c r="X13" i="48"/>
  <c r="Y13" i="48"/>
  <c r="Z13" i="48"/>
  <c r="W14" i="48"/>
  <c r="X14" i="48"/>
  <c r="Y14" i="48"/>
  <c r="Z14" i="48"/>
  <c r="W15" i="48"/>
  <c r="X15" i="48"/>
  <c r="Y15" i="48"/>
  <c r="Z15" i="48"/>
  <c r="W16" i="48"/>
  <c r="X16" i="48"/>
  <c r="Y16" i="48"/>
  <c r="Z16" i="48"/>
  <c r="W17" i="48"/>
  <c r="X17" i="48"/>
  <c r="Y17" i="48"/>
  <c r="Z17" i="48"/>
  <c r="W18" i="48"/>
  <c r="Y18" i="48"/>
  <c r="Z18" i="48"/>
  <c r="W19" i="48"/>
  <c r="X19" i="48"/>
  <c r="Y19" i="48"/>
  <c r="Z19" i="48"/>
  <c r="Z4" i="48"/>
  <c r="Y4" i="48"/>
  <c r="X4" i="48"/>
  <c r="W4" i="48"/>
  <c r="M14" i="48"/>
  <c r="N14" i="48"/>
  <c r="P14" i="48"/>
  <c r="S14" i="48" s="1"/>
  <c r="R14" i="48"/>
  <c r="W21" i="48"/>
  <c r="X36" i="48"/>
  <c r="W36" i="48"/>
  <c r="Y36" i="48"/>
  <c r="Z36" i="48"/>
  <c r="W37" i="48"/>
  <c r="X37" i="48"/>
  <c r="Y37" i="48"/>
  <c r="Z37" i="48"/>
  <c r="W38" i="48"/>
  <c r="X38" i="48"/>
  <c r="Y38" i="48"/>
  <c r="Z38" i="48"/>
  <c r="W39" i="48"/>
  <c r="X39" i="48"/>
  <c r="Y39" i="48"/>
  <c r="Z39" i="48"/>
  <c r="W40" i="48"/>
  <c r="X40" i="48"/>
  <c r="Y40" i="48"/>
  <c r="Z40" i="48"/>
  <c r="W41" i="48"/>
  <c r="X41" i="48"/>
  <c r="Y41" i="48"/>
  <c r="Z41" i="48"/>
  <c r="W42" i="48"/>
  <c r="X42" i="48"/>
  <c r="Y42" i="48"/>
  <c r="Z42" i="48"/>
  <c r="W43" i="48"/>
  <c r="X43" i="48"/>
  <c r="Y43" i="48"/>
  <c r="Z43" i="48"/>
  <c r="W44" i="48"/>
  <c r="X44" i="48"/>
  <c r="Y44" i="48"/>
  <c r="Z44" i="48"/>
  <c r="W45" i="48"/>
  <c r="X45" i="48"/>
  <c r="Y45" i="48"/>
  <c r="Z45" i="48"/>
  <c r="W46" i="48"/>
  <c r="X46" i="48"/>
  <c r="Y46" i="48"/>
  <c r="Z46" i="48"/>
  <c r="W47" i="48"/>
  <c r="X47" i="48"/>
  <c r="Y47" i="48"/>
  <c r="Z47" i="48"/>
  <c r="W48" i="48"/>
  <c r="X48" i="48"/>
  <c r="Y48" i="48"/>
  <c r="Z48" i="48"/>
  <c r="W49" i="48"/>
  <c r="X49" i="48"/>
  <c r="Y49" i="48"/>
  <c r="Z49" i="48"/>
  <c r="W50" i="48"/>
  <c r="X50" i="48"/>
  <c r="Y50" i="48"/>
  <c r="Z50" i="48"/>
  <c r="M46" i="48"/>
  <c r="N46" i="48"/>
  <c r="P46" i="48"/>
  <c r="S46" i="48" s="1"/>
  <c r="R46" i="48"/>
  <c r="M47" i="48"/>
  <c r="N47" i="48"/>
  <c r="P47" i="48"/>
  <c r="S47" i="48" s="1"/>
  <c r="R47" i="48"/>
  <c r="W114" i="48"/>
  <c r="Z96" i="48"/>
  <c r="W97" i="48"/>
  <c r="X97" i="48"/>
  <c r="Y97" i="48"/>
  <c r="Z97" i="48"/>
  <c r="W98" i="48"/>
  <c r="X98" i="48"/>
  <c r="Y98" i="48"/>
  <c r="Z98" i="48"/>
  <c r="W99" i="48"/>
  <c r="X99" i="48"/>
  <c r="Y99" i="48"/>
  <c r="Z99" i="48"/>
  <c r="W100" i="48"/>
  <c r="X100" i="48"/>
  <c r="Y100" i="48"/>
  <c r="Z100" i="48"/>
  <c r="W101" i="48"/>
  <c r="X101" i="48"/>
  <c r="Y101" i="48"/>
  <c r="Z101" i="48"/>
  <c r="W102" i="48"/>
  <c r="X102" i="48"/>
  <c r="Y102" i="48"/>
  <c r="Z102" i="48"/>
  <c r="W103" i="48"/>
  <c r="X103" i="48"/>
  <c r="Y103" i="48"/>
  <c r="Z103" i="48"/>
  <c r="W104" i="48"/>
  <c r="X104" i="48"/>
  <c r="Y104" i="48"/>
  <c r="Z104" i="48"/>
  <c r="W105" i="48"/>
  <c r="X105" i="48"/>
  <c r="Y105" i="48"/>
  <c r="Z105" i="48"/>
  <c r="W106" i="48"/>
  <c r="X106" i="48"/>
  <c r="Y106" i="48"/>
  <c r="Z106" i="48"/>
  <c r="W107" i="48"/>
  <c r="X107" i="48"/>
  <c r="Y107" i="48"/>
  <c r="Z107" i="48"/>
  <c r="W108" i="48"/>
  <c r="X108" i="48"/>
  <c r="Y108" i="48"/>
  <c r="Z108" i="48"/>
  <c r="W109" i="48"/>
  <c r="X109" i="48"/>
  <c r="Y109" i="48"/>
  <c r="Z109" i="48"/>
  <c r="W110" i="48"/>
  <c r="X110" i="48"/>
  <c r="Y110" i="48"/>
  <c r="Z110" i="48"/>
  <c r="W111" i="48"/>
  <c r="X111" i="48"/>
  <c r="Y111" i="48"/>
  <c r="Z111" i="48"/>
  <c r="X65" i="48"/>
  <c r="EM70" i="48"/>
  <c r="EN70" i="48"/>
  <c r="EO70" i="48"/>
  <c r="EP70" i="48"/>
  <c r="EQ70" i="48"/>
  <c r="ER70" i="48"/>
  <c r="ES70" i="48"/>
  <c r="ET70" i="48"/>
  <c r="EU70" i="48"/>
  <c r="EV70" i="48"/>
  <c r="EW70" i="48"/>
  <c r="EX70" i="48"/>
  <c r="EM64" i="48"/>
  <c r="EN64" i="48"/>
  <c r="EO64" i="48"/>
  <c r="EP64" i="48"/>
  <c r="EQ64" i="48"/>
  <c r="ER64" i="48"/>
  <c r="ES64" i="48"/>
  <c r="ET64" i="48"/>
  <c r="EU64" i="48"/>
  <c r="EV64" i="48"/>
  <c r="EW64" i="48"/>
  <c r="EX64" i="48"/>
  <c r="EM58" i="48"/>
  <c r="EN58" i="48"/>
  <c r="EO58" i="48"/>
  <c r="EP58" i="48"/>
  <c r="EQ58" i="48"/>
  <c r="ER58" i="48"/>
  <c r="ES58" i="48"/>
  <c r="ET58" i="48"/>
  <c r="EU58" i="48"/>
  <c r="EV58" i="48"/>
  <c r="EW58" i="48"/>
  <c r="EX58" i="48"/>
  <c r="X35" i="48"/>
  <c r="EM43" i="48"/>
  <c r="EN43" i="48"/>
  <c r="EO43" i="48"/>
  <c r="EP43" i="48"/>
  <c r="EQ43" i="48"/>
  <c r="ER43" i="48"/>
  <c r="ES43" i="48"/>
  <c r="ET43" i="48"/>
  <c r="EU43" i="48"/>
  <c r="EV43" i="48"/>
  <c r="EW43" i="48"/>
  <c r="EX43" i="48"/>
  <c r="EM37" i="48"/>
  <c r="EN37" i="48"/>
  <c r="EO37" i="48"/>
  <c r="EP37" i="48"/>
  <c r="EQ37" i="48"/>
  <c r="ER37" i="48"/>
  <c r="ES37" i="48"/>
  <c r="ET37" i="48"/>
  <c r="EU37" i="48"/>
  <c r="EV37" i="48"/>
  <c r="EW37" i="48"/>
  <c r="EX37" i="48"/>
  <c r="EM31" i="48"/>
  <c r="EN31" i="48"/>
  <c r="EO31" i="48"/>
  <c r="EP31" i="48"/>
  <c r="EQ31" i="48"/>
  <c r="ER31" i="48"/>
  <c r="ES31" i="48"/>
  <c r="ET31" i="48"/>
  <c r="EU31" i="48"/>
  <c r="EV31" i="48"/>
  <c r="EW31" i="48"/>
  <c r="EX31" i="48"/>
  <c r="AB207" i="48"/>
  <c r="M78" i="48"/>
  <c r="N78" i="48"/>
  <c r="P78" i="48"/>
  <c r="S78" i="48" s="1"/>
  <c r="R78" i="48"/>
  <c r="O14" i="48" l="1"/>
  <c r="U14" i="48"/>
  <c r="O17" i="48"/>
  <c r="O78" i="48"/>
  <c r="T78" i="48" s="1"/>
  <c r="O110" i="48"/>
  <c r="O15" i="48"/>
  <c r="O16" i="48"/>
  <c r="O46" i="48"/>
  <c r="Q46" i="48" s="1"/>
  <c r="O112" i="48"/>
  <c r="O113" i="48"/>
  <c r="M110" i="48"/>
  <c r="N110" i="48"/>
  <c r="P110" i="48"/>
  <c r="S110" i="48" s="1"/>
  <c r="R110" i="48"/>
  <c r="M142" i="48"/>
  <c r="N142" i="48"/>
  <c r="P142" i="48"/>
  <c r="S142" i="48" s="1"/>
  <c r="R142" i="48"/>
  <c r="EO114" i="48"/>
  <c r="EN118" i="48"/>
  <c r="EO118" i="48"/>
  <c r="EP118" i="48"/>
  <c r="EQ118" i="48"/>
  <c r="ER118" i="48"/>
  <c r="ES118" i="48"/>
  <c r="ET118" i="48"/>
  <c r="EU118" i="48"/>
  <c r="EV118" i="48"/>
  <c r="EW118" i="48"/>
  <c r="EX118" i="48"/>
  <c r="EM118" i="48"/>
  <c r="EN112" i="48"/>
  <c r="EO112" i="48"/>
  <c r="EP112" i="48"/>
  <c r="EQ112" i="48"/>
  <c r="ER112" i="48"/>
  <c r="ES112" i="48"/>
  <c r="ET112" i="48"/>
  <c r="EU112" i="48"/>
  <c r="EV112" i="48"/>
  <c r="EW112" i="48"/>
  <c r="EX112" i="48"/>
  <c r="W155" i="48"/>
  <c r="X155" i="48"/>
  <c r="Y155" i="48"/>
  <c r="Z155" i="48"/>
  <c r="W156" i="48"/>
  <c r="X156" i="48"/>
  <c r="Y156" i="48"/>
  <c r="Z156" i="48"/>
  <c r="W157" i="48"/>
  <c r="X157" i="48"/>
  <c r="Y157" i="48"/>
  <c r="Z157" i="48"/>
  <c r="W158" i="48"/>
  <c r="X158" i="48"/>
  <c r="Y158" i="48"/>
  <c r="Z158" i="48"/>
  <c r="W159" i="48"/>
  <c r="X159" i="48"/>
  <c r="Y159" i="48"/>
  <c r="Z159" i="48"/>
  <c r="W160" i="48"/>
  <c r="X160" i="48"/>
  <c r="Y160" i="48"/>
  <c r="Z160" i="48"/>
  <c r="W161" i="48"/>
  <c r="X161" i="48"/>
  <c r="Y161" i="48"/>
  <c r="Z161" i="48"/>
  <c r="W162" i="48"/>
  <c r="X162" i="48"/>
  <c r="Y162" i="48"/>
  <c r="Z162" i="48"/>
  <c r="W163" i="48"/>
  <c r="X163" i="48"/>
  <c r="Y163" i="48"/>
  <c r="Z163" i="48"/>
  <c r="W164" i="48"/>
  <c r="X164" i="48"/>
  <c r="Y164" i="48"/>
  <c r="Z164" i="48"/>
  <c r="W165" i="48"/>
  <c r="X165" i="48"/>
  <c r="Y165" i="48"/>
  <c r="Z165" i="48"/>
  <c r="W166" i="48"/>
  <c r="X166" i="48"/>
  <c r="Y166" i="48"/>
  <c r="Z166" i="48"/>
  <c r="W167" i="48"/>
  <c r="X167" i="48"/>
  <c r="Y167" i="48"/>
  <c r="Z167" i="48"/>
  <c r="W168" i="48"/>
  <c r="X168" i="48"/>
  <c r="Y168" i="48"/>
  <c r="Z168" i="48"/>
  <c r="W169" i="48"/>
  <c r="X169" i="48"/>
  <c r="Y169" i="48"/>
  <c r="Z169" i="48"/>
  <c r="X154" i="48"/>
  <c r="M172" i="48"/>
  <c r="N172" i="48"/>
  <c r="P172" i="48"/>
  <c r="R172" i="48"/>
  <c r="EM141" i="48"/>
  <c r="EM140" i="48"/>
  <c r="M264" i="48"/>
  <c r="N264" i="48"/>
  <c r="P264" i="48"/>
  <c r="S264" i="48" s="1"/>
  <c r="R264" i="48"/>
  <c r="M233" i="48"/>
  <c r="N233" i="48"/>
  <c r="P233" i="48"/>
  <c r="S233" i="48" s="1"/>
  <c r="R233" i="48"/>
  <c r="T14" i="48" l="1"/>
  <c r="Q14" i="48"/>
  <c r="U142" i="48"/>
  <c r="U46" i="48"/>
  <c r="T46" i="48"/>
  <c r="U78" i="48"/>
  <c r="Q78" i="48"/>
  <c r="Q233" i="48"/>
  <c r="U110" i="48"/>
  <c r="T110" i="48"/>
  <c r="Q264" i="48"/>
  <c r="O172" i="48"/>
  <c r="U172" i="48" s="1"/>
  <c r="S172" i="48"/>
  <c r="AJ21" i="48"/>
  <c r="Q142" i="48" l="1"/>
  <c r="T142" i="48"/>
  <c r="U264" i="48"/>
  <c r="U233" i="48"/>
  <c r="T233" i="48"/>
  <c r="Q110" i="48"/>
  <c r="T264" i="48"/>
  <c r="T172" i="48"/>
  <c r="Q172" i="48"/>
  <c r="W124" i="47" l="1"/>
  <c r="M202" i="47"/>
  <c r="N202" i="47"/>
  <c r="P202" i="47"/>
  <c r="M175" i="47"/>
  <c r="N175" i="47"/>
  <c r="P175" i="47"/>
  <c r="S175" i="47" s="1"/>
  <c r="R175" i="47"/>
  <c r="M171" i="46"/>
  <c r="N171" i="46"/>
  <c r="P171" i="46"/>
  <c r="R171" i="46"/>
  <c r="M138" i="46"/>
  <c r="N138" i="46"/>
  <c r="P138" i="46"/>
  <c r="S138" i="46" s="1"/>
  <c r="R138" i="46"/>
  <c r="M125" i="46"/>
  <c r="N125" i="46"/>
  <c r="P125" i="46"/>
  <c r="S125" i="46" s="1"/>
  <c r="R125" i="46"/>
  <c r="M100" i="46"/>
  <c r="N100" i="46"/>
  <c r="P100" i="46"/>
  <c r="S100" i="46" s="1"/>
  <c r="R100" i="46"/>
  <c r="R75" i="46"/>
  <c r="M75" i="46"/>
  <c r="N75" i="46"/>
  <c r="P75" i="46"/>
  <c r="R49" i="46"/>
  <c r="R24" i="46"/>
  <c r="L150" i="46"/>
  <c r="L158" i="46"/>
  <c r="L155" i="46"/>
  <c r="L154" i="46"/>
  <c r="L152" i="46"/>
  <c r="L151" i="46"/>
  <c r="Y134" i="46" l="1"/>
  <c r="Y136" i="46"/>
  <c r="Y126" i="46"/>
  <c r="Y130" i="46"/>
  <c r="Y140" i="46"/>
  <c r="Y127" i="46"/>
  <c r="Y129" i="46"/>
  <c r="Y131" i="46"/>
  <c r="Y133" i="46"/>
  <c r="Y135" i="46"/>
  <c r="Y137" i="46"/>
  <c r="Y139" i="46"/>
  <c r="Y141" i="46"/>
  <c r="Y132" i="46"/>
  <c r="Y138" i="46"/>
  <c r="Y128" i="46"/>
  <c r="AA126" i="46"/>
  <c r="AA136" i="46"/>
  <c r="AA129" i="46"/>
  <c r="AA135" i="46"/>
  <c r="AA132" i="46"/>
  <c r="AA140" i="46"/>
  <c r="AA133" i="46"/>
  <c r="AA139" i="46"/>
  <c r="AA134" i="46"/>
  <c r="AA131" i="46"/>
  <c r="AA137" i="46"/>
  <c r="AA141" i="46"/>
  <c r="AA130" i="46"/>
  <c r="AA138" i="46"/>
  <c r="AA127" i="46"/>
  <c r="AA128" i="46"/>
  <c r="Z136" i="46"/>
  <c r="Z126" i="46"/>
  <c r="Z131" i="46"/>
  <c r="Z135" i="46"/>
  <c r="Z137" i="46"/>
  <c r="Z132" i="46"/>
  <c r="Z129" i="46"/>
  <c r="Z141" i="46"/>
  <c r="Z134" i="46"/>
  <c r="Z140" i="46"/>
  <c r="Z133" i="46"/>
  <c r="Z139" i="46"/>
  <c r="Z130" i="46"/>
  <c r="Z138" i="46"/>
  <c r="Z127" i="46"/>
  <c r="Z128" i="46"/>
  <c r="AB128" i="46"/>
  <c r="AB130" i="46"/>
  <c r="AB132" i="46"/>
  <c r="AB134" i="46"/>
  <c r="AB136" i="46"/>
  <c r="AB138" i="46"/>
  <c r="AB140" i="46"/>
  <c r="AB133" i="46"/>
  <c r="AB141" i="46"/>
  <c r="AB126" i="46"/>
  <c r="AB131" i="46"/>
  <c r="AB137" i="46"/>
  <c r="AB129" i="46"/>
  <c r="AB135" i="46"/>
  <c r="AB139" i="46"/>
  <c r="AB127" i="46"/>
  <c r="AC141" i="46"/>
  <c r="AC128" i="46"/>
  <c r="AC130" i="46"/>
  <c r="AC132" i="46"/>
  <c r="AC134" i="46"/>
  <c r="AC136" i="46"/>
  <c r="AC138" i="46"/>
  <c r="AC140" i="46"/>
  <c r="AC131" i="46"/>
  <c r="AC135" i="46"/>
  <c r="AC126" i="46"/>
  <c r="AC133" i="46"/>
  <c r="AC139" i="46"/>
  <c r="AC129" i="46"/>
  <c r="AC137" i="46"/>
  <c r="AC127" i="46"/>
  <c r="AD137" i="46"/>
  <c r="AD126" i="46"/>
  <c r="AD133" i="46"/>
  <c r="AD139" i="46"/>
  <c r="AD128" i="46"/>
  <c r="AD130" i="46"/>
  <c r="AD132" i="46"/>
  <c r="AD134" i="46"/>
  <c r="AD136" i="46"/>
  <c r="AD138" i="46"/>
  <c r="AD140" i="46"/>
  <c r="AD131" i="46"/>
  <c r="AD129" i="46"/>
  <c r="AD135" i="46"/>
  <c r="AD141" i="46"/>
  <c r="AD127" i="46"/>
  <c r="S202" i="47"/>
  <c r="S171" i="46"/>
  <c r="S75" i="46"/>
  <c r="S49" i="46"/>
  <c r="S24" i="46"/>
  <c r="L112" i="46"/>
  <c r="L109" i="46"/>
  <c r="L108" i="46"/>
  <c r="L106" i="46"/>
  <c r="L105" i="46"/>
  <c r="L104" i="46"/>
  <c r="L87" i="46"/>
  <c r="L84" i="46"/>
  <c r="L83" i="46"/>
  <c r="L81" i="46"/>
  <c r="L80" i="46"/>
  <c r="L79" i="46"/>
  <c r="O158" i="46" l="1"/>
  <c r="O152" i="46"/>
  <c r="O151" i="46"/>
  <c r="O150" i="46"/>
  <c r="O154" i="46"/>
  <c r="O155" i="46"/>
  <c r="Z68" i="46"/>
  <c r="Z66" i="46"/>
  <c r="Z76" i="46"/>
  <c r="Z72" i="46"/>
  <c r="Z67" i="46"/>
  <c r="Z69" i="46"/>
  <c r="Z71" i="46"/>
  <c r="Z73" i="46"/>
  <c r="Z75" i="46"/>
  <c r="Z77" i="46"/>
  <c r="Z79" i="46"/>
  <c r="Z81" i="46"/>
  <c r="Z74" i="46"/>
  <c r="Z70" i="46"/>
  <c r="Z78" i="46"/>
  <c r="Z80" i="46"/>
  <c r="AC68" i="46"/>
  <c r="AC70" i="46"/>
  <c r="AC72" i="46"/>
  <c r="AC74" i="46"/>
  <c r="AC76" i="46"/>
  <c r="AC78" i="46"/>
  <c r="AC80" i="46"/>
  <c r="AC81" i="46"/>
  <c r="AC66" i="46"/>
  <c r="AC67" i="46"/>
  <c r="AC69" i="46"/>
  <c r="AC71" i="46"/>
  <c r="AC73" i="46"/>
  <c r="AC75" i="46"/>
  <c r="AC77" i="46"/>
  <c r="AC79" i="46"/>
  <c r="AB68" i="46"/>
  <c r="AB70" i="46"/>
  <c r="AB72" i="46"/>
  <c r="AB74" i="46"/>
  <c r="AB76" i="46"/>
  <c r="AB78" i="46"/>
  <c r="AB80" i="46"/>
  <c r="AB67" i="46"/>
  <c r="AB69" i="46"/>
  <c r="AB71" i="46"/>
  <c r="AB73" i="46"/>
  <c r="AB75" i="46"/>
  <c r="AB77" i="46"/>
  <c r="AB79" i="46"/>
  <c r="AB81" i="46"/>
  <c r="AB66" i="46"/>
  <c r="AD79" i="46"/>
  <c r="AD81" i="46"/>
  <c r="AD68" i="46"/>
  <c r="AD70" i="46"/>
  <c r="AD72" i="46"/>
  <c r="AD74" i="46"/>
  <c r="AD76" i="46"/>
  <c r="AD78" i="46"/>
  <c r="AD80" i="46"/>
  <c r="AD66" i="46"/>
  <c r="AD67" i="46"/>
  <c r="AD69" i="46"/>
  <c r="AD71" i="46"/>
  <c r="AD73" i="46"/>
  <c r="AD75" i="46"/>
  <c r="AD77" i="46"/>
  <c r="AA66" i="46"/>
  <c r="AA67" i="46"/>
  <c r="AA69" i="46"/>
  <c r="AA71" i="46"/>
  <c r="AA73" i="46"/>
  <c r="AA75" i="46"/>
  <c r="AA77" i="46"/>
  <c r="AA79" i="46"/>
  <c r="AA81" i="46"/>
  <c r="AA68" i="46"/>
  <c r="AA70" i="46"/>
  <c r="AA72" i="46"/>
  <c r="AA74" i="46"/>
  <c r="AA76" i="46"/>
  <c r="AA78" i="46"/>
  <c r="AA80" i="46"/>
  <c r="Y66" i="46"/>
  <c r="Y67" i="46"/>
  <c r="Y69" i="46"/>
  <c r="Y71" i="46"/>
  <c r="Y73" i="46"/>
  <c r="Y75" i="46"/>
  <c r="Y77" i="46"/>
  <c r="Y79" i="46"/>
  <c r="Y81" i="46"/>
  <c r="Y68" i="46"/>
  <c r="Y70" i="46"/>
  <c r="Y72" i="46"/>
  <c r="Y74" i="46"/>
  <c r="Y76" i="46"/>
  <c r="Y78" i="46"/>
  <c r="Y80" i="46"/>
  <c r="O104" i="46" l="1"/>
  <c r="O108" i="46"/>
  <c r="O109" i="46"/>
  <c r="O106" i="46"/>
  <c r="O112" i="46"/>
  <c r="O105" i="46"/>
  <c r="O84" i="46"/>
  <c r="O87" i="46"/>
  <c r="O80" i="46"/>
  <c r="O81" i="46"/>
  <c r="O83" i="46"/>
  <c r="O114" i="46"/>
  <c r="O13" i="46" l="1"/>
  <c r="U15" i="46"/>
  <c r="L37" i="46"/>
  <c r="AA23" i="46" l="1"/>
  <c r="AA31" i="46"/>
  <c r="AA29" i="46"/>
  <c r="AA35" i="46"/>
  <c r="AA27" i="46"/>
  <c r="AA24" i="46"/>
  <c r="AA26" i="46"/>
  <c r="AA28" i="46"/>
  <c r="AA30" i="46"/>
  <c r="AA32" i="46"/>
  <c r="AA34" i="46"/>
  <c r="AA36" i="46"/>
  <c r="AA38" i="46"/>
  <c r="AA25" i="46"/>
  <c r="AA33" i="46"/>
  <c r="AA37" i="46"/>
  <c r="AD25" i="46"/>
  <c r="AD27" i="46"/>
  <c r="AD31" i="46"/>
  <c r="AD33" i="46"/>
  <c r="AD35" i="46"/>
  <c r="AD37" i="46"/>
  <c r="AD38" i="46"/>
  <c r="AD36" i="46"/>
  <c r="AD24" i="46"/>
  <c r="AD26" i="46"/>
  <c r="AD28" i="46"/>
  <c r="AD30" i="46"/>
  <c r="AD32" i="46"/>
  <c r="AD34" i="46"/>
  <c r="AB25" i="46"/>
  <c r="AB27" i="46"/>
  <c r="AB29" i="46"/>
  <c r="AB31" i="46"/>
  <c r="AB33" i="46"/>
  <c r="AB35" i="46"/>
  <c r="AB37" i="46"/>
  <c r="AB24" i="46"/>
  <c r="AB26" i="46"/>
  <c r="AB28" i="46"/>
  <c r="AB30" i="46"/>
  <c r="AB32" i="46"/>
  <c r="AB34" i="46"/>
  <c r="AB36" i="46"/>
  <c r="AB38" i="46"/>
  <c r="AB23" i="46"/>
  <c r="AC25" i="46"/>
  <c r="AC27" i="46"/>
  <c r="AC29" i="46"/>
  <c r="AC31" i="46"/>
  <c r="AC33" i="46"/>
  <c r="AC35" i="46"/>
  <c r="AC37" i="46"/>
  <c r="AC36" i="46"/>
  <c r="AC32" i="46"/>
  <c r="AC38" i="46"/>
  <c r="AC24" i="46"/>
  <c r="AC26" i="46"/>
  <c r="AC28" i="46"/>
  <c r="AC30" i="46"/>
  <c r="AC34" i="46"/>
  <c r="AC23" i="46"/>
  <c r="M37" i="46"/>
  <c r="N37" i="46"/>
  <c r="P37" i="46"/>
  <c r="S37" i="46" s="1"/>
  <c r="U37" i="46"/>
  <c r="M29" i="46"/>
  <c r="N29" i="46"/>
  <c r="P29" i="46"/>
  <c r="M33" i="46"/>
  <c r="N33" i="46"/>
  <c r="P33" i="46"/>
  <c r="M30" i="46"/>
  <c r="P30" i="46"/>
  <c r="N30" i="46"/>
  <c r="N32" i="46"/>
  <c r="M32" i="46"/>
  <c r="P32" i="46"/>
  <c r="U4" i="46" l="1"/>
  <c r="U3" i="46"/>
  <c r="U7" i="46"/>
  <c r="U5" i="46"/>
  <c r="AP194" i="48"/>
  <c r="AB181" i="48"/>
  <c r="AB182" i="48"/>
  <c r="AB183" i="48"/>
  <c r="AB184" i="48"/>
  <c r="AB185" i="48"/>
  <c r="AB186" i="48"/>
  <c r="AB187" i="48"/>
  <c r="AB188" i="48"/>
  <c r="AB189" i="48"/>
  <c r="AB190" i="48"/>
  <c r="AB191" i="48"/>
  <c r="AB192" i="48"/>
  <c r="AB193" i="48"/>
  <c r="AB194" i="48"/>
  <c r="AB195" i="48"/>
  <c r="AB180" i="48"/>
  <c r="AK193" i="48"/>
  <c r="EN140" i="48"/>
  <c r="EW140" i="48"/>
  <c r="EU140" i="48"/>
  <c r="P278" i="48" l="1"/>
  <c r="S278" i="48" s="1"/>
  <c r="R278" i="48"/>
  <c r="M278" i="48"/>
  <c r="N278" i="48"/>
  <c r="O278" i="48"/>
  <c r="U278" i="48" s="1"/>
  <c r="P249" i="48"/>
  <c r="S249" i="48" s="1"/>
  <c r="R249" i="48"/>
  <c r="M249" i="48"/>
  <c r="N249" i="48"/>
  <c r="O249" i="48"/>
  <c r="U249" i="48" s="1"/>
  <c r="O247" i="48"/>
  <c r="U247" i="48" s="1"/>
  <c r="M247" i="48"/>
  <c r="N247" i="48"/>
  <c r="P247" i="48"/>
  <c r="S247" i="48" s="1"/>
  <c r="R247" i="48"/>
  <c r="R228" i="48"/>
  <c r="R224" i="48"/>
  <c r="R225" i="48"/>
  <c r="L225" i="48"/>
  <c r="L222" i="48"/>
  <c r="E230" i="48"/>
  <c r="T247" i="48" l="1"/>
  <c r="Q278" i="48"/>
  <c r="Q249" i="48"/>
  <c r="P228" i="48"/>
  <c r="S228" i="48" s="1"/>
  <c r="N228" i="48"/>
  <c r="T278" i="48"/>
  <c r="T249" i="48"/>
  <c r="Q247" i="48"/>
  <c r="M228" i="48"/>
  <c r="P225" i="48"/>
  <c r="S225" i="48" s="1"/>
  <c r="N225" i="48"/>
  <c r="M225" i="48"/>
  <c r="P224" i="48"/>
  <c r="S224" i="48" s="1"/>
  <c r="N224" i="48"/>
  <c r="M224" i="48"/>
  <c r="O186" i="48"/>
  <c r="M186" i="48"/>
  <c r="N186" i="48"/>
  <c r="P186" i="48"/>
  <c r="S186" i="48" s="1"/>
  <c r="R186" i="48"/>
  <c r="Q186" i="48" l="1"/>
  <c r="U186" i="48"/>
  <c r="T186" i="48"/>
  <c r="O156" i="48"/>
  <c r="U156" i="48" s="1"/>
  <c r="M156" i="48"/>
  <c r="N156" i="48"/>
  <c r="P156" i="48"/>
  <c r="S156" i="48" s="1"/>
  <c r="R156" i="48"/>
  <c r="Q156" i="48" l="1"/>
  <c r="T156" i="48"/>
  <c r="L188" i="48" l="1"/>
  <c r="AO164" i="48"/>
  <c r="AA164" i="48" s="1"/>
  <c r="AO166" i="48"/>
  <c r="AO155" i="48"/>
  <c r="AA155" i="48" s="1"/>
  <c r="AO158" i="48"/>
  <c r="AA158" i="48" s="1"/>
  <c r="AO161" i="48"/>
  <c r="AA161" i="48" s="1"/>
  <c r="AO162" i="48"/>
  <c r="AA162" i="48" s="1"/>
  <c r="AO153" i="48"/>
  <c r="AA153" i="48" s="1"/>
  <c r="AO165" i="48"/>
  <c r="AA165" i="48" s="1"/>
  <c r="AO154" i="48"/>
  <c r="AA154" i="48" s="1"/>
  <c r="AO167" i="48"/>
  <c r="AA167" i="48" s="1"/>
  <c r="AO160" i="48"/>
  <c r="AA160" i="48" s="1"/>
  <c r="AO156" i="48"/>
  <c r="AO152" i="48"/>
  <c r="AA152" i="48" s="1"/>
  <c r="AO157" i="48"/>
  <c r="AA157" i="48" s="1"/>
  <c r="AB152" i="48"/>
  <c r="AO159" i="48"/>
  <c r="AA159" i="48" s="1"/>
  <c r="AO163" i="48"/>
  <c r="AA163" i="48" s="1"/>
  <c r="AB167" i="48"/>
  <c r="AB164" i="48"/>
  <c r="AB165" i="48"/>
  <c r="AB166" i="48"/>
  <c r="AB156" i="48"/>
  <c r="AB157" i="48"/>
  <c r="AB162" i="48"/>
  <c r="AB153" i="48"/>
  <c r="AB159" i="48"/>
  <c r="AB163" i="48"/>
  <c r="AB154" i="48"/>
  <c r="AB158" i="48"/>
  <c r="AB155" i="48"/>
  <c r="AB160" i="48"/>
  <c r="AB161" i="48"/>
  <c r="AA156" i="48"/>
  <c r="AA166" i="48"/>
  <c r="E140" i="48"/>
  <c r="L140" i="48" s="1"/>
  <c r="O165" i="48" l="1"/>
  <c r="O169" i="48"/>
  <c r="AO122" i="48"/>
  <c r="AA122" i="48" s="1"/>
  <c r="AO131" i="48"/>
  <c r="AB128" i="48"/>
  <c r="AB123" i="48"/>
  <c r="AO132" i="48"/>
  <c r="AA132" i="48" s="1"/>
  <c r="AB129" i="48"/>
  <c r="AB122" i="48"/>
  <c r="AO133" i="48"/>
  <c r="AA133" i="48" s="1"/>
  <c r="AB130" i="48"/>
  <c r="AO136" i="48"/>
  <c r="AA136" i="48" s="1"/>
  <c r="AO134" i="48"/>
  <c r="AA134" i="48" s="1"/>
  <c r="AB131" i="48"/>
  <c r="AO123" i="48"/>
  <c r="AA123" i="48" s="1"/>
  <c r="AO135" i="48"/>
  <c r="AA135" i="48" s="1"/>
  <c r="AB132" i="48"/>
  <c r="AO124" i="48"/>
  <c r="AA124" i="48" s="1"/>
  <c r="AO137" i="48"/>
  <c r="AA137" i="48" s="1"/>
  <c r="AB133" i="48"/>
  <c r="AO125" i="48"/>
  <c r="AA125" i="48" s="1"/>
  <c r="AB136" i="48"/>
  <c r="AB134" i="48"/>
  <c r="AO130" i="48"/>
  <c r="AA130" i="48" s="1"/>
  <c r="AO126" i="48"/>
  <c r="AA126" i="48" s="1"/>
  <c r="AB135" i="48"/>
  <c r="AB137" i="48"/>
  <c r="AB127" i="48"/>
  <c r="AO127" i="48"/>
  <c r="AA127" i="48" s="1"/>
  <c r="AB124" i="48"/>
  <c r="AO128" i="48"/>
  <c r="AA128" i="48" s="1"/>
  <c r="AB125" i="48"/>
  <c r="AO129" i="48"/>
  <c r="AA129" i="48" s="1"/>
  <c r="AB126" i="48"/>
  <c r="L158" i="48"/>
  <c r="AA131" i="48"/>
  <c r="R135" i="48"/>
  <c r="R136" i="48"/>
  <c r="N135" i="48"/>
  <c r="M135" i="48" l="1"/>
  <c r="P135" i="48"/>
  <c r="S135" i="48" s="1"/>
  <c r="L129" i="48"/>
  <c r="O124" i="48"/>
  <c r="U124" i="48" s="1"/>
  <c r="M124" i="48"/>
  <c r="N124" i="48"/>
  <c r="P124" i="48"/>
  <c r="S124" i="48" s="1"/>
  <c r="R124" i="48"/>
  <c r="R106" i="48"/>
  <c r="E109" i="48"/>
  <c r="L108" i="48" s="1"/>
  <c r="E76" i="48"/>
  <c r="L76" i="48" s="1"/>
  <c r="P75" i="48"/>
  <c r="S75" i="48" s="1"/>
  <c r="R75" i="48"/>
  <c r="M75" i="48"/>
  <c r="N75" i="48"/>
  <c r="E44" i="48"/>
  <c r="O92" i="48"/>
  <c r="U92" i="48" s="1"/>
  <c r="R92" i="48"/>
  <c r="P92" i="48"/>
  <c r="S92" i="48" s="1"/>
  <c r="N92" i="48"/>
  <c r="M92" i="48"/>
  <c r="R71" i="48"/>
  <c r="R72" i="48"/>
  <c r="L62" i="48" l="1"/>
  <c r="L44" i="48"/>
  <c r="AO105" i="48"/>
  <c r="AA105" i="48" s="1"/>
  <c r="AO106" i="48"/>
  <c r="AA106" i="48" s="1"/>
  <c r="AO95" i="48"/>
  <c r="AA95" i="48" s="1"/>
  <c r="AO107" i="48"/>
  <c r="AA107" i="48" s="1"/>
  <c r="AO96" i="48"/>
  <c r="AA96" i="48" s="1"/>
  <c r="AO108" i="48"/>
  <c r="AA108" i="48" s="1"/>
  <c r="AO97" i="48"/>
  <c r="AA97" i="48" s="1"/>
  <c r="AO109" i="48"/>
  <c r="AA109" i="48" s="1"/>
  <c r="AO104" i="48"/>
  <c r="AA104" i="48" s="1"/>
  <c r="AO98" i="48"/>
  <c r="AA98" i="48" s="1"/>
  <c r="AO94" i="48"/>
  <c r="AA94" i="48" s="1"/>
  <c r="AB94" i="48"/>
  <c r="AO99" i="48"/>
  <c r="AA99" i="48" s="1"/>
  <c r="AO100" i="48"/>
  <c r="AA100" i="48" s="1"/>
  <c r="AO101" i="48"/>
  <c r="AA101" i="48" s="1"/>
  <c r="AB96" i="48"/>
  <c r="AO102" i="48"/>
  <c r="AA102" i="48" s="1"/>
  <c r="AB95" i="48"/>
  <c r="AO103" i="48"/>
  <c r="AA103" i="48" s="1"/>
  <c r="L94" i="48"/>
  <c r="L126" i="48"/>
  <c r="T124" i="48"/>
  <c r="AB107" i="48"/>
  <c r="AB108" i="48"/>
  <c r="AB100" i="48"/>
  <c r="AB101" i="48"/>
  <c r="AB103" i="48"/>
  <c r="AB104" i="48"/>
  <c r="AB97" i="48"/>
  <c r="AB102" i="48"/>
  <c r="AB105" i="48"/>
  <c r="AB98" i="48"/>
  <c r="AB106" i="48"/>
  <c r="AB109" i="48"/>
  <c r="AB99" i="48"/>
  <c r="BG69" i="48"/>
  <c r="AA69" i="48" s="1"/>
  <c r="AB70" i="48"/>
  <c r="BG70" i="48"/>
  <c r="AA70" i="48" s="1"/>
  <c r="AB71" i="48"/>
  <c r="BG71" i="48"/>
  <c r="AA71" i="48" s="1"/>
  <c r="AB72" i="48"/>
  <c r="BG67" i="48"/>
  <c r="AA67" i="48" s="1"/>
  <c r="AB69" i="48"/>
  <c r="BG72" i="48"/>
  <c r="AA72" i="48" s="1"/>
  <c r="AB73" i="48"/>
  <c r="BG73" i="48"/>
  <c r="AA73" i="48" s="1"/>
  <c r="AB74" i="48"/>
  <c r="BG75" i="48"/>
  <c r="AA75" i="48" s="1"/>
  <c r="AB76" i="48"/>
  <c r="AB77" i="48"/>
  <c r="BG74" i="48"/>
  <c r="AA74" i="48" s="1"/>
  <c r="AB75" i="48"/>
  <c r="AB64" i="48"/>
  <c r="BG76" i="48"/>
  <c r="AA76" i="48" s="1"/>
  <c r="AB65" i="48"/>
  <c r="BG68" i="48"/>
  <c r="AA68" i="48" s="1"/>
  <c r="BG64" i="48"/>
  <c r="AA64" i="48" s="1"/>
  <c r="AB68" i="48"/>
  <c r="BG65" i="48"/>
  <c r="AA65" i="48" s="1"/>
  <c r="BG77" i="48"/>
  <c r="AA77" i="48" s="1"/>
  <c r="AB66" i="48"/>
  <c r="AB78" i="48"/>
  <c r="BG66" i="48"/>
  <c r="AA66" i="48" s="1"/>
  <c r="BG78" i="48"/>
  <c r="AA78" i="48" s="1"/>
  <c r="AB67" i="48"/>
  <c r="AB63" i="48"/>
  <c r="BG63" i="48"/>
  <c r="AA63" i="48" s="1"/>
  <c r="BG35" i="48"/>
  <c r="AB41" i="48"/>
  <c r="BG36" i="48"/>
  <c r="BG37" i="48"/>
  <c r="BG38" i="48"/>
  <c r="BG39" i="48"/>
  <c r="BG40" i="48"/>
  <c r="AB34" i="48"/>
  <c r="AB46" i="48"/>
  <c r="AB44" i="48"/>
  <c r="AB33" i="48"/>
  <c r="BG41" i="48"/>
  <c r="AB35" i="48"/>
  <c r="AB47" i="48"/>
  <c r="BG32" i="48"/>
  <c r="AB43" i="48"/>
  <c r="BG45" i="48"/>
  <c r="BG42" i="48"/>
  <c r="AB36" i="48"/>
  <c r="AB48" i="48"/>
  <c r="BG31" i="48"/>
  <c r="BG43" i="48"/>
  <c r="AB37" i="48"/>
  <c r="BG44" i="48"/>
  <c r="AB38" i="48"/>
  <c r="AB45" i="48"/>
  <c r="BG33" i="48"/>
  <c r="BG30" i="48"/>
  <c r="AB39" i="48"/>
  <c r="BG34" i="48"/>
  <c r="AB40" i="48"/>
  <c r="AB42" i="48"/>
  <c r="P71" i="48"/>
  <c r="S71" i="48" s="1"/>
  <c r="M136" i="48"/>
  <c r="N136" i="48"/>
  <c r="P136" i="48"/>
  <c r="S136" i="48" s="1"/>
  <c r="N71" i="48"/>
  <c r="M71" i="48"/>
  <c r="Q124" i="48"/>
  <c r="P72" i="48"/>
  <c r="S72" i="48" s="1"/>
  <c r="T92" i="48"/>
  <c r="Q92" i="48"/>
  <c r="O108" i="48" l="1"/>
  <c r="O101" i="48"/>
  <c r="O69" i="48"/>
  <c r="O70" i="48" s="1"/>
  <c r="O71" i="48" s="1"/>
  <c r="O72" i="48" s="1"/>
  <c r="O37" i="48"/>
  <c r="O76" i="48"/>
  <c r="N72" i="48"/>
  <c r="M72" i="48"/>
  <c r="L65" i="48"/>
  <c r="O41" i="48" l="1"/>
  <c r="O74" i="48"/>
  <c r="O77" i="48"/>
  <c r="O75" i="48"/>
  <c r="T75" i="48" s="1"/>
  <c r="U75" i="48"/>
  <c r="AF207" i="48"/>
  <c r="AF208" i="48"/>
  <c r="AF209" i="48"/>
  <c r="AF210" i="48"/>
  <c r="AF211" i="48"/>
  <c r="AF212" i="48"/>
  <c r="AF213" i="48"/>
  <c r="AF214" i="48"/>
  <c r="AF215" i="48"/>
  <c r="AF216" i="48"/>
  <c r="AF217" i="48"/>
  <c r="AF218" i="48"/>
  <c r="AF219" i="48"/>
  <c r="AF220" i="48"/>
  <c r="AF221" i="48"/>
  <c r="AF222" i="48"/>
  <c r="R43" i="48"/>
  <c r="O60" i="48"/>
  <c r="U60" i="48" s="1"/>
  <c r="M39" i="48"/>
  <c r="N39" i="48"/>
  <c r="P39" i="48"/>
  <c r="S39" i="48" s="1"/>
  <c r="R40" i="48"/>
  <c r="M40" i="48"/>
  <c r="P60" i="48"/>
  <c r="S60" i="48" s="1"/>
  <c r="M60" i="48"/>
  <c r="R60" i="48"/>
  <c r="N60" i="48"/>
  <c r="AA34" i="48"/>
  <c r="AA38" i="48"/>
  <c r="AA40" i="48"/>
  <c r="AA41" i="48"/>
  <c r="AA42" i="48"/>
  <c r="R8" i="48"/>
  <c r="L4" i="48"/>
  <c r="Q75" i="48" l="1"/>
  <c r="AA33" i="48"/>
  <c r="AA48" i="48"/>
  <c r="AA47" i="48"/>
  <c r="AA45" i="48"/>
  <c r="AA44" i="48"/>
  <c r="AA43" i="48"/>
  <c r="P40" i="48"/>
  <c r="S40" i="48" s="1"/>
  <c r="N40" i="48"/>
  <c r="T60" i="48"/>
  <c r="Q60" i="48"/>
  <c r="AA39" i="48"/>
  <c r="AA36" i="48"/>
  <c r="AA35" i="48"/>
  <c r="AA46" i="48"/>
  <c r="AA37" i="48"/>
  <c r="O44" i="48" l="1"/>
  <c r="M8" i="48"/>
  <c r="N8" i="48"/>
  <c r="P8" i="48"/>
  <c r="S8" i="48" s="1"/>
  <c r="L33" i="48"/>
  <c r="O28" i="48"/>
  <c r="M28" i="48"/>
  <c r="N28" i="48"/>
  <c r="P28" i="48"/>
  <c r="S28" i="48" s="1"/>
  <c r="R28" i="48"/>
  <c r="Q28" i="48" l="1"/>
  <c r="U28" i="48"/>
  <c r="T28" i="48"/>
  <c r="AA207" i="48" l="1"/>
  <c r="E13" i="48"/>
  <c r="L12" i="48" s="1"/>
  <c r="L5" i="48"/>
  <c r="R7" i="48"/>
  <c r="BG2" i="48" l="1"/>
  <c r="AA2" i="48" s="1"/>
  <c r="AB2" i="48"/>
  <c r="L30" i="48"/>
  <c r="BG16" i="48"/>
  <c r="BG6" i="48"/>
  <c r="AB7" i="48"/>
  <c r="AB5" i="48"/>
  <c r="AB6" i="48"/>
  <c r="BG8" i="48"/>
  <c r="AA8" i="48" s="1"/>
  <c r="BG9" i="48"/>
  <c r="AA9" i="48" s="1"/>
  <c r="AB8" i="48"/>
  <c r="AB9" i="48"/>
  <c r="AB10" i="48"/>
  <c r="BG10" i="48"/>
  <c r="AA10" i="48" s="1"/>
  <c r="BG11" i="48"/>
  <c r="AA11" i="48" s="1"/>
  <c r="BG7" i="48"/>
  <c r="AA7" i="48" s="1"/>
  <c r="BG12" i="48"/>
  <c r="AA12" i="48" s="1"/>
  <c r="AB11" i="48"/>
  <c r="BG13" i="48"/>
  <c r="AA13" i="48" s="1"/>
  <c r="AB12" i="48"/>
  <c r="BG14" i="48"/>
  <c r="AA14" i="48" s="1"/>
  <c r="AB13" i="48"/>
  <c r="AB3" i="48"/>
  <c r="BG17" i="48"/>
  <c r="AA17" i="48" s="1"/>
  <c r="AB4" i="48"/>
  <c r="BG3" i="48"/>
  <c r="AA3" i="48" s="1"/>
  <c r="BG15" i="48"/>
  <c r="AA15" i="48" s="1"/>
  <c r="AB14" i="48"/>
  <c r="BG4" i="48"/>
  <c r="AA4" i="48" s="1"/>
  <c r="AB15" i="48"/>
  <c r="BG5" i="48"/>
  <c r="AA5" i="48" s="1"/>
  <c r="AB16" i="48"/>
  <c r="AB17" i="48"/>
  <c r="AA16" i="48"/>
  <c r="AA6" i="48"/>
  <c r="AJ27" i="48" l="1"/>
  <c r="O5" i="48"/>
  <c r="O12" i="48"/>
  <c r="N7" i="48"/>
  <c r="M7" i="48"/>
  <c r="P7" i="48"/>
  <c r="O6" i="48" l="1"/>
  <c r="O4" i="48" s="1"/>
  <c r="S7" i="48"/>
  <c r="O3" i="48" l="1"/>
  <c r="O27" i="48" s="1"/>
  <c r="O201" i="47"/>
  <c r="U201" i="47" s="1"/>
  <c r="M201" i="47"/>
  <c r="N201" i="47"/>
  <c r="P201" i="47"/>
  <c r="O174" i="47"/>
  <c r="N173" i="47"/>
  <c r="R173" i="47"/>
  <c r="M174" i="47"/>
  <c r="N174" i="47"/>
  <c r="P174" i="47"/>
  <c r="S174" i="47" s="1"/>
  <c r="R174" i="47"/>
  <c r="P146" i="47"/>
  <c r="R121" i="47"/>
  <c r="P122" i="47"/>
  <c r="S122" i="47" s="1"/>
  <c r="R122" i="47"/>
  <c r="AD143" i="47"/>
  <c r="S201" i="47" l="1"/>
  <c r="T201" i="47" s="1"/>
  <c r="Q201" i="47"/>
  <c r="M173" i="47"/>
  <c r="P173" i="47"/>
  <c r="S173" i="47" s="1"/>
  <c r="T174" i="47"/>
  <c r="Q174" i="47"/>
  <c r="U174" i="47"/>
  <c r="P145" i="47"/>
  <c r="S145" i="47" s="1"/>
  <c r="S146" i="47"/>
  <c r="P121" i="47"/>
  <c r="S121" i="47" s="1"/>
  <c r="BU17" i="46"/>
  <c r="BU16" i="46"/>
  <c r="BU15" i="46"/>
  <c r="AU21" i="46"/>
  <c r="AY21" i="46" s="1"/>
  <c r="AX20" i="46"/>
  <c r="AY20" i="46"/>
  <c r="AV20" i="46"/>
  <c r="AY19" i="46"/>
  <c r="AX19" i="46"/>
  <c r="AV19" i="46"/>
  <c r="AX21" i="46" l="1"/>
  <c r="AX22" i="46" s="1"/>
  <c r="AV22" i="46"/>
  <c r="U170" i="46" l="1"/>
  <c r="M170" i="46"/>
  <c r="N170" i="46"/>
  <c r="P170" i="46"/>
  <c r="S170" i="46" s="1"/>
  <c r="U124" i="46"/>
  <c r="M124" i="46"/>
  <c r="N124" i="46"/>
  <c r="P124" i="46"/>
  <c r="S124" i="46" s="1"/>
  <c r="R124" i="46"/>
  <c r="U99" i="46"/>
  <c r="M99" i="46"/>
  <c r="N99" i="46"/>
  <c r="P99" i="46"/>
  <c r="S99" i="46" s="1"/>
  <c r="R99" i="46"/>
  <c r="M74" i="46"/>
  <c r="N74" i="46"/>
  <c r="P74" i="46"/>
  <c r="S74" i="46" s="1"/>
  <c r="T74" i="46" s="1"/>
  <c r="R74" i="46"/>
  <c r="S48" i="46"/>
  <c r="R48" i="46"/>
  <c r="T48" i="46" l="1"/>
  <c r="Q170" i="46"/>
  <c r="Q74" i="46"/>
  <c r="Q124" i="46"/>
  <c r="T170" i="46"/>
  <c r="T124" i="46"/>
  <c r="Q48" i="46"/>
  <c r="Q99" i="46"/>
  <c r="U74" i="46"/>
  <c r="T99" i="46"/>
  <c r="Q23" i="46"/>
  <c r="S23" i="46"/>
  <c r="T23" i="46" s="1"/>
  <c r="O256" i="48" l="1"/>
  <c r="M230" i="48" l="1"/>
  <c r="M231" i="48"/>
  <c r="M232" i="48"/>
  <c r="M262" i="48"/>
  <c r="O238" i="48" l="1"/>
  <c r="O237" i="48"/>
  <c r="R222" i="48"/>
  <c r="R223" i="48"/>
  <c r="R226" i="48"/>
  <c r="R229" i="48"/>
  <c r="R230" i="48"/>
  <c r="R231" i="48"/>
  <c r="R232" i="48"/>
  <c r="R234" i="48"/>
  <c r="R235" i="48"/>
  <c r="R236" i="48"/>
  <c r="R237" i="48"/>
  <c r="R238" i="48"/>
  <c r="R239" i="48"/>
  <c r="R240" i="48"/>
  <c r="R241" i="48"/>
  <c r="R243" i="48"/>
  <c r="R244" i="48"/>
  <c r="R245" i="48"/>
  <c r="R246" i="48"/>
  <c r="R250" i="48"/>
  <c r="R256" i="48"/>
  <c r="R257" i="48"/>
  <c r="R258" i="48"/>
  <c r="R259" i="48"/>
  <c r="R261" i="48"/>
  <c r="R262" i="48"/>
  <c r="R263" i="48"/>
  <c r="R265" i="48"/>
  <c r="R266" i="48"/>
  <c r="R267" i="48"/>
  <c r="R268" i="48"/>
  <c r="R269" i="48"/>
  <c r="R270" i="48"/>
  <c r="R271" i="48"/>
  <c r="R272" i="48"/>
  <c r="R274" i="48"/>
  <c r="R275" i="48"/>
  <c r="R276" i="48"/>
  <c r="R279" i="48"/>
  <c r="O279" i="48"/>
  <c r="O275" i="48"/>
  <c r="O269" i="48"/>
  <c r="O268" i="48"/>
  <c r="O239" i="48" l="1"/>
  <c r="O240" i="48" s="1"/>
  <c r="O272" i="48"/>
  <c r="O270" i="48"/>
  <c r="O271" i="48" s="1"/>
  <c r="AD255" i="48"/>
  <c r="AD254" i="48"/>
  <c r="AD253" i="48"/>
  <c r="AD252" i="48"/>
  <c r="AD251" i="48"/>
  <c r="AD250" i="48"/>
  <c r="AD249" i="48"/>
  <c r="AD248" i="48"/>
  <c r="AD247" i="48"/>
  <c r="AD246" i="48"/>
  <c r="AD245" i="48"/>
  <c r="AD244" i="48"/>
  <c r="AD243" i="48"/>
  <c r="AD242" i="48"/>
  <c r="AD241" i="48" l="1"/>
  <c r="O262" i="48" s="1"/>
  <c r="O261" i="48" s="1"/>
  <c r="O267" i="48"/>
  <c r="U267" i="48" s="1"/>
  <c r="N259" i="48"/>
  <c r="N257" i="48"/>
  <c r="L256" i="48"/>
  <c r="M256" i="48" s="1"/>
  <c r="M258" i="48"/>
  <c r="M260" i="48"/>
  <c r="N260" i="48"/>
  <c r="P260" i="48"/>
  <c r="S260" i="48" s="1"/>
  <c r="M261" i="48"/>
  <c r="N261" i="48"/>
  <c r="P261" i="48"/>
  <c r="S261" i="48" s="1"/>
  <c r="N262" i="48"/>
  <c r="P262" i="48"/>
  <c r="S262" i="48" s="1"/>
  <c r="M263" i="48"/>
  <c r="N263" i="48"/>
  <c r="P263" i="48"/>
  <c r="S263" i="48" s="1"/>
  <c r="M265" i="48"/>
  <c r="N265" i="48"/>
  <c r="P265" i="48"/>
  <c r="S265" i="48" s="1"/>
  <c r="M266" i="48"/>
  <c r="N266" i="48"/>
  <c r="P266" i="48"/>
  <c r="S266" i="48" s="1"/>
  <c r="M267" i="48"/>
  <c r="N267" i="48"/>
  <c r="P267" i="48"/>
  <c r="S267" i="48" s="1"/>
  <c r="L268" i="48"/>
  <c r="N268" i="48" s="1"/>
  <c r="L269" i="48"/>
  <c r="M269" i="48" s="1"/>
  <c r="L270" i="48"/>
  <c r="M270" i="48" s="1"/>
  <c r="M271" i="48"/>
  <c r="N271" i="48"/>
  <c r="P271" i="48"/>
  <c r="S271" i="48" s="1"/>
  <c r="M272" i="48"/>
  <c r="N272" i="48"/>
  <c r="P272" i="48"/>
  <c r="S272" i="48" s="1"/>
  <c r="M274" i="48"/>
  <c r="N274" i="48"/>
  <c r="P274" i="48"/>
  <c r="S274" i="48" s="1"/>
  <c r="M275" i="48"/>
  <c r="N275" i="48"/>
  <c r="P275" i="48"/>
  <c r="S275" i="48" s="1"/>
  <c r="M276" i="48"/>
  <c r="N276" i="48"/>
  <c r="P276" i="48"/>
  <c r="S276" i="48" s="1"/>
  <c r="M279" i="48"/>
  <c r="N279" i="48"/>
  <c r="P279" i="48"/>
  <c r="S279" i="48" s="1"/>
  <c r="U279" i="48"/>
  <c r="O263" i="48" l="1"/>
  <c r="O274" i="48"/>
  <c r="O273" i="48" s="1"/>
  <c r="O260" i="48"/>
  <c r="O258" i="48"/>
  <c r="U258" i="48" s="1"/>
  <c r="T267" i="48"/>
  <c r="N269" i="48"/>
  <c r="P268" i="48"/>
  <c r="M268" i="48"/>
  <c r="M255" i="48"/>
  <c r="P255" i="48"/>
  <c r="S255" i="48" s="1"/>
  <c r="O276" i="48"/>
  <c r="U276" i="48" s="1"/>
  <c r="U257" i="48"/>
  <c r="Q279" i="48"/>
  <c r="Q262" i="48"/>
  <c r="T279" i="48"/>
  <c r="U268" i="48"/>
  <c r="N258" i="48"/>
  <c r="P259" i="48"/>
  <c r="M259" i="48"/>
  <c r="Q257" i="48"/>
  <c r="U269" i="48"/>
  <c r="Q267" i="48"/>
  <c r="M257" i="48"/>
  <c r="U270" i="48"/>
  <c r="U256" i="48"/>
  <c r="P269" i="48"/>
  <c r="U262" i="48"/>
  <c r="T262" i="48"/>
  <c r="P256" i="48"/>
  <c r="S256" i="48" s="1"/>
  <c r="N255" i="48"/>
  <c r="P270" i="48"/>
  <c r="U259" i="48"/>
  <c r="N270" i="48"/>
  <c r="N256" i="48"/>
  <c r="T258" i="48" l="1"/>
  <c r="U273" i="48"/>
  <c r="Q273" i="48"/>
  <c r="T273" i="48"/>
  <c r="S259" i="48"/>
  <c r="T259" i="48" s="1"/>
  <c r="S268" i="48"/>
  <c r="T268" i="48" s="1"/>
  <c r="S270" i="48"/>
  <c r="T270" i="48" s="1"/>
  <c r="S269" i="48"/>
  <c r="T269" i="48" s="1"/>
  <c r="Q268" i="48"/>
  <c r="U255" i="48"/>
  <c r="T256" i="48"/>
  <c r="Q256" i="48"/>
  <c r="Q276" i="48"/>
  <c r="T255" i="48"/>
  <c r="Q259" i="48"/>
  <c r="T276" i="48"/>
  <c r="Q258" i="48"/>
  <c r="T257" i="48"/>
  <c r="Q255" i="48"/>
  <c r="Q269" i="48"/>
  <c r="Q261" i="48"/>
  <c r="T261" i="48"/>
  <c r="U261" i="48"/>
  <c r="Q275" i="48"/>
  <c r="T275" i="48"/>
  <c r="U275" i="48"/>
  <c r="T272" i="48"/>
  <c r="U272" i="48"/>
  <c r="Q272" i="48"/>
  <c r="Q270" i="48"/>
  <c r="Q271" i="48"/>
  <c r="T271" i="48"/>
  <c r="U271" i="48"/>
  <c r="Q260" i="48"/>
  <c r="U260" i="48"/>
  <c r="T260" i="48"/>
  <c r="DV187" i="48"/>
  <c r="DW187" i="48"/>
  <c r="DX187" i="48"/>
  <c r="DY187" i="48"/>
  <c r="DZ187" i="48"/>
  <c r="EA187" i="48"/>
  <c r="EB187" i="48"/>
  <c r="EC187" i="48"/>
  <c r="ED187" i="48"/>
  <c r="EE187" i="48"/>
  <c r="EF187" i="48"/>
  <c r="EG187" i="48"/>
  <c r="DV192" i="48"/>
  <c r="DW192" i="48"/>
  <c r="DX192" i="48"/>
  <c r="DY192" i="48"/>
  <c r="DZ192" i="48"/>
  <c r="EA192" i="48"/>
  <c r="EB192" i="48"/>
  <c r="EC192" i="48"/>
  <c r="ED192" i="48"/>
  <c r="EE192" i="48"/>
  <c r="EF192" i="48"/>
  <c r="EG192" i="48"/>
  <c r="DU192" i="48"/>
  <c r="DU187" i="48"/>
  <c r="DE192" i="48"/>
  <c r="DF192" i="48"/>
  <c r="DG192" i="48"/>
  <c r="DH192" i="48"/>
  <c r="DI192" i="48"/>
  <c r="DJ192" i="48"/>
  <c r="DK192" i="48"/>
  <c r="DL192" i="48"/>
  <c r="DM192" i="48"/>
  <c r="DN192" i="48"/>
  <c r="DO192" i="48"/>
  <c r="DP192" i="48"/>
  <c r="DD192" i="48"/>
  <c r="DE187" i="48"/>
  <c r="DF187" i="48"/>
  <c r="DG187" i="48"/>
  <c r="DH187" i="48"/>
  <c r="DI187" i="48"/>
  <c r="DJ187" i="48"/>
  <c r="DK187" i="48"/>
  <c r="DL187" i="48"/>
  <c r="DM187" i="48"/>
  <c r="DN187" i="48"/>
  <c r="DO187" i="48"/>
  <c r="DP187" i="48"/>
  <c r="DE197" i="48"/>
  <c r="DF197" i="48"/>
  <c r="DG197" i="48"/>
  <c r="DH197" i="48"/>
  <c r="DI197" i="48"/>
  <c r="DJ197" i="48"/>
  <c r="DK197" i="48"/>
  <c r="DL197" i="48"/>
  <c r="DM197" i="48"/>
  <c r="DN197" i="48"/>
  <c r="DO197" i="48"/>
  <c r="DP197" i="48"/>
  <c r="DD197" i="48"/>
  <c r="CP197" i="48"/>
  <c r="CQ197" i="48"/>
  <c r="CR197" i="48"/>
  <c r="CS197" i="48"/>
  <c r="CT197" i="48"/>
  <c r="CU197" i="48"/>
  <c r="CV197" i="48"/>
  <c r="CW197" i="48"/>
  <c r="CX197" i="48"/>
  <c r="CY197" i="48"/>
  <c r="CZ197" i="48"/>
  <c r="DA197" i="48"/>
  <c r="CP192" i="48"/>
  <c r="CQ192" i="48"/>
  <c r="CR192" i="48"/>
  <c r="CS192" i="48"/>
  <c r="CT192" i="48"/>
  <c r="CU192" i="48"/>
  <c r="CV192" i="48"/>
  <c r="CW192" i="48"/>
  <c r="CX192" i="48"/>
  <c r="CY192" i="48"/>
  <c r="CZ192" i="48"/>
  <c r="DA192" i="48"/>
  <c r="CP187" i="48"/>
  <c r="CQ187" i="48"/>
  <c r="CR187" i="48"/>
  <c r="CS187" i="48"/>
  <c r="CT187" i="48"/>
  <c r="CU187" i="48"/>
  <c r="CV187" i="48"/>
  <c r="CW187" i="48"/>
  <c r="CX187" i="48"/>
  <c r="CY187" i="48"/>
  <c r="CZ187" i="48"/>
  <c r="DA187" i="48"/>
  <c r="CO187" i="48"/>
  <c r="BY197" i="48"/>
  <c r="BZ197" i="48"/>
  <c r="CA197" i="48"/>
  <c r="CB197" i="48"/>
  <c r="CC197" i="48"/>
  <c r="CD197" i="48"/>
  <c r="CE197" i="48"/>
  <c r="CF197" i="48"/>
  <c r="CG197" i="48"/>
  <c r="CH197" i="48"/>
  <c r="CI197" i="48"/>
  <c r="CJ197" i="48"/>
  <c r="BX197" i="48"/>
  <c r="BY187" i="48"/>
  <c r="BZ187" i="48"/>
  <c r="CA187" i="48"/>
  <c r="CB187" i="48"/>
  <c r="CC187" i="48"/>
  <c r="CD187" i="48"/>
  <c r="CE187" i="48"/>
  <c r="CF187" i="48"/>
  <c r="CG187" i="48"/>
  <c r="CH187" i="48"/>
  <c r="CI187" i="48"/>
  <c r="CJ187" i="48"/>
  <c r="BX187" i="48"/>
  <c r="BJ197" i="48"/>
  <c r="BK197" i="48"/>
  <c r="BL197" i="48"/>
  <c r="BM197" i="48"/>
  <c r="BN197" i="48"/>
  <c r="BO197" i="48"/>
  <c r="BP197" i="48"/>
  <c r="BQ197" i="48"/>
  <c r="BR197" i="48"/>
  <c r="BS197" i="48"/>
  <c r="BT197" i="48"/>
  <c r="BU197" i="48"/>
  <c r="BI187" i="48"/>
  <c r="BK187" i="48"/>
  <c r="BL187" i="48"/>
  <c r="BM187" i="48"/>
  <c r="BN187" i="48"/>
  <c r="BO187" i="48"/>
  <c r="BP187" i="48"/>
  <c r="BQ187" i="48"/>
  <c r="BR187" i="48"/>
  <c r="BS187" i="48"/>
  <c r="BT187" i="48"/>
  <c r="BU187" i="48"/>
  <c r="BJ187" i="48"/>
  <c r="AK198" i="48"/>
  <c r="AO195" i="48"/>
  <c r="AO194" i="48"/>
  <c r="AM195" i="48"/>
  <c r="AM194" i="48"/>
  <c r="AL196" i="48"/>
  <c r="AP196" i="48" s="1"/>
  <c r="AP195" i="48"/>
  <c r="CO196" i="48"/>
  <c r="BI196" i="48"/>
  <c r="CO195" i="48"/>
  <c r="BI195" i="48"/>
  <c r="CO191" i="48"/>
  <c r="CO190" i="48"/>
  <c r="DD186" i="48"/>
  <c r="DD185" i="48"/>
  <c r="AE208" i="48"/>
  <c r="AE209" i="48"/>
  <c r="AE210" i="48"/>
  <c r="AE211" i="48"/>
  <c r="AE212" i="48"/>
  <c r="AE213" i="48"/>
  <c r="AE214" i="48"/>
  <c r="AE215" i="48"/>
  <c r="AE216" i="48"/>
  <c r="AE217" i="48"/>
  <c r="AE218" i="48"/>
  <c r="AE219" i="48"/>
  <c r="AE220" i="48"/>
  <c r="AE221" i="48"/>
  <c r="AE222" i="48"/>
  <c r="P226" i="48"/>
  <c r="S226" i="48" s="1"/>
  <c r="P227" i="48"/>
  <c r="S227" i="48" s="1"/>
  <c r="P229" i="48"/>
  <c r="S229" i="48" s="1"/>
  <c r="P230" i="48"/>
  <c r="S230" i="48" s="1"/>
  <c r="P231" i="48"/>
  <c r="S231" i="48" s="1"/>
  <c r="P232" i="48"/>
  <c r="S232" i="48" s="1"/>
  <c r="P234" i="48"/>
  <c r="S234" i="48" s="1"/>
  <c r="P235" i="48"/>
  <c r="S235" i="48" s="1"/>
  <c r="P236" i="48"/>
  <c r="S236" i="48" s="1"/>
  <c r="P240" i="48"/>
  <c r="S240" i="48" s="1"/>
  <c r="P241" i="48"/>
  <c r="S241" i="48" s="1"/>
  <c r="P243" i="48"/>
  <c r="S243" i="48" s="1"/>
  <c r="P244" i="48"/>
  <c r="S244" i="48" s="1"/>
  <c r="P245" i="48"/>
  <c r="S245" i="48" s="1"/>
  <c r="P246" i="48"/>
  <c r="S246" i="48" s="1"/>
  <c r="P250" i="48"/>
  <c r="S250" i="48" s="1"/>
  <c r="M227" i="48"/>
  <c r="N227" i="48"/>
  <c r="M229" i="48"/>
  <c r="N229" i="48"/>
  <c r="N230" i="48"/>
  <c r="N231" i="48"/>
  <c r="N232" i="48"/>
  <c r="M234" i="48"/>
  <c r="N234" i="48"/>
  <c r="M235" i="48"/>
  <c r="N235" i="48"/>
  <c r="M236" i="48"/>
  <c r="N236" i="48"/>
  <c r="M240" i="48"/>
  <c r="N240" i="48"/>
  <c r="M241" i="48"/>
  <c r="N241" i="48"/>
  <c r="M243" i="48"/>
  <c r="N243" i="48"/>
  <c r="M244" i="48"/>
  <c r="N244" i="48"/>
  <c r="M245" i="48"/>
  <c r="N245" i="48"/>
  <c r="M246" i="48"/>
  <c r="N246" i="48"/>
  <c r="M250" i="48"/>
  <c r="N250" i="48"/>
  <c r="P197" i="48"/>
  <c r="S197" i="48" s="1"/>
  <c r="P198" i="48"/>
  <c r="S198" i="48" s="1"/>
  <c r="P199" i="48"/>
  <c r="S199" i="48" s="1"/>
  <c r="P200" i="48"/>
  <c r="S200" i="48" s="1"/>
  <c r="P201" i="48"/>
  <c r="S201" i="48" s="1"/>
  <c r="P202" i="48"/>
  <c r="S202" i="48" s="1"/>
  <c r="P203" i="48"/>
  <c r="S203" i="48" s="1"/>
  <c r="P207" i="48"/>
  <c r="S207" i="48" s="1"/>
  <c r="P208" i="48"/>
  <c r="S208" i="48" s="1"/>
  <c r="P209" i="48"/>
  <c r="S209" i="48" s="1"/>
  <c r="P210" i="48"/>
  <c r="S210" i="48" s="1"/>
  <c r="P211" i="48"/>
  <c r="S211" i="48" s="1"/>
  <c r="P212" i="48"/>
  <c r="S212" i="48" s="1"/>
  <c r="P214" i="48"/>
  <c r="S214" i="48" s="1"/>
  <c r="M197" i="48"/>
  <c r="N197" i="48"/>
  <c r="M198" i="48"/>
  <c r="N198" i="48"/>
  <c r="M199" i="48"/>
  <c r="N199" i="48"/>
  <c r="M200" i="48"/>
  <c r="N200" i="48"/>
  <c r="M201" i="48"/>
  <c r="N201" i="48"/>
  <c r="M202" i="48"/>
  <c r="N202" i="48"/>
  <c r="M203" i="48"/>
  <c r="N203" i="48"/>
  <c r="M207" i="48"/>
  <c r="N207" i="48"/>
  <c r="M208" i="48"/>
  <c r="N208" i="48"/>
  <c r="M209" i="48"/>
  <c r="N209" i="48"/>
  <c r="M210" i="48"/>
  <c r="N210" i="48"/>
  <c r="M211" i="48"/>
  <c r="N211" i="48"/>
  <c r="M212" i="48"/>
  <c r="N212" i="48"/>
  <c r="M214" i="48"/>
  <c r="N214" i="48"/>
  <c r="P167" i="48"/>
  <c r="S167" i="48" s="1"/>
  <c r="P168" i="48"/>
  <c r="S168" i="48" s="1"/>
  <c r="P169" i="48"/>
  <c r="S169" i="48" s="1"/>
  <c r="P170" i="48"/>
  <c r="S170" i="48" s="1"/>
  <c r="P171" i="48"/>
  <c r="S171" i="48" s="1"/>
  <c r="P173" i="48"/>
  <c r="S173" i="48" s="1"/>
  <c r="P174" i="48"/>
  <c r="S174" i="48" s="1"/>
  <c r="P175" i="48"/>
  <c r="S175" i="48" s="1"/>
  <c r="P179" i="48"/>
  <c r="S179" i="48" s="1"/>
  <c r="P180" i="48"/>
  <c r="S180" i="48" s="1"/>
  <c r="P182" i="48"/>
  <c r="S182" i="48" s="1"/>
  <c r="P183" i="48"/>
  <c r="S183" i="48" s="1"/>
  <c r="P184" i="48"/>
  <c r="P185" i="48"/>
  <c r="S185" i="48" s="1"/>
  <c r="P188" i="48"/>
  <c r="S188" i="48" s="1"/>
  <c r="M167" i="48"/>
  <c r="N167" i="48"/>
  <c r="M168" i="48"/>
  <c r="N168" i="48"/>
  <c r="M169" i="48"/>
  <c r="N169" i="48"/>
  <c r="M170" i="48"/>
  <c r="N170" i="48"/>
  <c r="M171" i="48"/>
  <c r="N171" i="48"/>
  <c r="M173" i="48"/>
  <c r="N173" i="48"/>
  <c r="M174" i="48"/>
  <c r="N174" i="48"/>
  <c r="M175" i="48"/>
  <c r="N175" i="48"/>
  <c r="M179" i="48"/>
  <c r="N179" i="48"/>
  <c r="M180" i="48"/>
  <c r="N180" i="48"/>
  <c r="M182" i="48"/>
  <c r="N182" i="48"/>
  <c r="M183" i="48"/>
  <c r="N183" i="48"/>
  <c r="M184" i="48"/>
  <c r="N184" i="48"/>
  <c r="M185" i="48"/>
  <c r="N185" i="48"/>
  <c r="M188" i="48"/>
  <c r="N188" i="48"/>
  <c r="P140" i="48"/>
  <c r="S140" i="48" s="1"/>
  <c r="P141" i="48"/>
  <c r="S141" i="48" s="1"/>
  <c r="P143" i="48"/>
  <c r="S143" i="48" s="1"/>
  <c r="P144" i="48"/>
  <c r="S144" i="48" s="1"/>
  <c r="P145" i="48"/>
  <c r="S145" i="48" s="1"/>
  <c r="P149" i="48"/>
  <c r="S149" i="48" s="1"/>
  <c r="P150" i="48"/>
  <c r="S150" i="48" s="1"/>
  <c r="P152" i="48"/>
  <c r="S152" i="48" s="1"/>
  <c r="P153" i="48"/>
  <c r="S153" i="48" s="1"/>
  <c r="P154" i="48"/>
  <c r="S154" i="48" s="1"/>
  <c r="P155" i="48"/>
  <c r="S155" i="48" s="1"/>
  <c r="P158" i="48"/>
  <c r="S158" i="48" s="1"/>
  <c r="M140" i="48"/>
  <c r="N140" i="48"/>
  <c r="M141" i="48"/>
  <c r="N141" i="48"/>
  <c r="M143" i="48"/>
  <c r="N143" i="48"/>
  <c r="M144" i="48"/>
  <c r="N144" i="48"/>
  <c r="M145" i="48"/>
  <c r="N145" i="48"/>
  <c r="M149" i="48"/>
  <c r="N149" i="48"/>
  <c r="M150" i="48"/>
  <c r="N150" i="48"/>
  <c r="M152" i="48"/>
  <c r="N152" i="48"/>
  <c r="M153" i="48"/>
  <c r="N153" i="48"/>
  <c r="M154" i="48"/>
  <c r="N154" i="48"/>
  <c r="M155" i="48"/>
  <c r="N155" i="48"/>
  <c r="M158" i="48"/>
  <c r="N158" i="48"/>
  <c r="P108" i="48"/>
  <c r="S108" i="48" s="1"/>
  <c r="P109" i="48"/>
  <c r="S109" i="48" s="1"/>
  <c r="P111" i="48"/>
  <c r="S111" i="48" s="1"/>
  <c r="P112" i="48"/>
  <c r="S112" i="48" s="1"/>
  <c r="P113" i="48"/>
  <c r="S113" i="48" s="1"/>
  <c r="P117" i="48"/>
  <c r="S117" i="48" s="1"/>
  <c r="P118" i="48"/>
  <c r="S118" i="48" s="1"/>
  <c r="P120" i="48"/>
  <c r="S120" i="48" s="1"/>
  <c r="P121" i="48"/>
  <c r="S121" i="48" s="1"/>
  <c r="P122" i="48"/>
  <c r="S122" i="48" s="1"/>
  <c r="P123" i="48"/>
  <c r="S123" i="48" s="1"/>
  <c r="P126" i="48"/>
  <c r="S126" i="48" s="1"/>
  <c r="M108" i="48"/>
  <c r="N108" i="48"/>
  <c r="M109" i="48"/>
  <c r="N109" i="48"/>
  <c r="M111" i="48"/>
  <c r="N111" i="48"/>
  <c r="M112" i="48"/>
  <c r="N112" i="48"/>
  <c r="M113" i="48"/>
  <c r="N113" i="48"/>
  <c r="M117" i="48"/>
  <c r="N117" i="48"/>
  <c r="M118" i="48"/>
  <c r="N118" i="48"/>
  <c r="M120" i="48"/>
  <c r="N120" i="48"/>
  <c r="M121" i="48"/>
  <c r="N121" i="48"/>
  <c r="M122" i="48"/>
  <c r="N122" i="48"/>
  <c r="M123" i="48"/>
  <c r="N123" i="48"/>
  <c r="M126" i="48"/>
  <c r="N126" i="48"/>
  <c r="P74" i="48"/>
  <c r="S74" i="48" s="1"/>
  <c r="P76" i="48"/>
  <c r="S76" i="48" s="1"/>
  <c r="P77" i="48"/>
  <c r="S77" i="48" s="1"/>
  <c r="P79" i="48"/>
  <c r="S79" i="48" s="1"/>
  <c r="P80" i="48"/>
  <c r="S80" i="48" s="1"/>
  <c r="P81" i="48"/>
  <c r="S81" i="48" s="1"/>
  <c r="P85" i="48"/>
  <c r="S85" i="48" s="1"/>
  <c r="P86" i="48"/>
  <c r="S86" i="48" s="1"/>
  <c r="P88" i="48"/>
  <c r="S88" i="48" s="1"/>
  <c r="P89" i="48"/>
  <c r="S89" i="48" s="1"/>
  <c r="P90" i="48"/>
  <c r="S90" i="48" s="1"/>
  <c r="P91" i="48"/>
  <c r="S91" i="48" s="1"/>
  <c r="P94" i="48"/>
  <c r="S94" i="48" s="1"/>
  <c r="M74" i="48"/>
  <c r="N74" i="48"/>
  <c r="M76" i="48"/>
  <c r="N76" i="48"/>
  <c r="M77" i="48"/>
  <c r="N77" i="48"/>
  <c r="M79" i="48"/>
  <c r="N79" i="48"/>
  <c r="M80" i="48"/>
  <c r="N80" i="48"/>
  <c r="M81" i="48"/>
  <c r="N81" i="48"/>
  <c r="M85" i="48"/>
  <c r="N85" i="48"/>
  <c r="M86" i="48"/>
  <c r="N86" i="48"/>
  <c r="M88" i="48"/>
  <c r="N88" i="48"/>
  <c r="M89" i="48"/>
  <c r="N89" i="48"/>
  <c r="M90" i="48"/>
  <c r="N90" i="48"/>
  <c r="M91" i="48"/>
  <c r="N91" i="48"/>
  <c r="M94" i="48"/>
  <c r="N94" i="48"/>
  <c r="R35" i="48"/>
  <c r="P44" i="48"/>
  <c r="S44" i="48" s="1"/>
  <c r="P45" i="48"/>
  <c r="S45" i="48" s="1"/>
  <c r="P48" i="48"/>
  <c r="S48" i="48" s="1"/>
  <c r="P49" i="48"/>
  <c r="S49" i="48" s="1"/>
  <c r="P53" i="48"/>
  <c r="S53" i="48" s="1"/>
  <c r="P54" i="48"/>
  <c r="S54" i="48" s="1"/>
  <c r="P56" i="48"/>
  <c r="S56" i="48" s="1"/>
  <c r="P57" i="48"/>
  <c r="S57" i="48" s="1"/>
  <c r="P58" i="48"/>
  <c r="S58" i="48" s="1"/>
  <c r="P62" i="48"/>
  <c r="M44" i="48"/>
  <c r="N44" i="48"/>
  <c r="M45" i="48"/>
  <c r="N45" i="48"/>
  <c r="M48" i="48"/>
  <c r="N48" i="48"/>
  <c r="M49" i="48"/>
  <c r="N49" i="48"/>
  <c r="M53" i="48"/>
  <c r="N53" i="48"/>
  <c r="M54" i="48"/>
  <c r="N54" i="48"/>
  <c r="M56" i="48"/>
  <c r="N56" i="48"/>
  <c r="M57" i="48"/>
  <c r="N57" i="48"/>
  <c r="M58" i="48"/>
  <c r="N58" i="48"/>
  <c r="M62" i="48"/>
  <c r="N62" i="48"/>
  <c r="M30" i="48"/>
  <c r="N30" i="48"/>
  <c r="P10" i="48"/>
  <c r="S10" i="48" s="1"/>
  <c r="P11" i="48"/>
  <c r="S11" i="48" s="1"/>
  <c r="P12" i="48"/>
  <c r="S12" i="48" s="1"/>
  <c r="P13" i="48"/>
  <c r="S13" i="48" s="1"/>
  <c r="P15" i="48"/>
  <c r="S15" i="48" s="1"/>
  <c r="P16" i="48"/>
  <c r="S16" i="48" s="1"/>
  <c r="P17" i="48"/>
  <c r="S17" i="48" s="1"/>
  <c r="P21" i="48"/>
  <c r="S21" i="48" s="1"/>
  <c r="P22" i="48"/>
  <c r="S22" i="48" s="1"/>
  <c r="P24" i="48"/>
  <c r="S24" i="48" s="1"/>
  <c r="P25" i="48"/>
  <c r="S25" i="48" s="1"/>
  <c r="P26" i="48"/>
  <c r="S26" i="48" s="1"/>
  <c r="P27" i="48"/>
  <c r="S27" i="48" s="1"/>
  <c r="P30" i="48"/>
  <c r="S30" i="48" s="1"/>
  <c r="N10" i="48"/>
  <c r="N11" i="48"/>
  <c r="N12" i="48"/>
  <c r="N13" i="48"/>
  <c r="N15" i="48"/>
  <c r="N16" i="48"/>
  <c r="N17" i="48"/>
  <c r="N21" i="48"/>
  <c r="N22" i="48"/>
  <c r="N24" i="48"/>
  <c r="N25" i="48"/>
  <c r="N26" i="48"/>
  <c r="N27" i="48"/>
  <c r="M10" i="48"/>
  <c r="M11" i="48"/>
  <c r="M12" i="48"/>
  <c r="M13" i="48"/>
  <c r="M15" i="48"/>
  <c r="M16" i="48"/>
  <c r="M17" i="48"/>
  <c r="M21" i="48"/>
  <c r="M22" i="48"/>
  <c r="M24" i="48"/>
  <c r="M25" i="48"/>
  <c r="M26" i="48"/>
  <c r="M27" i="48"/>
  <c r="O250" i="48"/>
  <c r="U250" i="48" s="1"/>
  <c r="L239" i="48"/>
  <c r="N239" i="48" s="1"/>
  <c r="AC222" i="48"/>
  <c r="AA222" i="48" s="1"/>
  <c r="AB222" i="48"/>
  <c r="L238" i="48"/>
  <c r="P238" i="48" s="1"/>
  <c r="S238" i="48" s="1"/>
  <c r="AC221" i="48"/>
  <c r="AA221" i="48" s="1"/>
  <c r="AB221" i="48"/>
  <c r="L237" i="48"/>
  <c r="AC220" i="48"/>
  <c r="AA220" i="48" s="1"/>
  <c r="AB220" i="48"/>
  <c r="AC219" i="48"/>
  <c r="AA219" i="48" s="1"/>
  <c r="AB219" i="48"/>
  <c r="AC218" i="48"/>
  <c r="AA218" i="48" s="1"/>
  <c r="AB218" i="48"/>
  <c r="AC217" i="48"/>
  <c r="AA217" i="48" s="1"/>
  <c r="AB217" i="48"/>
  <c r="AC216" i="48"/>
  <c r="AA216" i="48" s="1"/>
  <c r="AB216" i="48"/>
  <c r="AC215" i="48"/>
  <c r="AA215" i="48" s="1"/>
  <c r="AB215" i="48"/>
  <c r="AC214" i="48"/>
  <c r="AA214" i="48" s="1"/>
  <c r="AB214" i="48"/>
  <c r="AC213" i="48"/>
  <c r="AA213" i="48" s="1"/>
  <c r="AB213" i="48"/>
  <c r="AC212" i="48"/>
  <c r="AA212" i="48" s="1"/>
  <c r="AB212" i="48"/>
  <c r="AC211" i="48"/>
  <c r="AA211" i="48" s="1"/>
  <c r="AB211" i="48"/>
  <c r="M223" i="48"/>
  <c r="AC210" i="48"/>
  <c r="AA210" i="48" s="1"/>
  <c r="AB210" i="48"/>
  <c r="M222" i="48"/>
  <c r="AC209" i="48"/>
  <c r="AA209" i="48" s="1"/>
  <c r="AB209" i="48"/>
  <c r="L221" i="48"/>
  <c r="AC208" i="48"/>
  <c r="AA208" i="48" s="1"/>
  <c r="AB208" i="48"/>
  <c r="L218" i="48"/>
  <c r="R214" i="48"/>
  <c r="O214" i="48"/>
  <c r="U214" i="48" s="1"/>
  <c r="R212" i="48"/>
  <c r="R211" i="48"/>
  <c r="R210" i="48"/>
  <c r="Z197" i="48"/>
  <c r="Y197" i="48"/>
  <c r="W197" i="48"/>
  <c r="R209" i="48"/>
  <c r="DP182" i="48"/>
  <c r="DO182" i="48"/>
  <c r="DM182" i="48"/>
  <c r="DL182" i="48"/>
  <c r="DK182" i="48"/>
  <c r="DI182" i="48"/>
  <c r="DH182" i="48"/>
  <c r="DF182" i="48"/>
  <c r="DE182" i="48"/>
  <c r="DA182" i="48"/>
  <c r="CY182" i="48"/>
  <c r="CX182" i="48"/>
  <c r="CW182" i="48"/>
  <c r="CV182" i="48"/>
  <c r="CU182" i="48"/>
  <c r="CS182" i="48"/>
  <c r="CR182" i="48"/>
  <c r="CQ182" i="48"/>
  <c r="CP182" i="48"/>
  <c r="CO182" i="48"/>
  <c r="CJ182" i="48"/>
  <c r="CG182" i="48"/>
  <c r="CF182" i="48"/>
  <c r="CD182" i="48"/>
  <c r="CB182" i="48"/>
  <c r="CA182" i="48"/>
  <c r="BZ182" i="48"/>
  <c r="BY182" i="48"/>
  <c r="BS182" i="48"/>
  <c r="BR182" i="48"/>
  <c r="BN182" i="48"/>
  <c r="BM182" i="48"/>
  <c r="BL182" i="48"/>
  <c r="BK182" i="48"/>
  <c r="BJ182" i="48"/>
  <c r="BI182" i="48"/>
  <c r="Z196" i="48"/>
  <c r="Y196" i="48"/>
  <c r="W196" i="48"/>
  <c r="R208" i="48"/>
  <c r="DP181" i="48"/>
  <c r="DO181" i="48"/>
  <c r="DM181" i="48"/>
  <c r="DL181" i="48"/>
  <c r="DK181" i="48"/>
  <c r="DI181" i="48"/>
  <c r="DH181" i="48"/>
  <c r="DF181" i="48"/>
  <c r="DE181" i="48"/>
  <c r="DA181" i="48"/>
  <c r="CY181" i="48"/>
  <c r="CX181" i="48"/>
  <c r="CW181" i="48"/>
  <c r="CV181" i="48"/>
  <c r="CU181" i="48"/>
  <c r="CS181" i="48"/>
  <c r="CR181" i="48"/>
  <c r="CQ181" i="48"/>
  <c r="CP181" i="48"/>
  <c r="CO181" i="48"/>
  <c r="CJ181" i="48"/>
  <c r="CG181" i="48"/>
  <c r="CF181" i="48"/>
  <c r="CD181" i="48"/>
  <c r="CB181" i="48"/>
  <c r="CA181" i="48"/>
  <c r="BZ181" i="48"/>
  <c r="BY181" i="48"/>
  <c r="BS181" i="48"/>
  <c r="BR181" i="48"/>
  <c r="BN181" i="48"/>
  <c r="BM181" i="48"/>
  <c r="BL181" i="48"/>
  <c r="BK181" i="48"/>
  <c r="BJ181" i="48"/>
  <c r="BI181" i="48"/>
  <c r="AA195" i="48"/>
  <c r="Z195" i="48"/>
  <c r="Y195" i="48"/>
  <c r="W195" i="48"/>
  <c r="R207" i="48"/>
  <c r="DP180" i="48"/>
  <c r="DO180" i="48"/>
  <c r="DM180" i="48"/>
  <c r="DL180" i="48"/>
  <c r="DK180" i="48"/>
  <c r="DI180" i="48"/>
  <c r="DH180" i="48"/>
  <c r="DF180" i="48"/>
  <c r="DE180" i="48"/>
  <c r="DA180" i="48"/>
  <c r="CY180" i="48"/>
  <c r="CX180" i="48"/>
  <c r="CW180" i="48"/>
  <c r="CV180" i="48"/>
  <c r="CU180" i="48"/>
  <c r="CS180" i="48"/>
  <c r="CR180" i="48"/>
  <c r="CQ180" i="48"/>
  <c r="CP180" i="48"/>
  <c r="CO180" i="48"/>
  <c r="CJ180" i="48"/>
  <c r="CG180" i="48"/>
  <c r="CF180" i="48"/>
  <c r="CD180" i="48"/>
  <c r="CB180" i="48"/>
  <c r="CA180" i="48"/>
  <c r="BZ180" i="48"/>
  <c r="BY180" i="48"/>
  <c r="BS180" i="48"/>
  <c r="BR180" i="48"/>
  <c r="BN180" i="48"/>
  <c r="BM180" i="48"/>
  <c r="BL180" i="48"/>
  <c r="BK180" i="48"/>
  <c r="BJ180" i="48"/>
  <c r="BI180" i="48"/>
  <c r="AA194" i="48"/>
  <c r="Z194" i="48"/>
  <c r="Y194" i="48"/>
  <c r="W194" i="48"/>
  <c r="R206" i="48"/>
  <c r="L206" i="48"/>
  <c r="M206" i="48" s="1"/>
  <c r="DP179" i="48"/>
  <c r="DO179" i="48"/>
  <c r="DM179" i="48"/>
  <c r="DL179" i="48"/>
  <c r="DK179" i="48"/>
  <c r="DI179" i="48"/>
  <c r="DH179" i="48"/>
  <c r="DF179" i="48"/>
  <c r="DE179" i="48"/>
  <c r="DA179" i="48"/>
  <c r="CY179" i="48"/>
  <c r="CX179" i="48"/>
  <c r="CW179" i="48"/>
  <c r="CV179" i="48"/>
  <c r="CU179" i="48"/>
  <c r="CS179" i="48"/>
  <c r="CR179" i="48"/>
  <c r="CQ179" i="48"/>
  <c r="CP179" i="48"/>
  <c r="CO179" i="48"/>
  <c r="CJ179" i="48"/>
  <c r="CG179" i="48"/>
  <c r="CF179" i="48"/>
  <c r="CD179" i="48"/>
  <c r="CB179" i="48"/>
  <c r="CA179" i="48"/>
  <c r="BZ179" i="48"/>
  <c r="BY179" i="48"/>
  <c r="BS179" i="48"/>
  <c r="BR179" i="48"/>
  <c r="BN179" i="48"/>
  <c r="BM179" i="48"/>
  <c r="BL179" i="48"/>
  <c r="BK179" i="48"/>
  <c r="BJ179" i="48"/>
  <c r="BI179" i="48"/>
  <c r="AA193" i="48"/>
  <c r="Z193" i="48"/>
  <c r="Y193" i="48"/>
  <c r="W193" i="48"/>
  <c r="R205" i="48"/>
  <c r="O205" i="48"/>
  <c r="L205" i="48"/>
  <c r="N205" i="48" s="1"/>
  <c r="AA192" i="48"/>
  <c r="Z192" i="48"/>
  <c r="Y192" i="48"/>
  <c r="W192" i="48"/>
  <c r="R204" i="48"/>
  <c r="O204" i="48"/>
  <c r="L204" i="48"/>
  <c r="P204" i="48" s="1"/>
  <c r="AA191" i="48"/>
  <c r="Z191" i="48"/>
  <c r="Y191" i="48"/>
  <c r="W191" i="48"/>
  <c r="R203" i="48"/>
  <c r="EG176" i="48"/>
  <c r="EF176" i="48"/>
  <c r="EE176" i="48"/>
  <c r="ED176" i="48"/>
  <c r="EC176" i="48"/>
  <c r="EB176" i="48"/>
  <c r="EA176" i="48"/>
  <c r="DZ176" i="48"/>
  <c r="DY176" i="48"/>
  <c r="DX176" i="48"/>
  <c r="DW176" i="48"/>
  <c r="DV176" i="48"/>
  <c r="DO176" i="48"/>
  <c r="DN176" i="48"/>
  <c r="DM176" i="48"/>
  <c r="DL176" i="48"/>
  <c r="DK176" i="48"/>
  <c r="DI176" i="48"/>
  <c r="DH176" i="48"/>
  <c r="DF176" i="48"/>
  <c r="DE176" i="48"/>
  <c r="CY176" i="48"/>
  <c r="CX176" i="48"/>
  <c r="CV176" i="48"/>
  <c r="CU176" i="48"/>
  <c r="CS176" i="48"/>
  <c r="CR176" i="48"/>
  <c r="CQ176" i="48"/>
  <c r="CP176" i="48"/>
  <c r="CO176" i="48"/>
  <c r="CI176" i="48"/>
  <c r="CH176" i="48"/>
  <c r="CG176" i="48"/>
  <c r="CD176" i="48"/>
  <c r="CA176" i="48"/>
  <c r="BZ176" i="48"/>
  <c r="BY176" i="48"/>
  <c r="BU176" i="48"/>
  <c r="BT176" i="48"/>
  <c r="BS176" i="48"/>
  <c r="BR176" i="48"/>
  <c r="BN176" i="48"/>
  <c r="BL176" i="48"/>
  <c r="BK176" i="48"/>
  <c r="BJ176" i="48"/>
  <c r="BI176" i="48"/>
  <c r="AA190" i="48"/>
  <c r="Z190" i="48"/>
  <c r="Y190" i="48"/>
  <c r="W190" i="48"/>
  <c r="R202" i="48"/>
  <c r="EG175" i="48"/>
  <c r="EF175" i="48"/>
  <c r="EE175" i="48"/>
  <c r="ED175" i="48"/>
  <c r="EC175" i="48"/>
  <c r="EB175" i="48"/>
  <c r="EA175" i="48"/>
  <c r="DZ175" i="48"/>
  <c r="DY175" i="48"/>
  <c r="DX175" i="48"/>
  <c r="DW175" i="48"/>
  <c r="DV175" i="48"/>
  <c r="DO175" i="48"/>
  <c r="DN175" i="48"/>
  <c r="DM175" i="48"/>
  <c r="DL175" i="48"/>
  <c r="DK175" i="48"/>
  <c r="DI175" i="48"/>
  <c r="DH175" i="48"/>
  <c r="DF175" i="48"/>
  <c r="DE175" i="48"/>
  <c r="CY175" i="48"/>
  <c r="CX175" i="48"/>
  <c r="CV175" i="48"/>
  <c r="CU175" i="48"/>
  <c r="CS175" i="48"/>
  <c r="CR175" i="48"/>
  <c r="CQ175" i="48"/>
  <c r="CP175" i="48"/>
  <c r="CO175" i="48"/>
  <c r="CI175" i="48"/>
  <c r="CH175" i="48"/>
  <c r="CG175" i="48"/>
  <c r="CD175" i="48"/>
  <c r="CA175" i="48"/>
  <c r="BZ175" i="48"/>
  <c r="BY175" i="48"/>
  <c r="BU175" i="48"/>
  <c r="BT175" i="48"/>
  <c r="BS175" i="48"/>
  <c r="BR175" i="48"/>
  <c r="BN175" i="48"/>
  <c r="BL175" i="48"/>
  <c r="BK175" i="48"/>
  <c r="BJ175" i="48"/>
  <c r="BI175" i="48"/>
  <c r="AI175" i="48"/>
  <c r="AM175" i="48" s="1"/>
  <c r="AA189" i="48"/>
  <c r="Z189" i="48"/>
  <c r="Y189" i="48"/>
  <c r="W189" i="48"/>
  <c r="R201" i="48"/>
  <c r="EG174" i="48"/>
  <c r="EF174" i="48"/>
  <c r="EE174" i="48"/>
  <c r="ED174" i="48"/>
  <c r="EC174" i="48"/>
  <c r="EB174" i="48"/>
  <c r="EA174" i="48"/>
  <c r="DZ174" i="48"/>
  <c r="DY174" i="48"/>
  <c r="DX174" i="48"/>
  <c r="DW174" i="48"/>
  <c r="DV174" i="48"/>
  <c r="DO174" i="48"/>
  <c r="DN174" i="48"/>
  <c r="DM174" i="48"/>
  <c r="DL174" i="48"/>
  <c r="DK174" i="48"/>
  <c r="DI174" i="48"/>
  <c r="DH174" i="48"/>
  <c r="DF174" i="48"/>
  <c r="DE174" i="48"/>
  <c r="CY174" i="48"/>
  <c r="CX174" i="48"/>
  <c r="CV174" i="48"/>
  <c r="CU174" i="48"/>
  <c r="CS174" i="48"/>
  <c r="CR174" i="48"/>
  <c r="CQ174" i="48"/>
  <c r="CP174" i="48"/>
  <c r="CO174" i="48"/>
  <c r="CI174" i="48"/>
  <c r="CH174" i="48"/>
  <c r="CG174" i="48"/>
  <c r="CD174" i="48"/>
  <c r="CA174" i="48"/>
  <c r="BZ174" i="48"/>
  <c r="BY174" i="48"/>
  <c r="BU174" i="48"/>
  <c r="BT174" i="48"/>
  <c r="BS174" i="48"/>
  <c r="BR174" i="48"/>
  <c r="BN174" i="48"/>
  <c r="BL174" i="48"/>
  <c r="BK174" i="48"/>
  <c r="BJ174" i="48"/>
  <c r="BI174" i="48"/>
  <c r="AM174" i="48"/>
  <c r="AL174" i="48"/>
  <c r="AJ174" i="48"/>
  <c r="AA188" i="48"/>
  <c r="Z188" i="48"/>
  <c r="Y188" i="48"/>
  <c r="W188" i="48"/>
  <c r="R200" i="48"/>
  <c r="EG173" i="48"/>
  <c r="EF173" i="48"/>
  <c r="EE173" i="48"/>
  <c r="ED173" i="48"/>
  <c r="EC173" i="48"/>
  <c r="EB173" i="48"/>
  <c r="EA173" i="48"/>
  <c r="DZ173" i="48"/>
  <c r="DY173" i="48"/>
  <c r="DX173" i="48"/>
  <c r="DW173" i="48"/>
  <c r="DV173" i="48"/>
  <c r="DO173" i="48"/>
  <c r="DN173" i="48"/>
  <c r="DM173" i="48"/>
  <c r="DL173" i="48"/>
  <c r="DK173" i="48"/>
  <c r="DI173" i="48"/>
  <c r="DH173" i="48"/>
  <c r="DF173" i="48"/>
  <c r="DE173" i="48"/>
  <c r="CY173" i="48"/>
  <c r="CX173" i="48"/>
  <c r="CV173" i="48"/>
  <c r="CU173" i="48"/>
  <c r="CS173" i="48"/>
  <c r="CR173" i="48"/>
  <c r="CQ173" i="48"/>
  <c r="CP173" i="48"/>
  <c r="CO173" i="48"/>
  <c r="CI173" i="48"/>
  <c r="CH173" i="48"/>
  <c r="CG173" i="48"/>
  <c r="CD173" i="48"/>
  <c r="CA173" i="48"/>
  <c r="BZ173" i="48"/>
  <c r="BY173" i="48"/>
  <c r="BU173" i="48"/>
  <c r="BT173" i="48"/>
  <c r="BS173" i="48"/>
  <c r="BR173" i="48"/>
  <c r="BN173" i="48"/>
  <c r="BL173" i="48"/>
  <c r="BK173" i="48"/>
  <c r="BJ173" i="48"/>
  <c r="BI173" i="48"/>
  <c r="AM173" i="48"/>
  <c r="AL173" i="48"/>
  <c r="AJ173" i="48"/>
  <c r="AA187" i="48"/>
  <c r="Z187" i="48"/>
  <c r="Y187" i="48"/>
  <c r="W187" i="48"/>
  <c r="R199" i="48"/>
  <c r="AM172" i="48"/>
  <c r="AL172" i="48"/>
  <c r="AJ172" i="48"/>
  <c r="AA186" i="48"/>
  <c r="Z186" i="48"/>
  <c r="Y186" i="48"/>
  <c r="W186" i="48"/>
  <c r="R198" i="48"/>
  <c r="AH171" i="48"/>
  <c r="AA185" i="48"/>
  <c r="Z185" i="48"/>
  <c r="Y185" i="48"/>
  <c r="W185" i="48"/>
  <c r="R197" i="48"/>
  <c r="EG170" i="48"/>
  <c r="EF170" i="48"/>
  <c r="EE170" i="48"/>
  <c r="ED170" i="48"/>
  <c r="EC170" i="48"/>
  <c r="EB170" i="48"/>
  <c r="EA170" i="48"/>
  <c r="DZ170" i="48"/>
  <c r="DY170" i="48"/>
  <c r="DX170" i="48"/>
  <c r="DW170" i="48"/>
  <c r="DV170" i="48"/>
  <c r="DO170" i="48"/>
  <c r="DN170" i="48"/>
  <c r="DL170" i="48"/>
  <c r="DK170" i="48"/>
  <c r="DH170" i="48"/>
  <c r="DG170" i="48"/>
  <c r="DF170" i="48"/>
  <c r="DE170" i="48"/>
  <c r="DD170" i="48"/>
  <c r="CY170" i="48"/>
  <c r="CX170" i="48"/>
  <c r="CW170" i="48"/>
  <c r="CS170" i="48"/>
  <c r="CR170" i="48"/>
  <c r="CQ170" i="48"/>
  <c r="CP170" i="48"/>
  <c r="CI170" i="48"/>
  <c r="CF170" i="48"/>
  <c r="CC170" i="48"/>
  <c r="CA170" i="48"/>
  <c r="BZ170" i="48"/>
  <c r="BY170" i="48"/>
  <c r="BU170" i="48"/>
  <c r="BS170" i="48"/>
  <c r="BR170" i="48"/>
  <c r="BN170" i="48"/>
  <c r="BL170" i="48"/>
  <c r="BK170" i="48"/>
  <c r="BJ170" i="48"/>
  <c r="BI170" i="48"/>
  <c r="AA184" i="48"/>
  <c r="Z184" i="48"/>
  <c r="Y184" i="48"/>
  <c r="W184" i="48"/>
  <c r="R196" i="48"/>
  <c r="L196" i="48"/>
  <c r="M196" i="48" s="1"/>
  <c r="EG169" i="48"/>
  <c r="EF169" i="48"/>
  <c r="EE169" i="48"/>
  <c r="ED169" i="48"/>
  <c r="EC169" i="48"/>
  <c r="EB169" i="48"/>
  <c r="EA169" i="48"/>
  <c r="DZ169" i="48"/>
  <c r="DY169" i="48"/>
  <c r="DX169" i="48"/>
  <c r="DW169" i="48"/>
  <c r="DV169" i="48"/>
  <c r="DO169" i="48"/>
  <c r="DN169" i="48"/>
  <c r="DL169" i="48"/>
  <c r="DK169" i="48"/>
  <c r="DH169" i="48"/>
  <c r="DG169" i="48"/>
  <c r="DF169" i="48"/>
  <c r="DE169" i="48"/>
  <c r="DD169" i="48"/>
  <c r="CY169" i="48"/>
  <c r="CX169" i="48"/>
  <c r="CW169" i="48"/>
  <c r="CS169" i="48"/>
  <c r="CR169" i="48"/>
  <c r="CQ169" i="48"/>
  <c r="CP169" i="48"/>
  <c r="CI169" i="48"/>
  <c r="CF169" i="48"/>
  <c r="CC169" i="48"/>
  <c r="CA169" i="48"/>
  <c r="BZ169" i="48"/>
  <c r="BY169" i="48"/>
  <c r="BU169" i="48"/>
  <c r="BS169" i="48"/>
  <c r="BR169" i="48"/>
  <c r="BN169" i="48"/>
  <c r="BL169" i="48"/>
  <c r="BK169" i="48"/>
  <c r="BJ169" i="48"/>
  <c r="BI169" i="48"/>
  <c r="AA183" i="48"/>
  <c r="Z183" i="48"/>
  <c r="Y183" i="48"/>
  <c r="W183" i="48"/>
  <c r="R195" i="48"/>
  <c r="L195" i="48"/>
  <c r="M195" i="48" s="1"/>
  <c r="EG168" i="48"/>
  <c r="EF168" i="48"/>
  <c r="EE168" i="48"/>
  <c r="ED168" i="48"/>
  <c r="EC168" i="48"/>
  <c r="EB168" i="48"/>
  <c r="EA168" i="48"/>
  <c r="DZ168" i="48"/>
  <c r="DY168" i="48"/>
  <c r="DX168" i="48"/>
  <c r="DW168" i="48"/>
  <c r="DV168" i="48"/>
  <c r="DO168" i="48"/>
  <c r="DN168" i="48"/>
  <c r="DL168" i="48"/>
  <c r="DK168" i="48"/>
  <c r="DH168" i="48"/>
  <c r="DG168" i="48"/>
  <c r="DF168" i="48"/>
  <c r="DE168" i="48"/>
  <c r="DD168" i="48"/>
  <c r="CY168" i="48"/>
  <c r="CX168" i="48"/>
  <c r="CW168" i="48"/>
  <c r="CS168" i="48"/>
  <c r="CR168" i="48"/>
  <c r="CQ168" i="48"/>
  <c r="CP168" i="48"/>
  <c r="CI168" i="48"/>
  <c r="CF168" i="48"/>
  <c r="CC168" i="48"/>
  <c r="CA168" i="48"/>
  <c r="BZ168" i="48"/>
  <c r="BY168" i="48"/>
  <c r="BU168" i="48"/>
  <c r="BS168" i="48"/>
  <c r="BR168" i="48"/>
  <c r="BN168" i="48"/>
  <c r="BL168" i="48"/>
  <c r="BK168" i="48"/>
  <c r="BJ168" i="48"/>
  <c r="BI168" i="48"/>
  <c r="AA182" i="48"/>
  <c r="Z182" i="48"/>
  <c r="Y182" i="48"/>
  <c r="W182" i="48"/>
  <c r="R194" i="48"/>
  <c r="O194" i="48"/>
  <c r="L194" i="48"/>
  <c r="EG167" i="48"/>
  <c r="EF167" i="48"/>
  <c r="EE167" i="48"/>
  <c r="ED167" i="48"/>
  <c r="EC167" i="48"/>
  <c r="EB167" i="48"/>
  <c r="EA167" i="48"/>
  <c r="DZ167" i="48"/>
  <c r="DY167" i="48"/>
  <c r="DX167" i="48"/>
  <c r="DW167" i="48"/>
  <c r="DV167" i="48"/>
  <c r="DO167" i="48"/>
  <c r="DN167" i="48"/>
  <c r="DL167" i="48"/>
  <c r="DK167" i="48"/>
  <c r="DH167" i="48"/>
  <c r="DG167" i="48"/>
  <c r="DF167" i="48"/>
  <c r="DE167" i="48"/>
  <c r="DD167" i="48"/>
  <c r="CY167" i="48"/>
  <c r="CX167" i="48"/>
  <c r="CW167" i="48"/>
  <c r="CS167" i="48"/>
  <c r="CR167" i="48"/>
  <c r="CQ167" i="48"/>
  <c r="CP167" i="48"/>
  <c r="CI167" i="48"/>
  <c r="CF167" i="48"/>
  <c r="CC167" i="48"/>
  <c r="CA167" i="48"/>
  <c r="BZ167" i="48"/>
  <c r="BY167" i="48"/>
  <c r="BU167" i="48"/>
  <c r="BS167" i="48"/>
  <c r="BR167" i="48"/>
  <c r="BN167" i="48"/>
  <c r="BL167" i="48"/>
  <c r="BK167" i="48"/>
  <c r="BJ167" i="48"/>
  <c r="BI167" i="48"/>
  <c r="AA181" i="48"/>
  <c r="R193" i="48"/>
  <c r="L193" i="48"/>
  <c r="P193" i="48" s="1"/>
  <c r="AA180" i="48"/>
  <c r="L191" i="48"/>
  <c r="R188" i="48"/>
  <c r="O188" i="48"/>
  <c r="U188" i="48" s="1"/>
  <c r="R185" i="48"/>
  <c r="R184" i="48"/>
  <c r="O184" i="48"/>
  <c r="U184" i="48" s="1"/>
  <c r="R183" i="48"/>
  <c r="O183" i="48"/>
  <c r="U183" i="48" s="1"/>
  <c r="R182" i="48"/>
  <c r="R180" i="48"/>
  <c r="R179" i="48"/>
  <c r="R178" i="48"/>
  <c r="L178" i="48"/>
  <c r="M178" i="48" s="1"/>
  <c r="R177" i="48"/>
  <c r="O177" i="48"/>
  <c r="L177" i="48"/>
  <c r="M177" i="48" s="1"/>
  <c r="R176" i="48"/>
  <c r="O176" i="48"/>
  <c r="L176" i="48"/>
  <c r="M176" i="48" s="1"/>
  <c r="R175" i="48"/>
  <c r="R174" i="48"/>
  <c r="R171" i="48"/>
  <c r="O171" i="48"/>
  <c r="U171" i="48" s="1"/>
  <c r="R170" i="48"/>
  <c r="Z154" i="48"/>
  <c r="EX148" i="48"/>
  <c r="EW148" i="48"/>
  <c r="EV148" i="48"/>
  <c r="EU148" i="48"/>
  <c r="ET148" i="48"/>
  <c r="ES148" i="48"/>
  <c r="ER148" i="48"/>
  <c r="EQ148" i="48"/>
  <c r="EP148" i="48"/>
  <c r="EN148" i="48"/>
  <c r="EM148" i="48"/>
  <c r="R169" i="48"/>
  <c r="Y154" i="48"/>
  <c r="O173" i="48" s="1"/>
  <c r="EX147" i="48"/>
  <c r="EW147" i="48"/>
  <c r="EV147" i="48"/>
  <c r="EU147" i="48"/>
  <c r="ET147" i="48"/>
  <c r="ES147" i="48"/>
  <c r="ER147" i="48"/>
  <c r="EQ147" i="48"/>
  <c r="EP147" i="48"/>
  <c r="EN147" i="48"/>
  <c r="EM147" i="48"/>
  <c r="AI144" i="48"/>
  <c r="AL144" i="48" s="1"/>
  <c r="R168" i="48"/>
  <c r="AM143" i="48"/>
  <c r="AL143" i="48"/>
  <c r="AJ143" i="48"/>
  <c r="R167" i="48"/>
  <c r="AM142" i="48"/>
  <c r="AL142" i="48"/>
  <c r="AJ142" i="48"/>
  <c r="R166" i="48"/>
  <c r="L166" i="48"/>
  <c r="P166" i="48" s="1"/>
  <c r="AM141" i="48"/>
  <c r="AL141" i="48"/>
  <c r="AJ141" i="48"/>
  <c r="R165" i="48"/>
  <c r="M165" i="48"/>
  <c r="EX141" i="48"/>
  <c r="EW141" i="48"/>
  <c r="EV141" i="48"/>
  <c r="EU141" i="48"/>
  <c r="ET141" i="48"/>
  <c r="ES141" i="48"/>
  <c r="ER141" i="48"/>
  <c r="EQ141" i="48"/>
  <c r="EP141" i="48"/>
  <c r="EN141" i="48"/>
  <c r="AH140" i="48"/>
  <c r="R164" i="48"/>
  <c r="L164" i="48"/>
  <c r="M164" i="48" s="1"/>
  <c r="EX140" i="48"/>
  <c r="EV140" i="48"/>
  <c r="ET140" i="48"/>
  <c r="ES140" i="48"/>
  <c r="ER140" i="48"/>
  <c r="EQ140" i="48"/>
  <c r="EP140" i="48"/>
  <c r="EO140" i="48"/>
  <c r="R163" i="48"/>
  <c r="M163" i="48"/>
  <c r="AH146" i="48"/>
  <c r="L161" i="48"/>
  <c r="R158" i="48"/>
  <c r="O158" i="48"/>
  <c r="U158" i="48" s="1"/>
  <c r="R155" i="48"/>
  <c r="R154" i="48"/>
  <c r="O154" i="48"/>
  <c r="U154" i="48" s="1"/>
  <c r="R153" i="48"/>
  <c r="O153" i="48"/>
  <c r="U153" i="48" s="1"/>
  <c r="R152" i="48"/>
  <c r="R150" i="48"/>
  <c r="R149" i="48"/>
  <c r="R148" i="48"/>
  <c r="L148" i="48"/>
  <c r="M148" i="48" s="1"/>
  <c r="R147" i="48"/>
  <c r="O147" i="48"/>
  <c r="L147" i="48"/>
  <c r="M147" i="48" s="1"/>
  <c r="R146" i="48"/>
  <c r="O146" i="48"/>
  <c r="L146" i="48"/>
  <c r="M146" i="48" s="1"/>
  <c r="R145" i="48"/>
  <c r="DL121" i="48"/>
  <c r="DK121" i="48"/>
  <c r="DJ121" i="48"/>
  <c r="DI121" i="48"/>
  <c r="DH121" i="48"/>
  <c r="DG121" i="48"/>
  <c r="DF121" i="48"/>
  <c r="DE121" i="48"/>
  <c r="DD121" i="48"/>
  <c r="DC121" i="48"/>
  <c r="DB121" i="48"/>
  <c r="DA121" i="48"/>
  <c r="CY121" i="48"/>
  <c r="CX121" i="48"/>
  <c r="CW121" i="48"/>
  <c r="CV121" i="48"/>
  <c r="CU121" i="48"/>
  <c r="CT121" i="48"/>
  <c r="CS121" i="48"/>
  <c r="CR121" i="48"/>
  <c r="CQ121" i="48"/>
  <c r="CP121" i="48"/>
  <c r="BI121" i="48"/>
  <c r="AJ121" i="48"/>
  <c r="R144" i="48"/>
  <c r="DL120" i="48"/>
  <c r="DK120" i="48"/>
  <c r="DJ120" i="48"/>
  <c r="DI120" i="48"/>
  <c r="DH120" i="48"/>
  <c r="DG120" i="48"/>
  <c r="DF120" i="48"/>
  <c r="DE120" i="48"/>
  <c r="DD120" i="48"/>
  <c r="DC120" i="48"/>
  <c r="DB120" i="48"/>
  <c r="DA120" i="48"/>
  <c r="CY120" i="48"/>
  <c r="CX120" i="48"/>
  <c r="CW120" i="48"/>
  <c r="CV120" i="48"/>
  <c r="CU120" i="48"/>
  <c r="CT120" i="48"/>
  <c r="CS120" i="48"/>
  <c r="CR120" i="48"/>
  <c r="CQ120" i="48"/>
  <c r="CP120" i="48"/>
  <c r="BI120" i="48"/>
  <c r="R143" i="48"/>
  <c r="DL119" i="48"/>
  <c r="DK119" i="48"/>
  <c r="DJ119" i="48"/>
  <c r="DI119" i="48"/>
  <c r="DH119" i="48"/>
  <c r="DG119" i="48"/>
  <c r="DF119" i="48"/>
  <c r="DE119" i="48"/>
  <c r="DD119" i="48"/>
  <c r="DC119" i="48"/>
  <c r="DB119" i="48"/>
  <c r="DA119" i="48"/>
  <c r="CY119" i="48"/>
  <c r="CX119" i="48"/>
  <c r="CW119" i="48"/>
  <c r="CV119" i="48"/>
  <c r="CU119" i="48"/>
  <c r="CT119" i="48"/>
  <c r="CS119" i="48"/>
  <c r="CR119" i="48"/>
  <c r="CQ119" i="48"/>
  <c r="CP119" i="48"/>
  <c r="BI119" i="48"/>
  <c r="R141" i="48"/>
  <c r="DL118" i="48"/>
  <c r="DK118" i="48"/>
  <c r="DJ118" i="48"/>
  <c r="DI118" i="48"/>
  <c r="DH118" i="48"/>
  <c r="DG118" i="48"/>
  <c r="DF118" i="48"/>
  <c r="DE118" i="48"/>
  <c r="DD118" i="48"/>
  <c r="DC118" i="48"/>
  <c r="DB118" i="48"/>
  <c r="DA118" i="48"/>
  <c r="CY118" i="48"/>
  <c r="CX118" i="48"/>
  <c r="CW118" i="48"/>
  <c r="CV118" i="48"/>
  <c r="CU118" i="48"/>
  <c r="CT118" i="48"/>
  <c r="CS118" i="48"/>
  <c r="CR118" i="48"/>
  <c r="CQ118" i="48"/>
  <c r="CP118" i="48"/>
  <c r="BI118" i="48"/>
  <c r="AI118" i="48"/>
  <c r="AM118" i="48" s="1"/>
  <c r="R140" i="48"/>
  <c r="AM117" i="48"/>
  <c r="AL117" i="48"/>
  <c r="AJ117" i="48"/>
  <c r="R138" i="48"/>
  <c r="AM116" i="48"/>
  <c r="AL116" i="48"/>
  <c r="AJ116" i="48"/>
  <c r="R137" i="48"/>
  <c r="DL115" i="48"/>
  <c r="DK115" i="48"/>
  <c r="DJ115" i="48"/>
  <c r="DI115" i="48"/>
  <c r="DH115" i="48"/>
  <c r="DG115" i="48"/>
  <c r="DF115" i="48"/>
  <c r="DE115" i="48"/>
  <c r="DD115" i="48"/>
  <c r="DC115" i="48"/>
  <c r="DB115" i="48"/>
  <c r="DA115" i="48"/>
  <c r="CZ115" i="48"/>
  <c r="CY115" i="48"/>
  <c r="CX115" i="48"/>
  <c r="CW115" i="48"/>
  <c r="CV115" i="48"/>
  <c r="CU115" i="48"/>
  <c r="CT115" i="48"/>
  <c r="CS115" i="48"/>
  <c r="CR115" i="48"/>
  <c r="CQ115" i="48"/>
  <c r="CP115" i="48"/>
  <c r="BI115" i="48"/>
  <c r="AM115" i="48"/>
  <c r="AL115" i="48"/>
  <c r="AJ115" i="48"/>
  <c r="R134" i="48"/>
  <c r="P134" i="48"/>
  <c r="S134" i="48" s="1"/>
  <c r="DL114" i="48"/>
  <c r="DK114" i="48"/>
  <c r="DJ114" i="48"/>
  <c r="DI114" i="48"/>
  <c r="DH114" i="48"/>
  <c r="DG114" i="48"/>
  <c r="DF114" i="48"/>
  <c r="DE114" i="48"/>
  <c r="DD114" i="48"/>
  <c r="DC114" i="48"/>
  <c r="DB114" i="48"/>
  <c r="DA114" i="48"/>
  <c r="CZ114" i="48"/>
  <c r="CY114" i="48"/>
  <c r="CX114" i="48"/>
  <c r="CW114" i="48"/>
  <c r="CV114" i="48"/>
  <c r="CU114" i="48"/>
  <c r="CT114" i="48"/>
  <c r="CS114" i="48"/>
  <c r="CR114" i="48"/>
  <c r="CQ114" i="48"/>
  <c r="CP114" i="48"/>
  <c r="BI114" i="48"/>
  <c r="AH114" i="48"/>
  <c r="R133" i="48"/>
  <c r="DL113" i="48"/>
  <c r="DK113" i="48"/>
  <c r="DJ113" i="48"/>
  <c r="DI113" i="48"/>
  <c r="DH113" i="48"/>
  <c r="DG113" i="48"/>
  <c r="DF113" i="48"/>
  <c r="DE113" i="48"/>
  <c r="DD113" i="48"/>
  <c r="DC113" i="48"/>
  <c r="DB113" i="48"/>
  <c r="DA113" i="48"/>
  <c r="CZ113" i="48"/>
  <c r="CY113" i="48"/>
  <c r="CX113" i="48"/>
  <c r="CW113" i="48"/>
  <c r="CV113" i="48"/>
  <c r="CU113" i="48"/>
  <c r="CT113" i="48"/>
  <c r="CS113" i="48"/>
  <c r="CR113" i="48"/>
  <c r="CQ113" i="48"/>
  <c r="CP113" i="48"/>
  <c r="BI113" i="48"/>
  <c r="R132" i="48"/>
  <c r="L132" i="48"/>
  <c r="DL112" i="48"/>
  <c r="DK112" i="48"/>
  <c r="DJ112" i="48"/>
  <c r="DI112" i="48"/>
  <c r="DH112" i="48"/>
  <c r="DG112" i="48"/>
  <c r="DF112" i="48"/>
  <c r="DE112" i="48"/>
  <c r="DD112" i="48"/>
  <c r="DC112" i="48"/>
  <c r="DB112" i="48"/>
  <c r="DA112" i="48"/>
  <c r="CZ112" i="48"/>
  <c r="CY112" i="48"/>
  <c r="CX112" i="48"/>
  <c r="CW112" i="48"/>
  <c r="CV112" i="48"/>
  <c r="CU112" i="48"/>
  <c r="CT112" i="48"/>
  <c r="CS112" i="48"/>
  <c r="CR112" i="48"/>
  <c r="CQ112" i="48"/>
  <c r="CP112" i="48"/>
  <c r="BI112" i="48"/>
  <c r="R131" i="48"/>
  <c r="P131" i="48"/>
  <c r="S131" i="48" s="1"/>
  <c r="AH120" i="48"/>
  <c r="R126" i="48"/>
  <c r="O126" i="48"/>
  <c r="U126" i="48" s="1"/>
  <c r="R123" i="48"/>
  <c r="R122" i="48"/>
  <c r="O122" i="48"/>
  <c r="U122" i="48" s="1"/>
  <c r="R121" i="48"/>
  <c r="O121" i="48"/>
  <c r="U121" i="48" s="1"/>
  <c r="R120" i="48"/>
  <c r="R118" i="48"/>
  <c r="R117" i="48"/>
  <c r="R116" i="48"/>
  <c r="L116" i="48"/>
  <c r="M116" i="48" s="1"/>
  <c r="R115" i="48"/>
  <c r="O115" i="48"/>
  <c r="L115" i="48"/>
  <c r="M115" i="48" s="1"/>
  <c r="R114" i="48"/>
  <c r="O114" i="48"/>
  <c r="L114" i="48"/>
  <c r="R113" i="48"/>
  <c r="R112" i="48"/>
  <c r="R111" i="48"/>
  <c r="R109" i="48"/>
  <c r="EX95" i="48"/>
  <c r="EW95" i="48"/>
  <c r="EV95" i="48"/>
  <c r="EU95" i="48"/>
  <c r="ET95" i="48"/>
  <c r="ES95" i="48"/>
  <c r="ER95" i="48"/>
  <c r="EQ95" i="48"/>
  <c r="EP95" i="48"/>
  <c r="EO120" i="48"/>
  <c r="EN95" i="48"/>
  <c r="EM95" i="48"/>
  <c r="AJ91" i="48"/>
  <c r="AN91" i="48" s="1"/>
  <c r="R108" i="48"/>
  <c r="EX94" i="48"/>
  <c r="EX197" i="48" s="1"/>
  <c r="EW94" i="48"/>
  <c r="EW197" i="48" s="1"/>
  <c r="EV94" i="48"/>
  <c r="EU94" i="48"/>
  <c r="ET94" i="48"/>
  <c r="ET197" i="48" s="1"/>
  <c r="ES94" i="48"/>
  <c r="ES197" i="48" s="1"/>
  <c r="ER94" i="48"/>
  <c r="EQ94" i="48"/>
  <c r="EP94" i="48"/>
  <c r="EP197" i="48" s="1"/>
  <c r="EO94" i="48"/>
  <c r="EO197" i="48" s="1"/>
  <c r="EN94" i="48"/>
  <c r="EN197" i="48" s="1"/>
  <c r="EM94" i="48"/>
  <c r="AN90" i="48"/>
  <c r="AM90" i="48"/>
  <c r="AK90" i="48"/>
  <c r="AN89" i="48"/>
  <c r="AM89" i="48"/>
  <c r="AK89" i="48"/>
  <c r="R105" i="48"/>
  <c r="AN88" i="48"/>
  <c r="AM88" i="48"/>
  <c r="AK88" i="48"/>
  <c r="R102" i="48"/>
  <c r="P102" i="48"/>
  <c r="S102" i="48" s="1"/>
  <c r="AI87" i="48"/>
  <c r="R101" i="48"/>
  <c r="EX87" i="48"/>
  <c r="EW87" i="48"/>
  <c r="EV87" i="48"/>
  <c r="EU87" i="48"/>
  <c r="ET87" i="48"/>
  <c r="ES87" i="48"/>
  <c r="ES190" i="48" s="1"/>
  <c r="ER87" i="48"/>
  <c r="EQ87" i="48"/>
  <c r="EP87" i="48"/>
  <c r="EN87" i="48"/>
  <c r="EM87" i="48"/>
  <c r="R100" i="48"/>
  <c r="L100" i="48"/>
  <c r="EX86" i="48"/>
  <c r="EW86" i="48"/>
  <c r="EV86" i="48"/>
  <c r="EV189" i="48" s="1"/>
  <c r="EU86" i="48"/>
  <c r="ET86" i="48"/>
  <c r="ET189" i="48" s="1"/>
  <c r="ES86" i="48"/>
  <c r="ER86" i="48"/>
  <c r="EQ86" i="48"/>
  <c r="EP86" i="48"/>
  <c r="EP189" i="48" s="1"/>
  <c r="EO86" i="48"/>
  <c r="EN113" i="48"/>
  <c r="EM86" i="48"/>
  <c r="EM189" i="48" s="1"/>
  <c r="R99" i="48"/>
  <c r="P99" i="48"/>
  <c r="S99" i="48" s="1"/>
  <c r="AI93" i="48"/>
  <c r="R94" i="48"/>
  <c r="O94" i="48"/>
  <c r="R91" i="48"/>
  <c r="R90" i="48"/>
  <c r="R89" i="48"/>
  <c r="R88" i="48"/>
  <c r="DP73" i="48"/>
  <c r="DO73" i="48"/>
  <c r="DN73" i="48"/>
  <c r="DM73" i="48"/>
  <c r="DL73" i="48"/>
  <c r="DK73" i="48"/>
  <c r="DJ73" i="48"/>
  <c r="DI73" i="48"/>
  <c r="DH73" i="48"/>
  <c r="DG73" i="48"/>
  <c r="DF73" i="48"/>
  <c r="DE73" i="48"/>
  <c r="DA73" i="48"/>
  <c r="CZ73" i="48"/>
  <c r="CY73" i="48"/>
  <c r="CX73" i="48"/>
  <c r="CW73" i="48"/>
  <c r="CV73" i="48"/>
  <c r="CU73" i="48"/>
  <c r="CT73" i="48"/>
  <c r="CS73" i="48"/>
  <c r="CR73" i="48"/>
  <c r="CQ73" i="48"/>
  <c r="CP73" i="48"/>
  <c r="CJ73" i="48"/>
  <c r="CI73" i="48"/>
  <c r="CH73" i="48"/>
  <c r="CG73" i="48"/>
  <c r="CF73" i="48"/>
  <c r="CE73" i="48"/>
  <c r="CD73" i="48"/>
  <c r="CC73" i="48"/>
  <c r="CB73" i="48"/>
  <c r="CA73" i="48"/>
  <c r="BZ73" i="48"/>
  <c r="BY73" i="48"/>
  <c r="BU73" i="48"/>
  <c r="BT73" i="48"/>
  <c r="BS73" i="48"/>
  <c r="BR73" i="48"/>
  <c r="BQ73" i="48"/>
  <c r="BP73" i="48"/>
  <c r="BO73" i="48"/>
  <c r="BN73" i="48"/>
  <c r="BM73" i="48"/>
  <c r="BL73" i="48"/>
  <c r="BK73" i="48"/>
  <c r="BJ73" i="48"/>
  <c r="R86" i="48"/>
  <c r="DP72" i="48"/>
  <c r="DO72" i="48"/>
  <c r="DN72" i="48"/>
  <c r="DM72" i="48"/>
  <c r="DL72" i="48"/>
  <c r="DK72" i="48"/>
  <c r="DJ72" i="48"/>
  <c r="DI72" i="48"/>
  <c r="DH72" i="48"/>
  <c r="DG72" i="48"/>
  <c r="DF72" i="48"/>
  <c r="DE72" i="48"/>
  <c r="DA72" i="48"/>
  <c r="CZ72" i="48"/>
  <c r="CY72" i="48"/>
  <c r="CX72" i="48"/>
  <c r="CW72" i="48"/>
  <c r="CV72" i="48"/>
  <c r="CU72" i="48"/>
  <c r="CT72" i="48"/>
  <c r="CS72" i="48"/>
  <c r="CR72" i="48"/>
  <c r="CQ72" i="48"/>
  <c r="CP72" i="48"/>
  <c r="CJ72" i="48"/>
  <c r="CI72" i="48"/>
  <c r="CH72" i="48"/>
  <c r="CG72" i="48"/>
  <c r="CF72" i="48"/>
  <c r="CE72" i="48"/>
  <c r="CD72" i="48"/>
  <c r="CC72" i="48"/>
  <c r="CB72" i="48"/>
  <c r="CA72" i="48"/>
  <c r="BZ72" i="48"/>
  <c r="BY72" i="48"/>
  <c r="BU72" i="48"/>
  <c r="BT72" i="48"/>
  <c r="BS72" i="48"/>
  <c r="BR72" i="48"/>
  <c r="BQ72" i="48"/>
  <c r="BP72" i="48"/>
  <c r="BO72" i="48"/>
  <c r="BN72" i="48"/>
  <c r="BM72" i="48"/>
  <c r="BL72" i="48"/>
  <c r="BK72" i="48"/>
  <c r="BJ72" i="48"/>
  <c r="R85" i="48"/>
  <c r="DP71" i="48"/>
  <c r="DO71" i="48"/>
  <c r="DN71" i="48"/>
  <c r="DM71" i="48"/>
  <c r="DL71" i="48"/>
  <c r="DK71" i="48"/>
  <c r="DJ71" i="48"/>
  <c r="DI71" i="48"/>
  <c r="DH71" i="48"/>
  <c r="DG71" i="48"/>
  <c r="DF71" i="48"/>
  <c r="DE71" i="48"/>
  <c r="DA71" i="48"/>
  <c r="CZ71" i="48"/>
  <c r="CY71" i="48"/>
  <c r="CX71" i="48"/>
  <c r="CW71" i="48"/>
  <c r="CV71" i="48"/>
  <c r="CU71" i="48"/>
  <c r="CT71" i="48"/>
  <c r="CS71" i="48"/>
  <c r="CR71" i="48"/>
  <c r="CQ71" i="48"/>
  <c r="CP71" i="48"/>
  <c r="CJ71" i="48"/>
  <c r="CI71" i="48"/>
  <c r="CH71" i="48"/>
  <c r="CG71" i="48"/>
  <c r="CF71" i="48"/>
  <c r="CE71" i="48"/>
  <c r="CD71" i="48"/>
  <c r="CC71" i="48"/>
  <c r="CB71" i="48"/>
  <c r="CA71" i="48"/>
  <c r="BZ71" i="48"/>
  <c r="BY71" i="48"/>
  <c r="BU71" i="48"/>
  <c r="BT71" i="48"/>
  <c r="BS71" i="48"/>
  <c r="BR71" i="48"/>
  <c r="BQ71" i="48"/>
  <c r="BP71" i="48"/>
  <c r="BO71" i="48"/>
  <c r="BN71" i="48"/>
  <c r="BM71" i="48"/>
  <c r="BL71" i="48"/>
  <c r="BK71" i="48"/>
  <c r="BJ71" i="48"/>
  <c r="R84" i="48"/>
  <c r="L84" i="48"/>
  <c r="DP70" i="48"/>
  <c r="DO70" i="48"/>
  <c r="DN70" i="48"/>
  <c r="DM70" i="48"/>
  <c r="DL70" i="48"/>
  <c r="DK70" i="48"/>
  <c r="DJ70" i="48"/>
  <c r="DI70" i="48"/>
  <c r="DH70" i="48"/>
  <c r="DG70" i="48"/>
  <c r="DF70" i="48"/>
  <c r="DE70" i="48"/>
  <c r="DA70" i="48"/>
  <c r="CZ70" i="48"/>
  <c r="CY70" i="48"/>
  <c r="CX70" i="48"/>
  <c r="CW70" i="48"/>
  <c r="CV70" i="48"/>
  <c r="CU70" i="48"/>
  <c r="CT70" i="48"/>
  <c r="CS70" i="48"/>
  <c r="CR70" i="48"/>
  <c r="CQ70" i="48"/>
  <c r="CP70" i="48"/>
  <c r="CJ70" i="48"/>
  <c r="CI70" i="48"/>
  <c r="CH70" i="48"/>
  <c r="CG70" i="48"/>
  <c r="CF70" i="48"/>
  <c r="CE70" i="48"/>
  <c r="CD70" i="48"/>
  <c r="CC70" i="48"/>
  <c r="CB70" i="48"/>
  <c r="CA70" i="48"/>
  <c r="BZ70" i="48"/>
  <c r="BY70" i="48"/>
  <c r="BU70" i="48"/>
  <c r="BT70" i="48"/>
  <c r="BS70" i="48"/>
  <c r="BR70" i="48"/>
  <c r="BQ70" i="48"/>
  <c r="BP70" i="48"/>
  <c r="BO70" i="48"/>
  <c r="BN70" i="48"/>
  <c r="BM70" i="48"/>
  <c r="BL70" i="48"/>
  <c r="BK70" i="48"/>
  <c r="BJ70" i="48"/>
  <c r="R83" i="48"/>
  <c r="O83" i="48"/>
  <c r="L83" i="48"/>
  <c r="M83" i="48" s="1"/>
  <c r="R82" i="48"/>
  <c r="O82" i="48"/>
  <c r="L82" i="48"/>
  <c r="M82" i="48" s="1"/>
  <c r="R81" i="48"/>
  <c r="EG67" i="48"/>
  <c r="EF67" i="48"/>
  <c r="EE67" i="48"/>
  <c r="ED67" i="48"/>
  <c r="EC67" i="48"/>
  <c r="EB67" i="48"/>
  <c r="EA67" i="48"/>
  <c r="DZ67" i="48"/>
  <c r="DY67" i="48"/>
  <c r="DX67" i="48"/>
  <c r="DW67" i="48"/>
  <c r="DV67" i="48"/>
  <c r="DP67" i="48"/>
  <c r="DO67" i="48"/>
  <c r="DN67" i="48"/>
  <c r="DM67" i="48"/>
  <c r="DL67" i="48"/>
  <c r="DK67" i="48"/>
  <c r="DJ67" i="48"/>
  <c r="DI67" i="48"/>
  <c r="DH67" i="48"/>
  <c r="DG67" i="48"/>
  <c r="DF67" i="48"/>
  <c r="DE67" i="48"/>
  <c r="DA67" i="48"/>
  <c r="CZ67" i="48"/>
  <c r="CY67" i="48"/>
  <c r="CX67" i="48"/>
  <c r="CW67" i="48"/>
  <c r="CV67" i="48"/>
  <c r="CU67" i="48"/>
  <c r="CT67" i="48"/>
  <c r="CS67" i="48"/>
  <c r="CR67" i="48"/>
  <c r="CQ67" i="48"/>
  <c r="CP67" i="48"/>
  <c r="CJ67" i="48"/>
  <c r="CI67" i="48"/>
  <c r="CH67" i="48"/>
  <c r="CG67" i="48"/>
  <c r="CF67" i="48"/>
  <c r="CE67" i="48"/>
  <c r="CD67" i="48"/>
  <c r="CC67" i="48"/>
  <c r="CB67" i="48"/>
  <c r="CA67" i="48"/>
  <c r="BZ67" i="48"/>
  <c r="BY67" i="48"/>
  <c r="BU67" i="48"/>
  <c r="BT67" i="48"/>
  <c r="BS67" i="48"/>
  <c r="BR67" i="48"/>
  <c r="BQ67" i="48"/>
  <c r="BP67" i="48"/>
  <c r="BO67" i="48"/>
  <c r="BN67" i="48"/>
  <c r="BM67" i="48"/>
  <c r="BL67" i="48"/>
  <c r="BK67" i="48"/>
  <c r="BJ67" i="48"/>
  <c r="R80" i="48"/>
  <c r="EG66" i="48"/>
  <c r="EF66" i="48"/>
  <c r="EE66" i="48"/>
  <c r="ED66" i="48"/>
  <c r="EC66" i="48"/>
  <c r="EB66" i="48"/>
  <c r="EA66" i="48"/>
  <c r="DZ66" i="48"/>
  <c r="DY66" i="48"/>
  <c r="DX66" i="48"/>
  <c r="DW66" i="48"/>
  <c r="DV66" i="48"/>
  <c r="DP66" i="48"/>
  <c r="DO66" i="48"/>
  <c r="DN66" i="48"/>
  <c r="DM66" i="48"/>
  <c r="DL66" i="48"/>
  <c r="DK66" i="48"/>
  <c r="DJ66" i="48"/>
  <c r="DI66" i="48"/>
  <c r="DH66" i="48"/>
  <c r="DG66" i="48"/>
  <c r="DF66" i="48"/>
  <c r="DE66" i="48"/>
  <c r="DA66" i="48"/>
  <c r="CZ66" i="48"/>
  <c r="CY66" i="48"/>
  <c r="CX66" i="48"/>
  <c r="CW66" i="48"/>
  <c r="CV66" i="48"/>
  <c r="CU66" i="48"/>
  <c r="CT66" i="48"/>
  <c r="CS66" i="48"/>
  <c r="CR66" i="48"/>
  <c r="CQ66" i="48"/>
  <c r="CP66" i="48"/>
  <c r="CJ66" i="48"/>
  <c r="CI66" i="48"/>
  <c r="CH66" i="48"/>
  <c r="CG66" i="48"/>
  <c r="CF66" i="48"/>
  <c r="CE66" i="48"/>
  <c r="CD66" i="48"/>
  <c r="CC66" i="48"/>
  <c r="CB66" i="48"/>
  <c r="CA66" i="48"/>
  <c r="BZ66" i="48"/>
  <c r="BY66" i="48"/>
  <c r="BU66" i="48"/>
  <c r="BT66" i="48"/>
  <c r="BS66" i="48"/>
  <c r="BR66" i="48"/>
  <c r="BQ66" i="48"/>
  <c r="BP66" i="48"/>
  <c r="BO66" i="48"/>
  <c r="BN66" i="48"/>
  <c r="BM66" i="48"/>
  <c r="BL66" i="48"/>
  <c r="BK66" i="48"/>
  <c r="BJ66" i="48"/>
  <c r="R79" i="48"/>
  <c r="EG65" i="48"/>
  <c r="EF65" i="48"/>
  <c r="EE65" i="48"/>
  <c r="ED65" i="48"/>
  <c r="EC65" i="48"/>
  <c r="EB65" i="48"/>
  <c r="EA65" i="48"/>
  <c r="DZ65" i="48"/>
  <c r="DY65" i="48"/>
  <c r="DX65" i="48"/>
  <c r="DW65" i="48"/>
  <c r="DV65" i="48"/>
  <c r="DP65" i="48"/>
  <c r="DO65" i="48"/>
  <c r="DN65" i="48"/>
  <c r="DM65" i="48"/>
  <c r="DL65" i="48"/>
  <c r="DK65" i="48"/>
  <c r="DJ65" i="48"/>
  <c r="DI65" i="48"/>
  <c r="DH65" i="48"/>
  <c r="DG65" i="48"/>
  <c r="DF65" i="48"/>
  <c r="DE65" i="48"/>
  <c r="DA65" i="48"/>
  <c r="CZ65" i="48"/>
  <c r="CY65" i="48"/>
  <c r="CX65" i="48"/>
  <c r="CW65" i="48"/>
  <c r="CV65" i="48"/>
  <c r="CU65" i="48"/>
  <c r="CT65" i="48"/>
  <c r="CS65" i="48"/>
  <c r="CR65" i="48"/>
  <c r="CQ65" i="48"/>
  <c r="CP65" i="48"/>
  <c r="CJ65" i="48"/>
  <c r="CI65" i="48"/>
  <c r="CH65" i="48"/>
  <c r="CG65" i="48"/>
  <c r="CF65" i="48"/>
  <c r="CE65" i="48"/>
  <c r="CD65" i="48"/>
  <c r="CC65" i="48"/>
  <c r="CB65" i="48"/>
  <c r="CA65" i="48"/>
  <c r="BZ65" i="48"/>
  <c r="BY65" i="48"/>
  <c r="BU65" i="48"/>
  <c r="BT65" i="48"/>
  <c r="BS65" i="48"/>
  <c r="BR65" i="48"/>
  <c r="BQ65" i="48"/>
  <c r="BP65" i="48"/>
  <c r="BO65" i="48"/>
  <c r="BN65" i="48"/>
  <c r="BM65" i="48"/>
  <c r="BL65" i="48"/>
  <c r="BK65" i="48"/>
  <c r="BJ65" i="48"/>
  <c r="EG64" i="48"/>
  <c r="EF64" i="48"/>
  <c r="EE64" i="48"/>
  <c r="ED64" i="48"/>
  <c r="EC64" i="48"/>
  <c r="EB64" i="48"/>
  <c r="EA64" i="48"/>
  <c r="DZ64" i="48"/>
  <c r="DY64" i="48"/>
  <c r="DX64" i="48"/>
  <c r="DW64" i="48"/>
  <c r="DV64" i="48"/>
  <c r="DP64" i="48"/>
  <c r="DO64" i="48"/>
  <c r="DN64" i="48"/>
  <c r="DM64" i="48"/>
  <c r="DL64" i="48"/>
  <c r="DK64" i="48"/>
  <c r="DJ64" i="48"/>
  <c r="DI64" i="48"/>
  <c r="DH64" i="48"/>
  <c r="DG64" i="48"/>
  <c r="DF64" i="48"/>
  <c r="DE64" i="48"/>
  <c r="DA64" i="48"/>
  <c r="CZ64" i="48"/>
  <c r="CY64" i="48"/>
  <c r="CX64" i="48"/>
  <c r="CW64" i="48"/>
  <c r="CV64" i="48"/>
  <c r="CU64" i="48"/>
  <c r="CT64" i="48"/>
  <c r="CS64" i="48"/>
  <c r="CR64" i="48"/>
  <c r="CQ64" i="48"/>
  <c r="CP64" i="48"/>
  <c r="CJ64" i="48"/>
  <c r="CI64" i="48"/>
  <c r="CH64" i="48"/>
  <c r="CG64" i="48"/>
  <c r="CF64" i="48"/>
  <c r="CE64" i="48"/>
  <c r="CD64" i="48"/>
  <c r="CC64" i="48"/>
  <c r="CB64" i="48"/>
  <c r="CA64" i="48"/>
  <c r="BZ64" i="48"/>
  <c r="BY64" i="48"/>
  <c r="BU64" i="48"/>
  <c r="BT64" i="48"/>
  <c r="BS64" i="48"/>
  <c r="BR64" i="48"/>
  <c r="BQ64" i="48"/>
  <c r="BP64" i="48"/>
  <c r="BO64" i="48"/>
  <c r="BN64" i="48"/>
  <c r="BM64" i="48"/>
  <c r="BL64" i="48"/>
  <c r="BK64" i="48"/>
  <c r="BJ64" i="48"/>
  <c r="R76" i="48"/>
  <c r="R74" i="48"/>
  <c r="R73" i="48"/>
  <c r="N73" i="48"/>
  <c r="EG61" i="48"/>
  <c r="EF61" i="48"/>
  <c r="EE61" i="48"/>
  <c r="ED61" i="48"/>
  <c r="EC61" i="48"/>
  <c r="EB61" i="48"/>
  <c r="EA61" i="48"/>
  <c r="DZ61" i="48"/>
  <c r="DY61" i="48"/>
  <c r="DX61" i="48"/>
  <c r="DW61" i="48"/>
  <c r="DV61" i="48"/>
  <c r="DP61" i="48"/>
  <c r="DO61" i="48"/>
  <c r="DN61" i="48"/>
  <c r="DM61" i="48"/>
  <c r="DL61" i="48"/>
  <c r="DK61" i="48"/>
  <c r="DJ61" i="48"/>
  <c r="DI61" i="48"/>
  <c r="DH61" i="48"/>
  <c r="DG61" i="48"/>
  <c r="DF61" i="48"/>
  <c r="DE61" i="48"/>
  <c r="DA61" i="48"/>
  <c r="CZ61" i="48"/>
  <c r="CY61" i="48"/>
  <c r="CX61" i="48"/>
  <c r="CW61" i="48"/>
  <c r="CV61" i="48"/>
  <c r="CU61" i="48"/>
  <c r="CT61" i="48"/>
  <c r="CS61" i="48"/>
  <c r="CR61" i="48"/>
  <c r="CQ61" i="48"/>
  <c r="CP61" i="48"/>
  <c r="CJ61" i="48"/>
  <c r="CI61" i="48"/>
  <c r="CH61" i="48"/>
  <c r="CG61" i="48"/>
  <c r="CF61" i="48"/>
  <c r="CE61" i="48"/>
  <c r="CD61" i="48"/>
  <c r="CC61" i="48"/>
  <c r="CB61" i="48"/>
  <c r="CA61" i="48"/>
  <c r="BZ61" i="48"/>
  <c r="BY61" i="48"/>
  <c r="BU61" i="48"/>
  <c r="BT61" i="48"/>
  <c r="BS61" i="48"/>
  <c r="BR61" i="48"/>
  <c r="BQ61" i="48"/>
  <c r="BP61" i="48"/>
  <c r="BO61" i="48"/>
  <c r="BN61" i="48"/>
  <c r="BM61" i="48"/>
  <c r="BL61" i="48"/>
  <c r="BK61" i="48"/>
  <c r="BJ61" i="48"/>
  <c r="R70" i="48"/>
  <c r="P70" i="48"/>
  <c r="EG60" i="48"/>
  <c r="EF60" i="48"/>
  <c r="EE60" i="48"/>
  <c r="ED60" i="48"/>
  <c r="EC60" i="48"/>
  <c r="EB60" i="48"/>
  <c r="EA60" i="48"/>
  <c r="DZ60" i="48"/>
  <c r="DY60" i="48"/>
  <c r="DX60" i="48"/>
  <c r="DW60" i="48"/>
  <c r="DV60" i="48"/>
  <c r="DP60" i="48"/>
  <c r="DO60" i="48"/>
  <c r="DN60" i="48"/>
  <c r="DM60" i="48"/>
  <c r="DL60" i="48"/>
  <c r="DK60" i="48"/>
  <c r="DJ60" i="48"/>
  <c r="DI60" i="48"/>
  <c r="DH60" i="48"/>
  <c r="DG60" i="48"/>
  <c r="DF60" i="48"/>
  <c r="DE60" i="48"/>
  <c r="DA60" i="48"/>
  <c r="CZ60" i="48"/>
  <c r="CY60" i="48"/>
  <c r="CX60" i="48"/>
  <c r="CW60" i="48"/>
  <c r="CV60" i="48"/>
  <c r="CU60" i="48"/>
  <c r="CT60" i="48"/>
  <c r="CS60" i="48"/>
  <c r="CR60" i="48"/>
  <c r="CQ60" i="48"/>
  <c r="CP60" i="48"/>
  <c r="CJ60" i="48"/>
  <c r="CI60" i="48"/>
  <c r="CH60" i="48"/>
  <c r="CG60" i="48"/>
  <c r="CF60" i="48"/>
  <c r="CE60" i="48"/>
  <c r="CD60" i="48"/>
  <c r="CC60" i="48"/>
  <c r="CB60" i="48"/>
  <c r="CA60" i="48"/>
  <c r="BZ60" i="48"/>
  <c r="BY60" i="48"/>
  <c r="BU60" i="48"/>
  <c r="BT60" i="48"/>
  <c r="BS60" i="48"/>
  <c r="BR60" i="48"/>
  <c r="BQ60" i="48"/>
  <c r="BP60" i="48"/>
  <c r="BO60" i="48"/>
  <c r="BN60" i="48"/>
  <c r="BM60" i="48"/>
  <c r="BL60" i="48"/>
  <c r="BK60" i="48"/>
  <c r="BJ60" i="48"/>
  <c r="R69" i="48"/>
  <c r="EG59" i="48"/>
  <c r="EF59" i="48"/>
  <c r="EE59" i="48"/>
  <c r="ED59" i="48"/>
  <c r="EC59" i="48"/>
  <c r="EB59" i="48"/>
  <c r="EA59" i="48"/>
  <c r="DZ59" i="48"/>
  <c r="DY59" i="48"/>
  <c r="DX59" i="48"/>
  <c r="DW59" i="48"/>
  <c r="DV59" i="48"/>
  <c r="DP59" i="48"/>
  <c r="DO59" i="48"/>
  <c r="DN59" i="48"/>
  <c r="DM59" i="48"/>
  <c r="DL59" i="48"/>
  <c r="DK59" i="48"/>
  <c r="DJ59" i="48"/>
  <c r="DI59" i="48"/>
  <c r="DH59" i="48"/>
  <c r="DG59" i="48"/>
  <c r="DF59" i="48"/>
  <c r="DE59" i="48"/>
  <c r="DA59" i="48"/>
  <c r="CZ59" i="48"/>
  <c r="CY59" i="48"/>
  <c r="CX59" i="48"/>
  <c r="CW59" i="48"/>
  <c r="CV59" i="48"/>
  <c r="CU59" i="48"/>
  <c r="CT59" i="48"/>
  <c r="CS59" i="48"/>
  <c r="CR59" i="48"/>
  <c r="CQ59" i="48"/>
  <c r="CP59" i="48"/>
  <c r="CJ59" i="48"/>
  <c r="CI59" i="48"/>
  <c r="CH59" i="48"/>
  <c r="CG59" i="48"/>
  <c r="CF59" i="48"/>
  <c r="CE59" i="48"/>
  <c r="CD59" i="48"/>
  <c r="CC59" i="48"/>
  <c r="CB59" i="48"/>
  <c r="CA59" i="48"/>
  <c r="BZ59" i="48"/>
  <c r="BY59" i="48"/>
  <c r="BU59" i="48"/>
  <c r="BT59" i="48"/>
  <c r="BS59" i="48"/>
  <c r="BR59" i="48"/>
  <c r="BQ59" i="48"/>
  <c r="BP59" i="48"/>
  <c r="BO59" i="48"/>
  <c r="BN59" i="48"/>
  <c r="BM59" i="48"/>
  <c r="BL59" i="48"/>
  <c r="BK59" i="48"/>
  <c r="BJ59" i="48"/>
  <c r="R68" i="48"/>
  <c r="O68" i="48"/>
  <c r="L68" i="48"/>
  <c r="EG58" i="48"/>
  <c r="EF58" i="48"/>
  <c r="EE58" i="48"/>
  <c r="ED58" i="48"/>
  <c r="EC58" i="48"/>
  <c r="EB58" i="48"/>
  <c r="EA58" i="48"/>
  <c r="DZ58" i="48"/>
  <c r="DY58" i="48"/>
  <c r="DX58" i="48"/>
  <c r="DW58" i="48"/>
  <c r="DV58" i="48"/>
  <c r="DP58" i="48"/>
  <c r="DO58" i="48"/>
  <c r="DN58" i="48"/>
  <c r="DM58" i="48"/>
  <c r="DL58" i="48"/>
  <c r="DK58" i="48"/>
  <c r="DJ58" i="48"/>
  <c r="DI58" i="48"/>
  <c r="DH58" i="48"/>
  <c r="DG58" i="48"/>
  <c r="DF58" i="48"/>
  <c r="DE58" i="48"/>
  <c r="DA58" i="48"/>
  <c r="CZ58" i="48"/>
  <c r="CY58" i="48"/>
  <c r="CX58" i="48"/>
  <c r="CW58" i="48"/>
  <c r="CV58" i="48"/>
  <c r="CU58" i="48"/>
  <c r="CT58" i="48"/>
  <c r="CS58" i="48"/>
  <c r="CR58" i="48"/>
  <c r="CQ58" i="48"/>
  <c r="CP58" i="48"/>
  <c r="CJ58" i="48"/>
  <c r="CI58" i="48"/>
  <c r="CH58" i="48"/>
  <c r="CG58" i="48"/>
  <c r="CF58" i="48"/>
  <c r="CE58" i="48"/>
  <c r="CD58" i="48"/>
  <c r="CC58" i="48"/>
  <c r="CB58" i="48"/>
  <c r="CA58" i="48"/>
  <c r="BZ58" i="48"/>
  <c r="BY58" i="48"/>
  <c r="BU58" i="48"/>
  <c r="BT58" i="48"/>
  <c r="BS58" i="48"/>
  <c r="BR58" i="48"/>
  <c r="BQ58" i="48"/>
  <c r="BP58" i="48"/>
  <c r="BO58" i="48"/>
  <c r="BN58" i="48"/>
  <c r="BM58" i="48"/>
  <c r="BL58" i="48"/>
  <c r="BK58" i="48"/>
  <c r="BJ58" i="48"/>
  <c r="R67" i="48"/>
  <c r="P67" i="48"/>
  <c r="R62" i="48"/>
  <c r="O62" i="48"/>
  <c r="R59" i="48"/>
  <c r="L59" i="48"/>
  <c r="P59" i="48" s="1"/>
  <c r="R58" i="48"/>
  <c r="R57" i="48"/>
  <c r="R56" i="48"/>
  <c r="DP46" i="48"/>
  <c r="DO46" i="48"/>
  <c r="DN46" i="48"/>
  <c r="DM46" i="48"/>
  <c r="DL46" i="48"/>
  <c r="DK46" i="48"/>
  <c r="DJ46" i="48"/>
  <c r="DI46" i="48"/>
  <c r="DH46" i="48"/>
  <c r="DG46" i="48"/>
  <c r="DF46" i="48"/>
  <c r="DE46" i="48"/>
  <c r="DA46" i="48"/>
  <c r="CZ46" i="48"/>
  <c r="CY46" i="48"/>
  <c r="CX46" i="48"/>
  <c r="CW46" i="48"/>
  <c r="CV46" i="48"/>
  <c r="CU46" i="48"/>
  <c r="CT46" i="48"/>
  <c r="CS46" i="48"/>
  <c r="CR46" i="48"/>
  <c r="CQ46" i="48"/>
  <c r="CP46" i="48"/>
  <c r="CJ46" i="48"/>
  <c r="CI46" i="48"/>
  <c r="CH46" i="48"/>
  <c r="CG46" i="48"/>
  <c r="CF46" i="48"/>
  <c r="CE46" i="48"/>
  <c r="CD46" i="48"/>
  <c r="CC46" i="48"/>
  <c r="CB46" i="48"/>
  <c r="CA46" i="48"/>
  <c r="BZ46" i="48"/>
  <c r="BY46" i="48"/>
  <c r="BU46" i="48"/>
  <c r="BT46" i="48"/>
  <c r="BS46" i="48"/>
  <c r="BR46" i="48"/>
  <c r="BQ46" i="48"/>
  <c r="BP46" i="48"/>
  <c r="BO46" i="48"/>
  <c r="BN46" i="48"/>
  <c r="BM46" i="48"/>
  <c r="BL46" i="48"/>
  <c r="BK46" i="48"/>
  <c r="BJ46" i="48"/>
  <c r="R54" i="48"/>
  <c r="DP45" i="48"/>
  <c r="DO45" i="48"/>
  <c r="DN45" i="48"/>
  <c r="DM45" i="48"/>
  <c r="DL45" i="48"/>
  <c r="DK45" i="48"/>
  <c r="DJ45" i="48"/>
  <c r="DI45" i="48"/>
  <c r="DH45" i="48"/>
  <c r="DG45" i="48"/>
  <c r="DF45" i="48"/>
  <c r="DE45" i="48"/>
  <c r="DA45" i="48"/>
  <c r="CZ45" i="48"/>
  <c r="CY45" i="48"/>
  <c r="CX45" i="48"/>
  <c r="CW45" i="48"/>
  <c r="CV45" i="48"/>
  <c r="CU45" i="48"/>
  <c r="CT45" i="48"/>
  <c r="CS45" i="48"/>
  <c r="CR45" i="48"/>
  <c r="CQ45" i="48"/>
  <c r="CP45" i="48"/>
  <c r="CJ45" i="48"/>
  <c r="CI45" i="48"/>
  <c r="CH45" i="48"/>
  <c r="CG45" i="48"/>
  <c r="CF45" i="48"/>
  <c r="CE45" i="48"/>
  <c r="CD45" i="48"/>
  <c r="CC45" i="48"/>
  <c r="CB45" i="48"/>
  <c r="CA45" i="48"/>
  <c r="BZ45" i="48"/>
  <c r="BY45" i="48"/>
  <c r="BU45" i="48"/>
  <c r="BT45" i="48"/>
  <c r="BS45" i="48"/>
  <c r="BR45" i="48"/>
  <c r="BQ45" i="48"/>
  <c r="BP45" i="48"/>
  <c r="BO45" i="48"/>
  <c r="BN45" i="48"/>
  <c r="BM45" i="48"/>
  <c r="BL45" i="48"/>
  <c r="BK45" i="48"/>
  <c r="BJ45" i="48"/>
  <c r="R53" i="48"/>
  <c r="DP44" i="48"/>
  <c r="DO44" i="48"/>
  <c r="DN44" i="48"/>
  <c r="DM44" i="48"/>
  <c r="DL44" i="48"/>
  <c r="DK44" i="48"/>
  <c r="DJ44" i="48"/>
  <c r="DI44" i="48"/>
  <c r="DH44" i="48"/>
  <c r="DG44" i="48"/>
  <c r="DF44" i="48"/>
  <c r="DE44" i="48"/>
  <c r="DA44" i="48"/>
  <c r="CZ44" i="48"/>
  <c r="CY44" i="48"/>
  <c r="CX44" i="48"/>
  <c r="CW44" i="48"/>
  <c r="CV44" i="48"/>
  <c r="CU44" i="48"/>
  <c r="CT44" i="48"/>
  <c r="CS44" i="48"/>
  <c r="CR44" i="48"/>
  <c r="CQ44" i="48"/>
  <c r="CP44" i="48"/>
  <c r="CJ44" i="48"/>
  <c r="CI44" i="48"/>
  <c r="CH44" i="48"/>
  <c r="CG44" i="48"/>
  <c r="CF44" i="48"/>
  <c r="CE44" i="48"/>
  <c r="CD44" i="48"/>
  <c r="CC44" i="48"/>
  <c r="CB44" i="48"/>
  <c r="CA44" i="48"/>
  <c r="BZ44" i="48"/>
  <c r="BY44" i="48"/>
  <c r="BU44" i="48"/>
  <c r="BT44" i="48"/>
  <c r="BS44" i="48"/>
  <c r="BR44" i="48"/>
  <c r="BQ44" i="48"/>
  <c r="BP44" i="48"/>
  <c r="BO44" i="48"/>
  <c r="BN44" i="48"/>
  <c r="BM44" i="48"/>
  <c r="BL44" i="48"/>
  <c r="BK44" i="48"/>
  <c r="BJ44" i="48"/>
  <c r="R52" i="48"/>
  <c r="L52" i="48"/>
  <c r="M52" i="48" s="1"/>
  <c r="DP43" i="48"/>
  <c r="DO43" i="48"/>
  <c r="DN43" i="48"/>
  <c r="DM43" i="48"/>
  <c r="DL43" i="48"/>
  <c r="DK43" i="48"/>
  <c r="DJ43" i="48"/>
  <c r="DI43" i="48"/>
  <c r="DH43" i="48"/>
  <c r="DG43" i="48"/>
  <c r="DF43" i="48"/>
  <c r="DE43" i="48"/>
  <c r="DA43" i="48"/>
  <c r="CZ43" i="48"/>
  <c r="CY43" i="48"/>
  <c r="CX43" i="48"/>
  <c r="CW43" i="48"/>
  <c r="CV43" i="48"/>
  <c r="CU43" i="48"/>
  <c r="CT43" i="48"/>
  <c r="CS43" i="48"/>
  <c r="CR43" i="48"/>
  <c r="CQ43" i="48"/>
  <c r="CP43" i="48"/>
  <c r="CJ43" i="48"/>
  <c r="CI43" i="48"/>
  <c r="CH43" i="48"/>
  <c r="CG43" i="48"/>
  <c r="CF43" i="48"/>
  <c r="CE43" i="48"/>
  <c r="CD43" i="48"/>
  <c r="CC43" i="48"/>
  <c r="CB43" i="48"/>
  <c r="CA43" i="48"/>
  <c r="BZ43" i="48"/>
  <c r="BY43" i="48"/>
  <c r="BU43" i="48"/>
  <c r="BT43" i="48"/>
  <c r="BS43" i="48"/>
  <c r="BR43" i="48"/>
  <c r="BQ43" i="48"/>
  <c r="BP43" i="48"/>
  <c r="BO43" i="48"/>
  <c r="BN43" i="48"/>
  <c r="BM43" i="48"/>
  <c r="BL43" i="48"/>
  <c r="BK43" i="48"/>
  <c r="BJ43" i="48"/>
  <c r="R51" i="48"/>
  <c r="O51" i="48"/>
  <c r="L51" i="48"/>
  <c r="M51" i="48" s="1"/>
  <c r="R50" i="48"/>
  <c r="O50" i="48"/>
  <c r="L50" i="48"/>
  <c r="M50" i="48" s="1"/>
  <c r="R49" i="48"/>
  <c r="EG40" i="48"/>
  <c r="EF40" i="48"/>
  <c r="EE40" i="48"/>
  <c r="ED40" i="48"/>
  <c r="EC40" i="48"/>
  <c r="EB40" i="48"/>
  <c r="EA40" i="48"/>
  <c r="DZ40" i="48"/>
  <c r="DY40" i="48"/>
  <c r="DX40" i="48"/>
  <c r="DW40" i="48"/>
  <c r="DV40" i="48"/>
  <c r="DP40" i="48"/>
  <c r="DO40" i="48"/>
  <c r="DN40" i="48"/>
  <c r="DM40" i="48"/>
  <c r="DL40" i="48"/>
  <c r="DK40" i="48"/>
  <c r="DJ40" i="48"/>
  <c r="DI40" i="48"/>
  <c r="DH40" i="48"/>
  <c r="DG40" i="48"/>
  <c r="DF40" i="48"/>
  <c r="DE40" i="48"/>
  <c r="DA40" i="48"/>
  <c r="CZ40" i="48"/>
  <c r="CY40" i="48"/>
  <c r="CX40" i="48"/>
  <c r="CW40" i="48"/>
  <c r="CV40" i="48"/>
  <c r="CU40" i="48"/>
  <c r="CT40" i="48"/>
  <c r="CS40" i="48"/>
  <c r="CR40" i="48"/>
  <c r="CQ40" i="48"/>
  <c r="CP40" i="48"/>
  <c r="CJ40" i="48"/>
  <c r="CI40" i="48"/>
  <c r="CH40" i="48"/>
  <c r="CG40" i="48"/>
  <c r="CF40" i="48"/>
  <c r="CE40" i="48"/>
  <c r="CD40" i="48"/>
  <c r="CC40" i="48"/>
  <c r="CB40" i="48"/>
  <c r="CA40" i="48"/>
  <c r="BZ40" i="48"/>
  <c r="BY40" i="48"/>
  <c r="BU40" i="48"/>
  <c r="BT40" i="48"/>
  <c r="BS40" i="48"/>
  <c r="BR40" i="48"/>
  <c r="BQ40" i="48"/>
  <c r="BP40" i="48"/>
  <c r="BO40" i="48"/>
  <c r="BN40" i="48"/>
  <c r="BM40" i="48"/>
  <c r="BL40" i="48"/>
  <c r="BK40" i="48"/>
  <c r="BJ40" i="48"/>
  <c r="R48" i="48"/>
  <c r="EG39" i="48"/>
  <c r="EF39" i="48"/>
  <c r="EE39" i="48"/>
  <c r="ED39" i="48"/>
  <c r="EC39" i="48"/>
  <c r="EB39" i="48"/>
  <c r="EA39" i="48"/>
  <c r="DZ39" i="48"/>
  <c r="DY39" i="48"/>
  <c r="DX39" i="48"/>
  <c r="DW39" i="48"/>
  <c r="DV39" i="48"/>
  <c r="DP39" i="48"/>
  <c r="DO39" i="48"/>
  <c r="DN39" i="48"/>
  <c r="DM39" i="48"/>
  <c r="DL39" i="48"/>
  <c r="DK39" i="48"/>
  <c r="DJ39" i="48"/>
  <c r="DI39" i="48"/>
  <c r="DH39" i="48"/>
  <c r="DG39" i="48"/>
  <c r="DF39" i="48"/>
  <c r="DE39" i="48"/>
  <c r="DA39" i="48"/>
  <c r="CZ39" i="48"/>
  <c r="CY39" i="48"/>
  <c r="CX39" i="48"/>
  <c r="CW39" i="48"/>
  <c r="CV39" i="48"/>
  <c r="CU39" i="48"/>
  <c r="CT39" i="48"/>
  <c r="CS39" i="48"/>
  <c r="CR39" i="48"/>
  <c r="CQ39" i="48"/>
  <c r="CP39" i="48"/>
  <c r="CJ39" i="48"/>
  <c r="CI39" i="48"/>
  <c r="CH39" i="48"/>
  <c r="CG39" i="48"/>
  <c r="CF39" i="48"/>
  <c r="CE39" i="48"/>
  <c r="CD39" i="48"/>
  <c r="CC39" i="48"/>
  <c r="CB39" i="48"/>
  <c r="CA39" i="48"/>
  <c r="BZ39" i="48"/>
  <c r="BY39" i="48"/>
  <c r="BU39" i="48"/>
  <c r="BT39" i="48"/>
  <c r="BS39" i="48"/>
  <c r="BR39" i="48"/>
  <c r="BQ39" i="48"/>
  <c r="BP39" i="48"/>
  <c r="BO39" i="48"/>
  <c r="BN39" i="48"/>
  <c r="BM39" i="48"/>
  <c r="BL39" i="48"/>
  <c r="BK39" i="48"/>
  <c r="BJ39" i="48"/>
  <c r="EG38" i="48"/>
  <c r="EF38" i="48"/>
  <c r="EE38" i="48"/>
  <c r="ED38" i="48"/>
  <c r="EC38" i="48"/>
  <c r="EB38" i="48"/>
  <c r="EA38" i="48"/>
  <c r="DZ38" i="48"/>
  <c r="DY38" i="48"/>
  <c r="DX38" i="48"/>
  <c r="DW38" i="48"/>
  <c r="DV38" i="48"/>
  <c r="DP38" i="48"/>
  <c r="DO38" i="48"/>
  <c r="DN38" i="48"/>
  <c r="DM38" i="48"/>
  <c r="DL38" i="48"/>
  <c r="DK38" i="48"/>
  <c r="DJ38" i="48"/>
  <c r="DI38" i="48"/>
  <c r="DH38" i="48"/>
  <c r="DG38" i="48"/>
  <c r="DF38" i="48"/>
  <c r="DE38" i="48"/>
  <c r="DA38" i="48"/>
  <c r="CZ38" i="48"/>
  <c r="CY38" i="48"/>
  <c r="CX38" i="48"/>
  <c r="CW38" i="48"/>
  <c r="CV38" i="48"/>
  <c r="CU38" i="48"/>
  <c r="CT38" i="48"/>
  <c r="CS38" i="48"/>
  <c r="CR38" i="48"/>
  <c r="CQ38" i="48"/>
  <c r="CP38" i="48"/>
  <c r="CJ38" i="48"/>
  <c r="CI38" i="48"/>
  <c r="CH38" i="48"/>
  <c r="CG38" i="48"/>
  <c r="CF38" i="48"/>
  <c r="CE38" i="48"/>
  <c r="CD38" i="48"/>
  <c r="CC38" i="48"/>
  <c r="CB38" i="48"/>
  <c r="CA38" i="48"/>
  <c r="BZ38" i="48"/>
  <c r="BY38" i="48"/>
  <c r="BU38" i="48"/>
  <c r="BT38" i="48"/>
  <c r="BS38" i="48"/>
  <c r="BR38" i="48"/>
  <c r="BQ38" i="48"/>
  <c r="BP38" i="48"/>
  <c r="BO38" i="48"/>
  <c r="BN38" i="48"/>
  <c r="BM38" i="48"/>
  <c r="BL38" i="48"/>
  <c r="BK38" i="48"/>
  <c r="BJ38" i="48"/>
  <c r="R45" i="48"/>
  <c r="EG37" i="48"/>
  <c r="EF37" i="48"/>
  <c r="EE37" i="48"/>
  <c r="ED37" i="48"/>
  <c r="EC37" i="48"/>
  <c r="EB37" i="48"/>
  <c r="EA37" i="48"/>
  <c r="DZ37" i="48"/>
  <c r="DY37" i="48"/>
  <c r="DX37" i="48"/>
  <c r="DW37" i="48"/>
  <c r="DV37" i="48"/>
  <c r="DP37" i="48"/>
  <c r="DO37" i="48"/>
  <c r="DN37" i="48"/>
  <c r="DM37" i="48"/>
  <c r="DL37" i="48"/>
  <c r="DK37" i="48"/>
  <c r="DJ37" i="48"/>
  <c r="DI37" i="48"/>
  <c r="DH37" i="48"/>
  <c r="DG37" i="48"/>
  <c r="DF37" i="48"/>
  <c r="DE37" i="48"/>
  <c r="DA37" i="48"/>
  <c r="CZ37" i="48"/>
  <c r="CY37" i="48"/>
  <c r="CX37" i="48"/>
  <c r="CW37" i="48"/>
  <c r="CV37" i="48"/>
  <c r="CU37" i="48"/>
  <c r="CT37" i="48"/>
  <c r="CS37" i="48"/>
  <c r="CR37" i="48"/>
  <c r="CQ37" i="48"/>
  <c r="CP37" i="48"/>
  <c r="CJ37" i="48"/>
  <c r="CI37" i="48"/>
  <c r="CH37" i="48"/>
  <c r="CG37" i="48"/>
  <c r="CF37" i="48"/>
  <c r="CE37" i="48"/>
  <c r="CD37" i="48"/>
  <c r="CC37" i="48"/>
  <c r="CB37" i="48"/>
  <c r="CA37" i="48"/>
  <c r="BZ37" i="48"/>
  <c r="BY37" i="48"/>
  <c r="BU37" i="48"/>
  <c r="BT37" i="48"/>
  <c r="BS37" i="48"/>
  <c r="BR37" i="48"/>
  <c r="BQ37" i="48"/>
  <c r="BP37" i="48"/>
  <c r="BO37" i="48"/>
  <c r="BN37" i="48"/>
  <c r="BM37" i="48"/>
  <c r="BL37" i="48"/>
  <c r="BK37" i="48"/>
  <c r="BJ37" i="48"/>
  <c r="R44" i="48"/>
  <c r="R42" i="48"/>
  <c r="R41" i="48"/>
  <c r="EG34" i="48"/>
  <c r="EF34" i="48"/>
  <c r="EE34" i="48"/>
  <c r="ED34" i="48"/>
  <c r="EC34" i="48"/>
  <c r="EB34" i="48"/>
  <c r="EA34" i="48"/>
  <c r="DZ34" i="48"/>
  <c r="DY34" i="48"/>
  <c r="DX34" i="48"/>
  <c r="DW34" i="48"/>
  <c r="DV34" i="48"/>
  <c r="DP34" i="48"/>
  <c r="DO34" i="48"/>
  <c r="DN34" i="48"/>
  <c r="DM34" i="48"/>
  <c r="DL34" i="48"/>
  <c r="DK34" i="48"/>
  <c r="DJ34" i="48"/>
  <c r="DI34" i="48"/>
  <c r="DH34" i="48"/>
  <c r="DG34" i="48"/>
  <c r="DF34" i="48"/>
  <c r="DE34" i="48"/>
  <c r="DA34" i="48"/>
  <c r="CZ34" i="48"/>
  <c r="CY34" i="48"/>
  <c r="CX34" i="48"/>
  <c r="CW34" i="48"/>
  <c r="CV34" i="48"/>
  <c r="CU34" i="48"/>
  <c r="CT34" i="48"/>
  <c r="CS34" i="48"/>
  <c r="CR34" i="48"/>
  <c r="CQ34" i="48"/>
  <c r="CP34" i="48"/>
  <c r="CJ34" i="48"/>
  <c r="CI34" i="48"/>
  <c r="CH34" i="48"/>
  <c r="CG34" i="48"/>
  <c r="CF34" i="48"/>
  <c r="CE34" i="48"/>
  <c r="CD34" i="48"/>
  <c r="CC34" i="48"/>
  <c r="CB34" i="48"/>
  <c r="CA34" i="48"/>
  <c r="BZ34" i="48"/>
  <c r="BY34" i="48"/>
  <c r="BU34" i="48"/>
  <c r="BT34" i="48"/>
  <c r="BS34" i="48"/>
  <c r="BR34" i="48"/>
  <c r="BQ34" i="48"/>
  <c r="BP34" i="48"/>
  <c r="BO34" i="48"/>
  <c r="BN34" i="48"/>
  <c r="BM34" i="48"/>
  <c r="BL34" i="48"/>
  <c r="BK34" i="48"/>
  <c r="BJ34" i="48"/>
  <c r="R38" i="48"/>
  <c r="M38" i="48"/>
  <c r="EG33" i="48"/>
  <c r="EF33" i="48"/>
  <c r="EE33" i="48"/>
  <c r="ED33" i="48"/>
  <c r="EC33" i="48"/>
  <c r="EB33" i="48"/>
  <c r="EA33" i="48"/>
  <c r="DZ33" i="48"/>
  <c r="DY33" i="48"/>
  <c r="DX33" i="48"/>
  <c r="DW33" i="48"/>
  <c r="DV33" i="48"/>
  <c r="DP33" i="48"/>
  <c r="DO33" i="48"/>
  <c r="DN33" i="48"/>
  <c r="DM33" i="48"/>
  <c r="DL33" i="48"/>
  <c r="DK33" i="48"/>
  <c r="DJ33" i="48"/>
  <c r="DI33" i="48"/>
  <c r="DH33" i="48"/>
  <c r="DG33" i="48"/>
  <c r="DF33" i="48"/>
  <c r="DE33" i="48"/>
  <c r="DA33" i="48"/>
  <c r="CZ33" i="48"/>
  <c r="CY33" i="48"/>
  <c r="CX33" i="48"/>
  <c r="CW33" i="48"/>
  <c r="CV33" i="48"/>
  <c r="CU33" i="48"/>
  <c r="CT33" i="48"/>
  <c r="CS33" i="48"/>
  <c r="CR33" i="48"/>
  <c r="CQ33" i="48"/>
  <c r="CP33" i="48"/>
  <c r="CJ33" i="48"/>
  <c r="CI33" i="48"/>
  <c r="CH33" i="48"/>
  <c r="CG33" i="48"/>
  <c r="CF33" i="48"/>
  <c r="CE33" i="48"/>
  <c r="CD33" i="48"/>
  <c r="CC33" i="48"/>
  <c r="CB33" i="48"/>
  <c r="CA33" i="48"/>
  <c r="BZ33" i="48"/>
  <c r="BY33" i="48"/>
  <c r="BU33" i="48"/>
  <c r="BT33" i="48"/>
  <c r="BS33" i="48"/>
  <c r="BR33" i="48"/>
  <c r="BQ33" i="48"/>
  <c r="BP33" i="48"/>
  <c r="BO33" i="48"/>
  <c r="BN33" i="48"/>
  <c r="BM33" i="48"/>
  <c r="BL33" i="48"/>
  <c r="BK33" i="48"/>
  <c r="BJ33" i="48"/>
  <c r="R37" i="48"/>
  <c r="P37" i="48"/>
  <c r="EG32" i="48"/>
  <c r="EF32" i="48"/>
  <c r="EE32" i="48"/>
  <c r="ED32" i="48"/>
  <c r="EC32" i="48"/>
  <c r="EB32" i="48"/>
  <c r="EA32" i="48"/>
  <c r="DZ32" i="48"/>
  <c r="DY32" i="48"/>
  <c r="DX32" i="48"/>
  <c r="DW32" i="48"/>
  <c r="DV32" i="48"/>
  <c r="DP32" i="48"/>
  <c r="DO32" i="48"/>
  <c r="DN32" i="48"/>
  <c r="DM32" i="48"/>
  <c r="DL32" i="48"/>
  <c r="DK32" i="48"/>
  <c r="DJ32" i="48"/>
  <c r="DI32" i="48"/>
  <c r="DH32" i="48"/>
  <c r="DG32" i="48"/>
  <c r="DF32" i="48"/>
  <c r="DE32" i="48"/>
  <c r="DA32" i="48"/>
  <c r="CZ32" i="48"/>
  <c r="CY32" i="48"/>
  <c r="CX32" i="48"/>
  <c r="CW32" i="48"/>
  <c r="CV32" i="48"/>
  <c r="CU32" i="48"/>
  <c r="CT32" i="48"/>
  <c r="CS32" i="48"/>
  <c r="CR32" i="48"/>
  <c r="CQ32" i="48"/>
  <c r="CP32" i="48"/>
  <c r="CJ32" i="48"/>
  <c r="CI32" i="48"/>
  <c r="CH32" i="48"/>
  <c r="CG32" i="48"/>
  <c r="CF32" i="48"/>
  <c r="CE32" i="48"/>
  <c r="CD32" i="48"/>
  <c r="CC32" i="48"/>
  <c r="CB32" i="48"/>
  <c r="CA32" i="48"/>
  <c r="BZ32" i="48"/>
  <c r="BY32" i="48"/>
  <c r="BU32" i="48"/>
  <c r="BT32" i="48"/>
  <c r="BS32" i="48"/>
  <c r="BR32" i="48"/>
  <c r="BQ32" i="48"/>
  <c r="BP32" i="48"/>
  <c r="BO32" i="48"/>
  <c r="BN32" i="48"/>
  <c r="BM32" i="48"/>
  <c r="BL32" i="48"/>
  <c r="BK32" i="48"/>
  <c r="BJ32" i="48"/>
  <c r="R36" i="48"/>
  <c r="L36" i="48"/>
  <c r="EG31" i="48"/>
  <c r="EF31" i="48"/>
  <c r="EE31" i="48"/>
  <c r="ED31" i="48"/>
  <c r="EC31" i="48"/>
  <c r="EB31" i="48"/>
  <c r="EA31" i="48"/>
  <c r="DZ31" i="48"/>
  <c r="DY31" i="48"/>
  <c r="DX31" i="48"/>
  <c r="DW31" i="48"/>
  <c r="DV31" i="48"/>
  <c r="DP31" i="48"/>
  <c r="DO31" i="48"/>
  <c r="DN31" i="48"/>
  <c r="DM31" i="48"/>
  <c r="DL31" i="48"/>
  <c r="DK31" i="48"/>
  <c r="DJ31" i="48"/>
  <c r="DI31" i="48"/>
  <c r="DH31" i="48"/>
  <c r="DG31" i="48"/>
  <c r="DF31" i="48"/>
  <c r="DE31" i="48"/>
  <c r="DA31" i="48"/>
  <c r="CZ31" i="48"/>
  <c r="CY31" i="48"/>
  <c r="CX31" i="48"/>
  <c r="CW31" i="48"/>
  <c r="CV31" i="48"/>
  <c r="CU31" i="48"/>
  <c r="CT31" i="48"/>
  <c r="CS31" i="48"/>
  <c r="CR31" i="48"/>
  <c r="CQ31" i="48"/>
  <c r="CP31" i="48"/>
  <c r="CJ31" i="48"/>
  <c r="CI31" i="48"/>
  <c r="CH31" i="48"/>
  <c r="CG31" i="48"/>
  <c r="CF31" i="48"/>
  <c r="CE31" i="48"/>
  <c r="CD31" i="48"/>
  <c r="CC31" i="48"/>
  <c r="CB31" i="48"/>
  <c r="CA31" i="48"/>
  <c r="BZ31" i="48"/>
  <c r="BY31" i="48"/>
  <c r="BU31" i="48"/>
  <c r="BT31" i="48"/>
  <c r="BS31" i="48"/>
  <c r="BR31" i="48"/>
  <c r="BQ31" i="48"/>
  <c r="BP31" i="48"/>
  <c r="BO31" i="48"/>
  <c r="BN31" i="48"/>
  <c r="BM31" i="48"/>
  <c r="BL31" i="48"/>
  <c r="BK31" i="48"/>
  <c r="BJ31" i="48"/>
  <c r="P35" i="48"/>
  <c r="S35" i="48" s="1"/>
  <c r="AK25" i="48"/>
  <c r="AN25" i="48" s="1"/>
  <c r="R30" i="48"/>
  <c r="AO24" i="48"/>
  <c r="AN24" i="48"/>
  <c r="AL24" i="48"/>
  <c r="AO23" i="48"/>
  <c r="AN23" i="48"/>
  <c r="AL23" i="48"/>
  <c r="R27" i="48"/>
  <c r="AO22" i="48"/>
  <c r="AN22" i="48"/>
  <c r="AL22" i="48"/>
  <c r="R26" i="48"/>
  <c r="R25" i="48"/>
  <c r="R24" i="48"/>
  <c r="AD19" i="48"/>
  <c r="R22" i="48"/>
  <c r="AD18" i="48"/>
  <c r="R21" i="48"/>
  <c r="AD17" i="48"/>
  <c r="R20" i="48"/>
  <c r="L20" i="48"/>
  <c r="P20" i="48" s="1"/>
  <c r="S20" i="48" s="1"/>
  <c r="AE16" i="48"/>
  <c r="AD16" i="48"/>
  <c r="R19" i="48"/>
  <c r="O19" i="48"/>
  <c r="L19" i="48"/>
  <c r="P19" i="48" s="1"/>
  <c r="S19" i="48" s="1"/>
  <c r="R18" i="48"/>
  <c r="O18" i="48"/>
  <c r="EX17" i="48"/>
  <c r="EW17" i="48"/>
  <c r="EV17" i="48"/>
  <c r="EU17" i="48"/>
  <c r="ET17" i="48"/>
  <c r="ES17" i="48"/>
  <c r="ER17" i="48"/>
  <c r="ER45" i="48" s="1"/>
  <c r="EQ17" i="48"/>
  <c r="EQ45" i="48" s="1"/>
  <c r="EP17" i="48"/>
  <c r="EP45" i="48" s="1"/>
  <c r="EM17" i="48"/>
  <c r="AD14" i="48"/>
  <c r="R17" i="48"/>
  <c r="EX16" i="48"/>
  <c r="EW16" i="48"/>
  <c r="EV16" i="48"/>
  <c r="EU16" i="48"/>
  <c r="ET16" i="48"/>
  <c r="ET44" i="48" s="1"/>
  <c r="ES16" i="48"/>
  <c r="ER16" i="48"/>
  <c r="EQ16" i="48"/>
  <c r="EP16" i="48"/>
  <c r="EM16" i="48"/>
  <c r="R16" i="48"/>
  <c r="R15" i="48"/>
  <c r="AD11" i="48"/>
  <c r="AE11" i="48" s="1"/>
  <c r="AD12" i="48" s="1"/>
  <c r="AD13" i="48" s="1"/>
  <c r="R13" i="48"/>
  <c r="EX11" i="48"/>
  <c r="EX173" i="48" s="1"/>
  <c r="EW11" i="48"/>
  <c r="EV11" i="48"/>
  <c r="EU11" i="48"/>
  <c r="ET11" i="48"/>
  <c r="ES11" i="48"/>
  <c r="ER11" i="48"/>
  <c r="ER39" i="48" s="1"/>
  <c r="EQ11" i="48"/>
  <c r="EP11" i="48"/>
  <c r="EM11" i="48"/>
  <c r="R11" i="48"/>
  <c r="EX10" i="48"/>
  <c r="EW10" i="48"/>
  <c r="EV10" i="48"/>
  <c r="EV172" i="48" s="1"/>
  <c r="EU10" i="48"/>
  <c r="ET10" i="48"/>
  <c r="ES10" i="48"/>
  <c r="ES38" i="48" s="1"/>
  <c r="ER10" i="48"/>
  <c r="EQ10" i="48"/>
  <c r="EP10" i="48"/>
  <c r="EM10" i="48"/>
  <c r="EM38" i="48" s="1"/>
  <c r="R10" i="48"/>
  <c r="R9" i="48"/>
  <c r="N9" i="48"/>
  <c r="R6" i="48"/>
  <c r="N6" i="48"/>
  <c r="R5" i="48"/>
  <c r="P5" i="48"/>
  <c r="S5" i="48" s="1"/>
  <c r="Z65" i="48"/>
  <c r="O80" i="48" s="1"/>
  <c r="EX5" i="48"/>
  <c r="EW5" i="48"/>
  <c r="EV5" i="48"/>
  <c r="EV168" i="48" s="1"/>
  <c r="EU5" i="48"/>
  <c r="ET5" i="48"/>
  <c r="ES5" i="48"/>
  <c r="ER5" i="48"/>
  <c r="EQ5" i="48"/>
  <c r="EP5" i="48"/>
  <c r="EN5" i="48"/>
  <c r="EM5" i="48"/>
  <c r="EM33" i="48" s="1"/>
  <c r="R4" i="48"/>
  <c r="P4" i="48"/>
  <c r="EX4" i="48"/>
  <c r="EW4" i="48"/>
  <c r="EV4" i="48"/>
  <c r="EU4" i="48"/>
  <c r="ET4" i="48"/>
  <c r="ES4" i="48"/>
  <c r="ER4" i="48"/>
  <c r="EQ4" i="48"/>
  <c r="EP4" i="48"/>
  <c r="EP32" i="48" s="1"/>
  <c r="EN4" i="48"/>
  <c r="EM4" i="48"/>
  <c r="EM32" i="48" s="1"/>
  <c r="R3" i="48"/>
  <c r="EU113" i="48" l="1"/>
  <c r="EU189" i="48"/>
  <c r="EV114" i="48"/>
  <c r="EV190" i="48"/>
  <c r="EV119" i="48"/>
  <c r="EV197" i="48"/>
  <c r="EW120" i="48"/>
  <c r="EW198" i="48"/>
  <c r="EW114" i="48"/>
  <c r="EW190" i="48"/>
  <c r="EX120" i="48"/>
  <c r="EX198" i="48"/>
  <c r="EM120" i="48"/>
  <c r="EM198" i="48"/>
  <c r="EM114" i="48"/>
  <c r="EM190" i="48"/>
  <c r="EW113" i="48"/>
  <c r="EW189" i="48"/>
  <c r="EX113" i="48"/>
  <c r="EX115" i="48" s="1"/>
  <c r="EX189" i="48"/>
  <c r="EM119" i="48"/>
  <c r="EM197" i="48"/>
  <c r="EN120" i="48"/>
  <c r="EN198" i="48"/>
  <c r="EO113" i="48"/>
  <c r="EO189" i="48"/>
  <c r="EP114" i="48"/>
  <c r="EP190" i="48"/>
  <c r="EQ120" i="48"/>
  <c r="EQ198" i="48"/>
  <c r="EQ114" i="48"/>
  <c r="EQ190" i="48"/>
  <c r="EQ119" i="48"/>
  <c r="EQ197" i="48"/>
  <c r="ER120" i="48"/>
  <c r="ER121" i="48" s="1"/>
  <c r="ER198" i="48"/>
  <c r="EX114" i="48"/>
  <c r="EX190" i="48"/>
  <c r="EN114" i="48"/>
  <c r="EN190" i="48"/>
  <c r="ER119" i="48"/>
  <c r="ER197" i="48"/>
  <c r="ES120" i="48"/>
  <c r="ES198" i="48"/>
  <c r="ER113" i="48"/>
  <c r="ER115" i="48" s="1"/>
  <c r="ER189" i="48"/>
  <c r="ET120" i="48"/>
  <c r="ET198" i="48"/>
  <c r="ES113" i="48"/>
  <c r="ES189" i="48"/>
  <c r="ET114" i="48"/>
  <c r="ET190" i="48"/>
  <c r="EU120" i="48"/>
  <c r="EU198" i="48"/>
  <c r="EP120" i="48"/>
  <c r="EP198" i="48"/>
  <c r="EQ113" i="48"/>
  <c r="EQ189" i="48"/>
  <c r="ER114" i="48"/>
  <c r="ER190" i="48"/>
  <c r="EU114" i="48"/>
  <c r="EU190" i="48"/>
  <c r="EU119" i="48"/>
  <c r="EU197" i="48"/>
  <c r="EV120" i="48"/>
  <c r="EV198" i="48"/>
  <c r="EO119" i="48"/>
  <c r="Y96" i="48"/>
  <c r="O111" i="48" s="1"/>
  <c r="U111" i="48" s="1"/>
  <c r="AM197" i="48"/>
  <c r="N137" i="48"/>
  <c r="U94" i="48"/>
  <c r="U62" i="48"/>
  <c r="O222" i="48"/>
  <c r="EM59" i="48"/>
  <c r="O266" i="48"/>
  <c r="CO197" i="48"/>
  <c r="AL26" i="48"/>
  <c r="AN26" i="48"/>
  <c r="N105" i="48"/>
  <c r="P41" i="48"/>
  <c r="S41" i="48" s="1"/>
  <c r="EN142" i="48"/>
  <c r="EV149" i="48"/>
  <c r="U15" i="48"/>
  <c r="BI197" i="48"/>
  <c r="EM113" i="48"/>
  <c r="EM115" i="48" s="1"/>
  <c r="EM88" i="48"/>
  <c r="EM191" i="48" s="1"/>
  <c r="EO169" i="48"/>
  <c r="EM96" i="48"/>
  <c r="EM199" i="48" s="1"/>
  <c r="O265" i="48"/>
  <c r="DD187" i="48"/>
  <c r="CO192" i="48"/>
  <c r="Q30" i="48"/>
  <c r="O234" i="48"/>
  <c r="U234" i="48" s="1"/>
  <c r="O235" i="48"/>
  <c r="U235" i="48" s="1"/>
  <c r="ER18" i="48"/>
  <c r="ER73" i="48" s="1"/>
  <c r="U237" i="48"/>
  <c r="ES96" i="48"/>
  <c r="ES199" i="48" s="1"/>
  <c r="T263" i="48"/>
  <c r="U263" i="48"/>
  <c r="Q263" i="48"/>
  <c r="Q274" i="48"/>
  <c r="T274" i="48"/>
  <c r="U274" i="48"/>
  <c r="O241" i="48"/>
  <c r="U241" i="48" s="1"/>
  <c r="EM149" i="48"/>
  <c r="ET142" i="48"/>
  <c r="O206" i="48"/>
  <c r="O210" i="48" s="1"/>
  <c r="O180" i="48"/>
  <c r="U180" i="48" s="1"/>
  <c r="EM142" i="48"/>
  <c r="M99" i="48"/>
  <c r="AM144" i="48"/>
  <c r="AJ119" i="48"/>
  <c r="EN115" i="48"/>
  <c r="AJ176" i="48"/>
  <c r="EW12" i="48"/>
  <c r="EW67" i="48" s="1"/>
  <c r="EV142" i="48"/>
  <c r="U146" i="48"/>
  <c r="ET149" i="48"/>
  <c r="U194" i="48"/>
  <c r="EQ6" i="48"/>
  <c r="EQ169" i="48" s="1"/>
  <c r="U114" i="48"/>
  <c r="N204" i="48"/>
  <c r="O116" i="48"/>
  <c r="ER149" i="48"/>
  <c r="N35" i="48"/>
  <c r="N221" i="48"/>
  <c r="EO174" i="48"/>
  <c r="ER12" i="48"/>
  <c r="ER174" i="48" s="1"/>
  <c r="EQ96" i="48"/>
  <c r="EQ199" i="48" s="1"/>
  <c r="ES119" i="48"/>
  <c r="Q158" i="48"/>
  <c r="EW149" i="48"/>
  <c r="ES149" i="48"/>
  <c r="AL175" i="48"/>
  <c r="AL176" i="48" s="1"/>
  <c r="U68" i="48"/>
  <c r="EX149" i="48"/>
  <c r="Q188" i="48"/>
  <c r="AK92" i="48"/>
  <c r="ER6" i="48"/>
  <c r="ER169" i="48" s="1"/>
  <c r="ET18" i="48"/>
  <c r="ET179" i="48" s="1"/>
  <c r="EP96" i="48"/>
  <c r="EP199" i="48" s="1"/>
  <c r="EN149" i="48"/>
  <c r="U51" i="48"/>
  <c r="EP18" i="48"/>
  <c r="EP179" i="48" s="1"/>
  <c r="ES142" i="48"/>
  <c r="M67" i="48"/>
  <c r="U113" i="48"/>
  <c r="EU142" i="48"/>
  <c r="N4" i="48"/>
  <c r="N134" i="48"/>
  <c r="N238" i="48"/>
  <c r="U18" i="48"/>
  <c r="T30" i="48"/>
  <c r="EW142" i="48"/>
  <c r="Q184" i="48"/>
  <c r="U82" i="48"/>
  <c r="T183" i="48"/>
  <c r="Q204" i="48"/>
  <c r="S204" i="48"/>
  <c r="T204" i="48" s="1"/>
  <c r="M6" i="48"/>
  <c r="N19" i="48"/>
  <c r="ET12" i="48"/>
  <c r="ET174" i="48" s="1"/>
  <c r="O133" i="48"/>
  <c r="EP119" i="48"/>
  <c r="ER142" i="48"/>
  <c r="T188" i="48"/>
  <c r="M9" i="48"/>
  <c r="N20" i="48"/>
  <c r="N5" i="48"/>
  <c r="P18" i="48"/>
  <c r="S18" i="48" s="1"/>
  <c r="T18" i="48" s="1"/>
  <c r="M35" i="48"/>
  <c r="N38" i="48"/>
  <c r="P38" i="48"/>
  <c r="S38" i="48" s="1"/>
  <c r="M73" i="48"/>
  <c r="P73" i="48"/>
  <c r="S73" i="48" s="1"/>
  <c r="U83" i="48"/>
  <c r="M105" i="48"/>
  <c r="P105" i="48"/>
  <c r="S105" i="48" s="1"/>
  <c r="U115" i="48"/>
  <c r="M137" i="48"/>
  <c r="P137" i="48"/>
  <c r="S137" i="48" s="1"/>
  <c r="U147" i="48"/>
  <c r="M205" i="48"/>
  <c r="M239" i="48"/>
  <c r="P237" i="48"/>
  <c r="M131" i="48"/>
  <c r="EW6" i="48"/>
  <c r="EW61" i="48" s="1"/>
  <c r="ET88" i="48"/>
  <c r="ET191" i="48" s="1"/>
  <c r="AM91" i="48"/>
  <c r="AM92" i="48" s="1"/>
  <c r="EX142" i="48"/>
  <c r="M20" i="48"/>
  <c r="M5" i="48"/>
  <c r="N18" i="48"/>
  <c r="P3" i="48"/>
  <c r="S3" i="48" s="1"/>
  <c r="N37" i="48"/>
  <c r="P52" i="48"/>
  <c r="S52" i="48" s="1"/>
  <c r="P36" i="48"/>
  <c r="S36" i="48" s="1"/>
  <c r="U50" i="48"/>
  <c r="N67" i="48"/>
  <c r="M70" i="48"/>
  <c r="P69" i="48"/>
  <c r="S69" i="48" s="1"/>
  <c r="N99" i="48"/>
  <c r="M102" i="48"/>
  <c r="P101" i="48"/>
  <c r="S101" i="48" s="1"/>
  <c r="N131" i="48"/>
  <c r="M134" i="48"/>
  <c r="P133" i="48"/>
  <c r="S133" i="48" s="1"/>
  <c r="N163" i="48"/>
  <c r="M204" i="48"/>
  <c r="M238" i="48"/>
  <c r="M221" i="48"/>
  <c r="EU115" i="48"/>
  <c r="O140" i="48"/>
  <c r="U140" i="48" s="1"/>
  <c r="U173" i="48"/>
  <c r="M19" i="48"/>
  <c r="M4" i="48"/>
  <c r="M37" i="48"/>
  <c r="P51" i="48"/>
  <c r="S51" i="48" s="1"/>
  <c r="T51" i="48" s="1"/>
  <c r="N69" i="48"/>
  <c r="P84" i="48"/>
  <c r="S84" i="48" s="1"/>
  <c r="P68" i="48"/>
  <c r="S68" i="48" s="1"/>
  <c r="T68" i="48" s="1"/>
  <c r="P116" i="48"/>
  <c r="S116" i="48" s="1"/>
  <c r="P100" i="48"/>
  <c r="S100" i="48" s="1"/>
  <c r="N133" i="48"/>
  <c r="P148" i="48"/>
  <c r="S148" i="48" s="1"/>
  <c r="P132" i="48"/>
  <c r="S132" i="48" s="1"/>
  <c r="N166" i="48"/>
  <c r="N237" i="48"/>
  <c r="N70" i="48"/>
  <c r="EQ18" i="48"/>
  <c r="EQ179" i="48" s="1"/>
  <c r="AO25" i="48"/>
  <c r="EV88" i="48"/>
  <c r="EV191" i="48" s="1"/>
  <c r="AL118" i="48"/>
  <c r="AL119" i="48" s="1"/>
  <c r="EQ149" i="48"/>
  <c r="W154" i="48"/>
  <c r="O175" i="48" s="1"/>
  <c r="Q183" i="48"/>
  <c r="M18" i="48"/>
  <c r="N59" i="48"/>
  <c r="N52" i="48"/>
  <c r="N36" i="48"/>
  <c r="P50" i="48"/>
  <c r="S50" i="48" s="1"/>
  <c r="T50" i="48" s="1"/>
  <c r="M69" i="48"/>
  <c r="P83" i="48"/>
  <c r="M101" i="48"/>
  <c r="P115" i="48"/>
  <c r="S115" i="48" s="1"/>
  <c r="M133" i="48"/>
  <c r="P147" i="48"/>
  <c r="M166" i="48"/>
  <c r="U177" i="48"/>
  <c r="M237" i="48"/>
  <c r="U67" i="48"/>
  <c r="M59" i="48"/>
  <c r="M36" i="48"/>
  <c r="N84" i="48"/>
  <c r="N68" i="48"/>
  <c r="P82" i="48"/>
  <c r="S82" i="48" s="1"/>
  <c r="T82" i="48" s="1"/>
  <c r="N116" i="48"/>
  <c r="N100" i="48"/>
  <c r="P114" i="48"/>
  <c r="S114" i="48" s="1"/>
  <c r="N148" i="48"/>
  <c r="N132" i="48"/>
  <c r="P146" i="48"/>
  <c r="N178" i="48"/>
  <c r="N165" i="48"/>
  <c r="P178" i="48"/>
  <c r="S178" i="48" s="1"/>
  <c r="P165" i="48"/>
  <c r="S165" i="48" s="1"/>
  <c r="U176" i="48"/>
  <c r="M193" i="48"/>
  <c r="N196" i="48"/>
  <c r="P196" i="48"/>
  <c r="S196" i="48" s="1"/>
  <c r="U205" i="48"/>
  <c r="U238" i="48"/>
  <c r="U44" i="48"/>
  <c r="EP142" i="48"/>
  <c r="N51" i="48"/>
  <c r="M84" i="48"/>
  <c r="M68" i="48"/>
  <c r="M100" i="48"/>
  <c r="M132" i="48"/>
  <c r="P177" i="48"/>
  <c r="P164" i="48"/>
  <c r="S164" i="48" s="1"/>
  <c r="N193" i="48"/>
  <c r="P195" i="48"/>
  <c r="S195" i="48" s="1"/>
  <c r="U204" i="48"/>
  <c r="P220" i="48"/>
  <c r="S220" i="48" s="1"/>
  <c r="EQ142" i="48"/>
  <c r="O174" i="48"/>
  <c r="U174" i="48" s="1"/>
  <c r="O193" i="48"/>
  <c r="O212" i="48" s="1"/>
  <c r="U212" i="48" s="1"/>
  <c r="N83" i="48"/>
  <c r="N115" i="48"/>
  <c r="N147" i="48"/>
  <c r="N177" i="48"/>
  <c r="N164" i="48"/>
  <c r="P176" i="48"/>
  <c r="N195" i="48"/>
  <c r="P206" i="48"/>
  <c r="S206" i="48" s="1"/>
  <c r="P194" i="48"/>
  <c r="Q194" i="48" s="1"/>
  <c r="M220" i="48"/>
  <c r="O143" i="48"/>
  <c r="U143" i="48" s="1"/>
  <c r="S166" i="48"/>
  <c r="EU149" i="48"/>
  <c r="P9" i="48"/>
  <c r="S9" i="48" s="1"/>
  <c r="U19" i="48"/>
  <c r="N50" i="48"/>
  <c r="P205" i="48"/>
  <c r="S205" i="48" s="1"/>
  <c r="T205" i="48" s="1"/>
  <c r="N220" i="48"/>
  <c r="EX88" i="48"/>
  <c r="EX191" i="48" s="1"/>
  <c r="O106" i="48"/>
  <c r="U169" i="48"/>
  <c r="P6" i="48"/>
  <c r="S6" i="48" s="1"/>
  <c r="N82" i="48"/>
  <c r="N114" i="48"/>
  <c r="N146" i="48"/>
  <c r="N176" i="48"/>
  <c r="P163" i="48"/>
  <c r="S163" i="48" s="1"/>
  <c r="N206" i="48"/>
  <c r="N194" i="48"/>
  <c r="N223" i="48"/>
  <c r="P223" i="48"/>
  <c r="S223" i="48" s="1"/>
  <c r="EV65" i="48"/>
  <c r="O148" i="48"/>
  <c r="O149" i="48" s="1"/>
  <c r="U149" i="48" s="1"/>
  <c r="N41" i="48"/>
  <c r="M114" i="48"/>
  <c r="M194" i="48"/>
  <c r="P239" i="48"/>
  <c r="S239" i="48" s="1"/>
  <c r="P222" i="48"/>
  <c r="O202" i="48"/>
  <c r="U202" i="48" s="1"/>
  <c r="U30" i="48"/>
  <c r="M41" i="48"/>
  <c r="T153" i="48"/>
  <c r="N222" i="48"/>
  <c r="P221" i="48"/>
  <c r="AO196" i="48"/>
  <c r="AO197" i="48" s="1"/>
  <c r="T171" i="48"/>
  <c r="Q171" i="48"/>
  <c r="N226" i="48"/>
  <c r="M226" i="48"/>
  <c r="T19" i="48"/>
  <c r="ET167" i="48"/>
  <c r="ET59" i="48"/>
  <c r="ET32" i="48"/>
  <c r="ER168" i="48"/>
  <c r="ER60" i="48"/>
  <c r="ER33" i="48"/>
  <c r="ES173" i="48"/>
  <c r="ES66" i="48"/>
  <c r="ES39" i="48"/>
  <c r="EW177" i="48"/>
  <c r="EW71" i="48"/>
  <c r="EW44" i="48"/>
  <c r="EV38" i="48"/>
  <c r="EX39" i="48"/>
  <c r="EU167" i="48"/>
  <c r="EU59" i="48"/>
  <c r="EU32" i="48"/>
  <c r="EV167" i="48"/>
  <c r="EV59" i="48"/>
  <c r="EV32" i="48"/>
  <c r="ET168" i="48"/>
  <c r="ET33" i="48"/>
  <c r="ET60" i="48"/>
  <c r="ET6" i="48"/>
  <c r="EV12" i="48"/>
  <c r="EM177" i="48"/>
  <c r="EM44" i="48"/>
  <c r="EM71" i="48"/>
  <c r="EX178" i="48"/>
  <c r="EX72" i="48"/>
  <c r="EX45" i="48"/>
  <c r="EM18" i="48"/>
  <c r="EN177" i="48"/>
  <c r="EN44" i="48"/>
  <c r="EN71" i="48"/>
  <c r="EM178" i="48"/>
  <c r="EM45" i="48"/>
  <c r="EM72" i="48"/>
  <c r="AC20" i="48"/>
  <c r="EX167" i="48"/>
  <c r="EX59" i="48"/>
  <c r="EV6" i="48"/>
  <c r="EX172" i="48"/>
  <c r="EX65" i="48"/>
  <c r="EX38" i="48"/>
  <c r="EW173" i="48"/>
  <c r="EW66" i="48"/>
  <c r="EW39" i="48"/>
  <c r="EX12" i="48"/>
  <c r="EO177" i="48"/>
  <c r="EO71" i="48"/>
  <c r="EO44" i="48"/>
  <c r="EN178" i="48"/>
  <c r="EN72" i="48"/>
  <c r="EN45" i="48"/>
  <c r="ES172" i="48"/>
  <c r="ES65" i="48"/>
  <c r="ES12" i="48"/>
  <c r="EU172" i="48"/>
  <c r="EU65" i="48"/>
  <c r="EU38" i="48"/>
  <c r="ET173" i="48"/>
  <c r="ET66" i="48"/>
  <c r="ET39" i="48"/>
  <c r="EU12" i="48"/>
  <c r="EX177" i="48"/>
  <c r="EX71" i="48"/>
  <c r="EX44" i="48"/>
  <c r="EX18" i="48"/>
  <c r="EW168" i="48"/>
  <c r="EW60" i="48"/>
  <c r="EP177" i="48"/>
  <c r="EP44" i="48"/>
  <c r="EP71" i="48"/>
  <c r="O22" i="48"/>
  <c r="U22" i="48" s="1"/>
  <c r="O25" i="48"/>
  <c r="U25" i="48" s="1"/>
  <c r="O20" i="48"/>
  <c r="U20" i="48" s="1"/>
  <c r="EQ168" i="48"/>
  <c r="EQ60" i="48"/>
  <c r="EQ33" i="48"/>
  <c r="EU6" i="48"/>
  <c r="EM167" i="48"/>
  <c r="EM172" i="48"/>
  <c r="EM65" i="48"/>
  <c r="EN167" i="48"/>
  <c r="EN59" i="48"/>
  <c r="EX6" i="48"/>
  <c r="EM173" i="48"/>
  <c r="EM66" i="48"/>
  <c r="EM39" i="48"/>
  <c r="U80" i="48"/>
  <c r="EQ177" i="48"/>
  <c r="EQ71" i="48"/>
  <c r="EQ44" i="48"/>
  <c r="EP178" i="48"/>
  <c r="EP72" i="48"/>
  <c r="EV177" i="48"/>
  <c r="EV71" i="48"/>
  <c r="EU178" i="48"/>
  <c r="EU45" i="48"/>
  <c r="EU72" i="48"/>
  <c r="EU18" i="48"/>
  <c r="EV173" i="48"/>
  <c r="EV39" i="48"/>
  <c r="EV66" i="48"/>
  <c r="EX168" i="48"/>
  <c r="EX60" i="48"/>
  <c r="EX33" i="48"/>
  <c r="EN172" i="48"/>
  <c r="EN65" i="48"/>
  <c r="EN38" i="48"/>
  <c r="EO167" i="48"/>
  <c r="EO59" i="48"/>
  <c r="EO32" i="48"/>
  <c r="EM168" i="48"/>
  <c r="EM60" i="48"/>
  <c r="EO172" i="48"/>
  <c r="EO65" i="48"/>
  <c r="EO38" i="48"/>
  <c r="EN173" i="48"/>
  <c r="EN66" i="48"/>
  <c r="EN39" i="48"/>
  <c r="EM12" i="48"/>
  <c r="EV18" i="48"/>
  <c r="EN32" i="48"/>
  <c r="ES167" i="48"/>
  <c r="ES6" i="48"/>
  <c r="ES59" i="48"/>
  <c r="ES32" i="48"/>
  <c r="Z35" i="48"/>
  <c r="O48" i="48" s="1"/>
  <c r="U48" i="48" s="1"/>
  <c r="EU168" i="48"/>
  <c r="EU60" i="48"/>
  <c r="EP172" i="48"/>
  <c r="EP65" i="48"/>
  <c r="EP38" i="48"/>
  <c r="EP12" i="48"/>
  <c r="EO173" i="48"/>
  <c r="EO66" i="48"/>
  <c r="EO39" i="48"/>
  <c r="ES177" i="48"/>
  <c r="ES71" i="48"/>
  <c r="ES18" i="48"/>
  <c r="ES44" i="48"/>
  <c r="EW18" i="48"/>
  <c r="Q19" i="48"/>
  <c r="EU33" i="48"/>
  <c r="EQ167" i="48"/>
  <c r="EQ59" i="48"/>
  <c r="EQ32" i="48"/>
  <c r="Y65" i="48"/>
  <c r="O79" i="48" s="1"/>
  <c r="Y35" i="48"/>
  <c r="O47" i="48" s="1"/>
  <c r="S4" i="48"/>
  <c r="EO168" i="48"/>
  <c r="EO60" i="48"/>
  <c r="EO33" i="48"/>
  <c r="EM6" i="48"/>
  <c r="EQ172" i="48"/>
  <c r="EQ65" i="48"/>
  <c r="EQ38" i="48"/>
  <c r="EP173" i="48"/>
  <c r="EP66" i="48"/>
  <c r="ES178" i="48"/>
  <c r="ES72" i="48"/>
  <c r="ES45" i="48"/>
  <c r="EX32" i="48"/>
  <c r="EW33" i="48"/>
  <c r="S37" i="48"/>
  <c r="EV44" i="48"/>
  <c r="EW178" i="48"/>
  <c r="EW72" i="48"/>
  <c r="EW45" i="48"/>
  <c r="EW167" i="48"/>
  <c r="EW59" i="48"/>
  <c r="EW32" i="48"/>
  <c r="EP167" i="48"/>
  <c r="EP6" i="48"/>
  <c r="EP59" i="48"/>
  <c r="EN168" i="48"/>
  <c r="EN60" i="48"/>
  <c r="EN33" i="48"/>
  <c r="ER167" i="48"/>
  <c r="ER59" i="48"/>
  <c r="ER32" i="48"/>
  <c r="EP168" i="48"/>
  <c r="EP33" i="48"/>
  <c r="EP60" i="48"/>
  <c r="EN6" i="48"/>
  <c r="ER172" i="48"/>
  <c r="ER65" i="48"/>
  <c r="ER38" i="48"/>
  <c r="EQ173" i="48"/>
  <c r="EQ66" i="48"/>
  <c r="EQ39" i="48"/>
  <c r="EQ12" i="48"/>
  <c r="ET178" i="48"/>
  <c r="ET72" i="48"/>
  <c r="ET45" i="48"/>
  <c r="EP39" i="48"/>
  <c r="S62" i="48"/>
  <c r="T62" i="48" s="1"/>
  <c r="Q62" i="48"/>
  <c r="EX66" i="48"/>
  <c r="ES168" i="48"/>
  <c r="ES60" i="48"/>
  <c r="ET172" i="48"/>
  <c r="ET65" i="48"/>
  <c r="ER173" i="48"/>
  <c r="ER66" i="48"/>
  <c r="ER177" i="48"/>
  <c r="ER71" i="48"/>
  <c r="EO178" i="48"/>
  <c r="EO72" i="48"/>
  <c r="EV60" i="48"/>
  <c r="ET177" i="48"/>
  <c r="ET71" i="48"/>
  <c r="EQ178" i="48"/>
  <c r="EQ72" i="48"/>
  <c r="U76" i="48"/>
  <c r="EW172" i="48"/>
  <c r="EW65" i="48"/>
  <c r="EW38" i="48"/>
  <c r="EU173" i="48"/>
  <c r="EU39" i="48"/>
  <c r="EU66" i="48"/>
  <c r="EU177" i="48"/>
  <c r="EU71" i="48"/>
  <c r="ER178" i="48"/>
  <c r="ER72" i="48"/>
  <c r="U69" i="48"/>
  <c r="S70" i="48"/>
  <c r="ES33" i="48"/>
  <c r="ER44" i="48"/>
  <c r="S59" i="48"/>
  <c r="S67" i="48"/>
  <c r="EU88" i="48"/>
  <c r="EU191" i="48" s="1"/>
  <c r="EV178" i="48"/>
  <c r="EV72" i="48"/>
  <c r="EV45" i="48"/>
  <c r="EV33" i="48"/>
  <c r="ET38" i="48"/>
  <c r="EU44" i="48"/>
  <c r="EO45" i="48"/>
  <c r="O52" i="48"/>
  <c r="O84" i="48"/>
  <c r="Q94" i="48"/>
  <c r="T121" i="48"/>
  <c r="Q121" i="48"/>
  <c r="T94" i="48"/>
  <c r="EN119" i="48"/>
  <c r="EN96" i="48"/>
  <c r="EN199" i="48" s="1"/>
  <c r="ES114" i="48"/>
  <c r="ES115" i="48" s="1"/>
  <c r="ES88" i="48"/>
  <c r="ES191" i="48" s="1"/>
  <c r="O57" i="48"/>
  <c r="U57" i="48" s="1"/>
  <c r="O89" i="48"/>
  <c r="U89" i="48" s="1"/>
  <c r="O86" i="48"/>
  <c r="U86" i="48" s="1"/>
  <c r="EW88" i="48"/>
  <c r="EW191" i="48" s="1"/>
  <c r="ER96" i="48"/>
  <c r="ER199" i="48" s="1"/>
  <c r="U112" i="48"/>
  <c r="EQ121" i="48"/>
  <c r="EV96" i="48"/>
  <c r="EV199" i="48" s="1"/>
  <c r="O145" i="48"/>
  <c r="AL145" i="48"/>
  <c r="O144" i="48"/>
  <c r="U144" i="48" s="1"/>
  <c r="ET96" i="48"/>
  <c r="ET199" i="48" s="1"/>
  <c r="ET119" i="48"/>
  <c r="ET121" i="48" s="1"/>
  <c r="T126" i="48"/>
  <c r="Q126" i="48"/>
  <c r="T122" i="48"/>
  <c r="Q122" i="48"/>
  <c r="EN88" i="48"/>
  <c r="EN191" i="48" s="1"/>
  <c r="ET113" i="48"/>
  <c r="ET115" i="48" s="1"/>
  <c r="EP88" i="48"/>
  <c r="EP191" i="48" s="1"/>
  <c r="EP113" i="48"/>
  <c r="EP115" i="48" s="1"/>
  <c r="EW119" i="48"/>
  <c r="EW121" i="48" s="1"/>
  <c r="EW96" i="48"/>
  <c r="EW199" i="48" s="1"/>
  <c r="EV113" i="48"/>
  <c r="EV115" i="48" s="1"/>
  <c r="T158" i="48"/>
  <c r="EQ88" i="48"/>
  <c r="EQ191" i="48" s="1"/>
  <c r="EX119" i="48"/>
  <c r="EX121" i="48" s="1"/>
  <c r="EX96" i="48"/>
  <c r="EX199" i="48" s="1"/>
  <c r="ER88" i="48"/>
  <c r="ER191" i="48" s="1"/>
  <c r="T154" i="48"/>
  <c r="Q154" i="48"/>
  <c r="EU96" i="48"/>
  <c r="EU199" i="48" s="1"/>
  <c r="U175" i="48"/>
  <c r="EP149" i="48"/>
  <c r="O203" i="48"/>
  <c r="U203" i="48" s="1"/>
  <c r="O201" i="48"/>
  <c r="U201" i="48" s="1"/>
  <c r="T214" i="48"/>
  <c r="Q214" i="48"/>
  <c r="Q153" i="48"/>
  <c r="O199" i="48"/>
  <c r="U199" i="48" s="1"/>
  <c r="AH177" i="48"/>
  <c r="O195" i="48"/>
  <c r="U195" i="48" s="1"/>
  <c r="AJ145" i="48"/>
  <c r="O178" i="48"/>
  <c r="U178" i="48" s="1"/>
  <c r="S184" i="48"/>
  <c r="T184" i="48" s="1"/>
  <c r="O244" i="48"/>
  <c r="U244" i="48" s="1"/>
  <c r="Q250" i="48"/>
  <c r="U239" i="48"/>
  <c r="T250" i="48"/>
  <c r="EW115" i="48" l="1"/>
  <c r="EU121" i="48"/>
  <c r="EV121" i="48"/>
  <c r="EN121" i="48"/>
  <c r="EM121" i="48"/>
  <c r="EP121" i="48"/>
  <c r="O117" i="48"/>
  <c r="U117" i="48" s="1"/>
  <c r="EQ115" i="48"/>
  <c r="U52" i="48"/>
  <c r="O53" i="48"/>
  <c r="U84" i="48"/>
  <c r="O85" i="48"/>
  <c r="U85" i="48" s="1"/>
  <c r="ES121" i="48"/>
  <c r="S176" i="48"/>
  <c r="T176" i="48" s="1"/>
  <c r="S147" i="48"/>
  <c r="T147" i="48" s="1"/>
  <c r="S146" i="48"/>
  <c r="T146" i="48" s="1"/>
  <c r="Q47" i="48"/>
  <c r="U47" i="48"/>
  <c r="T47" i="48"/>
  <c r="U79" i="48"/>
  <c r="U222" i="48"/>
  <c r="EW174" i="48"/>
  <c r="O138" i="48"/>
  <c r="O139" i="48" s="1"/>
  <c r="S222" i="48"/>
  <c r="T222" i="48" s="1"/>
  <c r="S221" i="48"/>
  <c r="P138" i="48"/>
  <c r="S138" i="48" s="1"/>
  <c r="M138" i="48"/>
  <c r="N138" i="48"/>
  <c r="N139" i="48"/>
  <c r="M139" i="48"/>
  <c r="P139" i="48"/>
  <c r="S139" i="48" s="1"/>
  <c r="Q237" i="48"/>
  <c r="S237" i="48"/>
  <c r="T237" i="48" s="1"/>
  <c r="U145" i="48"/>
  <c r="O107" i="48"/>
  <c r="O109" i="48" s="1"/>
  <c r="T115" i="48"/>
  <c r="ER67" i="48"/>
  <c r="ER40" i="48"/>
  <c r="Q51" i="48"/>
  <c r="ER179" i="48"/>
  <c r="U133" i="48"/>
  <c r="T180" i="48"/>
  <c r="EW169" i="48"/>
  <c r="O223" i="48"/>
  <c r="O224" i="48" s="1"/>
  <c r="O227" i="48"/>
  <c r="O228" i="48" s="1"/>
  <c r="O230" i="48"/>
  <c r="O229" i="48" s="1"/>
  <c r="O167" i="48"/>
  <c r="U167" i="48" s="1"/>
  <c r="U165" i="48"/>
  <c r="O168" i="48"/>
  <c r="U168" i="48" s="1"/>
  <c r="O134" i="48"/>
  <c r="Q134" i="48" s="1"/>
  <c r="ET67" i="48"/>
  <c r="ET40" i="48"/>
  <c r="ET46" i="48"/>
  <c r="ET73" i="48"/>
  <c r="EQ34" i="48"/>
  <c r="EQ61" i="48"/>
  <c r="P106" i="48"/>
  <c r="S106" i="48" s="1"/>
  <c r="M106" i="48"/>
  <c r="N106" i="48"/>
  <c r="U101" i="48"/>
  <c r="T173" i="48"/>
  <c r="EP46" i="48"/>
  <c r="EP73" i="48"/>
  <c r="N42" i="48"/>
  <c r="P42" i="48"/>
  <c r="S42" i="48" s="1"/>
  <c r="M42" i="48"/>
  <c r="N43" i="48"/>
  <c r="P43" i="48"/>
  <c r="S43" i="48" s="1"/>
  <c r="M43" i="48"/>
  <c r="Q173" i="48"/>
  <c r="O42" i="48"/>
  <c r="O43" i="48" s="1"/>
  <c r="ER34" i="48"/>
  <c r="ER61" i="48"/>
  <c r="ER46" i="48"/>
  <c r="Q180" i="48"/>
  <c r="EO40" i="48"/>
  <c r="EO67" i="48"/>
  <c r="O7" i="48"/>
  <c r="O8" i="48" s="1"/>
  <c r="O118" i="48"/>
  <c r="U118" i="48" s="1"/>
  <c r="U116" i="48"/>
  <c r="Q146" i="48"/>
  <c r="T113" i="48"/>
  <c r="Q113" i="48"/>
  <c r="U210" i="48"/>
  <c r="Q210" i="48"/>
  <c r="T210" i="48"/>
  <c r="EO34" i="48"/>
  <c r="O208" i="48"/>
  <c r="EO61" i="48"/>
  <c r="O207" i="48"/>
  <c r="U206" i="48"/>
  <c r="T206" i="48"/>
  <c r="U16" i="48"/>
  <c r="Q16" i="48"/>
  <c r="U5" i="48"/>
  <c r="U27" i="48"/>
  <c r="W65" i="48"/>
  <c r="O81" i="48" s="1"/>
  <c r="U265" i="48"/>
  <c r="T265" i="48"/>
  <c r="Q265" i="48"/>
  <c r="U17" i="48"/>
  <c r="O226" i="48"/>
  <c r="U226" i="48" s="1"/>
  <c r="U266" i="48"/>
  <c r="Q266" i="48"/>
  <c r="T266" i="48"/>
  <c r="Q111" i="48"/>
  <c r="T111" i="48"/>
  <c r="Q174" i="48"/>
  <c r="T174" i="48"/>
  <c r="T67" i="48"/>
  <c r="Q18" i="48"/>
  <c r="U193" i="48"/>
  <c r="O236" i="48"/>
  <c r="Q163" i="48"/>
  <c r="Q115" i="48"/>
  <c r="Q50" i="48"/>
  <c r="Q222" i="48"/>
  <c r="T140" i="48"/>
  <c r="Q140" i="48"/>
  <c r="Q206" i="48"/>
  <c r="T16" i="48"/>
  <c r="U106" i="48"/>
  <c r="Q44" i="48"/>
  <c r="Q202" i="48"/>
  <c r="EW34" i="48"/>
  <c r="T202" i="48"/>
  <c r="O105" i="48"/>
  <c r="U105" i="48" s="1"/>
  <c r="T44" i="48"/>
  <c r="Q241" i="48"/>
  <c r="T143" i="48"/>
  <c r="T169" i="48"/>
  <c r="T241" i="48"/>
  <c r="Q169" i="48"/>
  <c r="Q68" i="48"/>
  <c r="Q143" i="48"/>
  <c r="EW40" i="48"/>
  <c r="O102" i="48"/>
  <c r="O103" i="48" s="1"/>
  <c r="O104" i="48" s="1"/>
  <c r="T37" i="48"/>
  <c r="Q67" i="48"/>
  <c r="O91" i="48"/>
  <c r="U91" i="48" s="1"/>
  <c r="T149" i="48"/>
  <c r="T3" i="48"/>
  <c r="EQ46" i="48"/>
  <c r="U3" i="48"/>
  <c r="O150" i="48"/>
  <c r="U150" i="48" s="1"/>
  <c r="Q149" i="48"/>
  <c r="EQ73" i="48"/>
  <c r="O38" i="48"/>
  <c r="T133" i="48"/>
  <c r="U12" i="48"/>
  <c r="Q101" i="48"/>
  <c r="O137" i="48"/>
  <c r="U137" i="48" s="1"/>
  <c r="U41" i="48"/>
  <c r="Q3" i="48"/>
  <c r="Q82" i="48"/>
  <c r="Q133" i="48"/>
  <c r="T101" i="48"/>
  <c r="U148" i="48"/>
  <c r="U37" i="48"/>
  <c r="Q177" i="48"/>
  <c r="S177" i="48"/>
  <c r="T177" i="48" s="1"/>
  <c r="Q176" i="48"/>
  <c r="Q116" i="48"/>
  <c r="T116" i="48"/>
  <c r="S194" i="48"/>
  <c r="T194" i="48" s="1"/>
  <c r="Q205" i="48"/>
  <c r="U108" i="48"/>
  <c r="Q147" i="48"/>
  <c r="T201" i="48"/>
  <c r="Q201" i="48"/>
  <c r="T148" i="48"/>
  <c r="Q148" i="48"/>
  <c r="EN174" i="48"/>
  <c r="EN67" i="48"/>
  <c r="EN40" i="48"/>
  <c r="Q22" i="48"/>
  <c r="T22" i="48"/>
  <c r="EV169" i="48"/>
  <c r="EV61" i="48"/>
  <c r="EV34" i="48"/>
  <c r="T57" i="48"/>
  <c r="Q57" i="48"/>
  <c r="Q48" i="48"/>
  <c r="T48" i="48"/>
  <c r="EV179" i="48"/>
  <c r="EV46" i="48"/>
  <c r="EV73" i="48"/>
  <c r="EW179" i="48"/>
  <c r="EW73" i="48"/>
  <c r="EW46" i="48"/>
  <c r="ES169" i="48"/>
  <c r="ES34" i="48"/>
  <c r="ES61" i="48"/>
  <c r="EU174" i="48"/>
  <c r="EU67" i="48"/>
  <c r="EU40" i="48"/>
  <c r="EX174" i="48"/>
  <c r="EX67" i="48"/>
  <c r="EX40" i="48"/>
  <c r="T239" i="48"/>
  <c r="Q239" i="48"/>
  <c r="U240" i="48"/>
  <c r="Q79" i="48"/>
  <c r="T79" i="48"/>
  <c r="EQ174" i="48"/>
  <c r="EQ67" i="48"/>
  <c r="W82" i="48" s="1"/>
  <c r="EQ40" i="48"/>
  <c r="ES174" i="48"/>
  <c r="ES40" i="48"/>
  <c r="ES67" i="48"/>
  <c r="T108" i="48"/>
  <c r="Q108" i="48"/>
  <c r="S83" i="48"/>
  <c r="T83" i="48" s="1"/>
  <c r="Q83" i="48"/>
  <c r="O54" i="48"/>
  <c r="U54" i="48" s="1"/>
  <c r="T52" i="48"/>
  <c r="U53" i="48"/>
  <c r="Q52" i="48"/>
  <c r="EU179" i="48"/>
  <c r="EU73" i="48"/>
  <c r="EU46" i="48"/>
  <c r="EX179" i="48"/>
  <c r="EX73" i="48"/>
  <c r="EX46" i="48"/>
  <c r="EM179" i="48"/>
  <c r="EM46" i="48"/>
  <c r="EM73" i="48"/>
  <c r="O170" i="48"/>
  <c r="U170" i="48" s="1"/>
  <c r="Q165" i="48"/>
  <c r="U164" i="48"/>
  <c r="T165" i="48"/>
  <c r="O166" i="48"/>
  <c r="U166" i="48" s="1"/>
  <c r="T235" i="48"/>
  <c r="Q235" i="48"/>
  <c r="Q25" i="48"/>
  <c r="T25" i="48"/>
  <c r="T84" i="48"/>
  <c r="Q84" i="48"/>
  <c r="T145" i="48"/>
  <c r="Q145" i="48"/>
  <c r="T112" i="48"/>
  <c r="Q112" i="48"/>
  <c r="Q69" i="48"/>
  <c r="U74" i="48"/>
  <c r="T69" i="48"/>
  <c r="O73" i="48"/>
  <c r="U73" i="48" s="1"/>
  <c r="U77" i="48"/>
  <c r="ES179" i="48"/>
  <c r="ES73" i="48"/>
  <c r="ES46" i="48"/>
  <c r="EM174" i="48"/>
  <c r="EM40" i="48"/>
  <c r="EM67" i="48"/>
  <c r="T234" i="48"/>
  <c r="Q234" i="48"/>
  <c r="Q195" i="48"/>
  <c r="O200" i="48"/>
  <c r="U200" i="48" s="1"/>
  <c r="O196" i="48"/>
  <c r="U196" i="48" s="1"/>
  <c r="O198" i="48"/>
  <c r="U198" i="48" s="1"/>
  <c r="O197" i="48"/>
  <c r="U197" i="48" s="1"/>
  <c r="T195" i="48"/>
  <c r="T76" i="48"/>
  <c r="Q76" i="48"/>
  <c r="Q114" i="48"/>
  <c r="T114" i="48"/>
  <c r="EN169" i="48"/>
  <c r="EN61" i="48"/>
  <c r="EN34" i="48"/>
  <c r="T15" i="48"/>
  <c r="Q15" i="48"/>
  <c r="EU169" i="48"/>
  <c r="EU61" i="48"/>
  <c r="EU34" i="48"/>
  <c r="EV174" i="48"/>
  <c r="EV67" i="48"/>
  <c r="EV40" i="48"/>
  <c r="Q37" i="48"/>
  <c r="S193" i="48"/>
  <c r="T193" i="48" s="1"/>
  <c r="Q193" i="48"/>
  <c r="T238" i="48"/>
  <c r="Q238" i="48"/>
  <c r="O179" i="48"/>
  <c r="U179" i="48" s="1"/>
  <c r="T178" i="48"/>
  <c r="Q178" i="48"/>
  <c r="Q199" i="48"/>
  <c r="T199" i="48"/>
  <c r="O9" i="48"/>
  <c r="U9" i="48" s="1"/>
  <c r="T5" i="48"/>
  <c r="O10" i="48"/>
  <c r="O11" i="48" s="1"/>
  <c r="O13" i="48" s="1"/>
  <c r="Q5" i="48"/>
  <c r="EP61" i="48"/>
  <c r="EP169" i="48"/>
  <c r="EP34" i="48"/>
  <c r="EP174" i="48"/>
  <c r="EP67" i="48"/>
  <c r="EP40" i="48"/>
  <c r="EN179" i="48"/>
  <c r="EN73" i="48"/>
  <c r="EN46" i="48"/>
  <c r="Q203" i="48"/>
  <c r="T203" i="48"/>
  <c r="EX169" i="48"/>
  <c r="EX61" i="48"/>
  <c r="EX34" i="48"/>
  <c r="T244" i="48"/>
  <c r="Q244" i="48"/>
  <c r="T212" i="48"/>
  <c r="Q212" i="48"/>
  <c r="T144" i="48"/>
  <c r="Q144" i="48"/>
  <c r="T86" i="48"/>
  <c r="Q86" i="48"/>
  <c r="T80" i="48"/>
  <c r="Q80" i="48"/>
  <c r="EM169" i="48"/>
  <c r="EM61" i="48"/>
  <c r="EM34" i="48"/>
  <c r="T175" i="48"/>
  <c r="Q175" i="48"/>
  <c r="T89" i="48"/>
  <c r="Q89" i="48"/>
  <c r="T20" i="48"/>
  <c r="O21" i="48"/>
  <c r="U21" i="48" s="1"/>
  <c r="Q20" i="48"/>
  <c r="EO179" i="48"/>
  <c r="EO73" i="48"/>
  <c r="EO46" i="48"/>
  <c r="ET169" i="48"/>
  <c r="ET61" i="48"/>
  <c r="ET34" i="48"/>
  <c r="Q59" i="44"/>
  <c r="Q117" i="48" l="1"/>
  <c r="T117" i="48"/>
  <c r="T85" i="48"/>
  <c r="Q85" i="48"/>
  <c r="W35" i="48"/>
  <c r="O49" i="48" s="1"/>
  <c r="W52" i="48"/>
  <c r="T81" i="48"/>
  <c r="U103" i="48"/>
  <c r="Q103" i="48"/>
  <c r="T103" i="48"/>
  <c r="U102" i="48"/>
  <c r="O99" i="48"/>
  <c r="O132" i="48"/>
  <c r="O152" i="48" s="1"/>
  <c r="T152" i="48" s="1"/>
  <c r="O131" i="48"/>
  <c r="O221" i="48"/>
  <c r="O220" i="48"/>
  <c r="U138" i="48"/>
  <c r="O39" i="48"/>
  <c r="O40" i="48" s="1"/>
  <c r="O36" i="48"/>
  <c r="U280" i="48"/>
  <c r="U139" i="48"/>
  <c r="Q139" i="48"/>
  <c r="T139" i="48"/>
  <c r="O141" i="48"/>
  <c r="U141" i="48" s="1"/>
  <c r="Q81" i="48"/>
  <c r="T280" i="48"/>
  <c r="O182" i="48"/>
  <c r="U81" i="48"/>
  <c r="U227" i="48"/>
  <c r="Q230" i="48"/>
  <c r="U230" i="48"/>
  <c r="U228" i="48"/>
  <c r="Q228" i="48"/>
  <c r="T228" i="48"/>
  <c r="T230" i="48"/>
  <c r="Q224" i="48"/>
  <c r="T224" i="48"/>
  <c r="O225" i="48"/>
  <c r="U224" i="48"/>
  <c r="O232" i="48"/>
  <c r="U232" i="48" s="1"/>
  <c r="Q118" i="48"/>
  <c r="U223" i="48"/>
  <c r="T134" i="48"/>
  <c r="O231" i="48"/>
  <c r="U231" i="48" s="1"/>
  <c r="O45" i="48"/>
  <c r="U45" i="48" s="1"/>
  <c r="U42" i="48"/>
  <c r="T223" i="48"/>
  <c r="T42" i="48"/>
  <c r="U134" i="48"/>
  <c r="O135" i="48"/>
  <c r="Q42" i="48"/>
  <c r="M107" i="48"/>
  <c r="U107" i="48"/>
  <c r="P107" i="48"/>
  <c r="S107" i="48" s="1"/>
  <c r="N107" i="48"/>
  <c r="T118" i="48"/>
  <c r="T106" i="48"/>
  <c r="O100" i="48"/>
  <c r="O120" i="48" s="1"/>
  <c r="O119" i="48" s="1"/>
  <c r="U70" i="48"/>
  <c r="U43" i="48"/>
  <c r="Q43" i="48"/>
  <c r="T43" i="48"/>
  <c r="U38" i="48"/>
  <c r="Q8" i="48"/>
  <c r="T8" i="48"/>
  <c r="U8" i="48"/>
  <c r="Q223" i="48"/>
  <c r="Q138" i="48"/>
  <c r="U207" i="48"/>
  <c r="T207" i="48"/>
  <c r="Q207" i="48"/>
  <c r="U208" i="48"/>
  <c r="Q208" i="48"/>
  <c r="T208" i="48"/>
  <c r="U10" i="48"/>
  <c r="Q17" i="48"/>
  <c r="T27" i="48"/>
  <c r="Q27" i="48"/>
  <c r="Q226" i="48"/>
  <c r="O245" i="48"/>
  <c r="Q245" i="48" s="1"/>
  <c r="T226" i="48"/>
  <c r="T17" i="48"/>
  <c r="U236" i="48"/>
  <c r="T150" i="48"/>
  <c r="Q41" i="48"/>
  <c r="T41" i="48"/>
  <c r="O58" i="48"/>
  <c r="Q150" i="48"/>
  <c r="T38" i="48"/>
  <c r="U6" i="48"/>
  <c r="Q38" i="48"/>
  <c r="U163" i="48"/>
  <c r="O185" i="48"/>
  <c r="T138" i="48"/>
  <c r="T163" i="48"/>
  <c r="T105" i="48"/>
  <c r="Q105" i="48"/>
  <c r="Q106" i="48"/>
  <c r="T102" i="48"/>
  <c r="Q102" i="48"/>
  <c r="Q91" i="48"/>
  <c r="T91" i="48"/>
  <c r="T137" i="48"/>
  <c r="T12" i="48"/>
  <c r="Q12" i="48"/>
  <c r="Q137" i="48"/>
  <c r="T227" i="48"/>
  <c r="Q227" i="48"/>
  <c r="U229" i="48"/>
  <c r="Q170" i="48"/>
  <c r="T170" i="48"/>
  <c r="Q53" i="48"/>
  <c r="T53" i="48"/>
  <c r="Q77" i="48"/>
  <c r="T77" i="48"/>
  <c r="T54" i="48"/>
  <c r="Q54" i="48"/>
  <c r="T197" i="48"/>
  <c r="Q197" i="48"/>
  <c r="O90" i="48"/>
  <c r="O88" i="48" s="1"/>
  <c r="O87" i="48" s="1"/>
  <c r="Q73" i="48"/>
  <c r="T73" i="48"/>
  <c r="T236" i="48"/>
  <c r="Q236" i="48"/>
  <c r="T10" i="48"/>
  <c r="Q10" i="48"/>
  <c r="T198" i="48"/>
  <c r="Q198" i="48"/>
  <c r="T166" i="48"/>
  <c r="Q166" i="48"/>
  <c r="T196" i="48"/>
  <c r="O211" i="48"/>
  <c r="U211" i="48" s="1"/>
  <c r="Q196" i="48"/>
  <c r="T74" i="48"/>
  <c r="Q74" i="48"/>
  <c r="Q6" i="48"/>
  <c r="T6" i="48"/>
  <c r="T179" i="48"/>
  <c r="Q179" i="48"/>
  <c r="Q200" i="48"/>
  <c r="T200" i="48"/>
  <c r="Q167" i="48"/>
  <c r="T167" i="48"/>
  <c r="Q164" i="48"/>
  <c r="T164" i="48"/>
  <c r="T9" i="48"/>
  <c r="O26" i="48"/>
  <c r="O24" i="48" s="1"/>
  <c r="O23" i="48" s="1"/>
  <c r="Q9" i="48"/>
  <c r="T70" i="48"/>
  <c r="Q70" i="48"/>
  <c r="T168" i="48"/>
  <c r="Q168" i="48"/>
  <c r="Q21" i="48"/>
  <c r="T21" i="48"/>
  <c r="T229" i="48"/>
  <c r="Q229" i="48"/>
  <c r="T240" i="48"/>
  <c r="Q240" i="48"/>
  <c r="R50" i="44"/>
  <c r="R4" i="44"/>
  <c r="R3" i="44"/>
  <c r="U49" i="48" l="1"/>
  <c r="T49" i="48"/>
  <c r="Q49" i="48"/>
  <c r="U104" i="48"/>
  <c r="T104" i="48"/>
  <c r="Q104" i="48"/>
  <c r="O56" i="48"/>
  <c r="U99" i="48"/>
  <c r="O123" i="48"/>
  <c r="Q99" i="48"/>
  <c r="T99" i="48"/>
  <c r="Q152" i="48"/>
  <c r="U131" i="48"/>
  <c r="O155" i="48"/>
  <c r="T131" i="48"/>
  <c r="Q131" i="48"/>
  <c r="U132" i="48"/>
  <c r="T132" i="48"/>
  <c r="Q132" i="48"/>
  <c r="U220" i="48"/>
  <c r="O246" i="48"/>
  <c r="T220" i="48"/>
  <c r="Q220" i="48"/>
  <c r="U221" i="48"/>
  <c r="Q221" i="48"/>
  <c r="T221" i="48"/>
  <c r="T141" i="48"/>
  <c r="Q141" i="48"/>
  <c r="U36" i="48"/>
  <c r="T36" i="48"/>
  <c r="Q36" i="48"/>
  <c r="T35" i="48"/>
  <c r="U35" i="48"/>
  <c r="O59" i="48"/>
  <c r="Q35" i="48"/>
  <c r="U182" i="48"/>
  <c r="O181" i="48"/>
  <c r="Q87" i="48"/>
  <c r="T87" i="48"/>
  <c r="U87" i="48"/>
  <c r="Q119" i="48"/>
  <c r="T119" i="48"/>
  <c r="U119" i="48"/>
  <c r="U152" i="48"/>
  <c r="O151" i="48"/>
  <c r="U23" i="48"/>
  <c r="T23" i="48"/>
  <c r="Q23" i="48"/>
  <c r="U26" i="48"/>
  <c r="U24" i="48"/>
  <c r="Q225" i="48"/>
  <c r="U225" i="48"/>
  <c r="T225" i="48"/>
  <c r="Q232" i="48"/>
  <c r="T232" i="48"/>
  <c r="O243" i="48"/>
  <c r="T107" i="48"/>
  <c r="O136" i="48"/>
  <c r="U135" i="48"/>
  <c r="Q135" i="48"/>
  <c r="T135" i="48"/>
  <c r="Q107" i="48"/>
  <c r="U100" i="48"/>
  <c r="T100" i="48"/>
  <c r="Q100" i="48"/>
  <c r="U90" i="48"/>
  <c r="U88" i="48"/>
  <c r="U71" i="48"/>
  <c r="Q71" i="48"/>
  <c r="T71" i="48"/>
  <c r="U58" i="48"/>
  <c r="U39" i="48"/>
  <c r="T39" i="48"/>
  <c r="Q39" i="48"/>
  <c r="U245" i="48"/>
  <c r="T245" i="48"/>
  <c r="T45" i="48"/>
  <c r="U11" i="48"/>
  <c r="Q11" i="48"/>
  <c r="T11" i="48"/>
  <c r="U7" i="48"/>
  <c r="Q7" i="48"/>
  <c r="T7" i="48"/>
  <c r="T58" i="48"/>
  <c r="Q58" i="48"/>
  <c r="Q45" i="48"/>
  <c r="U4" i="48"/>
  <c r="T4" i="48"/>
  <c r="Q4" i="48"/>
  <c r="U185" i="48"/>
  <c r="T185" i="48"/>
  <c r="Q185" i="48"/>
  <c r="T90" i="48"/>
  <c r="Q90" i="48"/>
  <c r="Q211" i="48"/>
  <c r="T211" i="48"/>
  <c r="O209" i="48"/>
  <c r="U209" i="48" s="1"/>
  <c r="T231" i="48"/>
  <c r="Q231" i="48"/>
  <c r="T26" i="48"/>
  <c r="Q26" i="48"/>
  <c r="T182" i="48"/>
  <c r="Q182" i="48"/>
  <c r="GG98" i="46"/>
  <c r="GH98" i="46"/>
  <c r="GI98" i="46"/>
  <c r="GJ98" i="46"/>
  <c r="GK98" i="46"/>
  <c r="GL98" i="46"/>
  <c r="GM98" i="46"/>
  <c r="GN98" i="46"/>
  <c r="GO98" i="46"/>
  <c r="GP98" i="46"/>
  <c r="GQ98" i="46"/>
  <c r="O55" i="48" l="1"/>
  <c r="T55" i="48" s="1"/>
  <c r="U56" i="48"/>
  <c r="U123" i="48"/>
  <c r="T123" i="48"/>
  <c r="Q123" i="48"/>
  <c r="U155" i="48"/>
  <c r="T155" i="48"/>
  <c r="Q155" i="48"/>
  <c r="U246" i="48"/>
  <c r="Q246" i="48"/>
  <c r="T246" i="48"/>
  <c r="U59" i="48"/>
  <c r="T59" i="48"/>
  <c r="Q59" i="48"/>
  <c r="U243" i="48"/>
  <c r="O242" i="48"/>
  <c r="U181" i="48"/>
  <c r="U190" i="48" s="1"/>
  <c r="Q181" i="48"/>
  <c r="T181" i="48"/>
  <c r="T190" i="48" s="1"/>
  <c r="U151" i="48"/>
  <c r="Q151" i="48"/>
  <c r="T151" i="48"/>
  <c r="U136" i="48"/>
  <c r="Q136" i="48"/>
  <c r="T136" i="48"/>
  <c r="U109" i="48"/>
  <c r="Q109" i="48"/>
  <c r="T109" i="48"/>
  <c r="U120" i="48"/>
  <c r="T120" i="48"/>
  <c r="Q120" i="48"/>
  <c r="Q72" i="48"/>
  <c r="U72" i="48"/>
  <c r="U96" i="48" s="1"/>
  <c r="T72" i="48"/>
  <c r="T243" i="48"/>
  <c r="Q243" i="48"/>
  <c r="T40" i="48"/>
  <c r="Q40" i="48"/>
  <c r="U40" i="48"/>
  <c r="Q56" i="48"/>
  <c r="T56" i="48"/>
  <c r="U13" i="48"/>
  <c r="U32" i="48" s="1"/>
  <c r="T13" i="48"/>
  <c r="Q13" i="48"/>
  <c r="T24" i="48"/>
  <c r="Q24" i="48"/>
  <c r="T88" i="48"/>
  <c r="Q88" i="48"/>
  <c r="U215" i="48"/>
  <c r="T209" i="48"/>
  <c r="T215" i="48" s="1"/>
  <c r="Q209" i="48"/>
  <c r="Q55" i="48" l="1"/>
  <c r="U55" i="48"/>
  <c r="U64" i="48" s="1"/>
  <c r="T128" i="48"/>
  <c r="U160" i="48"/>
  <c r="T32" i="48"/>
  <c r="T160" i="48"/>
  <c r="U242" i="48"/>
  <c r="U251" i="48" s="1"/>
  <c r="Q242" i="48"/>
  <c r="T242" i="48"/>
  <c r="T251" i="48" s="1"/>
  <c r="T96" i="48"/>
  <c r="T64" i="48"/>
  <c r="U128" i="48"/>
  <c r="L128" i="47" l="1"/>
  <c r="L36" i="44" l="1"/>
  <c r="L142" i="47" l="1"/>
  <c r="L119" i="47"/>
  <c r="N119" i="47" s="1"/>
  <c r="N142" i="47" l="1"/>
  <c r="M142" i="47"/>
  <c r="P51" i="44"/>
  <c r="S51" i="44" s="1"/>
  <c r="P52" i="44"/>
  <c r="S52" i="44" s="1"/>
  <c r="P53" i="44"/>
  <c r="S53" i="44" s="1"/>
  <c r="P54" i="44"/>
  <c r="S54" i="44" s="1"/>
  <c r="P55" i="44"/>
  <c r="S55" i="44" s="1"/>
  <c r="P56" i="44"/>
  <c r="S56" i="44" s="1"/>
  <c r="P57" i="44"/>
  <c r="S57" i="44" s="1"/>
  <c r="P58" i="44"/>
  <c r="S58" i="44" s="1"/>
  <c r="P63" i="44"/>
  <c r="S63" i="44" s="1"/>
  <c r="P64" i="44"/>
  <c r="S64" i="44" s="1"/>
  <c r="P65" i="44"/>
  <c r="S65" i="44" s="1"/>
  <c r="P66" i="44"/>
  <c r="S66" i="44" s="1"/>
  <c r="P67" i="44"/>
  <c r="S67" i="44" s="1"/>
  <c r="P68" i="44"/>
  <c r="S68" i="44" s="1"/>
  <c r="P50" i="44"/>
  <c r="S50" i="44" s="1"/>
  <c r="M51" i="44"/>
  <c r="N51" i="44"/>
  <c r="M52" i="44"/>
  <c r="N52" i="44"/>
  <c r="M53" i="44"/>
  <c r="N53" i="44"/>
  <c r="M54" i="44"/>
  <c r="N54" i="44"/>
  <c r="M55" i="44"/>
  <c r="N55" i="44"/>
  <c r="M56" i="44"/>
  <c r="N56" i="44"/>
  <c r="M57" i="44"/>
  <c r="N57" i="44"/>
  <c r="M58" i="44"/>
  <c r="N58" i="44"/>
  <c r="M63" i="44"/>
  <c r="N63" i="44"/>
  <c r="M64" i="44"/>
  <c r="N64" i="44"/>
  <c r="M65" i="44"/>
  <c r="N65" i="44"/>
  <c r="M66" i="44"/>
  <c r="N66" i="44"/>
  <c r="M67" i="44"/>
  <c r="N67" i="44"/>
  <c r="M68" i="44"/>
  <c r="N68" i="44"/>
  <c r="N50" i="44"/>
  <c r="M50" i="44"/>
  <c r="P45" i="44"/>
  <c r="S45" i="44" s="1"/>
  <c r="P26" i="44"/>
  <c r="S26" i="44" s="1"/>
  <c r="P27" i="44"/>
  <c r="S27" i="44" s="1"/>
  <c r="P28" i="44"/>
  <c r="S28" i="44" s="1"/>
  <c r="P29" i="44"/>
  <c r="S29" i="44" s="1"/>
  <c r="P30" i="44"/>
  <c r="S30" i="44" s="1"/>
  <c r="P31" i="44"/>
  <c r="S31" i="44" s="1"/>
  <c r="P32" i="44"/>
  <c r="S32" i="44" s="1"/>
  <c r="P33" i="44"/>
  <c r="S33" i="44" s="1"/>
  <c r="P34" i="44"/>
  <c r="S34" i="44" s="1"/>
  <c r="P35" i="44"/>
  <c r="S35" i="44" s="1"/>
  <c r="P40" i="44"/>
  <c r="S40" i="44" s="1"/>
  <c r="P41" i="44"/>
  <c r="S41" i="44" s="1"/>
  <c r="P42" i="44"/>
  <c r="S42" i="44" s="1"/>
  <c r="P43" i="44"/>
  <c r="S43" i="44" s="1"/>
  <c r="P44" i="44"/>
  <c r="S44" i="44" s="1"/>
  <c r="P25" i="44"/>
  <c r="S25" i="44" s="1"/>
  <c r="M26" i="44"/>
  <c r="N26" i="44"/>
  <c r="M27" i="44"/>
  <c r="N27" i="44"/>
  <c r="M28" i="44"/>
  <c r="N28" i="44"/>
  <c r="M29" i="44"/>
  <c r="N29" i="44"/>
  <c r="M30" i="44"/>
  <c r="N30" i="44"/>
  <c r="M31" i="44"/>
  <c r="N31" i="44"/>
  <c r="M32" i="44"/>
  <c r="N32" i="44"/>
  <c r="M33" i="44"/>
  <c r="N33" i="44"/>
  <c r="M34" i="44"/>
  <c r="N34" i="44"/>
  <c r="M35" i="44"/>
  <c r="N35" i="44"/>
  <c r="M40" i="44"/>
  <c r="N40" i="44"/>
  <c r="M41" i="44"/>
  <c r="N41" i="44"/>
  <c r="M42" i="44"/>
  <c r="N42" i="44"/>
  <c r="M43" i="44"/>
  <c r="N43" i="44"/>
  <c r="M44" i="44"/>
  <c r="N44" i="44"/>
  <c r="M45" i="44"/>
  <c r="N45" i="44"/>
  <c r="N25" i="44"/>
  <c r="M25" i="44"/>
  <c r="P4" i="44"/>
  <c r="S4" i="44" s="1"/>
  <c r="P5" i="44"/>
  <c r="S5" i="44" s="1"/>
  <c r="P6" i="44"/>
  <c r="S6" i="44" s="1"/>
  <c r="P7" i="44"/>
  <c r="S7" i="44" s="1"/>
  <c r="P8" i="44"/>
  <c r="S8" i="44" s="1"/>
  <c r="P9" i="44"/>
  <c r="S9" i="44" s="1"/>
  <c r="P10" i="44"/>
  <c r="S10" i="44" s="1"/>
  <c r="P11" i="44"/>
  <c r="S11" i="44" s="1"/>
  <c r="P15" i="44"/>
  <c r="S15" i="44" s="1"/>
  <c r="P16" i="44"/>
  <c r="S16" i="44" s="1"/>
  <c r="P17" i="44"/>
  <c r="S17" i="44" s="1"/>
  <c r="P18" i="44"/>
  <c r="S18" i="44" s="1"/>
  <c r="P19" i="44"/>
  <c r="S19" i="44" s="1"/>
  <c r="P20" i="44"/>
  <c r="S20" i="44" s="1"/>
  <c r="P3" i="44"/>
  <c r="S3" i="44" s="1"/>
  <c r="M4" i="44"/>
  <c r="M5" i="44"/>
  <c r="N5" i="44"/>
  <c r="M6" i="44"/>
  <c r="N6" i="44"/>
  <c r="M7" i="44"/>
  <c r="N7" i="44"/>
  <c r="M8" i="44"/>
  <c r="N8" i="44"/>
  <c r="M9" i="44"/>
  <c r="N9" i="44"/>
  <c r="M10" i="44"/>
  <c r="N10" i="44"/>
  <c r="M11" i="44"/>
  <c r="N11" i="44"/>
  <c r="M15" i="44"/>
  <c r="N15" i="44"/>
  <c r="M16" i="44"/>
  <c r="N16" i="44"/>
  <c r="M17" i="44"/>
  <c r="N17" i="44"/>
  <c r="M18" i="44"/>
  <c r="N18" i="44"/>
  <c r="M19" i="44"/>
  <c r="N19" i="44"/>
  <c r="M20" i="44"/>
  <c r="N20" i="44"/>
  <c r="P180" i="47"/>
  <c r="S180" i="47" s="1"/>
  <c r="P181" i="47"/>
  <c r="S181" i="47" s="1"/>
  <c r="P182" i="47"/>
  <c r="S182" i="47" s="1"/>
  <c r="P183" i="47"/>
  <c r="S183" i="47" s="1"/>
  <c r="P184" i="47"/>
  <c r="S184" i="47" s="1"/>
  <c r="P185" i="47"/>
  <c r="S185" i="47" s="1"/>
  <c r="P187" i="47"/>
  <c r="S187" i="47" s="1"/>
  <c r="P188" i="47"/>
  <c r="S188" i="47" s="1"/>
  <c r="P195" i="47"/>
  <c r="S195" i="47" s="1"/>
  <c r="P196" i="47"/>
  <c r="S196" i="47" s="1"/>
  <c r="P198" i="47"/>
  <c r="P200" i="47"/>
  <c r="P179" i="47"/>
  <c r="S179" i="47" s="1"/>
  <c r="M179" i="47"/>
  <c r="M180" i="47"/>
  <c r="N180" i="47"/>
  <c r="M181" i="47"/>
  <c r="N181" i="47"/>
  <c r="M182" i="47"/>
  <c r="N182" i="47"/>
  <c r="M183" i="47"/>
  <c r="N183" i="47"/>
  <c r="M184" i="47"/>
  <c r="N184" i="47"/>
  <c r="M185" i="47"/>
  <c r="N185" i="47"/>
  <c r="M187" i="47"/>
  <c r="N187" i="47"/>
  <c r="M188" i="47"/>
  <c r="N188" i="47"/>
  <c r="M195" i="47"/>
  <c r="N195" i="47"/>
  <c r="M196" i="47"/>
  <c r="N196" i="47"/>
  <c r="M198" i="47"/>
  <c r="N198" i="47"/>
  <c r="M200" i="47"/>
  <c r="N200" i="47"/>
  <c r="N179" i="47"/>
  <c r="P153" i="47"/>
  <c r="S153" i="47" s="1"/>
  <c r="P154" i="47"/>
  <c r="S154" i="47" s="1"/>
  <c r="P155" i="47"/>
  <c r="S155" i="47" s="1"/>
  <c r="P156" i="47"/>
  <c r="S156" i="47" s="1"/>
  <c r="P157" i="47"/>
  <c r="S157" i="47" s="1"/>
  <c r="P158" i="47"/>
  <c r="S158" i="47" s="1"/>
  <c r="P159" i="47"/>
  <c r="S159" i="47" s="1"/>
  <c r="P160" i="47"/>
  <c r="S160" i="47" s="1"/>
  <c r="P162" i="47"/>
  <c r="S162" i="47" s="1"/>
  <c r="P163" i="47"/>
  <c r="S163" i="47" s="1"/>
  <c r="P167" i="47"/>
  <c r="S167" i="47" s="1"/>
  <c r="P170" i="47"/>
  <c r="S170" i="47" s="1"/>
  <c r="P171" i="47"/>
  <c r="S171" i="47" s="1"/>
  <c r="P152" i="47"/>
  <c r="S152" i="47" s="1"/>
  <c r="M153" i="47"/>
  <c r="N153" i="47"/>
  <c r="M154" i="47"/>
  <c r="N154" i="47"/>
  <c r="M155" i="47"/>
  <c r="N155" i="47"/>
  <c r="M156" i="47"/>
  <c r="N156" i="47"/>
  <c r="M157" i="47"/>
  <c r="N157" i="47"/>
  <c r="M158" i="47"/>
  <c r="N158" i="47"/>
  <c r="M159" i="47"/>
  <c r="N159" i="47"/>
  <c r="M160" i="47"/>
  <c r="N160" i="47"/>
  <c r="M162" i="47"/>
  <c r="N162" i="47"/>
  <c r="M163" i="47"/>
  <c r="N163" i="47"/>
  <c r="M167" i="47"/>
  <c r="N167" i="47"/>
  <c r="M170" i="47"/>
  <c r="N170" i="47"/>
  <c r="M171" i="47"/>
  <c r="N171" i="47"/>
  <c r="N152" i="47"/>
  <c r="M152" i="47"/>
  <c r="P131" i="47"/>
  <c r="S131" i="47" s="1"/>
  <c r="P135" i="47"/>
  <c r="S135" i="47" s="1"/>
  <c r="P139" i="47"/>
  <c r="S139" i="47" s="1"/>
  <c r="P140" i="47"/>
  <c r="S140" i="47" s="1"/>
  <c r="N131" i="47"/>
  <c r="M131" i="47"/>
  <c r="M135" i="47"/>
  <c r="P106" i="47"/>
  <c r="S106" i="47" s="1"/>
  <c r="P113" i="47"/>
  <c r="S113" i="47" s="1"/>
  <c r="P117" i="47"/>
  <c r="S117" i="47" s="1"/>
  <c r="N106" i="47"/>
  <c r="N113" i="47"/>
  <c r="N117" i="47"/>
  <c r="M106" i="47"/>
  <c r="M113" i="47"/>
  <c r="M117" i="47"/>
  <c r="L105" i="47"/>
  <c r="M105" i="47" s="1"/>
  <c r="L199" i="47"/>
  <c r="L197" i="47"/>
  <c r="P194" i="47"/>
  <c r="L193" i="47"/>
  <c r="P193" i="47" s="1"/>
  <c r="S193" i="47" s="1"/>
  <c r="P192" i="47"/>
  <c r="P191" i="47"/>
  <c r="S191" i="47" s="1"/>
  <c r="P190" i="47"/>
  <c r="L186" i="47"/>
  <c r="P186" i="47" s="1"/>
  <c r="S186" i="47" s="1"/>
  <c r="L172" i="47"/>
  <c r="P169" i="47"/>
  <c r="L168" i="47"/>
  <c r="L166" i="47"/>
  <c r="M166" i="47" s="1"/>
  <c r="L165" i="47"/>
  <c r="M165" i="47" s="1"/>
  <c r="M164" i="47"/>
  <c r="L161" i="47"/>
  <c r="P161" i="47" s="1"/>
  <c r="S161" i="47" s="1"/>
  <c r="L144" i="47"/>
  <c r="L143" i="47"/>
  <c r="L138" i="47"/>
  <c r="P137" i="47"/>
  <c r="S137" i="47" s="1"/>
  <c r="P136" i="47"/>
  <c r="L134" i="47"/>
  <c r="N134" i="47" s="1"/>
  <c r="N133" i="47"/>
  <c r="N132" i="47"/>
  <c r="M130" i="47"/>
  <c r="P120" i="47"/>
  <c r="F119" i="47"/>
  <c r="L118" i="47"/>
  <c r="L116" i="47"/>
  <c r="N116" i="47" s="1"/>
  <c r="N115" i="47"/>
  <c r="M112" i="47"/>
  <c r="M111" i="47"/>
  <c r="L110" i="47"/>
  <c r="N110" i="47" s="1"/>
  <c r="N109" i="47"/>
  <c r="N107" i="47"/>
  <c r="FL201" i="47"/>
  <c r="FL200" i="47"/>
  <c r="FL199" i="47"/>
  <c r="FL198" i="47"/>
  <c r="FL197" i="47"/>
  <c r="FL196" i="47"/>
  <c r="FL195" i="47"/>
  <c r="FL194" i="47"/>
  <c r="FL193" i="47"/>
  <c r="CK193" i="47"/>
  <c r="CJ193" i="47"/>
  <c r="CI193" i="47"/>
  <c r="CH193" i="47"/>
  <c r="CG193" i="47"/>
  <c r="CF193" i="47"/>
  <c r="CE193" i="47"/>
  <c r="CD193" i="47"/>
  <c r="CC193" i="47"/>
  <c r="CB193" i="47"/>
  <c r="CA193" i="47"/>
  <c r="BZ193" i="47"/>
  <c r="BY193" i="47"/>
  <c r="BX193" i="47"/>
  <c r="BW193" i="47"/>
  <c r="BV193" i="47"/>
  <c r="BU193" i="47"/>
  <c r="BT193" i="47"/>
  <c r="BS193" i="47"/>
  <c r="BR193" i="47"/>
  <c r="BQ193" i="47"/>
  <c r="BP193" i="47"/>
  <c r="BO193" i="47"/>
  <c r="BN193" i="47"/>
  <c r="BM193" i="47"/>
  <c r="BL193" i="47"/>
  <c r="BK193" i="47"/>
  <c r="BJ193" i="47"/>
  <c r="BI193" i="47"/>
  <c r="BH193" i="47"/>
  <c r="BG193" i="47"/>
  <c r="BF193" i="47"/>
  <c r="BE193" i="47"/>
  <c r="BD193" i="47"/>
  <c r="BC193" i="47"/>
  <c r="BB193" i="47"/>
  <c r="BA193" i="47"/>
  <c r="AZ193" i="47"/>
  <c r="AY193" i="47"/>
  <c r="AX193" i="47"/>
  <c r="AW193" i="47"/>
  <c r="AV193" i="47"/>
  <c r="AU193" i="47"/>
  <c r="AT193" i="47"/>
  <c r="AS193" i="47"/>
  <c r="AR193" i="47"/>
  <c r="AQ193" i="47"/>
  <c r="AP193" i="47"/>
  <c r="AO193" i="47"/>
  <c r="AN193" i="47"/>
  <c r="O198" i="47"/>
  <c r="O197" i="47"/>
  <c r="R196" i="47"/>
  <c r="CK184" i="47"/>
  <c r="CJ184" i="47"/>
  <c r="CI184" i="47"/>
  <c r="CH184" i="47"/>
  <c r="CG184" i="47"/>
  <c r="CF184" i="47"/>
  <c r="CE184" i="47"/>
  <c r="CD184" i="47"/>
  <c r="CC184" i="47"/>
  <c r="CB184" i="47"/>
  <c r="CA184" i="47"/>
  <c r="BZ184" i="47"/>
  <c r="BY184" i="47"/>
  <c r="BX184" i="47"/>
  <c r="BW184" i="47"/>
  <c r="BV184" i="47"/>
  <c r="BU184" i="47"/>
  <c r="BT184" i="47"/>
  <c r="BS184" i="47"/>
  <c r="BR184" i="47"/>
  <c r="BQ184" i="47"/>
  <c r="BP184" i="47"/>
  <c r="BO184" i="47"/>
  <c r="BN184" i="47"/>
  <c r="BM184" i="47"/>
  <c r="BL184" i="47"/>
  <c r="BK184" i="47"/>
  <c r="BJ184" i="47"/>
  <c r="BI184" i="47"/>
  <c r="BH184" i="47"/>
  <c r="BG184" i="47"/>
  <c r="BF184" i="47"/>
  <c r="BE184" i="47"/>
  <c r="BD184" i="47"/>
  <c r="BC184" i="47"/>
  <c r="BB184" i="47"/>
  <c r="BA184" i="47"/>
  <c r="AZ184" i="47"/>
  <c r="AY184" i="47"/>
  <c r="AX184" i="47"/>
  <c r="AW184" i="47"/>
  <c r="AV184" i="47"/>
  <c r="AU184" i="47"/>
  <c r="AT184" i="47"/>
  <c r="AS184" i="47"/>
  <c r="AR184" i="47"/>
  <c r="AQ184" i="47"/>
  <c r="AP184" i="47"/>
  <c r="AO184" i="47"/>
  <c r="AN184" i="47"/>
  <c r="R195" i="47"/>
  <c r="R194" i="47"/>
  <c r="AE182" i="47"/>
  <c r="AD182" i="47"/>
  <c r="AC182" i="47"/>
  <c r="AB182" i="47"/>
  <c r="AA182" i="47"/>
  <c r="Z182" i="47"/>
  <c r="X182" i="47"/>
  <c r="R193" i="47"/>
  <c r="AE181" i="47"/>
  <c r="AD181" i="47"/>
  <c r="AC181" i="47"/>
  <c r="AB181" i="47"/>
  <c r="AA181" i="47"/>
  <c r="Z181" i="47"/>
  <c r="X181" i="47"/>
  <c r="R192" i="47"/>
  <c r="AE180" i="47"/>
  <c r="AD180" i="47"/>
  <c r="AC180" i="47"/>
  <c r="AB180" i="47"/>
  <c r="AA180" i="47"/>
  <c r="Z180" i="47"/>
  <c r="X180" i="47"/>
  <c r="R191" i="47"/>
  <c r="AE179" i="47"/>
  <c r="AD179" i="47"/>
  <c r="AC179" i="47"/>
  <c r="AB179" i="47"/>
  <c r="AA179" i="47"/>
  <c r="Z179" i="47"/>
  <c r="X179" i="47"/>
  <c r="R190" i="47"/>
  <c r="O190" i="47"/>
  <c r="AE178" i="47"/>
  <c r="AD178" i="47"/>
  <c r="AC178" i="47"/>
  <c r="AB178" i="47"/>
  <c r="AA178" i="47"/>
  <c r="Z178" i="47"/>
  <c r="X178" i="47"/>
  <c r="R189" i="47"/>
  <c r="O189" i="47"/>
  <c r="AE177" i="47"/>
  <c r="AD177" i="47"/>
  <c r="AC177" i="47"/>
  <c r="AB177" i="47"/>
  <c r="AA177" i="47"/>
  <c r="Z177" i="47"/>
  <c r="X177" i="47"/>
  <c r="R188" i="47"/>
  <c r="AE176" i="47"/>
  <c r="AD176" i="47"/>
  <c r="AC176" i="47"/>
  <c r="AB176" i="47"/>
  <c r="AA176" i="47"/>
  <c r="Z176" i="47"/>
  <c r="X176" i="47"/>
  <c r="R187" i="47"/>
  <c r="CK175" i="47"/>
  <c r="CJ175" i="47"/>
  <c r="CI175" i="47"/>
  <c r="CH175" i="47"/>
  <c r="CG175" i="47"/>
  <c r="CF175" i="47"/>
  <c r="CE175" i="47"/>
  <c r="CD175" i="47"/>
  <c r="CC175" i="47"/>
  <c r="CB175" i="47"/>
  <c r="CA175" i="47"/>
  <c r="BZ175" i="47"/>
  <c r="BY175" i="47"/>
  <c r="BX175" i="47"/>
  <c r="BW175" i="47"/>
  <c r="BV175" i="47"/>
  <c r="BU175" i="47"/>
  <c r="BT175" i="47"/>
  <c r="BS175" i="47"/>
  <c r="BR175" i="47"/>
  <c r="BQ175" i="47"/>
  <c r="BP175" i="47"/>
  <c r="BO175" i="47"/>
  <c r="BN175" i="47"/>
  <c r="BM175" i="47"/>
  <c r="BL175" i="47"/>
  <c r="BK175" i="47"/>
  <c r="BJ175" i="47"/>
  <c r="BI175" i="47"/>
  <c r="BH175" i="47"/>
  <c r="BG175" i="47"/>
  <c r="BF175" i="47"/>
  <c r="BE175" i="47"/>
  <c r="BD175" i="47"/>
  <c r="BC175" i="47"/>
  <c r="BB175" i="47"/>
  <c r="BA175" i="47"/>
  <c r="AZ175" i="47"/>
  <c r="AY175" i="47"/>
  <c r="AX175" i="47"/>
  <c r="AW175" i="47"/>
  <c r="AV175" i="47"/>
  <c r="AU175" i="47"/>
  <c r="AT175" i="47"/>
  <c r="AS175" i="47"/>
  <c r="AR175" i="47"/>
  <c r="AQ175" i="47"/>
  <c r="AP175" i="47"/>
  <c r="AO175" i="47"/>
  <c r="AN175" i="47"/>
  <c r="AE175" i="47"/>
  <c r="AD175" i="47"/>
  <c r="AC175" i="47"/>
  <c r="AB175" i="47"/>
  <c r="AA175" i="47"/>
  <c r="Z175" i="47"/>
  <c r="X175" i="47"/>
  <c r="R186" i="47"/>
  <c r="AE174" i="47"/>
  <c r="AD174" i="47"/>
  <c r="AC174" i="47"/>
  <c r="AB174" i="47"/>
  <c r="AA174" i="47"/>
  <c r="Z174" i="47"/>
  <c r="X174" i="47"/>
  <c r="R185" i="47"/>
  <c r="AE173" i="47"/>
  <c r="AD173" i="47"/>
  <c r="AC173" i="47"/>
  <c r="AB173" i="47"/>
  <c r="AA173" i="47"/>
  <c r="Z173" i="47"/>
  <c r="X173" i="47"/>
  <c r="R184" i="47"/>
  <c r="AE172" i="47"/>
  <c r="AD172" i="47"/>
  <c r="AC172" i="47"/>
  <c r="AB172" i="47"/>
  <c r="AA172" i="47"/>
  <c r="Z172" i="47"/>
  <c r="X172" i="47"/>
  <c r="R183" i="47"/>
  <c r="AE171" i="47"/>
  <c r="AD171" i="47"/>
  <c r="AC171" i="47"/>
  <c r="AB171" i="47"/>
  <c r="AA171" i="47"/>
  <c r="Z171" i="47"/>
  <c r="X171" i="47"/>
  <c r="AE170" i="47"/>
  <c r="AD170" i="47"/>
  <c r="AC170" i="47"/>
  <c r="AB170" i="47"/>
  <c r="AA170" i="47"/>
  <c r="Z170" i="47"/>
  <c r="X170" i="47"/>
  <c r="R181" i="47"/>
  <c r="AE169" i="47"/>
  <c r="AD169" i="47"/>
  <c r="AC169" i="47"/>
  <c r="AB169" i="47"/>
  <c r="AA169" i="47"/>
  <c r="Z169" i="47"/>
  <c r="X169" i="47"/>
  <c r="R180" i="47"/>
  <c r="AE168" i="47"/>
  <c r="AD168" i="47"/>
  <c r="AC168" i="47"/>
  <c r="AB168" i="47"/>
  <c r="AA168" i="47"/>
  <c r="Z168" i="47"/>
  <c r="R179" i="47"/>
  <c r="AE167" i="47"/>
  <c r="AD167" i="47"/>
  <c r="AC167" i="47"/>
  <c r="AB167" i="47"/>
  <c r="CK166" i="47"/>
  <c r="CJ166" i="47"/>
  <c r="CI166" i="47"/>
  <c r="CH166" i="47"/>
  <c r="CG166" i="47"/>
  <c r="CF166" i="47"/>
  <c r="CE166" i="47"/>
  <c r="CD166" i="47"/>
  <c r="CC166" i="47"/>
  <c r="CB166" i="47"/>
  <c r="CA166" i="47"/>
  <c r="BZ166" i="47"/>
  <c r="BY166" i="47"/>
  <c r="BX166" i="47"/>
  <c r="BW166" i="47"/>
  <c r="BV166" i="47"/>
  <c r="BU166" i="47"/>
  <c r="BT166" i="47"/>
  <c r="BS166" i="47"/>
  <c r="BR166" i="47"/>
  <c r="BQ166" i="47"/>
  <c r="BP166" i="47"/>
  <c r="BO166" i="47"/>
  <c r="BN166" i="47"/>
  <c r="BM166" i="47"/>
  <c r="BL166" i="47"/>
  <c r="BK166" i="47"/>
  <c r="BJ166" i="47"/>
  <c r="BI166" i="47"/>
  <c r="BH166" i="47"/>
  <c r="BG166" i="47"/>
  <c r="BF166" i="47"/>
  <c r="BE166" i="47"/>
  <c r="BD166" i="47"/>
  <c r="BC166" i="47"/>
  <c r="BB166" i="47"/>
  <c r="BA166" i="47"/>
  <c r="AZ166" i="47"/>
  <c r="AY166" i="47"/>
  <c r="AX166" i="47"/>
  <c r="AW166" i="47"/>
  <c r="AV166" i="47"/>
  <c r="AU166" i="47"/>
  <c r="AT166" i="47"/>
  <c r="AS166" i="47"/>
  <c r="AR166" i="47"/>
  <c r="AQ166" i="47"/>
  <c r="AP166" i="47"/>
  <c r="AO166" i="47"/>
  <c r="AN166" i="47"/>
  <c r="L177" i="47"/>
  <c r="R172" i="47"/>
  <c r="R171" i="47"/>
  <c r="O171" i="47"/>
  <c r="U171" i="47" s="1"/>
  <c r="R170" i="47"/>
  <c r="R169" i="47"/>
  <c r="R168" i="47"/>
  <c r="R167" i="47"/>
  <c r="AH158" i="47"/>
  <c r="AG158" i="47"/>
  <c r="AF158" i="47"/>
  <c r="AE158" i="47"/>
  <c r="AD158" i="47"/>
  <c r="AC158" i="47"/>
  <c r="AB158" i="47"/>
  <c r="AA158" i="47"/>
  <c r="Z158" i="47"/>
  <c r="R166" i="47"/>
  <c r="AH157" i="47"/>
  <c r="AG157" i="47"/>
  <c r="AF157" i="47"/>
  <c r="AE157" i="47"/>
  <c r="AD157" i="47"/>
  <c r="AC157" i="47"/>
  <c r="AB157" i="47"/>
  <c r="AA157" i="47"/>
  <c r="Z157" i="47"/>
  <c r="R165" i="47"/>
  <c r="O165" i="47"/>
  <c r="CK156" i="47"/>
  <c r="CJ156" i="47"/>
  <c r="CI156" i="47"/>
  <c r="CH156" i="47"/>
  <c r="CG156" i="47"/>
  <c r="CF156" i="47"/>
  <c r="CE156" i="47"/>
  <c r="CD156" i="47"/>
  <c r="CC156" i="47"/>
  <c r="CB156" i="47"/>
  <c r="CA156" i="47"/>
  <c r="BZ156" i="47"/>
  <c r="BY156" i="47"/>
  <c r="BX156" i="47"/>
  <c r="BW156" i="47"/>
  <c r="BV156" i="47"/>
  <c r="BU156" i="47"/>
  <c r="BT156" i="47"/>
  <c r="BS156" i="47"/>
  <c r="BR156" i="47"/>
  <c r="BQ156" i="47"/>
  <c r="BP156" i="47"/>
  <c r="BO156" i="47"/>
  <c r="BN156" i="47"/>
  <c r="BM156" i="47"/>
  <c r="BL156" i="47"/>
  <c r="BK156" i="47"/>
  <c r="BJ156" i="47"/>
  <c r="BI156" i="47"/>
  <c r="BH156" i="47"/>
  <c r="BG156" i="47"/>
  <c r="BF156" i="47"/>
  <c r="BE156" i="47"/>
  <c r="BD156" i="47"/>
  <c r="BC156" i="47"/>
  <c r="BB156" i="47"/>
  <c r="BA156" i="47"/>
  <c r="AZ156" i="47"/>
  <c r="AY156" i="47"/>
  <c r="AX156" i="47"/>
  <c r="AW156" i="47"/>
  <c r="AV156" i="47"/>
  <c r="AU156" i="47"/>
  <c r="AT156" i="47"/>
  <c r="AS156" i="47"/>
  <c r="AR156" i="47"/>
  <c r="AQ156" i="47"/>
  <c r="AP156" i="47"/>
  <c r="AO156" i="47"/>
  <c r="AN156" i="47"/>
  <c r="AH156" i="47"/>
  <c r="AG156" i="47"/>
  <c r="AF156" i="47"/>
  <c r="AE156" i="47"/>
  <c r="AD156" i="47"/>
  <c r="AC156" i="47"/>
  <c r="AB156" i="47"/>
  <c r="AA156" i="47"/>
  <c r="Z156" i="47"/>
  <c r="R164" i="47"/>
  <c r="O164" i="47"/>
  <c r="AH155" i="47"/>
  <c r="AG155" i="47"/>
  <c r="AF155" i="47"/>
  <c r="AE155" i="47"/>
  <c r="AD155" i="47"/>
  <c r="AC155" i="47"/>
  <c r="AB155" i="47"/>
  <c r="AA155" i="47"/>
  <c r="Z155" i="47"/>
  <c r="R163" i="47"/>
  <c r="AH154" i="47"/>
  <c r="AG154" i="47"/>
  <c r="AF154" i="47"/>
  <c r="AE154" i="47"/>
  <c r="AD154" i="47"/>
  <c r="AC154" i="47"/>
  <c r="AB154" i="47"/>
  <c r="AA154" i="47"/>
  <c r="Z154" i="47"/>
  <c r="R162" i="47"/>
  <c r="AH153" i="47"/>
  <c r="AG153" i="47"/>
  <c r="AF153" i="47"/>
  <c r="AE153" i="47"/>
  <c r="AD153" i="47"/>
  <c r="AC153" i="47"/>
  <c r="AB153" i="47"/>
  <c r="AA153" i="47"/>
  <c r="Z153" i="47"/>
  <c r="R161" i="47"/>
  <c r="AH152" i="47"/>
  <c r="AG152" i="47"/>
  <c r="AF152" i="47"/>
  <c r="AE152" i="47"/>
  <c r="AD152" i="47"/>
  <c r="AC152" i="47"/>
  <c r="AB152" i="47"/>
  <c r="AA152" i="47"/>
  <c r="Z152" i="47"/>
  <c r="R160" i="47"/>
  <c r="AH151" i="47"/>
  <c r="AG151" i="47"/>
  <c r="AF151" i="47"/>
  <c r="AE151" i="47"/>
  <c r="AD151" i="47"/>
  <c r="AC151" i="47"/>
  <c r="AB151" i="47"/>
  <c r="AA151" i="47"/>
  <c r="Z151" i="47"/>
  <c r="R159" i="47"/>
  <c r="AH150" i="47"/>
  <c r="AG150" i="47"/>
  <c r="AF150" i="47"/>
  <c r="AE150" i="47"/>
  <c r="AD150" i="47"/>
  <c r="AC150" i="47"/>
  <c r="AB150" i="47"/>
  <c r="AA150" i="47"/>
  <c r="Z150" i="47"/>
  <c r="R158" i="47"/>
  <c r="AH149" i="47"/>
  <c r="AG149" i="47"/>
  <c r="AF149" i="47"/>
  <c r="AE149" i="47"/>
  <c r="AD149" i="47"/>
  <c r="AC149" i="47"/>
  <c r="AB149" i="47"/>
  <c r="AA149" i="47"/>
  <c r="Z149" i="47"/>
  <c r="AH148" i="47"/>
  <c r="AG148" i="47"/>
  <c r="AF148" i="47"/>
  <c r="AE148" i="47"/>
  <c r="AD148" i="47"/>
  <c r="AC148" i="47"/>
  <c r="AB148" i="47"/>
  <c r="AA148" i="47"/>
  <c r="Z148" i="47"/>
  <c r="R156" i="47"/>
  <c r="CK147" i="47"/>
  <c r="CJ147" i="47"/>
  <c r="CI147" i="47"/>
  <c r="CH147" i="47"/>
  <c r="CG147" i="47"/>
  <c r="CF147" i="47"/>
  <c r="CE147" i="47"/>
  <c r="CD147" i="47"/>
  <c r="CC147" i="47"/>
  <c r="CB147" i="47"/>
  <c r="CA147" i="47"/>
  <c r="BZ147" i="47"/>
  <c r="BY147" i="47"/>
  <c r="BX147" i="47"/>
  <c r="BW147" i="47"/>
  <c r="BV147" i="47"/>
  <c r="BU147" i="47"/>
  <c r="BT147" i="47"/>
  <c r="BS147" i="47"/>
  <c r="BR147" i="47"/>
  <c r="BQ147" i="47"/>
  <c r="BP147" i="47"/>
  <c r="BO147" i="47"/>
  <c r="BN147" i="47"/>
  <c r="BM147" i="47"/>
  <c r="BL147" i="47"/>
  <c r="BK147" i="47"/>
  <c r="BJ147" i="47"/>
  <c r="BI147" i="47"/>
  <c r="BH147" i="47"/>
  <c r="BG147" i="47"/>
  <c r="BF147" i="47"/>
  <c r="BE147" i="47"/>
  <c r="BD147" i="47"/>
  <c r="BC147" i="47"/>
  <c r="BB147" i="47"/>
  <c r="BA147" i="47"/>
  <c r="AZ147" i="47"/>
  <c r="AY147" i="47"/>
  <c r="AX147" i="47"/>
  <c r="AW147" i="47"/>
  <c r="AV147" i="47"/>
  <c r="AU147" i="47"/>
  <c r="AT147" i="47"/>
  <c r="AS147" i="47"/>
  <c r="AR147" i="47"/>
  <c r="AQ147" i="47"/>
  <c r="AP147" i="47"/>
  <c r="AO147" i="47"/>
  <c r="AN147" i="47"/>
  <c r="AH147" i="47"/>
  <c r="AG147" i="47"/>
  <c r="AF147" i="47"/>
  <c r="AE147" i="47"/>
  <c r="AD147" i="47"/>
  <c r="AC147" i="47"/>
  <c r="AB147" i="47"/>
  <c r="AA147" i="47"/>
  <c r="Z147" i="47"/>
  <c r="R155" i="47"/>
  <c r="AH146" i="47"/>
  <c r="AG146" i="47"/>
  <c r="AF146" i="47"/>
  <c r="AE146" i="47"/>
  <c r="AD146" i="47"/>
  <c r="AC146" i="47"/>
  <c r="AB146" i="47"/>
  <c r="AA146" i="47"/>
  <c r="Z146" i="47"/>
  <c r="R154" i="47"/>
  <c r="AH145" i="47"/>
  <c r="AG145" i="47"/>
  <c r="AF145" i="47"/>
  <c r="AE145" i="47"/>
  <c r="AD145" i="47"/>
  <c r="AC145" i="47"/>
  <c r="AB145" i="47"/>
  <c r="AA145" i="47"/>
  <c r="Z145" i="47"/>
  <c r="R153" i="47"/>
  <c r="AH144" i="47"/>
  <c r="AG144" i="47"/>
  <c r="AF144" i="47"/>
  <c r="AE144" i="47"/>
  <c r="AD144" i="47"/>
  <c r="AC144" i="47"/>
  <c r="AB144" i="47"/>
  <c r="AA144" i="47"/>
  <c r="Z144" i="47"/>
  <c r="R152" i="47"/>
  <c r="AH143" i="47"/>
  <c r="AG143" i="47"/>
  <c r="AF143" i="47"/>
  <c r="AE143" i="47"/>
  <c r="AC143" i="47"/>
  <c r="AB143" i="47"/>
  <c r="AA143" i="47"/>
  <c r="L150" i="47"/>
  <c r="W139" i="47"/>
  <c r="CK138" i="47"/>
  <c r="CJ138" i="47"/>
  <c r="CI138" i="47"/>
  <c r="CH138" i="47"/>
  <c r="CG138" i="47"/>
  <c r="CF138" i="47"/>
  <c r="CE138" i="47"/>
  <c r="CD138" i="47"/>
  <c r="CC138" i="47"/>
  <c r="CB138" i="47"/>
  <c r="CA138" i="47"/>
  <c r="BZ138" i="47"/>
  <c r="BY138" i="47"/>
  <c r="BX138" i="47"/>
  <c r="BW138" i="47"/>
  <c r="BV138" i="47"/>
  <c r="BU138" i="47"/>
  <c r="BT138" i="47"/>
  <c r="BS138" i="47"/>
  <c r="BR138" i="47"/>
  <c r="BQ138" i="47"/>
  <c r="BP138" i="47"/>
  <c r="BO138" i="47"/>
  <c r="BN138" i="47"/>
  <c r="BM138" i="47"/>
  <c r="BL138" i="47"/>
  <c r="BK138" i="47"/>
  <c r="BJ138" i="47"/>
  <c r="BI138" i="47"/>
  <c r="BH138" i="47"/>
  <c r="BG138" i="47"/>
  <c r="BF138" i="47"/>
  <c r="BE138" i="47"/>
  <c r="BD138" i="47"/>
  <c r="BC138" i="47"/>
  <c r="BB138" i="47"/>
  <c r="BA138" i="47"/>
  <c r="AZ138" i="47"/>
  <c r="AY138" i="47"/>
  <c r="AX138" i="47"/>
  <c r="AW138" i="47"/>
  <c r="AV138" i="47"/>
  <c r="AU138" i="47"/>
  <c r="AT138" i="47"/>
  <c r="AS138" i="47"/>
  <c r="AR138" i="47"/>
  <c r="AQ138" i="47"/>
  <c r="AP138" i="47"/>
  <c r="AO138" i="47"/>
  <c r="AN138" i="47"/>
  <c r="W138" i="47"/>
  <c r="W137" i="47"/>
  <c r="W136" i="47"/>
  <c r="W135" i="47"/>
  <c r="W134" i="47"/>
  <c r="W133" i="47"/>
  <c r="W132" i="47"/>
  <c r="W131" i="47"/>
  <c r="W130" i="47"/>
  <c r="W129" i="47"/>
  <c r="O134" i="47"/>
  <c r="W128" i="47"/>
  <c r="O133" i="47"/>
  <c r="W127" i="47"/>
  <c r="W126" i="47"/>
  <c r="W125" i="47"/>
  <c r="R130" i="47"/>
  <c r="R120" i="47"/>
  <c r="CK120" i="47"/>
  <c r="CJ120" i="47"/>
  <c r="CI120" i="47"/>
  <c r="CH120" i="47"/>
  <c r="CG120" i="47"/>
  <c r="CF120" i="47"/>
  <c r="CE120" i="47"/>
  <c r="CD120" i="47"/>
  <c r="CC120" i="47"/>
  <c r="CB120" i="47"/>
  <c r="CA120" i="47"/>
  <c r="BZ120" i="47"/>
  <c r="BY120" i="47"/>
  <c r="BX120" i="47"/>
  <c r="BW120" i="47"/>
  <c r="BV120" i="47"/>
  <c r="BU120" i="47"/>
  <c r="BT120" i="47"/>
  <c r="BS120" i="47"/>
  <c r="BR120" i="47"/>
  <c r="BQ120" i="47"/>
  <c r="BP120" i="47"/>
  <c r="BO120" i="47"/>
  <c r="BN120" i="47"/>
  <c r="BM120" i="47"/>
  <c r="BL120" i="47"/>
  <c r="BK120" i="47"/>
  <c r="BJ120" i="47"/>
  <c r="BI120" i="47"/>
  <c r="BH120" i="47"/>
  <c r="BG120" i="47"/>
  <c r="BF120" i="47"/>
  <c r="BE120" i="47"/>
  <c r="BD120" i="47"/>
  <c r="BC120" i="47"/>
  <c r="BB120" i="47"/>
  <c r="BA120" i="47"/>
  <c r="AZ120" i="47"/>
  <c r="AY120" i="47"/>
  <c r="AX120" i="47"/>
  <c r="AW120" i="47"/>
  <c r="AV120" i="47"/>
  <c r="AU120" i="47"/>
  <c r="AT120" i="47"/>
  <c r="R119" i="47"/>
  <c r="W119" i="47"/>
  <c r="R118" i="47"/>
  <c r="O118" i="47"/>
  <c r="W118" i="47"/>
  <c r="W117" i="47"/>
  <c r="R117" i="47"/>
  <c r="W116" i="47"/>
  <c r="R116" i="47"/>
  <c r="W115" i="47"/>
  <c r="R115" i="47"/>
  <c r="W114" i="47"/>
  <c r="R114" i="47"/>
  <c r="W113" i="47"/>
  <c r="R113" i="47"/>
  <c r="W112" i="47"/>
  <c r="CK111" i="47"/>
  <c r="CJ111" i="47"/>
  <c r="CI111" i="47"/>
  <c r="CH111" i="47"/>
  <c r="CG111" i="47"/>
  <c r="CF111" i="47"/>
  <c r="CE111" i="47"/>
  <c r="CD111" i="47"/>
  <c r="CC111" i="47"/>
  <c r="CB111" i="47"/>
  <c r="CA111" i="47"/>
  <c r="BZ111" i="47"/>
  <c r="BY111" i="47"/>
  <c r="BX111" i="47"/>
  <c r="BW111" i="47"/>
  <c r="BV111" i="47"/>
  <c r="BU111" i="47"/>
  <c r="BT111" i="47"/>
  <c r="BS111" i="47"/>
  <c r="BR111" i="47"/>
  <c r="BQ111" i="47"/>
  <c r="BP111" i="47"/>
  <c r="BO111" i="47"/>
  <c r="BN111" i="47"/>
  <c r="BM111" i="47"/>
  <c r="BL111" i="47"/>
  <c r="BK111" i="47"/>
  <c r="BJ111" i="47"/>
  <c r="BI111" i="47"/>
  <c r="BH111" i="47"/>
  <c r="BG111" i="47"/>
  <c r="BF111" i="47"/>
  <c r="BE111" i="47"/>
  <c r="BD111" i="47"/>
  <c r="BC111" i="47"/>
  <c r="BB111" i="47"/>
  <c r="BA111" i="47"/>
  <c r="AZ111" i="47"/>
  <c r="AY111" i="47"/>
  <c r="AX111" i="47"/>
  <c r="AW111" i="47"/>
  <c r="Z167" i="47" s="1"/>
  <c r="AV111" i="47"/>
  <c r="AU111" i="47"/>
  <c r="AT111" i="47"/>
  <c r="AS111" i="47"/>
  <c r="AR111" i="47"/>
  <c r="AQ111" i="47"/>
  <c r="AP111" i="47"/>
  <c r="AO111" i="47"/>
  <c r="AN111" i="47"/>
  <c r="W111" i="47"/>
  <c r="R111" i="47"/>
  <c r="W110" i="47"/>
  <c r="R110" i="47"/>
  <c r="O111" i="47"/>
  <c r="W109" i="47"/>
  <c r="R109" i="47"/>
  <c r="W108" i="47"/>
  <c r="R108" i="47"/>
  <c r="W107" i="47"/>
  <c r="R107" i="47"/>
  <c r="W106" i="47"/>
  <c r="R106" i="47"/>
  <c r="W105" i="47"/>
  <c r="R105" i="47"/>
  <c r="P159" i="46"/>
  <c r="P160" i="46"/>
  <c r="P161" i="46"/>
  <c r="P162" i="46"/>
  <c r="P168" i="46"/>
  <c r="P169" i="46"/>
  <c r="M159" i="46"/>
  <c r="N159" i="46"/>
  <c r="M160" i="46"/>
  <c r="N160" i="46"/>
  <c r="M161" i="46"/>
  <c r="N161" i="46"/>
  <c r="M162" i="46"/>
  <c r="N162" i="46"/>
  <c r="M168" i="46"/>
  <c r="N168" i="46"/>
  <c r="M169" i="46"/>
  <c r="N169" i="46"/>
  <c r="P134" i="46"/>
  <c r="P137" i="46"/>
  <c r="M134" i="46"/>
  <c r="N134" i="46"/>
  <c r="M137" i="46"/>
  <c r="N137" i="46"/>
  <c r="P114" i="46"/>
  <c r="P115" i="46"/>
  <c r="P116" i="46"/>
  <c r="P122" i="46"/>
  <c r="S122" i="46" s="1"/>
  <c r="P123" i="46"/>
  <c r="M114" i="46"/>
  <c r="N114" i="46"/>
  <c r="M115" i="46"/>
  <c r="N115" i="46"/>
  <c r="M116" i="46"/>
  <c r="N116" i="46"/>
  <c r="M122" i="46"/>
  <c r="N122" i="46"/>
  <c r="M123" i="46"/>
  <c r="N123" i="46"/>
  <c r="P88" i="46"/>
  <c r="S88" i="46" s="1"/>
  <c r="P89" i="46"/>
  <c r="S89" i="46" s="1"/>
  <c r="P90" i="46"/>
  <c r="S90" i="46" s="1"/>
  <c r="P91" i="46"/>
  <c r="S91" i="46" s="1"/>
  <c r="P97" i="46"/>
  <c r="S97" i="46" s="1"/>
  <c r="P98" i="46"/>
  <c r="S98" i="46" s="1"/>
  <c r="M88" i="46"/>
  <c r="N88" i="46"/>
  <c r="M89" i="46"/>
  <c r="N89" i="46"/>
  <c r="M90" i="46"/>
  <c r="N90" i="46"/>
  <c r="M91" i="46"/>
  <c r="N91" i="46"/>
  <c r="M97" i="46"/>
  <c r="N97" i="46"/>
  <c r="M98" i="46"/>
  <c r="N98" i="46"/>
  <c r="R79" i="46"/>
  <c r="R80" i="46"/>
  <c r="R83" i="46"/>
  <c r="R84" i="46"/>
  <c r="R87" i="46"/>
  <c r="R88" i="46"/>
  <c r="R89" i="46"/>
  <c r="R90" i="46"/>
  <c r="R91" i="46"/>
  <c r="O92" i="46"/>
  <c r="R92" i="46"/>
  <c r="O93" i="46"/>
  <c r="R93" i="46"/>
  <c r="R94" i="46"/>
  <c r="R95" i="46"/>
  <c r="O96" i="46"/>
  <c r="U97" i="46"/>
  <c r="R97" i="46"/>
  <c r="R98" i="46"/>
  <c r="P64" i="46"/>
  <c r="P65" i="46"/>
  <c r="P66" i="46"/>
  <c r="P72" i="46"/>
  <c r="P73" i="46"/>
  <c r="N64" i="46"/>
  <c r="N65" i="46"/>
  <c r="N66" i="46"/>
  <c r="N72" i="46"/>
  <c r="N73" i="46"/>
  <c r="M64" i="46"/>
  <c r="M65" i="46"/>
  <c r="M66" i="46"/>
  <c r="M72" i="46"/>
  <c r="M73" i="46"/>
  <c r="O105" i="47" l="1"/>
  <c r="P138" i="47"/>
  <c r="S138" i="47" s="1"/>
  <c r="N138" i="47"/>
  <c r="M138" i="47"/>
  <c r="M143" i="47"/>
  <c r="N143" i="47"/>
  <c r="N144" i="47"/>
  <c r="M144" i="47"/>
  <c r="M118" i="47"/>
  <c r="N118" i="47"/>
  <c r="O147" i="47"/>
  <c r="O148" i="47"/>
  <c r="O94" i="46"/>
  <c r="O95" i="46" s="1"/>
  <c r="O191" i="47"/>
  <c r="O192" i="47" s="1"/>
  <c r="U192" i="47" s="1"/>
  <c r="U110" i="47"/>
  <c r="U198" i="47"/>
  <c r="O200" i="47"/>
  <c r="U200" i="47" s="1"/>
  <c r="O152" i="47"/>
  <c r="U152" i="47" s="1"/>
  <c r="M197" i="47"/>
  <c r="U197" i="47"/>
  <c r="P189" i="47"/>
  <c r="S189" i="47" s="1"/>
  <c r="T189" i="47" s="1"/>
  <c r="U189" i="47"/>
  <c r="U118" i="47"/>
  <c r="S200" i="47"/>
  <c r="Q198" i="47"/>
  <c r="S198" i="47"/>
  <c r="T198" i="47" s="1"/>
  <c r="P105" i="47"/>
  <c r="P134" i="47"/>
  <c r="S134" i="47" s="1"/>
  <c r="T134" i="47" s="1"/>
  <c r="M134" i="47"/>
  <c r="N130" i="47"/>
  <c r="P118" i="47"/>
  <c r="S118" i="47" s="1"/>
  <c r="T118" i="47" s="1"/>
  <c r="P130" i="47"/>
  <c r="S130" i="47" s="1"/>
  <c r="M199" i="47"/>
  <c r="P172" i="47"/>
  <c r="S172" i="47" s="1"/>
  <c r="M109" i="47"/>
  <c r="U133" i="47"/>
  <c r="U190" i="47"/>
  <c r="U134" i="47"/>
  <c r="O140" i="47"/>
  <c r="U140" i="47" s="1"/>
  <c r="P166" i="47"/>
  <c r="S166" i="47" s="1"/>
  <c r="U164" i="47"/>
  <c r="O184" i="47"/>
  <c r="U184" i="47" s="1"/>
  <c r="M110" i="47"/>
  <c r="M133" i="47"/>
  <c r="P165" i="47"/>
  <c r="Q165" i="47" s="1"/>
  <c r="N192" i="47"/>
  <c r="M132" i="47"/>
  <c r="N161" i="47"/>
  <c r="P164" i="47"/>
  <c r="S164" i="47" s="1"/>
  <c r="T164" i="47" s="1"/>
  <c r="M192" i="47"/>
  <c r="M107" i="47"/>
  <c r="M161" i="47"/>
  <c r="N191" i="47"/>
  <c r="O181" i="47"/>
  <c r="U181" i="47" s="1"/>
  <c r="P110" i="47"/>
  <c r="Q110" i="47" s="1"/>
  <c r="N166" i="47"/>
  <c r="M191" i="47"/>
  <c r="O159" i="47"/>
  <c r="U159" i="47" s="1"/>
  <c r="O182" i="47"/>
  <c r="U182" i="47" s="1"/>
  <c r="P107" i="47"/>
  <c r="S107" i="47" s="1"/>
  <c r="P133" i="47"/>
  <c r="S133" i="47" s="1"/>
  <c r="T133" i="47" s="1"/>
  <c r="N190" i="47"/>
  <c r="P197" i="47"/>
  <c r="O130" i="47"/>
  <c r="P132" i="47"/>
  <c r="S132" i="47" s="1"/>
  <c r="N165" i="47"/>
  <c r="M190" i="47"/>
  <c r="N197" i="47"/>
  <c r="N189" i="47"/>
  <c r="O161" i="47"/>
  <c r="U186" i="47"/>
  <c r="N164" i="47"/>
  <c r="M189" i="47"/>
  <c r="U185" i="47"/>
  <c r="Q98" i="46"/>
  <c r="P108" i="47"/>
  <c r="Q108" i="47" s="1"/>
  <c r="P112" i="47"/>
  <c r="S112" i="47" s="1"/>
  <c r="P111" i="47"/>
  <c r="S111" i="47" s="1"/>
  <c r="N112" i="47"/>
  <c r="N111" i="47"/>
  <c r="P109" i="47"/>
  <c r="S109" i="47" s="1"/>
  <c r="T109" i="47" s="1"/>
  <c r="N105" i="47"/>
  <c r="F199" i="47"/>
  <c r="P144" i="47"/>
  <c r="S144" i="47" s="1"/>
  <c r="N186" i="47"/>
  <c r="M186" i="47"/>
  <c r="M169" i="47"/>
  <c r="P199" i="47"/>
  <c r="N194" i="47"/>
  <c r="M194" i="47"/>
  <c r="N199" i="47"/>
  <c r="N193" i="47"/>
  <c r="M193" i="47"/>
  <c r="N168" i="47"/>
  <c r="S169" i="47"/>
  <c r="M168" i="47"/>
  <c r="P168" i="47"/>
  <c r="S168" i="47" s="1"/>
  <c r="N172" i="47"/>
  <c r="M172" i="47"/>
  <c r="N169" i="47"/>
  <c r="P116" i="47"/>
  <c r="S116" i="47" s="1"/>
  <c r="M119" i="47"/>
  <c r="P115" i="47"/>
  <c r="S115" i="47" s="1"/>
  <c r="P114" i="47"/>
  <c r="S114" i="47" s="1"/>
  <c r="M116" i="47"/>
  <c r="M115" i="47"/>
  <c r="P119" i="47"/>
  <c r="S119" i="47" s="1"/>
  <c r="P143" i="47"/>
  <c r="S143" i="47" s="1"/>
  <c r="P142" i="47"/>
  <c r="S142" i="47" s="1"/>
  <c r="P141" i="47"/>
  <c r="S141" i="47" s="1"/>
  <c r="M108" i="47"/>
  <c r="U108" i="47"/>
  <c r="N108" i="47"/>
  <c r="U109" i="47"/>
  <c r="U165" i="47"/>
  <c r="T171" i="47"/>
  <c r="S120" i="47"/>
  <c r="F172" i="47"/>
  <c r="O180" i="47"/>
  <c r="U180" i="47" s="1"/>
  <c r="O179" i="47"/>
  <c r="U179" i="47" s="1"/>
  <c r="O187" i="47"/>
  <c r="Q187" i="47" s="1"/>
  <c r="O183" i="47"/>
  <c r="U183" i="47" s="1"/>
  <c r="O160" i="47"/>
  <c r="U160" i="47" s="1"/>
  <c r="O153" i="47"/>
  <c r="U153" i="47" s="1"/>
  <c r="Q171" i="47"/>
  <c r="O158" i="47"/>
  <c r="U158" i="47" s="1"/>
  <c r="O154" i="47"/>
  <c r="U154" i="47" s="1"/>
  <c r="O155" i="47"/>
  <c r="U155" i="47" s="1"/>
  <c r="O156" i="47"/>
  <c r="U156" i="47" s="1"/>
  <c r="O157" i="47"/>
  <c r="U157" i="47" s="1"/>
  <c r="U144" i="47"/>
  <c r="S136" i="47"/>
  <c r="F142" i="47"/>
  <c r="O167" i="47"/>
  <c r="U167" i="47" s="1"/>
  <c r="S190" i="47"/>
  <c r="T190" i="47" s="1"/>
  <c r="S192" i="47"/>
  <c r="S194" i="47"/>
  <c r="O166" i="47"/>
  <c r="U98" i="46"/>
  <c r="T97" i="46"/>
  <c r="Q97" i="46"/>
  <c r="T98" i="46"/>
  <c r="Q105" i="47" l="1"/>
  <c r="S105" i="47"/>
  <c r="T105" i="47" s="1"/>
  <c r="O138" i="47"/>
  <c r="O141" i="47"/>
  <c r="U141" i="47" s="1"/>
  <c r="O145" i="47"/>
  <c r="O114" i="47"/>
  <c r="U114" i="47" s="1"/>
  <c r="O121" i="47"/>
  <c r="O137" i="47"/>
  <c r="U137" i="47" s="1"/>
  <c r="U147" i="47"/>
  <c r="T147" i="47"/>
  <c r="Q147" i="47"/>
  <c r="T148" i="47"/>
  <c r="Q148" i="47"/>
  <c r="U148" i="47"/>
  <c r="Q189" i="47"/>
  <c r="O169" i="47"/>
  <c r="T169" i="47" s="1"/>
  <c r="O168" i="47"/>
  <c r="U168" i="47" s="1"/>
  <c r="U111" i="47"/>
  <c r="O162" i="47"/>
  <c r="U162" i="47" s="1"/>
  <c r="O143" i="47"/>
  <c r="U143" i="47" s="1"/>
  <c r="U136" i="47"/>
  <c r="Q134" i="47"/>
  <c r="U219" i="47"/>
  <c r="Q219" i="47"/>
  <c r="T219" i="47"/>
  <c r="U218" i="47"/>
  <c r="T218" i="47"/>
  <c r="Q218" i="47"/>
  <c r="Q118" i="47"/>
  <c r="Q184" i="47"/>
  <c r="T184" i="47"/>
  <c r="T200" i="47"/>
  <c r="Q200" i="47"/>
  <c r="Q197" i="47"/>
  <c r="S197" i="47"/>
  <c r="T197" i="47" s="1"/>
  <c r="S199" i="47"/>
  <c r="U166" i="47"/>
  <c r="O175" i="47"/>
  <c r="U191" i="47"/>
  <c r="O202" i="47"/>
  <c r="O132" i="47"/>
  <c r="O135" i="47" s="1"/>
  <c r="O146" i="47"/>
  <c r="Q140" i="47"/>
  <c r="U130" i="47"/>
  <c r="O142" i="47"/>
  <c r="U142" i="47" s="1"/>
  <c r="O131" i="47"/>
  <c r="U131" i="47" s="1"/>
  <c r="T140" i="47"/>
  <c r="Q130" i="47"/>
  <c r="T130" i="47"/>
  <c r="O107" i="47"/>
  <c r="O120" i="47" s="1"/>
  <c r="O122" i="47"/>
  <c r="T122" i="47" s="1"/>
  <c r="Q158" i="47"/>
  <c r="T158" i="47"/>
  <c r="S110" i="47"/>
  <c r="T110" i="47" s="1"/>
  <c r="S165" i="47"/>
  <c r="T165" i="47" s="1"/>
  <c r="Q133" i="47"/>
  <c r="Q153" i="47"/>
  <c r="U161" i="47"/>
  <c r="Q185" i="47"/>
  <c r="T185" i="47"/>
  <c r="Q182" i="47"/>
  <c r="T182" i="47"/>
  <c r="Q181" i="47"/>
  <c r="T181" i="47"/>
  <c r="U194" i="47"/>
  <c r="T186" i="47"/>
  <c r="O188" i="47"/>
  <c r="O195" i="47" s="1"/>
  <c r="O196" i="47" s="1"/>
  <c r="Q191" i="47"/>
  <c r="U193" i="47"/>
  <c r="T191" i="47"/>
  <c r="Q164" i="47"/>
  <c r="Q161" i="47"/>
  <c r="O163" i="47"/>
  <c r="T161" i="47"/>
  <c r="Q152" i="47"/>
  <c r="T152" i="47"/>
  <c r="T159" i="47"/>
  <c r="Q159" i="47"/>
  <c r="T156" i="47"/>
  <c r="Q156" i="47"/>
  <c r="T153" i="47"/>
  <c r="T180" i="47"/>
  <c r="Q183" i="47"/>
  <c r="T183" i="47"/>
  <c r="T179" i="47"/>
  <c r="Q179" i="47"/>
  <c r="S108" i="47"/>
  <c r="T108" i="47" s="1"/>
  <c r="O115" i="47"/>
  <c r="O112" i="47" s="1"/>
  <c r="O106" i="47"/>
  <c r="U106" i="47" s="1"/>
  <c r="Q109" i="47"/>
  <c r="U105" i="47"/>
  <c r="O119" i="47"/>
  <c r="Q119" i="47" s="1"/>
  <c r="T157" i="47"/>
  <c r="T187" i="47"/>
  <c r="U187" i="47"/>
  <c r="T160" i="47"/>
  <c r="T155" i="47"/>
  <c r="Q160" i="47"/>
  <c r="Q180" i="47"/>
  <c r="Q155" i="47"/>
  <c r="Q154" i="47"/>
  <c r="T154" i="47"/>
  <c r="Q157" i="47"/>
  <c r="Q166" i="47"/>
  <c r="T166" i="47"/>
  <c r="T192" i="47"/>
  <c r="Q192" i="47"/>
  <c r="T144" i="47"/>
  <c r="Q144" i="47"/>
  <c r="T167" i="47"/>
  <c r="Q167" i="47"/>
  <c r="Q190" i="47"/>
  <c r="Q186" i="47"/>
  <c r="Q111" i="47"/>
  <c r="T111" i="47"/>
  <c r="O170" i="47" l="1"/>
  <c r="O116" i="47"/>
  <c r="U116" i="47" s="1"/>
  <c r="O123" i="47"/>
  <c r="O124" i="47"/>
  <c r="U169" i="47"/>
  <c r="U120" i="47"/>
  <c r="T115" i="47"/>
  <c r="U138" i="47"/>
  <c r="U170" i="47"/>
  <c r="O172" i="47"/>
  <c r="U172" i="47" s="1"/>
  <c r="Q143" i="47"/>
  <c r="T143" i="47"/>
  <c r="Q141" i="47"/>
  <c r="Q169" i="47"/>
  <c r="T141" i="47"/>
  <c r="U132" i="47"/>
  <c r="U113" i="47"/>
  <c r="Q137" i="47"/>
  <c r="T137" i="47"/>
  <c r="U220" i="47"/>
  <c r="U228" i="47" s="1"/>
  <c r="Q220" i="47"/>
  <c r="T220" i="47"/>
  <c r="T228" i="47" s="1"/>
  <c r="U107" i="47"/>
  <c r="Q132" i="47"/>
  <c r="U202" i="47"/>
  <c r="Q202" i="47"/>
  <c r="T202" i="47"/>
  <c r="T132" i="47"/>
  <c r="U135" i="47"/>
  <c r="Q107" i="47"/>
  <c r="T107" i="47"/>
  <c r="T136" i="47"/>
  <c r="T131" i="47"/>
  <c r="U188" i="47"/>
  <c r="O199" i="47"/>
  <c r="U175" i="47"/>
  <c r="T175" i="47"/>
  <c r="Q175" i="47"/>
  <c r="Q136" i="47"/>
  <c r="O139" i="47"/>
  <c r="U139" i="47" s="1"/>
  <c r="U163" i="47"/>
  <c r="O173" i="47"/>
  <c r="Q131" i="47"/>
  <c r="T142" i="47"/>
  <c r="Q142" i="47"/>
  <c r="Q146" i="47"/>
  <c r="U146" i="47"/>
  <c r="T146" i="47"/>
  <c r="U145" i="47"/>
  <c r="T145" i="47"/>
  <c r="Q145" i="47"/>
  <c r="Q121" i="47"/>
  <c r="T121" i="47"/>
  <c r="U121" i="47"/>
  <c r="U122" i="47"/>
  <c r="Q122" i="47"/>
  <c r="T162" i="47"/>
  <c r="T193" i="47"/>
  <c r="Q193" i="47"/>
  <c r="Q188" i="47"/>
  <c r="Q194" i="47"/>
  <c r="T188" i="47"/>
  <c r="T194" i="47"/>
  <c r="Q162" i="47"/>
  <c r="T168" i="47"/>
  <c r="T163" i="47"/>
  <c r="Q163" i="47"/>
  <c r="Q168" i="47"/>
  <c r="Q106" i="47"/>
  <c r="O117" i="47"/>
  <c r="U117" i="47" s="1"/>
  <c r="U115" i="47"/>
  <c r="Q115" i="47"/>
  <c r="T106" i="47"/>
  <c r="Q114" i="47"/>
  <c r="T114" i="47"/>
  <c r="U119" i="47"/>
  <c r="T119" i="47"/>
  <c r="T113" i="47"/>
  <c r="Q113" i="47"/>
  <c r="U149" i="47" l="1"/>
  <c r="Q120" i="47"/>
  <c r="T120" i="47"/>
  <c r="Q124" i="47"/>
  <c r="T124" i="47"/>
  <c r="U124" i="47"/>
  <c r="Q138" i="47"/>
  <c r="T138" i="47"/>
  <c r="Q123" i="47"/>
  <c r="U123" i="47"/>
  <c r="T123" i="47"/>
  <c r="U195" i="47"/>
  <c r="U196" i="47"/>
  <c r="T139" i="47"/>
  <c r="U199" i="47"/>
  <c r="Q199" i="47"/>
  <c r="Q139" i="47"/>
  <c r="T199" i="47"/>
  <c r="Q135" i="47"/>
  <c r="T135" i="47"/>
  <c r="T170" i="47"/>
  <c r="Q170" i="47"/>
  <c r="U173" i="47"/>
  <c r="U176" i="47" s="1"/>
  <c r="T173" i="47"/>
  <c r="Q173" i="47"/>
  <c r="T116" i="47"/>
  <c r="T195" i="47"/>
  <c r="Q195" i="47"/>
  <c r="T172" i="47"/>
  <c r="Q172" i="47"/>
  <c r="Q116" i="47"/>
  <c r="Q117" i="47"/>
  <c r="T117" i="47"/>
  <c r="U112" i="47"/>
  <c r="Q112" i="47"/>
  <c r="T112" i="47"/>
  <c r="T125" i="47" l="1"/>
  <c r="U125" i="47"/>
  <c r="T149" i="47"/>
  <c r="T176" i="47"/>
  <c r="U203" i="47"/>
  <c r="Q196" i="47"/>
  <c r="T196" i="47"/>
  <c r="T203" i="47" s="1"/>
  <c r="S32" i="46"/>
  <c r="S38" i="46"/>
  <c r="S40" i="46"/>
  <c r="S46" i="46"/>
  <c r="S47" i="46"/>
  <c r="S28" i="46"/>
  <c r="R3" i="46"/>
  <c r="S14" i="46"/>
  <c r="S15" i="46"/>
  <c r="S21" i="46"/>
  <c r="S22" i="46"/>
  <c r="L136" i="46"/>
  <c r="L133" i="46"/>
  <c r="L132" i="46"/>
  <c r="L130" i="46"/>
  <c r="L12" i="46"/>
  <c r="S5" i="46"/>
  <c r="R169" i="46"/>
  <c r="S169" i="46"/>
  <c r="U169" i="46"/>
  <c r="R168" i="46"/>
  <c r="U168" i="46"/>
  <c r="R167" i="46"/>
  <c r="O167" i="46"/>
  <c r="R166" i="46"/>
  <c r="R165" i="46"/>
  <c r="R164" i="46"/>
  <c r="O164" i="46"/>
  <c r="U164" i="46" s="1"/>
  <c r="R163" i="46"/>
  <c r="O163" i="46"/>
  <c r="R162" i="46"/>
  <c r="S162" i="46"/>
  <c r="R161" i="46"/>
  <c r="S161" i="46"/>
  <c r="ID152" i="46"/>
  <c r="IC152" i="46"/>
  <c r="IB152" i="46"/>
  <c r="IA152" i="46"/>
  <c r="HZ152" i="46"/>
  <c r="HY152" i="46"/>
  <c r="HX152" i="46"/>
  <c r="HW152" i="46"/>
  <c r="HV152" i="46"/>
  <c r="HU152" i="46"/>
  <c r="HT152" i="46"/>
  <c r="HS152" i="46"/>
  <c r="HR152" i="46"/>
  <c r="HQ152" i="46"/>
  <c r="HP152" i="46"/>
  <c r="HO152" i="46"/>
  <c r="HN152" i="46"/>
  <c r="HM152" i="46"/>
  <c r="HL152" i="46"/>
  <c r="HK152" i="46"/>
  <c r="HJ152" i="46"/>
  <c r="HI152" i="46"/>
  <c r="HH152" i="46"/>
  <c r="HG152" i="46"/>
  <c r="HF152" i="46"/>
  <c r="HE152" i="46"/>
  <c r="HD152" i="46"/>
  <c r="HC152" i="46"/>
  <c r="HB152" i="46"/>
  <c r="HA152" i="46"/>
  <c r="GZ152" i="46"/>
  <c r="GY152" i="46"/>
  <c r="GX152" i="46"/>
  <c r="GW152" i="46"/>
  <c r="GV152" i="46"/>
  <c r="GU152" i="46"/>
  <c r="GT152" i="46"/>
  <c r="GS152" i="46"/>
  <c r="GR152" i="46"/>
  <c r="GQ152" i="46"/>
  <c r="GP152" i="46"/>
  <c r="GO152" i="46"/>
  <c r="GN152" i="46"/>
  <c r="GM152" i="46"/>
  <c r="GL152" i="46"/>
  <c r="GK152" i="46"/>
  <c r="GJ152" i="46"/>
  <c r="GI152" i="46"/>
  <c r="GH152" i="46"/>
  <c r="GG152" i="46"/>
  <c r="R160" i="46"/>
  <c r="S160" i="46"/>
  <c r="R159" i="46"/>
  <c r="S159" i="46"/>
  <c r="R158" i="46"/>
  <c r="R155" i="46"/>
  <c r="R154" i="46"/>
  <c r="R152" i="46"/>
  <c r="R151" i="46"/>
  <c r="L148" i="46"/>
  <c r="X121" i="46"/>
  <c r="X120" i="46"/>
  <c r="X119" i="46"/>
  <c r="ID134" i="46"/>
  <c r="IC134" i="46"/>
  <c r="IB134" i="46"/>
  <c r="IA134" i="46"/>
  <c r="HZ134" i="46"/>
  <c r="HY134" i="46"/>
  <c r="HX134" i="46"/>
  <c r="HW134" i="46"/>
  <c r="HV134" i="46"/>
  <c r="HU134" i="46"/>
  <c r="HT134" i="46"/>
  <c r="HS134" i="46"/>
  <c r="HR134" i="46"/>
  <c r="HQ134" i="46"/>
  <c r="HP134" i="46"/>
  <c r="HO134" i="46"/>
  <c r="HN134" i="46"/>
  <c r="HM134" i="46"/>
  <c r="HL134" i="46"/>
  <c r="HK134" i="46"/>
  <c r="HJ134" i="46"/>
  <c r="HI134" i="46"/>
  <c r="HH134" i="46"/>
  <c r="HG134" i="46"/>
  <c r="HF134" i="46"/>
  <c r="HE134" i="46"/>
  <c r="HD134" i="46"/>
  <c r="HC134" i="46"/>
  <c r="HB134" i="46"/>
  <c r="HA134" i="46"/>
  <c r="GZ134" i="46"/>
  <c r="GY134" i="46"/>
  <c r="GX134" i="46"/>
  <c r="GW134" i="46"/>
  <c r="GV134" i="46"/>
  <c r="GU134" i="46"/>
  <c r="GT134" i="46"/>
  <c r="GS134" i="46"/>
  <c r="GR134" i="46"/>
  <c r="GQ134" i="46"/>
  <c r="GP134" i="46"/>
  <c r="GO134" i="46"/>
  <c r="GN134" i="46"/>
  <c r="GM134" i="46"/>
  <c r="GL134" i="46"/>
  <c r="GK134" i="46"/>
  <c r="GJ134" i="46"/>
  <c r="GI134" i="46"/>
  <c r="GH134" i="46"/>
  <c r="GG134" i="46"/>
  <c r="X118" i="46"/>
  <c r="X117" i="46"/>
  <c r="X116" i="46"/>
  <c r="X115" i="46"/>
  <c r="S137" i="46"/>
  <c r="U137" i="46"/>
  <c r="X114" i="46"/>
  <c r="R136" i="46"/>
  <c r="X113" i="46"/>
  <c r="R135" i="46"/>
  <c r="X112" i="46"/>
  <c r="R134" i="46"/>
  <c r="S134" i="46"/>
  <c r="X111" i="46"/>
  <c r="R133" i="46"/>
  <c r="X110" i="46"/>
  <c r="R132" i="46"/>
  <c r="X109" i="46"/>
  <c r="R131" i="46"/>
  <c r="O131" i="46"/>
  <c r="X108" i="46"/>
  <c r="O130" i="46"/>
  <c r="R129" i="46"/>
  <c r="ID116" i="46"/>
  <c r="IC116" i="46"/>
  <c r="IB116" i="46"/>
  <c r="IA116" i="46"/>
  <c r="HZ116" i="46"/>
  <c r="HY116" i="46"/>
  <c r="HX116" i="46"/>
  <c r="HW116" i="46"/>
  <c r="HV116" i="46"/>
  <c r="HU116" i="46"/>
  <c r="HT116" i="46"/>
  <c r="HS116" i="46"/>
  <c r="HR116" i="46"/>
  <c r="HQ116" i="46"/>
  <c r="HP116" i="46"/>
  <c r="HO116" i="46"/>
  <c r="HN116" i="46"/>
  <c r="HM116" i="46"/>
  <c r="HL116" i="46"/>
  <c r="HK116" i="46"/>
  <c r="HJ116" i="46"/>
  <c r="HI116" i="46"/>
  <c r="HH116" i="46"/>
  <c r="HG116" i="46"/>
  <c r="HF116" i="46"/>
  <c r="HE116" i="46"/>
  <c r="HD116" i="46"/>
  <c r="HC116" i="46"/>
  <c r="HB116" i="46"/>
  <c r="HA116" i="46"/>
  <c r="GZ116" i="46"/>
  <c r="GY116" i="46"/>
  <c r="GX116" i="46"/>
  <c r="GW116" i="46"/>
  <c r="GV116" i="46"/>
  <c r="GU116" i="46"/>
  <c r="GT116" i="46"/>
  <c r="GS116" i="46"/>
  <c r="GR116" i="46"/>
  <c r="GQ116" i="46"/>
  <c r="GP116" i="46"/>
  <c r="GO116" i="46"/>
  <c r="GN116" i="46"/>
  <c r="GM116" i="46"/>
  <c r="GL116" i="46"/>
  <c r="GK116" i="46"/>
  <c r="GJ116" i="46"/>
  <c r="GI116" i="46"/>
  <c r="GH116" i="46"/>
  <c r="GG116" i="46"/>
  <c r="S123" i="46"/>
  <c r="U123" i="46"/>
  <c r="GA44" i="46"/>
  <c r="FZ44" i="46"/>
  <c r="FY44" i="46"/>
  <c r="FX44" i="46"/>
  <c r="FW44" i="46"/>
  <c r="FV44" i="46"/>
  <c r="FU44" i="46"/>
  <c r="FT44" i="46"/>
  <c r="FS44" i="46"/>
  <c r="FR44" i="46"/>
  <c r="FQ44" i="46"/>
  <c r="FP44" i="46"/>
  <c r="FO44" i="46"/>
  <c r="FN44" i="46"/>
  <c r="FM44" i="46"/>
  <c r="FL44" i="46"/>
  <c r="FK44" i="46"/>
  <c r="FJ44" i="46"/>
  <c r="FI44" i="46"/>
  <c r="FH44" i="46"/>
  <c r="FG44" i="46"/>
  <c r="FF44" i="46"/>
  <c r="FE44" i="46"/>
  <c r="FD44" i="46"/>
  <c r="FC44" i="46"/>
  <c r="FB44" i="46"/>
  <c r="FA44" i="46"/>
  <c r="EZ44" i="46"/>
  <c r="EY44" i="46"/>
  <c r="EX44" i="46"/>
  <c r="EW44" i="46"/>
  <c r="EV44" i="46"/>
  <c r="EU44" i="46"/>
  <c r="ET44" i="46"/>
  <c r="ES44" i="46"/>
  <c r="ER44" i="46"/>
  <c r="EQ44" i="46"/>
  <c r="EP44" i="46"/>
  <c r="EO44" i="46"/>
  <c r="EN44" i="46"/>
  <c r="EM44" i="46"/>
  <c r="EL44" i="46"/>
  <c r="EK44" i="46"/>
  <c r="EJ44" i="46"/>
  <c r="EI44" i="46"/>
  <c r="EH44" i="46"/>
  <c r="EG44" i="46"/>
  <c r="EF44" i="46"/>
  <c r="EE44" i="46"/>
  <c r="ED44" i="46"/>
  <c r="R122" i="46"/>
  <c r="U122" i="46"/>
  <c r="O121" i="46"/>
  <c r="R120" i="46"/>
  <c r="R119" i="46"/>
  <c r="R118" i="46"/>
  <c r="O118" i="46"/>
  <c r="R117" i="46"/>
  <c r="O117" i="46"/>
  <c r="R116" i="46"/>
  <c r="S116" i="46"/>
  <c r="R115" i="46"/>
  <c r="S115" i="46"/>
  <c r="R114" i="46"/>
  <c r="S114" i="46"/>
  <c r="R113" i="46"/>
  <c r="R112" i="46"/>
  <c r="R109" i="46"/>
  <c r="R108" i="46"/>
  <c r="R106" i="46"/>
  <c r="ID98" i="46"/>
  <c r="IC98" i="46"/>
  <c r="IB98" i="46"/>
  <c r="IA98" i="46"/>
  <c r="HZ98" i="46"/>
  <c r="HY98" i="46"/>
  <c r="HX98" i="46"/>
  <c r="HW98" i="46"/>
  <c r="HV98" i="46"/>
  <c r="HU98" i="46"/>
  <c r="HT98" i="46"/>
  <c r="HS98" i="46"/>
  <c r="HR98" i="46"/>
  <c r="HQ98" i="46"/>
  <c r="HP98" i="46"/>
  <c r="HO98" i="46"/>
  <c r="HN98" i="46"/>
  <c r="HM98" i="46"/>
  <c r="HL98" i="46"/>
  <c r="HK98" i="46"/>
  <c r="HJ98" i="46"/>
  <c r="HI98" i="46"/>
  <c r="HH98" i="46"/>
  <c r="HG98" i="46"/>
  <c r="HF98" i="46"/>
  <c r="HE98" i="46"/>
  <c r="HD98" i="46"/>
  <c r="HC98" i="46"/>
  <c r="HB98" i="46"/>
  <c r="HA98" i="46"/>
  <c r="GZ98" i="46"/>
  <c r="GY98" i="46"/>
  <c r="GX98" i="46"/>
  <c r="GW98" i="46"/>
  <c r="GV98" i="46"/>
  <c r="GU98" i="46"/>
  <c r="GT98" i="46"/>
  <c r="GS98" i="46"/>
  <c r="GR98" i="46"/>
  <c r="R105" i="46"/>
  <c r="GA26" i="46"/>
  <c r="FZ26" i="46"/>
  <c r="FY26" i="46"/>
  <c r="FX26" i="46"/>
  <c r="FW26" i="46"/>
  <c r="FV26" i="46"/>
  <c r="FU26" i="46"/>
  <c r="FT26" i="46"/>
  <c r="FS26" i="46"/>
  <c r="FR26" i="46"/>
  <c r="FQ26" i="46"/>
  <c r="FP26" i="46"/>
  <c r="FO26" i="46"/>
  <c r="FN26" i="46"/>
  <c r="FM26" i="46"/>
  <c r="FL26" i="46"/>
  <c r="FK26" i="46"/>
  <c r="FJ26" i="46"/>
  <c r="FI26" i="46"/>
  <c r="FH26" i="46"/>
  <c r="FG26" i="46"/>
  <c r="FF26" i="46"/>
  <c r="FE26" i="46"/>
  <c r="FD26" i="46"/>
  <c r="FC26" i="46"/>
  <c r="FB26" i="46"/>
  <c r="FA26" i="46"/>
  <c r="EZ26" i="46"/>
  <c r="EY26" i="46"/>
  <c r="EX26" i="46"/>
  <c r="EW26" i="46"/>
  <c r="EV26" i="46"/>
  <c r="EU26" i="46"/>
  <c r="ET26" i="46"/>
  <c r="ES26" i="46"/>
  <c r="ER26" i="46"/>
  <c r="EQ26" i="46"/>
  <c r="EP26" i="46"/>
  <c r="EO26" i="46"/>
  <c r="EN26" i="46"/>
  <c r="EM26" i="46"/>
  <c r="EL26" i="46"/>
  <c r="EK26" i="46"/>
  <c r="EJ26" i="46"/>
  <c r="EI26" i="46"/>
  <c r="EH26" i="46"/>
  <c r="EG26" i="46"/>
  <c r="EF26" i="46"/>
  <c r="EE26" i="46"/>
  <c r="ED26" i="46"/>
  <c r="R104" i="46"/>
  <c r="L102" i="46"/>
  <c r="ID80" i="46"/>
  <c r="IC80" i="46"/>
  <c r="IB80" i="46"/>
  <c r="IA80" i="46"/>
  <c r="HZ80" i="46"/>
  <c r="HY80" i="46"/>
  <c r="HX80" i="46"/>
  <c r="HW80" i="46"/>
  <c r="HV80" i="46"/>
  <c r="HU80" i="46"/>
  <c r="HT80" i="46"/>
  <c r="HS80" i="46"/>
  <c r="HR80" i="46"/>
  <c r="HQ80" i="46"/>
  <c r="HP80" i="46"/>
  <c r="HO80" i="46"/>
  <c r="HN80" i="46"/>
  <c r="HM80" i="46"/>
  <c r="HL80" i="46"/>
  <c r="HK80" i="46"/>
  <c r="HJ80" i="46"/>
  <c r="HI80" i="46"/>
  <c r="HH80" i="46"/>
  <c r="HG80" i="46"/>
  <c r="HF80" i="46"/>
  <c r="HE80" i="46"/>
  <c r="HD80" i="46"/>
  <c r="HC80" i="46"/>
  <c r="HB80" i="46"/>
  <c r="HA80" i="46"/>
  <c r="GZ80" i="46"/>
  <c r="GY80" i="46"/>
  <c r="GX80" i="46"/>
  <c r="GW80" i="46"/>
  <c r="GV80" i="46"/>
  <c r="GU80" i="46"/>
  <c r="GT80" i="46"/>
  <c r="GS80" i="46"/>
  <c r="GR80" i="46"/>
  <c r="GQ80" i="46"/>
  <c r="GP80" i="46"/>
  <c r="GO80" i="46"/>
  <c r="GN80" i="46"/>
  <c r="GM80" i="46"/>
  <c r="GL80" i="46"/>
  <c r="GK80" i="46"/>
  <c r="GJ80" i="46"/>
  <c r="GI80" i="46"/>
  <c r="GH80" i="46"/>
  <c r="GG80" i="46"/>
  <c r="GA8" i="46"/>
  <c r="FZ8" i="46"/>
  <c r="FY8" i="46"/>
  <c r="FX8" i="46"/>
  <c r="FW8" i="46"/>
  <c r="FV8" i="46"/>
  <c r="FU8" i="46"/>
  <c r="FT8" i="46"/>
  <c r="FS8" i="46"/>
  <c r="FR8" i="46"/>
  <c r="FQ8" i="46"/>
  <c r="FP8" i="46"/>
  <c r="FO8" i="46"/>
  <c r="FN8" i="46"/>
  <c r="FM8" i="46"/>
  <c r="FL8" i="46"/>
  <c r="FK8" i="46"/>
  <c r="FJ8" i="46"/>
  <c r="FI8" i="46"/>
  <c r="FH8" i="46"/>
  <c r="FG8" i="46"/>
  <c r="FF8" i="46"/>
  <c r="FE8" i="46"/>
  <c r="FD8" i="46"/>
  <c r="FC8" i="46"/>
  <c r="FB8" i="46"/>
  <c r="FA8" i="46"/>
  <c r="EZ8" i="46"/>
  <c r="EY8" i="46"/>
  <c r="EX8" i="46"/>
  <c r="EW8" i="46"/>
  <c r="EV8" i="46"/>
  <c r="EU8" i="46"/>
  <c r="ET8" i="46"/>
  <c r="ES8" i="46"/>
  <c r="ER8" i="46"/>
  <c r="EQ8" i="46"/>
  <c r="EP8" i="46"/>
  <c r="EO8" i="46"/>
  <c r="EN8" i="46"/>
  <c r="EM8" i="46"/>
  <c r="EL8" i="46"/>
  <c r="EK8" i="46"/>
  <c r="EJ8" i="46"/>
  <c r="EI8" i="46"/>
  <c r="EH8" i="46"/>
  <c r="EG8" i="46"/>
  <c r="EF8" i="46"/>
  <c r="EE8" i="46"/>
  <c r="ED8" i="46"/>
  <c r="L77" i="46"/>
  <c r="S73" i="46"/>
  <c r="U73" i="46"/>
  <c r="R72" i="46"/>
  <c r="S72" i="46"/>
  <c r="U72" i="46"/>
  <c r="R71" i="46"/>
  <c r="O71" i="46"/>
  <c r="R70" i="46"/>
  <c r="R69" i="46"/>
  <c r="ID62" i="46"/>
  <c r="IC62" i="46"/>
  <c r="IB62" i="46"/>
  <c r="IA62" i="46"/>
  <c r="HZ62" i="46"/>
  <c r="HY62" i="46"/>
  <c r="HX62" i="46"/>
  <c r="HW62" i="46"/>
  <c r="HV62" i="46"/>
  <c r="HU62" i="46"/>
  <c r="HT62" i="46"/>
  <c r="HS62" i="46"/>
  <c r="HR62" i="46"/>
  <c r="HQ62" i="46"/>
  <c r="HP62" i="46"/>
  <c r="HO62" i="46"/>
  <c r="HN62" i="46"/>
  <c r="HM62" i="46"/>
  <c r="HL62" i="46"/>
  <c r="HK62" i="46"/>
  <c r="HJ62" i="46"/>
  <c r="HI62" i="46"/>
  <c r="HH62" i="46"/>
  <c r="HG62" i="46"/>
  <c r="HF62" i="46"/>
  <c r="HE62" i="46"/>
  <c r="HD62" i="46"/>
  <c r="HC62" i="46"/>
  <c r="HB62" i="46"/>
  <c r="HA62" i="46"/>
  <c r="GZ62" i="46"/>
  <c r="GY62" i="46"/>
  <c r="GX62" i="46"/>
  <c r="GW62" i="46"/>
  <c r="GV62" i="46"/>
  <c r="GU62" i="46"/>
  <c r="GT62" i="46"/>
  <c r="GS62" i="46"/>
  <c r="GR62" i="46"/>
  <c r="GQ62" i="46"/>
  <c r="GP62" i="46"/>
  <c r="GO62" i="46"/>
  <c r="GN62" i="46"/>
  <c r="GM62" i="46"/>
  <c r="GL62" i="46"/>
  <c r="GK62" i="46"/>
  <c r="GJ62" i="46"/>
  <c r="GI62" i="46"/>
  <c r="GH62" i="46"/>
  <c r="GG62" i="46"/>
  <c r="R68" i="46"/>
  <c r="O68" i="46"/>
  <c r="U68" i="46" s="1"/>
  <c r="CZ62" i="46"/>
  <c r="CY62" i="46"/>
  <c r="CX62" i="46"/>
  <c r="CW62" i="46"/>
  <c r="CV62" i="46"/>
  <c r="CU62" i="46"/>
  <c r="CT62" i="46"/>
  <c r="CS62" i="46"/>
  <c r="CR62" i="46"/>
  <c r="CQ62" i="46"/>
  <c r="CP62" i="46"/>
  <c r="CO62" i="46"/>
  <c r="CN62" i="46"/>
  <c r="CM62" i="46"/>
  <c r="CL62" i="46"/>
  <c r="CK62" i="46"/>
  <c r="CJ62" i="46"/>
  <c r="CI62" i="46"/>
  <c r="CH62" i="46"/>
  <c r="CG62" i="46"/>
  <c r="CF62" i="46"/>
  <c r="CE62" i="46"/>
  <c r="CD62" i="46"/>
  <c r="CC62" i="46"/>
  <c r="CB62" i="46"/>
  <c r="CA62" i="46"/>
  <c r="BZ62" i="46"/>
  <c r="BY62" i="46"/>
  <c r="BX62" i="46"/>
  <c r="BW62" i="46"/>
  <c r="BV62" i="46"/>
  <c r="BU62" i="46"/>
  <c r="BT62" i="46"/>
  <c r="BS62" i="46"/>
  <c r="BR62" i="46"/>
  <c r="BQ62" i="46"/>
  <c r="BP62" i="46"/>
  <c r="BO62" i="46"/>
  <c r="BN62" i="46"/>
  <c r="BM62" i="46"/>
  <c r="BL62" i="46"/>
  <c r="BK62" i="46"/>
  <c r="BJ62" i="46"/>
  <c r="BI62" i="46"/>
  <c r="BH62" i="46"/>
  <c r="BG62" i="46"/>
  <c r="BF62" i="46"/>
  <c r="BE62" i="46"/>
  <c r="BD62" i="46"/>
  <c r="BC62" i="46"/>
  <c r="R67" i="46"/>
  <c r="O67" i="46"/>
  <c r="R66" i="46"/>
  <c r="S66" i="46"/>
  <c r="R65" i="46"/>
  <c r="S65" i="46"/>
  <c r="R64" i="46"/>
  <c r="S64" i="46"/>
  <c r="R63" i="46"/>
  <c r="R62" i="46"/>
  <c r="R59" i="46"/>
  <c r="R56" i="46"/>
  <c r="R55" i="46"/>
  <c r="R54" i="46"/>
  <c r="L52" i="46"/>
  <c r="ID44" i="46"/>
  <c r="IC44" i="46"/>
  <c r="IB44" i="46"/>
  <c r="IA44" i="46"/>
  <c r="HZ44" i="46"/>
  <c r="HY44" i="46"/>
  <c r="HX44" i="46"/>
  <c r="HW44" i="46"/>
  <c r="HV44" i="46"/>
  <c r="HU44" i="46"/>
  <c r="HT44" i="46"/>
  <c r="HS44" i="46"/>
  <c r="HR44" i="46"/>
  <c r="HQ44" i="46"/>
  <c r="HP44" i="46"/>
  <c r="HO44" i="46"/>
  <c r="HN44" i="46"/>
  <c r="HM44" i="46"/>
  <c r="HL44" i="46"/>
  <c r="HK44" i="46"/>
  <c r="HJ44" i="46"/>
  <c r="HI44" i="46"/>
  <c r="HH44" i="46"/>
  <c r="HG44" i="46"/>
  <c r="HF44" i="46"/>
  <c r="HE44" i="46"/>
  <c r="HD44" i="46"/>
  <c r="HC44" i="46"/>
  <c r="HB44" i="46"/>
  <c r="HA44" i="46"/>
  <c r="GZ44" i="46"/>
  <c r="GY44" i="46"/>
  <c r="GX44" i="46"/>
  <c r="GW44" i="46"/>
  <c r="GV44" i="46"/>
  <c r="GU44" i="46"/>
  <c r="GT44" i="46"/>
  <c r="GS44" i="46"/>
  <c r="GR44" i="46"/>
  <c r="GQ44" i="46"/>
  <c r="GP44" i="46"/>
  <c r="GO44" i="46"/>
  <c r="GN44" i="46"/>
  <c r="GM44" i="46"/>
  <c r="GL44" i="46"/>
  <c r="GK44" i="46"/>
  <c r="GJ44" i="46"/>
  <c r="GI44" i="46"/>
  <c r="GH44" i="46"/>
  <c r="GG44" i="46"/>
  <c r="CZ44" i="46"/>
  <c r="CY44" i="46"/>
  <c r="CX44" i="46"/>
  <c r="CW44" i="46"/>
  <c r="CV44" i="46"/>
  <c r="CU44" i="46"/>
  <c r="CT44" i="46"/>
  <c r="CS44" i="46"/>
  <c r="CR44" i="46"/>
  <c r="CQ44" i="46"/>
  <c r="CP44" i="46"/>
  <c r="CO44" i="46"/>
  <c r="CN44" i="46"/>
  <c r="CM44" i="46"/>
  <c r="CL44" i="46"/>
  <c r="CK44" i="46"/>
  <c r="CJ44" i="46"/>
  <c r="CI44" i="46"/>
  <c r="CH44" i="46"/>
  <c r="CG44" i="46"/>
  <c r="CF44" i="46"/>
  <c r="CE44" i="46"/>
  <c r="CD44" i="46"/>
  <c r="CC44" i="46"/>
  <c r="CB44" i="46"/>
  <c r="CA44" i="46"/>
  <c r="BZ44" i="46"/>
  <c r="BY44" i="46"/>
  <c r="BX44" i="46"/>
  <c r="BW44" i="46"/>
  <c r="BV44" i="46"/>
  <c r="BU44" i="46"/>
  <c r="BT44" i="46"/>
  <c r="BS44" i="46"/>
  <c r="BR44" i="46"/>
  <c r="BQ44" i="46"/>
  <c r="BP44" i="46"/>
  <c r="BO44" i="46"/>
  <c r="BN44" i="46"/>
  <c r="BM44" i="46"/>
  <c r="BL44" i="46"/>
  <c r="BK44" i="46"/>
  <c r="BJ44" i="46"/>
  <c r="BI44" i="46"/>
  <c r="BH44" i="46"/>
  <c r="BG44" i="46"/>
  <c r="BF44" i="46"/>
  <c r="BE44" i="46"/>
  <c r="BD44" i="46"/>
  <c r="BC44" i="46"/>
  <c r="R47" i="46"/>
  <c r="R46" i="46"/>
  <c r="O45" i="46"/>
  <c r="U45" i="46" s="1"/>
  <c r="R44" i="46"/>
  <c r="R43" i="46"/>
  <c r="R42" i="46"/>
  <c r="O42" i="46"/>
  <c r="R41" i="46"/>
  <c r="U41" i="46"/>
  <c r="R40" i="46"/>
  <c r="R38" i="46"/>
  <c r="R37" i="46"/>
  <c r="R33" i="46"/>
  <c r="R32" i="46"/>
  <c r="R30" i="46"/>
  <c r="R29" i="46"/>
  <c r="CZ26" i="46"/>
  <c r="CY26" i="46"/>
  <c r="CX26" i="46"/>
  <c r="CW26" i="46"/>
  <c r="CV26" i="46"/>
  <c r="CU26" i="46"/>
  <c r="CT26" i="46"/>
  <c r="CS26" i="46"/>
  <c r="CR26" i="46"/>
  <c r="CQ26" i="46"/>
  <c r="CP26" i="46"/>
  <c r="CO26" i="46"/>
  <c r="CN26" i="46"/>
  <c r="CM26" i="46"/>
  <c r="CL26" i="46"/>
  <c r="CK26" i="46"/>
  <c r="CJ26" i="46"/>
  <c r="CI26" i="46"/>
  <c r="CH26" i="46"/>
  <c r="CG26" i="46"/>
  <c r="CF26" i="46"/>
  <c r="CE26" i="46"/>
  <c r="CD26" i="46"/>
  <c r="CC26" i="46"/>
  <c r="CB26" i="46"/>
  <c r="CA26" i="46"/>
  <c r="BZ26" i="46"/>
  <c r="BY26" i="46"/>
  <c r="BX26" i="46"/>
  <c r="BW26" i="46"/>
  <c r="BV26" i="46"/>
  <c r="BU26" i="46"/>
  <c r="BT26" i="46"/>
  <c r="BS26" i="46"/>
  <c r="BR26" i="46"/>
  <c r="BQ26" i="46"/>
  <c r="BP26" i="46"/>
  <c r="BO26" i="46"/>
  <c r="BN26" i="46"/>
  <c r="BM26" i="46"/>
  <c r="BL26" i="46"/>
  <c r="BK26" i="46"/>
  <c r="BJ26" i="46"/>
  <c r="BI26" i="46"/>
  <c r="BH26" i="46"/>
  <c r="BG26" i="46"/>
  <c r="BF26" i="46"/>
  <c r="BE26" i="46"/>
  <c r="BD26" i="46"/>
  <c r="BC26" i="46"/>
  <c r="R28" i="46"/>
  <c r="L26" i="46"/>
  <c r="R22" i="46"/>
  <c r="R21" i="46"/>
  <c r="R20" i="46"/>
  <c r="R19" i="46"/>
  <c r="AA15" i="46"/>
  <c r="R18" i="46"/>
  <c r="AA14" i="46"/>
  <c r="R17" i="46"/>
  <c r="O17" i="46"/>
  <c r="O18" i="46" s="1"/>
  <c r="AA13" i="46"/>
  <c r="R16" i="46"/>
  <c r="OF26" i="46"/>
  <c r="OF24" i="46"/>
  <c r="OD24" i="46"/>
  <c r="AA11" i="46"/>
  <c r="R14" i="46"/>
  <c r="OF23" i="46"/>
  <c r="OD23" i="46"/>
  <c r="AA10" i="46"/>
  <c r="R13" i="46"/>
  <c r="OD21" i="46"/>
  <c r="AA9" i="46"/>
  <c r="R12" i="46"/>
  <c r="CZ8" i="46"/>
  <c r="CY8" i="46"/>
  <c r="CX8" i="46"/>
  <c r="CW8" i="46"/>
  <c r="CV8" i="46"/>
  <c r="CU8" i="46"/>
  <c r="CT8" i="46"/>
  <c r="CS8" i="46"/>
  <c r="CR8" i="46"/>
  <c r="CQ8" i="46"/>
  <c r="CP8" i="46"/>
  <c r="CO8" i="46"/>
  <c r="CN8" i="46"/>
  <c r="CM8" i="46"/>
  <c r="CL8" i="46"/>
  <c r="CK8" i="46"/>
  <c r="CJ8" i="46"/>
  <c r="CI8" i="46"/>
  <c r="CH8" i="46"/>
  <c r="CG8" i="46"/>
  <c r="CF8" i="46"/>
  <c r="CE8" i="46"/>
  <c r="CD8" i="46"/>
  <c r="CC8" i="46"/>
  <c r="CB8" i="46"/>
  <c r="CA8" i="46"/>
  <c r="BZ8" i="46"/>
  <c r="BY8" i="46"/>
  <c r="BX8" i="46"/>
  <c r="BW8" i="46"/>
  <c r="BV8" i="46"/>
  <c r="BU8" i="46"/>
  <c r="BT8" i="46"/>
  <c r="BS8" i="46"/>
  <c r="BR8" i="46"/>
  <c r="BQ8" i="46"/>
  <c r="BP8" i="46"/>
  <c r="BO8" i="46"/>
  <c r="BN8" i="46"/>
  <c r="BM8" i="46"/>
  <c r="BL8" i="46"/>
  <c r="BK8" i="46"/>
  <c r="BJ8" i="46"/>
  <c r="BI8" i="46"/>
  <c r="BH8" i="46"/>
  <c r="BG8" i="46"/>
  <c r="BF8" i="46"/>
  <c r="BE8" i="46"/>
  <c r="BD8" i="46"/>
  <c r="BC8" i="46"/>
  <c r="OF20" i="46"/>
  <c r="OD20" i="46"/>
  <c r="R11" i="46"/>
  <c r="OG19" i="46"/>
  <c r="OD19" i="46"/>
  <c r="R8" i="46"/>
  <c r="R7" i="46"/>
  <c r="R5" i="46"/>
  <c r="R4" i="46"/>
  <c r="L1" i="46"/>
  <c r="OD27" i="46" l="1"/>
  <c r="OF27" i="46"/>
  <c r="O69" i="46"/>
  <c r="O70" i="46" s="1"/>
  <c r="U17" i="46"/>
  <c r="O19" i="46"/>
  <c r="O165" i="46"/>
  <c r="O166" i="46" s="1"/>
  <c r="U117" i="46"/>
  <c r="O119" i="46"/>
  <c r="O120" i="46" s="1"/>
  <c r="U42" i="46"/>
  <c r="O43" i="46"/>
  <c r="O44" i="46" s="1"/>
  <c r="U44" i="46" s="1"/>
  <c r="AA47" i="46"/>
  <c r="AA55" i="46"/>
  <c r="AC48" i="46"/>
  <c r="Z48" i="46"/>
  <c r="AB49" i="46"/>
  <c r="AB58" i="46"/>
  <c r="AD47" i="46"/>
  <c r="Y52" i="46"/>
  <c r="AD58" i="46"/>
  <c r="AB61" i="46"/>
  <c r="AD62" i="46"/>
  <c r="AA49" i="46"/>
  <c r="Y51" i="46"/>
  <c r="Y55" i="46"/>
  <c r="AA48" i="46"/>
  <c r="AA57" i="46"/>
  <c r="AC50" i="46"/>
  <c r="Z50" i="46"/>
  <c r="AB51" i="46"/>
  <c r="AB60" i="46"/>
  <c r="Y54" i="46"/>
  <c r="AD56" i="46"/>
  <c r="AD55" i="46"/>
  <c r="AC59" i="46"/>
  <c r="AA50" i="46"/>
  <c r="AA59" i="46"/>
  <c r="AC52" i="46"/>
  <c r="Z52" i="46"/>
  <c r="AB53" i="46"/>
  <c r="AB62" i="46"/>
  <c r="AD48" i="46"/>
  <c r="Y56" i="46"/>
  <c r="AB48" i="46"/>
  <c r="Z55" i="46"/>
  <c r="AA53" i="46"/>
  <c r="AD61" i="46"/>
  <c r="AA52" i="46"/>
  <c r="AA61" i="46"/>
  <c r="AC54" i="46"/>
  <c r="Z54" i="46"/>
  <c r="AB55" i="46"/>
  <c r="AB47" i="46"/>
  <c r="AD50" i="46"/>
  <c r="Y58" i="46"/>
  <c r="AB57" i="46"/>
  <c r="AD52" i="46"/>
  <c r="AD54" i="46"/>
  <c r="Y61" i="46"/>
  <c r="Y59" i="46"/>
  <c r="Z47" i="46"/>
  <c r="Z51" i="46"/>
  <c r="AA54" i="46"/>
  <c r="AC49" i="46"/>
  <c r="AC56" i="46"/>
  <c r="Z56" i="46"/>
  <c r="AD60" i="46"/>
  <c r="Y60" i="46"/>
  <c r="AD51" i="46"/>
  <c r="Y57" i="46"/>
  <c r="Y47" i="46"/>
  <c r="AA56" i="46"/>
  <c r="AC51" i="46"/>
  <c r="AC58" i="46"/>
  <c r="Z58" i="46"/>
  <c r="AB59" i="46"/>
  <c r="AD49" i="46"/>
  <c r="Y62" i="46"/>
  <c r="AD53" i="46"/>
  <c r="AC62" i="46"/>
  <c r="AA58" i="46"/>
  <c r="AC53" i="46"/>
  <c r="AC60" i="46"/>
  <c r="Z60" i="46"/>
  <c r="Y49" i="46"/>
  <c r="AD57" i="46"/>
  <c r="AA60" i="46"/>
  <c r="AC55" i="46"/>
  <c r="AC47" i="46"/>
  <c r="Z62" i="46"/>
  <c r="Y50" i="46"/>
  <c r="AA62" i="46"/>
  <c r="AC57" i="46"/>
  <c r="Z49" i="46"/>
  <c r="Z53" i="46"/>
  <c r="AB50" i="46"/>
  <c r="AB52" i="46"/>
  <c r="Z61" i="46"/>
  <c r="AA51" i="46"/>
  <c r="AC61" i="46"/>
  <c r="Z57" i="46"/>
  <c r="Z59" i="46"/>
  <c r="AB54" i="46"/>
  <c r="AD59" i="46"/>
  <c r="Y48" i="46"/>
  <c r="Y53" i="46"/>
  <c r="AB56" i="46"/>
  <c r="AA88" i="46"/>
  <c r="AA90" i="46"/>
  <c r="Z103" i="46"/>
  <c r="AC102" i="46"/>
  <c r="AC88" i="46"/>
  <c r="Y97" i="46"/>
  <c r="AD101" i="46"/>
  <c r="AD88" i="46"/>
  <c r="AB90" i="46"/>
  <c r="AB95" i="46"/>
  <c r="AC101" i="46"/>
  <c r="AB89" i="46"/>
  <c r="AA91" i="46"/>
  <c r="AA96" i="46"/>
  <c r="Z102" i="46"/>
  <c r="AC95" i="46"/>
  <c r="AC89" i="46"/>
  <c r="Y99" i="46"/>
  <c r="AD90" i="46"/>
  <c r="AD99" i="46"/>
  <c r="AB92" i="46"/>
  <c r="AB99" i="46"/>
  <c r="Z100" i="46"/>
  <c r="AA101" i="46"/>
  <c r="AA94" i="46"/>
  <c r="Z89" i="46"/>
  <c r="AC90" i="46"/>
  <c r="AC99" i="46"/>
  <c r="Y101" i="46"/>
  <c r="AD92" i="46"/>
  <c r="AD93" i="46"/>
  <c r="AB94" i="46"/>
  <c r="AB97" i="46"/>
  <c r="AA89" i="46"/>
  <c r="Y95" i="46"/>
  <c r="AB91" i="46"/>
  <c r="AA102" i="46"/>
  <c r="AA98" i="46"/>
  <c r="Z91" i="46"/>
  <c r="AC92" i="46"/>
  <c r="AC103" i="46"/>
  <c r="Y103" i="46"/>
  <c r="AD94" i="46"/>
  <c r="AD91" i="46"/>
  <c r="AB96" i="46"/>
  <c r="AB88" i="46"/>
  <c r="AA95" i="46"/>
  <c r="Z93" i="46"/>
  <c r="AC94" i="46"/>
  <c r="Y88" i="46"/>
  <c r="Y96" i="46"/>
  <c r="AD96" i="46"/>
  <c r="AB98" i="46"/>
  <c r="Z90" i="46"/>
  <c r="AA92" i="46"/>
  <c r="Z95" i="46"/>
  <c r="AC96" i="46"/>
  <c r="Y90" i="46"/>
  <c r="Y98" i="46"/>
  <c r="AD98" i="46"/>
  <c r="AB100" i="46"/>
  <c r="Z88" i="46"/>
  <c r="AA99" i="46"/>
  <c r="Z97" i="46"/>
  <c r="AC98" i="46"/>
  <c r="Y92" i="46"/>
  <c r="Y94" i="46"/>
  <c r="AD100" i="46"/>
  <c r="AB102" i="46"/>
  <c r="AD103" i="46"/>
  <c r="AD97" i="46"/>
  <c r="AA100" i="46"/>
  <c r="Z99" i="46"/>
  <c r="AC100" i="46"/>
  <c r="Y100" i="46"/>
  <c r="Y102" i="46"/>
  <c r="AD102" i="46"/>
  <c r="AB93" i="46"/>
  <c r="AC97" i="46"/>
  <c r="AA97" i="46"/>
  <c r="Z96" i="46"/>
  <c r="Z92" i="46"/>
  <c r="AC93" i="46"/>
  <c r="Y89" i="46"/>
  <c r="AD89" i="46"/>
  <c r="AB103" i="46"/>
  <c r="Y91" i="46"/>
  <c r="AA93" i="46"/>
  <c r="Z101" i="46"/>
  <c r="Z98" i="46"/>
  <c r="AC91" i="46"/>
  <c r="Y93" i="46"/>
  <c r="AD95" i="46"/>
  <c r="AB101" i="46"/>
  <c r="AA103" i="46"/>
  <c r="Z94" i="46"/>
  <c r="M12" i="46"/>
  <c r="N12" i="46"/>
  <c r="P12" i="46"/>
  <c r="S12" i="46" s="1"/>
  <c r="P13" i="46"/>
  <c r="S13" i="46" s="1"/>
  <c r="M13" i="46"/>
  <c r="N13" i="46"/>
  <c r="U71" i="46"/>
  <c r="U118" i="46"/>
  <c r="U121" i="46"/>
  <c r="U167" i="46"/>
  <c r="S20" i="46"/>
  <c r="T20" i="46" s="1"/>
  <c r="S43" i="46"/>
  <c r="U130" i="46"/>
  <c r="M96" i="46"/>
  <c r="P96" i="46"/>
  <c r="N96" i="46"/>
  <c r="U96" i="46"/>
  <c r="M63" i="46"/>
  <c r="N63" i="46"/>
  <c r="P63" i="46"/>
  <c r="S63" i="46" s="1"/>
  <c r="P135" i="46"/>
  <c r="S135" i="46" s="1"/>
  <c r="M135" i="46"/>
  <c r="N135" i="46"/>
  <c r="M113" i="46"/>
  <c r="N113" i="46"/>
  <c r="P113" i="46"/>
  <c r="S113" i="46" s="1"/>
  <c r="N136" i="46"/>
  <c r="P136" i="46"/>
  <c r="S136" i="46" s="1"/>
  <c r="M136" i="46"/>
  <c r="S4" i="46"/>
  <c r="P71" i="46"/>
  <c r="S71" i="46" s="1"/>
  <c r="T71" i="46" s="1"/>
  <c r="M71" i="46"/>
  <c r="N71" i="46"/>
  <c r="M121" i="46"/>
  <c r="P121" i="46"/>
  <c r="S121" i="46" s="1"/>
  <c r="T121" i="46" s="1"/>
  <c r="N121" i="46"/>
  <c r="M167" i="46"/>
  <c r="P167" i="46"/>
  <c r="Q167" i="46" s="1"/>
  <c r="N167" i="46"/>
  <c r="N129" i="46"/>
  <c r="M129" i="46"/>
  <c r="P129" i="46"/>
  <c r="S129" i="46" s="1"/>
  <c r="P120" i="46"/>
  <c r="S120" i="46" s="1"/>
  <c r="M120" i="46"/>
  <c r="N120" i="46"/>
  <c r="P166" i="46"/>
  <c r="S166" i="46" s="1"/>
  <c r="M166" i="46"/>
  <c r="N166" i="46"/>
  <c r="Q42" i="46"/>
  <c r="M92" i="46"/>
  <c r="P92" i="46"/>
  <c r="N92" i="46"/>
  <c r="U92" i="46"/>
  <c r="N93" i="46"/>
  <c r="P93" i="46"/>
  <c r="M93" i="46"/>
  <c r="U93" i="46"/>
  <c r="N130" i="46"/>
  <c r="P130" i="46"/>
  <c r="M130" i="46"/>
  <c r="S19" i="46"/>
  <c r="M94" i="46"/>
  <c r="N94" i="46"/>
  <c r="P94" i="46"/>
  <c r="S94" i="46" s="1"/>
  <c r="O100" i="46"/>
  <c r="M131" i="46"/>
  <c r="N131" i="46"/>
  <c r="P131" i="46"/>
  <c r="S131" i="46" s="1"/>
  <c r="T131" i="46" s="1"/>
  <c r="S18" i="46"/>
  <c r="P165" i="46"/>
  <c r="S165" i="46" s="1"/>
  <c r="M165" i="46"/>
  <c r="N165" i="46"/>
  <c r="P95" i="46"/>
  <c r="S95" i="46" s="1"/>
  <c r="M95" i="46"/>
  <c r="N95" i="46"/>
  <c r="M132" i="46"/>
  <c r="P132" i="46"/>
  <c r="S132" i="46" s="1"/>
  <c r="N132" i="46"/>
  <c r="P133" i="46"/>
  <c r="S133" i="46" s="1"/>
  <c r="M133" i="46"/>
  <c r="N133" i="46"/>
  <c r="T16" i="46"/>
  <c r="M70" i="46"/>
  <c r="N70" i="46"/>
  <c r="P70" i="46"/>
  <c r="S70" i="46" s="1"/>
  <c r="M67" i="46"/>
  <c r="N67" i="46"/>
  <c r="P67" i="46"/>
  <c r="S67" i="46" s="1"/>
  <c r="T67" i="46" s="1"/>
  <c r="M68" i="46"/>
  <c r="N68" i="46"/>
  <c r="P68" i="46"/>
  <c r="S68" i="46" s="1"/>
  <c r="T68" i="46" s="1"/>
  <c r="M117" i="46"/>
  <c r="N117" i="46"/>
  <c r="P117" i="46"/>
  <c r="Q117" i="46" s="1"/>
  <c r="M163" i="46"/>
  <c r="N163" i="46"/>
  <c r="P163" i="46"/>
  <c r="S163" i="46" s="1"/>
  <c r="T163" i="46" s="1"/>
  <c r="P119" i="46"/>
  <c r="S119" i="46" s="1"/>
  <c r="M119" i="46"/>
  <c r="N119" i="46"/>
  <c r="M69" i="46"/>
  <c r="N69" i="46"/>
  <c r="P69" i="46"/>
  <c r="S69" i="46" s="1"/>
  <c r="M118" i="46"/>
  <c r="N118" i="46"/>
  <c r="P118" i="46"/>
  <c r="M164" i="46"/>
  <c r="N164" i="46"/>
  <c r="P164" i="46"/>
  <c r="S164" i="46" s="1"/>
  <c r="T164" i="46" s="1"/>
  <c r="S3" i="46"/>
  <c r="S11" i="46"/>
  <c r="S8" i="46"/>
  <c r="U131" i="46"/>
  <c r="O135" i="46"/>
  <c r="U135" i="46" s="1"/>
  <c r="M152" i="46"/>
  <c r="N152" i="46"/>
  <c r="P152" i="46"/>
  <c r="S152" i="46" s="1"/>
  <c r="M155" i="46"/>
  <c r="N155" i="46"/>
  <c r="P155" i="46"/>
  <c r="S155" i="46" s="1"/>
  <c r="P158" i="46"/>
  <c r="S158" i="46" s="1"/>
  <c r="M158" i="46"/>
  <c r="N158" i="46"/>
  <c r="M154" i="46"/>
  <c r="N154" i="46"/>
  <c r="P154" i="46"/>
  <c r="S154" i="46" s="1"/>
  <c r="P150" i="46"/>
  <c r="S150" i="46" s="1"/>
  <c r="N150" i="46"/>
  <c r="M150" i="46"/>
  <c r="N151" i="46"/>
  <c r="P151" i="46"/>
  <c r="S151" i="46" s="1"/>
  <c r="M151" i="46"/>
  <c r="N104" i="46"/>
  <c r="M104" i="46"/>
  <c r="P104" i="46"/>
  <c r="S104" i="46" s="1"/>
  <c r="P105" i="46"/>
  <c r="S105" i="46" s="1"/>
  <c r="M105" i="46"/>
  <c r="N105" i="46"/>
  <c r="P106" i="46"/>
  <c r="S106" i="46" s="1"/>
  <c r="M106" i="46"/>
  <c r="N106" i="46"/>
  <c r="N108" i="46"/>
  <c r="P108" i="46"/>
  <c r="S108" i="46" s="1"/>
  <c r="M108" i="46"/>
  <c r="N109" i="46"/>
  <c r="P109" i="46"/>
  <c r="S109" i="46" s="1"/>
  <c r="M109" i="46"/>
  <c r="M112" i="46"/>
  <c r="N112" i="46"/>
  <c r="P112" i="46"/>
  <c r="S112" i="46" s="1"/>
  <c r="P79" i="46"/>
  <c r="S79" i="46" s="1"/>
  <c r="N79" i="46"/>
  <c r="M79" i="46"/>
  <c r="P80" i="46"/>
  <c r="S80" i="46" s="1"/>
  <c r="M80" i="46"/>
  <c r="N80" i="46"/>
  <c r="P81" i="46"/>
  <c r="S81" i="46" s="1"/>
  <c r="M81" i="46"/>
  <c r="N81" i="46"/>
  <c r="N83" i="46"/>
  <c r="P83" i="46"/>
  <c r="S83" i="46" s="1"/>
  <c r="M83" i="46"/>
  <c r="M84" i="46"/>
  <c r="N84" i="46"/>
  <c r="P84" i="46"/>
  <c r="S84" i="46" s="1"/>
  <c r="M87" i="46"/>
  <c r="N87" i="46"/>
  <c r="P87" i="46"/>
  <c r="S87" i="46" s="1"/>
  <c r="P54" i="46"/>
  <c r="S54" i="46" s="1"/>
  <c r="N54" i="46"/>
  <c r="M54" i="46"/>
  <c r="M55" i="46"/>
  <c r="N55" i="46"/>
  <c r="P55" i="46"/>
  <c r="S55" i="46" s="1"/>
  <c r="P56" i="46"/>
  <c r="S56" i="46" s="1"/>
  <c r="N56" i="46"/>
  <c r="M56" i="46"/>
  <c r="M58" i="46"/>
  <c r="N58" i="46"/>
  <c r="P58" i="46"/>
  <c r="S58" i="46" s="1"/>
  <c r="M59" i="46"/>
  <c r="P59" i="46"/>
  <c r="S59" i="46" s="1"/>
  <c r="N59" i="46"/>
  <c r="M62" i="46"/>
  <c r="P62" i="46"/>
  <c r="S62" i="46" s="1"/>
  <c r="N62" i="46"/>
  <c r="S36" i="46"/>
  <c r="T123" i="46"/>
  <c r="U163" i="46"/>
  <c r="T47" i="46"/>
  <c r="Q47" i="46"/>
  <c r="Q46" i="46"/>
  <c r="Q45" i="46"/>
  <c r="Q41" i="46"/>
  <c r="U70" i="46"/>
  <c r="U67" i="46"/>
  <c r="S44" i="46"/>
  <c r="Q123" i="46"/>
  <c r="U18" i="46"/>
  <c r="T73" i="46"/>
  <c r="Q137" i="46"/>
  <c r="O132" i="46"/>
  <c r="O138" i="46" s="1"/>
  <c r="Q72" i="46"/>
  <c r="U159" i="46"/>
  <c r="T72" i="46"/>
  <c r="T22" i="46"/>
  <c r="U12" i="46"/>
  <c r="Q22" i="46"/>
  <c r="S30" i="46"/>
  <c r="S45" i="46"/>
  <c r="T45" i="46" s="1"/>
  <c r="O129" i="46"/>
  <c r="U129" i="46" s="1"/>
  <c r="Q73" i="46"/>
  <c r="S29" i="46"/>
  <c r="U43" i="46"/>
  <c r="S41" i="46"/>
  <c r="T41" i="46" s="1"/>
  <c r="T122" i="46"/>
  <c r="Q122" i="46"/>
  <c r="S7" i="46"/>
  <c r="T46" i="46"/>
  <c r="S168" i="46"/>
  <c r="T168" i="46" s="1"/>
  <c r="Q168" i="46"/>
  <c r="Q21" i="46"/>
  <c r="U19" i="46"/>
  <c r="U113" i="46"/>
  <c r="T21" i="46"/>
  <c r="S33" i="46"/>
  <c r="U166" i="46"/>
  <c r="T137" i="46"/>
  <c r="O133" i="46"/>
  <c r="U133" i="46" s="1"/>
  <c r="Q169" i="46"/>
  <c r="T169" i="46"/>
  <c r="W51" i="44"/>
  <c r="X51" i="44"/>
  <c r="Y51" i="44"/>
  <c r="Z51" i="44"/>
  <c r="AA51" i="44"/>
  <c r="AB51" i="44"/>
  <c r="AC51" i="44"/>
  <c r="AD51" i="44"/>
  <c r="AE51" i="44"/>
  <c r="W52" i="44"/>
  <c r="X52" i="44"/>
  <c r="Y52" i="44"/>
  <c r="Z52" i="44"/>
  <c r="AA52" i="44"/>
  <c r="AB52" i="44"/>
  <c r="AC52" i="44"/>
  <c r="AD52" i="44"/>
  <c r="AE52" i="44"/>
  <c r="W53" i="44"/>
  <c r="X53" i="44"/>
  <c r="Y53" i="44"/>
  <c r="Z53" i="44"/>
  <c r="AA53" i="44"/>
  <c r="AB53" i="44"/>
  <c r="AC53" i="44"/>
  <c r="AD53" i="44"/>
  <c r="AE53" i="44"/>
  <c r="W54" i="44"/>
  <c r="X54" i="44"/>
  <c r="Y54" i="44"/>
  <c r="Z54" i="44"/>
  <c r="AA54" i="44"/>
  <c r="AB54" i="44"/>
  <c r="AC54" i="44"/>
  <c r="AD54" i="44"/>
  <c r="AE54" i="44"/>
  <c r="W55" i="44"/>
  <c r="X55" i="44"/>
  <c r="Y55" i="44"/>
  <c r="Z55" i="44"/>
  <c r="AA55" i="44"/>
  <c r="AB55" i="44"/>
  <c r="AC55" i="44"/>
  <c r="AD55" i="44"/>
  <c r="AE55" i="44"/>
  <c r="W56" i="44"/>
  <c r="X56" i="44"/>
  <c r="Y56" i="44"/>
  <c r="Z56" i="44"/>
  <c r="AA56" i="44"/>
  <c r="AB56" i="44"/>
  <c r="AC56" i="44"/>
  <c r="AD56" i="44"/>
  <c r="AE56" i="44"/>
  <c r="W57" i="44"/>
  <c r="X57" i="44"/>
  <c r="Y57" i="44"/>
  <c r="Z57" i="44"/>
  <c r="AA57" i="44"/>
  <c r="AB57" i="44"/>
  <c r="AC57" i="44"/>
  <c r="AD57" i="44"/>
  <c r="AE57" i="44"/>
  <c r="W58" i="44"/>
  <c r="X58" i="44"/>
  <c r="Y58" i="44"/>
  <c r="Z58" i="44"/>
  <c r="AA58" i="44"/>
  <c r="AB58" i="44"/>
  <c r="AC58" i="44"/>
  <c r="AD58" i="44"/>
  <c r="AE58" i="44"/>
  <c r="W59" i="44"/>
  <c r="X59" i="44"/>
  <c r="Y59" i="44"/>
  <c r="Z59" i="44"/>
  <c r="AA59" i="44"/>
  <c r="AB59" i="44"/>
  <c r="AC59" i="44"/>
  <c r="AD59" i="44"/>
  <c r="AE59" i="44"/>
  <c r="W60" i="44"/>
  <c r="X60" i="44"/>
  <c r="Y60" i="44"/>
  <c r="Z60" i="44"/>
  <c r="AA60" i="44"/>
  <c r="AB60" i="44"/>
  <c r="AC60" i="44"/>
  <c r="AD60" i="44"/>
  <c r="AE60" i="44"/>
  <c r="W61" i="44"/>
  <c r="X61" i="44"/>
  <c r="Y61" i="44"/>
  <c r="Z61" i="44"/>
  <c r="AA61" i="44"/>
  <c r="AB61" i="44"/>
  <c r="AC61" i="44"/>
  <c r="AD61" i="44"/>
  <c r="AE61" i="44"/>
  <c r="W62" i="44"/>
  <c r="X62" i="44"/>
  <c r="Y62" i="44"/>
  <c r="Z62" i="44"/>
  <c r="AA62" i="44"/>
  <c r="AB62" i="44"/>
  <c r="AC62" i="44"/>
  <c r="AD62" i="44"/>
  <c r="AE62" i="44"/>
  <c r="W63" i="44"/>
  <c r="X63" i="44"/>
  <c r="Y63" i="44"/>
  <c r="Z63" i="44"/>
  <c r="AA63" i="44"/>
  <c r="AB63" i="44"/>
  <c r="AC63" i="44"/>
  <c r="AD63" i="44"/>
  <c r="AE63" i="44"/>
  <c r="W64" i="44"/>
  <c r="X64" i="44"/>
  <c r="Y64" i="44"/>
  <c r="Z64" i="44"/>
  <c r="AA64" i="44"/>
  <c r="AB64" i="44"/>
  <c r="AC64" i="44"/>
  <c r="AD64" i="44"/>
  <c r="AE64" i="44"/>
  <c r="W65" i="44"/>
  <c r="X65" i="44"/>
  <c r="Y65" i="44"/>
  <c r="Z65" i="44"/>
  <c r="AA65" i="44"/>
  <c r="AB65" i="44"/>
  <c r="AC65" i="44"/>
  <c r="AD65" i="44"/>
  <c r="AE65" i="44"/>
  <c r="AE50" i="44"/>
  <c r="AD50" i="44"/>
  <c r="AC50" i="44"/>
  <c r="AB50" i="44"/>
  <c r="AA50" i="44"/>
  <c r="Z50" i="44"/>
  <c r="Y50" i="44"/>
  <c r="X50" i="44"/>
  <c r="W50" i="44"/>
  <c r="W26" i="44"/>
  <c r="X26" i="44"/>
  <c r="Y26" i="44"/>
  <c r="Z26" i="44"/>
  <c r="AA26" i="44"/>
  <c r="AB26" i="44"/>
  <c r="AC26" i="44"/>
  <c r="AD26" i="44"/>
  <c r="AE26" i="44"/>
  <c r="W27" i="44"/>
  <c r="X27" i="44"/>
  <c r="Y27" i="44"/>
  <c r="Z27" i="44"/>
  <c r="AA27" i="44"/>
  <c r="AB27" i="44"/>
  <c r="AC27" i="44"/>
  <c r="AD27" i="44"/>
  <c r="AE27" i="44"/>
  <c r="W28" i="44"/>
  <c r="X28" i="44"/>
  <c r="Y28" i="44"/>
  <c r="Z28" i="44"/>
  <c r="AA28" i="44"/>
  <c r="AB28" i="44"/>
  <c r="AC28" i="44"/>
  <c r="AD28" i="44"/>
  <c r="AE28" i="44"/>
  <c r="W29" i="44"/>
  <c r="X29" i="44"/>
  <c r="Y29" i="44"/>
  <c r="Z29" i="44"/>
  <c r="AA29" i="44"/>
  <c r="AB29" i="44"/>
  <c r="AC29" i="44"/>
  <c r="AD29" i="44"/>
  <c r="AE29" i="44"/>
  <c r="W30" i="44"/>
  <c r="X30" i="44"/>
  <c r="Y30" i="44"/>
  <c r="Z30" i="44"/>
  <c r="AA30" i="44"/>
  <c r="AB30" i="44"/>
  <c r="AC30" i="44"/>
  <c r="AD30" i="44"/>
  <c r="AE30" i="44"/>
  <c r="W31" i="44"/>
  <c r="X31" i="44"/>
  <c r="Y31" i="44"/>
  <c r="Z31" i="44"/>
  <c r="AA31" i="44"/>
  <c r="AB31" i="44"/>
  <c r="AC31" i="44"/>
  <c r="AD31" i="44"/>
  <c r="AE31" i="44"/>
  <c r="W32" i="44"/>
  <c r="X32" i="44"/>
  <c r="Y32" i="44"/>
  <c r="Z32" i="44"/>
  <c r="AA32" i="44"/>
  <c r="AB32" i="44"/>
  <c r="AC32" i="44"/>
  <c r="AD32" i="44"/>
  <c r="AE32" i="44"/>
  <c r="W33" i="44"/>
  <c r="X33" i="44"/>
  <c r="Y33" i="44"/>
  <c r="Z33" i="44"/>
  <c r="AA33" i="44"/>
  <c r="AB33" i="44"/>
  <c r="AC33" i="44"/>
  <c r="AD33" i="44"/>
  <c r="AE33" i="44"/>
  <c r="W34" i="44"/>
  <c r="X34" i="44"/>
  <c r="Y34" i="44"/>
  <c r="Z34" i="44"/>
  <c r="AA34" i="44"/>
  <c r="AB34" i="44"/>
  <c r="AC34" i="44"/>
  <c r="AD34" i="44"/>
  <c r="AE34" i="44"/>
  <c r="W35" i="44"/>
  <c r="X35" i="44"/>
  <c r="Y35" i="44"/>
  <c r="Z35" i="44"/>
  <c r="AA35" i="44"/>
  <c r="AB35" i="44"/>
  <c r="AC35" i="44"/>
  <c r="AD35" i="44"/>
  <c r="AE35" i="44"/>
  <c r="W36" i="44"/>
  <c r="X36" i="44"/>
  <c r="Y36" i="44"/>
  <c r="Z36" i="44"/>
  <c r="AA36" i="44"/>
  <c r="AB36" i="44"/>
  <c r="AC36" i="44"/>
  <c r="AD36" i="44"/>
  <c r="AE36" i="44"/>
  <c r="W37" i="44"/>
  <c r="X37" i="44"/>
  <c r="Y37" i="44"/>
  <c r="Z37" i="44"/>
  <c r="AA37" i="44"/>
  <c r="AB37" i="44"/>
  <c r="AC37" i="44"/>
  <c r="AD37" i="44"/>
  <c r="AE37" i="44"/>
  <c r="W38" i="44"/>
  <c r="X38" i="44"/>
  <c r="Y38" i="44"/>
  <c r="Z38" i="44"/>
  <c r="AA38" i="44"/>
  <c r="AB38" i="44"/>
  <c r="AC38" i="44"/>
  <c r="AD38" i="44"/>
  <c r="AE38" i="44"/>
  <c r="W39" i="44"/>
  <c r="X39" i="44"/>
  <c r="Y39" i="44"/>
  <c r="Z39" i="44"/>
  <c r="AA39" i="44"/>
  <c r="AB39" i="44"/>
  <c r="AC39" i="44"/>
  <c r="AD39" i="44"/>
  <c r="AE39" i="44"/>
  <c r="W40" i="44"/>
  <c r="X40" i="44"/>
  <c r="Y40" i="44"/>
  <c r="Z40" i="44"/>
  <c r="AA40" i="44"/>
  <c r="AB40" i="44"/>
  <c r="AC40" i="44"/>
  <c r="AD40" i="44"/>
  <c r="AE40" i="44"/>
  <c r="AE25" i="44"/>
  <c r="AD25" i="44"/>
  <c r="AC25" i="44"/>
  <c r="AB25" i="44"/>
  <c r="AA25" i="44"/>
  <c r="Z25" i="44"/>
  <c r="Y25" i="44"/>
  <c r="X25" i="44"/>
  <c r="W25" i="44"/>
  <c r="S130" i="46" l="1"/>
  <c r="T130" i="46" s="1"/>
  <c r="Q130" i="46"/>
  <c r="Q131" i="46"/>
  <c r="U65" i="46"/>
  <c r="U14" i="46"/>
  <c r="Q39" i="46"/>
  <c r="T39" i="46"/>
  <c r="U150" i="46"/>
  <c r="U151" i="46"/>
  <c r="Q20" i="46"/>
  <c r="U165" i="46"/>
  <c r="O171" i="46"/>
  <c r="U138" i="46"/>
  <c r="Q138" i="46"/>
  <c r="T138" i="46"/>
  <c r="U119" i="46"/>
  <c r="O125" i="46"/>
  <c r="Q100" i="46"/>
  <c r="U100" i="46"/>
  <c r="T100" i="46"/>
  <c r="U69" i="46"/>
  <c r="O75" i="46"/>
  <c r="O49" i="46"/>
  <c r="U49" i="46" s="1"/>
  <c r="U104" i="46"/>
  <c r="O24" i="46"/>
  <c r="U24" i="46" s="1"/>
  <c r="U155" i="46"/>
  <c r="Q54" i="46"/>
  <c r="U55" i="46"/>
  <c r="U106" i="46"/>
  <c r="U59" i="46"/>
  <c r="U161" i="46"/>
  <c r="U58" i="46"/>
  <c r="U56" i="46"/>
  <c r="T81" i="46"/>
  <c r="U32" i="46"/>
  <c r="U29" i="46"/>
  <c r="S117" i="46"/>
  <c r="T117" i="46" s="1"/>
  <c r="Q121" i="46"/>
  <c r="Q16" i="46"/>
  <c r="Q68" i="46"/>
  <c r="T135" i="46"/>
  <c r="S167" i="46"/>
  <c r="T167" i="46" s="1"/>
  <c r="S96" i="46"/>
  <c r="T96" i="46" s="1"/>
  <c r="Q96" i="46"/>
  <c r="T88" i="46"/>
  <c r="Q88" i="46"/>
  <c r="U88" i="46"/>
  <c r="O89" i="46"/>
  <c r="U94" i="46"/>
  <c r="Q94" i="46"/>
  <c r="T94" i="46"/>
  <c r="Q95" i="46"/>
  <c r="T95" i="46"/>
  <c r="Q67" i="46"/>
  <c r="S92" i="46"/>
  <c r="T92" i="46" s="1"/>
  <c r="Q92" i="46"/>
  <c r="U95" i="46"/>
  <c r="S93" i="46"/>
  <c r="T93" i="46" s="1"/>
  <c r="Q93" i="46"/>
  <c r="T119" i="46"/>
  <c r="Q119" i="46"/>
  <c r="T165" i="46"/>
  <c r="U79" i="46"/>
  <c r="Q159" i="46"/>
  <c r="Q70" i="46"/>
  <c r="O160" i="46"/>
  <c r="U160" i="46" s="1"/>
  <c r="Q132" i="46"/>
  <c r="U132" i="46"/>
  <c r="T159" i="46"/>
  <c r="U162" i="46"/>
  <c r="T70" i="46"/>
  <c r="Q120" i="46"/>
  <c r="U120" i="46"/>
  <c r="T40" i="46"/>
  <c r="Q37" i="46"/>
  <c r="Q38" i="46"/>
  <c r="Q44" i="46"/>
  <c r="Q43" i="46"/>
  <c r="T3" i="46"/>
  <c r="U13" i="46"/>
  <c r="Q18" i="46"/>
  <c r="T18" i="46"/>
  <c r="O64" i="46"/>
  <c r="U64" i="46" s="1"/>
  <c r="U63" i="46"/>
  <c r="T129" i="46"/>
  <c r="T37" i="46"/>
  <c r="O136" i="46"/>
  <c r="U136" i="46" s="1"/>
  <c r="Q165" i="46"/>
  <c r="T120" i="46"/>
  <c r="O134" i="46"/>
  <c r="T134" i="46" s="1"/>
  <c r="T132" i="46"/>
  <c r="T12" i="46"/>
  <c r="Q135" i="46"/>
  <c r="Q129" i="46"/>
  <c r="Q163" i="46"/>
  <c r="T63" i="46"/>
  <c r="T43" i="46"/>
  <c r="U66" i="46"/>
  <c r="Q63" i="46"/>
  <c r="U154" i="46"/>
  <c r="Q69" i="46"/>
  <c r="T69" i="46"/>
  <c r="U8" i="46"/>
  <c r="T44" i="46"/>
  <c r="Q19" i="46"/>
  <c r="T19" i="46"/>
  <c r="S118" i="46"/>
  <c r="T118" i="46" s="1"/>
  <c r="Q118" i="46"/>
  <c r="T133" i="46"/>
  <c r="Q133" i="46"/>
  <c r="T166" i="46"/>
  <c r="Q166" i="46"/>
  <c r="Q17" i="46"/>
  <c r="S17" i="46"/>
  <c r="T17" i="46" s="1"/>
  <c r="Q12" i="46"/>
  <c r="T38" i="46"/>
  <c r="U33" i="46"/>
  <c r="Q164" i="46"/>
  <c r="U114" i="46"/>
  <c r="T113" i="46"/>
  <c r="Q113" i="46"/>
  <c r="U116" i="46"/>
  <c r="U115" i="46"/>
  <c r="Q71" i="46"/>
  <c r="S42" i="46"/>
  <c r="T42" i="46" s="1"/>
  <c r="O66" i="44"/>
  <c r="U66" i="44" s="1"/>
  <c r="U25" i="46" l="1"/>
  <c r="T28" i="46"/>
  <c r="U28" i="46"/>
  <c r="Q30" i="46"/>
  <c r="U30" i="46"/>
  <c r="U62" i="46"/>
  <c r="U112" i="46"/>
  <c r="Q87" i="46"/>
  <c r="Q36" i="46"/>
  <c r="U125" i="46"/>
  <c r="Q125" i="46"/>
  <c r="T125" i="46"/>
  <c r="U171" i="46"/>
  <c r="Q171" i="46"/>
  <c r="T171" i="46"/>
  <c r="U75" i="46"/>
  <c r="Q75" i="46"/>
  <c r="T75" i="46"/>
  <c r="Q49" i="46"/>
  <c r="T49" i="46"/>
  <c r="Q24" i="46"/>
  <c r="T24" i="46"/>
  <c r="T161" i="46"/>
  <c r="Q136" i="46"/>
  <c r="T160" i="46"/>
  <c r="Q160" i="46"/>
  <c r="U89" i="46"/>
  <c r="T89" i="46"/>
  <c r="Q89" i="46"/>
  <c r="T90" i="46"/>
  <c r="Q90" i="46"/>
  <c r="U90" i="46"/>
  <c r="T79" i="46"/>
  <c r="Q79" i="46"/>
  <c r="T91" i="46"/>
  <c r="Q91" i="46"/>
  <c r="U91" i="46"/>
  <c r="U87" i="46"/>
  <c r="T87" i="46"/>
  <c r="Q81" i="46"/>
  <c r="U54" i="46"/>
  <c r="U81" i="46"/>
  <c r="Q162" i="46"/>
  <c r="T162" i="46"/>
  <c r="Q161" i="46"/>
  <c r="T64" i="46"/>
  <c r="Q13" i="46"/>
  <c r="T13" i="46"/>
  <c r="Q84" i="46"/>
  <c r="T84" i="46"/>
  <c r="U84" i="46"/>
  <c r="T83" i="46"/>
  <c r="Q83" i="46"/>
  <c r="U83" i="46"/>
  <c r="Q80" i="46"/>
  <c r="T80" i="46"/>
  <c r="U80" i="46"/>
  <c r="Q112" i="46"/>
  <c r="T108" i="46"/>
  <c r="U108" i="46"/>
  <c r="T30" i="46"/>
  <c r="T104" i="46"/>
  <c r="T158" i="46"/>
  <c r="U158" i="46"/>
  <c r="Q134" i="46"/>
  <c r="U134" i="46"/>
  <c r="U139" i="46" s="1"/>
  <c r="T112" i="46"/>
  <c r="Q3" i="46"/>
  <c r="Q109" i="46"/>
  <c r="U109" i="46"/>
  <c r="T105" i="46"/>
  <c r="U105" i="46"/>
  <c r="T136" i="46"/>
  <c r="T139" i="46" s="1"/>
  <c r="Q28" i="46"/>
  <c r="Q64" i="46"/>
  <c r="Q152" i="46"/>
  <c r="U152" i="46"/>
  <c r="Q29" i="46"/>
  <c r="Q33" i="46"/>
  <c r="Q32" i="46"/>
  <c r="Q40" i="46"/>
  <c r="T14" i="46"/>
  <c r="T15" i="46"/>
  <c r="Q14" i="46"/>
  <c r="Q7" i="46"/>
  <c r="Q15" i="46"/>
  <c r="Q66" i="46"/>
  <c r="T66" i="46"/>
  <c r="Q104" i="46"/>
  <c r="Q105" i="46"/>
  <c r="T65" i="46"/>
  <c r="Q65" i="46"/>
  <c r="T7" i="46"/>
  <c r="T152" i="46"/>
  <c r="Q158" i="46"/>
  <c r="T109" i="46"/>
  <c r="Q62" i="46"/>
  <c r="T62" i="46"/>
  <c r="Q108" i="46"/>
  <c r="Q5" i="46"/>
  <c r="T5" i="46"/>
  <c r="T150" i="46"/>
  <c r="Q150" i="46"/>
  <c r="T151" i="46"/>
  <c r="Q151" i="46"/>
  <c r="T56" i="46"/>
  <c r="Q56" i="46"/>
  <c r="T11" i="46"/>
  <c r="Q11" i="46"/>
  <c r="T59" i="46"/>
  <c r="Q59" i="46"/>
  <c r="Q8" i="46"/>
  <c r="T8" i="46"/>
  <c r="T4" i="46"/>
  <c r="Q4" i="46"/>
  <c r="T115" i="46"/>
  <c r="Q115" i="46"/>
  <c r="Q155" i="46"/>
  <c r="T155" i="46"/>
  <c r="T55" i="46"/>
  <c r="Q55" i="46"/>
  <c r="T58" i="46"/>
  <c r="Q58" i="46"/>
  <c r="Q116" i="46"/>
  <c r="T116" i="46"/>
  <c r="T36" i="46"/>
  <c r="T54" i="46"/>
  <c r="T114" i="46"/>
  <c r="Q114" i="46"/>
  <c r="T33" i="46"/>
  <c r="T32" i="46"/>
  <c r="T106" i="46"/>
  <c r="Q106" i="46"/>
  <c r="T29" i="46"/>
  <c r="T154" i="46"/>
  <c r="Q154" i="46"/>
  <c r="T126" i="46" l="1"/>
  <c r="T76" i="46"/>
  <c r="T51" i="46"/>
  <c r="U51" i="46"/>
  <c r="T172" i="46"/>
  <c r="U76" i="46"/>
  <c r="U126" i="46"/>
  <c r="T101" i="46"/>
  <c r="U101" i="46"/>
  <c r="U172" i="46"/>
  <c r="T25" i="46"/>
  <c r="L62" i="44" l="1"/>
  <c r="L61" i="44"/>
  <c r="L39" i="44"/>
  <c r="L38" i="44"/>
  <c r="L37" i="44"/>
  <c r="L14" i="44"/>
  <c r="L13" i="44"/>
  <c r="L12" i="44"/>
  <c r="P12" i="44" l="1"/>
  <c r="S12" i="44" s="1"/>
  <c r="M12" i="44"/>
  <c r="N12" i="44"/>
  <c r="M38" i="44"/>
  <c r="N38" i="44"/>
  <c r="P38" i="44"/>
  <c r="S38" i="44" s="1"/>
  <c r="N14" i="44"/>
  <c r="P14" i="44"/>
  <c r="S14" i="44" s="1"/>
  <c r="M14" i="44"/>
  <c r="P60" i="44"/>
  <c r="S60" i="44" s="1"/>
  <c r="M60" i="44"/>
  <c r="N60" i="44"/>
  <c r="M13" i="44"/>
  <c r="N13" i="44"/>
  <c r="P13" i="44"/>
  <c r="S13" i="44" s="1"/>
  <c r="M61" i="44"/>
  <c r="N61" i="44"/>
  <c r="P61" i="44"/>
  <c r="S61" i="44" s="1"/>
  <c r="P37" i="44"/>
  <c r="S37" i="44" s="1"/>
  <c r="M37" i="44"/>
  <c r="N37" i="44"/>
  <c r="M39" i="44"/>
  <c r="P39" i="44"/>
  <c r="S39" i="44" s="1"/>
  <c r="N39" i="44"/>
  <c r="M62" i="44"/>
  <c r="P62" i="44"/>
  <c r="S62" i="44" s="1"/>
  <c r="N62" i="44"/>
  <c r="P36" i="44"/>
  <c r="S36" i="44" s="1"/>
  <c r="M36" i="44"/>
  <c r="N36" i="44"/>
  <c r="O68" i="44" l="1"/>
  <c r="U61" i="44"/>
  <c r="O60" i="44"/>
  <c r="U60" i="44" s="1"/>
  <c r="O59" i="44"/>
  <c r="R51" i="44"/>
  <c r="R52" i="44"/>
  <c r="R53" i="44"/>
  <c r="R54" i="44"/>
  <c r="R55" i="44"/>
  <c r="R56" i="44"/>
  <c r="R57" i="44"/>
  <c r="R58" i="44"/>
  <c r="R59" i="44"/>
  <c r="R60" i="44"/>
  <c r="R61" i="44"/>
  <c r="R62" i="44"/>
  <c r="R63" i="44"/>
  <c r="R64" i="44"/>
  <c r="R65" i="44"/>
  <c r="R66" i="44"/>
  <c r="R67" i="44"/>
  <c r="R68" i="44"/>
  <c r="R26" i="44"/>
  <c r="R27" i="44"/>
  <c r="R28" i="44"/>
  <c r="R29" i="44"/>
  <c r="R30" i="44"/>
  <c r="R31" i="44"/>
  <c r="R32" i="44"/>
  <c r="R33" i="44"/>
  <c r="R34" i="44"/>
  <c r="R35" i="44"/>
  <c r="R36" i="44"/>
  <c r="R37" i="44"/>
  <c r="R38" i="44"/>
  <c r="R39" i="44"/>
  <c r="R40" i="44"/>
  <c r="R41" i="44"/>
  <c r="R42" i="44"/>
  <c r="R43" i="44"/>
  <c r="R44" i="44"/>
  <c r="R45" i="44"/>
  <c r="R25" i="44"/>
  <c r="L59" i="44"/>
  <c r="O34" i="44"/>
  <c r="U34" i="44" s="1"/>
  <c r="L1" i="44"/>
  <c r="O45" i="44"/>
  <c r="U45" i="44" s="1"/>
  <c r="O43" i="44"/>
  <c r="U43" i="44" s="1"/>
  <c r="O38" i="44"/>
  <c r="U38" i="44" s="1"/>
  <c r="O37" i="44"/>
  <c r="U37" i="44" s="1"/>
  <c r="R19" i="44"/>
  <c r="N59" i="44" l="1"/>
  <c r="M59" i="44"/>
  <c r="P59" i="44"/>
  <c r="U59" i="44"/>
  <c r="O67" i="44"/>
  <c r="U67" i="44" s="1"/>
  <c r="U68" i="44"/>
  <c r="O62" i="44"/>
  <c r="Q62" i="44" s="1"/>
  <c r="O35" i="44"/>
  <c r="Q60" i="44"/>
  <c r="T60" i="44"/>
  <c r="T61" i="44"/>
  <c r="Q61" i="44"/>
  <c r="Q66" i="44"/>
  <c r="T66" i="44"/>
  <c r="Q68" i="44"/>
  <c r="T68" i="44"/>
  <c r="Q34" i="44"/>
  <c r="T34" i="44"/>
  <c r="O39" i="44"/>
  <c r="U39" i="44" s="1"/>
  <c r="T38" i="44"/>
  <c r="Q43" i="44"/>
  <c r="T43" i="44"/>
  <c r="Q45" i="44"/>
  <c r="O44" i="44"/>
  <c r="U44" i="44" s="1"/>
  <c r="Q38" i="44"/>
  <c r="T45" i="44"/>
  <c r="T62" i="44" l="1"/>
  <c r="O63" i="44"/>
  <c r="U62" i="44"/>
  <c r="Q35" i="44"/>
  <c r="U35" i="44"/>
  <c r="O64" i="44"/>
  <c r="U64" i="44" s="1"/>
  <c r="O40" i="44"/>
  <c r="Q40" i="44" s="1"/>
  <c r="T35" i="44"/>
  <c r="Q63" i="44"/>
  <c r="T39" i="44"/>
  <c r="O36" i="44"/>
  <c r="U36" i="44" s="1"/>
  <c r="T67" i="44"/>
  <c r="Q67" i="44"/>
  <c r="O41" i="44"/>
  <c r="T37" i="44"/>
  <c r="Q37" i="44"/>
  <c r="Q39" i="44"/>
  <c r="T44" i="44"/>
  <c r="Q44" i="44"/>
  <c r="R20" i="44"/>
  <c r="O20" i="44"/>
  <c r="O18" i="44"/>
  <c r="U18" i="44" s="1"/>
  <c r="O13" i="44"/>
  <c r="U13" i="44" s="1"/>
  <c r="O12" i="44"/>
  <c r="U12" i="44" s="1"/>
  <c r="AG16" i="44"/>
  <c r="BK73" i="44"/>
  <c r="BK72" i="44"/>
  <c r="BK71" i="44"/>
  <c r="BK70" i="44"/>
  <c r="BK69" i="44"/>
  <c r="BK68" i="44"/>
  <c r="BK67" i="44"/>
  <c r="BK66" i="44"/>
  <c r="BK65" i="44"/>
  <c r="R5" i="44"/>
  <c r="R6" i="44"/>
  <c r="R7" i="44"/>
  <c r="R8" i="44"/>
  <c r="R9" i="44"/>
  <c r="R10" i="44"/>
  <c r="R11" i="44"/>
  <c r="R12" i="44"/>
  <c r="R13" i="44"/>
  <c r="R14" i="44"/>
  <c r="R15" i="44"/>
  <c r="R16" i="44"/>
  <c r="R17" i="44"/>
  <c r="R18" i="44"/>
  <c r="Q64" i="44" l="1"/>
  <c r="T64" i="44"/>
  <c r="U63" i="44"/>
  <c r="T63" i="44"/>
  <c r="O19" i="44"/>
  <c r="U19" i="44" s="1"/>
  <c r="U20" i="44"/>
  <c r="T40" i="44"/>
  <c r="U40" i="44"/>
  <c r="Q41" i="44"/>
  <c r="U41" i="44"/>
  <c r="X9" i="44"/>
  <c r="Q20" i="44"/>
  <c r="T41" i="44"/>
  <c r="X13" i="44"/>
  <c r="Q36" i="44"/>
  <c r="T36" i="44"/>
  <c r="X17" i="44"/>
  <c r="Y5" i="44"/>
  <c r="AE16" i="44"/>
  <c r="AE12" i="44"/>
  <c r="AE8" i="44"/>
  <c r="W3" i="44"/>
  <c r="AE15" i="44"/>
  <c r="AE11" i="44"/>
  <c r="AE7" i="44"/>
  <c r="AD15" i="44"/>
  <c r="AD11" i="44"/>
  <c r="AD7" i="44"/>
  <c r="Y3" i="44"/>
  <c r="AC15" i="44"/>
  <c r="AC11" i="44"/>
  <c r="AC7" i="44"/>
  <c r="Z3" i="44"/>
  <c r="AB15" i="44"/>
  <c r="AB11" i="44"/>
  <c r="AB7" i="44"/>
  <c r="W13" i="44"/>
  <c r="AB18" i="44"/>
  <c r="AB14" i="44"/>
  <c r="AB10" i="44"/>
  <c r="AB6" i="44"/>
  <c r="W9" i="44"/>
  <c r="AA18" i="44"/>
  <c r="AA14" i="44"/>
  <c r="AA10" i="44"/>
  <c r="AA6" i="44"/>
  <c r="Z18" i="44"/>
  <c r="Z14" i="44"/>
  <c r="Z10" i="44"/>
  <c r="Y6" i="44"/>
  <c r="X3" i="44"/>
  <c r="Y18" i="44"/>
  <c r="Y14" i="44"/>
  <c r="Y10" i="44"/>
  <c r="X5" i="44"/>
  <c r="W17" i="44"/>
  <c r="Y17" i="44"/>
  <c r="Y13" i="44"/>
  <c r="Y9" i="44"/>
  <c r="AE4" i="44"/>
  <c r="Z6" i="44"/>
  <c r="W5" i="44"/>
  <c r="AA3" i="44"/>
  <c r="X18" i="44"/>
  <c r="AD16" i="44"/>
  <c r="AA15" i="44"/>
  <c r="X14" i="44"/>
  <c r="AD12" i="44"/>
  <c r="AA11" i="44"/>
  <c r="X10" i="44"/>
  <c r="AD8" i="44"/>
  <c r="AA7" i="44"/>
  <c r="X6" i="44"/>
  <c r="AD4" i="44"/>
  <c r="AB3" i="44"/>
  <c r="W18" i="44"/>
  <c r="AC16" i="44"/>
  <c r="Z15" i="44"/>
  <c r="W14" i="44"/>
  <c r="AC12" i="44"/>
  <c r="Z11" i="44"/>
  <c r="W10" i="44"/>
  <c r="AC8" i="44"/>
  <c r="Z7" i="44"/>
  <c r="W6" i="44"/>
  <c r="AC4" i="44"/>
  <c r="AC3" i="44"/>
  <c r="AE17" i="44"/>
  <c r="AB16" i="44"/>
  <c r="Y15" i="44"/>
  <c r="AE13" i="44"/>
  <c r="AB12" i="44"/>
  <c r="Y11" i="44"/>
  <c r="AE9" i="44"/>
  <c r="AB8" i="44"/>
  <c r="Y7" i="44"/>
  <c r="AE5" i="44"/>
  <c r="AB4" i="44"/>
  <c r="AD3" i="44"/>
  <c r="AD17" i="44"/>
  <c r="AA16" i="44"/>
  <c r="X15" i="44"/>
  <c r="AD13" i="44"/>
  <c r="AA12" i="44"/>
  <c r="X11" i="44"/>
  <c r="AD9" i="44"/>
  <c r="AA8" i="44"/>
  <c r="X7" i="44"/>
  <c r="AD5" i="44"/>
  <c r="AA4" i="44"/>
  <c r="AE3" i="44"/>
  <c r="AC17" i="44"/>
  <c r="Z16" i="44"/>
  <c r="W15" i="44"/>
  <c r="AC13" i="44"/>
  <c r="Z12" i="44"/>
  <c r="W11" i="44"/>
  <c r="AC9" i="44"/>
  <c r="Z8" i="44"/>
  <c r="W7" i="44"/>
  <c r="AC5" i="44"/>
  <c r="Z4" i="44"/>
  <c r="AE18" i="44"/>
  <c r="AB17" i="44"/>
  <c r="Y16" i="44"/>
  <c r="AE14" i="44"/>
  <c r="AB13" i="44"/>
  <c r="Y12" i="44"/>
  <c r="AE10" i="44"/>
  <c r="AB9" i="44"/>
  <c r="Y8" i="44"/>
  <c r="AE6" i="44"/>
  <c r="AB5" i="44"/>
  <c r="Y4" i="44"/>
  <c r="AD18" i="44"/>
  <c r="AA17" i="44"/>
  <c r="X16" i="44"/>
  <c r="AD14" i="44"/>
  <c r="AA13" i="44"/>
  <c r="X12" i="44"/>
  <c r="AD10" i="44"/>
  <c r="AA9" i="44"/>
  <c r="X8" i="44"/>
  <c r="AD6" i="44"/>
  <c r="AA5" i="44"/>
  <c r="X4" i="44"/>
  <c r="AC18" i="44"/>
  <c r="Z17" i="44"/>
  <c r="W16" i="44"/>
  <c r="AC14" i="44"/>
  <c r="Z13" i="44"/>
  <c r="W12" i="44"/>
  <c r="AC10" i="44"/>
  <c r="Z9" i="44"/>
  <c r="W8" i="44"/>
  <c r="AC6" i="44"/>
  <c r="Z5" i="44"/>
  <c r="W4" i="44"/>
  <c r="O14" i="44"/>
  <c r="U14" i="44" s="1"/>
  <c r="Q18" i="44"/>
  <c r="T20" i="44"/>
  <c r="T12" i="44"/>
  <c r="Q12" i="44"/>
  <c r="T13" i="44"/>
  <c r="Q13" i="44"/>
  <c r="T18" i="44"/>
  <c r="T19" i="44" l="1"/>
  <c r="Q19" i="44"/>
  <c r="O16" i="44"/>
  <c r="O15" i="44"/>
  <c r="U15" i="44" s="1"/>
  <c r="O53" i="44"/>
  <c r="U53" i="44" s="1"/>
  <c r="O51" i="44"/>
  <c r="U51" i="44" s="1"/>
  <c r="O55" i="44"/>
  <c r="U55" i="44" s="1"/>
  <c r="O56" i="44"/>
  <c r="U56" i="44" s="1"/>
  <c r="O52" i="44"/>
  <c r="U52" i="44" s="1"/>
  <c r="O58" i="44"/>
  <c r="O50" i="44"/>
  <c r="U50" i="44" s="1"/>
  <c r="O54" i="44"/>
  <c r="U54" i="44" s="1"/>
  <c r="O57" i="44"/>
  <c r="U57" i="44" s="1"/>
  <c r="T59" i="44"/>
  <c r="O25" i="44"/>
  <c r="U25" i="44" s="1"/>
  <c r="T14" i="44"/>
  <c r="Q14" i="44"/>
  <c r="O10" i="44"/>
  <c r="U10" i="44" s="1"/>
  <c r="O4" i="44"/>
  <c r="U4" i="44" s="1"/>
  <c r="O3" i="44"/>
  <c r="O31" i="44"/>
  <c r="U31" i="44" s="1"/>
  <c r="O5" i="44"/>
  <c r="O6" i="44"/>
  <c r="U6" i="44" s="1"/>
  <c r="O33" i="44"/>
  <c r="O42" i="44" s="1"/>
  <c r="O7" i="44"/>
  <c r="U7" i="44" s="1"/>
  <c r="O8" i="44"/>
  <c r="U8" i="44" s="1"/>
  <c r="O11" i="44"/>
  <c r="O17" i="44" s="1"/>
  <c r="O9" i="44"/>
  <c r="U9" i="44" s="1"/>
  <c r="O32" i="44"/>
  <c r="U32" i="44" s="1"/>
  <c r="O29" i="44"/>
  <c r="U29" i="44" s="1"/>
  <c r="O26" i="44"/>
  <c r="U26" i="44" s="1"/>
  <c r="O30" i="44"/>
  <c r="U30" i="44" s="1"/>
  <c r="O28" i="44"/>
  <c r="U28" i="44" s="1"/>
  <c r="O27" i="44"/>
  <c r="U27" i="44" s="1"/>
  <c r="U16" i="44" l="1"/>
  <c r="Q16" i="44"/>
  <c r="T16" i="44"/>
  <c r="O65" i="44"/>
  <c r="U65" i="44" s="1"/>
  <c r="U58" i="44"/>
  <c r="T3" i="44"/>
  <c r="U3" i="44"/>
  <c r="Q11" i="44"/>
  <c r="U17" i="44"/>
  <c r="U11" i="44"/>
  <c r="T5" i="44"/>
  <c r="U5" i="44"/>
  <c r="U42" i="44"/>
  <c r="U33" i="44"/>
  <c r="Q58" i="44"/>
  <c r="T58" i="44"/>
  <c r="Q55" i="44"/>
  <c r="T55" i="44"/>
  <c r="T56" i="44"/>
  <c r="Q56" i="44"/>
  <c r="Q53" i="44"/>
  <c r="T53" i="44"/>
  <c r="T57" i="44"/>
  <c r="Q57" i="44"/>
  <c r="Q51" i="44"/>
  <c r="T51" i="44"/>
  <c r="T54" i="44"/>
  <c r="Q54" i="44"/>
  <c r="Q50" i="44"/>
  <c r="T50" i="44"/>
  <c r="T65" i="44"/>
  <c r="Q65" i="44"/>
  <c r="Q52" i="44"/>
  <c r="T52" i="44"/>
  <c r="Q3" i="44"/>
  <c r="T4" i="44"/>
  <c r="T10" i="44"/>
  <c r="Q10" i="44"/>
  <c r="Q5" i="44"/>
  <c r="Q4" i="44"/>
  <c r="T11" i="44"/>
  <c r="T6" i="44"/>
  <c r="Q32" i="44"/>
  <c r="T32" i="44"/>
  <c r="Q33" i="44"/>
  <c r="T33" i="44"/>
  <c r="T29" i="44"/>
  <c r="Q29" i="44"/>
  <c r="T25" i="44"/>
  <c r="Q25" i="44"/>
  <c r="T9" i="44"/>
  <c r="Q7" i="44"/>
  <c r="Q28" i="44"/>
  <c r="T28" i="44"/>
  <c r="Q9" i="44"/>
  <c r="T7" i="44"/>
  <c r="T27" i="44"/>
  <c r="Q27" i="44"/>
  <c r="Q8" i="44"/>
  <c r="Q30" i="44"/>
  <c r="T30" i="44"/>
  <c r="T31" i="44"/>
  <c r="Q31" i="44"/>
  <c r="Q6" i="44"/>
  <c r="T8" i="44"/>
  <c r="Q26" i="44"/>
  <c r="T26" i="44"/>
  <c r="Q15" i="44"/>
  <c r="T15" i="44"/>
  <c r="U47" i="44" l="1"/>
  <c r="U70" i="44"/>
  <c r="U22" i="44"/>
  <c r="T70" i="44"/>
  <c r="T17" i="44"/>
  <c r="T22" i="44" s="1"/>
  <c r="Q17" i="44"/>
  <c r="T42" i="44"/>
  <c r="T47" i="44" s="1"/>
  <c r="Q42" i="44"/>
  <c r="S36" i="42" l="1"/>
  <c r="S35" i="42"/>
  <c r="S34" i="42"/>
  <c r="S33" i="42"/>
  <c r="S32" i="42"/>
  <c r="S31" i="42"/>
  <c r="S30" i="42"/>
  <c r="S27" i="42"/>
  <c r="S26" i="42"/>
  <c r="S25" i="42"/>
  <c r="S24" i="42"/>
  <c r="S23" i="42"/>
  <c r="S22" i="42"/>
  <c r="B17" i="42"/>
  <c r="B15" i="42"/>
  <c r="B13" i="42"/>
  <c r="B11" i="42"/>
  <c r="B9" i="42"/>
  <c r="C5" i="42"/>
  <c r="C3" i="4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A1" authorId="0" shapeId="0" xr:uid="{00000000-0006-0000-0100-000001000000}">
      <text>
        <r>
          <rPr>
            <b/>
            <sz val="10"/>
            <color indexed="8"/>
            <rFont val="Calibri"/>
            <family val="2"/>
            <charset val="238"/>
          </rPr>
          <t>Nazwa produktu</t>
        </r>
      </text>
    </comment>
    <comment ref="B1" authorId="0" shapeId="0" xr:uid="{00000000-0006-0000-0100-000002000000}">
      <text>
        <r>
          <rPr>
            <b/>
            <sz val="10"/>
            <color indexed="8"/>
            <rFont val="Calibri"/>
            <family val="2"/>
            <charset val="238"/>
          </rPr>
          <t>Symbol produktu</t>
        </r>
      </text>
    </comment>
    <comment ref="C1" authorId="0" shapeId="0" xr:uid="{00000000-0006-0000-0100-000003000000}">
      <text>
        <r>
          <rPr>
            <b/>
            <sz val="10"/>
            <color indexed="8"/>
            <rFont val="Calibri"/>
            <family val="2"/>
            <charset val="238"/>
          </rPr>
          <t>Numer katalogowy produktu</t>
        </r>
      </text>
    </comment>
    <comment ref="E1" authorId="0" shapeId="0" xr:uid="{00000000-0006-0000-0100-000004000000}">
      <text>
        <r>
          <rPr>
            <b/>
            <sz val="10"/>
            <color indexed="81"/>
            <rFont val="Calibri"/>
            <family val="2"/>
            <charset val="238"/>
          </rPr>
          <t>Kod EAN13 produktu dla opakowania jednostkowego</t>
        </r>
      </text>
    </comment>
    <comment ref="I1" authorId="0" shapeId="0" xr:uid="{00000000-0006-0000-0100-000005000000}">
      <text>
        <r>
          <rPr>
            <b/>
            <sz val="10"/>
            <color indexed="81"/>
            <rFont val="Calibri"/>
            <family val="2"/>
            <charset val="238"/>
          </rPr>
          <t>Waga netto jednostki miary produktu</t>
        </r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J1" authorId="0" shapeId="0" xr:uid="{00000000-0006-0000-0100-000006000000}">
      <text>
        <r>
          <rPr>
            <b/>
            <sz val="10"/>
            <color indexed="8"/>
            <rFont val="Calibri"/>
            <family val="2"/>
            <charset val="238"/>
          </rPr>
          <t>Jednostka miary produktu</t>
        </r>
      </text>
    </comment>
    <comment ref="K1" authorId="0" shapeId="0" xr:uid="{00000000-0006-0000-0100-000007000000}">
      <text>
        <r>
          <rPr>
            <b/>
            <sz val="10"/>
            <color indexed="8"/>
            <rFont val="Calibri"/>
            <family val="2"/>
            <charset val="238"/>
          </rPr>
          <t>Cena netto produktu za jednostkę miary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200-00000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4" authorId="0" shapeId="0" xr:uid="{00000000-0006-0000-0200-000002000000}">
      <text/>
    </comment>
    <comment ref="L5" authorId="0" shapeId="0" xr:uid="{00000000-0006-0000-0200-000003000000}">
      <text/>
    </comment>
    <comment ref="L6" authorId="0" shapeId="0" xr:uid="{4DCE4807-3996-4FFC-A5E6-C463F9C876E4}">
      <text/>
    </comment>
    <comment ref="L7" authorId="0" shapeId="0" xr:uid="{00000000-0006-0000-0200-000004000000}">
      <text/>
    </comment>
    <comment ref="L8" authorId="0" shapeId="0" xr:uid="{00000000-0006-0000-0200-000005000000}">
      <text/>
    </comment>
    <comment ref="L9" authorId="0" shapeId="0" xr:uid="{47A44219-8933-4CD7-B45F-8B8112C8CF7B}">
      <text/>
    </comment>
    <comment ref="E10" authorId="0" shapeId="0" xr:uid="{00000000-0006-0000-0200-000008000000}">
      <text/>
    </comment>
    <comment ref="L10" authorId="0" shapeId="0" xr:uid="{D348310D-9126-4B67-9B4D-31B3BC1A78D7}">
      <text/>
    </comment>
    <comment ref="E11" authorId="0" shapeId="0" xr:uid="{00000000-0006-0000-0200-00000A000000}">
      <text/>
    </comment>
    <comment ref="L11" authorId="0" shapeId="0" xr:uid="{00000000-0006-0000-0200-000006000000}">
      <text/>
    </comment>
    <comment ref="L12" authorId="0" shapeId="0" xr:uid="{00000000-0006-0000-0200-000007000000}">
      <text/>
    </comment>
    <comment ref="L13" authorId="0" shapeId="0" xr:uid="{00000000-0006-0000-0200-000009000000}">
      <text/>
    </comment>
    <comment ref="L14" authorId="0" shapeId="0" xr:uid="{00000000-0006-0000-0200-00000B000000}">
      <text/>
    </comment>
    <comment ref="L15" authorId="0" shapeId="0" xr:uid="{00000000-0006-0000-0200-00000C000000}">
      <text/>
    </comment>
    <comment ref="L16" authorId="0" shapeId="0" xr:uid="{00000000-0006-0000-0200-00000D000000}">
      <text/>
    </comment>
    <comment ref="L17" authorId="0" shapeId="0" xr:uid="{00000000-0006-0000-0200-00000E000000}">
      <text/>
    </comment>
    <comment ref="L18" authorId="0" shapeId="0" xr:uid="{00000000-0006-0000-0200-00000F000000}">
      <text/>
    </comment>
    <comment ref="L19" authorId="0" shapeId="0" xr:uid="{00000000-0006-0000-0200-000010000000}">
      <text/>
    </comment>
    <comment ref="L20" authorId="0" shapeId="0" xr:uid="{00000000-0006-0000-0200-000011000000}">
      <text/>
    </comment>
    <comment ref="L21" authorId="0" shapeId="0" xr:uid="{00000000-0006-0000-0200-000012000000}">
      <text/>
    </comment>
    <comment ref="L22" authorId="0" shapeId="0" xr:uid="{00000000-0006-0000-0200-000013000000}">
      <text/>
    </comment>
    <comment ref="L23" authorId="0" shapeId="0" xr:uid="{00000000-0006-0000-0200-000014000000}">
      <text/>
    </comment>
    <comment ref="L24" authorId="0" shapeId="0" xr:uid="{00000000-0006-0000-0200-000015000000}">
      <text/>
    </comment>
    <comment ref="L28" authorId="0" shapeId="0" xr:uid="{00000000-0006-0000-0200-00001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9" authorId="0" shapeId="0" xr:uid="{00000000-0006-0000-0200-000017000000}">
      <text/>
    </comment>
    <comment ref="L30" authorId="0" shapeId="0" xr:uid="{00000000-0006-0000-0200-000018000000}">
      <text/>
    </comment>
    <comment ref="L31" authorId="0" shapeId="0" xr:uid="{95E8AD02-B173-49E9-8B20-6931727C7956}">
      <text/>
    </comment>
    <comment ref="L32" authorId="0" shapeId="0" xr:uid="{00000000-0006-0000-0200-000019000000}">
      <text/>
    </comment>
    <comment ref="E33" authorId="0" shapeId="0" xr:uid="{00000000-0006-0000-0200-00001B000000}">
      <text/>
    </comment>
    <comment ref="L33" authorId="0" shapeId="0" xr:uid="{00000000-0006-0000-0200-00001A000000}">
      <text/>
    </comment>
    <comment ref="L34" authorId="0" shapeId="0" xr:uid="{73AE49D4-1A4B-419C-8E63-E39CDA3A7982}">
      <text/>
    </comment>
    <comment ref="E35" authorId="0" shapeId="0" xr:uid="{00000000-0006-0000-0200-00001E000000}">
      <text/>
    </comment>
    <comment ref="L35" authorId="0" shapeId="0" xr:uid="{3016DC1C-4C9A-4D5B-AB81-3E0A26781B81}">
      <text/>
    </comment>
    <comment ref="E36" authorId="0" shapeId="0" xr:uid="{00000000-0006-0000-0200-000020000000}">
      <text/>
    </comment>
    <comment ref="L36" authorId="0" shapeId="0" xr:uid="{00000000-0006-0000-0200-00001C000000}">
      <text/>
    </comment>
    <comment ref="L37" authorId="0" shapeId="0" xr:uid="{00000000-0006-0000-0200-00001D000000}">
      <text/>
    </comment>
    <comment ref="L38" authorId="0" shapeId="0" xr:uid="{6709361A-82B7-467D-BB20-FB392C862F89}">
      <text/>
    </comment>
    <comment ref="L39" authorId="0" shapeId="0" xr:uid="{00000000-0006-0000-0200-000021000000}">
      <text/>
    </comment>
    <comment ref="L40" authorId="0" shapeId="0" xr:uid="{6F29A7E6-D3C3-4F84-9EFD-C7186D4926A4}">
      <text/>
    </comment>
    <comment ref="L41" authorId="0" shapeId="0" xr:uid="{00000000-0006-0000-0200-000023000000}">
      <text/>
    </comment>
    <comment ref="L42" authorId="0" shapeId="0" xr:uid="{00000000-0006-0000-0200-000024000000}">
      <text/>
    </comment>
    <comment ref="L43" authorId="0" shapeId="0" xr:uid="{00000000-0006-0000-0200-000025000000}">
      <text/>
    </comment>
    <comment ref="L44" authorId="0" shapeId="0" xr:uid="{00000000-0006-0000-0200-000026000000}">
      <text/>
    </comment>
    <comment ref="L45" authorId="0" shapeId="0" xr:uid="{1BD47E5F-554F-467C-941E-1FF161241451}">
      <text/>
    </comment>
    <comment ref="L46" authorId="0" shapeId="0" xr:uid="{00000000-0006-0000-0200-000028000000}">
      <text/>
    </comment>
    <comment ref="L47" authorId="0" shapeId="0" xr:uid="{00000000-0006-0000-0200-000029000000}">
      <text/>
    </comment>
    <comment ref="L48" authorId="0" shapeId="0" xr:uid="{00000000-0006-0000-0200-00002A000000}">
      <text/>
    </comment>
    <comment ref="L49" authorId="0" shapeId="0" xr:uid="{00000000-0006-0000-0200-00002B000000}">
      <text/>
    </comment>
    <comment ref="L50" authorId="0" shapeId="0" xr:uid="{00000000-0006-0000-0200-00002C000000}">
      <text/>
    </comment>
    <comment ref="L54" authorId="0" shapeId="0" xr:uid="{00000000-0006-0000-0200-00002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5" authorId="0" shapeId="0" xr:uid="{00000000-0006-0000-0200-00002E000000}">
      <text/>
    </comment>
    <comment ref="L56" authorId="0" shapeId="0" xr:uid="{00000000-0006-0000-0200-00002F000000}">
      <text/>
    </comment>
    <comment ref="L57" authorId="0" shapeId="0" xr:uid="{11C61717-9B3E-4267-89A0-AFBF87675108}">
      <text/>
    </comment>
    <comment ref="L58" authorId="0" shapeId="0" xr:uid="{00000000-0006-0000-0200-000030000000}">
      <text/>
    </comment>
    <comment ref="L59" authorId="0" shapeId="0" xr:uid="{00000000-0006-0000-0200-000031000000}">
      <text/>
    </comment>
    <comment ref="E60" authorId="0" shapeId="0" xr:uid="{00000000-0006-0000-0200-000033000000}">
      <text/>
    </comment>
    <comment ref="L60" authorId="0" shapeId="0" xr:uid="{86EA474A-41FF-4778-9C53-5A232B90828F}">
      <text/>
    </comment>
    <comment ref="E61" authorId="0" shapeId="0" xr:uid="{00000000-0006-0000-0200-000035000000}">
      <text/>
    </comment>
    <comment ref="L61" authorId="0" shapeId="0" xr:uid="{22238679-31E6-43DF-BCE9-1D494E512113}">
      <text/>
    </comment>
    <comment ref="E62" authorId="0" shapeId="0" xr:uid="{00000000-0006-0000-0200-000037000000}">
      <text/>
    </comment>
    <comment ref="L62" authorId="0" shapeId="0" xr:uid="{00000000-0006-0000-0200-000032000000}">
      <text/>
    </comment>
    <comment ref="L63" authorId="0" shapeId="0" xr:uid="{00000000-0006-0000-0200-000034000000}">
      <text/>
    </comment>
    <comment ref="L64" authorId="0" shapeId="0" xr:uid="{00000000-0006-0000-0200-000036000000}">
      <text/>
    </comment>
    <comment ref="L65" authorId="0" shapeId="0" xr:uid="{54F77A67-1C21-4F3E-B636-4BDF68B275E2}">
      <text/>
    </comment>
    <comment ref="L66" authorId="0" shapeId="0" xr:uid="{5B5800EC-E41A-4F86-A67C-647DAF619C68}">
      <text/>
    </comment>
    <comment ref="L67" authorId="0" shapeId="0" xr:uid="{00000000-0006-0000-0200-00003A000000}">
      <text/>
    </comment>
    <comment ref="L68" authorId="0" shapeId="0" xr:uid="{00000000-0006-0000-0200-00003B000000}">
      <text/>
    </comment>
    <comment ref="L69" authorId="0" shapeId="0" xr:uid="{00000000-0006-0000-0200-00003C000000}">
      <text/>
    </comment>
    <comment ref="L70" authorId="0" shapeId="0" xr:uid="{00000000-0006-0000-0200-00003D000000}">
      <text/>
    </comment>
    <comment ref="L71" authorId="0" shapeId="0" xr:uid="{6B4024A1-D56F-41FF-93EF-C0D0CA9F14A4}">
      <text/>
    </comment>
    <comment ref="L72" authorId="0" shapeId="0" xr:uid="{00000000-0006-0000-0200-00003F000000}">
      <text/>
    </comment>
    <comment ref="L73" authorId="0" shapeId="0" xr:uid="{00000000-0006-0000-0200-000040000000}">
      <text/>
    </comment>
    <comment ref="L74" authorId="0" shapeId="0" xr:uid="{00000000-0006-0000-0200-000041000000}">
      <text/>
    </comment>
    <comment ref="L75" authorId="0" shapeId="0" xr:uid="{00000000-0006-0000-0200-000042000000}">
      <text/>
    </comment>
    <comment ref="L79" authorId="0" shapeId="0" xr:uid="{00000000-0006-0000-0200-00004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0" authorId="0" shapeId="0" xr:uid="{00000000-0006-0000-0200-000044000000}">
      <text/>
    </comment>
    <comment ref="L81" authorId="0" shapeId="0" xr:uid="{00000000-0006-0000-0200-000045000000}">
      <text/>
    </comment>
    <comment ref="L82" authorId="0" shapeId="0" xr:uid="{8AE67B86-81BB-4A14-B2F9-5DA936D4E5EA}">
      <text/>
    </comment>
    <comment ref="L83" authorId="0" shapeId="0" xr:uid="{00000000-0006-0000-0200-000046000000}">
      <text/>
    </comment>
    <comment ref="L84" authorId="0" shapeId="0" xr:uid="{00000000-0006-0000-0200-000047000000}">
      <text/>
    </comment>
    <comment ref="E85" authorId="0" shapeId="0" xr:uid="{00000000-0006-0000-0200-000049000000}">
      <text/>
    </comment>
    <comment ref="L85" authorId="0" shapeId="0" xr:uid="{D3AF982D-3502-47E8-80A7-0E0CEF8ECB34}">
      <text/>
    </comment>
    <comment ref="E86" authorId="0" shapeId="0" xr:uid="{00000000-0006-0000-0200-00004B000000}">
      <text/>
    </comment>
    <comment ref="L86" authorId="0" shapeId="0" xr:uid="{83DA3C8D-0831-4666-A70A-CFCF1692789C}">
      <text/>
    </comment>
    <comment ref="L87" authorId="0" shapeId="0" xr:uid="{00000000-0006-0000-0200-000048000000}">
      <text/>
    </comment>
    <comment ref="L88" authorId="0" shapeId="0" xr:uid="{00000000-0006-0000-0200-00004A000000}">
      <text/>
    </comment>
    <comment ref="L89" authorId="0" shapeId="0" xr:uid="{00000000-0006-0000-0200-00004C000000}">
      <text/>
    </comment>
    <comment ref="L90" authorId="0" shapeId="0" xr:uid="{E8EEE82B-168D-417A-94FA-55AA68D8A4FF}">
      <text/>
    </comment>
    <comment ref="L91" authorId="0" shapeId="0" xr:uid="{F9BDD6F8-33AF-4C19-90A2-9E0F4236A58D}">
      <text/>
    </comment>
    <comment ref="L92" authorId="0" shapeId="0" xr:uid="{00000000-0006-0000-0200-00004F000000}">
      <text/>
    </comment>
    <comment ref="L93" authorId="0" shapeId="0" xr:uid="{00000000-0006-0000-0200-000050000000}">
      <text/>
    </comment>
    <comment ref="L94" authorId="0" shapeId="0" xr:uid="{00000000-0006-0000-0200-000051000000}">
      <text/>
    </comment>
    <comment ref="L95" authorId="0" shapeId="0" xr:uid="{00000000-0006-0000-0200-000052000000}">
      <text/>
    </comment>
    <comment ref="L96" authorId="0" shapeId="0" xr:uid="{073F85C9-DBEF-4F9E-B876-2120672C5DFF}">
      <text/>
    </comment>
    <comment ref="L97" authorId="0" shapeId="0" xr:uid="{00000000-0006-0000-0200-000054000000}">
      <text/>
    </comment>
    <comment ref="L98" authorId="0" shapeId="0" xr:uid="{00000000-0006-0000-0200-000055000000}">
      <text/>
    </comment>
    <comment ref="L99" authorId="0" shapeId="0" xr:uid="{00000000-0006-0000-0200-000056000000}">
      <text/>
    </comment>
    <comment ref="L100" authorId="0" shapeId="0" xr:uid="{00000000-0006-0000-0200-000057000000}">
      <text/>
    </comment>
    <comment ref="L104" authorId="0" shapeId="0" xr:uid="{00000000-0006-0000-0200-000058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05" authorId="0" shapeId="0" xr:uid="{00000000-0006-0000-0200-000059000000}">
      <text/>
    </comment>
    <comment ref="L106" authorId="0" shapeId="0" xr:uid="{00000000-0006-0000-0200-00005A000000}">
      <text/>
    </comment>
    <comment ref="L107" authorId="0" shapeId="0" xr:uid="{E1B71D69-ED66-49DF-9F20-7157098B5691}">
      <text/>
    </comment>
    <comment ref="L108" authorId="0" shapeId="0" xr:uid="{00000000-0006-0000-0200-00005B000000}">
      <text/>
    </comment>
    <comment ref="L109" authorId="0" shapeId="0" xr:uid="{00000000-0006-0000-0200-00005C000000}">
      <text/>
    </comment>
    <comment ref="E110" authorId="0" shapeId="0" xr:uid="{00000000-0006-0000-0200-00005E000000}">
      <text/>
    </comment>
    <comment ref="L110" authorId="0" shapeId="0" xr:uid="{2C0BFF8E-D5BE-4611-A722-C6561137C7C6}">
      <text/>
    </comment>
    <comment ref="E111" authorId="0" shapeId="0" xr:uid="{00000000-0006-0000-0200-000060000000}">
      <text/>
    </comment>
    <comment ref="L111" authorId="0" shapeId="0" xr:uid="{C1BE3FE7-BF9D-4468-9C90-3C02103CB3D6}">
      <text/>
    </comment>
    <comment ref="E112" authorId="0" shapeId="0" xr:uid="{00000000-0006-0000-0200-000062000000}">
      <text/>
    </comment>
    <comment ref="L112" authorId="0" shapeId="0" xr:uid="{00000000-0006-0000-0200-00005D000000}">
      <text/>
    </comment>
    <comment ref="L113" authorId="0" shapeId="0" xr:uid="{00000000-0006-0000-0200-00005F000000}">
      <text/>
    </comment>
    <comment ref="L114" authorId="0" shapeId="0" xr:uid="{00000000-0006-0000-0200-000061000000}">
      <text/>
    </comment>
    <comment ref="L115" authorId="0" shapeId="0" xr:uid="{77084C94-120E-449A-8A3F-5237339A0BA9}">
      <text/>
    </comment>
    <comment ref="L116" authorId="0" shapeId="0" xr:uid="{05950C87-3060-4D69-AF43-5780E0D5C97A}">
      <text/>
    </comment>
    <comment ref="L117" authorId="0" shapeId="0" xr:uid="{00000000-0006-0000-0200-000065000000}">
      <text/>
    </comment>
    <comment ref="L118" authorId="0" shapeId="0" xr:uid="{00000000-0006-0000-0200-000066000000}">
      <text/>
    </comment>
    <comment ref="L119" authorId="0" shapeId="0" xr:uid="{00000000-0006-0000-0200-000067000000}">
      <text/>
    </comment>
    <comment ref="L120" authorId="0" shapeId="0" xr:uid="{00000000-0006-0000-0200-000068000000}">
      <text/>
    </comment>
    <comment ref="L121" authorId="0" shapeId="0" xr:uid="{25BC8459-894F-45FD-ADC0-AB4EDA11B3E4}">
      <text/>
    </comment>
    <comment ref="L122" authorId="0" shapeId="0" xr:uid="{00000000-0006-0000-0200-00006A000000}">
      <text/>
    </comment>
    <comment ref="L123" authorId="0" shapeId="0" xr:uid="{00000000-0006-0000-0200-00006B000000}">
      <text/>
    </comment>
    <comment ref="L124" authorId="0" shapeId="0" xr:uid="{00000000-0006-0000-0200-00006C000000}">
      <text/>
    </comment>
    <comment ref="L125" authorId="0" shapeId="0" xr:uid="{00000000-0006-0000-0200-00006D000000}">
      <text/>
    </comment>
    <comment ref="L129" authorId="0" shapeId="0" xr:uid="{00000000-0006-0000-0200-00006E000000}">
      <text/>
    </comment>
    <comment ref="E130" authorId="0" shapeId="0" xr:uid="{00000000-0006-0000-0200-00006F000000}">
      <text/>
    </comment>
    <comment ref="L130" authorId="0" shapeId="0" xr:uid="{00000000-0006-0000-0200-000070000000}">
      <text/>
    </comment>
    <comment ref="L131" authorId="0" shapeId="0" xr:uid="{00000000-0006-0000-0200-000071000000}">
      <text/>
    </comment>
    <comment ref="L132" authorId="0" shapeId="0" xr:uid="{00000000-0006-0000-0200-000072000000}">
      <text/>
    </comment>
    <comment ref="L133" authorId="0" shapeId="0" xr:uid="{00000000-0006-0000-0200-000073000000}">
      <text/>
    </comment>
    <comment ref="L134" authorId="0" shapeId="0" xr:uid="{00000000-0006-0000-0200-000074000000}">
      <text/>
    </comment>
    <comment ref="E135" authorId="0" shapeId="0" xr:uid="{00000000-0006-0000-0200-000075000000}">
      <text/>
    </comment>
    <comment ref="L135" authorId="0" shapeId="0" xr:uid="{B8BAEDD6-3D13-4BD7-8854-7E1403BE1A79}">
      <text/>
    </comment>
    <comment ref="L136" authorId="0" shapeId="0" xr:uid="{00000000-0006-0000-0200-000077000000}">
      <text/>
    </comment>
    <comment ref="L137" authorId="0" shapeId="0" xr:uid="{00000000-0006-0000-0200-000078000000}">
      <text/>
    </comment>
    <comment ref="L138" authorId="0" shapeId="0" xr:uid="{00000000-0006-0000-0200-000079000000}">
      <text/>
    </comment>
    <comment ref="L150" authorId="0" shapeId="0" xr:uid="{00000000-0006-0000-0200-00007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51" authorId="0" shapeId="0" xr:uid="{00000000-0006-0000-0200-00007B000000}">
      <text/>
    </comment>
    <comment ref="L152" authorId="0" shapeId="0" xr:uid="{00000000-0006-0000-0200-00007C000000}">
      <text/>
    </comment>
    <comment ref="L153" authorId="0" shapeId="0" xr:uid="{B31BE97D-1E98-4D07-B34A-9888DAA3A7FC}">
      <text/>
    </comment>
    <comment ref="L154" authorId="0" shapeId="0" xr:uid="{00000000-0006-0000-0200-00007D000000}">
      <text/>
    </comment>
    <comment ref="L155" authorId="0" shapeId="0" xr:uid="{00000000-0006-0000-0200-00007E000000}">
      <text/>
    </comment>
    <comment ref="E156" authorId="0" shapeId="0" xr:uid="{00000000-0006-0000-0200-000080000000}">
      <text/>
    </comment>
    <comment ref="L156" authorId="0" shapeId="0" xr:uid="{558D2456-F865-41E5-85F3-97A1799E316A}">
      <text/>
    </comment>
    <comment ref="E157" authorId="0" shapeId="0" xr:uid="{00000000-0006-0000-0200-000082000000}">
      <text/>
    </comment>
    <comment ref="L157" authorId="0" shapeId="0" xr:uid="{00102271-C67D-494E-BC3D-2F7F67DC4AFC}">
      <text/>
    </comment>
    <comment ref="L158" authorId="0" shapeId="0" xr:uid="{00000000-0006-0000-0200-00007F000000}">
      <text/>
    </comment>
    <comment ref="L159" authorId="0" shapeId="0" xr:uid="{00000000-0006-0000-0200-000081000000}">
      <text/>
    </comment>
    <comment ref="L160" authorId="0" shapeId="0" xr:uid="{00000000-0006-0000-0200-000083000000}">
      <text/>
    </comment>
    <comment ref="L161" authorId="0" shapeId="0" xr:uid="{73E9B2A1-53CE-4CF1-9393-D00D200B3373}">
      <text/>
    </comment>
    <comment ref="L162" authorId="0" shapeId="0" xr:uid="{2C1E8560-A1EA-4D85-83A3-19A01616B342}">
      <text/>
    </comment>
    <comment ref="L163" authorId="0" shapeId="0" xr:uid="{00000000-0006-0000-0200-000086000000}">
      <text/>
    </comment>
    <comment ref="L164" authorId="0" shapeId="0" xr:uid="{00000000-0006-0000-0200-000087000000}">
      <text/>
    </comment>
    <comment ref="L165" authorId="0" shapeId="0" xr:uid="{00000000-0006-0000-0200-000088000000}">
      <text/>
    </comment>
    <comment ref="L166" authorId="0" shapeId="0" xr:uid="{00000000-0006-0000-0200-000089000000}">
      <text/>
    </comment>
    <comment ref="L167" authorId="0" shapeId="0" xr:uid="{4D3E7182-1E8F-4B11-BD5E-FDE0C40B3C67}">
      <text/>
    </comment>
    <comment ref="L169" authorId="0" shapeId="0" xr:uid="{00000000-0006-0000-0200-00008B000000}">
      <text/>
    </comment>
    <comment ref="L170" authorId="0" shapeId="0" xr:uid="{00000000-0006-0000-0200-00008C000000}">
      <text/>
    </comment>
    <comment ref="L171" authorId="0" shapeId="0" xr:uid="{00000000-0006-0000-0200-00008D000000}">
      <text/>
    </comment>
    <comment ref="L175" authorId="0" shapeId="0" xr:uid="{00000000-0006-0000-0200-00008E000000}">
      <text/>
    </comment>
    <comment ref="L176" authorId="0" shapeId="0" xr:uid="{00000000-0006-0000-0200-00008F000000}">
      <text/>
    </comment>
    <comment ref="L177" authorId="0" shapeId="0" xr:uid="{00000000-0006-0000-0200-000090000000}">
      <text/>
    </comment>
    <comment ref="L178" authorId="0" shapeId="0" xr:uid="{00000000-0006-0000-0200-000091000000}">
      <text/>
    </comment>
    <comment ref="L179" authorId="0" shapeId="0" xr:uid="{00000000-0006-0000-0200-000092000000}">
      <text/>
    </comment>
    <comment ref="E180" authorId="0" shapeId="0" xr:uid="{00000000-0006-0000-0200-000093000000}">
      <text/>
    </comment>
    <comment ref="L180" authorId="0" shapeId="0" xr:uid="{00000000-0006-0000-0200-000094000000}">
      <text/>
    </comment>
    <comment ref="L181" authorId="0" shapeId="0" xr:uid="{00000000-0006-0000-0200-000095000000}">
      <text/>
    </comment>
    <comment ref="L182" authorId="0" shapeId="0" xr:uid="{00000000-0006-0000-0200-000096000000}">
      <text/>
    </comment>
    <comment ref="L183" authorId="0" shapeId="0" xr:uid="{00000000-0006-0000-0200-000097000000}">
      <text/>
    </comment>
    <comment ref="L184" authorId="0" shapeId="0" xr:uid="{C24657D7-D3FE-4ECA-86D2-27902F898B43}">
      <text/>
    </comment>
    <comment ref="L185" authorId="0" shapeId="0" xr:uid="{00000000-0006-0000-0200-000099000000}">
      <text/>
    </comment>
    <comment ref="L186" authorId="0" shapeId="0" xr:uid="{00000000-0006-0000-0200-00009A000000}">
      <text/>
    </comment>
    <comment ref="L187" authorId="0" shapeId="0" xr:uid="{00000000-0006-0000-0200-00009B000000}">
      <text/>
    </comment>
    <comment ref="L188" authorId="0" shapeId="0" xr:uid="{00000000-0006-0000-0200-00009C000000}">
      <text/>
    </comment>
    <comment ref="L189" authorId="0" shapeId="0" xr:uid="{00000000-0006-0000-0200-00009D000000}">
      <text/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10" authorId="0" shapeId="0" xr:uid="{781D51D5-26E0-48E9-9799-C546F22C52A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" authorId="0" shapeId="0" xr:uid="{80B4FDA8-AD85-4E11-BF63-A77450FB74FD}">
      <text/>
    </comment>
    <comment ref="L34" authorId="0" shapeId="0" xr:uid="{0D3D9DE7-ECAD-475E-9443-C7D22FC056A7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5" authorId="0" shapeId="0" xr:uid="{D7F80ADF-AFFB-4308-AB9F-5B0AF8BDF264}">
      <text/>
    </comment>
    <comment ref="L61" authorId="0" shapeId="0" xr:uid="{F0C38B35-25C7-4EC6-89FF-C2B4FF59EEA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62" authorId="0" shapeId="0" xr:uid="{E0F8441C-A743-4008-875D-3A6902AC861C}">
      <text/>
    </comment>
    <comment ref="L86" authorId="0" shapeId="0" xr:uid="{9D2FF667-040B-4964-B6C9-832E1434A12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7" authorId="0" shapeId="0" xr:uid="{1EE184E5-6F8A-4124-8A4A-D9BC38C20443}">
      <text/>
    </comment>
    <comment ref="L105" authorId="0" shapeId="0" xr:uid="{00000000-0006-0000-0300-000001000000}">
      <text/>
    </comment>
    <comment ref="L106" authorId="0" shapeId="0" xr:uid="{00000000-0006-0000-0300-000002000000}">
      <text/>
    </comment>
    <comment ref="L107" authorId="0" shapeId="0" xr:uid="{00000000-0006-0000-0300-000003000000}">
      <text/>
    </comment>
    <comment ref="E108" authorId="0" shapeId="0" xr:uid="{00000000-0006-0000-0300-000004000000}">
      <text/>
    </comment>
    <comment ref="L108" authorId="0" shapeId="0" xr:uid="{00000000-0006-0000-0300-000005000000}">
      <text/>
    </comment>
    <comment ref="L109" authorId="0" shapeId="0" xr:uid="{00000000-0006-0000-0300-000006000000}">
      <text/>
    </comment>
    <comment ref="L110" authorId="0" shapeId="0" xr:uid="{00000000-0006-0000-0300-000007000000}">
      <text/>
    </comment>
    <comment ref="E111" authorId="0" shapeId="0" xr:uid="{00000000-0006-0000-0300-000008000000}">
      <text/>
    </comment>
    <comment ref="L111" authorId="0" shapeId="0" xr:uid="{00000000-0006-0000-0300-000009000000}">
      <text/>
    </comment>
    <comment ref="L112" authorId="0" shapeId="0" xr:uid="{00000000-0006-0000-0300-00000A000000}">
      <text/>
    </comment>
    <comment ref="L113" authorId="0" shapeId="0" xr:uid="{00000000-0006-0000-0300-00000B000000}">
      <text/>
    </comment>
    <comment ref="L114" authorId="0" shapeId="0" xr:uid="{47EF2B35-B757-4C3B-B697-C010CB09C435}">
      <text/>
    </comment>
    <comment ref="L115" authorId="0" shapeId="0" xr:uid="{00000000-0006-0000-0300-00000D000000}">
      <text/>
    </comment>
    <comment ref="L116" authorId="0" shapeId="0" xr:uid="{00000000-0006-0000-0300-00000E000000}">
      <text/>
    </comment>
    <comment ref="L117" authorId="0" shapeId="0" xr:uid="{00000000-0006-0000-0300-00000F000000}">
      <text/>
    </comment>
    <comment ref="L118" authorId="0" shapeId="0" xr:uid="{00000000-0006-0000-0300-000010000000}">
      <text/>
    </comment>
    <comment ref="L119" authorId="0" shapeId="0" xr:uid="{00000000-0006-0000-0300-000011000000}">
      <text/>
    </comment>
    <comment ref="L120" authorId="0" shapeId="0" xr:uid="{00000000-0006-0000-0300-000012000000}">
      <text/>
    </comment>
    <comment ref="L121" authorId="0" shapeId="0" xr:uid="{1084D405-9534-4281-AE5F-89E031A860BD}">
      <text/>
    </comment>
    <comment ref="L122" authorId="0" shapeId="0" xr:uid="{00000000-0006-0000-0300-000014000000}">
      <text/>
    </comment>
    <comment ref="L123" authorId="0" shapeId="0" xr:uid="{00000000-0006-0000-0300-000015000000}">
      <text/>
    </comment>
    <comment ref="L124" authorId="0" shapeId="0" xr:uid="{00000000-0006-0000-0300-000016000000}">
      <text/>
    </comment>
    <comment ref="L130" authorId="0" shapeId="0" xr:uid="{00000000-0006-0000-0300-000018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31" authorId="0" shapeId="0" xr:uid="{E6FF6711-BCF1-4F86-B5E6-2C2F8FB6CC4E}">
      <text/>
    </comment>
    <comment ref="E132" authorId="0" shapeId="0" xr:uid="{00000000-0006-0000-0300-00001A000000}">
      <text/>
    </comment>
    <comment ref="L132" authorId="0" shapeId="0" xr:uid="{3240B07F-25DA-4BE1-8139-885DC986459E}">
      <text/>
    </comment>
    <comment ref="L133" authorId="0" shapeId="0" xr:uid="{00000000-0006-0000-0300-00001C000000}">
      <text/>
    </comment>
    <comment ref="L134" authorId="0" shapeId="0" xr:uid="{00000000-0006-0000-0300-00001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E135" authorId="0" shapeId="0" xr:uid="{00000000-0006-0000-0300-00001E000000}">
      <text/>
    </comment>
    <comment ref="L136" authorId="0" shapeId="0" xr:uid="{E24A7BB2-3EDA-4574-A323-011245B736ED}">
      <text/>
    </comment>
    <comment ref="L137" authorId="0" shapeId="0" xr:uid="{00000000-0006-0000-0300-000021000000}">
      <text/>
    </comment>
    <comment ref="L138" authorId="0" shapeId="0" xr:uid="{00000000-0006-0000-0300-000022000000}">
      <text/>
    </comment>
    <comment ref="L139" authorId="0" shapeId="0" xr:uid="{00000000-0006-0000-0300-000023000000}">
      <text/>
    </comment>
    <comment ref="L140" authorId="0" shapeId="0" xr:uid="{00000000-0006-0000-0300-000024000000}">
      <text/>
    </comment>
    <comment ref="L141" authorId="0" shapeId="0" xr:uid="{A659D284-70E4-4BBD-9F30-05092F5B7CCB}">
      <text/>
    </comment>
    <comment ref="L142" authorId="0" shapeId="0" xr:uid="{00000000-0006-0000-0300-000026000000}">
      <text/>
    </comment>
    <comment ref="L143" authorId="0" shapeId="0" xr:uid="{00000000-0006-0000-0300-000027000000}">
      <text/>
    </comment>
    <comment ref="L144" authorId="0" shapeId="0" xr:uid="{00000000-0006-0000-0300-000028000000}">
      <text/>
    </comment>
    <comment ref="L145" authorId="0" shapeId="0" xr:uid="{7A513EB0-F39E-49F4-9A71-154D90E984E2}">
      <text/>
    </comment>
    <comment ref="L146" authorId="0" shapeId="0" xr:uid="{00000000-0006-0000-0300-00002A000000}">
      <text/>
    </comment>
    <comment ref="L147" authorId="0" shapeId="0" xr:uid="{00000000-0006-0000-0300-00002B000000}">
      <text/>
    </comment>
    <comment ref="L148" authorId="0" shapeId="0" xr:uid="{00000000-0006-0000-0300-00002C000000}">
      <text/>
    </comment>
    <comment ref="L152" authorId="0" shapeId="0" xr:uid="{00000000-0006-0000-0300-00002D000000}">
      <text/>
    </comment>
    <comment ref="L153" authorId="0" shapeId="0" xr:uid="{00000000-0006-0000-0300-00002E000000}">
      <text/>
    </comment>
    <comment ref="E154" authorId="0" shapeId="0" xr:uid="{00000000-0006-0000-0300-00002F000000}">
      <text/>
    </comment>
    <comment ref="L154" authorId="0" shapeId="0" xr:uid="{00000000-0006-0000-0300-000030000000}">
      <text/>
    </comment>
    <comment ref="L155" authorId="0" shapeId="0" xr:uid="{00000000-0006-0000-0300-000031000000}">
      <text/>
    </comment>
    <comment ref="L156" authorId="0" shapeId="0" xr:uid="{00000000-0006-0000-0300-000032000000}">
      <text/>
    </comment>
    <comment ref="E157" authorId="0" shapeId="0" xr:uid="{00000000-0006-0000-0300-000033000000}">
      <text/>
    </comment>
    <comment ref="L157" authorId="0" shapeId="0" xr:uid="{00000000-0006-0000-0300-000034000000}">
      <text/>
    </comment>
    <comment ref="L158" authorId="0" shapeId="0" xr:uid="{00000000-0006-0000-0300-000035000000}">
      <text/>
    </comment>
    <comment ref="L159" authorId="0" shapeId="0" xr:uid="{00000000-0006-0000-0300-000036000000}">
      <text/>
    </comment>
    <comment ref="L160" authorId="0" shapeId="0" xr:uid="{00000000-0006-0000-0300-00003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1" authorId="0" shapeId="0" xr:uid="{00000000-0006-0000-0300-000038000000}">
      <text/>
    </comment>
    <comment ref="L162" authorId="0" shapeId="0" xr:uid="{00000000-0006-0000-0300-000039000000}">
      <text/>
    </comment>
    <comment ref="L163" authorId="0" shapeId="0" xr:uid="{00000000-0006-0000-0300-00003A000000}">
      <text/>
    </comment>
    <comment ref="L164" authorId="0" shapeId="0" xr:uid="{00000000-0006-0000-0300-00003B000000}">
      <text/>
    </comment>
    <comment ref="L165" authorId="0" shapeId="0" xr:uid="{00000000-0006-0000-0300-00003C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6" authorId="0" shapeId="0" xr:uid="{00000000-0006-0000-0300-00003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7" authorId="0" shapeId="0" xr:uid="{00000000-0006-0000-0300-00003E000000}">
      <text/>
    </comment>
    <comment ref="L168" authorId="0" shapeId="0" xr:uid="{00000000-0006-0000-0300-00003F000000}">
      <text/>
    </comment>
    <comment ref="L169" authorId="0" shapeId="0" xr:uid="{00000000-0006-0000-0300-000040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0" authorId="0" shapeId="0" xr:uid="{00000000-0006-0000-0300-000041000000}">
      <text/>
    </comment>
    <comment ref="L171" authorId="0" shapeId="0" xr:uid="{00000000-0006-0000-0300-000042000000}">
      <text/>
    </comment>
    <comment ref="L172" authorId="0" shapeId="0" xr:uid="{00000000-0006-0000-0300-000043000000}">
      <text/>
    </comment>
    <comment ref="L173" authorId="0" shapeId="0" xr:uid="{00000000-0006-0000-0300-000044000000}">
      <text/>
    </comment>
    <comment ref="L174" authorId="0" shapeId="0" xr:uid="{00000000-0006-0000-0300-000045000000}">
      <text/>
    </comment>
    <comment ref="L175" authorId="0" shapeId="0" xr:uid="{00000000-0006-0000-0300-000046000000}">
      <text/>
    </comment>
    <comment ref="L179" authorId="0" shapeId="0" xr:uid="{00000000-0006-0000-0300-000047000000}">
      <text/>
    </comment>
    <comment ref="L180" authorId="0" shapeId="0" xr:uid="{00000000-0006-0000-0300-000048000000}">
      <text/>
    </comment>
    <comment ref="L181" authorId="0" shapeId="0" xr:uid="{00000000-0006-0000-0300-000049000000}">
      <text/>
    </comment>
    <comment ref="E182" authorId="0" shapeId="0" xr:uid="{00000000-0006-0000-0300-00004A000000}">
      <text/>
    </comment>
    <comment ref="L182" authorId="0" shapeId="0" xr:uid="{00000000-0006-0000-0300-00004B000000}">
      <text/>
    </comment>
    <comment ref="L183" authorId="0" shapeId="0" xr:uid="{00000000-0006-0000-0300-00004C000000}">
      <text/>
    </comment>
    <comment ref="L184" authorId="0" shapeId="0" xr:uid="{00000000-0006-0000-0300-00004D000000}">
      <text/>
    </comment>
    <comment ref="E185" authorId="0" shapeId="0" xr:uid="{00000000-0006-0000-0300-00004E000000}">
      <text/>
    </comment>
    <comment ref="L185" authorId="0" shapeId="0" xr:uid="{00000000-0006-0000-0300-00004F000000}">
      <text/>
    </comment>
    <comment ref="L186" authorId="0" shapeId="0" xr:uid="{00000000-0006-0000-0300-000050000000}">
      <text/>
    </comment>
    <comment ref="L187" authorId="0" shapeId="0" xr:uid="{00000000-0006-0000-0300-00005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8" authorId="0" shapeId="0" xr:uid="{00000000-0006-0000-0300-000052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9" authorId="0" shapeId="0" xr:uid="{00000000-0006-0000-0300-00005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0" authorId="0" shapeId="0" xr:uid="{00000000-0006-0000-0300-000054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1" authorId="0" shapeId="0" xr:uid="{00000000-0006-0000-0300-000055000000}">
      <text/>
    </comment>
    <comment ref="L192" authorId="0" shapeId="0" xr:uid="{00000000-0006-0000-0300-000056000000}">
      <text/>
    </comment>
    <comment ref="L193" authorId="0" shapeId="0" xr:uid="{00000000-0006-0000-0300-000057000000}">
      <text/>
    </comment>
    <comment ref="L194" authorId="0" shapeId="0" xr:uid="{00000000-0006-0000-0300-000058000000}">
      <text/>
    </comment>
    <comment ref="L195" authorId="0" shapeId="0" xr:uid="{00000000-0006-0000-0300-000059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6" authorId="0" shapeId="0" xr:uid="{00000000-0006-0000-0300-00005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7" authorId="0" shapeId="0" xr:uid="{00000000-0006-0000-0300-00005B000000}">
      <text/>
    </comment>
    <comment ref="L198" authorId="0" shapeId="0" xr:uid="{00000000-0006-0000-0300-00005C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9" authorId="0" shapeId="0" xr:uid="{00000000-0006-0000-0300-00005D000000}">
      <text/>
    </comment>
    <comment ref="L200" authorId="0" shapeId="0" xr:uid="{00000000-0006-0000-0300-00005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1" authorId="0" shapeId="0" xr:uid="{00000000-0006-0000-0300-00005F000000}">
      <text/>
    </comment>
    <comment ref="L202" authorId="0" shapeId="0" xr:uid="{00000000-0006-0000-0300-000060000000}">
      <text/>
    </comment>
    <comment ref="L206" authorId="0" shapeId="0" xr:uid="{00000000-0006-0000-0300-000061000000}">
      <text/>
    </comment>
    <comment ref="E207" authorId="0" shapeId="0" xr:uid="{00000000-0006-0000-0300-000062000000}">
      <text/>
    </comment>
    <comment ref="L207" authorId="0" shapeId="0" xr:uid="{00000000-0006-0000-0300-000063000000}">
      <text/>
    </comment>
    <comment ref="L208" authorId="0" shapeId="0" xr:uid="{00000000-0006-0000-0300-000064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9" authorId="0" shapeId="0" xr:uid="{00000000-0006-0000-0300-000065000000}">
      <text/>
    </comment>
    <comment ref="E210" authorId="0" shapeId="0" xr:uid="{00000000-0006-0000-0300-000066000000}">
      <text/>
    </comment>
    <comment ref="L210" authorId="0" shapeId="0" xr:uid="{00000000-0006-0000-0300-000067000000}">
      <text/>
    </comment>
    <comment ref="L211" authorId="0" shapeId="0" xr:uid="{00000000-0006-0000-0300-000068000000}">
      <text/>
    </comment>
    <comment ref="L212" authorId="0" shapeId="0" xr:uid="{00000000-0006-0000-0300-000069000000}">
      <text/>
    </comment>
    <comment ref="L213" authorId="0" shapeId="0" xr:uid="{00000000-0006-0000-0300-00006A000000}">
      <text/>
    </comment>
    <comment ref="L214" authorId="0" shapeId="0" xr:uid="{00000000-0006-0000-0300-00006B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5" authorId="0" shapeId="0" xr:uid="{00000000-0006-0000-0300-00006C000000}">
      <text/>
    </comment>
    <comment ref="L216" authorId="0" shapeId="0" xr:uid="{00000000-0006-0000-0300-00006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7" authorId="0" shapeId="0" xr:uid="{00000000-0006-0000-0300-00006E000000}">
      <text/>
    </comment>
    <comment ref="L218" authorId="0" shapeId="0" xr:uid="{74FB1F4A-D043-4D2B-8717-6B3F9A45E3CD}">
      <text/>
    </comment>
    <comment ref="L219" authorId="0" shapeId="0" xr:uid="{00000000-0006-0000-0300-000071000000}">
      <text/>
    </comment>
    <comment ref="L220" authorId="0" shapeId="0" xr:uid="{00000000-0006-0000-0300-000072000000}">
      <text/>
    </comment>
    <comment ref="L221" authorId="0" shapeId="0" xr:uid="{00000000-0006-0000-0300-00007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2" authorId="0" shapeId="0" xr:uid="{00000000-0006-0000-0300-000074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3" authorId="0" shapeId="0" xr:uid="{FC3B82A7-8B1F-4F72-8F89-DD57CC996EC1}">
      <text/>
    </comment>
    <comment ref="L224" authorId="0" shapeId="0" xr:uid="{00000000-0006-0000-0300-000076000000}">
      <text/>
    </comment>
    <comment ref="L225" authorId="0" shapeId="0" xr:uid="{00000000-0006-0000-0300-000077000000}">
      <text/>
    </comment>
    <comment ref="L226" authorId="0" shapeId="0" xr:uid="{00000000-0006-0000-0300-000078000000}">
      <text/>
    </comment>
    <comment ref="L227" authorId="0" shapeId="0" xr:uid="{00000000-0006-0000-0300-000079000000}">
      <text/>
    </comment>
    <comment ref="L233" authorId="0" shapeId="0" xr:uid="{00000000-0006-0000-0300-00007B000000}">
      <text/>
    </comment>
    <comment ref="E234" authorId="0" shapeId="0" xr:uid="{00000000-0006-0000-0300-00007C000000}">
      <text/>
    </comment>
    <comment ref="L234" authorId="0" shapeId="0" xr:uid="{00000000-0006-0000-0300-00007D000000}">
      <text/>
    </comment>
    <comment ref="L235" authorId="0" shapeId="0" xr:uid="{00000000-0006-0000-0300-00007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6" authorId="0" shapeId="0" xr:uid="{B589A3BF-968F-4198-9C3F-DAC503A66877}">
      <text/>
    </comment>
    <comment ref="E237" authorId="0" shapeId="0" xr:uid="{00000000-0006-0000-0300-000080000000}">
      <text/>
    </comment>
    <comment ref="L237" authorId="0" shapeId="0" xr:uid="{00000000-0006-0000-0300-000081000000}">
      <text/>
    </comment>
    <comment ref="L238" authorId="0" shapeId="0" xr:uid="{00000000-0006-0000-0300-000082000000}">
      <text/>
    </comment>
    <comment ref="L239" authorId="0" shapeId="0" xr:uid="{00000000-0006-0000-0300-000083000000}">
      <text/>
    </comment>
    <comment ref="L240" authorId="0" shapeId="0" xr:uid="{00000000-0006-0000-0300-000084000000}">
      <text/>
    </comment>
    <comment ref="L241" authorId="0" shapeId="0" xr:uid="{00000000-0006-0000-0300-000085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2" authorId="0" shapeId="0" xr:uid="{00000000-0006-0000-0300-000086000000}">
      <text/>
    </comment>
    <comment ref="L243" authorId="0" shapeId="0" xr:uid="{00000000-0006-0000-0300-00008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4" authorId="0" shapeId="0" xr:uid="{00000000-0006-0000-0300-000088000000}">
      <text/>
    </comment>
    <comment ref="L245" authorId="0" shapeId="0" xr:uid="{442F59E8-2CF9-49FF-BC29-121041353FCB}">
      <text/>
    </comment>
    <comment ref="L246" authorId="0" shapeId="0" xr:uid="{00000000-0006-0000-0300-00008A000000}">
      <text/>
    </comment>
    <comment ref="L247" authorId="0" shapeId="0" xr:uid="{00000000-0006-0000-0300-00008B000000}">
      <text/>
    </comment>
    <comment ref="L248" authorId="0" shapeId="0" xr:uid="{00000000-0006-0000-0300-00008C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9" authorId="0" shapeId="0" xr:uid="{00000000-0006-0000-0300-00008D000000}">
      <text/>
    </comment>
    <comment ref="L250" authorId="0" shapeId="0" xr:uid="{00000000-0006-0000-0300-00008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51" authorId="0" shapeId="0" xr:uid="{C3784AB9-51BB-47AA-A1F3-12124AE1D06D}">
      <text/>
    </comment>
    <comment ref="L252" authorId="0" shapeId="0" xr:uid="{00000000-0006-0000-0300-000090000000}">
      <text/>
    </comment>
    <comment ref="L253" authorId="0" shapeId="0" xr:uid="{00000000-0006-0000-0300-000091000000}">
      <text/>
    </comment>
    <comment ref="L254" authorId="0" shapeId="0" xr:uid="{00000000-0006-0000-0300-000092000000}">
      <text/>
    </comment>
    <comment ref="L255" authorId="0" shapeId="0" xr:uid="{00000000-0006-0000-0300-00009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61" authorId="0" shapeId="0" xr:uid="{F8B64626-239B-48B6-92DD-0C06C6795A5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62" authorId="0" shapeId="0" xr:uid="{23ED50C6-028A-470E-AFC6-843DCE5CAC2B}">
      <text/>
    </comment>
    <comment ref="L86" authorId="0" shapeId="0" xr:uid="{596A5B93-945F-41F6-8405-F18150B1BF4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7" authorId="0" shapeId="0" xr:uid="{655AF480-7304-422A-9F21-55C91574BC55}">
      <text/>
    </comment>
    <comment ref="L105" authorId="0" shapeId="0" xr:uid="{BFB573FD-571B-448A-90F8-5ECF595B3811}">
      <text/>
    </comment>
    <comment ref="L106" authorId="0" shapeId="0" xr:uid="{246762DA-0FA8-4C86-A0B9-81FD517CD57F}">
      <text/>
    </comment>
    <comment ref="L107" authorId="0" shapeId="0" xr:uid="{C46B1D13-E5F1-4930-A2CC-4880BF70B09D}">
      <text/>
    </comment>
    <comment ref="E108" authorId="0" shapeId="0" xr:uid="{8F60261C-73AC-4DB0-9699-F0104F503A3C}">
      <text/>
    </comment>
    <comment ref="L108" authorId="0" shapeId="0" xr:uid="{E640A63C-B6CD-4E76-B567-2F0F3A975673}">
      <text/>
    </comment>
    <comment ref="L109" authorId="0" shapeId="0" xr:uid="{09CFCAD7-117C-40A4-94AD-5ACDA9D82040}">
      <text/>
    </comment>
    <comment ref="L110" authorId="0" shapeId="0" xr:uid="{25BE9CB7-042D-4C01-9B7D-814E1C46F11F}">
      <text/>
    </comment>
    <comment ref="E111" authorId="0" shapeId="0" xr:uid="{9FE33774-D103-48F1-BD30-893CAE95AA6B}">
      <text/>
    </comment>
    <comment ref="L111" authorId="0" shapeId="0" xr:uid="{076E1D3B-9BDB-40F8-82F7-42CDD6EC57FF}">
      <text/>
    </comment>
    <comment ref="L112" authorId="0" shapeId="0" xr:uid="{C993ABDF-D000-42D8-A43F-63DC00B92280}">
      <text/>
    </comment>
    <comment ref="L113" authorId="0" shapeId="0" xr:uid="{8A77D2C9-32BA-405B-8230-5CC67CCBEC6E}">
      <text/>
    </comment>
    <comment ref="L114" authorId="0" shapeId="0" xr:uid="{D6553A5D-0C67-4213-B291-68C8EE1103DF}">
      <text/>
    </comment>
    <comment ref="L115" authorId="0" shapeId="0" xr:uid="{6ABA61DE-ADE1-4882-8CC7-A1EA63EFF60D}">
      <text/>
    </comment>
    <comment ref="L116" authorId="0" shapeId="0" xr:uid="{5CB3EA21-31BD-4165-BB9C-93A38B713477}">
      <text/>
    </comment>
    <comment ref="L117" authorId="0" shapeId="0" xr:uid="{63050712-B95C-4D87-A478-A688BDF918C2}">
      <text/>
    </comment>
    <comment ref="L118" authorId="0" shapeId="0" xr:uid="{81BDA2EC-5889-479B-841A-DE04E9EE0A6E}">
      <text/>
    </comment>
    <comment ref="L119" authorId="0" shapeId="0" xr:uid="{B1F47189-F2E0-426C-B051-365239EAD4AF}">
      <text/>
    </comment>
    <comment ref="L120" authorId="0" shapeId="0" xr:uid="{877F77B4-0B7D-46AD-ADBD-0BAF6BA15F3B}">
      <text/>
    </comment>
    <comment ref="L121" authorId="0" shapeId="0" xr:uid="{FE99A3F8-4D4D-4B0B-8793-630410D4042A}">
      <text/>
    </comment>
    <comment ref="L122" authorId="0" shapeId="0" xr:uid="{A7CA5D8A-28FF-4A7E-8490-A036904E4597}">
      <text/>
    </comment>
    <comment ref="L123" authorId="0" shapeId="0" xr:uid="{7F62612E-3D3F-42CF-A9A1-7E87071BBC8F}">
      <text/>
    </comment>
    <comment ref="L124" authorId="0" shapeId="0" xr:uid="{7F21385C-08F7-4E7D-B806-E2F1B834B497}">
      <text/>
    </comment>
    <comment ref="L130" authorId="0" shapeId="0" xr:uid="{F9A5FE00-91B9-4995-80E9-C2C77DE7B68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31" authorId="0" shapeId="0" xr:uid="{40247603-1847-4EBB-B98A-6C33C12B311F}">
      <text/>
    </comment>
    <comment ref="E132" authorId="0" shapeId="0" xr:uid="{EBC23E01-22B5-4E8F-9A19-2855979F7C95}">
      <text/>
    </comment>
    <comment ref="L132" authorId="0" shapeId="0" xr:uid="{4A37AF7B-CD34-4E60-B394-2D5E3A55C978}">
      <text/>
    </comment>
    <comment ref="L133" authorId="0" shapeId="0" xr:uid="{C4C577DF-C7FF-42AD-89D2-E8D63D9E63B9}">
      <text/>
    </comment>
    <comment ref="L134" authorId="0" shapeId="0" xr:uid="{C99666B9-ACB3-4EC9-9FEE-51F9679D0C0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E135" authorId="0" shapeId="0" xr:uid="{9367DF9B-4F6C-482B-A694-46FC444FF4F7}">
      <text/>
    </comment>
    <comment ref="L136" authorId="0" shapeId="0" xr:uid="{D9523D18-9042-4D17-902F-88C74A693949}">
      <text/>
    </comment>
    <comment ref="L137" authorId="0" shapeId="0" xr:uid="{F388F65B-2B59-4AFF-98F7-67C428C5929C}">
      <text/>
    </comment>
    <comment ref="L138" authorId="0" shapeId="0" xr:uid="{960B9A6A-6FE9-4DD8-BDAC-29D2A0DDF8A0}">
      <text/>
    </comment>
    <comment ref="L139" authorId="0" shapeId="0" xr:uid="{0E4AA67C-76E6-4759-9899-B31AC9F5CDC9}">
      <text/>
    </comment>
    <comment ref="L140" authorId="0" shapeId="0" xr:uid="{AE9CDB08-B1EE-4EC4-A938-F6CFE00D2633}">
      <text/>
    </comment>
    <comment ref="L141" authorId="0" shapeId="0" xr:uid="{E5A36244-CFF6-45FF-A911-031C02BB0E88}">
      <text/>
    </comment>
    <comment ref="L142" authorId="0" shapeId="0" xr:uid="{25663AD7-9850-49BA-856A-7B2BCEB15674}">
      <text/>
    </comment>
    <comment ref="L143" authorId="0" shapeId="0" xr:uid="{3FB37696-8324-4D1A-AC73-553C9D39EDDA}">
      <text/>
    </comment>
    <comment ref="L144" authorId="0" shapeId="0" xr:uid="{F4B4EDD7-C580-4F5D-9060-4BBAA924751D}">
      <text/>
    </comment>
    <comment ref="L145" authorId="0" shapeId="0" xr:uid="{01EAEBEA-1516-4EB6-8B0F-4ACBB5263920}">
      <text/>
    </comment>
    <comment ref="L146" authorId="0" shapeId="0" xr:uid="{8B56E5A9-C104-4D49-B88B-CA1EFBBC36F5}">
      <text/>
    </comment>
    <comment ref="L147" authorId="0" shapeId="0" xr:uid="{3E37D493-9A98-4744-BCC8-6176428203A3}">
      <text/>
    </comment>
    <comment ref="L148" authorId="0" shapeId="0" xr:uid="{3973CCD5-C9BA-4E35-9B2D-BDE1A9FF5BAB}">
      <text/>
    </comment>
    <comment ref="L152" authorId="0" shapeId="0" xr:uid="{8555DF8D-ADEC-4DC5-9E67-ECA280E40BCF}">
      <text/>
    </comment>
    <comment ref="L153" authorId="0" shapeId="0" xr:uid="{80BBB19B-BF03-4899-9E27-4B821195C87C}">
      <text/>
    </comment>
    <comment ref="E154" authorId="0" shapeId="0" xr:uid="{20291465-84B4-4595-A14E-A3F0EAEF0F72}">
      <text/>
    </comment>
    <comment ref="L154" authorId="0" shapeId="0" xr:uid="{3547C46F-35D6-4358-9530-F08A35DF111E}">
      <text/>
    </comment>
    <comment ref="L155" authorId="0" shapeId="0" xr:uid="{9B680E24-2765-4F80-A98E-1649E38E7C8A}">
      <text/>
    </comment>
    <comment ref="L156" authorId="0" shapeId="0" xr:uid="{DC6CE081-F530-40E0-8589-4AF1EEBC7ABB}">
      <text/>
    </comment>
    <comment ref="E157" authorId="0" shapeId="0" xr:uid="{60A76705-33BF-44ED-B1B9-F25BCE9D9E5A}">
      <text/>
    </comment>
    <comment ref="L157" authorId="0" shapeId="0" xr:uid="{CD96659C-7373-48AC-B78D-C465537322B8}">
      <text/>
    </comment>
    <comment ref="L158" authorId="0" shapeId="0" xr:uid="{AE36189C-BB0B-45C7-97FC-FB3D27BC3991}">
      <text/>
    </comment>
    <comment ref="L159" authorId="0" shapeId="0" xr:uid="{48044D0D-FACF-44E8-8FFB-0915D1A90594}">
      <text/>
    </comment>
    <comment ref="L160" authorId="0" shapeId="0" xr:uid="{698875D3-1A67-479A-AB15-1BE80B69D5C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1" authorId="0" shapeId="0" xr:uid="{A59BF462-DAEF-4199-8E2F-CF4A6682F8C5}">
      <text/>
    </comment>
    <comment ref="L162" authorId="0" shapeId="0" xr:uid="{45EA35C9-0FE4-4460-A9BA-0FD670B5CD57}">
      <text/>
    </comment>
    <comment ref="L163" authorId="0" shapeId="0" xr:uid="{AE5D243E-8602-4917-ACDB-FA7CE9188ED0}">
      <text/>
    </comment>
    <comment ref="L164" authorId="0" shapeId="0" xr:uid="{6AE8FCD9-1AD1-4CC5-A52D-D5B7BA052757}">
      <text/>
    </comment>
    <comment ref="L165" authorId="0" shapeId="0" xr:uid="{BF87A218-B587-4382-B594-3896EF308F4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6" authorId="0" shapeId="0" xr:uid="{362B8D08-A20E-41FF-A45E-24137DF0004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67" authorId="0" shapeId="0" xr:uid="{B534EF06-2898-45AF-B4B8-D3F52434F49B}">
      <text/>
    </comment>
    <comment ref="L168" authorId="0" shapeId="0" xr:uid="{0CD02131-CCB0-4E65-ABBC-92E8020F1471}">
      <text/>
    </comment>
    <comment ref="L169" authorId="0" shapeId="0" xr:uid="{507C8E04-5DEB-4CA3-B918-1C1E8E124E2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0" authorId="0" shapeId="0" xr:uid="{D46731E8-ADF2-434A-9880-16729BC3E822}">
      <text/>
    </comment>
    <comment ref="L171" authorId="0" shapeId="0" xr:uid="{F08E77CD-CD13-46A7-A64E-CF3655D973EB}">
      <text/>
    </comment>
    <comment ref="L172" authorId="0" shapeId="0" xr:uid="{670FF579-7A4F-4199-98C4-5EDC1979ADCE}">
      <text/>
    </comment>
    <comment ref="L173" authorId="0" shapeId="0" xr:uid="{A0B23238-1D58-4E2E-A4E6-BD6C6AA03052}">
      <text/>
    </comment>
    <comment ref="L174" authorId="0" shapeId="0" xr:uid="{4C3749D8-EB0F-40CB-AAB5-41CD7725C71A}">
      <text/>
    </comment>
    <comment ref="L175" authorId="0" shapeId="0" xr:uid="{A3CFAA25-4005-43AF-93A4-AB209560AE1C}">
      <text/>
    </comment>
    <comment ref="L179" authorId="0" shapeId="0" xr:uid="{7F9FAE83-EAF7-497C-9B56-809CFAC61B09}">
      <text/>
    </comment>
    <comment ref="L180" authorId="0" shapeId="0" xr:uid="{77911073-5EB6-4318-8CB4-694D7C34BD3D}">
      <text/>
    </comment>
    <comment ref="L181" authorId="0" shapeId="0" xr:uid="{6EC73B36-003E-4D62-AF1C-20BA6AA38C07}">
      <text/>
    </comment>
    <comment ref="E182" authorId="0" shapeId="0" xr:uid="{DA293E41-4991-4ADB-A37B-3311A41641D0}">
      <text/>
    </comment>
    <comment ref="L182" authorId="0" shapeId="0" xr:uid="{78552FED-FC2B-40D0-BD57-20654AFB028A}">
      <text/>
    </comment>
    <comment ref="L183" authorId="0" shapeId="0" xr:uid="{0627C8F3-0AF1-4823-90A3-7770FCD04578}">
      <text/>
    </comment>
    <comment ref="L184" authorId="0" shapeId="0" xr:uid="{78FD5E86-8C61-4A3D-9593-F880865C3B8E}">
      <text/>
    </comment>
    <comment ref="E185" authorId="0" shapeId="0" xr:uid="{29B0F51D-CCD4-4F02-98AD-2F84477DD66D}">
      <text/>
    </comment>
    <comment ref="L185" authorId="0" shapeId="0" xr:uid="{B8A26D60-9905-4CD6-A6E2-784F1FD15948}">
      <text/>
    </comment>
    <comment ref="L186" authorId="0" shapeId="0" xr:uid="{43673908-E005-4DEA-882B-DFC681C78F73}">
      <text/>
    </comment>
    <comment ref="L187" authorId="0" shapeId="0" xr:uid="{39F5B60E-111F-4018-8EA6-6AFD92EFCBD8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8" authorId="0" shapeId="0" xr:uid="{659382AD-C8E5-467D-B433-2E952CFD8AB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89" authorId="0" shapeId="0" xr:uid="{3AA1446E-6ADA-4568-8169-C25AA7398DAB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0" authorId="0" shapeId="0" xr:uid="{3E31C265-B551-4867-8883-6CA2CD316DE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1" authorId="0" shapeId="0" xr:uid="{6FA823E8-A31E-4780-86B2-F6278C6ED35E}">
      <text/>
    </comment>
    <comment ref="L192" authorId="0" shapeId="0" xr:uid="{0B808B46-ECC7-443A-8B9D-9F0C863F65F5}">
      <text/>
    </comment>
    <comment ref="L193" authorId="0" shapeId="0" xr:uid="{97DF9587-6AA0-4B0C-AC66-136E7725FFDE}">
      <text/>
    </comment>
    <comment ref="L194" authorId="0" shapeId="0" xr:uid="{739EB3D3-82C7-4B5F-BCFC-27D7F60A08E3}">
      <text/>
    </comment>
    <comment ref="L195" authorId="0" shapeId="0" xr:uid="{BDA93057-5510-4054-B9AA-8744419AA19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6" authorId="0" shapeId="0" xr:uid="{230C6B4B-E497-437E-97A3-478147E39C0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7" authorId="0" shapeId="0" xr:uid="{C2043359-02BC-48E9-A339-6E72782A10ED}">
      <text/>
    </comment>
    <comment ref="L198" authorId="0" shapeId="0" xr:uid="{DB0FCA6A-8E35-4539-8D15-DB849EAB0F5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9" authorId="0" shapeId="0" xr:uid="{30C0B890-96E2-4E40-AD1C-906902DBFFEB}">
      <text/>
    </comment>
    <comment ref="L200" authorId="0" shapeId="0" xr:uid="{7B19EEEA-938B-4A01-9E65-F38C69CC705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1" authorId="0" shapeId="0" xr:uid="{B82A381C-3677-4D82-AA0B-552B25E98FC8}">
      <text/>
    </comment>
    <comment ref="L202" authorId="0" shapeId="0" xr:uid="{CEF3117D-2273-462E-BF08-345BBFC2A11C}">
      <text/>
    </comment>
    <comment ref="L206" authorId="0" shapeId="0" xr:uid="{AB210B99-5336-44E7-BEAD-1F85DF902D8E}">
      <text/>
    </comment>
    <comment ref="E207" authorId="0" shapeId="0" xr:uid="{3361CD1F-40D3-4F12-A8B1-5B0F83B417F3}">
      <text/>
    </comment>
    <comment ref="L207" authorId="0" shapeId="0" xr:uid="{75AF3CD6-93C5-43CB-B76F-979FF8F4DCC4}">
      <text/>
    </comment>
    <comment ref="L208" authorId="0" shapeId="0" xr:uid="{C19176F5-3AA3-4D45-ADA4-90FF99CE566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9" authorId="0" shapeId="0" xr:uid="{A742274F-642A-4B0C-A247-53A6084CB6D6}">
      <text/>
    </comment>
    <comment ref="E210" authorId="0" shapeId="0" xr:uid="{933F6B99-105A-49A0-A407-8F7844B19EC9}">
      <text/>
    </comment>
    <comment ref="L210" authorId="0" shapeId="0" xr:uid="{D574F53C-E6F1-43DD-AD2A-6D98B97CBB92}">
      <text/>
    </comment>
    <comment ref="L211" authorId="0" shapeId="0" xr:uid="{DDDF545B-57BE-463C-BFEB-8147A9722296}">
      <text/>
    </comment>
    <comment ref="L212" authorId="0" shapeId="0" xr:uid="{FABA099E-6818-4CFB-8F54-00878865169E}">
      <text/>
    </comment>
    <comment ref="L213" authorId="0" shapeId="0" xr:uid="{63053094-151D-4F97-9D3E-F1B63776CFEE}">
      <text/>
    </comment>
    <comment ref="L214" authorId="0" shapeId="0" xr:uid="{0D3ED0E0-1FB5-4C3A-885F-D469F66DAC1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5" authorId="0" shapeId="0" xr:uid="{EC647AC1-FD95-4B29-829A-237CBC32BF60}">
      <text/>
    </comment>
    <comment ref="L216" authorId="0" shapeId="0" xr:uid="{5CDAB691-E360-4342-AB16-D68CA1EF768D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7" authorId="0" shapeId="0" xr:uid="{8E65FE5E-499A-4777-9536-2CCDB2DBC0E7}">
      <text/>
    </comment>
    <comment ref="L218" authorId="0" shapeId="0" xr:uid="{B8DA58E5-20E9-42C8-95A1-66604260AA4A}">
      <text/>
    </comment>
    <comment ref="L219" authorId="0" shapeId="0" xr:uid="{4B7C8386-37E8-415B-B723-78E5EEA9CC20}">
      <text/>
    </comment>
    <comment ref="L220" authorId="0" shapeId="0" xr:uid="{5841C09E-63C0-462C-BE21-1D3EFFAB8F3C}">
      <text/>
    </comment>
    <comment ref="L221" authorId="0" shapeId="0" xr:uid="{BF9105B1-C211-4666-8BEF-F9CC06CA1068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2" authorId="0" shapeId="0" xr:uid="{28E0EFAF-BF3F-42B7-AC50-EF14A3A8AA1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23" authorId="0" shapeId="0" xr:uid="{BEE0D2D1-8D7A-4A25-B497-3E956A6C4E65}">
      <text/>
    </comment>
    <comment ref="L224" authorId="0" shapeId="0" xr:uid="{04148F31-762C-4DE0-B907-9FAF931B05FC}">
      <text/>
    </comment>
    <comment ref="L225" authorId="0" shapeId="0" xr:uid="{46E4E534-EE6B-4391-A36D-4281CF048796}">
      <text/>
    </comment>
    <comment ref="L226" authorId="0" shapeId="0" xr:uid="{FF81A9B1-0B01-4631-B275-D89FD53809BE}">
      <text/>
    </comment>
    <comment ref="L227" authorId="0" shapeId="0" xr:uid="{C1972A94-3F69-46CC-82BE-2CFB37D63AF9}">
      <text/>
    </comment>
    <comment ref="L233" authorId="0" shapeId="0" xr:uid="{026F629B-C19C-477F-8BFC-0B4C0FE5558A}">
      <text/>
    </comment>
    <comment ref="E234" authorId="0" shapeId="0" xr:uid="{C36EF298-C33E-4C47-879D-54EFEB958907}">
      <text/>
    </comment>
    <comment ref="L234" authorId="0" shapeId="0" xr:uid="{F4CA5F03-C9B6-4EC2-8EDD-E7E869DFB313}">
      <text/>
    </comment>
    <comment ref="L235" authorId="0" shapeId="0" xr:uid="{9CA5A75D-DCB5-46D1-80E3-7CB2FECDD7D6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6" authorId="0" shapeId="0" xr:uid="{08CD7268-DE0B-441B-9D48-1633292DECEF}">
      <text/>
    </comment>
    <comment ref="E237" authorId="0" shapeId="0" xr:uid="{80B13397-DE68-41D3-822D-50B53D844486}">
      <text/>
    </comment>
    <comment ref="L237" authorId="0" shapeId="0" xr:uid="{B65179C6-934D-482C-85EA-29A6CDB87B21}">
      <text/>
    </comment>
    <comment ref="L238" authorId="0" shapeId="0" xr:uid="{9A33E0AC-F26F-4A73-90C7-B9104AA3B45E}">
      <text/>
    </comment>
    <comment ref="L239" authorId="0" shapeId="0" xr:uid="{15B64E33-4A15-4ED8-86BC-0F4FC5B87AD2}">
      <text/>
    </comment>
    <comment ref="L240" authorId="0" shapeId="0" xr:uid="{25D004D6-08A9-4231-9813-369B370B081C}">
      <text/>
    </comment>
    <comment ref="L241" authorId="0" shapeId="0" xr:uid="{0061F099-D0C7-43C4-B08A-AD652BF8BB91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2" authorId="0" shapeId="0" xr:uid="{5220B46B-CB5F-4BCA-B664-DBA6DEBD8EB3}">
      <text/>
    </comment>
    <comment ref="L243" authorId="0" shapeId="0" xr:uid="{E293F71F-59AE-47D2-B05A-08B9A035AA68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4" authorId="0" shapeId="0" xr:uid="{C30F4C65-D123-4E1E-9D02-E8E6742D6D08}">
      <text/>
    </comment>
    <comment ref="L245" authorId="0" shapeId="0" xr:uid="{3DD80C28-1F03-4D10-9CEA-76F9C4AFB09D}">
      <text/>
    </comment>
    <comment ref="L246" authorId="0" shapeId="0" xr:uid="{2D383E62-B65B-489E-806A-AF07844A4BA2}">
      <text/>
    </comment>
    <comment ref="L247" authorId="0" shapeId="0" xr:uid="{E775581F-6FBA-41A1-B9A2-53137BC1F0FB}">
      <text/>
    </comment>
    <comment ref="L248" authorId="0" shapeId="0" xr:uid="{B6DB0EA1-016F-4133-9B0D-448298E4993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49" authorId="0" shapeId="0" xr:uid="{DC81189E-A6D6-4475-A303-10979C6BE867}">
      <text/>
    </comment>
    <comment ref="L250" authorId="0" shapeId="0" xr:uid="{71BFFF36-976B-443D-B610-C8B09C04B48A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51" authorId="0" shapeId="0" xr:uid="{ED61A3BD-C607-454B-BEDD-8C6402ECAB67}">
      <text/>
    </comment>
    <comment ref="L252" authorId="0" shapeId="0" xr:uid="{AA7B830B-FC80-44D7-8F53-F92C325C7A7A}">
      <text/>
    </comment>
    <comment ref="L253" authorId="0" shapeId="0" xr:uid="{48582F3D-59F1-4196-8A4D-92CC1332119B}">
      <text/>
    </comment>
    <comment ref="L254" authorId="0" shapeId="0" xr:uid="{6432EC20-D08C-401E-B9B4-D744DD170B64}">
      <text/>
    </comment>
    <comment ref="L255" authorId="0" shapeId="0" xr:uid="{337CE44F-D971-4BC1-86C0-A0F3DF03DAE5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400-000001000000}">
      <text/>
    </comment>
    <comment ref="L4" authorId="0" shapeId="0" xr:uid="{00000000-0006-0000-0400-000002000000}">
      <text/>
    </comment>
    <comment ref="E5" authorId="0" shapeId="0" xr:uid="{00000000-0006-0000-0400-000003000000}">
      <text/>
    </comment>
    <comment ref="L5" authorId="0" shapeId="0" xr:uid="{00000000-0006-0000-0400-000004000000}">
      <text/>
    </comment>
    <comment ref="L6" authorId="0" shapeId="0" xr:uid="{00000000-0006-0000-0400-000005000000}">
      <text/>
    </comment>
    <comment ref="L7" authorId="0" shapeId="0" xr:uid="{00000000-0006-0000-0400-000006000000}">
      <text/>
    </comment>
    <comment ref="E8" authorId="0" shapeId="0" xr:uid="{00000000-0006-0000-0400-000007000000}">
      <text/>
    </comment>
    <comment ref="L9" authorId="0" shapeId="0" xr:uid="{00000000-0006-0000-0400-000008000000}">
      <text/>
    </comment>
    <comment ref="L10" authorId="0" shapeId="0" xr:uid="{00000000-0006-0000-0400-00000A000000}">
      <text/>
    </comment>
    <comment ref="E11" authorId="0" shapeId="0" xr:uid="{00000000-0006-0000-0400-000009000000}">
      <text/>
    </comment>
    <comment ref="L11" authorId="0" shapeId="0" xr:uid="{00000000-0006-0000-0400-00000C000000}">
      <text/>
    </comment>
    <comment ref="E12" authorId="0" shapeId="0" xr:uid="{00000000-0006-0000-0400-00000B000000}">
      <text/>
    </comment>
    <comment ref="L12" authorId="0" shapeId="0" xr:uid="{00000000-0006-0000-0400-00000D000000}">
      <text/>
    </comment>
    <comment ref="L13" authorId="0" shapeId="0" xr:uid="{00000000-0006-0000-0400-00000E000000}">
      <text/>
    </comment>
    <comment ref="L14" authorId="0" shapeId="0" xr:uid="{00000000-0006-0000-0400-00000F000000}">
      <text/>
    </comment>
    <comment ref="L15" authorId="0" shapeId="0" xr:uid="{00000000-0006-0000-0400-000010000000}">
      <text/>
    </comment>
    <comment ref="L16" authorId="0" shapeId="0" xr:uid="{00000000-0006-0000-0400-000011000000}">
      <text/>
    </comment>
    <comment ref="L17" authorId="0" shapeId="0" xr:uid="{00000000-0006-0000-0400-000012000000}">
      <text/>
    </comment>
    <comment ref="L18" authorId="0" shapeId="0" xr:uid="{00000000-0006-0000-0400-000013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" authorId="0" shapeId="0" xr:uid="{00000000-0006-0000-0400-000014000000}">
      <text/>
    </comment>
    <comment ref="L20" authorId="0" shapeId="0" xr:uid="{00000000-0006-0000-0400-000015000000}">
      <text/>
    </comment>
    <comment ref="L21" authorId="0" shapeId="0" xr:uid="{00000000-0006-0000-0400-000016000000}">
      <text/>
    </comment>
    <comment ref="L22" authorId="0" shapeId="0" xr:uid="{00000000-0006-0000-0400-000017000000}">
      <text/>
    </comment>
    <comment ref="L23" authorId="0" shapeId="0" xr:uid="{00000000-0006-0000-0400-000018000000}">
      <text/>
    </comment>
    <comment ref="L24" authorId="0" shapeId="0" xr:uid="{00000000-0006-0000-0400-000019000000}">
      <text/>
    </comment>
    <comment ref="L25" authorId="0" shapeId="0" xr:uid="{00000000-0006-0000-0400-00001A000000}">
      <text/>
    </comment>
    <comment ref="L26" authorId="0" shapeId="0" xr:uid="{00000000-0006-0000-0400-00001B000000}">
      <text/>
    </comment>
    <comment ref="L27" authorId="0" shapeId="0" xr:uid="{00000000-0006-0000-0400-00001C000000}">
      <text/>
    </comment>
    <comment ref="L28" authorId="0" shapeId="0" xr:uid="{00000000-0006-0000-0400-00001D000000}">
      <text/>
    </comment>
    <comment ref="L30" authorId="0" shapeId="0" xr:uid="{00000000-0006-0000-0400-00001E000000}">
      <text/>
    </comment>
    <comment ref="L31" authorId="0" shapeId="0" xr:uid="{00000000-0006-0000-0400-00001F000000}">
      <text/>
    </comment>
    <comment ref="L35" authorId="0" shapeId="0" xr:uid="{00000000-0006-0000-0400-000020000000}">
      <text/>
    </comment>
    <comment ref="L36" authorId="0" shapeId="0" xr:uid="{00000000-0006-0000-0400-000021000000}">
      <text/>
    </comment>
    <comment ref="E37" authorId="0" shapeId="0" xr:uid="{00000000-0006-0000-0400-000022000000}">
      <text/>
    </comment>
    <comment ref="L37" authorId="0" shapeId="0" xr:uid="{FBEA117C-C3E7-4951-8ADB-3A63CE67349F}">
      <text/>
    </comment>
    <comment ref="L38" authorId="0" shapeId="0" xr:uid="{0F7634DF-C405-4E8D-A67B-3199A8F7240E}">
      <text/>
    </comment>
    <comment ref="L39" authorId="0" shapeId="0" xr:uid="{CD314779-1335-4F94-9909-3A87B1E50111}">
      <text/>
    </comment>
    <comment ref="E40" authorId="0" shapeId="0" xr:uid="{00000000-0006-0000-0400-000026000000}">
      <text/>
    </comment>
    <comment ref="L41" authorId="0" shapeId="0" xr:uid="{35B98A1B-16FD-4E0C-BE60-8499419DFE4D}">
      <text/>
    </comment>
    <comment ref="E42" authorId="0" shapeId="0" xr:uid="{00000000-0006-0000-0400-000028000000}">
      <text/>
    </comment>
    <comment ref="L42" authorId="0" shapeId="0" xr:uid="{4FE32BEE-E74B-4A97-9BAC-4F3F3BB995BC}">
      <text/>
    </comment>
    <comment ref="E43" authorId="0" shapeId="0" xr:uid="{00000000-0006-0000-0400-00002A000000}">
      <text/>
    </comment>
    <comment ref="L43" authorId="0" shapeId="0" xr:uid="{8CA2096D-E8F8-4C1D-A0EF-722A29FCB657}">
      <text/>
    </comment>
    <comment ref="L44" authorId="0" shapeId="0" xr:uid="{A175ECB5-E08B-4017-968E-327468888F09}">
      <text/>
    </comment>
    <comment ref="L45" authorId="0" shapeId="0" xr:uid="{00000000-0006-0000-0400-00002D000000}">
      <text/>
    </comment>
    <comment ref="L46" authorId="0" shapeId="0" xr:uid="{00000000-0006-0000-0400-00002E000000}">
      <text/>
    </comment>
    <comment ref="L47" authorId="0" shapeId="0" xr:uid="{00000000-0006-0000-0400-00002F000000}">
      <text/>
    </comment>
    <comment ref="L48" authorId="0" shapeId="0" xr:uid="{00000000-0006-0000-0400-000030000000}">
      <text/>
    </comment>
    <comment ref="L49" authorId="0" shapeId="0" xr:uid="{00000000-0006-0000-0400-000031000000}">
      <text/>
    </comment>
    <comment ref="L50" authorId="0" shapeId="0" xr:uid="{00000000-0006-0000-0400-000032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1" authorId="0" shapeId="0" xr:uid="{00000000-0006-0000-0400-000033000000}">
      <text/>
    </comment>
    <comment ref="L52" authorId="0" shapeId="0" xr:uid="{00000000-0006-0000-0400-000034000000}">
      <text/>
    </comment>
    <comment ref="L53" authorId="0" shapeId="0" xr:uid="{00000000-0006-0000-0400-000035000000}">
      <text/>
    </comment>
    <comment ref="L54" authorId="0" shapeId="0" xr:uid="{00000000-0006-0000-0400-000036000000}">
      <text/>
    </comment>
    <comment ref="L55" authorId="0" shapeId="0" xr:uid="{00000000-0006-0000-0400-000037000000}">
      <text/>
    </comment>
    <comment ref="L56" authorId="0" shapeId="0" xr:uid="{00000000-0006-0000-0400-000038000000}">
      <text/>
    </comment>
    <comment ref="L57" authorId="0" shapeId="0" xr:uid="{00000000-0006-0000-0400-000039000000}">
      <text/>
    </comment>
    <comment ref="L58" authorId="0" shapeId="0" xr:uid="{00000000-0006-0000-0400-00003A000000}">
      <text/>
    </comment>
    <comment ref="L59" authorId="0" shapeId="0" xr:uid="{00000000-0006-0000-0400-00003B000000}">
      <text/>
    </comment>
    <comment ref="L60" authorId="0" shapeId="0" xr:uid="{00000000-0006-0000-0400-00003C000000}">
      <text/>
    </comment>
    <comment ref="L62" authorId="0" shapeId="0" xr:uid="{00000000-0006-0000-0400-00003D000000}">
      <text/>
    </comment>
    <comment ref="L63" authorId="0" shapeId="0" xr:uid="{00000000-0006-0000-0400-00003E000000}">
      <text/>
    </comment>
    <comment ref="L67" authorId="0" shapeId="0" xr:uid="{00000000-0006-0000-0400-00003F000000}">
      <text/>
    </comment>
    <comment ref="L68" authorId="0" shapeId="0" xr:uid="{00000000-0006-0000-0400-000040000000}">
      <text/>
    </comment>
    <comment ref="E69" authorId="0" shapeId="0" xr:uid="{00000000-0006-0000-0400-000041000000}">
      <text/>
    </comment>
    <comment ref="L69" authorId="0" shapeId="0" xr:uid="{73487302-ED19-494D-9439-1F6F3298BD01}">
      <text/>
    </comment>
    <comment ref="L70" authorId="0" shapeId="0" xr:uid="{8D6016DC-236F-4652-84C8-4C059B831916}">
      <text/>
    </comment>
    <comment ref="L71" authorId="0" shapeId="0" xr:uid="{21972FEE-D37C-4F7D-AD78-673732AF2403}">
      <text/>
    </comment>
    <comment ref="E72" authorId="0" shapeId="0" xr:uid="{00000000-0006-0000-0400-000045000000}">
      <text/>
    </comment>
    <comment ref="L73" authorId="0" shapeId="0" xr:uid="{BCE3D39D-F91E-46B9-9E13-CE14A2AB0CFE}">
      <text/>
    </comment>
    <comment ref="E74" authorId="0" shapeId="0" xr:uid="{00000000-0006-0000-0400-000047000000}">
      <text/>
    </comment>
    <comment ref="L74" authorId="0" shapeId="0" xr:uid="{228E16D9-5B41-42D4-8849-31EE54CCC328}">
      <text/>
    </comment>
    <comment ref="E75" authorId="0" shapeId="0" xr:uid="{00000000-0006-0000-0400-000049000000}">
      <text/>
    </comment>
    <comment ref="L75" authorId="0" shapeId="0" xr:uid="{4E979C77-8B6B-468E-B6CD-704E46C89333}">
      <text/>
    </comment>
    <comment ref="L76" authorId="0" shapeId="0" xr:uid="{FCBAEB23-C668-4EBE-A344-9C94A657D6A6}">
      <text/>
    </comment>
    <comment ref="L77" authorId="0" shapeId="0" xr:uid="{00000000-0006-0000-0400-00004C000000}">
      <text/>
    </comment>
    <comment ref="L78" authorId="0" shapeId="0" xr:uid="{00000000-0006-0000-0400-00004D000000}">
      <text/>
    </comment>
    <comment ref="L79" authorId="0" shapeId="0" xr:uid="{00000000-0006-0000-0400-00004E000000}">
      <text/>
    </comment>
    <comment ref="L80" authorId="0" shapeId="0" xr:uid="{00000000-0006-0000-0400-00004F000000}">
      <text/>
    </comment>
    <comment ref="L81" authorId="0" shapeId="0" xr:uid="{00000000-0006-0000-0400-000050000000}">
      <text/>
    </comment>
    <comment ref="L82" authorId="0" shapeId="0" xr:uid="{00000000-0006-0000-0400-000051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3" authorId="0" shapeId="0" xr:uid="{00000000-0006-0000-0400-000052000000}">
      <text/>
    </comment>
    <comment ref="L84" authorId="0" shapeId="0" xr:uid="{00000000-0006-0000-0400-000053000000}">
      <text/>
    </comment>
    <comment ref="L85" authorId="0" shapeId="0" xr:uid="{00000000-0006-0000-0400-000054000000}">
      <text/>
    </comment>
    <comment ref="L86" authorId="0" shapeId="0" xr:uid="{00000000-0006-0000-0400-000055000000}">
      <text/>
    </comment>
    <comment ref="L87" authorId="0" shapeId="0" xr:uid="{00000000-0006-0000-0400-000056000000}">
      <text/>
    </comment>
    <comment ref="L88" authorId="0" shapeId="0" xr:uid="{00000000-0006-0000-0400-000057000000}">
      <text/>
    </comment>
    <comment ref="L89" authorId="0" shapeId="0" xr:uid="{00000000-0006-0000-0400-000058000000}">
      <text/>
    </comment>
    <comment ref="L90" authorId="0" shapeId="0" xr:uid="{00000000-0006-0000-0400-000059000000}">
      <text/>
    </comment>
    <comment ref="L91" authorId="0" shapeId="0" xr:uid="{00000000-0006-0000-0400-00005A000000}">
      <text/>
    </comment>
    <comment ref="L92" authorId="0" shapeId="0" xr:uid="{00000000-0006-0000-0400-00005B000000}">
      <text/>
    </comment>
    <comment ref="L94" authorId="0" shapeId="0" xr:uid="{00000000-0006-0000-0400-00005C000000}">
      <text/>
    </comment>
    <comment ref="L95" authorId="0" shapeId="0" xr:uid="{00000000-0006-0000-0400-00005D000000}">
      <text/>
    </comment>
    <comment ref="L99" authorId="0" shapeId="0" xr:uid="{00000000-0006-0000-0400-00005E000000}">
      <text/>
    </comment>
    <comment ref="L100" authorId="0" shapeId="0" xr:uid="{00000000-0006-0000-0400-00005F000000}">
      <text/>
    </comment>
    <comment ref="E101" authorId="0" shapeId="0" xr:uid="{00000000-0006-0000-0400-000060000000}">
      <text/>
    </comment>
    <comment ref="L101" authorId="0" shapeId="0" xr:uid="{949D877C-089E-46E1-A746-0436ADB23375}">
      <text/>
    </comment>
    <comment ref="L102" authorId="0" shapeId="0" xr:uid="{6CF30091-8600-4F98-8AFD-1988694933FB}">
      <text/>
    </comment>
    <comment ref="L103" authorId="0" shapeId="0" xr:uid="{8BF29016-B2E2-4BD3-83E0-E72D5246CB00}">
      <text/>
    </comment>
    <comment ref="E104" authorId="0" shapeId="0" xr:uid="{00000000-0006-0000-0400-000064000000}">
      <text/>
    </comment>
    <comment ref="L105" authorId="0" shapeId="0" xr:uid="{462B93AD-B8B5-472F-9D3E-7A9024DAF099}">
      <text/>
    </comment>
    <comment ref="L106" authorId="0" shapeId="0" xr:uid="{AC638EDD-C341-4A92-ADC2-2378E4CD7BB4}">
      <text/>
    </comment>
    <comment ref="E107" authorId="0" shapeId="0" xr:uid="{00000000-0006-0000-0400-000067000000}">
      <text/>
    </comment>
    <comment ref="L107" authorId="0" shapeId="0" xr:uid="{DC6FB6D4-7C7D-4E9B-AAD2-B265D6819BD8}">
      <text/>
    </comment>
    <comment ref="E108" authorId="0" shapeId="0" xr:uid="{00000000-0006-0000-0400-000069000000}">
      <text/>
    </comment>
    <comment ref="L108" authorId="0" shapeId="0" xr:uid="{818C4C8D-A2F8-4F3A-B523-5CEFF99F9DA5}">
      <text/>
    </comment>
    <comment ref="L109" authorId="0" shapeId="0" xr:uid="{00000000-0006-0000-0400-00006B000000}">
      <text/>
    </comment>
    <comment ref="L110" authorId="0" shapeId="0" xr:uid="{00000000-0006-0000-0400-00006C000000}">
      <text/>
    </comment>
    <comment ref="L111" authorId="0" shapeId="0" xr:uid="{00000000-0006-0000-0400-00006D000000}">
      <text/>
    </comment>
    <comment ref="L112" authorId="0" shapeId="0" xr:uid="{00000000-0006-0000-0400-00006E000000}">
      <text/>
    </comment>
    <comment ref="L113" authorId="0" shapeId="0" xr:uid="{00000000-0006-0000-0400-00006F000000}">
      <text/>
    </comment>
    <comment ref="L114" authorId="0" shapeId="0" xr:uid="{00000000-0006-0000-0400-000070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5" authorId="0" shapeId="0" xr:uid="{00000000-0006-0000-0400-000071000000}">
      <text/>
    </comment>
    <comment ref="L116" authorId="0" shapeId="0" xr:uid="{00000000-0006-0000-0400-000072000000}">
      <text/>
    </comment>
    <comment ref="L117" authorId="0" shapeId="0" xr:uid="{00000000-0006-0000-0400-000073000000}">
      <text/>
    </comment>
    <comment ref="L118" authorId="0" shapeId="0" xr:uid="{00000000-0006-0000-0400-000074000000}">
      <text/>
    </comment>
    <comment ref="L119" authorId="0" shapeId="0" xr:uid="{00000000-0006-0000-0400-000075000000}">
      <text/>
    </comment>
    <comment ref="L120" authorId="0" shapeId="0" xr:uid="{00000000-0006-0000-0400-00007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1" authorId="0" shapeId="0" xr:uid="{00000000-0006-0000-0400-00007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2" authorId="0" shapeId="0" xr:uid="{00000000-0006-0000-0400-000078000000}">
      <text/>
    </comment>
    <comment ref="L123" authorId="0" shapeId="0" xr:uid="{00000000-0006-0000-0400-000079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4" authorId="0" shapeId="0" xr:uid="{00000000-0006-0000-0400-00007A000000}">
      <text/>
    </comment>
    <comment ref="L126" authorId="0" shapeId="0" xr:uid="{00000000-0006-0000-0400-00007B000000}">
      <text/>
    </comment>
    <comment ref="L127" authorId="0" shapeId="0" xr:uid="{00000000-0006-0000-0400-00007C000000}">
      <text/>
    </comment>
    <comment ref="L131" authorId="0" shapeId="0" xr:uid="{00000000-0006-0000-0400-00007D000000}">
      <text/>
    </comment>
    <comment ref="L132" authorId="0" shapeId="0" xr:uid="{00000000-0006-0000-0400-00007E000000}">
      <text/>
    </comment>
    <comment ref="E133" authorId="0" shapeId="0" xr:uid="{00000000-0006-0000-0400-00007F000000}">
      <text/>
    </comment>
    <comment ref="L133" authorId="0" shapeId="0" xr:uid="{EAA08058-18B4-4766-A015-F964239F33AC}">
      <text/>
    </comment>
    <comment ref="L134" authorId="0" shapeId="0" xr:uid="{EA616715-D639-4E3A-8CDF-E96E3CCEBAB1}">
      <text/>
    </comment>
    <comment ref="L135" authorId="0" shapeId="0" xr:uid="{908C18C6-1141-4C28-83DC-DA1BE8DF9505}">
      <text/>
    </comment>
    <comment ref="E136" authorId="0" shapeId="0" xr:uid="{00000000-0006-0000-0400-000083000000}">
      <text/>
    </comment>
    <comment ref="L137" authorId="0" shapeId="0" xr:uid="{96D6B835-CBAC-4A4A-9B02-9A3991179425}">
      <text/>
    </comment>
    <comment ref="E138" authorId="0" shapeId="0" xr:uid="{00000000-0006-0000-0400-000085000000}">
      <text/>
    </comment>
    <comment ref="L138" authorId="0" shapeId="0" xr:uid="{9D8B3DFE-E341-4D21-9D9C-53C1C2BED788}">
      <text/>
    </comment>
    <comment ref="E139" authorId="0" shapeId="0" xr:uid="{00000000-0006-0000-0400-000087000000}">
      <text/>
    </comment>
    <comment ref="L139" authorId="0" shapeId="0" xr:uid="{81F71F75-26CB-41DC-9C80-95A144950F13}">
      <text/>
    </comment>
    <comment ref="L140" authorId="0" shapeId="0" xr:uid="{E4FABDF6-E584-431D-8CB5-A9EA5F71F58A}">
      <text/>
    </comment>
    <comment ref="L141" authorId="0" shapeId="0" xr:uid="{00000000-0006-0000-0400-00008A000000}">
      <text/>
    </comment>
    <comment ref="L142" authorId="0" shapeId="0" xr:uid="{00000000-0006-0000-0400-00008B000000}">
      <text/>
    </comment>
    <comment ref="L143" authorId="0" shapeId="0" xr:uid="{00000000-0006-0000-0400-00008C000000}">
      <text/>
    </comment>
    <comment ref="L144" authorId="0" shapeId="0" xr:uid="{00000000-0006-0000-0400-00008D000000}">
      <text/>
    </comment>
    <comment ref="L145" authorId="0" shapeId="0" xr:uid="{00000000-0006-0000-0400-00008E000000}">
      <text/>
    </comment>
    <comment ref="L146" authorId="0" shapeId="0" xr:uid="{00000000-0006-0000-0400-00008F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47" authorId="0" shapeId="0" xr:uid="{00000000-0006-0000-0400-000090000000}">
      <text/>
    </comment>
    <comment ref="L148" authorId="0" shapeId="0" xr:uid="{00000000-0006-0000-0400-000091000000}">
      <text/>
    </comment>
    <comment ref="L149" authorId="0" shapeId="0" xr:uid="{00000000-0006-0000-0400-000092000000}">
      <text/>
    </comment>
    <comment ref="L150" authorId="0" shapeId="0" xr:uid="{00000000-0006-0000-0400-000093000000}">
      <text/>
    </comment>
    <comment ref="L151" authorId="0" shapeId="0" xr:uid="{00000000-0006-0000-0400-000094000000}">
      <text/>
    </comment>
    <comment ref="L152" authorId="0" shapeId="0" xr:uid="{00000000-0006-0000-0400-000095000000}">
      <text/>
    </comment>
    <comment ref="L153" authorId="0" shapeId="0" xr:uid="{00000000-0006-0000-0400-000096000000}">
      <text/>
    </comment>
    <comment ref="L154" authorId="0" shapeId="0" xr:uid="{00000000-0006-0000-0400-000097000000}">
      <text/>
    </comment>
    <comment ref="L155" authorId="0" shapeId="0" xr:uid="{00000000-0006-0000-0400-000098000000}">
      <text/>
    </comment>
    <comment ref="L156" authorId="0" shapeId="0" xr:uid="{00000000-0006-0000-0400-000099000000}">
      <text/>
    </comment>
    <comment ref="L158" authorId="0" shapeId="0" xr:uid="{00000000-0006-0000-0400-00009A000000}">
      <text/>
    </comment>
    <comment ref="L159" authorId="0" shapeId="0" xr:uid="{00000000-0006-0000-0400-00009B000000}">
      <text/>
    </comment>
    <comment ref="L163" authorId="0" shapeId="0" xr:uid="{00000000-0006-0000-0400-00009C000000}">
      <text/>
    </comment>
    <comment ref="L164" authorId="0" shapeId="0" xr:uid="{00000000-0006-0000-0400-00009D000000}">
      <text/>
    </comment>
    <comment ref="E165" authorId="0" shapeId="0" xr:uid="{00000000-0006-0000-0400-00009E000000}">
      <text/>
    </comment>
    <comment ref="L165" authorId="0" shapeId="0" xr:uid="{00000000-0006-0000-0400-00009F000000}">
      <text/>
    </comment>
    <comment ref="L166" authorId="0" shapeId="0" xr:uid="{00000000-0006-0000-0400-0000A0000000}">
      <text/>
    </comment>
    <comment ref="L167" authorId="0" shapeId="0" xr:uid="{00000000-0006-0000-0400-0000A1000000}">
      <text/>
    </comment>
    <comment ref="E168" authorId="0" shapeId="0" xr:uid="{00000000-0006-0000-0400-0000A2000000}">
      <text/>
    </comment>
    <comment ref="L168" authorId="0" shapeId="0" xr:uid="{00000000-0006-0000-0400-0000A3000000}">
      <text/>
    </comment>
    <comment ref="L169" authorId="0" shapeId="0" xr:uid="{00000000-0006-0000-0400-0000A4000000}">
      <text/>
    </comment>
    <comment ref="L170" authorId="0" shapeId="0" xr:uid="{00000000-0006-0000-0400-0000A5000000}">
      <text/>
    </comment>
    <comment ref="E171" authorId="0" shapeId="0" xr:uid="{00000000-0006-0000-0400-0000A6000000}">
      <text/>
    </comment>
    <comment ref="L171" authorId="0" shapeId="0" xr:uid="{00000000-0006-0000-0400-0000A7000000}">
      <text/>
    </comment>
    <comment ref="E172" authorId="0" shapeId="0" xr:uid="{00000000-0006-0000-0400-0000A8000000}">
      <text/>
    </comment>
    <comment ref="L172" authorId="0" shapeId="0" xr:uid="{00000000-0006-0000-0400-0000A9000000}">
      <text/>
    </comment>
    <comment ref="L173" authorId="0" shapeId="0" xr:uid="{00000000-0006-0000-0400-0000AA000000}">
      <text/>
    </comment>
    <comment ref="L174" authorId="0" shapeId="0" xr:uid="{00000000-0006-0000-0400-0000AB000000}">
      <text/>
    </comment>
    <comment ref="L175" authorId="0" shapeId="0" xr:uid="{00000000-0006-0000-0400-0000AC000000}">
      <text/>
    </comment>
    <comment ref="L176" authorId="0" shapeId="0" xr:uid="{00000000-0006-0000-0400-0000A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7" authorId="0" shapeId="0" xr:uid="{00000000-0006-0000-0400-0000AE000000}">
      <text/>
    </comment>
    <comment ref="L178" authorId="0" shapeId="0" xr:uid="{00000000-0006-0000-0400-0000AF000000}">
      <text/>
    </comment>
    <comment ref="L179" authorId="0" shapeId="0" xr:uid="{00000000-0006-0000-0400-0000B0000000}">
      <text/>
    </comment>
    <comment ref="L180" authorId="0" shapeId="0" xr:uid="{00000000-0006-0000-0400-0000B1000000}">
      <text/>
    </comment>
    <comment ref="L181" authorId="0" shapeId="0" xr:uid="{00000000-0006-0000-0400-0000B2000000}">
      <text/>
    </comment>
    <comment ref="L182" authorId="0" shapeId="0" xr:uid="{00000000-0006-0000-0400-0000B3000000}">
      <text/>
    </comment>
    <comment ref="L183" authorId="0" shapeId="0" xr:uid="{00000000-0006-0000-0400-0000B4000000}">
      <text/>
    </comment>
    <comment ref="L184" authorId="0" shapeId="0" xr:uid="{00000000-0006-0000-0400-0000B5000000}">
      <text/>
    </comment>
    <comment ref="L185" authorId="0" shapeId="0" xr:uid="{00000000-0006-0000-0400-0000B6000000}">
      <text/>
    </comment>
    <comment ref="L186" authorId="0" shapeId="0" xr:uid="{00000000-0006-0000-0400-0000B7000000}">
      <text/>
    </comment>
    <comment ref="L188" authorId="0" shapeId="0" xr:uid="{00000000-0006-0000-0400-0000B8000000}">
      <text/>
    </comment>
    <comment ref="L189" authorId="0" shapeId="0" xr:uid="{00000000-0006-0000-0400-0000B9000000}">
      <text/>
    </comment>
    <comment ref="L193" authorId="0" shapeId="0" xr:uid="{00000000-0006-0000-0400-0000BA000000}">
      <text/>
    </comment>
    <comment ref="L194" authorId="0" shapeId="0" xr:uid="{00000000-0006-0000-0400-0000BB000000}">
      <text/>
    </comment>
    <comment ref="E195" authorId="0" shapeId="0" xr:uid="{00000000-0006-0000-0400-0000BC000000}">
      <text/>
    </comment>
    <comment ref="L195" authorId="0" shapeId="0" xr:uid="{00000000-0006-0000-0400-0000BD000000}">
      <text/>
    </comment>
    <comment ref="L196" authorId="0" shapeId="0" xr:uid="{00000000-0006-0000-0400-0000BE000000}">
      <text/>
    </comment>
    <comment ref="L197" authorId="0" shapeId="0" xr:uid="{00000000-0006-0000-0400-0000BF000000}">
      <text/>
    </comment>
    <comment ref="E198" authorId="0" shapeId="0" xr:uid="{00000000-0006-0000-0400-0000C0000000}">
      <text/>
    </comment>
    <comment ref="L198" authorId="0" shapeId="0" xr:uid="{00000000-0006-0000-0400-0000C1000000}">
      <text/>
    </comment>
    <comment ref="L199" authorId="0" shapeId="0" xr:uid="{00000000-0006-0000-0400-0000C2000000}">
      <text/>
    </comment>
    <comment ref="L200" authorId="0" shapeId="0" xr:uid="{00000000-0006-0000-0400-0000C3000000}">
      <text/>
    </comment>
    <comment ref="L201" authorId="0" shapeId="0" xr:uid="{00000000-0006-0000-0400-0000C4000000}">
      <text/>
    </comment>
    <comment ref="L202" authorId="0" shapeId="0" xr:uid="{00000000-0006-0000-0400-0000C5000000}">
      <text/>
    </comment>
    <comment ref="L203" authorId="0" shapeId="0" xr:uid="{00000000-0006-0000-0400-0000C6000000}">
      <text/>
    </comment>
    <comment ref="L204" authorId="0" shapeId="0" xr:uid="{00000000-0006-0000-0400-0000C7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5" authorId="0" shapeId="0" xr:uid="{00000000-0006-0000-0400-0000C8000000}">
      <text/>
    </comment>
    <comment ref="L206" authorId="0" shapeId="0" xr:uid="{00000000-0006-0000-0400-0000C9000000}">
      <text/>
    </comment>
    <comment ref="L207" authorId="0" shapeId="0" xr:uid="{00000000-0006-0000-0400-0000CA000000}">
      <text/>
    </comment>
    <comment ref="L208" authorId="0" shapeId="0" xr:uid="{00000000-0006-0000-0400-0000CB000000}">
      <text/>
    </comment>
    <comment ref="L209" authorId="0" shapeId="0" xr:uid="{00000000-0006-0000-0400-0000CC000000}">
      <text/>
    </comment>
    <comment ref="L210" authorId="0" shapeId="0" xr:uid="{00000000-0006-0000-0400-0000CD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1" authorId="0" shapeId="0" xr:uid="{00000000-0006-0000-0400-0000CE000000}">
      <text/>
    </comment>
    <comment ref="L212" authorId="0" shapeId="0" xr:uid="{00000000-0006-0000-0400-0000CF000000}">
      <text/>
    </comment>
    <comment ref="L214" authorId="0" shapeId="0" xr:uid="{00000000-0006-0000-0400-0000D0000000}">
      <text/>
    </comment>
    <comment ref="L220" authorId="0" shapeId="0" xr:uid="{00000000-0006-0000-0400-0000D1000000}">
      <text/>
    </comment>
    <comment ref="L221" authorId="0" shapeId="0" xr:uid="{00000000-0006-0000-0400-0000D2000000}">
      <text/>
    </comment>
    <comment ref="E222" authorId="0" shapeId="0" xr:uid="{00000000-0006-0000-0400-0000D3000000}">
      <text/>
    </comment>
    <comment ref="L222" authorId="0" shapeId="0" xr:uid="{00000000-0006-0000-0400-0000D4000000}">
      <text/>
    </comment>
    <comment ref="L223" authorId="0" shapeId="0" xr:uid="{00000000-0006-0000-0400-0000D5000000}">
      <text/>
    </comment>
    <comment ref="L224" authorId="0" shapeId="0" xr:uid="{00000000-0006-0000-0400-0000D6000000}">
      <text/>
    </comment>
    <comment ref="E225" authorId="0" shapeId="0" xr:uid="{00000000-0006-0000-0400-0000D7000000}">
      <text/>
    </comment>
    <comment ref="L226" authorId="0" shapeId="0" xr:uid="{00000000-0006-0000-0400-0000D8000000}">
      <text/>
    </comment>
    <comment ref="L227" authorId="0" shapeId="0" xr:uid="{00000000-0006-0000-0400-0000DA000000}">
      <text/>
    </comment>
    <comment ref="E228" authorId="0" shapeId="0" xr:uid="{00000000-0006-0000-0400-0000D9000000}">
      <text/>
    </comment>
    <comment ref="L228" authorId="0" shapeId="0" xr:uid="{00000000-0006-0000-0400-0000DC000000}">
      <text/>
    </comment>
    <comment ref="E229" authorId="0" shapeId="0" xr:uid="{00000000-0006-0000-0400-0000DB000000}">
      <text/>
    </comment>
    <comment ref="L229" authorId="0" shapeId="0" xr:uid="{00000000-0006-0000-0400-0000DD000000}">
      <text/>
    </comment>
    <comment ref="L230" authorId="0" shapeId="0" xr:uid="{00000000-0006-0000-0400-0000DE000000}">
      <text/>
    </comment>
    <comment ref="L231" authorId="0" shapeId="0" xr:uid="{00000000-0006-0000-0400-0000DF000000}">
      <text/>
    </comment>
    <comment ref="L232" authorId="0" shapeId="0" xr:uid="{00000000-0006-0000-0400-0000E0000000}">
      <text/>
    </comment>
    <comment ref="L233" authorId="0" shapeId="0" xr:uid="{00000000-0006-0000-0400-0000E1000000}">
      <text/>
    </comment>
    <comment ref="L234" authorId="0" shapeId="0" xr:uid="{00000000-0006-0000-0400-0000E2000000}">
      <text/>
    </comment>
    <comment ref="L235" authorId="0" shapeId="0" xr:uid="{00000000-0006-0000-0400-0000E3000000}">
      <text/>
    </comment>
    <comment ref="L236" authorId="0" shapeId="0" xr:uid="{00000000-0006-0000-0400-0000E4000000}">
      <text/>
    </comment>
    <comment ref="L237" authorId="0" shapeId="0" xr:uid="{00000000-0006-0000-0400-0000E5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8" authorId="0" shapeId="0" xr:uid="{00000000-0006-0000-0400-0000E6000000}">
      <text/>
    </comment>
    <comment ref="L239" authorId="0" shapeId="0" xr:uid="{00000000-0006-0000-0400-0000E7000000}">
      <text/>
    </comment>
    <comment ref="L240" authorId="0" shapeId="0" xr:uid="{00000000-0006-0000-0400-0000E8000000}">
      <text/>
    </comment>
    <comment ref="L241" authorId="0" shapeId="0" xr:uid="{00000000-0006-0000-0400-0000E9000000}">
      <text/>
    </comment>
    <comment ref="L242" authorId="0" shapeId="0" xr:uid="{00000000-0006-0000-0400-0000EA000000}">
      <text/>
    </comment>
    <comment ref="L243" authorId="0" shapeId="0" xr:uid="{00000000-0006-0000-0400-0000EB000000}">
      <text/>
    </comment>
    <comment ref="L244" authorId="0" shapeId="0" xr:uid="{00000000-0006-0000-0400-0000EC000000}">
      <text/>
    </comment>
    <comment ref="L245" authorId="0" shapeId="0" xr:uid="{00000000-0006-0000-0400-0000ED000000}">
      <text/>
    </comment>
    <comment ref="L246" authorId="0" shapeId="0" xr:uid="{00000000-0006-0000-0400-0000EE000000}">
      <text/>
    </comment>
    <comment ref="L247" authorId="0" shapeId="0" xr:uid="{00000000-0006-0000-0400-0000EF000000}">
      <text/>
    </comment>
    <comment ref="L249" authorId="0" shapeId="0" xr:uid="{00000000-0006-0000-0400-0000F0000000}">
      <text/>
    </comment>
    <comment ref="L250" authorId="0" shapeId="0" xr:uid="{00000000-0006-0000-0400-0000F1000000}">
      <text/>
    </comment>
    <comment ref="L255" authorId="0" shapeId="0" xr:uid="{00000000-0006-0000-0400-0000F2000000}">
      <text/>
    </comment>
    <comment ref="L256" authorId="0" shapeId="0" xr:uid="{00000000-0006-0000-0400-0000F3000000}">
      <text/>
    </comment>
    <comment ref="E257" authorId="0" shapeId="0" xr:uid="{00000000-0006-0000-0400-0000F4000000}">
      <text/>
    </comment>
    <comment ref="L257" authorId="0" shapeId="0" xr:uid="{00000000-0006-0000-0400-0000F5000000}">
      <text/>
    </comment>
    <comment ref="L258" authorId="0" shapeId="0" xr:uid="{00000000-0006-0000-0400-0000F6000000}">
      <text/>
    </comment>
    <comment ref="L259" authorId="0" shapeId="0" xr:uid="{00000000-0006-0000-0400-0000F7000000}">
      <text/>
    </comment>
    <comment ref="E260" authorId="0" shapeId="0" xr:uid="{00000000-0006-0000-0400-0000F8000000}">
      <text/>
    </comment>
    <comment ref="L260" authorId="0" shapeId="0" xr:uid="{00000000-0006-0000-0400-0000F9000000}">
      <text/>
    </comment>
    <comment ref="L261" authorId="0" shapeId="0" xr:uid="{00000000-0006-0000-0400-0000FA000000}">
      <text/>
    </comment>
    <comment ref="L262" authorId="0" shapeId="0" xr:uid="{00000000-0006-0000-0400-0000FB000000}">
      <text/>
    </comment>
    <comment ref="E263" authorId="0" shapeId="0" xr:uid="{00000000-0006-0000-0400-0000FC000000}">
      <text/>
    </comment>
    <comment ref="L263" authorId="0" shapeId="0" xr:uid="{00000000-0006-0000-0400-0000FD000000}">
      <text/>
    </comment>
    <comment ref="E264" authorId="0" shapeId="0" xr:uid="{00000000-0006-0000-0400-0000FE000000}">
      <text/>
    </comment>
    <comment ref="L264" authorId="0" shapeId="0" xr:uid="{00000000-0006-0000-0400-0000FF000000}">
      <text/>
    </comment>
    <comment ref="L265" authorId="0" shapeId="0" xr:uid="{00000000-0006-0000-0400-000000010000}">
      <text/>
    </comment>
    <comment ref="L266" authorId="0" shapeId="0" xr:uid="{00000000-0006-0000-0400-000001010000}">
      <text/>
    </comment>
    <comment ref="L267" authorId="0" shapeId="0" xr:uid="{00000000-0006-0000-0400-000002010000}">
      <text/>
    </comment>
    <comment ref="L268" authorId="0" shapeId="0" xr:uid="{00000000-0006-0000-0400-00000301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69" authorId="0" shapeId="0" xr:uid="{00000000-0006-0000-0400-000004010000}">
      <text/>
    </comment>
    <comment ref="L270" authorId="0" shapeId="0" xr:uid="{00000000-0006-0000-0400-000005010000}">
      <text/>
    </comment>
    <comment ref="L271" authorId="0" shapeId="0" xr:uid="{00000000-0006-0000-0400-000006010000}">
      <text/>
    </comment>
    <comment ref="L272" authorId="0" shapeId="0" xr:uid="{00000000-0006-0000-0400-000007010000}">
      <text/>
    </comment>
    <comment ref="L273" authorId="0" shapeId="0" xr:uid="{00000000-0006-0000-0400-000008010000}">
      <text/>
    </comment>
    <comment ref="L274" authorId="0" shapeId="0" xr:uid="{00000000-0006-0000-0400-000009010000}">
      <text/>
    </comment>
    <comment ref="L275" authorId="0" shapeId="0" xr:uid="{00000000-0006-0000-0400-00000A010000}">
      <text/>
    </comment>
    <comment ref="L276" authorId="0" shapeId="0" xr:uid="{00000000-0006-0000-0400-00000B010000}">
      <text/>
    </comment>
    <comment ref="L278" authorId="0" shapeId="0" xr:uid="{00000000-0006-0000-0400-00000C010000}">
      <text/>
    </comment>
    <comment ref="L279" authorId="0" shapeId="0" xr:uid="{00000000-0006-0000-0400-00000D010000}">
      <text/>
    </comment>
  </commentList>
</comments>
</file>

<file path=xl/comments6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81C955DA-9B0C-4A3C-80D4-AD3523692550}">
      <text/>
    </comment>
    <comment ref="L4" authorId="0" shapeId="0" xr:uid="{5F24C4E5-3755-4D38-ABD1-CDBFEC006ED8}">
      <text/>
    </comment>
    <comment ref="E5" authorId="0" shapeId="0" xr:uid="{6AEA6048-C91D-48D0-A4B3-38531C3C1530}">
      <text/>
    </comment>
    <comment ref="L5" authorId="0" shapeId="0" xr:uid="{E987D6CC-39AB-4F39-A85F-2D5BF374C19D}">
      <text/>
    </comment>
    <comment ref="L6" authorId="0" shapeId="0" xr:uid="{CA2C10F9-E672-4179-B727-D393D36245E8}">
      <text/>
    </comment>
    <comment ref="L7" authorId="0" shapeId="0" xr:uid="{BA4B84F1-A0B9-4321-9F7B-6DB2A7C86E63}">
      <text/>
    </comment>
    <comment ref="E8" authorId="0" shapeId="0" xr:uid="{A657CC11-C709-4BDD-92D2-451068CC8618}">
      <text/>
    </comment>
    <comment ref="L9" authorId="0" shapeId="0" xr:uid="{FA46D59F-61BD-4444-BA13-041BEC39E615}">
      <text/>
    </comment>
    <comment ref="L10" authorId="0" shapeId="0" xr:uid="{5D8D5E0E-17BB-4CFF-B9D1-8B4B6B49E20A}">
      <text/>
    </comment>
    <comment ref="E11" authorId="0" shapeId="0" xr:uid="{1362D224-16D7-43BA-96D0-5B18B0C4DF83}">
      <text/>
    </comment>
    <comment ref="L11" authorId="0" shapeId="0" xr:uid="{BCB72472-9525-41D1-8212-E0C86CD24506}">
      <text/>
    </comment>
    <comment ref="E12" authorId="0" shapeId="0" xr:uid="{05DDA39E-AFA2-4676-BEBD-1BF34FC3495E}">
      <text/>
    </comment>
    <comment ref="L12" authorId="0" shapeId="0" xr:uid="{50B00197-9F06-4C62-AECD-467559046E7E}">
      <text/>
    </comment>
    <comment ref="L13" authorId="0" shapeId="0" xr:uid="{3CE36DEB-BAFE-4E6C-BF18-92433A82CC73}">
      <text/>
    </comment>
    <comment ref="L14" authorId="0" shapeId="0" xr:uid="{D3A02F53-DD40-4EE9-BEF5-4D9B36B530B6}">
      <text/>
    </comment>
    <comment ref="L15" authorId="0" shapeId="0" xr:uid="{D660C448-2A65-4EF4-A625-2A0FF225708A}">
      <text/>
    </comment>
    <comment ref="L16" authorId="0" shapeId="0" xr:uid="{2A04F52B-82F0-4A0E-AA21-DE9E97E739CC}">
      <text/>
    </comment>
    <comment ref="L17" authorId="0" shapeId="0" xr:uid="{BF793A39-2765-4848-98C0-3D3D2758CA0F}">
      <text/>
    </comment>
    <comment ref="L18" authorId="0" shapeId="0" xr:uid="{36CF7310-16F8-44C8-9F7B-4CA9221BF7EC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9" authorId="0" shapeId="0" xr:uid="{FE6D0835-8E96-4354-9AB6-8C85ACB03B39}">
      <text/>
    </comment>
    <comment ref="L20" authorId="0" shapeId="0" xr:uid="{1EC4FCE0-9C66-43CE-928C-0FEA9ECC2675}">
      <text/>
    </comment>
    <comment ref="L21" authorId="0" shapeId="0" xr:uid="{B42A034F-428E-4ED1-84D7-E2C12E666B3E}">
      <text/>
    </comment>
    <comment ref="L22" authorId="0" shapeId="0" xr:uid="{0942ED97-9087-456C-AC97-47E16FAA5E5D}">
      <text/>
    </comment>
    <comment ref="L23" authorId="0" shapeId="0" xr:uid="{754A683D-5AA8-45C4-BEE8-30CC36DB87B1}">
      <text/>
    </comment>
    <comment ref="L24" authorId="0" shapeId="0" xr:uid="{820872CF-4E95-49FA-8CD5-1DCED31ED0DA}">
      <text/>
    </comment>
    <comment ref="L25" authorId="0" shapeId="0" xr:uid="{599456BE-B239-45E3-807A-94CABCB00BC6}">
      <text/>
    </comment>
    <comment ref="L26" authorId="0" shapeId="0" xr:uid="{CFBF2913-571E-4687-9F48-1234541F0277}">
      <text/>
    </comment>
    <comment ref="L27" authorId="0" shapeId="0" xr:uid="{EDAFE3D8-4476-473A-B8B9-1AEDBB74D0D9}">
      <text/>
    </comment>
    <comment ref="L28" authorId="0" shapeId="0" xr:uid="{4C2B635E-05C7-462F-8BD9-9B2A70FA4C21}">
      <text/>
    </comment>
    <comment ref="L30" authorId="0" shapeId="0" xr:uid="{EF26C1BA-C627-443D-AE28-868DE7576F64}">
      <text/>
    </comment>
    <comment ref="L31" authorId="0" shapeId="0" xr:uid="{1CA8B566-C872-45D0-92A8-AE47E5C28647}">
      <text/>
    </comment>
    <comment ref="L35" authorId="0" shapeId="0" xr:uid="{CC325F8E-4916-4329-8BE0-CACE7C2AC083}">
      <text/>
    </comment>
    <comment ref="L36" authorId="0" shapeId="0" xr:uid="{04CCB943-88E5-4065-A655-AC4B58004C91}">
      <text/>
    </comment>
    <comment ref="E37" authorId="0" shapeId="0" xr:uid="{BB5F037A-2509-4D9A-8167-882C3FBF9550}">
      <text/>
    </comment>
    <comment ref="L37" authorId="0" shapeId="0" xr:uid="{38A2FCD6-F4E5-4A30-BA9D-B5EB4D24742B}">
      <text/>
    </comment>
    <comment ref="L38" authorId="0" shapeId="0" xr:uid="{48DDBD71-77E0-40C5-B9C4-B30BC196F9E0}">
      <text/>
    </comment>
    <comment ref="L39" authorId="0" shapeId="0" xr:uid="{5C6150CD-448C-476A-8F8E-8B8608E11EAD}">
      <text/>
    </comment>
    <comment ref="E40" authorId="0" shapeId="0" xr:uid="{84F72C3E-4285-4666-9479-DD7961247F0D}">
      <text/>
    </comment>
    <comment ref="L41" authorId="0" shapeId="0" xr:uid="{2CEB5A91-2A2F-47EC-A681-3F12802814B1}">
      <text/>
    </comment>
    <comment ref="E42" authorId="0" shapeId="0" xr:uid="{DE24B2C5-4237-4A49-8E24-F16F93474BE2}">
      <text/>
    </comment>
    <comment ref="L42" authorId="0" shapeId="0" xr:uid="{0FF11997-63CB-4D69-9C30-3325FA835810}">
      <text/>
    </comment>
    <comment ref="E43" authorId="0" shapeId="0" xr:uid="{974F2C70-520B-464B-A723-7C87EF585091}">
      <text/>
    </comment>
    <comment ref="L43" authorId="0" shapeId="0" xr:uid="{4A623841-8843-4BF8-9907-E17182AF65D3}">
      <text/>
    </comment>
    <comment ref="L44" authorId="0" shapeId="0" xr:uid="{074AAD8A-B518-4B83-8938-673ABC803A34}">
      <text/>
    </comment>
    <comment ref="L45" authorId="0" shapeId="0" xr:uid="{E43F421A-D257-4BD1-AC0B-3DF78B77E685}">
      <text/>
    </comment>
    <comment ref="L46" authorId="0" shapeId="0" xr:uid="{F01CE4D9-52A5-40A2-8375-2275A9FEBC94}">
      <text/>
    </comment>
    <comment ref="L47" authorId="0" shapeId="0" xr:uid="{9DF33AE5-3898-44BF-AF7E-2D4FAD154488}">
      <text/>
    </comment>
    <comment ref="L48" authorId="0" shapeId="0" xr:uid="{D4933FC5-C10B-43EB-B81C-25C971F28B38}">
      <text/>
    </comment>
    <comment ref="L49" authorId="0" shapeId="0" xr:uid="{59629392-6E17-4732-8E37-167300D641DD}">
      <text/>
    </comment>
    <comment ref="L50" authorId="0" shapeId="0" xr:uid="{BBB435CF-244B-4D02-9147-353B051EE67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1" authorId="0" shapeId="0" xr:uid="{57B0A356-3ED1-43E1-8C94-F8355932908A}">
      <text/>
    </comment>
    <comment ref="L52" authorId="0" shapeId="0" xr:uid="{FCEA0E57-CA01-41AE-BBEA-2C7444848080}">
      <text/>
    </comment>
    <comment ref="L53" authorId="0" shapeId="0" xr:uid="{4DED7AD2-D301-4EE9-83DF-A5E3DB8B805C}">
      <text/>
    </comment>
    <comment ref="L54" authorId="0" shapeId="0" xr:uid="{83107C30-95B2-440D-A2FA-E03027BF693E}">
      <text/>
    </comment>
    <comment ref="L55" authorId="0" shapeId="0" xr:uid="{33B4CF17-BE89-4321-BB8F-DDF3195B98B4}">
      <text/>
    </comment>
    <comment ref="L56" authorId="0" shapeId="0" xr:uid="{2F35247C-AC14-455C-862D-34C1F00B9109}">
      <text/>
    </comment>
    <comment ref="L57" authorId="0" shapeId="0" xr:uid="{9E1EBD08-DCF3-4476-9E04-91936B852CEB}">
      <text/>
    </comment>
    <comment ref="L58" authorId="0" shapeId="0" xr:uid="{B1E13CB4-ED37-4E4F-A9BB-C472A619A8DF}">
      <text/>
    </comment>
    <comment ref="L59" authorId="0" shapeId="0" xr:uid="{ED4C2AC6-793B-467E-B105-D966C21C56AC}">
      <text/>
    </comment>
    <comment ref="L60" authorId="0" shapeId="0" xr:uid="{95AC3DD8-A6CB-4801-B3D0-79C91189AEAB}">
      <text/>
    </comment>
    <comment ref="L62" authorId="0" shapeId="0" xr:uid="{7790AD34-3ACA-4440-A206-0192C6FEE257}">
      <text/>
    </comment>
    <comment ref="L63" authorId="0" shapeId="0" xr:uid="{D6A104E7-9CBF-4912-8434-DF7ABAB41F2F}">
      <text/>
    </comment>
    <comment ref="L67" authorId="0" shapeId="0" xr:uid="{C6DC69A1-8832-4148-8B1B-9349E71C9BD0}">
      <text/>
    </comment>
    <comment ref="L68" authorId="0" shapeId="0" xr:uid="{834F5628-3509-4B58-ABB4-2C37D6D49CCA}">
      <text/>
    </comment>
    <comment ref="E69" authorId="0" shapeId="0" xr:uid="{1F2E0254-2820-44A4-BF0A-53EC569CD879}">
      <text/>
    </comment>
    <comment ref="L69" authorId="0" shapeId="0" xr:uid="{709284A9-3DFE-4C15-993E-CBDA52C4CD91}">
      <text/>
    </comment>
    <comment ref="L70" authorId="0" shapeId="0" xr:uid="{C5B8F09B-DA44-490C-B21E-A7EA4BC21E9B}">
      <text/>
    </comment>
    <comment ref="L71" authorId="0" shapeId="0" xr:uid="{44378754-CE6A-4359-A199-AEB3400373E1}">
      <text/>
    </comment>
    <comment ref="E72" authorId="0" shapeId="0" xr:uid="{3564807F-DA9F-45E9-AED5-B1A5AF2B9261}">
      <text/>
    </comment>
    <comment ref="L73" authorId="0" shapeId="0" xr:uid="{99A66F6F-43C4-4AE9-AB77-344BB9D3CA23}">
      <text/>
    </comment>
    <comment ref="E74" authorId="0" shapeId="0" xr:uid="{57BAA837-F169-4463-9AF9-82235CC2FA3C}">
      <text/>
    </comment>
    <comment ref="L74" authorId="0" shapeId="0" xr:uid="{CF25F18C-8A4D-4889-81CF-3A24270F3C06}">
      <text/>
    </comment>
    <comment ref="E75" authorId="0" shapeId="0" xr:uid="{96298E27-9D12-4AA3-B766-97B53CD6595B}">
      <text/>
    </comment>
    <comment ref="L75" authorId="0" shapeId="0" xr:uid="{69108D5F-3FDA-407C-8ECF-D05E7F59459B}">
      <text/>
    </comment>
    <comment ref="L76" authorId="0" shapeId="0" xr:uid="{0D5C819B-A6D7-43F6-AC52-381EDEA089B3}">
      <text/>
    </comment>
    <comment ref="L77" authorId="0" shapeId="0" xr:uid="{997275B7-DE78-4A8E-941A-C9F61F07F479}">
      <text/>
    </comment>
    <comment ref="L78" authorId="0" shapeId="0" xr:uid="{F8DAB988-89BE-419F-975A-2432132A2774}">
      <text/>
    </comment>
    <comment ref="L79" authorId="0" shapeId="0" xr:uid="{26F5A810-5BC8-463A-98EF-E565EB6FD4AA}">
      <text/>
    </comment>
    <comment ref="L80" authorId="0" shapeId="0" xr:uid="{6F8CCAA5-69F4-4231-87E6-F7797623C8E8}">
      <text/>
    </comment>
    <comment ref="L81" authorId="0" shapeId="0" xr:uid="{98CE8041-F9DD-4D66-BB95-6A31758ABE80}">
      <text/>
    </comment>
    <comment ref="L82" authorId="0" shapeId="0" xr:uid="{974957D1-F34E-40CC-8AC9-45DE2845824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3" authorId="0" shapeId="0" xr:uid="{09F03E81-03C9-441B-8083-CC41C2FF4B25}">
      <text/>
    </comment>
    <comment ref="L84" authorId="0" shapeId="0" xr:uid="{372B56BE-522D-4BE2-9119-6F63B3C90F2F}">
      <text/>
    </comment>
    <comment ref="L85" authorId="0" shapeId="0" xr:uid="{91A8E959-46C6-4976-A833-D0B83EB70D2C}">
      <text/>
    </comment>
    <comment ref="L86" authorId="0" shapeId="0" xr:uid="{558119C9-5146-45E4-9D93-E2830BCFD84C}">
      <text/>
    </comment>
    <comment ref="L87" authorId="0" shapeId="0" xr:uid="{D0D1AF38-1D92-4E9E-8D68-A4F3D3FC29DF}">
      <text/>
    </comment>
    <comment ref="L88" authorId="0" shapeId="0" xr:uid="{5F71D862-68E8-4F06-9BA8-7537C576DF8E}">
      <text/>
    </comment>
    <comment ref="L89" authorId="0" shapeId="0" xr:uid="{B00D3B5B-59DF-440D-9A9E-CE359DA6FA4C}">
      <text/>
    </comment>
    <comment ref="L90" authorId="0" shapeId="0" xr:uid="{268180BC-6E11-4091-98C0-E4CE57840B4A}">
      <text/>
    </comment>
    <comment ref="L91" authorId="0" shapeId="0" xr:uid="{49F5DFED-B0AF-4B14-8038-7063E7200150}">
      <text/>
    </comment>
    <comment ref="L92" authorId="0" shapeId="0" xr:uid="{33719701-85CB-4DDC-B1AC-A1FE06FAEBA6}">
      <text/>
    </comment>
    <comment ref="L94" authorId="0" shapeId="0" xr:uid="{C150286E-03C5-4D87-83A9-DFC0875F0CF9}">
      <text/>
    </comment>
    <comment ref="L95" authorId="0" shapeId="0" xr:uid="{E2DA4184-D6FB-48C6-9CD8-4BE3721782F5}">
      <text/>
    </comment>
    <comment ref="L99" authorId="0" shapeId="0" xr:uid="{AD4C201D-B867-4AD4-928E-5AF99D2788B1}">
      <text/>
    </comment>
    <comment ref="L100" authorId="0" shapeId="0" xr:uid="{7245A460-2B53-403F-814F-4BAC06B371D0}">
      <text/>
    </comment>
    <comment ref="E101" authorId="0" shapeId="0" xr:uid="{58892726-89FE-41A9-A8A7-FF91C773C067}">
      <text/>
    </comment>
    <comment ref="L101" authorId="0" shapeId="0" xr:uid="{6F84417E-3D0B-47AF-A6FB-EDF26EBD06EC}">
      <text/>
    </comment>
    <comment ref="L102" authorId="0" shapeId="0" xr:uid="{1B0BD756-82C8-4A6E-AC1A-257CBC1A2CE6}">
      <text/>
    </comment>
    <comment ref="L103" authorId="0" shapeId="0" xr:uid="{0BF520FC-3206-48D1-92E1-E4285087DB07}">
      <text/>
    </comment>
    <comment ref="E104" authorId="0" shapeId="0" xr:uid="{DEE811F8-1C7C-42CA-A9EE-B22241F51977}">
      <text/>
    </comment>
    <comment ref="L105" authorId="0" shapeId="0" xr:uid="{63F12121-6C70-412E-886C-ABE9CE664BF1}">
      <text/>
    </comment>
    <comment ref="L106" authorId="0" shapeId="0" xr:uid="{F27F27D6-92D4-4371-A53D-2A26E2F49E3B}">
      <text/>
    </comment>
    <comment ref="E107" authorId="0" shapeId="0" xr:uid="{29910450-89BA-4BA7-85F6-E77297959D89}">
      <text/>
    </comment>
    <comment ref="L107" authorId="0" shapeId="0" xr:uid="{E69672B1-5C49-4B1F-9365-9E8436106659}">
      <text/>
    </comment>
    <comment ref="E108" authorId="0" shapeId="0" xr:uid="{C2F64B80-D239-404E-AD0F-D4A1BB0EDE8B}">
      <text/>
    </comment>
    <comment ref="L108" authorId="0" shapeId="0" xr:uid="{819805F9-ED5C-423F-A2BB-072D29C284D9}">
      <text/>
    </comment>
    <comment ref="L109" authorId="0" shapeId="0" xr:uid="{8DADD255-6B78-40C8-8758-2F5DCA8AFE2F}">
      <text/>
    </comment>
    <comment ref="L110" authorId="0" shapeId="0" xr:uid="{5BD40BFD-5ED7-47C5-A674-BC093AB88D91}">
      <text/>
    </comment>
    <comment ref="L111" authorId="0" shapeId="0" xr:uid="{84E7DBD2-0007-47E1-A185-3D2ECE7106D8}">
      <text/>
    </comment>
    <comment ref="L112" authorId="0" shapeId="0" xr:uid="{7003C00D-58D5-4ADC-AD38-89AC370918EB}">
      <text/>
    </comment>
    <comment ref="L113" authorId="0" shapeId="0" xr:uid="{15794108-93E9-4407-B830-6B450C0AEC68}">
      <text/>
    </comment>
    <comment ref="L114" authorId="0" shapeId="0" xr:uid="{9ABA10A9-7320-4DE1-84DC-61B13F9F363B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15" authorId="0" shapeId="0" xr:uid="{D8E18488-EF6F-4F2D-9E08-FCC1989A4F39}">
      <text/>
    </comment>
    <comment ref="L116" authorId="0" shapeId="0" xr:uid="{76224139-AB9F-4716-9608-EB5E9CF24676}">
      <text/>
    </comment>
    <comment ref="L117" authorId="0" shapeId="0" xr:uid="{9CD7FE45-E3EC-4CC0-ADA6-0059A4D85BA2}">
      <text/>
    </comment>
    <comment ref="L118" authorId="0" shapeId="0" xr:uid="{67B7F867-D17A-4CCB-A685-87CA0A8FC16D}">
      <text/>
    </comment>
    <comment ref="L119" authorId="0" shapeId="0" xr:uid="{4FFDD9D3-B314-4EBC-AC56-D5B9D6C2602C}">
      <text/>
    </comment>
    <comment ref="L120" authorId="0" shapeId="0" xr:uid="{919EF793-5583-45E7-A9E5-45FC51AC7443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1" authorId="0" shapeId="0" xr:uid="{14A29BD2-CF72-4804-913C-F10A2A9F46F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2" authorId="0" shapeId="0" xr:uid="{C909D525-7A79-472C-89F9-D3407E60B2D3}">
      <text/>
    </comment>
    <comment ref="L123" authorId="0" shapeId="0" xr:uid="{A16EC5E4-B28A-4E26-AF06-61904ED018E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4" authorId="0" shapeId="0" xr:uid="{AA170318-DD68-4367-B3E2-25C2B564AF3A}">
      <text/>
    </comment>
    <comment ref="L126" authorId="0" shapeId="0" xr:uid="{869815C4-4B1C-4DF8-B9B3-B2DF8A8253A9}">
      <text/>
    </comment>
    <comment ref="L127" authorId="0" shapeId="0" xr:uid="{084A75E0-1139-4F59-A1C3-C62CD3CD3885}">
      <text/>
    </comment>
    <comment ref="L131" authorId="0" shapeId="0" xr:uid="{148581E3-D2AD-4C00-984D-B69093707378}">
      <text/>
    </comment>
    <comment ref="L132" authorId="0" shapeId="0" xr:uid="{0A511B03-0326-4DC5-82F6-0082E338013C}">
      <text/>
    </comment>
    <comment ref="E133" authorId="0" shapeId="0" xr:uid="{DF0F8B49-1C68-4A1B-A4C4-5F0DA46B9DAB}">
      <text/>
    </comment>
    <comment ref="L133" authorId="0" shapeId="0" xr:uid="{329B8D2A-58A5-4C28-BC57-7054551AF197}">
      <text/>
    </comment>
    <comment ref="L134" authorId="0" shapeId="0" xr:uid="{1AA15656-9F20-4494-8D23-D3B5958B259A}">
      <text/>
    </comment>
    <comment ref="L135" authorId="0" shapeId="0" xr:uid="{B624FBCC-7F0A-44FB-A285-4DC3E13E2911}">
      <text/>
    </comment>
    <comment ref="E136" authorId="0" shapeId="0" xr:uid="{2333AE3A-B3F8-4794-B642-8E499C9D12F0}">
      <text/>
    </comment>
    <comment ref="L137" authorId="0" shapeId="0" xr:uid="{404DCD6B-6B7A-4621-959D-29BB357704DE}">
      <text/>
    </comment>
    <comment ref="E138" authorId="0" shapeId="0" xr:uid="{D6C073D7-5353-455E-8580-6D9007D87069}">
      <text/>
    </comment>
    <comment ref="L138" authorId="0" shapeId="0" xr:uid="{85B27151-C37D-4AA1-A41D-D49282FB8400}">
      <text/>
    </comment>
    <comment ref="E139" authorId="0" shapeId="0" xr:uid="{C5539964-1DA2-44D9-B013-05CD9BC43A70}">
      <text/>
    </comment>
    <comment ref="L139" authorId="0" shapeId="0" xr:uid="{09717F50-1EC6-459F-8888-730736B82ACD}">
      <text/>
    </comment>
    <comment ref="L140" authorId="0" shapeId="0" xr:uid="{B36CF70C-87ED-4ADE-9EEE-803FA5D8B412}">
      <text/>
    </comment>
    <comment ref="L141" authorId="0" shapeId="0" xr:uid="{5A268675-8DA9-44E5-9FAE-2B789CD37D9D}">
      <text/>
    </comment>
    <comment ref="L142" authorId="0" shapeId="0" xr:uid="{2AFDCF3D-CEE2-4D79-A2C2-CE241561E8E5}">
      <text/>
    </comment>
    <comment ref="L143" authorId="0" shapeId="0" xr:uid="{613549A5-5AAD-467C-B2BD-F50FF472D639}">
      <text/>
    </comment>
    <comment ref="L144" authorId="0" shapeId="0" xr:uid="{C07E9A49-CE6C-41E3-98D7-1607DB1CB985}">
      <text/>
    </comment>
    <comment ref="L145" authorId="0" shapeId="0" xr:uid="{BAA40618-BB6B-4D24-BCFD-C13D2F2DE7B3}">
      <text/>
    </comment>
    <comment ref="L146" authorId="0" shapeId="0" xr:uid="{D0B7AE30-AAF1-4262-91FC-D8C9963F1389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47" authorId="0" shapeId="0" xr:uid="{7A92759F-74CA-4F0A-966B-06256FDC2BDD}">
      <text/>
    </comment>
    <comment ref="L148" authorId="0" shapeId="0" xr:uid="{15DE67FA-EF1D-4808-A75F-50CA3F85AFB9}">
      <text/>
    </comment>
    <comment ref="L149" authorId="0" shapeId="0" xr:uid="{4227BA7D-3713-430F-A90E-066AF02FA2A1}">
      <text/>
    </comment>
    <comment ref="L150" authorId="0" shapeId="0" xr:uid="{CDD72DF3-537E-454D-8DB2-158B04BEB608}">
      <text/>
    </comment>
    <comment ref="L151" authorId="0" shapeId="0" xr:uid="{4CECBF2A-FEA2-4628-8521-0757D0591ADC}">
      <text/>
    </comment>
    <comment ref="L152" authorId="0" shapeId="0" xr:uid="{ECF5A015-FE90-405A-AFD3-67C8842ADCD0}">
      <text/>
    </comment>
    <comment ref="L153" authorId="0" shapeId="0" xr:uid="{2CDC1316-129A-4923-9480-5336B2311E83}">
      <text/>
    </comment>
    <comment ref="L154" authorId="0" shapeId="0" xr:uid="{3207CE7A-8369-4B13-B28C-87C9A7C9E174}">
      <text/>
    </comment>
    <comment ref="L155" authorId="0" shapeId="0" xr:uid="{30AF5CA9-8A81-43E0-B6B4-D4452E432437}">
      <text/>
    </comment>
    <comment ref="L156" authorId="0" shapeId="0" xr:uid="{E0EF8131-43FB-4612-9AC2-60595BA42DE1}">
      <text/>
    </comment>
    <comment ref="L158" authorId="0" shapeId="0" xr:uid="{0E42E510-C7EA-4CDE-8BAB-33892261F508}">
      <text/>
    </comment>
    <comment ref="L159" authorId="0" shapeId="0" xr:uid="{B07EF433-97B9-48BC-B58A-2441A4048952}">
      <text/>
    </comment>
    <comment ref="L163" authorId="0" shapeId="0" xr:uid="{7AF4E8F1-41FB-4FD0-8623-DBB3FF71F098}">
      <text/>
    </comment>
    <comment ref="L164" authorId="0" shapeId="0" xr:uid="{C01000E0-7152-4342-9AB1-05235934BE93}">
      <text/>
    </comment>
    <comment ref="E165" authorId="0" shapeId="0" xr:uid="{E654D3A8-EE26-47EF-9AA9-216075221E6E}">
      <text/>
    </comment>
    <comment ref="L165" authorId="0" shapeId="0" xr:uid="{B639E357-1111-4DE5-A5E7-EE5FD31E8367}">
      <text/>
    </comment>
    <comment ref="L166" authorId="0" shapeId="0" xr:uid="{AD65A7B7-7243-4FB3-B4FC-0CF8D22134E2}">
      <text/>
    </comment>
    <comment ref="L167" authorId="0" shapeId="0" xr:uid="{51C71B1F-C423-48AB-951D-3B201B39E9DB}">
      <text/>
    </comment>
    <comment ref="E168" authorId="0" shapeId="0" xr:uid="{60AC482D-7009-4790-979A-1B9B4305A721}">
      <text/>
    </comment>
    <comment ref="L168" authorId="0" shapeId="0" xr:uid="{EC59BF53-7A9A-4772-A385-57A751FAFA06}">
      <text/>
    </comment>
    <comment ref="L169" authorId="0" shapeId="0" xr:uid="{F0D2540A-E928-464D-AF65-E70CC213AE96}">
      <text/>
    </comment>
    <comment ref="L170" authorId="0" shapeId="0" xr:uid="{D1DCD484-191E-4A4D-8A0C-D6FFA3082EFC}">
      <text/>
    </comment>
    <comment ref="E171" authorId="0" shapeId="0" xr:uid="{FD49A4F9-BA6B-49FE-9627-8A750FAD5D94}">
      <text/>
    </comment>
    <comment ref="L171" authorId="0" shapeId="0" xr:uid="{1C4903FD-E13F-4C95-8D93-1C2090A6E02D}">
      <text/>
    </comment>
    <comment ref="E172" authorId="0" shapeId="0" xr:uid="{63D2DA48-87E8-4399-B999-9BD9C7B879B6}">
      <text/>
    </comment>
    <comment ref="L172" authorId="0" shapeId="0" xr:uid="{581B3D93-81B2-4817-8847-76DA5F21EBE8}">
      <text/>
    </comment>
    <comment ref="L173" authorId="0" shapeId="0" xr:uid="{B2DDA846-9962-443A-AF51-BB2CE7DEAA84}">
      <text/>
    </comment>
    <comment ref="L174" authorId="0" shapeId="0" xr:uid="{42CFFCEC-5402-4850-81A4-22402C930F87}">
      <text/>
    </comment>
    <comment ref="L175" authorId="0" shapeId="0" xr:uid="{968A54E4-5825-4165-BFC9-1BB6483C9589}">
      <text/>
    </comment>
    <comment ref="L176" authorId="0" shapeId="0" xr:uid="{4098A003-BF1E-41C4-8844-3F751F26F21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77" authorId="0" shapeId="0" xr:uid="{ED99C5AC-FD9E-4E3E-8437-8580534BA833}">
      <text/>
    </comment>
    <comment ref="L178" authorId="0" shapeId="0" xr:uid="{F75304BA-B806-4485-AEE0-AF816F9A7BF0}">
      <text/>
    </comment>
    <comment ref="L179" authorId="0" shapeId="0" xr:uid="{F8F6D999-52DB-4327-8E80-BD8A6EA116CD}">
      <text/>
    </comment>
    <comment ref="L180" authorId="0" shapeId="0" xr:uid="{77069B2C-62E2-4E0E-B0D9-A6DA001FD4C2}">
      <text/>
    </comment>
    <comment ref="L181" authorId="0" shapeId="0" xr:uid="{5DC24A76-FC7D-48F1-A396-393300588C6A}">
      <text/>
    </comment>
    <comment ref="L182" authorId="0" shapeId="0" xr:uid="{559D2664-2A5B-4C5F-B48D-BED3F40F2B57}">
      <text/>
    </comment>
    <comment ref="L183" authorId="0" shapeId="0" xr:uid="{2FB67AEA-EA1C-4492-8119-9FA2C9EFB028}">
      <text/>
    </comment>
    <comment ref="L184" authorId="0" shapeId="0" xr:uid="{B940AB5D-54A0-4775-8FAF-33554B76933A}">
      <text/>
    </comment>
    <comment ref="L185" authorId="0" shapeId="0" xr:uid="{791E9198-DC89-4D05-99B1-6ECBF4C6A49E}">
      <text/>
    </comment>
    <comment ref="L186" authorId="0" shapeId="0" xr:uid="{7532A8CD-F565-4A0B-8D9A-84527695453F}">
      <text/>
    </comment>
    <comment ref="L188" authorId="0" shapeId="0" xr:uid="{616CADC9-349A-4EE3-BDD9-4A89D2F087E3}">
      <text/>
    </comment>
    <comment ref="L189" authorId="0" shapeId="0" xr:uid="{A083F352-4FA7-44E9-8552-B30BA3DB13F1}">
      <text/>
    </comment>
    <comment ref="L193" authorId="0" shapeId="0" xr:uid="{C65FEC07-7338-4AFD-9EAE-BA7EE3F97A79}">
      <text/>
    </comment>
    <comment ref="L194" authorId="0" shapeId="0" xr:uid="{F45744D9-8CA9-4771-8713-1AFA05925867}">
      <text/>
    </comment>
    <comment ref="E195" authorId="0" shapeId="0" xr:uid="{F0EDEF59-7C99-4A44-B988-41EF612EB23C}">
      <text/>
    </comment>
    <comment ref="L195" authorId="0" shapeId="0" xr:uid="{827E5E41-0098-4D04-88AC-F9F1E9356658}">
      <text/>
    </comment>
    <comment ref="L196" authorId="0" shapeId="0" xr:uid="{932E1CBD-6D5A-44DE-80F3-7DAFB37A143D}">
      <text/>
    </comment>
    <comment ref="L197" authorId="0" shapeId="0" xr:uid="{D3201320-FAC5-4A52-9B66-3A93B44FA406}">
      <text/>
    </comment>
    <comment ref="E198" authorId="0" shapeId="0" xr:uid="{DDA7FD34-C59D-4ED5-A444-7C4E8ACF1DCB}">
      <text/>
    </comment>
    <comment ref="L198" authorId="0" shapeId="0" xr:uid="{F8017FC0-D8E8-4BDC-800D-1C875AE55E79}">
      <text/>
    </comment>
    <comment ref="L199" authorId="0" shapeId="0" xr:uid="{A296B4CE-8DE5-41C0-BC17-F3F083340CC4}">
      <text/>
    </comment>
    <comment ref="L200" authorId="0" shapeId="0" xr:uid="{C1B6DC5E-DB8A-4804-BFDD-43EA4FBC466C}">
      <text/>
    </comment>
    <comment ref="L201" authorId="0" shapeId="0" xr:uid="{09E18D5F-1D41-4D14-ACC7-2B49430276C8}">
      <text/>
    </comment>
    <comment ref="L202" authorId="0" shapeId="0" xr:uid="{60628989-D42C-495C-915E-9B175537DCF2}">
      <text/>
    </comment>
    <comment ref="L203" authorId="0" shapeId="0" xr:uid="{699D3C83-C145-4497-9AE8-A76D00BB96B4}">
      <text/>
    </comment>
    <comment ref="L204" authorId="0" shapeId="0" xr:uid="{EC4FA833-337D-41F8-BD43-A99B7B0B36EF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05" authorId="0" shapeId="0" xr:uid="{BAB14F8C-70E0-4270-B902-86F6601B0F2C}">
      <text/>
    </comment>
    <comment ref="L206" authorId="0" shapeId="0" xr:uid="{990CA25D-DD77-44A0-BE8B-F0947CBB1972}">
      <text/>
    </comment>
    <comment ref="L207" authorId="0" shapeId="0" xr:uid="{AC9F5351-64E5-4731-A865-CCB72D67A036}">
      <text/>
    </comment>
    <comment ref="L208" authorId="0" shapeId="0" xr:uid="{F20C05E4-5E40-4A9A-A4F2-572BA22EA4DD}">
      <text/>
    </comment>
    <comment ref="L209" authorId="0" shapeId="0" xr:uid="{94F1BAAF-CEF3-4D2B-BB3F-7C0FBD29FF46}">
      <text/>
    </comment>
    <comment ref="L210" authorId="0" shapeId="0" xr:uid="{AE9D05E1-8308-453F-8EB3-E4F5AD82827A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11" authorId="0" shapeId="0" xr:uid="{6A919026-7E2B-41E8-A67C-BAD31D9857FD}">
      <text/>
    </comment>
    <comment ref="L212" authorId="0" shapeId="0" xr:uid="{4CDC67A7-B24C-47E6-9816-C774CC1B2D8D}">
      <text/>
    </comment>
    <comment ref="L214" authorId="0" shapeId="0" xr:uid="{E981C26A-4362-44CE-897F-EBB3F3934960}">
      <text/>
    </comment>
    <comment ref="L220" authorId="0" shapeId="0" xr:uid="{1B215F3C-EF34-4353-8917-C57E40AC487E}">
      <text/>
    </comment>
    <comment ref="L221" authorId="0" shapeId="0" xr:uid="{4C95DD81-5969-4087-8AC2-CB17B98ED2B1}">
      <text/>
    </comment>
    <comment ref="E222" authorId="0" shapeId="0" xr:uid="{1B83C23C-22E1-4B9D-9341-2FED518A0CC7}">
      <text/>
    </comment>
    <comment ref="L222" authorId="0" shapeId="0" xr:uid="{5324CBE9-CCDD-4747-9B1D-66454354DF9A}">
      <text/>
    </comment>
    <comment ref="L223" authorId="0" shapeId="0" xr:uid="{84679A35-2DE5-40C9-96D5-83D3E3C1CF73}">
      <text/>
    </comment>
    <comment ref="L224" authorId="0" shapeId="0" xr:uid="{76401834-5DB6-4546-BA80-3EB637A84794}">
      <text/>
    </comment>
    <comment ref="E225" authorId="0" shapeId="0" xr:uid="{49BE836C-FD89-4D34-89B0-76BDF8F30AA5}">
      <text/>
    </comment>
    <comment ref="L226" authorId="0" shapeId="0" xr:uid="{481D55D0-FC12-406E-968B-14F8B7BAC9FE}">
      <text/>
    </comment>
    <comment ref="L227" authorId="0" shapeId="0" xr:uid="{C9B9BF0B-0DB2-4C9F-AEF7-F9038C84A36E}">
      <text/>
    </comment>
    <comment ref="E228" authorId="0" shapeId="0" xr:uid="{18FE5983-52AA-4144-8769-DDBB473C95A6}">
      <text/>
    </comment>
    <comment ref="L228" authorId="0" shapeId="0" xr:uid="{1305D0C9-9649-4081-83F7-D949835E7935}">
      <text/>
    </comment>
    <comment ref="E229" authorId="0" shapeId="0" xr:uid="{2CB2F087-5ECC-4AA5-8E3C-FD91596B6D0E}">
      <text/>
    </comment>
    <comment ref="L229" authorId="0" shapeId="0" xr:uid="{1CEE5518-06C0-440F-AFF7-0057C9A971EE}">
      <text/>
    </comment>
    <comment ref="L230" authorId="0" shapeId="0" xr:uid="{0603FE58-9C50-4E6D-80DC-73AB5E7DB937}">
      <text/>
    </comment>
    <comment ref="L231" authorId="0" shapeId="0" xr:uid="{21F2D0F2-602C-4018-BDA4-0943EC1C44B0}">
      <text/>
    </comment>
    <comment ref="L232" authorId="0" shapeId="0" xr:uid="{CDC4420F-09A3-4336-9566-552FDCA334A7}">
      <text/>
    </comment>
    <comment ref="L233" authorId="0" shapeId="0" xr:uid="{9751A46C-2F63-4DFE-A1B1-A3209FC95D78}">
      <text/>
    </comment>
    <comment ref="L234" authorId="0" shapeId="0" xr:uid="{3349F014-ED6C-4D38-B2EB-18C75CB6BF1A}">
      <text/>
    </comment>
    <comment ref="L235" authorId="0" shapeId="0" xr:uid="{8CA801D0-6CA6-4F4A-85DA-DE593529D804}">
      <text/>
    </comment>
    <comment ref="L236" authorId="0" shapeId="0" xr:uid="{6645070D-7009-4401-ACA4-9F969D904447}">
      <text/>
    </comment>
    <comment ref="L237" authorId="0" shapeId="0" xr:uid="{B1157DDA-A5AE-4991-B3E6-1146A09B7E1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38" authorId="0" shapeId="0" xr:uid="{B084262B-2EDE-4D7B-B92B-105013A59563}">
      <text/>
    </comment>
    <comment ref="L239" authorId="0" shapeId="0" xr:uid="{33B03DD9-A504-4D8F-B76C-8C314CF479E9}">
      <text/>
    </comment>
    <comment ref="L240" authorId="0" shapeId="0" xr:uid="{DE527CD2-20C9-47B9-A653-6FFB0D6316FB}">
      <text/>
    </comment>
    <comment ref="L241" authorId="0" shapeId="0" xr:uid="{7320BAB0-EACD-4E57-936F-662F501C2463}">
      <text/>
    </comment>
    <comment ref="L242" authorId="0" shapeId="0" xr:uid="{DABD50ED-9DBE-4796-A9D2-DF856BD4E287}">
      <text/>
    </comment>
    <comment ref="L243" authorId="0" shapeId="0" xr:uid="{17C5C1F4-732A-44E9-93F4-872A9F9DDD47}">
      <text/>
    </comment>
    <comment ref="L244" authorId="0" shapeId="0" xr:uid="{FA7135C3-C66C-4C0C-A443-2FE172DAD401}">
      <text/>
    </comment>
    <comment ref="L245" authorId="0" shapeId="0" xr:uid="{015673B0-9458-48C6-A775-6DF0101470E1}">
      <text/>
    </comment>
    <comment ref="L246" authorId="0" shapeId="0" xr:uid="{9DF6CB33-82C4-4153-AC15-957AED075165}">
      <text/>
    </comment>
    <comment ref="L247" authorId="0" shapeId="0" xr:uid="{24160678-A6AE-4D4F-BB3A-8C8FD76F02EF}">
      <text/>
    </comment>
    <comment ref="L249" authorId="0" shapeId="0" xr:uid="{C4975D5B-6D06-4CEC-9FC4-859A3A01F1E3}">
      <text/>
    </comment>
    <comment ref="L250" authorId="0" shapeId="0" xr:uid="{01CBCDB4-991C-419D-9A52-0771EE0F5329}">
      <text/>
    </comment>
    <comment ref="L255" authorId="0" shapeId="0" xr:uid="{783D549D-87EB-4184-A4A6-ACFE68523A62}">
      <text/>
    </comment>
    <comment ref="L256" authorId="0" shapeId="0" xr:uid="{FFC946A7-D5D6-4FD5-96A4-A493526CFE3D}">
      <text/>
    </comment>
    <comment ref="E257" authorId="0" shapeId="0" xr:uid="{622082EF-AA11-4C1B-A054-65C5E49F6AEB}">
      <text/>
    </comment>
    <comment ref="L257" authorId="0" shapeId="0" xr:uid="{E03FA963-97EB-4DD1-9B4D-B29333B8B578}">
      <text/>
    </comment>
    <comment ref="L258" authorId="0" shapeId="0" xr:uid="{30E05E64-00E6-457B-B985-AED59F31F583}">
      <text/>
    </comment>
    <comment ref="L259" authorId="0" shapeId="0" xr:uid="{5A659CE0-F819-4149-A05E-4D1B86D8BEFA}">
      <text/>
    </comment>
    <comment ref="E260" authorId="0" shapeId="0" xr:uid="{2B902752-618E-43D9-9BAF-8B1C92F18FB6}">
      <text/>
    </comment>
    <comment ref="L260" authorId="0" shapeId="0" xr:uid="{961C0243-AD48-4D63-BD6B-D0229127239C}">
      <text/>
    </comment>
    <comment ref="L261" authorId="0" shapeId="0" xr:uid="{E94C74BF-6128-4DE7-8EE0-07C81D4B3998}">
      <text/>
    </comment>
    <comment ref="L262" authorId="0" shapeId="0" xr:uid="{CF3F2EAB-B990-4F51-A615-8AEE92E0B1FE}">
      <text/>
    </comment>
    <comment ref="E263" authorId="0" shapeId="0" xr:uid="{04296417-ACBE-4841-B729-80B72BA510AD}">
      <text/>
    </comment>
    <comment ref="L263" authorId="0" shapeId="0" xr:uid="{CA281C43-AD95-46A0-8C20-599F99416889}">
      <text/>
    </comment>
    <comment ref="E264" authorId="0" shapeId="0" xr:uid="{D4535A0C-618C-461D-8CAB-BC1D68AB12BD}">
      <text/>
    </comment>
    <comment ref="L264" authorId="0" shapeId="0" xr:uid="{9D0B9284-D4EC-48C1-A57F-955BA96B7F14}">
      <text/>
    </comment>
    <comment ref="L265" authorId="0" shapeId="0" xr:uid="{FA68F9C6-C83D-4451-98DB-84F1E7443F55}">
      <text/>
    </comment>
    <comment ref="L266" authorId="0" shapeId="0" xr:uid="{B3A55286-4D97-4F16-9BF2-090BB6F3DF5D}">
      <text/>
    </comment>
    <comment ref="L267" authorId="0" shapeId="0" xr:uid="{D45FAB8A-3C50-4D83-B60E-C711BDE40548}">
      <text/>
    </comment>
    <comment ref="L268" authorId="0" shapeId="0" xr:uid="{074ACDBC-6B60-4E55-BEA4-D877B2DCFB02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269" authorId="0" shapeId="0" xr:uid="{B93C0CD1-A6EC-4F71-892E-D592976E00F3}">
      <text/>
    </comment>
    <comment ref="L270" authorId="0" shapeId="0" xr:uid="{FEDAF564-0492-4E66-B0DE-4D5FD1DE04D4}">
      <text/>
    </comment>
    <comment ref="L271" authorId="0" shapeId="0" xr:uid="{1933287A-39D0-48DD-BB0E-D5DB28F4DA57}">
      <text/>
    </comment>
    <comment ref="L272" authorId="0" shapeId="0" xr:uid="{34E1A3B3-BF33-4523-9C4C-AA5FCDBBB2BD}">
      <text/>
    </comment>
    <comment ref="L273" authorId="0" shapeId="0" xr:uid="{0B673E6F-008D-49BE-8D1C-99DE1C8D58DB}">
      <text/>
    </comment>
    <comment ref="L274" authorId="0" shapeId="0" xr:uid="{6C028A34-8BB1-42E8-80C0-82B7BB85FCFD}">
      <text/>
    </comment>
    <comment ref="L275" authorId="0" shapeId="0" xr:uid="{9C7E2DAD-DC19-48AD-A36D-C264CD46A104}">
      <text/>
    </comment>
    <comment ref="L276" authorId="0" shapeId="0" xr:uid="{4B29A365-933C-43F9-8A5A-803B5C005D06}">
      <text/>
    </comment>
    <comment ref="L278" authorId="0" shapeId="0" xr:uid="{8E5376CF-BEB9-4D00-8A66-AA8668F98ED9}">
      <text/>
    </comment>
    <comment ref="L279" authorId="0" shapeId="0" xr:uid="{AD719E2E-FAEE-47B1-A4FD-98AB172A8A9B}">
      <text/>
    </comment>
    <comment ref="L286" authorId="0" shapeId="0" xr:uid="{F85DF6D7-5334-4B92-9FCD-17A6C7207D12}">
      <text/>
    </comment>
    <comment ref="L287" authorId="0" shapeId="0" xr:uid="{928F8E5B-803B-4C82-99AC-2777DA2A9751}">
      <text/>
    </comment>
    <comment ref="E288" authorId="0" shapeId="0" xr:uid="{C2F62777-24F9-4DDB-951B-9E220835BDCB}">
      <text/>
    </comment>
    <comment ref="L288" authorId="0" shapeId="0" xr:uid="{513F4122-6B53-4EB2-8EAD-DFA8CC070803}">
      <text/>
    </comment>
    <comment ref="L289" authorId="0" shapeId="0" xr:uid="{94D23349-A1EE-4B15-BACE-C4BD64BEE897}">
      <text/>
    </comment>
    <comment ref="L290" authorId="0" shapeId="0" xr:uid="{0D615B8D-EBD3-4827-8DBE-B91AB57C43AB}">
      <text/>
    </comment>
    <comment ref="E291" authorId="0" shapeId="0" xr:uid="{5E7D61BA-1B16-4C7F-A9F8-9371F6956141}">
      <text/>
    </comment>
    <comment ref="L292" authorId="0" shapeId="0" xr:uid="{8AC3D54F-EAF2-4454-8F4B-DF3CC5CE9B56}">
      <text/>
    </comment>
    <comment ref="E293" authorId="0" shapeId="0" xr:uid="{94162F97-D285-4567-A8F4-155B1F6ABAA6}">
      <text/>
    </comment>
    <comment ref="L293" authorId="0" shapeId="0" xr:uid="{C37C525E-83F8-4D1B-B455-F2342046FF30}">
      <text/>
    </comment>
    <comment ref="E294" authorId="0" shapeId="0" xr:uid="{698D1823-10EB-4113-A21F-B13E6A93CDC1}">
      <text/>
    </comment>
    <comment ref="L294" authorId="0" shapeId="0" xr:uid="{2A04F1A0-AACB-4DDF-B285-100153F895A1}">
      <text/>
    </comment>
    <comment ref="L296" authorId="0" shapeId="0" xr:uid="{F0EDF3A9-C610-4457-B4A0-7BBA79C931CE}">
      <text/>
    </comment>
    <comment ref="L297" authorId="0" shapeId="0" xr:uid="{60BF8B1F-02A2-4C75-8AFB-58A0B005C277}">
      <text/>
    </comment>
    <comment ref="L298" authorId="0" shapeId="0" xr:uid="{00F99ECB-BF7C-4DE9-BE03-8B5DCF12C4A4}">
      <text/>
    </comment>
    <comment ref="L299" authorId="0" shapeId="0" xr:uid="{0432B49A-24F4-41B2-B9D1-5F18477D0ABA}">
      <text/>
    </comment>
    <comment ref="L300" authorId="0" shapeId="0" xr:uid="{8937DEE5-2BCA-475C-B0B2-FB2070CC9DCF}">
      <text/>
    </comment>
    <comment ref="L301" authorId="0" shapeId="0" xr:uid="{B0002144-3998-4AEB-9B8B-9A0D7422F8EE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02" authorId="0" shapeId="0" xr:uid="{83F962B6-9A00-42EC-A9AD-645A69FF7CD9}">
      <text/>
    </comment>
    <comment ref="L303" authorId="0" shapeId="0" xr:uid="{AD1CA2F8-7DCB-4FC4-B810-DDF00A72C272}">
      <text/>
    </comment>
    <comment ref="L304" authorId="0" shapeId="0" xr:uid="{1FC8832F-3E5E-407B-8253-F5A7FC2DD728}">
      <text/>
    </comment>
    <comment ref="L305" authorId="0" shapeId="0" xr:uid="{21CF6366-A935-454B-9CF5-C068C8271830}">
      <text/>
    </comment>
    <comment ref="L306" authorId="0" shapeId="0" xr:uid="{8477E6BA-79E5-4953-BF30-BDD364C88E1A}">
      <text/>
    </comment>
    <comment ref="L307" authorId="0" shapeId="0" xr:uid="{81948013-DD44-4E45-A83E-C45BA106D608}">
      <text/>
    </comment>
    <comment ref="L308" authorId="0" shapeId="0" xr:uid="{F97DB0A2-F40F-48F1-8B54-6E0E6310AC4A}">
      <text/>
    </comment>
    <comment ref="L309" authorId="0" shapeId="0" xr:uid="{4502109C-660A-4854-B7D4-BB466526E152}">
      <text/>
    </comment>
    <comment ref="L310" authorId="0" shapeId="0" xr:uid="{AC24C8E9-BEF0-4075-81EF-AD97D6E4EB24}">
      <text/>
    </comment>
    <comment ref="L311" authorId="0" shapeId="0" xr:uid="{2689E85B-E1BA-4EFD-8AF1-A5D55997C97D}">
      <text/>
    </comment>
    <comment ref="L313" authorId="0" shapeId="0" xr:uid="{ED6EF23C-BFA1-45B0-BEE5-4690AD0A3832}">
      <text/>
    </comment>
    <comment ref="L314" authorId="0" shapeId="0" xr:uid="{46CC66D2-413C-42C7-ABE4-8F9047B0DDEB}">
      <text/>
    </comment>
    <comment ref="L320" authorId="0" shapeId="0" xr:uid="{86D575EA-4596-427A-AC5C-7FF51B6708ED}">
      <text/>
    </comment>
    <comment ref="L321" authorId="0" shapeId="0" xr:uid="{F9EB110E-3E22-4E07-B371-8B7724B9122B}">
      <text/>
    </comment>
    <comment ref="E322" authorId="0" shapeId="0" xr:uid="{0840469A-02FB-4EF6-8C94-6E6D2E96C26D}">
      <text/>
    </comment>
    <comment ref="L322" authorId="0" shapeId="0" xr:uid="{9EFBD4AB-1BCE-4EA8-9CDC-8A1B6F4CCB60}">
      <text/>
    </comment>
    <comment ref="L323" authorId="0" shapeId="0" xr:uid="{7391F35C-A443-4C76-9223-35B34D6DD6AC}">
      <text/>
    </comment>
    <comment ref="L324" authorId="0" shapeId="0" xr:uid="{48EF903C-4C07-4F49-AAF0-19425C5B1873}">
      <text/>
    </comment>
    <comment ref="E325" authorId="0" shapeId="0" xr:uid="{049192EC-297F-4A97-A9E6-B482986B2326}">
      <text/>
    </comment>
    <comment ref="L326" authorId="0" shapeId="0" xr:uid="{9C80622A-7454-499C-A116-8F469BA6ED22}">
      <text/>
    </comment>
    <comment ref="E327" authorId="0" shapeId="0" xr:uid="{8926B1E1-4C8F-4558-B14B-45B49182D4C5}">
      <text/>
    </comment>
    <comment ref="L327" authorId="0" shapeId="0" xr:uid="{40781E43-8929-48E5-B8CB-D88754F67CF2}">
      <text/>
    </comment>
    <comment ref="E328" authorId="0" shapeId="0" xr:uid="{7184A026-AAF3-4FEF-99BF-9D62F7B09344}">
      <text/>
    </comment>
    <comment ref="L328" authorId="0" shapeId="0" xr:uid="{AF8C673E-443B-4A81-8BC6-9AC8EE83556A}">
      <text/>
    </comment>
    <comment ref="L330" authorId="0" shapeId="0" xr:uid="{CAFF16CC-7A4E-46B8-98DE-A02B2FD9BB3F}">
      <text/>
    </comment>
    <comment ref="L331" authorId="0" shapeId="0" xr:uid="{76CF02B1-89CC-456B-BCBF-4EB9B253C0AB}">
      <text/>
    </comment>
    <comment ref="L332" authorId="0" shapeId="0" xr:uid="{0F12CA4C-EA2A-46E3-8B51-331224BF8BE2}">
      <text/>
    </comment>
    <comment ref="L333" authorId="0" shapeId="0" xr:uid="{B9412C85-18D3-4AFD-85AE-94EFFE1574E1}">
      <text/>
    </comment>
    <comment ref="L334" authorId="0" shapeId="0" xr:uid="{9ACBA249-A935-40C0-963A-0BA25573500D}">
      <text/>
    </comment>
    <comment ref="L335" authorId="0" shapeId="0" xr:uid="{F44A1C78-1220-4521-9493-61100E39379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36" authorId="0" shapeId="0" xr:uid="{C1C052A1-21B1-435B-9197-438F5AAF669C}">
      <text/>
    </comment>
    <comment ref="L337" authorId="0" shapeId="0" xr:uid="{FF4D650F-4B14-498C-B748-F88C4268BC54}">
      <text/>
    </comment>
    <comment ref="L338" authorId="0" shapeId="0" xr:uid="{E68829FC-84EC-412D-AF09-065D77A8671C}">
      <text/>
    </comment>
    <comment ref="L339" authorId="0" shapeId="0" xr:uid="{043DBD3B-512E-483B-B746-1A0EC8C254BF}">
      <text/>
    </comment>
    <comment ref="L340" authorId="0" shapeId="0" xr:uid="{B18DE515-C418-48D1-BC1D-3ACE58962827}">
      <text/>
    </comment>
    <comment ref="L341" authorId="0" shapeId="0" xr:uid="{1A64DBE1-7A56-4907-9661-8E4C24B97A2D}">
      <text/>
    </comment>
    <comment ref="L342" authorId="0" shapeId="0" xr:uid="{3D6DCE2D-4283-4C20-B086-B70A76C0608C}">
      <text/>
    </comment>
    <comment ref="L343" authorId="0" shapeId="0" xr:uid="{1D0942B2-3C78-4822-BC78-126299858DF6}">
      <text/>
    </comment>
    <comment ref="L344" authorId="0" shapeId="0" xr:uid="{D1853586-5047-401D-BA2B-17AF5E3090CC}">
      <text/>
    </comment>
    <comment ref="L345" authorId="0" shapeId="0" xr:uid="{0D4D8197-9526-438C-99ED-5CC3DB831439}">
      <text/>
    </comment>
    <comment ref="L347" authorId="0" shapeId="0" xr:uid="{AD981CA1-1D13-4B0D-8A58-7CA3FC9D41A8}">
      <text/>
    </comment>
    <comment ref="L348" authorId="0" shapeId="0" xr:uid="{23E3AC08-0A26-43BD-BF42-DDEBAEAFB450}">
      <text/>
    </comment>
  </commentList>
</comments>
</file>

<file path=xl/comments7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Autor</author>
  </authors>
  <commentList>
    <comment ref="L3" authorId="0" shapeId="0" xr:uid="{00000000-0006-0000-0500-000001000000}">
      <text/>
    </comment>
    <comment ref="L4" authorId="0" shapeId="0" xr:uid="{00000000-0006-0000-0500-000002000000}">
      <text/>
    </comment>
    <comment ref="L5" authorId="0" shapeId="0" xr:uid="{00000000-0006-0000-0500-000003000000}">
      <text/>
    </comment>
    <comment ref="L6" authorId="0" shapeId="0" xr:uid="{00000000-0006-0000-0500-000004000000}">
      <text/>
    </comment>
    <comment ref="E7" authorId="0" shapeId="0" xr:uid="{00000000-0006-0000-0500-000005000000}">
      <text/>
    </comment>
    <comment ref="L7" authorId="0" shapeId="0" xr:uid="{00000000-0006-0000-0500-000006000000}">
      <text/>
    </comment>
    <comment ref="L8" authorId="0" shapeId="0" xr:uid="{00000000-0006-0000-0500-000007000000}">
      <text/>
    </comment>
    <comment ref="L9" authorId="0" shapeId="0" xr:uid="{00000000-0006-0000-0500-000008000000}">
      <text/>
    </comment>
    <comment ref="L10" authorId="0" shapeId="0" xr:uid="{00000000-0006-0000-0500-000009000000}">
      <text/>
    </comment>
    <comment ref="L11" authorId="0" shapeId="0" xr:uid="{00000000-0006-0000-0500-00000A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12" authorId="0" shapeId="0" xr:uid="{00000000-0006-0000-0500-00000B000000}">
      <text/>
    </comment>
    <comment ref="L13" authorId="0" shapeId="0" xr:uid="{00000000-0006-0000-0500-00000C000000}">
      <text/>
    </comment>
    <comment ref="L14" authorId="0" shapeId="0" xr:uid="{00000000-0006-0000-0500-00000D000000}">
      <text/>
    </comment>
    <comment ref="L15" authorId="0" shapeId="0" xr:uid="{00000000-0006-0000-0500-00000E000000}">
      <text/>
    </comment>
    <comment ref="L16" authorId="0" shapeId="0" xr:uid="{00000000-0006-0000-0500-00000F000000}">
      <text/>
    </comment>
    <comment ref="L17" authorId="0" shapeId="0" xr:uid="{00000000-0006-0000-0500-000010000000}">
      <text/>
    </comment>
    <comment ref="L18" authorId="0" shapeId="0" xr:uid="{00000000-0006-0000-0500-000011000000}">
      <text/>
    </comment>
    <comment ref="L19" authorId="0" shapeId="0" xr:uid="{00000000-0006-0000-0500-000012000000}">
      <text/>
    </comment>
    <comment ref="L20" authorId="0" shapeId="0" xr:uid="{00000000-0006-0000-0500-000013000000}">
      <text/>
    </comment>
    <comment ref="L21" authorId="0" shapeId="0" xr:uid="{00000000-0006-0000-0500-000014000000}">
      <text/>
    </comment>
    <comment ref="L25" authorId="0" shapeId="0" xr:uid="{00000000-0006-0000-0500-000015000000}">
      <text/>
    </comment>
    <comment ref="L26" authorId="0" shapeId="0" xr:uid="{00000000-0006-0000-0500-000016000000}">
      <text/>
    </comment>
    <comment ref="L27" authorId="0" shapeId="0" xr:uid="{00000000-0006-0000-0500-000017000000}">
      <text/>
    </comment>
    <comment ref="L28" authorId="0" shapeId="0" xr:uid="{00000000-0006-0000-0500-000018000000}">
      <text/>
    </comment>
    <comment ref="E29" authorId="0" shapeId="0" xr:uid="{00000000-0006-0000-0500-000019000000}">
      <text/>
    </comment>
    <comment ref="L29" authorId="0" shapeId="0" xr:uid="{00000000-0006-0000-0500-00001A000000}">
      <text/>
    </comment>
    <comment ref="L30" authorId="0" shapeId="0" xr:uid="{00000000-0006-0000-0500-00001B000000}">
      <text/>
    </comment>
    <comment ref="L31" authorId="0" shapeId="0" xr:uid="{00000000-0006-0000-0500-00001C000000}">
      <text/>
    </comment>
    <comment ref="L32" authorId="0" shapeId="0" xr:uid="{00000000-0006-0000-0500-00001D000000}">
      <text/>
    </comment>
    <comment ref="L33" authorId="0" shapeId="0" xr:uid="{00000000-0006-0000-0500-00001E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34" authorId="0" shapeId="0" xr:uid="{00000000-0006-0000-0500-00001F000000}">
      <text/>
    </comment>
    <comment ref="L35" authorId="0" shapeId="0" xr:uid="{00000000-0006-0000-0500-000020000000}">
      <text/>
    </comment>
    <comment ref="L36" authorId="0" shapeId="0" xr:uid="{00000000-0006-0000-0500-000021000000}">
      <text/>
    </comment>
    <comment ref="L37" authorId="0" shapeId="0" xr:uid="{00000000-0006-0000-0500-000022000000}">
      <text/>
    </comment>
    <comment ref="L38" authorId="0" shapeId="0" xr:uid="{00000000-0006-0000-0500-000023000000}">
      <text/>
    </comment>
    <comment ref="L39" authorId="0" shapeId="0" xr:uid="{00000000-0006-0000-0500-000024000000}">
      <text/>
    </comment>
    <comment ref="L40" authorId="0" shapeId="0" xr:uid="{00000000-0006-0000-0500-000025000000}">
      <text/>
    </comment>
    <comment ref="L41" authorId="0" shapeId="0" xr:uid="{00000000-0006-0000-0500-000026000000}">
      <text/>
    </comment>
    <comment ref="L42" authorId="0" shapeId="0" xr:uid="{00000000-0006-0000-0500-000027000000}">
      <text/>
    </comment>
    <comment ref="L43" authorId="0" shapeId="0" xr:uid="{00000000-0006-0000-0500-000028000000}">
      <text/>
    </comment>
    <comment ref="L44" authorId="0" shapeId="0" xr:uid="{00000000-0006-0000-0500-000029000000}">
      <text/>
    </comment>
    <comment ref="L45" authorId="0" shapeId="0" xr:uid="{00000000-0006-0000-0500-00002A000000}">
      <text/>
    </comment>
    <comment ref="L46" authorId="0" shapeId="0" xr:uid="{00000000-0006-0000-0500-00002B000000}">
      <text/>
    </comment>
    <comment ref="L50" authorId="0" shapeId="0" xr:uid="{00000000-0006-0000-0500-00002C000000}">
      <text/>
    </comment>
    <comment ref="L51" authorId="0" shapeId="0" xr:uid="{00000000-0006-0000-0500-00002D000000}">
      <text/>
    </comment>
    <comment ref="L52" authorId="0" shapeId="0" xr:uid="{00000000-0006-0000-0500-00002E000000}">
      <text/>
    </comment>
    <comment ref="E53" authorId="0" shapeId="0" xr:uid="{00000000-0006-0000-0500-00002F000000}">
      <text/>
    </comment>
    <comment ref="L53" authorId="0" shapeId="0" xr:uid="{00000000-0006-0000-0500-000030000000}">
      <text/>
    </comment>
    <comment ref="L54" authorId="0" shapeId="0" xr:uid="{00000000-0006-0000-0500-000031000000}">
      <text/>
    </comment>
    <comment ref="E55" authorId="0" shapeId="0" xr:uid="{00000000-0006-0000-0500-000032000000}">
      <text/>
    </comment>
    <comment ref="L55" authorId="0" shapeId="0" xr:uid="{00000000-0006-0000-0500-000033000000}">
      <text/>
    </comment>
    <comment ref="L56" authorId="0" shapeId="0" xr:uid="{00000000-0006-0000-0500-000034000000}">
      <text/>
    </comment>
    <comment ref="L57" authorId="0" shapeId="0" xr:uid="{00000000-0006-0000-0500-000035000000}">
      <text/>
    </comment>
    <comment ref="L58" authorId="0" shapeId="0" xr:uid="{00000000-0006-0000-0500-00003600000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59" authorId="0" shapeId="0" xr:uid="{00000000-0006-0000-0500-000037000000}">
      <text/>
    </comment>
    <comment ref="L60" authorId="0" shapeId="0" xr:uid="{00000000-0006-0000-0500-000038000000}">
      <text/>
    </comment>
    <comment ref="L61" authorId="0" shapeId="0" xr:uid="{00000000-0006-0000-0500-000039000000}">
      <text/>
    </comment>
    <comment ref="L62" authorId="0" shapeId="0" xr:uid="{00000000-0006-0000-0500-00003A000000}">
      <text/>
    </comment>
    <comment ref="L63" authorId="0" shapeId="0" xr:uid="{00000000-0006-0000-0500-00003B000000}">
      <text/>
    </comment>
    <comment ref="L64" authorId="0" shapeId="0" xr:uid="{00000000-0006-0000-0500-00003C000000}">
      <text/>
    </comment>
    <comment ref="L65" authorId="0" shapeId="0" xr:uid="{00000000-0006-0000-0500-00003D000000}">
      <text/>
    </comment>
    <comment ref="L66" authorId="0" shapeId="0" xr:uid="{00000000-0006-0000-0500-00003E000000}">
      <text/>
    </comment>
    <comment ref="L67" authorId="0" shapeId="0" xr:uid="{00000000-0006-0000-0500-00003F000000}">
      <text/>
    </comment>
    <comment ref="L68" authorId="0" shapeId="0" xr:uid="{00000000-0006-0000-0500-000040000000}">
      <text/>
    </comment>
    <comment ref="L69" authorId="0" shapeId="0" xr:uid="{00000000-0006-0000-0500-000041000000}">
      <text/>
    </comment>
    <comment ref="L74" authorId="0" shapeId="0" xr:uid="{FDEE5F4E-AF11-4C25-901B-F5B0736772FC}">
      <text/>
    </comment>
    <comment ref="L75" authorId="0" shapeId="0" xr:uid="{4F9B69CC-650B-496F-BBF7-C539164EF8E0}">
      <text/>
    </comment>
    <comment ref="L76" authorId="0" shapeId="0" xr:uid="{6548D28E-D746-4EEF-8083-436F0EF8D603}">
      <text/>
    </comment>
    <comment ref="L77" authorId="0" shapeId="0" xr:uid="{E10B8BDB-93D5-41E6-BA75-37439CB779BF}">
      <text/>
    </comment>
    <comment ref="L78" authorId="0" shapeId="0" xr:uid="{4933F5B6-3DAC-4B26-9ACA-D492FB8025DE}">
      <text/>
    </comment>
    <comment ref="L79" authorId="0" shapeId="0" xr:uid="{F2924315-F16C-4565-B472-2A95A6B55847}">
      <text/>
    </comment>
    <comment ref="L80" authorId="0" shapeId="0" xr:uid="{972881E1-C2A3-4D39-954B-9B747DECB453}">
      <text/>
    </comment>
    <comment ref="L81" authorId="0" shapeId="0" xr:uid="{CE3E3132-202A-467B-8406-AD61B4AD568B}">
      <text/>
    </comment>
    <comment ref="L82" authorId="0" shapeId="0" xr:uid="{0EB0AD6F-2329-493B-A806-F284F49ACA40}">
      <text>
        <r>
          <rPr>
            <sz val="9"/>
            <color indexed="81"/>
            <rFont val="Tahoma"/>
            <family val="2"/>
            <charset val="238"/>
          </rPr>
          <t xml:space="preserve">
</t>
        </r>
      </text>
    </comment>
    <comment ref="L83" authorId="0" shapeId="0" xr:uid="{12CE1D9A-E953-4753-A173-EB739E1EC6EF}">
      <text/>
    </comment>
    <comment ref="L84" authorId="0" shapeId="0" xr:uid="{7E8CA0B4-271F-488B-B2BC-D5BA9A518E8B}">
      <text/>
    </comment>
    <comment ref="L85" authorId="0" shapeId="0" xr:uid="{D4BCB88B-0A34-49CC-8937-FC142BB685CF}">
      <text/>
    </comment>
    <comment ref="L86" authorId="0" shapeId="0" xr:uid="{DF3EDFE2-7060-48B0-B61B-46CD5B19E8DB}">
      <text/>
    </comment>
    <comment ref="L87" authorId="0" shapeId="0" xr:uid="{4897F07D-D7E9-438A-BEC4-3680C5733D3C}">
      <text/>
    </comment>
  </commentList>
</comments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2">
    <metadataType name="XLDAPR" minSupportedVersion="120000" copy="1" pasteAll="1" pasteValues="1" merge="1" splitFirst="1" rowColShift="1" clearFormats="1" clearComments="1" assign="1" coerce="1" cellMeta="1"/>
    <metadataType name="XLRICHVALUE" minSupportedVersion="120000" copy="1" pasteAll="1" pasteValues="1" merge="1" splitFirst="1" rowColShift="1" clearFormats="1" clearComments="1" assign="1" coerce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futureMetadata name="XLRICHVALUE" count="1">
    <bk>
      <extLst>
        <ext uri="{3e2802c4-a4d2-4d8b-9148-e3be6c30e623}">
          <xlrd:rvb i="0"/>
        </ext>
      </extLst>
    </bk>
  </futureMetadata>
  <cellMetadata count="1">
    <bk>
      <rc t="1" v="0"/>
    </bk>
  </cellMetadata>
  <valueMetadata count="1">
    <bk>
      <rc t="2" v="0"/>
    </bk>
  </valueMetadata>
</metadata>
</file>

<file path=xl/sharedStrings.xml><?xml version="1.0" encoding="utf-8"?>
<sst xmlns="http://schemas.openxmlformats.org/spreadsheetml/2006/main" count="32925" uniqueCount="1508">
  <si>
    <t>DUF60E</t>
  </si>
  <si>
    <t>DDW6X60E</t>
  </si>
  <si>
    <t>DUR40E</t>
  </si>
  <si>
    <t>DDW8X100</t>
  </si>
  <si>
    <t>DUF75E</t>
  </si>
  <si>
    <t>SMA70/033</t>
  </si>
  <si>
    <t>PUFK</t>
  </si>
  <si>
    <t>SM400</t>
  </si>
  <si>
    <t>NSNM8EA2</t>
  </si>
  <si>
    <t>CMP41H41/1,2MC</t>
  </si>
  <si>
    <t>CMP41H41/3MC</t>
  </si>
  <si>
    <t>LC41H41MC</t>
  </si>
  <si>
    <t>PAL40H40/2,1</t>
  </si>
  <si>
    <t>PUF</t>
  </si>
  <si>
    <t>NKWSM8A</t>
  </si>
  <si>
    <t>PAL40H40/3,15</t>
  </si>
  <si>
    <t>SBR50x500</t>
  </si>
  <si>
    <t>CWC100H50/3,3MC</t>
  </si>
  <si>
    <t>LKTT45H70MC</t>
  </si>
  <si>
    <t>PAL40H40/3,3</t>
  </si>
  <si>
    <t>SRM10X30F</t>
  </si>
  <si>
    <t>Adapter montażowy</t>
  </si>
  <si>
    <t>AD11E</t>
  </si>
  <si>
    <t>szt.</t>
  </si>
  <si>
    <t>AD13E</t>
  </si>
  <si>
    <t>Profil</t>
  </si>
  <si>
    <t>BUF32</t>
  </si>
  <si>
    <t>BUF32L</t>
  </si>
  <si>
    <t>BUF33</t>
  </si>
  <si>
    <t>BUF35</t>
  </si>
  <si>
    <t>BUF35L</t>
  </si>
  <si>
    <t>BUF38</t>
  </si>
  <si>
    <t>BUF40</t>
  </si>
  <si>
    <t>BUF40L</t>
  </si>
  <si>
    <t>BUF42</t>
  </si>
  <si>
    <t>BUF45</t>
  </si>
  <si>
    <t>BUF50</t>
  </si>
  <si>
    <t>BUF50L</t>
  </si>
  <si>
    <t>BUFK32</t>
  </si>
  <si>
    <t>BUFK32L</t>
  </si>
  <si>
    <t>BUFK34</t>
  </si>
  <si>
    <t>BUFK35</t>
  </si>
  <si>
    <t>BUFK35L</t>
  </si>
  <si>
    <t>BUFK38</t>
  </si>
  <si>
    <t>BUFK40</t>
  </si>
  <si>
    <t>BUFK40L</t>
  </si>
  <si>
    <t>BUFK42</t>
  </si>
  <si>
    <t>BUFK45</t>
  </si>
  <si>
    <t>BUFK50</t>
  </si>
  <si>
    <t>Ceownik montażowy</t>
  </si>
  <si>
    <t>Ceownik</t>
  </si>
  <si>
    <t>Ceownik wzmocniony</t>
  </si>
  <si>
    <t>Wkręt do drewna</t>
  </si>
  <si>
    <t>Uchwyt dachowy</t>
  </si>
  <si>
    <t>Uchwyt dachowy  z blaszaną karpiówką</t>
  </si>
  <si>
    <t>DUF75KE</t>
  </si>
  <si>
    <t>DUF75KMC</t>
  </si>
  <si>
    <t>Uchwyt dachowy regulowany</t>
  </si>
  <si>
    <t>EPDMW2x40</t>
  </si>
  <si>
    <t>Śruba do gruntu</t>
  </si>
  <si>
    <t>Kątownik aluminiowy wyciskany</t>
  </si>
  <si>
    <t>Łącznik ceownika</t>
  </si>
  <si>
    <t>Łącznik</t>
  </si>
  <si>
    <t>Nakrętka ślizgowa z kulką</t>
  </si>
  <si>
    <t>Nakrętka kołnierzowa</t>
  </si>
  <si>
    <t>NKZM10E A2</t>
  </si>
  <si>
    <t>100 szt.</t>
  </si>
  <si>
    <t>NKZM8E A2</t>
  </si>
  <si>
    <t>Nakrętka niska</t>
  </si>
  <si>
    <t>Osłona wiatrowa</t>
  </si>
  <si>
    <t>Profil aluminiowy</t>
  </si>
  <si>
    <t>PAL40H40/6,3</t>
  </si>
  <si>
    <t xml:space="preserve">Podstawa balastowa </t>
  </si>
  <si>
    <t>Łącznik profila aluminiowego</t>
  </si>
  <si>
    <t>Śruba rozporowa pierścieniowa</t>
  </si>
  <si>
    <t>PSRM12x110F</t>
  </si>
  <si>
    <t>PSRM8x75F</t>
  </si>
  <si>
    <t>PUFL</t>
  </si>
  <si>
    <t>PUFKL</t>
  </si>
  <si>
    <t>Regulowany uchwyt do blachy trapezowej</t>
  </si>
  <si>
    <t>RUBTE</t>
  </si>
  <si>
    <t>Śruba</t>
  </si>
  <si>
    <t>SAM8x25E</t>
  </si>
  <si>
    <t>SAM8x30E</t>
  </si>
  <si>
    <t>SAM8x35E</t>
  </si>
  <si>
    <t>SAM8x40E</t>
  </si>
  <si>
    <t>Guma wibroizolacyjna podkładowa</t>
  </si>
  <si>
    <t>SBR150x500</t>
  </si>
  <si>
    <t>Śruba z łbem grzybkowym + nakrętka ząbkowana (kpl.)</t>
  </si>
  <si>
    <t>SGKFM8x20</t>
  </si>
  <si>
    <t>Szyna montażowa aluminiowa</t>
  </si>
  <si>
    <t>SMA40/033</t>
  </si>
  <si>
    <t>Wkręt samowiercący drobnozwojny z EPDM</t>
  </si>
  <si>
    <t>SMDP6,0x25E</t>
  </si>
  <si>
    <t>Śruba z łbem sześciokątnym A2</t>
  </si>
  <si>
    <t>Śruba z gwintem podwójnym</t>
  </si>
  <si>
    <t>SWDM10x200E</t>
  </si>
  <si>
    <t>SWDM10x250E</t>
  </si>
  <si>
    <t>SWDM10x300E</t>
  </si>
  <si>
    <t>SWDM12x300E</t>
  </si>
  <si>
    <t>Uchwyt do blachy trapezowej regulowany</t>
  </si>
  <si>
    <t>UBTR45E</t>
  </si>
  <si>
    <t>Nazwa</t>
  </si>
  <si>
    <t>Symbol</t>
  </si>
  <si>
    <t>Nr katalogowy</t>
  </si>
  <si>
    <t>Gr. blachy</t>
  </si>
  <si>
    <t>Waga netto [kg]</t>
  </si>
  <si>
    <t>J.m.</t>
  </si>
  <si>
    <t>Ilość w opakowaniu zbiorczym</t>
  </si>
  <si>
    <t>SAM8X35E</t>
  </si>
  <si>
    <t>SAM8X30E</t>
  </si>
  <si>
    <t>1600-1650</t>
  </si>
  <si>
    <t>1650-1700</t>
  </si>
  <si>
    <t>1950-2000</t>
  </si>
  <si>
    <t>950-1000</t>
  </si>
  <si>
    <t>1000-1050</t>
  </si>
  <si>
    <t>x</t>
  </si>
  <si>
    <t>rozstaw uchwytów montażowych</t>
  </si>
  <si>
    <t>wymiar modułów</t>
  </si>
  <si>
    <t>[mm]</t>
  </si>
  <si>
    <t>ilość modułów w rzędzie [szt.]</t>
  </si>
  <si>
    <t>ilość rzędów [szt.]</t>
  </si>
  <si>
    <t>układ modułów</t>
  </si>
  <si>
    <t>wertykalny</t>
  </si>
  <si>
    <t>kolor klem</t>
  </si>
  <si>
    <t>srebrny</t>
  </si>
  <si>
    <t>PAL40H40/1,15</t>
  </si>
  <si>
    <t>PAL40H40/2,2</t>
  </si>
  <si>
    <t>PUP</t>
  </si>
  <si>
    <t>typ klem</t>
  </si>
  <si>
    <t>standard</t>
  </si>
  <si>
    <t>wymiar śrub dwugwintowych</t>
  </si>
  <si>
    <t>1700-1750</t>
  </si>
  <si>
    <t>horyzontalny</t>
  </si>
  <si>
    <t>pion</t>
  </si>
  <si>
    <t>poziom</t>
  </si>
  <si>
    <t>10x200</t>
  </si>
  <si>
    <t>2000-2050</t>
  </si>
  <si>
    <t>2050-2100</t>
  </si>
  <si>
    <t>SWDM</t>
  </si>
  <si>
    <t>klick</t>
  </si>
  <si>
    <t>10x250</t>
  </si>
  <si>
    <t>10x300</t>
  </si>
  <si>
    <t>12x300</t>
  </si>
  <si>
    <t>czarny</t>
  </si>
  <si>
    <t>suma długości profili</t>
  </si>
  <si>
    <t>ilość uchwytów pion</t>
  </si>
  <si>
    <t>ilość uchwytów wstepna</t>
  </si>
  <si>
    <t>ilość uchwytów poziom</t>
  </si>
  <si>
    <t>SAM8X40E</t>
  </si>
  <si>
    <t>SAM8X45E</t>
  </si>
  <si>
    <t>-------</t>
  </si>
  <si>
    <t>ilosc mod</t>
  </si>
  <si>
    <t>wymiar mod</t>
  </si>
  <si>
    <t>plpan40</t>
  </si>
  <si>
    <t>cena</t>
  </si>
  <si>
    <t>długość</t>
  </si>
  <si>
    <t>il. prof.na rząd</t>
  </si>
  <si>
    <t>ilość prof./łącz.</t>
  </si>
  <si>
    <t>sol</t>
  </si>
  <si>
    <t>PAL</t>
  </si>
  <si>
    <t>PLPAN</t>
  </si>
  <si>
    <t>rabat</t>
  </si>
  <si>
    <t>[%]</t>
  </si>
  <si>
    <t>Kod EAN</t>
  </si>
  <si>
    <t>PKWiU</t>
  </si>
  <si>
    <t xml:space="preserve">Czas realizacji                              dni robocze     </t>
  </si>
  <si>
    <t>5900993224856</t>
  </si>
  <si>
    <t>5900993224863</t>
  </si>
  <si>
    <t>25.11.23.0</t>
  </si>
  <si>
    <t>Boczny uchwyt panelu</t>
  </si>
  <si>
    <t>5900993206883</t>
  </si>
  <si>
    <t>24.42.22.0</t>
  </si>
  <si>
    <t>5900993206890</t>
  </si>
  <si>
    <t>5900993206906</t>
  </si>
  <si>
    <t>5900993206913</t>
  </si>
  <si>
    <t>5900993206920</t>
  </si>
  <si>
    <t>5900993224870</t>
  </si>
  <si>
    <t>5900993224887</t>
  </si>
  <si>
    <t>5900993224894</t>
  </si>
  <si>
    <t>5900993224900</t>
  </si>
  <si>
    <t>5900993224917</t>
  </si>
  <si>
    <t>5900993224924</t>
  </si>
  <si>
    <t>5900993224931</t>
  </si>
  <si>
    <t>Boczny uchwyt panelu KLICK</t>
  </si>
  <si>
    <t>5900993224948</t>
  </si>
  <si>
    <t>5900993224955</t>
  </si>
  <si>
    <t>5900993224962</t>
  </si>
  <si>
    <t>5900993224979</t>
  </si>
  <si>
    <t>5900993224986</t>
  </si>
  <si>
    <t>5900993224993</t>
  </si>
  <si>
    <t>5900993225006</t>
  </si>
  <si>
    <t>5900993225013</t>
  </si>
  <si>
    <t>5900993225020</t>
  </si>
  <si>
    <t>5900993225037</t>
  </si>
  <si>
    <t>5900993225044</t>
  </si>
  <si>
    <t>CC50H35/0,85MC</t>
  </si>
  <si>
    <t>5900993226744</t>
  </si>
  <si>
    <t>CC50H35/1MC</t>
  </si>
  <si>
    <t>5900993226751</t>
  </si>
  <si>
    <t>CC50H35/1,15MC</t>
  </si>
  <si>
    <t>5900993226768</t>
  </si>
  <si>
    <t>CC50H35/1,7MC</t>
  </si>
  <si>
    <t>5900993226775</t>
  </si>
  <si>
    <t>CC55H50/2MC</t>
  </si>
  <si>
    <t>5900993225419</t>
  </si>
  <si>
    <t>CMP41H41/1,5MC</t>
  </si>
  <si>
    <t>5900993225426</t>
  </si>
  <si>
    <t>CMP41H41/1,7MC</t>
  </si>
  <si>
    <t>5900993225433</t>
  </si>
  <si>
    <t>CMP41H41/1MC</t>
  </si>
  <si>
    <t>CMP41H41/2MC</t>
  </si>
  <si>
    <t>CMP41H41/3,5MC</t>
  </si>
  <si>
    <t>5900993226812</t>
  </si>
  <si>
    <t>CMP41H41/3,7MC</t>
  </si>
  <si>
    <t>5900993226829</t>
  </si>
  <si>
    <t>CWC100H50/4,4MC</t>
  </si>
  <si>
    <t>CWC100H50/6,6MC</t>
  </si>
  <si>
    <t>5900993226508</t>
  </si>
  <si>
    <t>22.29.29.0</t>
  </si>
  <si>
    <t>5900993224818</t>
  </si>
  <si>
    <t>22.19.10.0</t>
  </si>
  <si>
    <t>5900993224849</t>
  </si>
  <si>
    <t>KT850A</t>
  </si>
  <si>
    <t>5900993226539</t>
  </si>
  <si>
    <t>KT2000A</t>
  </si>
  <si>
    <t>5900993226553</t>
  </si>
  <si>
    <t>KTST1700A</t>
  </si>
  <si>
    <t>5900993226560</t>
  </si>
  <si>
    <t>KT1000A</t>
  </si>
  <si>
    <t>5900993226881</t>
  </si>
  <si>
    <t>KT1150A</t>
  </si>
  <si>
    <t>5900993226898</t>
  </si>
  <si>
    <t>KT1700A</t>
  </si>
  <si>
    <t>5900993226546</t>
  </si>
  <si>
    <t>Nakładka ochronna profilu aluminiowego</t>
  </si>
  <si>
    <t>NOPAL40x40CZ</t>
  </si>
  <si>
    <t>5900993226904</t>
  </si>
  <si>
    <t>22.23.19.0</t>
  </si>
  <si>
    <t>NOPAL40x40SR</t>
  </si>
  <si>
    <t>5900993226911</t>
  </si>
  <si>
    <t>5900993226355</t>
  </si>
  <si>
    <t>25.94.11.0</t>
  </si>
  <si>
    <t>5900993226362</t>
  </si>
  <si>
    <t>5900993226379</t>
  </si>
  <si>
    <t>5900993226577</t>
  </si>
  <si>
    <t>Podkładka uziemiająca panelu</t>
  </si>
  <si>
    <t>5900993227079</t>
  </si>
  <si>
    <t>Pośredni uchwyt panelu</t>
  </si>
  <si>
    <t>5900993225211</t>
  </si>
  <si>
    <t>5900993227116</t>
  </si>
  <si>
    <t>Pośredni uchwyt panelu KLICK</t>
  </si>
  <si>
    <t>5900993225198</t>
  </si>
  <si>
    <t>5900993225204</t>
  </si>
  <si>
    <t>5900993225068</t>
  </si>
  <si>
    <t>5900993225082</t>
  </si>
  <si>
    <t>5900993225099</t>
  </si>
  <si>
    <t>5900993225105</t>
  </si>
  <si>
    <t>5900993227154</t>
  </si>
  <si>
    <t>5900993225983</t>
  </si>
  <si>
    <t>5900993225174</t>
  </si>
  <si>
    <t>5900993225181</t>
  </si>
  <si>
    <t>5900993226607</t>
  </si>
  <si>
    <t>5900993226416</t>
  </si>
  <si>
    <t>5900993226423</t>
  </si>
  <si>
    <t>5900993226430</t>
  </si>
  <si>
    <t>14 - 21 dni + dostawa</t>
  </si>
  <si>
    <t>5900993226386</t>
  </si>
  <si>
    <t>5900993226409</t>
  </si>
  <si>
    <t>5900993226737</t>
  </si>
  <si>
    <t>5900993226454</t>
  </si>
  <si>
    <t>5900993226461</t>
  </si>
  <si>
    <t>5900993225723</t>
  </si>
  <si>
    <t>5900993227161</t>
  </si>
  <si>
    <t>5900993225730</t>
  </si>
  <si>
    <t>5900993225747</t>
  </si>
  <si>
    <t>5900993225754</t>
  </si>
  <si>
    <t>DURSE</t>
  </si>
  <si>
    <t>5900993227178</t>
  </si>
  <si>
    <t>5900993226010</t>
  </si>
  <si>
    <t>Uchwyt do blachy z rąbkiem stojącym</t>
  </si>
  <si>
    <t>Uchwyt panelu dolny</t>
  </si>
  <si>
    <t>Uchwyt panelu górny</t>
  </si>
  <si>
    <t>Uchwyt pośredni panelu</t>
  </si>
  <si>
    <t>UPPMC</t>
  </si>
  <si>
    <t>5900993227185</t>
  </si>
  <si>
    <t>5900993226324</t>
  </si>
  <si>
    <t>5900993226331</t>
  </si>
  <si>
    <t>5900993226348</t>
  </si>
  <si>
    <t>5900993226713</t>
  </si>
  <si>
    <t>Ilość</t>
  </si>
  <si>
    <t>typ uchwytu</t>
  </si>
  <si>
    <t>UBZ..</t>
  </si>
  <si>
    <t>CMP41H41/2,2MC</t>
  </si>
  <si>
    <t>SBR250x350</t>
  </si>
  <si>
    <t>PAL40H40/6,6</t>
  </si>
  <si>
    <t>typ szyn montażowych</t>
  </si>
  <si>
    <t>SMDP6,0X25E</t>
  </si>
  <si>
    <t>SM…</t>
  </si>
  <si>
    <t>KONSTRUKCJA DS-V6aN</t>
  </si>
  <si>
    <t>KONSTRUKCJA DS-V6bN</t>
  </si>
  <si>
    <t>KONSTRUKCJA DS-H6aN</t>
  </si>
  <si>
    <t>KONSTRUKCJA DS-H6bN</t>
  </si>
  <si>
    <t>1626-1663</t>
  </si>
  <si>
    <t>1664-1700</t>
  </si>
  <si>
    <t>1943-1980</t>
  </si>
  <si>
    <t>1981-2018</t>
  </si>
  <si>
    <t>sposób montażu konstrukcji</t>
  </si>
  <si>
    <t>balastowa</t>
  </si>
  <si>
    <t>kotwiona</t>
  </si>
  <si>
    <t>kąt pochylenia modułów</t>
  </si>
  <si>
    <t>CMP</t>
  </si>
  <si>
    <t>betonowana</t>
  </si>
  <si>
    <t>wkręcana</t>
  </si>
  <si>
    <t>wbijana</t>
  </si>
  <si>
    <t>ilość falowników</t>
  </si>
  <si>
    <t>Mocowanie falownika</t>
  </si>
  <si>
    <t>LKTT</t>
  </si>
  <si>
    <t>CT</t>
  </si>
  <si>
    <t>SGKFM10x30</t>
  </si>
  <si>
    <t>CWE</t>
  </si>
  <si>
    <t>NRM8F</t>
  </si>
  <si>
    <t>cc2</t>
  </si>
  <si>
    <t>cc1,7</t>
  </si>
  <si>
    <t>KT2</t>
  </si>
  <si>
    <t>KTST</t>
  </si>
  <si>
    <t>5900993227208</t>
  </si>
  <si>
    <t xml:space="preserve">DDW8x100E </t>
  </si>
  <si>
    <t>Guma komórkowa samoprzylewna 1szt.-10mb</t>
  </si>
  <si>
    <t>OWP1P10NMC</t>
  </si>
  <si>
    <t>OWP1P15NMC</t>
  </si>
  <si>
    <t>OWP1P20NMC</t>
  </si>
  <si>
    <t>OWP2P10NMC</t>
  </si>
  <si>
    <t>OWP2P15NMC</t>
  </si>
  <si>
    <t>OWP2P20NMC</t>
  </si>
  <si>
    <t>OWP3P10NMC</t>
  </si>
  <si>
    <t>OWP3P15NMC</t>
  </si>
  <si>
    <t>OWP3P20NMC</t>
  </si>
  <si>
    <t>OWP4P10NMC</t>
  </si>
  <si>
    <t>OWP4P15NMC</t>
  </si>
  <si>
    <t>OWP4P20NMC</t>
  </si>
  <si>
    <t>OWPP10NMC</t>
  </si>
  <si>
    <t>OWPP15NMC</t>
  </si>
  <si>
    <t>OWPP20NMC</t>
  </si>
  <si>
    <t>5900993227239</t>
  </si>
  <si>
    <t>5900993227253</t>
  </si>
  <si>
    <t>PUPK</t>
  </si>
  <si>
    <t>5900993227291</t>
  </si>
  <si>
    <t>5900993227246</t>
  </si>
  <si>
    <t>5900993227222</t>
  </si>
  <si>
    <t>SGKFM10x20PV</t>
  </si>
  <si>
    <t>5900993227307</t>
  </si>
  <si>
    <t>5900993227314</t>
  </si>
  <si>
    <t>Śruba młotkowa do uchwytów UBZRPE</t>
  </si>
  <si>
    <t>SMFM8x25E A2</t>
  </si>
  <si>
    <t>5900993227321</t>
  </si>
  <si>
    <t>25.91.11.0</t>
  </si>
  <si>
    <t>Śruba z nakrętką rombową</t>
  </si>
  <si>
    <t>SRM10x30F</t>
  </si>
  <si>
    <t>5900993227338</t>
  </si>
  <si>
    <t>SSZ10x20E A2</t>
  </si>
  <si>
    <t>UBT45E</t>
  </si>
  <si>
    <t>5900993227345</t>
  </si>
  <si>
    <t>DDW6x60E</t>
  </si>
  <si>
    <t>Cybant kwadratowy</t>
  </si>
  <si>
    <t>CYK20E</t>
  </si>
  <si>
    <t>5900993227482</t>
  </si>
  <si>
    <t>CYK25E</t>
  </si>
  <si>
    <t>5900993227499</t>
  </si>
  <si>
    <t>CYK32E</t>
  </si>
  <si>
    <t>5900993227505</t>
  </si>
  <si>
    <t>CYK40E</t>
  </si>
  <si>
    <t>5900993227512</t>
  </si>
  <si>
    <t>CYK50E</t>
  </si>
  <si>
    <t>5900993227529</t>
  </si>
  <si>
    <t>CYK60E</t>
  </si>
  <si>
    <t>5900993227536</t>
  </si>
  <si>
    <t>CYK63,5E</t>
  </si>
  <si>
    <t>5900993227543</t>
  </si>
  <si>
    <t>Cybant owalny</t>
  </si>
  <si>
    <t>CYB16E</t>
  </si>
  <si>
    <t>5900993227406</t>
  </si>
  <si>
    <t>CYB20E</t>
  </si>
  <si>
    <t>5900993227413</t>
  </si>
  <si>
    <t>CYB25E</t>
  </si>
  <si>
    <t>5900993227420</t>
  </si>
  <si>
    <t>CYB32E</t>
  </si>
  <si>
    <t>5900993227437</t>
  </si>
  <si>
    <t>CYB40E</t>
  </si>
  <si>
    <t>5900993227444</t>
  </si>
  <si>
    <t>CYB50E</t>
  </si>
  <si>
    <t>5900993227451</t>
  </si>
  <si>
    <t>CYB60E</t>
  </si>
  <si>
    <t>5900993227468</t>
  </si>
  <si>
    <t>CYB63,5E</t>
  </si>
  <si>
    <t>5900993227475</t>
  </si>
  <si>
    <t>NOWPAL40x40SR</t>
  </si>
  <si>
    <t>5900993227635</t>
  </si>
  <si>
    <t>UBZRE25</t>
  </si>
  <si>
    <t>5900993227383</t>
  </si>
  <si>
    <t>UBZRE32</t>
  </si>
  <si>
    <t>5900993227390</t>
  </si>
  <si>
    <t>UBZRPE25</t>
  </si>
  <si>
    <t>5900993227369</t>
  </si>
  <si>
    <t>UBZRPE32</t>
  </si>
  <si>
    <t>5900993227376</t>
  </si>
  <si>
    <t>SSZ10X20E A2</t>
  </si>
  <si>
    <t>SGKFM10X20PV</t>
  </si>
  <si>
    <t>LPAN40</t>
  </si>
  <si>
    <t>Rabat</t>
  </si>
  <si>
    <t>ilość modułów w 2 rzędach [szt.]</t>
  </si>
  <si>
    <t>[°]</t>
  </si>
  <si>
    <t>[szt]</t>
  </si>
  <si>
    <t>WIELKOŚĆ INSTALACJI[MW]</t>
  </si>
  <si>
    <t>MOC PANELI[W]</t>
  </si>
  <si>
    <t>ILOŚĆ PANELI[SZT]</t>
  </si>
  <si>
    <t>WIELKOŚĆ INSTALACJI[KW]</t>
  </si>
  <si>
    <t>KW</t>
  </si>
  <si>
    <t>W</t>
  </si>
  <si>
    <t>MW</t>
  </si>
  <si>
    <t>DANE WEJŚCIOWE</t>
  </si>
  <si>
    <t>WARTOŚĆ WYLICZONA</t>
  </si>
  <si>
    <t>Odstęp pomiędzy rzędami paneli</t>
  </si>
  <si>
    <t>Kąt pochylenia dachu β [°]</t>
  </si>
  <si>
    <t>Długość ramy paneli</t>
  </si>
  <si>
    <t>Szerokość ramy paneli</t>
  </si>
  <si>
    <t>Kąt padania promieni słonecznych</t>
  </si>
  <si>
    <t>Kąt pochylenia modułów</t>
  </si>
  <si>
    <t>Układ modułów</t>
  </si>
  <si>
    <t>Przelicznik jednostek</t>
  </si>
  <si>
    <t>Kalkulator minimalnej odległóść między rzędami modułów-dachy płaskie</t>
  </si>
  <si>
    <t>Kalkulator minimalnej odległóść między rzędami modułów-konstrukcje wolnostojące</t>
  </si>
  <si>
    <t>Typ konstrukcji</t>
  </si>
  <si>
    <t>W-H4G2</t>
  </si>
  <si>
    <t>W-H5G2</t>
  </si>
  <si>
    <t>W-H6G2</t>
  </si>
  <si>
    <t>W-V2G2</t>
  </si>
  <si>
    <t>W-V3G2</t>
  </si>
  <si>
    <t>W-V2G1</t>
  </si>
  <si>
    <t>W-H3G1</t>
  </si>
  <si>
    <t>1600-1750</t>
  </si>
  <si>
    <t>1900-2100</t>
  </si>
  <si>
    <t>Przelicznik ilości modułów</t>
  </si>
  <si>
    <t>ilość modułów na stole [szt.]</t>
  </si>
  <si>
    <t>ilość stołów [szt.]</t>
  </si>
  <si>
    <t>LCCNMC</t>
  </si>
  <si>
    <t>Cena netto[zł]</t>
  </si>
  <si>
    <t>Cena netto po rabacie[zł]</t>
  </si>
  <si>
    <t>Wartość netto[zł]</t>
  </si>
  <si>
    <t>Wartość netto po rabacie[zł]</t>
  </si>
  <si>
    <t>1722-1758</t>
  </si>
  <si>
    <t>7308 90 59</t>
  </si>
  <si>
    <t>7604 29 90</t>
  </si>
  <si>
    <t>7318 15 20</t>
  </si>
  <si>
    <t>7318 15 35</t>
  </si>
  <si>
    <t>4002 70 00</t>
  </si>
  <si>
    <t>4008 11 00</t>
  </si>
  <si>
    <t>7604 10 90</t>
  </si>
  <si>
    <t>5900993227642</t>
  </si>
  <si>
    <t>5900993227659</t>
  </si>
  <si>
    <t>7318 16 39</t>
  </si>
  <si>
    <t>7318 15 75</t>
  </si>
  <si>
    <t>7318 14 91</t>
  </si>
  <si>
    <t>7318 15 95</t>
  </si>
  <si>
    <t>7318 19 00</t>
  </si>
  <si>
    <t>7318 15 82</t>
  </si>
  <si>
    <t>7318 12 10</t>
  </si>
  <si>
    <t>7318 12 90</t>
  </si>
  <si>
    <t>7318 14 10</t>
  </si>
  <si>
    <t>CN</t>
  </si>
  <si>
    <t>1750-1800</t>
  </si>
  <si>
    <t>1850-1900</t>
  </si>
  <si>
    <t>1800-1850</t>
  </si>
  <si>
    <t>1900-1950</t>
  </si>
  <si>
    <t>1050-1100</t>
  </si>
  <si>
    <t>BUF30</t>
  </si>
  <si>
    <t>BUF30L</t>
  </si>
  <si>
    <t>SAM8X25E</t>
  </si>
  <si>
    <t>2100-2150</t>
  </si>
  <si>
    <t>2150-2200</t>
  </si>
  <si>
    <t>1100-1150</t>
  </si>
  <si>
    <t>1700-1721</t>
  </si>
  <si>
    <t>1759-1796</t>
  </si>
  <si>
    <t>1797-1834</t>
  </si>
  <si>
    <t>1835-1872</t>
  </si>
  <si>
    <t>1873-1910</t>
  </si>
  <si>
    <t>1911-1942</t>
  </si>
  <si>
    <t>OWP5P10NMC</t>
  </si>
  <si>
    <t>OWP6P10NMC</t>
  </si>
  <si>
    <t>OWP7P10NMC</t>
  </si>
  <si>
    <t>OWP8P10NMC</t>
  </si>
  <si>
    <t>OWP9P10NMC</t>
  </si>
  <si>
    <t>OWP10P10NMC</t>
  </si>
  <si>
    <t>OWP5P15NMC</t>
  </si>
  <si>
    <t>OWP6P15NMC</t>
  </si>
  <si>
    <t>OWP7P15NMC</t>
  </si>
  <si>
    <t>OWP8P15NMC</t>
  </si>
  <si>
    <t>OWP9P15NMC</t>
  </si>
  <si>
    <t>OWP10P15NMC</t>
  </si>
  <si>
    <t>OWP5P20NMC</t>
  </si>
  <si>
    <t>OWP6P20NMC</t>
  </si>
  <si>
    <t>OWP7P20NMC</t>
  </si>
  <si>
    <t>OWP8P20NMC</t>
  </si>
  <si>
    <t>OWP9P20NMC</t>
  </si>
  <si>
    <t>OWP10P20NMC</t>
  </si>
  <si>
    <t xml:space="preserve">3923 50 90 </t>
  </si>
  <si>
    <t>NIE WYSTĘPUJE</t>
  </si>
  <si>
    <t>2250-2300</t>
  </si>
  <si>
    <t>2200-2250</t>
  </si>
  <si>
    <t>[szt.]</t>
  </si>
  <si>
    <t xml:space="preserve">śruby młotkowe do mocowania </t>
  </si>
  <si>
    <t>optymalizatora</t>
  </si>
  <si>
    <t>SMFM8X25E A2</t>
  </si>
  <si>
    <t>bez regulacji</t>
  </si>
  <si>
    <t>z regulacją</t>
  </si>
  <si>
    <t xml:space="preserve">śruby zamkowe do mocowania </t>
  </si>
  <si>
    <t>PAL30H32/1,15</t>
  </si>
  <si>
    <t>PAL30H32/2,1</t>
  </si>
  <si>
    <t>PAL30H32/2,2</t>
  </si>
  <si>
    <t>PAL30H32/3,15</t>
  </si>
  <si>
    <t>PAL30H32/3,3</t>
  </si>
  <si>
    <t>LPAN30</t>
  </si>
  <si>
    <t>CWC100H50/4,4NMC</t>
  </si>
  <si>
    <t>CWC100H50/3,3NMC</t>
  </si>
  <si>
    <t>LKTT45H70NMC</t>
  </si>
  <si>
    <t>NRM8PV</t>
  </si>
  <si>
    <t>PS8E A2</t>
  </si>
  <si>
    <t>UPPM8MC</t>
  </si>
  <si>
    <t>LCD100MC</t>
  </si>
  <si>
    <t>CWT70H50/3,2NMC</t>
  </si>
  <si>
    <t>2019-2056</t>
  </si>
  <si>
    <t>2057-2094</t>
  </si>
  <si>
    <t>2095-2132</t>
  </si>
  <si>
    <t>2133-2170</t>
  </si>
  <si>
    <t>2171-2208</t>
  </si>
  <si>
    <t>2209-2246</t>
  </si>
  <si>
    <t>2247-2283</t>
  </si>
  <si>
    <t>2284-2321</t>
  </si>
  <si>
    <t>OWP11P10NMC</t>
  </si>
  <si>
    <t>OWP11P15NMC</t>
  </si>
  <si>
    <t>OWP11P20NMC</t>
  </si>
  <si>
    <t>OWP12P10NMC</t>
  </si>
  <si>
    <t>OWP12P15NMC</t>
  </si>
  <si>
    <t>OWP12P20NMC</t>
  </si>
  <si>
    <t>OWP13P10NMC</t>
  </si>
  <si>
    <t>OWP13P15NMC</t>
  </si>
  <si>
    <t>OWP13P20NMC</t>
  </si>
  <si>
    <t>OWP14P10NMC</t>
  </si>
  <si>
    <t>OWP14P15NMC</t>
  </si>
  <si>
    <t>OWP14P20NMC</t>
  </si>
  <si>
    <t>OWP15P10NMC</t>
  </si>
  <si>
    <t>OWP15P15NMC</t>
  </si>
  <si>
    <t>OWP15P20NMC</t>
  </si>
  <si>
    <t>OWP16P10NMC</t>
  </si>
  <si>
    <t>OWP16P15NMC</t>
  </si>
  <si>
    <t>OWP16P20NMC</t>
  </si>
  <si>
    <t>OWP17P10NMC</t>
  </si>
  <si>
    <t>OWP17P15NMC</t>
  </si>
  <si>
    <t>OWP17P20NMC</t>
  </si>
  <si>
    <t>OWP18P10NMC</t>
  </si>
  <si>
    <t>OWP18P15NMC</t>
  </si>
  <si>
    <t>OWP18P20NMC</t>
  </si>
  <si>
    <t>wklejana</t>
  </si>
  <si>
    <t>APPMC</t>
  </si>
  <si>
    <t>zestawienie nie uwzględnia kotew mocujących</t>
  </si>
  <si>
    <t>należy je dobrać indywidualnie do podłoża</t>
  </si>
  <si>
    <t>KONSTRUKCJA E-VKTN</t>
  </si>
  <si>
    <t>odchylenie od pionu</t>
  </si>
  <si>
    <t>typ cybantu</t>
  </si>
  <si>
    <t>CYB400E</t>
  </si>
  <si>
    <t>CYK30E</t>
  </si>
  <si>
    <t>ilość cybantów</t>
  </si>
  <si>
    <t>KONSTRUKCJA B-VPN</t>
  </si>
  <si>
    <t>Łącznik profilu aluminiowego</t>
  </si>
  <si>
    <t>SMA40/6</t>
  </si>
  <si>
    <t>SMA70/6</t>
  </si>
  <si>
    <t>SM6500</t>
  </si>
  <si>
    <t>BDFCH100/2,75NMC</t>
  </si>
  <si>
    <t>BDFCH100/3,2NMC</t>
  </si>
  <si>
    <t>BDFCH120/3,6NMC</t>
  </si>
  <si>
    <t>BDFCH120/4,4NMC</t>
  </si>
  <si>
    <t>BDFCH120/4,8NMC</t>
  </si>
  <si>
    <t>BDFCH120/5,4NMC</t>
  </si>
  <si>
    <t>BDFTH120/6NMC</t>
  </si>
  <si>
    <t>BDFTH120/6,4NMC</t>
  </si>
  <si>
    <t>BDFTH120/6,8NMC</t>
  </si>
  <si>
    <t>CWC100H50/6,6NMC</t>
  </si>
  <si>
    <t>CT70H50/1NMC</t>
  </si>
  <si>
    <t>CT70H50/2NMC</t>
  </si>
  <si>
    <t>CT70H50/3NMC</t>
  </si>
  <si>
    <t>CT70H50/4NMC</t>
  </si>
  <si>
    <t>CWT70H50/1NMC</t>
  </si>
  <si>
    <t>CWT70H50/2NMC</t>
  </si>
  <si>
    <t>CWT70H50/2,4NMC</t>
  </si>
  <si>
    <t>CWT70H50/3NMC</t>
  </si>
  <si>
    <t>CWT70H50/3,4NMC</t>
  </si>
  <si>
    <t>CWT70H50/4,4NMC</t>
  </si>
  <si>
    <t>PCS70</t>
  </si>
  <si>
    <t>PCS100</t>
  </si>
  <si>
    <t>PCB70</t>
  </si>
  <si>
    <t>PCB100</t>
  </si>
  <si>
    <t>SPM1</t>
  </si>
  <si>
    <t>SPM2</t>
  </si>
  <si>
    <t>Spinka</t>
  </si>
  <si>
    <t>SPV</t>
  </si>
  <si>
    <t>SBV50X100</t>
  </si>
  <si>
    <t>SBV50X500</t>
  </si>
  <si>
    <t>SBV250X350</t>
  </si>
  <si>
    <t>OWN10MC</t>
  </si>
  <si>
    <t>OWN15MC</t>
  </si>
  <si>
    <t>OWN20MC</t>
  </si>
  <si>
    <t>DUFR60E</t>
  </si>
  <si>
    <t>DUFR75E</t>
  </si>
  <si>
    <t>DUFPE</t>
  </si>
  <si>
    <t>Nakrętka rombowa</t>
  </si>
  <si>
    <t>Wieszak pręta</t>
  </si>
  <si>
    <t>WPTMC</t>
  </si>
  <si>
    <t>Daszek inwertera</t>
  </si>
  <si>
    <t>DI</t>
  </si>
  <si>
    <t>Bok daszku inwertera</t>
  </si>
  <si>
    <t>BDI</t>
  </si>
  <si>
    <t>Łącznik daszku inwertera</t>
  </si>
  <si>
    <t>LDI</t>
  </si>
  <si>
    <t>PW8E A2</t>
  </si>
  <si>
    <t>Podkładka sprężysta</t>
  </si>
  <si>
    <t>1950-1950</t>
  </si>
  <si>
    <t>Minimalne
zamówienie</t>
  </si>
  <si>
    <t>Podstawa montażowa</t>
  </si>
  <si>
    <t>Stalowa płyta mocująca na dach płaski</t>
  </si>
  <si>
    <t>CC55H50/0,7NMC</t>
  </si>
  <si>
    <t>CC55H50/0,6NMC</t>
  </si>
  <si>
    <t>5900993228915</t>
  </si>
  <si>
    <t>5900993228922</t>
  </si>
  <si>
    <t>5900993228939</t>
  </si>
  <si>
    <t>5900993228946</t>
  </si>
  <si>
    <t>5900993228953</t>
  </si>
  <si>
    <t>5900993228960</t>
  </si>
  <si>
    <t>5900993228977</t>
  </si>
  <si>
    <t>5900993228984</t>
  </si>
  <si>
    <t>5900993228991</t>
  </si>
  <si>
    <t>5900993229004</t>
  </si>
  <si>
    <t>5900993229011</t>
  </si>
  <si>
    <t>5900993229028</t>
  </si>
  <si>
    <t>5900993229035</t>
  </si>
  <si>
    <t>5900993229042</t>
  </si>
  <si>
    <t>5900993229059</t>
  </si>
  <si>
    <t>5900993229066</t>
  </si>
  <si>
    <t>5900993229073</t>
  </si>
  <si>
    <t>5900993229080</t>
  </si>
  <si>
    <t>5900993229097</t>
  </si>
  <si>
    <t>5900993229103</t>
  </si>
  <si>
    <t>5900993229110</t>
  </si>
  <si>
    <t>5900993229127</t>
  </si>
  <si>
    <t>5900993229134</t>
  </si>
  <si>
    <t>5900993229141</t>
  </si>
  <si>
    <t>5900993229158</t>
  </si>
  <si>
    <t>5900993229165</t>
  </si>
  <si>
    <t>5900993229172</t>
  </si>
  <si>
    <t>5900993229196</t>
  </si>
  <si>
    <t>5900993229202</t>
  </si>
  <si>
    <t>5900993229219</t>
  </si>
  <si>
    <t>5900993229257</t>
  </si>
  <si>
    <t>5900993229264</t>
  </si>
  <si>
    <t>5900993229271</t>
  </si>
  <si>
    <t>5900993229318</t>
  </si>
  <si>
    <t>5900993229325</t>
  </si>
  <si>
    <t>5900993229332</t>
  </si>
  <si>
    <t>5900993229349</t>
  </si>
  <si>
    <t>5900993229394</t>
  </si>
  <si>
    <t>5900993229400</t>
  </si>
  <si>
    <t>5900993229462</t>
  </si>
  <si>
    <t>5900993229479</t>
  </si>
  <si>
    <t>5900993229561</t>
  </si>
  <si>
    <t>5900993229653</t>
  </si>
  <si>
    <t>5900993229660</t>
  </si>
  <si>
    <t>5900993229677</t>
  </si>
  <si>
    <t>5900993229684</t>
  </si>
  <si>
    <t>5900993229691</t>
  </si>
  <si>
    <t>5900993229189</t>
  </si>
  <si>
    <t>25.94.12.0</t>
  </si>
  <si>
    <t>5900993229486</t>
  </si>
  <si>
    <t>5900993229509</t>
  </si>
  <si>
    <t>5900993229516</t>
  </si>
  <si>
    <t>5900993229523</t>
  </si>
  <si>
    <t>5900993229530</t>
  </si>
  <si>
    <t>5900993229547</t>
  </si>
  <si>
    <t>5900993229554</t>
  </si>
  <si>
    <t>5900993229578</t>
  </si>
  <si>
    <t>5900993229585</t>
  </si>
  <si>
    <t>5900993229622</t>
  </si>
  <si>
    <t>5900993229639</t>
  </si>
  <si>
    <t>5900993229646</t>
  </si>
  <si>
    <t>7318 22 00</t>
  </si>
  <si>
    <t>pg</t>
  </si>
  <si>
    <t>NKZM6E A2</t>
  </si>
  <si>
    <t>PGM6/3E A2</t>
  </si>
  <si>
    <t>&gt;=13</t>
  </si>
  <si>
    <t>&lt;1,4)</t>
  </si>
  <si>
    <t>&lt;5,8)</t>
  </si>
  <si>
    <t>&lt;8,13)</t>
  </si>
  <si>
    <t>LCT100H50NMC</t>
  </si>
  <si>
    <t>Adapter</t>
  </si>
  <si>
    <t>5900993231748</t>
  </si>
  <si>
    <t xml:space="preserve">Podstawa ceownika z gumą wibroizolacyjną  </t>
  </si>
  <si>
    <t>GSW76x1600N</t>
  </si>
  <si>
    <t>5900993231779</t>
  </si>
  <si>
    <t>5900993231755</t>
  </si>
  <si>
    <t>SSZ8x30E A2</t>
  </si>
  <si>
    <t>5900993231786</t>
  </si>
  <si>
    <t>typ profili</t>
  </si>
  <si>
    <t>CWP40H35/2,2MC</t>
  </si>
  <si>
    <t>CWP40H35/3,3MC</t>
  </si>
  <si>
    <t>LC40H35MC</t>
  </si>
  <si>
    <t>1150-1200</t>
  </si>
  <si>
    <t>1200-1250</t>
  </si>
  <si>
    <t>1250-1300</t>
  </si>
  <si>
    <t>TYŁ H4G2</t>
  </si>
  <si>
    <t>wiatr/śnieg</t>
  </si>
  <si>
    <t>max. rozstaw podpór wynosi</t>
  </si>
  <si>
    <t>BŁĘDNA KOMBINACJA STREF</t>
  </si>
  <si>
    <t>&lt;9,13)</t>
  </si>
  <si>
    <t>&lt;2,9)</t>
  </si>
  <si>
    <t>NOW100X50SR</t>
  </si>
  <si>
    <t>TYŁ H5G2</t>
  </si>
  <si>
    <t>TYŁ ŁĄCZNIK H5G2</t>
  </si>
  <si>
    <t>3- poniżej 500 m.n.p.m</t>
  </si>
  <si>
    <t>PRZÓD H6G2</t>
  </si>
  <si>
    <t>TYŁ H6G2</t>
  </si>
  <si>
    <t>TYŁ ŁĄCZNIK H6G2</t>
  </si>
  <si>
    <t>TYŁ V2G2-25</t>
  </si>
  <si>
    <t>TYŁ V2G2-30</t>
  </si>
  <si>
    <t>KONSTRUKCJA W-V2G2-25°</t>
  </si>
  <si>
    <t>KONSTRUKCJA W-V2B2-25°</t>
  </si>
  <si>
    <t>KONSTRUKCJA W-V2K2-25°</t>
  </si>
  <si>
    <t>KONSTRUKCJA W-V2S2-25°</t>
  </si>
  <si>
    <t>KONSTRUKCJA W-V2G2-30°</t>
  </si>
  <si>
    <t>KONSTRUKCJA W-V2B2-30°</t>
  </si>
  <si>
    <t>KONSTRUKCJA W-V2K2-30°</t>
  </si>
  <si>
    <t>KONSTRUKCJA W-V2S2-30°</t>
  </si>
  <si>
    <t>TYŁ V3G2</t>
  </si>
  <si>
    <t>TYŁ ŁĄCZNIK V3G2</t>
  </si>
  <si>
    <t>BRAK MOŻLIWOŚCI MONTAŻU</t>
  </si>
  <si>
    <t>KONSTRUKCJA W-V2G1-25°</t>
  </si>
  <si>
    <t>KONSTRUKCJA W-V2G1-30°</t>
  </si>
  <si>
    <t>KONSTRUKCJA W-V2B1-25°</t>
  </si>
  <si>
    <t>KONSTRUKCJA W-V2B1-30°</t>
  </si>
  <si>
    <t>KONSTRUKCJA W-V2K1-25°</t>
  </si>
  <si>
    <t>KONSTRUKCJA W-V2K1-30°</t>
  </si>
  <si>
    <t>KONSTRUKCJA W-V2S1-25°</t>
  </si>
  <si>
    <t>KONSTRUKCJA W-V2S1-30°</t>
  </si>
  <si>
    <t>W-H4G2-BI</t>
  </si>
  <si>
    <t>DŁUGOŚĆ MODUŁU+50mm</t>
  </si>
  <si>
    <t>rozstaw podpór wynosi</t>
  </si>
  <si>
    <t>W-V2G2-BI</t>
  </si>
  <si>
    <t>KONSTRUKCJA W-V2G2-BI-25°</t>
  </si>
  <si>
    <t>KONSTRUKCJA W-V2G2-BI-30°</t>
  </si>
  <si>
    <t>KONSTRUKCJA W-V2B2-BI-25°</t>
  </si>
  <si>
    <t>KONSTRUKCJA W-V2B2-BI-30°</t>
  </si>
  <si>
    <t>KONSTRUKCJA W-V2K2-BI-25°</t>
  </si>
  <si>
    <t>KONSTRUKCJA W-V2K2-BI-30°</t>
  </si>
  <si>
    <t>KONSTRUKCJA W-V2S2-BI-25°</t>
  </si>
  <si>
    <t>KONSTRUKCJA W-V2S2-BI-30°</t>
  </si>
  <si>
    <t>1300-1350</t>
  </si>
  <si>
    <t>2300-2350</t>
  </si>
  <si>
    <t>2350-2400</t>
  </si>
  <si>
    <t>h4g2 bi odstep 20mm</t>
  </si>
  <si>
    <t>w-v2g2 bi + zwykle</t>
  </si>
  <si>
    <t>1350-1400</t>
  </si>
  <si>
    <t>v2g1</t>
  </si>
  <si>
    <t>w-v3g2</t>
  </si>
  <si>
    <t>h4g2</t>
  </si>
  <si>
    <t>h4g2 bi odstep 50mm</t>
  </si>
  <si>
    <t>h5g2</t>
  </si>
  <si>
    <t>h6g2</t>
  </si>
  <si>
    <t>max. rostaw trójkątów</t>
  </si>
  <si>
    <t>2XSZEROKOŚĆ MODUŁU+40mm</t>
  </si>
  <si>
    <t>CT/pg</t>
  </si>
  <si>
    <t>ct/pg</t>
  </si>
  <si>
    <t>40x35 stal</t>
  </si>
  <si>
    <t>LCTW100H50MC</t>
  </si>
  <si>
    <t>3925 90 10</t>
  </si>
  <si>
    <t>40x40 alu</t>
  </si>
  <si>
    <t>30x32 alu</t>
  </si>
  <si>
    <t>PP10E A2</t>
  </si>
  <si>
    <t xml:space="preserve">śruby  do mocowania </t>
  </si>
  <si>
    <t xml:space="preserve">śruby do mocowania </t>
  </si>
  <si>
    <t>SGKFM8x14</t>
  </si>
  <si>
    <t>strefa wiatrowa dla Polski</t>
  </si>
  <si>
    <t>strefa śniegowa dla Polski</t>
  </si>
  <si>
    <t>zgodna z PN-EN 1991-1-4</t>
  </si>
  <si>
    <t>zgodna z PN-EN 1991-1-3</t>
  </si>
  <si>
    <t>PRZÓD V2G2-BI-25</t>
  </si>
  <si>
    <t>PRZÓD V2G2-BI-30</t>
  </si>
  <si>
    <t>TYŁ V2G2-BI-25</t>
  </si>
  <si>
    <t>TYŁ V2G2-BI-30</t>
  </si>
  <si>
    <t>Instrukcja - wersja wbijana</t>
  </si>
  <si>
    <t>Instrukcja - wersja betonowana</t>
  </si>
  <si>
    <t>Instrukcja - wersja kotwiona</t>
  </si>
  <si>
    <t>Instrukcja - wersja wkręcana</t>
  </si>
  <si>
    <t>PW10F</t>
  </si>
  <si>
    <t>VAT</t>
  </si>
  <si>
    <t>MPP</t>
  </si>
  <si>
    <t>5-10 dni + dostawa</t>
  </si>
  <si>
    <t>10-16 dni + dostawa</t>
  </si>
  <si>
    <t>Nakładka ochronna</t>
  </si>
  <si>
    <t>NOW100x50SR</t>
  </si>
  <si>
    <t>5900993231854</t>
  </si>
  <si>
    <t>Łącznik wewnętrzny ceownika</t>
  </si>
  <si>
    <t>5900993231861</t>
  </si>
  <si>
    <t>5900993231885</t>
  </si>
  <si>
    <t>5900993231892</t>
  </si>
  <si>
    <t>Łacznik ceownika</t>
  </si>
  <si>
    <t>5900993231908</t>
  </si>
  <si>
    <t>CWCR100H50/3,3MC</t>
  </si>
  <si>
    <t>5900993231915</t>
  </si>
  <si>
    <t>CWCR100H50/4,4MC</t>
  </si>
  <si>
    <t>5900993231922</t>
  </si>
  <si>
    <t>CWCR100H50/6,6MC</t>
  </si>
  <si>
    <t>5900993231939</t>
  </si>
  <si>
    <t>LCWR100H50MC</t>
  </si>
  <si>
    <t>5900993231946</t>
  </si>
  <si>
    <t>5900993231953</t>
  </si>
  <si>
    <t>5900993231960</t>
  </si>
  <si>
    <t>CCS50H35/1,3MC</t>
  </si>
  <si>
    <t>CCS50H35/1,4MC</t>
  </si>
  <si>
    <t>CC50H35/3,3MC</t>
  </si>
  <si>
    <t>CC50H35/2,2MC</t>
  </si>
  <si>
    <t>LCW50H35MC</t>
  </si>
  <si>
    <t>BUF30MC</t>
  </si>
  <si>
    <t>BUF32MC</t>
  </si>
  <si>
    <t>BUF35MC</t>
  </si>
  <si>
    <t>BUF40MC</t>
  </si>
  <si>
    <t>2400-2450</t>
  </si>
  <si>
    <t>2450-2500</t>
  </si>
  <si>
    <t>DP-DTVBN</t>
  </si>
  <si>
    <t>DP-DTAVBN</t>
  </si>
  <si>
    <t>DP-DTHBN</t>
  </si>
  <si>
    <t>cc55h50</t>
  </si>
  <si>
    <t>own</t>
  </si>
  <si>
    <t>dthk</t>
  </si>
  <si>
    <t>dthk- wschód/zachód</t>
  </si>
  <si>
    <t>v</t>
  </si>
  <si>
    <t>h</t>
  </si>
  <si>
    <t>TYŁ ŁĄCZNIK V2G2-30</t>
  </si>
  <si>
    <t>CWE100H50/3,6MC</t>
  </si>
  <si>
    <t>&lt;2,6)</t>
  </si>
  <si>
    <t>&lt;6,10)</t>
  </si>
  <si>
    <t>&gt;=10</t>
  </si>
  <si>
    <t>na szynach SMA40</t>
  </si>
  <si>
    <t>NRKM8PV</t>
  </si>
  <si>
    <t>SMM10X70F</t>
  </si>
  <si>
    <t>PP10F</t>
  </si>
  <si>
    <t xml:space="preserve">w-v2g2 bi </t>
  </si>
  <si>
    <t>LCCW50H35MC</t>
  </si>
  <si>
    <t>CC50H35/1,5MC</t>
  </si>
  <si>
    <t>CC50H35/0,3MC</t>
  </si>
  <si>
    <t>CC55H50/1,55MC</t>
  </si>
  <si>
    <t>CC50H35/0,45MC</t>
  </si>
  <si>
    <t>CC50H35/0,55MC</t>
  </si>
  <si>
    <t>BUFMC</t>
  </si>
  <si>
    <t>DUFWE</t>
  </si>
  <si>
    <t>CWE100H50/1,5NMC</t>
  </si>
  <si>
    <t>CWE100H50/3,2NMC</t>
  </si>
  <si>
    <t>CWE100H50/3,6NMC</t>
  </si>
  <si>
    <t>PGWZMC</t>
  </si>
  <si>
    <t>BR45/1MC</t>
  </si>
  <si>
    <t>OWN10/1,8MC</t>
  </si>
  <si>
    <t>OWN10/2,12MC</t>
  </si>
  <si>
    <t>OWN10/2,4MC</t>
  </si>
  <si>
    <t>osłony</t>
  </si>
  <si>
    <t>il. Osłon na rząd</t>
  </si>
  <si>
    <t>SPM</t>
  </si>
  <si>
    <t>OWN15/1,8MC</t>
  </si>
  <si>
    <t>OWN20/1,8MC</t>
  </si>
  <si>
    <t>OWN15/2,12MC</t>
  </si>
  <si>
    <t>OWN20/2,12MC</t>
  </si>
  <si>
    <t>OWN15/2,4MC</t>
  </si>
  <si>
    <t>OWN20/2,4MC</t>
  </si>
  <si>
    <t>GSW76x2200N</t>
  </si>
  <si>
    <t>2500-2550</t>
  </si>
  <si>
    <t>2550-2600</t>
  </si>
  <si>
    <t>suma</t>
  </si>
  <si>
    <t>CMP41H41/2,5MC</t>
  </si>
  <si>
    <t>SMM8X16F</t>
  </si>
  <si>
    <t>SMM</t>
  </si>
  <si>
    <t>OWN</t>
  </si>
  <si>
    <t>5900993231977</t>
  </si>
  <si>
    <t>5900993225594</t>
  </si>
  <si>
    <t>CWE100H50/3,2MC</t>
  </si>
  <si>
    <t>5900993227260</t>
  </si>
  <si>
    <t>5900993231984</t>
  </si>
  <si>
    <t>5900993231991</t>
  </si>
  <si>
    <t>5900993232004</t>
  </si>
  <si>
    <t>5900993232011</t>
  </si>
  <si>
    <t>5900993232028</t>
  </si>
  <si>
    <t>5900993232035</t>
  </si>
  <si>
    <t>5900993232042</t>
  </si>
  <si>
    <t>CWE100H50/1,5MC</t>
  </si>
  <si>
    <t>5900993232066</t>
  </si>
  <si>
    <t>CC50H35/1,3MC</t>
  </si>
  <si>
    <t>5900993232271</t>
  </si>
  <si>
    <t>CP50H35/1,3MC</t>
  </si>
  <si>
    <t>5900993232295</t>
  </si>
  <si>
    <t>CP50H35/0,3MC</t>
  </si>
  <si>
    <t>5900993232301</t>
  </si>
  <si>
    <t>CP50H35/0,45MC</t>
  </si>
  <si>
    <t>5900993232318</t>
  </si>
  <si>
    <t>CP50H35/0,55MC</t>
  </si>
  <si>
    <t>5900993232325</t>
  </si>
  <si>
    <t>CP50H35/1,5MC</t>
  </si>
  <si>
    <t>5900993232332</t>
  </si>
  <si>
    <t>5900993232288</t>
  </si>
  <si>
    <t>CWC70H50/4NMC</t>
  </si>
  <si>
    <t>5900993232264</t>
  </si>
  <si>
    <t>5900993232080</t>
  </si>
  <si>
    <t>5900993232103</t>
  </si>
  <si>
    <t>Profil aluminiowy lakierowany czarny</t>
  </si>
  <si>
    <t>PAL40H40/2,2L</t>
  </si>
  <si>
    <t>5900993232240</t>
  </si>
  <si>
    <t>PAL40H40/3,3L</t>
  </si>
  <si>
    <t>5900993232257</t>
  </si>
  <si>
    <t>5900993232073</t>
  </si>
  <si>
    <t>SMM10x70F</t>
  </si>
  <si>
    <t>SGKFM8x16</t>
  </si>
  <si>
    <t>UPDMC</t>
  </si>
  <si>
    <t>UPG10MC</t>
  </si>
  <si>
    <t>UPG15MC</t>
  </si>
  <si>
    <t>UPG20MC</t>
  </si>
  <si>
    <t>CP50H35/0,25MC</t>
  </si>
  <si>
    <t>CP50H35/0,35MC</t>
  </si>
  <si>
    <t>CC55H50/1,35MC</t>
  </si>
  <si>
    <t>CC55H50/2,6MC</t>
  </si>
  <si>
    <t>KONSTRUKCJA W-H4G2-25°</t>
  </si>
  <si>
    <t>KONSTRUKCJA W-H4B2-25°</t>
  </si>
  <si>
    <t>KONSTRUKCJA W-H4K2-25°</t>
  </si>
  <si>
    <t>KONSTRUKCJA W-H4S2-25°</t>
  </si>
  <si>
    <t>KONSTRUKCJA W-H4G2-30°</t>
  </si>
  <si>
    <t>KONSTRUKCJA W-H4B2-30°</t>
  </si>
  <si>
    <t>KONSTRUKCJA W-H4K2-30°</t>
  </si>
  <si>
    <t>KONSTRUKCJA W-H4S2-30°</t>
  </si>
  <si>
    <t>TYŁ H4G2-bi</t>
  </si>
  <si>
    <t>Instrukcja - wersja balastowa</t>
  </si>
  <si>
    <t>Instrukcja - wersja wklejana</t>
  </si>
  <si>
    <t>Instrukcja - wersja na szynach</t>
  </si>
  <si>
    <t>Instrukcja montażu</t>
  </si>
  <si>
    <t>Instrukcja montażu DS-V6aN</t>
  </si>
  <si>
    <t>Instrukcja montażu DS-V6bN</t>
  </si>
  <si>
    <t>PC50P</t>
  </si>
  <si>
    <t>PC100P</t>
  </si>
  <si>
    <t>PC100C</t>
  </si>
  <si>
    <t>PBK40MC</t>
  </si>
  <si>
    <t>PBKD40MC</t>
  </si>
  <si>
    <t>PBK50MC</t>
  </si>
  <si>
    <t>PBKD50MC</t>
  </si>
  <si>
    <t>CC50H35/1,35MC</t>
  </si>
  <si>
    <t>5900993251241</t>
  </si>
  <si>
    <t>CC50H35/1,55MC</t>
  </si>
  <si>
    <t>5900993251258</t>
  </si>
  <si>
    <t>5900993251265</t>
  </si>
  <si>
    <t>5900993251272</t>
  </si>
  <si>
    <t>5900993251289</t>
  </si>
  <si>
    <t>5900993251296</t>
  </si>
  <si>
    <t>Ceownik wzmocniony lakierowany czarny</t>
  </si>
  <si>
    <t>CWP40H35/2,2MCL</t>
  </si>
  <si>
    <t>5900993251302</t>
  </si>
  <si>
    <t>CWP40H35/3,3MCL</t>
  </si>
  <si>
    <t>5900993251319</t>
  </si>
  <si>
    <t>5900993251326</t>
  </si>
  <si>
    <t>5900993251333</t>
  </si>
  <si>
    <t>5900993251340</t>
  </si>
  <si>
    <t>5900993251357</t>
  </si>
  <si>
    <t>Podkładka uziemiająca do profili lakierowanych</t>
  </si>
  <si>
    <t>PUPL</t>
  </si>
  <si>
    <t>5900993251364</t>
  </si>
  <si>
    <t>5900993251371</t>
  </si>
  <si>
    <t>5900993251388</t>
  </si>
  <si>
    <t>5900993251395</t>
  </si>
  <si>
    <t>Podstawa górna</t>
  </si>
  <si>
    <t>5900993251401</t>
  </si>
  <si>
    <t>5900993251418</t>
  </si>
  <si>
    <t>5900993251425</t>
  </si>
  <si>
    <t>5900993251432</t>
  </si>
  <si>
    <t>5900993251449</t>
  </si>
  <si>
    <t>Wieszak przegubowy</t>
  </si>
  <si>
    <t>WPPGTE</t>
  </si>
  <si>
    <t>5900993251456</t>
  </si>
  <si>
    <t>LCK1ES</t>
  </si>
  <si>
    <t>5900993251463</t>
  </si>
  <si>
    <t>Uchwyt uniwersalny balustrady</t>
  </si>
  <si>
    <t>UB1MC</t>
  </si>
  <si>
    <t>5900993251470</t>
  </si>
  <si>
    <t>PAL40H40/0,4</t>
  </si>
  <si>
    <t>5900993251487</t>
  </si>
  <si>
    <t>5900993251494</t>
  </si>
  <si>
    <t>Podkładka powiększona</t>
  </si>
  <si>
    <t>Śruba z łbem sześciokątnym w ocynku ogniowym</t>
  </si>
  <si>
    <t>5900993251517</t>
  </si>
  <si>
    <t>Podkładka</t>
  </si>
  <si>
    <t>5900993251524</t>
  </si>
  <si>
    <t xml:space="preserve">Śruba z łbem sześciokątnym w ocynku ogniowym </t>
  </si>
  <si>
    <t>SMM8x16F</t>
  </si>
  <si>
    <t>5900993251531</t>
  </si>
  <si>
    <t>Nakrętka kołnierzowa ząbkowana DIN 6923 A2</t>
  </si>
  <si>
    <t>5900993251555</t>
  </si>
  <si>
    <t>5900993251562</t>
  </si>
  <si>
    <t>NOW40x40SR</t>
  </si>
  <si>
    <t>PSRM10X90F</t>
  </si>
  <si>
    <t>BUFK30</t>
  </si>
  <si>
    <t>BUFK30L</t>
  </si>
  <si>
    <t>PS6E</t>
  </si>
  <si>
    <t>SSZ8x12E</t>
  </si>
  <si>
    <t>CBT70H50/3MC</t>
  </si>
  <si>
    <t>CBT70H50/4MC</t>
  </si>
  <si>
    <t>CWBT70H50/2,4MC</t>
  </si>
  <si>
    <t>CWBT70H50/3,2MC</t>
  </si>
  <si>
    <t>CWBT70H50/3MC</t>
  </si>
  <si>
    <t>CWBT70H50/4,4MC</t>
  </si>
  <si>
    <t>SSZ8X12E</t>
  </si>
  <si>
    <t>PAL40H40/1,3</t>
  </si>
  <si>
    <t>PS8E</t>
  </si>
  <si>
    <t>KONSTRUKCJA B-HKAN</t>
  </si>
  <si>
    <t>sumaryczna ilość modułów [szt.]</t>
  </si>
  <si>
    <t>3- poniżej 300 m.n.p.m</t>
  </si>
  <si>
    <t>5900993253726</t>
  </si>
  <si>
    <t>PAL40H40/2,4</t>
  </si>
  <si>
    <t>5900993252484</t>
  </si>
  <si>
    <t>PAL40H40/4,4</t>
  </si>
  <si>
    <t>5900993252491</t>
  </si>
  <si>
    <t>PAL40H80/6,6</t>
  </si>
  <si>
    <t>5900993252507</t>
  </si>
  <si>
    <t>PAL40H120/6,6</t>
  </si>
  <si>
    <t>5900993252514</t>
  </si>
  <si>
    <t>SMA40/04</t>
  </si>
  <si>
    <t>5900993252521</t>
  </si>
  <si>
    <t>SMA70/04</t>
  </si>
  <si>
    <t>5900993252538</t>
  </si>
  <si>
    <t>SMA100/033</t>
  </si>
  <si>
    <t>5900993252545</t>
  </si>
  <si>
    <t>SMA100/04</t>
  </si>
  <si>
    <t>5900993252552</t>
  </si>
  <si>
    <t>SMA100/6</t>
  </si>
  <si>
    <t>5900993252569</t>
  </si>
  <si>
    <t>Pośredni uchwyt panelu Klik</t>
  </si>
  <si>
    <t>PUFEK50</t>
  </si>
  <si>
    <t>5900993252576</t>
  </si>
  <si>
    <t>PUFEK75</t>
  </si>
  <si>
    <t>5900993252583</t>
  </si>
  <si>
    <t>PUFEK100</t>
  </si>
  <si>
    <t>5900993252590</t>
  </si>
  <si>
    <t>Boczny uchwyt panelu Klik</t>
  </si>
  <si>
    <t>BUFEK30/50</t>
  </si>
  <si>
    <t>5900993252606</t>
  </si>
  <si>
    <t>BUFEK32/50</t>
  </si>
  <si>
    <t>5900993252613</t>
  </si>
  <si>
    <t>BUFEK35/50</t>
  </si>
  <si>
    <t>5900993252620</t>
  </si>
  <si>
    <t>BUFEK30/75</t>
  </si>
  <si>
    <t>5900993252637</t>
  </si>
  <si>
    <t>BUFEK32/75</t>
  </si>
  <si>
    <t>5900993252644</t>
  </si>
  <si>
    <t>BUFEK35/75</t>
  </si>
  <si>
    <t>5900993252651</t>
  </si>
  <si>
    <t>BUFEK30/100</t>
  </si>
  <si>
    <t>5900993252668</t>
  </si>
  <si>
    <t>BUFEK32/100</t>
  </si>
  <si>
    <t>5900993252675</t>
  </si>
  <si>
    <t>BUFEK35/100</t>
  </si>
  <si>
    <t>5900993252682</t>
  </si>
  <si>
    <t>PUFE50</t>
  </si>
  <si>
    <t>5900993252699</t>
  </si>
  <si>
    <t>PUFE75</t>
  </si>
  <si>
    <t>5900993252705</t>
  </si>
  <si>
    <t>PUFE100</t>
  </si>
  <si>
    <t>5900993252712</t>
  </si>
  <si>
    <t>BUFE30/50</t>
  </si>
  <si>
    <t>5900993252729</t>
  </si>
  <si>
    <t>BUFE32/50</t>
  </si>
  <si>
    <t>5900993252736</t>
  </si>
  <si>
    <t>BUFE35/50</t>
  </si>
  <si>
    <t>5900993252743</t>
  </si>
  <si>
    <t>BUFE30/75</t>
  </si>
  <si>
    <t>5900993252750</t>
  </si>
  <si>
    <t>BUFE32/75</t>
  </si>
  <si>
    <t>5900993252767</t>
  </si>
  <si>
    <t>BUFE35/75</t>
  </si>
  <si>
    <t>5900993252774</t>
  </si>
  <si>
    <t>BUFE30/100</t>
  </si>
  <si>
    <t>5900993252781</t>
  </si>
  <si>
    <t>BUFE32/100</t>
  </si>
  <si>
    <t>5900993252798</t>
  </si>
  <si>
    <t>BUFE35/100</t>
  </si>
  <si>
    <t>5900993252804</t>
  </si>
  <si>
    <t>BUU1MC</t>
  </si>
  <si>
    <t>5900993252811</t>
  </si>
  <si>
    <t>Śruba młotkowa</t>
  </si>
  <si>
    <t>SMHM10x25E</t>
  </si>
  <si>
    <t>5900993252828</t>
  </si>
  <si>
    <t>20.59.41.0</t>
  </si>
  <si>
    <t>SMHM10x33E</t>
  </si>
  <si>
    <t>5900993252835</t>
  </si>
  <si>
    <t>3926 90 97</t>
  </si>
  <si>
    <t>mb.</t>
  </si>
  <si>
    <t>Uchwyt kabla solarnego</t>
  </si>
  <si>
    <t>UKS1</t>
  </si>
  <si>
    <t>5900993253542</t>
  </si>
  <si>
    <t>UKS2</t>
  </si>
  <si>
    <t>5900993253559</t>
  </si>
  <si>
    <t>UKS3</t>
  </si>
  <si>
    <t>5900993253566</t>
  </si>
  <si>
    <t>5900993253573</t>
  </si>
  <si>
    <t>5900993253580</t>
  </si>
  <si>
    <t>LCJ70NMC</t>
  </si>
  <si>
    <t>5900993253597</t>
  </si>
  <si>
    <t>LCD100NMC</t>
  </si>
  <si>
    <t>5900993253603</t>
  </si>
  <si>
    <t>SPM3</t>
  </si>
  <si>
    <t>5900993253610</t>
  </si>
  <si>
    <t>Adapter pośredniego uchwytu panelu</t>
  </si>
  <si>
    <t>ADBIPUFMC</t>
  </si>
  <si>
    <t>5900993253733</t>
  </si>
  <si>
    <t>Adapter bocznego uchwytu panelu</t>
  </si>
  <si>
    <t>ADBIBUFMC</t>
  </si>
  <si>
    <t>5900993253740</t>
  </si>
  <si>
    <t>23.61.12.1</t>
  </si>
  <si>
    <t>6810 91 00</t>
  </si>
  <si>
    <t>PGTFMC</t>
  </si>
  <si>
    <t>PDTFMC</t>
  </si>
  <si>
    <t>LTFMC</t>
  </si>
  <si>
    <t>Adapter śrubowy panelu pośredni</t>
  </si>
  <si>
    <t>ASPPMC</t>
  </si>
  <si>
    <t>5900993254044</t>
  </si>
  <si>
    <t>Adapter śrubowy panelu końcowy</t>
  </si>
  <si>
    <t>ASPKMC</t>
  </si>
  <si>
    <t>5900993254051</t>
  </si>
  <si>
    <t>K1</t>
  </si>
  <si>
    <t>K1L</t>
  </si>
  <si>
    <t>DK1</t>
  </si>
  <si>
    <t>DK1L</t>
  </si>
  <si>
    <t>K2</t>
  </si>
  <si>
    <t>K2L</t>
  </si>
  <si>
    <t>DK2</t>
  </si>
  <si>
    <t>DK2L</t>
  </si>
  <si>
    <t>Uszczelka modułu carportu</t>
  </si>
  <si>
    <t>UMC</t>
  </si>
  <si>
    <t>5900993254143</t>
  </si>
  <si>
    <t>22.19.20.0</t>
  </si>
  <si>
    <t>4008 29 00</t>
  </si>
  <si>
    <t>SSZ8x20E  A2</t>
  </si>
  <si>
    <t>brak</t>
  </si>
  <si>
    <t>lakier</t>
  </si>
  <si>
    <t>uszczelnienie</t>
  </si>
  <si>
    <t>uszczelki</t>
  </si>
  <si>
    <t>lakierowane</t>
  </si>
  <si>
    <t>ilość stanowisk w jednym rzędzie [szt.]</t>
  </si>
  <si>
    <t>CARPORT JEDNOSTANOWISKOWY K1</t>
  </si>
  <si>
    <t>CARPORT DWUSTANOWISKOWY K2</t>
  </si>
  <si>
    <t>ilość stanowisk podwójnych w jednym rzędzie [szt.]</t>
  </si>
  <si>
    <t>1- poniżej 300 m.n.p.m</t>
  </si>
  <si>
    <t>1722x1134</t>
  </si>
  <si>
    <t>1903x1134</t>
  </si>
  <si>
    <t>obróbka</t>
  </si>
  <si>
    <t>NAZWA</t>
  </si>
  <si>
    <t>SYMBOL</t>
  </si>
  <si>
    <t>CENA(zł)</t>
  </si>
  <si>
    <t>WAGA (kg)</t>
  </si>
  <si>
    <t>Nazwa zestawienia części</t>
  </si>
  <si>
    <t>Długość uszczelek</t>
  </si>
  <si>
    <t>Zapas długości</t>
  </si>
  <si>
    <t>symbol</t>
  </si>
  <si>
    <t>K1 BEZ OBRÓBKI MC</t>
  </si>
  <si>
    <t>[m]</t>
  </si>
  <si>
    <t>K1 BEZ OBRÓBKI LAKIER</t>
  </si>
  <si>
    <t>UMC21</t>
  </si>
  <si>
    <t>UMC27</t>
  </si>
  <si>
    <t>K1S</t>
  </si>
  <si>
    <t>K1O</t>
  </si>
  <si>
    <t>DK1S</t>
  </si>
  <si>
    <t>K1 Z OBRÓBKĄ MC</t>
  </si>
  <si>
    <t>DK1O</t>
  </si>
  <si>
    <t>K1 Z OBRÓBKĄ LAKIER</t>
  </si>
  <si>
    <t>K1OL</t>
  </si>
  <si>
    <t>DK1 BEZ OBRÓBKI MC</t>
  </si>
  <si>
    <t>DK1 BEZ OBRÓBKI LAKIER</t>
  </si>
  <si>
    <t>DK1 Z OBRÓBKĄ MC</t>
  </si>
  <si>
    <t>DK1 Z OBRÓBKĄ LAKIER</t>
  </si>
  <si>
    <t>DK1OL</t>
  </si>
  <si>
    <t>---</t>
  </si>
  <si>
    <t>K2O</t>
  </si>
  <si>
    <t>K2OL</t>
  </si>
  <si>
    <t>K2 BEZ OBRÓBKI MC</t>
  </si>
  <si>
    <t>K2 BEZ OBRÓBKI LAKIER</t>
  </si>
  <si>
    <t>K2 Z OBRÓBKĄ MC</t>
  </si>
  <si>
    <t>K2 Z OBRÓBKĄ LAKIER</t>
  </si>
  <si>
    <t>DK2 BEZ OBRÓBKI MC</t>
  </si>
  <si>
    <t>DK2 BEZ OBRÓBKI LAKIER</t>
  </si>
  <si>
    <t>DK2 Z OBRÓBKĄ MC</t>
  </si>
  <si>
    <t>DK2 Z OBRÓBKĄ LAKIER</t>
  </si>
  <si>
    <t>DK2O</t>
  </si>
  <si>
    <t>DK2OL</t>
  </si>
  <si>
    <t>UMC36</t>
  </si>
  <si>
    <t>UMC42</t>
  </si>
  <si>
    <t>K2S</t>
  </si>
  <si>
    <t>DK2S</t>
  </si>
  <si>
    <t>sposób montażu paneli</t>
  </si>
  <si>
    <t>typ mocowania paneli</t>
  </si>
  <si>
    <t>typ balastu</t>
  </si>
  <si>
    <t>typ separatora</t>
  </si>
  <si>
    <t>klemy</t>
  </si>
  <si>
    <t>śruby</t>
  </si>
  <si>
    <t>krótki Bok</t>
  </si>
  <si>
    <t>długi Bok</t>
  </si>
  <si>
    <t>balast</t>
  </si>
  <si>
    <t>zgrzewanie</t>
  </si>
  <si>
    <t>kotwienie</t>
  </si>
  <si>
    <t>szyny SMA40</t>
  </si>
  <si>
    <t>koryto na bloczki</t>
  </si>
  <si>
    <t>stopy balastowe z regulacją</t>
  </si>
  <si>
    <t>kostka w dolny profil</t>
  </si>
  <si>
    <t>guma SBV95x1100</t>
  </si>
  <si>
    <t>podstawka PC100P</t>
  </si>
  <si>
    <t>stopa regulowana SKR95</t>
  </si>
  <si>
    <t>-</t>
  </si>
  <si>
    <t>OWTF/…MC</t>
  </si>
  <si>
    <t>SMDP4,8x25E</t>
  </si>
  <si>
    <t>SKRB95</t>
  </si>
  <si>
    <t>SKR95</t>
  </si>
  <si>
    <t>KFL300H60/3MC</t>
  </si>
  <si>
    <t>SBV95x1100</t>
  </si>
  <si>
    <t>SSZ8x30E</t>
  </si>
  <si>
    <t>PW8E</t>
  </si>
  <si>
    <t>ZMPVMC</t>
  </si>
  <si>
    <t>krótki bok</t>
  </si>
  <si>
    <t>długi bok</t>
  </si>
  <si>
    <t>PGTFMC-dlugi</t>
  </si>
  <si>
    <t>PGTFMC-krotki</t>
  </si>
  <si>
    <t>ilość łączników</t>
  </si>
  <si>
    <t>3403 19 80</t>
  </si>
  <si>
    <t>NOPAL40x80CZ</t>
  </si>
  <si>
    <t>5900993261288</t>
  </si>
  <si>
    <t>LPAN80</t>
  </si>
  <si>
    <t>5900993261295</t>
  </si>
  <si>
    <t>0.085</t>
  </si>
  <si>
    <t>Łącznik profilu</t>
  </si>
  <si>
    <t>LBDFEMC</t>
  </si>
  <si>
    <t>5900993261301</t>
  </si>
  <si>
    <t>Stopa dachowa</t>
  </si>
  <si>
    <t>STPV180M8</t>
  </si>
  <si>
    <t>5900993261318</t>
  </si>
  <si>
    <t>23.69.19.0</t>
  </si>
  <si>
    <t>6810 99 00</t>
  </si>
  <si>
    <t>Uszczelka</t>
  </si>
  <si>
    <t>PGTFWZMC</t>
  </si>
  <si>
    <t>PDTFWZMC</t>
  </si>
  <si>
    <t>LTFWZMC</t>
  </si>
  <si>
    <t>OMPVMC</t>
  </si>
  <si>
    <t>pufk</t>
  </si>
  <si>
    <t>bufk</t>
  </si>
  <si>
    <t>krótki</t>
  </si>
  <si>
    <t>długi</t>
  </si>
  <si>
    <t>CARPORT JEDNOSTANOWISKOWY KP1</t>
  </si>
  <si>
    <t>CARPORT DWUSTANOWISKOWY KP2</t>
  </si>
  <si>
    <t>KP1</t>
  </si>
  <si>
    <t>KP1L</t>
  </si>
  <si>
    <t>KP1O</t>
  </si>
  <si>
    <t>KP1OL</t>
  </si>
  <si>
    <t>DKP1</t>
  </si>
  <si>
    <t>DKP1L</t>
  </si>
  <si>
    <t>DKP1O</t>
  </si>
  <si>
    <t>DKP1OL</t>
  </si>
  <si>
    <t>KP2</t>
  </si>
  <si>
    <t>KP2L</t>
  </si>
  <si>
    <t>KP2O</t>
  </si>
  <si>
    <t>KP2OL</t>
  </si>
  <si>
    <t>DKP2</t>
  </si>
  <si>
    <t>DKP2L</t>
  </si>
  <si>
    <t>DKP2O</t>
  </si>
  <si>
    <t>DKP2OL</t>
  </si>
  <si>
    <t>KP1S</t>
  </si>
  <si>
    <t>DKP1S</t>
  </si>
  <si>
    <t>2000-2400x1134</t>
  </si>
  <si>
    <t>PDTSMC</t>
  </si>
  <si>
    <t>PGTSMC</t>
  </si>
  <si>
    <t>PGTSWZMC</t>
  </si>
  <si>
    <t>PDTSWZMC</t>
  </si>
  <si>
    <t>SMM8x110F</t>
  </si>
  <si>
    <t>podstawa balastowa klick</t>
  </si>
  <si>
    <t>OWN20/1,8NMC</t>
  </si>
  <si>
    <t>OWN20/2,12NMC</t>
  </si>
  <si>
    <t>OWN20/2,4NMC</t>
  </si>
  <si>
    <t>wkręty</t>
  </si>
  <si>
    <t>jakie śruby do łącznika ?</t>
  </si>
  <si>
    <t>BUFK33</t>
  </si>
  <si>
    <t>BUFK33L</t>
  </si>
  <si>
    <t>BUFK34L</t>
  </si>
  <si>
    <t>BUFK38L</t>
  </si>
  <si>
    <t>BUFK42L</t>
  </si>
  <si>
    <t>BUFK45L</t>
  </si>
  <si>
    <t>BUFK50L</t>
  </si>
  <si>
    <t>PAL40H40/3,6</t>
  </si>
  <si>
    <t>TYŁ H3G3-WZ</t>
  </si>
  <si>
    <t>W-H3G3</t>
  </si>
  <si>
    <t>KONSTRUKCJA W-H3G3-WZ-10°</t>
  </si>
  <si>
    <t>KONSTRUKCJA W-H3B3-WZ-10°</t>
  </si>
  <si>
    <t>KONSTRUKCJA W-H3K3-WZ-10°</t>
  </si>
  <si>
    <t>KONSTRUKCJA W-H3S3-WZ-10°</t>
  </si>
  <si>
    <t>LCD70MC</t>
  </si>
  <si>
    <t>h3g2</t>
  </si>
  <si>
    <t>W-V2G3</t>
  </si>
  <si>
    <t>KONSTRUKCJA W-V2G3-WZ-10°</t>
  </si>
  <si>
    <t>KONSTRUKCJA W-V2B3-WZ-10°</t>
  </si>
  <si>
    <t>KONSTRUKCJA W-V2K3-WZ-10°</t>
  </si>
  <si>
    <t>KONSTRUKCJA W-V2S3-WZ-10°</t>
  </si>
  <si>
    <t>,</t>
  </si>
  <si>
    <t>,,</t>
  </si>
  <si>
    <t>OWN20/2,6NMC</t>
  </si>
  <si>
    <t>LPDTSMC</t>
  </si>
  <si>
    <t>SKR95MC</t>
  </si>
  <si>
    <t>STACJE DO ŁADOWANIA SAMOCHODÓW ELEKTRYCZNYCH</t>
  </si>
  <si>
    <t>ILOŚĆ STACJI ŁADOWANIA</t>
  </si>
  <si>
    <t>typ stacji ładowania</t>
  </si>
  <si>
    <t>moc ładowarki</t>
  </si>
  <si>
    <t>pojedyńcza</t>
  </si>
  <si>
    <t>podwójna</t>
  </si>
  <si>
    <t>kW</t>
  </si>
  <si>
    <t>SLWP1500</t>
  </si>
  <si>
    <t>SLWD1500</t>
  </si>
  <si>
    <t>Broszura stacje ładowania</t>
  </si>
  <si>
    <t>Carport</t>
  </si>
  <si>
    <t>Dostawka Carportu</t>
  </si>
  <si>
    <t>Stacja do ładowania samochodów elektrycznych</t>
  </si>
  <si>
    <t>Profil dolny</t>
  </si>
  <si>
    <t>Profil górny</t>
  </si>
  <si>
    <t>Profil dolny WZ</t>
  </si>
  <si>
    <t>Profil górny WZ</t>
  </si>
  <si>
    <t xml:space="preserve">Boczny uchwyt panelu </t>
  </si>
  <si>
    <t xml:space="preserve">Pośredni uchwyt panelu </t>
  </si>
  <si>
    <t>Podstawa regulowana</t>
  </si>
  <si>
    <t>Wkręt montażowy</t>
  </si>
  <si>
    <t>Łącznik profili dolnych</t>
  </si>
  <si>
    <t>Obejma montażowa</t>
  </si>
  <si>
    <t xml:space="preserve">Łącznik ceownika  </t>
  </si>
  <si>
    <t>5900993273793</t>
  </si>
  <si>
    <t>5900993273809</t>
  </si>
  <si>
    <t>5900993273816</t>
  </si>
  <si>
    <t>5900993273823</t>
  </si>
  <si>
    <t>5900993273830</t>
  </si>
  <si>
    <t>5900993273847</t>
  </si>
  <si>
    <t>5900993273854</t>
  </si>
  <si>
    <t>5900993273861</t>
  </si>
  <si>
    <t>5900993273878</t>
  </si>
  <si>
    <t>5900993273885</t>
  </si>
  <si>
    <t>5900993273892</t>
  </si>
  <si>
    <t>5900993273908</t>
  </si>
  <si>
    <t>5900993273915</t>
  </si>
  <si>
    <t>5900993273922</t>
  </si>
  <si>
    <t>5900993273939</t>
  </si>
  <si>
    <t>5900993273946</t>
  </si>
  <si>
    <t>5900993273953</t>
  </si>
  <si>
    <t>5900993273960</t>
  </si>
  <si>
    <t>5900993273977</t>
  </si>
  <si>
    <t>5900993273984</t>
  </si>
  <si>
    <t>5900993273991</t>
  </si>
  <si>
    <t>5900993274004</t>
  </si>
  <si>
    <t>OWN10/1,8NMC</t>
  </si>
  <si>
    <t>5900993274011</t>
  </si>
  <si>
    <t>OWN10/2,12NMC</t>
  </si>
  <si>
    <t>5900993274028</t>
  </si>
  <si>
    <t>OWN10/2,4NMC</t>
  </si>
  <si>
    <t>5900993274035</t>
  </si>
  <si>
    <t>OWN15/1,8NMC</t>
  </si>
  <si>
    <t>5900993274042</t>
  </si>
  <si>
    <t>OWN15/2,12NMC</t>
  </si>
  <si>
    <t>5900993274059</t>
  </si>
  <si>
    <t>OWN15/2,4NMC</t>
  </si>
  <si>
    <t>5900993274066</t>
  </si>
  <si>
    <t>5900993274073</t>
  </si>
  <si>
    <t>5900993274080</t>
  </si>
  <si>
    <t>5900993274097</t>
  </si>
  <si>
    <t>5900993274103</t>
  </si>
  <si>
    <t>5900993274110</t>
  </si>
  <si>
    <t>5900993274127</t>
  </si>
  <si>
    <t>5900993274134</t>
  </si>
  <si>
    <t>BUFPK30</t>
  </si>
  <si>
    <t>5900993274233</t>
  </si>
  <si>
    <t>BUFPK35</t>
  </si>
  <si>
    <t>5900993274240</t>
  </si>
  <si>
    <t>BUFEPK30</t>
  </si>
  <si>
    <t>5900993274257</t>
  </si>
  <si>
    <t>BUFEPK35</t>
  </si>
  <si>
    <t>5900993274264</t>
  </si>
  <si>
    <t>BUFP30</t>
  </si>
  <si>
    <t>5900993274271</t>
  </si>
  <si>
    <t>BUFP35</t>
  </si>
  <si>
    <t>5900993274288</t>
  </si>
  <si>
    <t>BUFEP30</t>
  </si>
  <si>
    <t>5900993274295</t>
  </si>
  <si>
    <t>BUFEP35</t>
  </si>
  <si>
    <t>5900993274301</t>
  </si>
  <si>
    <t>PUFPK</t>
  </si>
  <si>
    <t>5900993274318</t>
  </si>
  <si>
    <t>PUFEPK</t>
  </si>
  <si>
    <t>5900993274325</t>
  </si>
  <si>
    <t>PUFP</t>
  </si>
  <si>
    <t>5900993274332</t>
  </si>
  <si>
    <t>PUFEP</t>
  </si>
  <si>
    <t>5900993274349</t>
  </si>
  <si>
    <t>SKR41MC</t>
  </si>
  <si>
    <t>5900993274356</t>
  </si>
  <si>
    <t>5900993274363</t>
  </si>
  <si>
    <t>SKRB41MC</t>
  </si>
  <si>
    <t>5900993274370</t>
  </si>
  <si>
    <t>SKRB95MC</t>
  </si>
  <si>
    <t>5900993274387</t>
  </si>
  <si>
    <t>5900993274394</t>
  </si>
  <si>
    <t>4003 00 00</t>
  </si>
  <si>
    <t>CWT70H50/1,5NMC</t>
  </si>
  <si>
    <t>Podkładka A2</t>
  </si>
  <si>
    <t>PSRM10x90F</t>
  </si>
  <si>
    <t>Pręt gwintowany</t>
  </si>
  <si>
    <t xml:space="preserve">Korytko KLIK </t>
  </si>
  <si>
    <t>Śruba z łbem grzybkowym + nakrętka ząbkowana</t>
  </si>
  <si>
    <t xml:space="preserve">Ceownik montażowy </t>
  </si>
  <si>
    <t xml:space="preserve">Łącznik </t>
  </si>
  <si>
    <t xml:space="preserve">Ceownik </t>
  </si>
  <si>
    <t>CC55H50/3MC</t>
  </si>
  <si>
    <t>LCT70H50MC</t>
  </si>
  <si>
    <t>0,70 mm</t>
  </si>
  <si>
    <t>1,50 mm</t>
  </si>
  <si>
    <t>SSZ8x20E A2</t>
  </si>
  <si>
    <t>wkręty długi bok</t>
  </si>
  <si>
    <t>wkręty krótki bok</t>
  </si>
  <si>
    <t>osłony syma</t>
  </si>
  <si>
    <t>BDFCH120/4,2NMC</t>
  </si>
  <si>
    <t>SGKFM8X16</t>
  </si>
  <si>
    <t>SKKM8x12E</t>
  </si>
  <si>
    <t>PSRM8X75F</t>
  </si>
  <si>
    <t>PC100J</t>
  </si>
  <si>
    <t>PBKJ40MC</t>
  </si>
  <si>
    <t>BUFEK30/50L</t>
  </si>
  <si>
    <t>BUFEK32/50L</t>
  </si>
  <si>
    <t>BUFEK33/50</t>
  </si>
  <si>
    <t>BUFEK33/50L</t>
  </si>
  <si>
    <t>BUFEK34/50</t>
  </si>
  <si>
    <t>BUFEK34/50L</t>
  </si>
  <si>
    <t>BUFEK35/50L</t>
  </si>
  <si>
    <t>BUFEK38/50</t>
  </si>
  <si>
    <t>BUFEK38/50L</t>
  </si>
  <si>
    <t>BUFEK40/50</t>
  </si>
  <si>
    <t>BUFEK40/50L</t>
  </si>
  <si>
    <t>BUFEK42/50</t>
  </si>
  <si>
    <t>BUFEK42/50L</t>
  </si>
  <si>
    <t>BUFEK45/50</t>
  </si>
  <si>
    <t>BUFEK45/50L</t>
  </si>
  <si>
    <t>BUFEK50/50</t>
  </si>
  <si>
    <t>BUFEK50/50L</t>
  </si>
  <si>
    <t>Instrukcja K1</t>
  </si>
  <si>
    <t>Instrukcja K1O</t>
  </si>
  <si>
    <t>instrukcja DK1O</t>
  </si>
  <si>
    <t>Instrukcja K2</t>
  </si>
  <si>
    <t>Instrukcja K2O</t>
  </si>
  <si>
    <t>Instrukcja DK2</t>
  </si>
  <si>
    <t>Instrukcja DK2O</t>
  </si>
  <si>
    <t>wersja</t>
  </si>
  <si>
    <t>bazowa</t>
  </si>
  <si>
    <t>rozszerzona</t>
  </si>
  <si>
    <t>podstawka PC100J</t>
  </si>
  <si>
    <t>SGKFM6x12</t>
  </si>
  <si>
    <t>SGKFM6X12</t>
  </si>
  <si>
    <t xml:space="preserve"> </t>
  </si>
  <si>
    <t>profili z uchwytem</t>
  </si>
  <si>
    <t xml:space="preserve">śruba do łączenia </t>
  </si>
  <si>
    <t>sześciokątna</t>
  </si>
  <si>
    <t>młotkowa</t>
  </si>
  <si>
    <t>SRM8X30F</t>
  </si>
  <si>
    <t>PW8F</t>
  </si>
  <si>
    <t>śruba młotkowa</t>
  </si>
  <si>
    <t>Śruba + nakrętka kołnierzowa ząbkowana (komplet)</t>
  </si>
  <si>
    <t>5900993274424</t>
  </si>
  <si>
    <t>5900993274431</t>
  </si>
  <si>
    <t>5900993274448</t>
  </si>
  <si>
    <t>5900993274455</t>
  </si>
  <si>
    <t>5900993274462</t>
  </si>
  <si>
    <t>5900993274479</t>
  </si>
  <si>
    <t>5900993274486</t>
  </si>
  <si>
    <t>Podstawa ceownika z gumą wibroizolacyjną</t>
  </si>
  <si>
    <t>5900993274493</t>
  </si>
  <si>
    <t>5900993274509</t>
  </si>
  <si>
    <t>Blacha montażowa</t>
  </si>
  <si>
    <t>BMPV</t>
  </si>
  <si>
    <t>5900993274516</t>
  </si>
  <si>
    <t>Łącznik szyny montażowej</t>
  </si>
  <si>
    <t>LPSMA40</t>
  </si>
  <si>
    <t>5900993274523</t>
  </si>
  <si>
    <t>LPSMA70</t>
  </si>
  <si>
    <t>5900993274530</t>
  </si>
  <si>
    <t>5900993274547</t>
  </si>
  <si>
    <t>5900993274554</t>
  </si>
  <si>
    <t>Fundament prefabrykowany</t>
  </si>
  <si>
    <t>FCP</t>
  </si>
  <si>
    <t>5900993274561</t>
  </si>
  <si>
    <t>5900993274578</t>
  </si>
  <si>
    <t>5900993274585</t>
  </si>
  <si>
    <t>5900993274592</t>
  </si>
  <si>
    <t>5900993274608</t>
  </si>
  <si>
    <t>5900993274615</t>
  </si>
  <si>
    <t>5900993274622</t>
  </si>
  <si>
    <t>5900993274639</t>
  </si>
  <si>
    <t>5900993274646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</si>
</sst>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-* #,##0.00\ _z_ł_-;\-* #,##0.00\ _z_ł_-;_-* &quot;-&quot;??\ _z_ł_-;_-@_-"/>
    <numFmt numFmtId="165" formatCode=";;;"/>
    <numFmt numFmtId="166" formatCode="_-* #,##0\ _z_ł_-;\-* #,##0\ _z_ł_-;_-* &quot;-&quot;??\ _z_ł_-;_-@_-"/>
    <numFmt numFmtId="167" formatCode="0.0"/>
  </numFmts>
  <fonts count="6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charset val="238"/>
      <scheme val="minor"/>
    </font>
    <font>
      <b/>
      <sz val="10"/>
      <color indexed="8"/>
      <name val="Calibri"/>
      <family val="2"/>
      <charset val="238"/>
    </font>
    <font>
      <b/>
      <sz val="10"/>
      <color indexed="81"/>
      <name val="Calibri"/>
      <family val="2"/>
      <charset val="238"/>
    </font>
    <font>
      <sz val="9"/>
      <color indexed="81"/>
      <name val="Tahoma"/>
      <family val="2"/>
      <charset val="238"/>
    </font>
    <font>
      <b/>
      <sz val="10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0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sz val="9"/>
      <color theme="1"/>
      <name val="Calibri"/>
      <family val="2"/>
      <charset val="238"/>
      <scheme val="minor"/>
    </font>
    <font>
      <sz val="10"/>
      <color theme="0"/>
      <name val="Calibri"/>
      <family val="2"/>
      <scheme val="minor"/>
    </font>
    <font>
      <b/>
      <sz val="12"/>
      <color theme="4" tint="-0.499984740745262"/>
      <name val="Calibri"/>
      <family val="2"/>
      <charset val="238"/>
      <scheme val="minor"/>
    </font>
    <font>
      <sz val="11"/>
      <name val="Calibri"/>
      <family val="2"/>
      <scheme val="minor"/>
    </font>
    <font>
      <b/>
      <sz val="9"/>
      <name val="Calibri"/>
      <family val="2"/>
      <charset val="238"/>
      <scheme val="minor"/>
    </font>
    <font>
      <sz val="10"/>
      <name val="Calibri"/>
      <family val="2"/>
      <scheme val="minor"/>
    </font>
    <font>
      <b/>
      <sz val="10"/>
      <color rgb="FFFF0000"/>
      <name val="Calibri"/>
      <family val="2"/>
      <charset val="238"/>
      <scheme val="minor"/>
    </font>
    <font>
      <b/>
      <sz val="10"/>
      <name val="Calibri"/>
      <family val="2"/>
      <scheme val="minor"/>
    </font>
    <font>
      <sz val="11"/>
      <name val="Calibri"/>
      <family val="2"/>
      <charset val="238"/>
      <scheme val="minor"/>
    </font>
    <font>
      <sz val="10"/>
      <name val="Arial CE"/>
      <charset val="238"/>
    </font>
    <font>
      <b/>
      <sz val="11"/>
      <name val="Calibri"/>
      <family val="2"/>
      <charset val="238"/>
      <scheme val="minor"/>
    </font>
    <font>
      <sz val="11"/>
      <name val="Calibri"/>
      <family val="2"/>
      <charset val="238"/>
    </font>
    <font>
      <b/>
      <sz val="11"/>
      <color rgb="FFFF0000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b/>
      <sz val="8"/>
      <color theme="1"/>
      <name val="Calibri"/>
      <family val="2"/>
      <charset val="238"/>
      <scheme val="minor"/>
    </font>
    <font>
      <b/>
      <sz val="8"/>
      <name val="Calibri"/>
      <family val="2"/>
      <charset val="238"/>
      <scheme val="minor"/>
    </font>
    <font>
      <b/>
      <sz val="10"/>
      <color theme="0"/>
      <name val="Calibri"/>
      <family val="2"/>
      <charset val="238"/>
      <scheme val="minor"/>
    </font>
    <font>
      <sz val="9"/>
      <color rgb="FFFF0000"/>
      <name val="Calibri"/>
      <family val="2"/>
      <charset val="238"/>
      <scheme val="minor"/>
    </font>
    <font>
      <u/>
      <sz val="11"/>
      <color theme="10"/>
      <name val="Calibri"/>
      <family val="2"/>
      <scheme val="minor"/>
    </font>
    <font>
      <sz val="10"/>
      <color rgb="FFFF0000"/>
      <name val="Calibri"/>
      <family val="2"/>
      <charset val="238"/>
      <scheme val="minor"/>
    </font>
    <font>
      <sz val="9"/>
      <color rgb="FFFF0000"/>
      <name val="Calibri"/>
      <family val="2"/>
      <scheme val="minor"/>
    </font>
    <font>
      <sz val="11"/>
      <color theme="0"/>
      <name val="Calibri"/>
      <family val="2"/>
      <charset val="238"/>
      <scheme val="minor"/>
    </font>
    <font>
      <sz val="10"/>
      <color theme="0"/>
      <name val="Calibri"/>
      <family val="2"/>
      <charset val="238"/>
      <scheme val="minor"/>
    </font>
    <font>
      <sz val="9"/>
      <color rgb="FF000000"/>
      <name val="Calibri"/>
      <family val="2"/>
      <charset val="238"/>
      <scheme val="minor"/>
    </font>
    <font>
      <sz val="8"/>
      <name val="Calibri"/>
      <family val="2"/>
      <scheme val="minor"/>
    </font>
    <font>
      <sz val="8"/>
      <color rgb="FFFF0000"/>
      <name val="Calibri"/>
      <family val="2"/>
      <scheme val="minor"/>
    </font>
    <font>
      <sz val="11"/>
      <color rgb="FF000000"/>
      <name val="Calibri"/>
      <family val="2"/>
      <charset val="238"/>
    </font>
    <font>
      <sz val="11"/>
      <name val="Aptos"/>
      <family val="2"/>
    </font>
    <font>
      <b/>
      <sz val="10"/>
      <color theme="1"/>
      <name val="Calibri"/>
      <family val="2"/>
      <scheme val="minor"/>
    </font>
    <font>
      <sz val="9"/>
      <name val="Calibri"/>
      <family val="2"/>
      <charset val="238"/>
    </font>
    <font>
      <b/>
      <sz val="9"/>
      <name val="Calibri"/>
      <family val="2"/>
      <charset val="238"/>
    </font>
    <font>
      <sz val="10"/>
      <name val="Calibri"/>
      <family val="2"/>
      <charset val="238"/>
    </font>
    <font>
      <sz val="8"/>
      <name val="Calibri"/>
      <family val="2"/>
      <charset val="238"/>
      <scheme val="minor"/>
    </font>
    <font>
      <sz val="10"/>
      <color rgb="FFFF0000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0"/>
      <name val="Calibri"/>
      <family val="2"/>
      <charset val="238"/>
      <scheme val="minor"/>
    </font>
    <font>
      <sz val="11"/>
      <color theme="0"/>
      <name val="Calibri"/>
      <family val="2"/>
      <scheme val="minor"/>
    </font>
    <font>
      <sz val="9"/>
      <color theme="0"/>
      <name val="Calibri"/>
      <family val="2"/>
      <charset val="238"/>
      <scheme val="minor"/>
    </font>
    <font>
      <sz val="14"/>
      <color theme="0"/>
      <name val="Calibri"/>
      <family val="2"/>
      <charset val="238"/>
      <scheme val="minor"/>
    </font>
    <font>
      <b/>
      <sz val="11"/>
      <name val="Calibri"/>
      <family val="2"/>
      <scheme val="minor"/>
    </font>
    <font>
      <sz val="9"/>
      <name val="Calibri"/>
      <family val="2"/>
      <scheme val="minor"/>
    </font>
    <font>
      <sz val="14"/>
      <name val="Calibri"/>
      <family val="2"/>
      <scheme val="minor"/>
    </font>
    <font>
      <sz val="11"/>
      <name val="Calibri"/>
      <family val="2"/>
    </font>
    <font>
      <b/>
      <sz val="9"/>
      <color rgb="FFFF0000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b/>
      <sz val="9"/>
      <color theme="1"/>
      <name val="Calibri"/>
      <family val="2"/>
      <charset val="238"/>
      <scheme val="minor"/>
    </font>
    <font>
      <b/>
      <sz val="9"/>
      <name val="Calibri"/>
      <family val="2"/>
    </font>
    <font>
      <b/>
      <sz val="9"/>
      <name val="Calibri"/>
      <family val="2"/>
      <scheme val="minor"/>
    </font>
    <font>
      <sz val="9"/>
      <name val="Calibri"/>
      <family val="2"/>
    </font>
  </fonts>
  <fills count="12">
    <fill>
      <patternFill patternType="none"/>
    </fill>
    <fill>
      <patternFill patternType="gray125"/>
    </fill>
    <fill>
      <patternFill patternType="solid">
        <fgColor rgb="FF92D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0" tint="-0.14999847407452621"/>
        <bgColor indexed="49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FF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5">
    <xf numFmtId="0" fontId="0" fillId="0" borderId="0"/>
    <xf numFmtId="0" fontId="5" fillId="0" borderId="0"/>
    <xf numFmtId="0" fontId="6" fillId="0" borderId="0"/>
    <xf numFmtId="0" fontId="6" fillId="0" borderId="0"/>
    <xf numFmtId="0" fontId="4" fillId="0" borderId="0"/>
    <xf numFmtId="164" fontId="6" fillId="0" borderId="0" applyFont="0" applyFill="0" applyBorder="0" applyAlignment="0" applyProtection="0"/>
    <xf numFmtId="0" fontId="3" fillId="0" borderId="0"/>
    <xf numFmtId="164" fontId="3" fillId="0" borderId="0" applyFont="0" applyFill="0" applyBorder="0" applyAlignment="0" applyProtection="0"/>
    <xf numFmtId="0" fontId="3" fillId="0" borderId="0"/>
    <xf numFmtId="164" fontId="25" fillId="0" borderId="0" applyFont="0" applyFill="0" applyBorder="0" applyAlignment="0" applyProtection="0"/>
    <xf numFmtId="0" fontId="34" fillId="0" borderId="0" applyNumberFormat="0" applyFill="0" applyBorder="0" applyAlignment="0" applyProtection="0"/>
    <xf numFmtId="164" fontId="2" fillId="0" borderId="0" applyFont="0" applyFill="0" applyBorder="0" applyAlignment="0" applyProtection="0"/>
    <xf numFmtId="0" fontId="42" fillId="0" borderId="0" applyNumberFormat="0" applyBorder="0" applyProtection="0"/>
    <xf numFmtId="0" fontId="27" fillId="0" borderId="0"/>
    <xf numFmtId="0" fontId="1" fillId="0" borderId="0"/>
  </cellStyleXfs>
  <cellXfs count="366">
    <xf numFmtId="0" fontId="0" fillId="0" borderId="0" xfId="0"/>
    <xf numFmtId="0" fontId="0" fillId="0" borderId="0" xfId="0" applyProtection="1">
      <protection hidden="1"/>
    </xf>
    <xf numFmtId="165" fontId="7" fillId="0" borderId="0" xfId="0" applyNumberFormat="1" applyFont="1" applyProtection="1">
      <protection hidden="1"/>
    </xf>
    <xf numFmtId="0" fontId="8" fillId="0" borderId="0" xfId="0" applyFont="1" applyAlignment="1" applyProtection="1">
      <alignment horizontal="center" wrapText="1"/>
      <protection hidden="1"/>
    </xf>
    <xf numFmtId="0" fontId="7" fillId="0" borderId="0" xfId="0" applyFont="1" applyProtection="1">
      <protection hidden="1"/>
    </xf>
    <xf numFmtId="0" fontId="8" fillId="0" borderId="0" xfId="0" applyFont="1" applyAlignment="1" applyProtection="1">
      <alignment horizontal="center"/>
      <protection hidden="1"/>
    </xf>
    <xf numFmtId="0" fontId="8" fillId="0" borderId="0" xfId="0" applyFont="1" applyProtection="1">
      <protection hidden="1"/>
    </xf>
    <xf numFmtId="0" fontId="8" fillId="0" borderId="0" xfId="0" applyFont="1" applyAlignment="1" applyProtection="1">
      <alignment horizontal="left"/>
      <protection hidden="1"/>
    </xf>
    <xf numFmtId="0" fontId="8" fillId="4" borderId="0" xfId="0" applyFont="1" applyFill="1" applyAlignment="1" applyProtection="1">
      <alignment horizontal="center"/>
      <protection locked="0" hidden="1"/>
    </xf>
    <xf numFmtId="0" fontId="13" fillId="0" borderId="0" xfId="0" applyFont="1" applyProtection="1">
      <protection hidden="1"/>
    </xf>
    <xf numFmtId="0" fontId="14" fillId="0" borderId="0" xfId="0" applyFont="1" applyAlignment="1" applyProtection="1">
      <alignment horizontal="center"/>
      <protection hidden="1"/>
    </xf>
    <xf numFmtId="0" fontId="13" fillId="0" borderId="0" xfId="0" applyFont="1" applyAlignment="1" applyProtection="1">
      <alignment horizontal="center"/>
      <protection hidden="1"/>
    </xf>
    <xf numFmtId="2" fontId="14" fillId="0" borderId="0" xfId="0" applyNumberFormat="1" applyFont="1" applyAlignment="1" applyProtection="1">
      <alignment horizontal="center"/>
      <protection hidden="1"/>
    </xf>
    <xf numFmtId="1" fontId="14" fillId="0" borderId="0" xfId="0" applyNumberFormat="1" applyFont="1" applyAlignment="1" applyProtection="1">
      <alignment horizontal="center"/>
      <protection hidden="1"/>
    </xf>
    <xf numFmtId="0" fontId="7" fillId="0" borderId="0" xfId="0" applyFont="1" applyAlignment="1" applyProtection="1">
      <alignment horizontal="center"/>
      <protection hidden="1"/>
    </xf>
    <xf numFmtId="0" fontId="12" fillId="0" borderId="0" xfId="0" applyFont="1" applyProtection="1">
      <protection hidden="1"/>
    </xf>
    <xf numFmtId="0" fontId="20" fillId="5" borderId="1" xfId="0" applyFont="1" applyFill="1" applyBorder="1" applyAlignment="1">
      <alignment horizontal="center" vertical="center"/>
    </xf>
    <xf numFmtId="0" fontId="22" fillId="0" borderId="0" xfId="0" applyFont="1" applyProtection="1">
      <protection hidden="1"/>
    </xf>
    <xf numFmtId="0" fontId="17" fillId="0" borderId="0" xfId="0" applyFont="1" applyProtection="1">
      <protection hidden="1"/>
    </xf>
    <xf numFmtId="165" fontId="8" fillId="0" borderId="0" xfId="0" applyNumberFormat="1" applyFont="1" applyProtection="1">
      <protection hidden="1"/>
    </xf>
    <xf numFmtId="165" fontId="21" fillId="0" borderId="0" xfId="0" applyNumberFormat="1" applyFont="1" applyProtection="1">
      <protection hidden="1"/>
    </xf>
    <xf numFmtId="165" fontId="19" fillId="0" borderId="0" xfId="0" applyNumberFormat="1" applyFont="1" applyProtection="1">
      <protection hidden="1"/>
    </xf>
    <xf numFmtId="2" fontId="7" fillId="0" borderId="0" xfId="0" applyNumberFormat="1" applyFont="1" applyAlignment="1" applyProtection="1">
      <alignment horizontal="center"/>
      <protection hidden="1"/>
    </xf>
    <xf numFmtId="1" fontId="7" fillId="0" borderId="0" xfId="0" applyNumberFormat="1" applyFont="1" applyAlignment="1" applyProtection="1">
      <alignment horizontal="center"/>
      <protection hidden="1"/>
    </xf>
    <xf numFmtId="0" fontId="0" fillId="0" borderId="0" xfId="0" applyAlignment="1" applyProtection="1">
      <alignment horizontal="center"/>
      <protection hidden="1"/>
    </xf>
    <xf numFmtId="165" fontId="21" fillId="0" borderId="0" xfId="0" applyNumberFormat="1" applyFont="1" applyAlignment="1" applyProtection="1">
      <alignment horizontal="center"/>
      <protection hidden="1"/>
    </xf>
    <xf numFmtId="165" fontId="23" fillId="0" borderId="0" xfId="0" applyNumberFormat="1" applyFont="1" applyProtection="1">
      <protection hidden="1"/>
    </xf>
    <xf numFmtId="165" fontId="23" fillId="0" borderId="0" xfId="0" applyNumberFormat="1" applyFont="1" applyAlignment="1" applyProtection="1">
      <alignment horizontal="center"/>
      <protection hidden="1"/>
    </xf>
    <xf numFmtId="0" fontId="20" fillId="5" borderId="1" xfId="0" applyFont="1" applyFill="1" applyBorder="1" applyAlignment="1">
      <alignment horizontal="center" vertical="center" wrapText="1"/>
    </xf>
    <xf numFmtId="0" fontId="12" fillId="0" borderId="0" xfId="0" applyFont="1" applyAlignment="1" applyProtection="1">
      <alignment horizontal="center"/>
      <protection hidden="1"/>
    </xf>
    <xf numFmtId="0" fontId="24" fillId="0" borderId="0" xfId="0" applyFont="1" applyProtection="1">
      <protection hidden="1"/>
    </xf>
    <xf numFmtId="0" fontId="28" fillId="0" borderId="0" xfId="0" applyFont="1" applyProtection="1">
      <protection hidden="1"/>
    </xf>
    <xf numFmtId="0" fontId="28" fillId="0" borderId="0" xfId="0" applyFont="1" applyAlignment="1" applyProtection="1">
      <alignment horizontal="left"/>
      <protection hidden="1"/>
    </xf>
    <xf numFmtId="0" fontId="8" fillId="4" borderId="0" xfId="0" applyFont="1" applyFill="1" applyAlignment="1" applyProtection="1">
      <alignment horizontal="center"/>
      <protection hidden="1"/>
    </xf>
    <xf numFmtId="2" fontId="13" fillId="0" borderId="0" xfId="0" applyNumberFormat="1" applyFont="1" applyAlignment="1" applyProtection="1">
      <alignment horizontal="center"/>
      <protection hidden="1"/>
    </xf>
    <xf numFmtId="1" fontId="13" fillId="0" borderId="0" xfId="0" applyNumberFormat="1" applyFont="1" applyAlignment="1" applyProtection="1">
      <alignment horizontal="center"/>
      <protection hidden="1"/>
    </xf>
    <xf numFmtId="0" fontId="30" fillId="0" borderId="0" xfId="0" applyFont="1" applyProtection="1">
      <protection hidden="1"/>
    </xf>
    <xf numFmtId="0" fontId="31" fillId="0" borderId="0" xfId="0" applyFont="1" applyProtection="1">
      <protection hidden="1"/>
    </xf>
    <xf numFmtId="0" fontId="32" fillId="0" borderId="0" xfId="0" applyFont="1" applyAlignment="1" applyProtection="1">
      <alignment horizontal="center"/>
      <protection locked="0" hidden="1"/>
    </xf>
    <xf numFmtId="0" fontId="20" fillId="0" borderId="0" xfId="0" applyFont="1" applyProtection="1">
      <protection hidden="1"/>
    </xf>
    <xf numFmtId="0" fontId="34" fillId="0" borderId="0" xfId="10" applyBorder="1" applyProtection="1">
      <protection hidden="1"/>
    </xf>
    <xf numFmtId="0" fontId="21" fillId="0" borderId="0" xfId="0" applyFont="1" applyAlignment="1" applyProtection="1">
      <alignment horizontal="center"/>
      <protection hidden="1"/>
    </xf>
    <xf numFmtId="164" fontId="20" fillId="5" borderId="1" xfId="5" applyFont="1" applyFill="1" applyBorder="1" applyAlignment="1">
      <alignment horizontal="center" vertical="center"/>
    </xf>
    <xf numFmtId="164" fontId="20" fillId="5" borderId="1" xfId="5" applyFont="1" applyFill="1" applyBorder="1" applyAlignment="1">
      <alignment horizontal="center" vertical="center" wrapText="1"/>
    </xf>
    <xf numFmtId="166" fontId="22" fillId="5" borderId="1" xfId="9" applyNumberFormat="1" applyFont="1" applyFill="1" applyBorder="1" applyAlignment="1">
      <alignment horizontal="center" vertical="center" wrapText="1"/>
    </xf>
    <xf numFmtId="0" fontId="15" fillId="0" borderId="1" xfId="6" applyFont="1" applyBorder="1" applyProtection="1">
      <protection hidden="1"/>
    </xf>
    <xf numFmtId="0" fontId="15" fillId="0" borderId="1" xfId="6" applyFont="1" applyBorder="1" applyAlignment="1" applyProtection="1">
      <alignment horizontal="center"/>
      <protection hidden="1"/>
    </xf>
    <xf numFmtId="2" fontId="15" fillId="0" borderId="1" xfId="6" applyNumberFormat="1" applyFont="1" applyBorder="1" applyAlignment="1" applyProtection="1">
      <alignment horizontal="center"/>
      <protection hidden="1"/>
    </xf>
    <xf numFmtId="0" fontId="16" fillId="0" borderId="1" xfId="0" applyFont="1" applyBorder="1"/>
    <xf numFmtId="0" fontId="16" fillId="0" borderId="1" xfId="0" applyFont="1" applyBorder="1" applyAlignment="1">
      <alignment horizontal="center"/>
    </xf>
    <xf numFmtId="0" fontId="33" fillId="0" borderId="1" xfId="0" applyFont="1" applyBorder="1" applyAlignment="1">
      <alignment horizontal="center"/>
    </xf>
    <xf numFmtId="166" fontId="22" fillId="0" borderId="0" xfId="9" applyNumberFormat="1" applyFont="1" applyFill="1" applyBorder="1" applyAlignment="1">
      <alignment horizontal="center" vertical="center" wrapText="1"/>
    </xf>
    <xf numFmtId="0" fontId="22" fillId="0" borderId="0" xfId="0" applyFont="1" applyAlignment="1" applyProtection="1">
      <alignment horizontal="center"/>
      <protection hidden="1"/>
    </xf>
    <xf numFmtId="0" fontId="35" fillId="0" borderId="0" xfId="0" applyFont="1" applyProtection="1">
      <protection hidden="1"/>
    </xf>
    <xf numFmtId="0" fontId="21" fillId="0" borderId="0" xfId="0" applyFont="1" applyProtection="1">
      <protection hidden="1"/>
    </xf>
    <xf numFmtId="0" fontId="7" fillId="2" borderId="0" xfId="0" applyFont="1" applyFill="1" applyAlignment="1" applyProtection="1">
      <alignment horizontal="center"/>
      <protection locked="0" hidden="1"/>
    </xf>
    <xf numFmtId="0" fontId="7" fillId="3" borderId="0" xfId="0" applyFont="1" applyFill="1" applyAlignment="1" applyProtection="1">
      <alignment horizontal="center"/>
      <protection hidden="1"/>
    </xf>
    <xf numFmtId="0" fontId="21" fillId="2" borderId="0" xfId="0" applyFont="1" applyFill="1" applyProtection="1">
      <protection hidden="1"/>
    </xf>
    <xf numFmtId="0" fontId="21" fillId="3" borderId="0" xfId="0" applyFont="1" applyFill="1" applyProtection="1">
      <protection hidden="1"/>
    </xf>
    <xf numFmtId="0" fontId="22" fillId="0" borderId="0" xfId="0" applyFont="1" applyAlignment="1" applyProtection="1">
      <alignment horizontal="left"/>
      <protection hidden="1"/>
    </xf>
    <xf numFmtId="0" fontId="37" fillId="0" borderId="0" xfId="0" applyFont="1" applyProtection="1">
      <protection hidden="1"/>
    </xf>
    <xf numFmtId="0" fontId="38" fillId="0" borderId="0" xfId="0" applyFont="1" applyProtection="1">
      <protection hidden="1"/>
    </xf>
    <xf numFmtId="165" fontId="14" fillId="0" borderId="0" xfId="0" applyNumberFormat="1" applyFont="1" applyAlignment="1" applyProtection="1">
      <alignment horizontal="center"/>
      <protection hidden="1"/>
    </xf>
    <xf numFmtId="0" fontId="32" fillId="0" borderId="0" xfId="0" applyFont="1" applyProtection="1">
      <protection hidden="1"/>
    </xf>
    <xf numFmtId="0" fontId="15" fillId="0" borderId="1" xfId="0" applyFont="1" applyBorder="1"/>
    <xf numFmtId="0" fontId="15" fillId="0" borderId="1" xfId="0" applyFont="1" applyBorder="1" applyAlignment="1">
      <alignment horizontal="center"/>
    </xf>
    <xf numFmtId="2" fontId="16" fillId="0" borderId="1" xfId="0" applyNumberFormat="1" applyFont="1" applyBorder="1" applyAlignment="1">
      <alignment horizontal="center"/>
    </xf>
    <xf numFmtId="0" fontId="33" fillId="7" borderId="1" xfId="0" applyFont="1" applyFill="1" applyBorder="1" applyAlignment="1">
      <alignment horizontal="center"/>
    </xf>
    <xf numFmtId="0" fontId="14" fillId="0" borderId="0" xfId="0" applyFont="1" applyProtection="1">
      <protection hidden="1"/>
    </xf>
    <xf numFmtId="165" fontId="16" fillId="0" borderId="1" xfId="6" applyNumberFormat="1" applyFont="1" applyBorder="1" applyAlignment="1" applyProtection="1">
      <alignment horizontal="center"/>
      <protection hidden="1"/>
    </xf>
    <xf numFmtId="0" fontId="39" fillId="10" borderId="1" xfId="0" applyFont="1" applyFill="1" applyBorder="1" applyAlignment="1">
      <alignment horizontal="center"/>
    </xf>
    <xf numFmtId="0" fontId="39" fillId="10" borderId="1" xfId="0" applyFont="1" applyFill="1" applyBorder="1"/>
    <xf numFmtId="0" fontId="16" fillId="0" borderId="1" xfId="0" applyFont="1" applyBorder="1" applyProtection="1">
      <protection hidden="1"/>
    </xf>
    <xf numFmtId="0" fontId="15" fillId="10" borderId="1" xfId="0" applyFont="1" applyFill="1" applyBorder="1" applyAlignment="1">
      <alignment horizontal="center"/>
    </xf>
    <xf numFmtId="0" fontId="13" fillId="0" borderId="1" xfId="0" applyFont="1" applyBorder="1" applyProtection="1">
      <protection hidden="1"/>
    </xf>
    <xf numFmtId="165" fontId="15" fillId="0" borderId="1" xfId="0" applyNumberFormat="1" applyFont="1" applyBorder="1" applyProtection="1">
      <protection hidden="1"/>
    </xf>
    <xf numFmtId="165" fontId="15" fillId="0" borderId="1" xfId="0" applyNumberFormat="1" applyFont="1" applyBorder="1" applyAlignment="1" applyProtection="1">
      <alignment horizontal="center"/>
      <protection hidden="1"/>
    </xf>
    <xf numFmtId="165" fontId="13" fillId="0" borderId="1" xfId="0" applyNumberFormat="1" applyFont="1" applyBorder="1" applyProtection="1">
      <protection hidden="1"/>
    </xf>
    <xf numFmtId="165" fontId="13" fillId="0" borderId="1" xfId="0" applyNumberFormat="1" applyFont="1" applyBorder="1" applyAlignment="1" applyProtection="1">
      <alignment horizontal="center"/>
      <protection hidden="1"/>
    </xf>
    <xf numFmtId="165" fontId="20" fillId="0" borderId="1" xfId="0" applyNumberFormat="1" applyFont="1" applyBorder="1" applyProtection="1">
      <protection hidden="1"/>
    </xf>
    <xf numFmtId="165" fontId="14" fillId="0" borderId="1" xfId="0" applyNumberFormat="1" applyFont="1" applyBorder="1" applyProtection="1">
      <protection hidden="1"/>
    </xf>
    <xf numFmtId="165" fontId="15" fillId="0" borderId="1" xfId="0" applyNumberFormat="1" applyFont="1" applyBorder="1" applyAlignment="1" applyProtection="1">
      <alignment vertical="center" wrapText="1"/>
      <protection hidden="1"/>
    </xf>
    <xf numFmtId="165" fontId="14" fillId="0" borderId="1" xfId="0" applyNumberFormat="1" applyFont="1" applyBorder="1" applyAlignment="1" applyProtection="1">
      <alignment horizontal="center"/>
      <protection hidden="1"/>
    </xf>
    <xf numFmtId="165" fontId="15" fillId="0" borderId="1" xfId="0" quotePrefix="1" applyNumberFormat="1" applyFont="1" applyBorder="1" applyProtection="1">
      <protection hidden="1"/>
    </xf>
    <xf numFmtId="165" fontId="17" fillId="0" borderId="0" xfId="0" applyNumberFormat="1" applyFont="1" applyProtection="1">
      <protection hidden="1"/>
    </xf>
    <xf numFmtId="0" fontId="33" fillId="0" borderId="1" xfId="0" applyFont="1" applyBorder="1"/>
    <xf numFmtId="0" fontId="33" fillId="0" borderId="1" xfId="0" applyFont="1" applyBorder="1" applyProtection="1">
      <protection hidden="1"/>
    </xf>
    <xf numFmtId="0" fontId="19" fillId="0" borderId="0" xfId="0" applyFont="1" applyProtection="1">
      <protection hidden="1"/>
    </xf>
    <xf numFmtId="0" fontId="8" fillId="0" borderId="0" xfId="0" applyFont="1" applyAlignment="1" applyProtection="1">
      <alignment horizontal="center"/>
      <protection locked="0" hidden="1"/>
    </xf>
    <xf numFmtId="2" fontId="21" fillId="0" borderId="0" xfId="0" applyNumberFormat="1" applyFont="1" applyAlignment="1" applyProtection="1">
      <alignment horizontal="center"/>
      <protection hidden="1"/>
    </xf>
    <xf numFmtId="165" fontId="0" fillId="0" borderId="0" xfId="0" applyNumberFormat="1" applyAlignment="1">
      <alignment horizontal="center" vertical="center"/>
    </xf>
    <xf numFmtId="165" fontId="0" fillId="0" borderId="0" xfId="0" applyNumberFormat="1"/>
    <xf numFmtId="0" fontId="29" fillId="0" borderId="0" xfId="0" applyFont="1" applyProtection="1">
      <protection hidden="1"/>
    </xf>
    <xf numFmtId="0" fontId="14" fillId="0" borderId="0" xfId="0" quotePrefix="1" applyFont="1" applyProtection="1">
      <protection hidden="1"/>
    </xf>
    <xf numFmtId="0" fontId="8" fillId="0" borderId="0" xfId="0" applyFont="1" applyAlignment="1">
      <alignment horizontal="center"/>
    </xf>
    <xf numFmtId="0" fontId="15" fillId="0" borderId="12" xfId="6" applyFont="1" applyBorder="1" applyAlignment="1" applyProtection="1">
      <alignment horizontal="center"/>
      <protection hidden="1"/>
    </xf>
    <xf numFmtId="0" fontId="15" fillId="0" borderId="12" xfId="0" applyFont="1" applyBorder="1" applyAlignment="1" applyProtection="1">
      <alignment horizontal="center"/>
      <protection hidden="1"/>
    </xf>
    <xf numFmtId="0" fontId="15" fillId="0" borderId="1" xfId="0" applyFont="1" applyBorder="1" applyAlignment="1" applyProtection="1">
      <alignment horizontal="center"/>
      <protection hidden="1"/>
    </xf>
    <xf numFmtId="0" fontId="15" fillId="0" borderId="1" xfId="0" applyFont="1" applyBorder="1" applyProtection="1">
      <protection hidden="1"/>
    </xf>
    <xf numFmtId="0" fontId="20" fillId="0" borderId="1" xfId="0" applyFont="1" applyBorder="1" applyAlignment="1" applyProtection="1">
      <alignment horizontal="center"/>
      <protection hidden="1"/>
    </xf>
    <xf numFmtId="0" fontId="20" fillId="0" borderId="1" xfId="0" applyFont="1" applyBorder="1" applyProtection="1">
      <protection hidden="1"/>
    </xf>
    <xf numFmtId="0" fontId="20" fillId="0" borderId="1" xfId="6" applyFont="1" applyBorder="1" applyAlignment="1" applyProtection="1">
      <alignment horizontal="center"/>
      <protection hidden="1"/>
    </xf>
    <xf numFmtId="0" fontId="15" fillId="0" borderId="1" xfId="7" applyNumberFormat="1" applyFont="1" applyFill="1" applyBorder="1" applyAlignment="1" applyProtection="1">
      <alignment horizontal="center"/>
      <protection hidden="1"/>
    </xf>
    <xf numFmtId="0" fontId="14" fillId="0" borderId="1" xfId="0" applyFont="1" applyBorder="1" applyProtection="1">
      <protection hidden="1"/>
    </xf>
    <xf numFmtId="0" fontId="15" fillId="0" borderId="1" xfId="0" applyFont="1" applyBorder="1" applyAlignment="1" applyProtection="1">
      <alignment horizontal="left"/>
      <protection hidden="1"/>
    </xf>
    <xf numFmtId="0" fontId="15" fillId="0" borderId="1" xfId="5" applyNumberFormat="1" applyFont="1" applyFill="1" applyBorder="1" applyAlignment="1" applyProtection="1">
      <alignment horizontal="center"/>
      <protection hidden="1"/>
    </xf>
    <xf numFmtId="0" fontId="15" fillId="0" borderId="1" xfId="0" applyFont="1" applyBorder="1" applyAlignment="1" applyProtection="1">
      <alignment vertical="center" wrapText="1"/>
      <protection hidden="1"/>
    </xf>
    <xf numFmtId="0" fontId="15" fillId="0" borderId="1" xfId="0" applyFont="1" applyBorder="1" applyAlignment="1" applyProtection="1">
      <alignment horizontal="center" vertical="center" wrapText="1"/>
      <protection hidden="1"/>
    </xf>
    <xf numFmtId="0" fontId="20" fillId="0" borderId="1" xfId="0" applyFont="1" applyBorder="1" applyAlignment="1" applyProtection="1">
      <alignment horizontal="center" vertical="center" wrapText="1"/>
      <protection hidden="1"/>
    </xf>
    <xf numFmtId="0" fontId="15" fillId="0" borderId="11" xfId="0" applyFont="1" applyBorder="1" applyProtection="1">
      <protection hidden="1"/>
    </xf>
    <xf numFmtId="0" fontId="45" fillId="11" borderId="1" xfId="0" applyFont="1" applyFill="1" applyBorder="1" applyAlignment="1">
      <alignment vertical="center"/>
    </xf>
    <xf numFmtId="0" fontId="45" fillId="11" borderId="1" xfId="0" applyFont="1" applyFill="1" applyBorder="1" applyAlignment="1">
      <alignment horizontal="center" vertical="center"/>
    </xf>
    <xf numFmtId="0" fontId="15" fillId="0" borderId="11" xfId="6" applyFont="1" applyBorder="1" applyProtection="1">
      <protection hidden="1"/>
    </xf>
    <xf numFmtId="0" fontId="45" fillId="0" borderId="1" xfId="0" applyFont="1" applyBorder="1" applyAlignment="1">
      <alignment vertical="center"/>
    </xf>
    <xf numFmtId="0" fontId="45" fillId="0" borderId="1" xfId="0" applyFont="1" applyBorder="1" applyAlignment="1">
      <alignment horizontal="center" vertical="center"/>
    </xf>
    <xf numFmtId="0" fontId="46" fillId="0" borderId="1" xfId="0" applyFont="1" applyBorder="1" applyAlignment="1">
      <alignment horizontal="center" vertical="center"/>
    </xf>
    <xf numFmtId="0" fontId="47" fillId="0" borderId="1" xfId="0" applyFont="1" applyBorder="1" applyAlignment="1">
      <alignment vertical="center"/>
    </xf>
    <xf numFmtId="0" fontId="27" fillId="0" borderId="1" xfId="0" applyFont="1" applyBorder="1" applyAlignment="1">
      <alignment horizontal="center" vertical="center"/>
    </xf>
    <xf numFmtId="0" fontId="47" fillId="0" borderId="1" xfId="0" applyFont="1" applyBorder="1" applyAlignment="1">
      <alignment horizontal="center" vertical="center"/>
    </xf>
    <xf numFmtId="0" fontId="15" fillId="10" borderId="1" xfId="0" applyFont="1" applyFill="1" applyBorder="1"/>
    <xf numFmtId="0" fontId="24" fillId="0" borderId="1" xfId="0" applyFont="1" applyBorder="1" applyAlignment="1">
      <alignment horizontal="center"/>
    </xf>
    <xf numFmtId="0" fontId="48" fillId="0" borderId="1" xfId="7" applyNumberFormat="1" applyFont="1" applyFill="1" applyBorder="1" applyAlignment="1" applyProtection="1">
      <alignment horizontal="center"/>
      <protection hidden="1"/>
    </xf>
    <xf numFmtId="0" fontId="20" fillId="10" borderId="1" xfId="0" applyFont="1" applyFill="1" applyBorder="1" applyAlignment="1">
      <alignment horizontal="center"/>
    </xf>
    <xf numFmtId="0" fontId="24" fillId="10" borderId="1" xfId="0" applyFont="1" applyFill="1" applyBorder="1"/>
    <xf numFmtId="0" fontId="14" fillId="0" borderId="1" xfId="0" applyFont="1" applyBorder="1" applyAlignment="1" applyProtection="1">
      <alignment horizontal="center"/>
      <protection hidden="1"/>
    </xf>
    <xf numFmtId="0" fontId="24" fillId="10" borderId="1" xfId="0" applyFont="1" applyFill="1" applyBorder="1" applyAlignment="1">
      <alignment horizontal="center"/>
    </xf>
    <xf numFmtId="0" fontId="14" fillId="10" borderId="1" xfId="0" applyFont="1" applyFill="1" applyBorder="1" applyAlignment="1">
      <alignment horizontal="center"/>
    </xf>
    <xf numFmtId="0" fontId="15" fillId="0" borderId="1" xfId="5" applyNumberFormat="1" applyFont="1" applyBorder="1" applyAlignment="1" applyProtection="1">
      <alignment horizontal="center"/>
      <protection hidden="1"/>
    </xf>
    <xf numFmtId="0" fontId="15" fillId="0" borderId="1" xfId="5" applyNumberFormat="1" applyFont="1" applyBorder="1" applyAlignment="1">
      <alignment horizontal="center"/>
    </xf>
    <xf numFmtId="0" fontId="15" fillId="0" borderId="1" xfId="6" applyFont="1" applyBorder="1" applyAlignment="1" applyProtection="1">
      <alignment horizontal="center" vertical="center"/>
      <protection hidden="1"/>
    </xf>
    <xf numFmtId="0" fontId="15" fillId="0" borderId="1" xfId="0" applyFont="1" applyBorder="1" applyAlignment="1">
      <alignment vertical="center"/>
    </xf>
    <xf numFmtId="0" fontId="12" fillId="0" borderId="1" xfId="0" applyFont="1" applyBorder="1" applyAlignment="1" applyProtection="1">
      <alignment horizontal="center"/>
      <protection hidden="1"/>
    </xf>
    <xf numFmtId="0" fontId="15" fillId="0" borderId="1" xfId="0" applyFont="1" applyBorder="1" applyAlignment="1">
      <alignment horizontal="left" vertical="center"/>
    </xf>
    <xf numFmtId="0" fontId="15" fillId="0" borderId="1" xfId="5" applyNumberFormat="1" applyFont="1" applyFill="1" applyBorder="1" applyAlignment="1">
      <alignment horizontal="center"/>
    </xf>
    <xf numFmtId="2" fontId="7" fillId="0" borderId="0" xfId="0" applyNumberFormat="1" applyFont="1" applyProtection="1">
      <protection hidden="1"/>
    </xf>
    <xf numFmtId="0" fontId="49" fillId="0" borderId="0" xfId="0" applyFont="1" applyProtection="1">
      <protection hidden="1"/>
    </xf>
    <xf numFmtId="0" fontId="44" fillId="0" borderId="0" xfId="0" applyFont="1" applyProtection="1">
      <protection hidden="1"/>
    </xf>
    <xf numFmtId="0" fontId="41" fillId="0" borderId="0" xfId="0" applyFont="1" applyProtection="1">
      <protection hidden="1"/>
    </xf>
    <xf numFmtId="2" fontId="0" fillId="0" borderId="0" xfId="0" applyNumberFormat="1" applyAlignment="1" applyProtection="1">
      <alignment horizontal="center"/>
      <protection hidden="1"/>
    </xf>
    <xf numFmtId="0" fontId="50" fillId="0" borderId="0" xfId="0" applyFont="1" applyAlignment="1" applyProtection="1">
      <alignment horizontal="center"/>
      <protection hidden="1"/>
    </xf>
    <xf numFmtId="0" fontId="32" fillId="0" borderId="0" xfId="0" applyFont="1" applyAlignment="1" applyProtection="1">
      <alignment horizontal="center"/>
      <protection hidden="1"/>
    </xf>
    <xf numFmtId="0" fontId="51" fillId="0" borderId="0" xfId="0" applyFont="1" applyProtection="1">
      <protection hidden="1"/>
    </xf>
    <xf numFmtId="0" fontId="38" fillId="0" borderId="0" xfId="0" applyFont="1" applyAlignment="1" applyProtection="1">
      <alignment horizontal="center"/>
      <protection hidden="1"/>
    </xf>
    <xf numFmtId="0" fontId="37" fillId="8" borderId="0" xfId="0" applyFont="1" applyFill="1" applyProtection="1">
      <protection hidden="1"/>
    </xf>
    <xf numFmtId="0" fontId="53" fillId="0" borderId="0" xfId="0" applyFont="1" applyAlignment="1" applyProtection="1">
      <alignment horizontal="center"/>
      <protection hidden="1"/>
    </xf>
    <xf numFmtId="0" fontId="32" fillId="9" borderId="0" xfId="0" applyFont="1" applyFill="1" applyProtection="1">
      <protection hidden="1"/>
    </xf>
    <xf numFmtId="0" fontId="38" fillId="0" borderId="0" xfId="0" quotePrefix="1" applyFont="1" applyProtection="1">
      <protection hidden="1"/>
    </xf>
    <xf numFmtId="0" fontId="54" fillId="0" borderId="0" xfId="0" applyFont="1" applyAlignment="1">
      <alignment horizontal="center" vertical="center"/>
    </xf>
    <xf numFmtId="0" fontId="8" fillId="0" borderId="0" xfId="0" applyFont="1"/>
    <xf numFmtId="0" fontId="7" fillId="0" borderId="0" xfId="0" applyFont="1" applyAlignment="1">
      <alignment horizontal="center"/>
    </xf>
    <xf numFmtId="165" fontId="24" fillId="0" borderId="0" xfId="0" applyNumberFormat="1" applyFont="1" applyProtection="1">
      <protection hidden="1"/>
    </xf>
    <xf numFmtId="165" fontId="24" fillId="0" borderId="2" xfId="0" applyNumberFormat="1" applyFont="1" applyBorder="1" applyProtection="1">
      <protection hidden="1"/>
    </xf>
    <xf numFmtId="165" fontId="24" fillId="0" borderId="3" xfId="0" applyNumberFormat="1" applyFont="1" applyBorder="1" applyProtection="1">
      <protection hidden="1"/>
    </xf>
    <xf numFmtId="165" fontId="24" fillId="0" borderId="4" xfId="0" applyNumberFormat="1" applyFont="1" applyBorder="1" applyProtection="1">
      <protection hidden="1"/>
    </xf>
    <xf numFmtId="165" fontId="24" fillId="0" borderId="0" xfId="0" applyNumberFormat="1" applyFont="1"/>
    <xf numFmtId="165" fontId="24" fillId="0" borderId="5" xfId="0" applyNumberFormat="1" applyFont="1" applyBorder="1" applyProtection="1">
      <protection hidden="1"/>
    </xf>
    <xf numFmtId="165" fontId="24" fillId="0" borderId="6" xfId="0" applyNumberFormat="1" applyFont="1" applyBorder="1" applyProtection="1">
      <protection hidden="1"/>
    </xf>
    <xf numFmtId="165" fontId="24" fillId="0" borderId="6" xfId="0" applyNumberFormat="1" applyFont="1" applyBorder="1"/>
    <xf numFmtId="165" fontId="14" fillId="0" borderId="0" xfId="0" applyNumberFormat="1" applyFont="1" applyProtection="1">
      <protection hidden="1"/>
    </xf>
    <xf numFmtId="165" fontId="24" fillId="0" borderId="7" xfId="0" applyNumberFormat="1" applyFont="1" applyBorder="1" applyProtection="1">
      <protection hidden="1"/>
    </xf>
    <xf numFmtId="165" fontId="24" fillId="0" borderId="8" xfId="0" applyNumberFormat="1" applyFont="1" applyBorder="1" applyProtection="1">
      <protection hidden="1"/>
    </xf>
    <xf numFmtId="165" fontId="24" fillId="0" borderId="9" xfId="0" applyNumberFormat="1" applyFont="1" applyBorder="1" applyProtection="1">
      <protection hidden="1"/>
    </xf>
    <xf numFmtId="165" fontId="24" fillId="0" borderId="3" xfId="0" applyNumberFormat="1" applyFont="1" applyBorder="1"/>
    <xf numFmtId="165" fontId="24" fillId="0" borderId="4" xfId="0" applyNumberFormat="1" applyFont="1" applyBorder="1"/>
    <xf numFmtId="165" fontId="24" fillId="0" borderId="8" xfId="0" applyNumberFormat="1" applyFont="1" applyBorder="1"/>
    <xf numFmtId="165" fontId="24" fillId="0" borderId="9" xfId="0" applyNumberFormat="1" applyFont="1" applyBorder="1"/>
    <xf numFmtId="165" fontId="12" fillId="0" borderId="0" xfId="0" applyNumberFormat="1" applyFont="1" applyAlignment="1" applyProtection="1">
      <alignment horizontal="center"/>
      <protection hidden="1"/>
    </xf>
    <xf numFmtId="165" fontId="26" fillId="0" borderId="0" xfId="0" applyNumberFormat="1" applyFont="1" applyProtection="1">
      <protection hidden="1"/>
    </xf>
    <xf numFmtId="165" fontId="26" fillId="0" borderId="0" xfId="0" applyNumberFormat="1" applyFont="1" applyAlignment="1" applyProtection="1">
      <alignment horizontal="center"/>
      <protection hidden="1"/>
    </xf>
    <xf numFmtId="165" fontId="14" fillId="0" borderId="0" xfId="0" quotePrefix="1" applyNumberFormat="1" applyFont="1" applyProtection="1">
      <protection hidden="1"/>
    </xf>
    <xf numFmtId="165" fontId="24" fillId="0" borderId="0" xfId="0" applyNumberFormat="1" applyFont="1" applyAlignment="1" applyProtection="1">
      <alignment horizontal="center"/>
      <protection hidden="1"/>
    </xf>
    <xf numFmtId="165" fontId="12" fillId="0" borderId="0" xfId="0" applyNumberFormat="1" applyFont="1" applyProtection="1">
      <protection hidden="1"/>
    </xf>
    <xf numFmtId="165" fontId="14" fillId="0" borderId="0" xfId="0" quotePrefix="1" applyNumberFormat="1" applyFont="1" applyAlignment="1" applyProtection="1">
      <alignment horizontal="center"/>
      <protection hidden="1"/>
    </xf>
    <xf numFmtId="165" fontId="24" fillId="0" borderId="0" xfId="0" applyNumberFormat="1" applyFont="1" applyAlignment="1">
      <alignment horizontal="center"/>
    </xf>
    <xf numFmtId="165" fontId="26" fillId="0" borderId="0" xfId="0" applyNumberFormat="1" applyFont="1"/>
    <xf numFmtId="165" fontId="27" fillId="0" borderId="0" xfId="0" applyNumberFormat="1" applyFont="1" applyProtection="1">
      <protection hidden="1"/>
    </xf>
    <xf numFmtId="165" fontId="24" fillId="0" borderId="0" xfId="0" applyNumberFormat="1" applyFont="1" applyAlignment="1" applyProtection="1">
      <alignment horizontal="left"/>
      <protection hidden="1"/>
    </xf>
    <xf numFmtId="165" fontId="24" fillId="0" borderId="2" xfId="0" applyNumberFormat="1" applyFont="1" applyBorder="1"/>
    <xf numFmtId="165" fontId="24" fillId="0" borderId="5" xfId="0" applyNumberFormat="1" applyFont="1" applyBorder="1"/>
    <xf numFmtId="165" fontId="24" fillId="0" borderId="7" xfId="0" applyNumberFormat="1" applyFont="1" applyBorder="1"/>
    <xf numFmtId="165" fontId="19" fillId="0" borderId="0" xfId="0" applyNumberFormat="1" applyFont="1"/>
    <xf numFmtId="165" fontId="37" fillId="0" borderId="0" xfId="0" applyNumberFormat="1" applyFont="1" applyProtection="1">
      <protection hidden="1"/>
    </xf>
    <xf numFmtId="165" fontId="38" fillId="0" borderId="0" xfId="0" applyNumberFormat="1" applyFont="1" applyProtection="1">
      <protection hidden="1"/>
    </xf>
    <xf numFmtId="165" fontId="37" fillId="0" borderId="3" xfId="0" applyNumberFormat="1" applyFont="1" applyBorder="1" applyProtection="1">
      <protection hidden="1"/>
    </xf>
    <xf numFmtId="165" fontId="37" fillId="0" borderId="8" xfId="0" applyNumberFormat="1" applyFont="1" applyBorder="1" applyProtection="1">
      <protection hidden="1"/>
    </xf>
    <xf numFmtId="165" fontId="37" fillId="0" borderId="0" xfId="0" applyNumberFormat="1" applyFont="1"/>
    <xf numFmtId="165" fontId="55" fillId="0" borderId="0" xfId="0" applyNumberFormat="1" applyFont="1" applyProtection="1">
      <protection hidden="1"/>
    </xf>
    <xf numFmtId="165" fontId="56" fillId="0" borderId="0" xfId="0" applyNumberFormat="1" applyFont="1" applyAlignment="1" applyProtection="1">
      <alignment horizontal="center"/>
      <protection hidden="1"/>
    </xf>
    <xf numFmtId="165" fontId="21" fillId="0" borderId="0" xfId="0" quotePrefix="1" applyNumberFormat="1" applyFont="1" applyProtection="1">
      <protection hidden="1"/>
    </xf>
    <xf numFmtId="165" fontId="19" fillId="0" borderId="0" xfId="0" applyNumberFormat="1" applyFont="1" applyAlignment="1" applyProtection="1">
      <alignment horizontal="center"/>
      <protection hidden="1"/>
    </xf>
    <xf numFmtId="0" fontId="19" fillId="0" borderId="0" xfId="0" applyFont="1"/>
    <xf numFmtId="0" fontId="36" fillId="0" borderId="0" xfId="0" applyFont="1" applyProtection="1">
      <protection hidden="1"/>
    </xf>
    <xf numFmtId="165" fontId="55" fillId="0" borderId="0" xfId="0" applyNumberFormat="1" applyFont="1" applyAlignment="1" applyProtection="1">
      <alignment horizontal="center"/>
      <protection hidden="1"/>
    </xf>
    <xf numFmtId="165" fontId="19" fillId="0" borderId="2" xfId="0" applyNumberFormat="1" applyFont="1" applyBorder="1" applyProtection="1">
      <protection hidden="1"/>
    </xf>
    <xf numFmtId="165" fontId="19" fillId="0" borderId="3" xfId="0" applyNumberFormat="1" applyFont="1" applyBorder="1" applyProtection="1">
      <protection hidden="1"/>
    </xf>
    <xf numFmtId="165" fontId="19" fillId="0" borderId="4" xfId="0" applyNumberFormat="1" applyFont="1" applyBorder="1" applyProtection="1">
      <protection hidden="1"/>
    </xf>
    <xf numFmtId="165" fontId="19" fillId="0" borderId="5" xfId="0" applyNumberFormat="1" applyFont="1" applyBorder="1" applyProtection="1">
      <protection hidden="1"/>
    </xf>
    <xf numFmtId="165" fontId="19" fillId="0" borderId="6" xfId="0" applyNumberFormat="1" applyFont="1" applyBorder="1" applyProtection="1">
      <protection hidden="1"/>
    </xf>
    <xf numFmtId="165" fontId="19" fillId="0" borderId="6" xfId="0" applyNumberFormat="1" applyFont="1" applyBorder="1"/>
    <xf numFmtId="165" fontId="21" fillId="0" borderId="0" xfId="0" quotePrefix="1" applyNumberFormat="1" applyFont="1" applyAlignment="1" applyProtection="1">
      <alignment horizontal="center"/>
      <protection hidden="1"/>
    </xf>
    <xf numFmtId="165" fontId="19" fillId="0" borderId="0" xfId="0" applyNumberFormat="1" applyFont="1" applyAlignment="1">
      <alignment horizontal="center"/>
    </xf>
    <xf numFmtId="165" fontId="55" fillId="0" borderId="0" xfId="0" applyNumberFormat="1" applyFont="1"/>
    <xf numFmtId="165" fontId="58" fillId="0" borderId="0" xfId="0" applyNumberFormat="1" applyFont="1" applyProtection="1">
      <protection hidden="1"/>
    </xf>
    <xf numFmtId="165" fontId="19" fillId="0" borderId="7" xfId="0" applyNumberFormat="1" applyFont="1" applyBorder="1" applyProtection="1">
      <protection hidden="1"/>
    </xf>
    <xf numFmtId="165" fontId="19" fillId="0" borderId="8" xfId="0" applyNumberFormat="1" applyFont="1" applyBorder="1" applyProtection="1">
      <protection hidden="1"/>
    </xf>
    <xf numFmtId="165" fontId="19" fillId="0" borderId="9" xfId="0" applyNumberFormat="1" applyFont="1" applyBorder="1" applyProtection="1">
      <protection hidden="1"/>
    </xf>
    <xf numFmtId="165" fontId="19" fillId="0" borderId="3" xfId="0" applyNumberFormat="1" applyFont="1" applyBorder="1"/>
    <xf numFmtId="165" fontId="19" fillId="0" borderId="4" xfId="0" applyNumberFormat="1" applyFont="1" applyBorder="1"/>
    <xf numFmtId="165" fontId="19" fillId="0" borderId="8" xfId="0" applyNumberFormat="1" applyFont="1" applyBorder="1"/>
    <xf numFmtId="165" fontId="19" fillId="0" borderId="9" xfId="0" applyNumberFormat="1" applyFont="1" applyBorder="1"/>
    <xf numFmtId="165" fontId="19" fillId="0" borderId="0" xfId="0" applyNumberFormat="1" applyFont="1" applyAlignment="1" applyProtection="1">
      <alignment horizontal="left"/>
      <protection hidden="1"/>
    </xf>
    <xf numFmtId="165" fontId="19" fillId="0" borderId="2" xfId="0" applyNumberFormat="1" applyFont="1" applyBorder="1"/>
    <xf numFmtId="165" fontId="19" fillId="0" borderId="5" xfId="0" applyNumberFormat="1" applyFont="1" applyBorder="1"/>
    <xf numFmtId="165" fontId="19" fillId="0" borderId="7" xfId="0" applyNumberFormat="1" applyFont="1" applyBorder="1"/>
    <xf numFmtId="0" fontId="19" fillId="0" borderId="3" xfId="0" applyFont="1" applyBorder="1" applyProtection="1">
      <protection hidden="1"/>
    </xf>
    <xf numFmtId="0" fontId="19" fillId="0" borderId="8" xfId="0" applyFont="1" applyBorder="1" applyProtection="1">
      <protection hidden="1"/>
    </xf>
    <xf numFmtId="0" fontId="59" fillId="0" borderId="0" xfId="0" applyFont="1" applyProtection="1">
      <protection hidden="1"/>
    </xf>
    <xf numFmtId="0" fontId="34" fillId="0" borderId="0" xfId="10" applyFill="1" applyProtection="1">
      <protection hidden="1"/>
    </xf>
    <xf numFmtId="0" fontId="34" fillId="0" borderId="0" xfId="10" applyFill="1" applyBorder="1" applyProtection="1">
      <protection hidden="1"/>
    </xf>
    <xf numFmtId="0" fontId="20" fillId="0" borderId="1" xfId="6" applyFont="1" applyBorder="1" applyAlignment="1" applyProtection="1">
      <alignment horizontal="left"/>
      <protection hidden="1"/>
    </xf>
    <xf numFmtId="0" fontId="20" fillId="0" borderId="1" xfId="0" applyFont="1" applyBorder="1" applyAlignment="1">
      <alignment horizontal="left"/>
    </xf>
    <xf numFmtId="0" fontId="20" fillId="7" borderId="1" xfId="6" applyFont="1" applyFill="1" applyBorder="1" applyAlignment="1" applyProtection="1">
      <alignment horizontal="left"/>
      <protection hidden="1"/>
    </xf>
    <xf numFmtId="0" fontId="61" fillId="0" borderId="1" xfId="0" applyFont="1" applyBorder="1" applyAlignment="1">
      <alignment horizontal="left"/>
    </xf>
    <xf numFmtId="0" fontId="20" fillId="0" borderId="1" xfId="6" applyFont="1" applyBorder="1" applyAlignment="1" applyProtection="1">
      <alignment horizontal="left" wrapText="1"/>
      <protection hidden="1"/>
    </xf>
    <xf numFmtId="0" fontId="20" fillId="6" borderId="1" xfId="0" applyFont="1" applyFill="1" applyBorder="1" applyAlignment="1">
      <alignment horizontal="left"/>
    </xf>
    <xf numFmtId="0" fontId="62" fillId="0" borderId="1" xfId="0" applyFont="1" applyBorder="1" applyAlignment="1">
      <alignment horizontal="left" vertical="center"/>
    </xf>
    <xf numFmtId="0" fontId="63" fillId="0" borderId="1" xfId="0" applyFont="1" applyBorder="1"/>
    <xf numFmtId="167" fontId="15" fillId="0" borderId="1" xfId="7" applyNumberFormat="1" applyFont="1" applyFill="1" applyBorder="1" applyAlignment="1" applyProtection="1">
      <alignment horizontal="center" vertical="center"/>
      <protection hidden="1"/>
    </xf>
    <xf numFmtId="2" fontId="15" fillId="0" borderId="1" xfId="5" applyNumberFormat="1" applyFont="1" applyBorder="1" applyAlignment="1" applyProtection="1">
      <alignment horizontal="center" vertical="center"/>
      <protection hidden="1"/>
    </xf>
    <xf numFmtId="1" fontId="15" fillId="0" borderId="1" xfId="6" applyNumberFormat="1" applyFont="1" applyBorder="1" applyAlignment="1" applyProtection="1">
      <alignment horizontal="center"/>
      <protection hidden="1"/>
    </xf>
    <xf numFmtId="1" fontId="15" fillId="0" borderId="1" xfId="7" applyNumberFormat="1" applyFont="1" applyFill="1" applyBorder="1" applyAlignment="1" applyProtection="1">
      <alignment horizontal="center" vertical="center"/>
      <protection hidden="1"/>
    </xf>
    <xf numFmtId="0" fontId="15" fillId="0" borderId="1" xfId="0" applyFont="1" applyBorder="1" applyAlignment="1">
      <alignment horizontal="center" vertical="center"/>
    </xf>
    <xf numFmtId="167" fontId="15" fillId="0" borderId="1" xfId="5" applyNumberFormat="1" applyFont="1" applyFill="1" applyBorder="1" applyAlignment="1">
      <alignment horizontal="center" vertical="center"/>
    </xf>
    <xf numFmtId="2" fontId="15" fillId="0" borderId="1" xfId="5" applyNumberFormat="1" applyFont="1" applyFill="1" applyBorder="1" applyAlignment="1">
      <alignment horizontal="center" vertical="center"/>
    </xf>
    <xf numFmtId="1" fontId="15" fillId="0" borderId="1" xfId="6" applyNumberFormat="1" applyFont="1" applyBorder="1" applyAlignment="1" applyProtection="1">
      <alignment horizontal="center" vertical="center"/>
      <protection hidden="1"/>
    </xf>
    <xf numFmtId="167" fontId="15" fillId="0" borderId="1" xfId="0" applyNumberFormat="1" applyFont="1" applyBorder="1" applyAlignment="1">
      <alignment horizontal="center" vertical="center"/>
    </xf>
    <xf numFmtId="1" fontId="15" fillId="0" borderId="1" xfId="0" applyNumberFormat="1" applyFont="1" applyBorder="1" applyAlignment="1">
      <alignment horizontal="center"/>
    </xf>
    <xf numFmtId="1" fontId="15" fillId="0" borderId="1" xfId="0" applyNumberFormat="1" applyFont="1" applyBorder="1" applyAlignment="1">
      <alignment horizontal="center" vertical="center"/>
    </xf>
    <xf numFmtId="2" fontId="15" fillId="0" borderId="1" xfId="5" applyNumberFormat="1" applyFont="1" applyFill="1" applyBorder="1" applyAlignment="1" applyProtection="1">
      <alignment horizontal="center" vertical="center"/>
      <protection hidden="1"/>
    </xf>
    <xf numFmtId="0" fontId="15" fillId="7" borderId="1" xfId="6" applyFont="1" applyFill="1" applyBorder="1" applyAlignment="1" applyProtection="1">
      <alignment horizontal="center" vertical="center"/>
      <protection hidden="1"/>
    </xf>
    <xf numFmtId="167" fontId="15" fillId="7" borderId="1" xfId="7" applyNumberFormat="1" applyFont="1" applyFill="1" applyBorder="1" applyAlignment="1" applyProtection="1">
      <alignment horizontal="center" vertical="center"/>
      <protection hidden="1"/>
    </xf>
    <xf numFmtId="2" fontId="15" fillId="7" borderId="1" xfId="5" applyNumberFormat="1" applyFont="1" applyFill="1" applyBorder="1" applyAlignment="1" applyProtection="1">
      <alignment horizontal="center" vertical="center"/>
      <protection hidden="1"/>
    </xf>
    <xf numFmtId="2" fontId="20" fillId="0" borderId="1" xfId="0" applyNumberFormat="1" applyFont="1" applyBorder="1" applyAlignment="1">
      <alignment horizontal="left"/>
    </xf>
    <xf numFmtId="0" fontId="16" fillId="0" borderId="1" xfId="0" applyFont="1" applyBorder="1" applyAlignment="1">
      <alignment horizontal="center" vertical="center"/>
    </xf>
    <xf numFmtId="12" fontId="15" fillId="0" borderId="1" xfId="0" applyNumberFormat="1" applyFont="1" applyBorder="1" applyAlignment="1">
      <alignment horizontal="center" vertical="center"/>
    </xf>
    <xf numFmtId="167" fontId="16" fillId="0" borderId="1" xfId="0" applyNumberFormat="1" applyFont="1" applyBorder="1" applyAlignment="1">
      <alignment horizontal="center" vertical="center"/>
    </xf>
    <xf numFmtId="2" fontId="15" fillId="0" borderId="1" xfId="5" applyNumberFormat="1" applyFont="1" applyBorder="1" applyAlignment="1">
      <alignment horizontal="center" vertical="center"/>
    </xf>
    <xf numFmtId="1" fontId="16" fillId="0" borderId="1" xfId="0" applyNumberFormat="1" applyFont="1" applyBorder="1" applyAlignment="1">
      <alignment horizontal="center"/>
    </xf>
    <xf numFmtId="1" fontId="16" fillId="0" borderId="1" xfId="0" applyNumberFormat="1" applyFont="1" applyBorder="1" applyAlignment="1">
      <alignment horizontal="center" vertical="center"/>
    </xf>
    <xf numFmtId="1" fontId="15" fillId="0" borderId="1" xfId="11" applyNumberFormat="1" applyFont="1" applyFill="1" applyBorder="1" applyAlignment="1" applyProtection="1">
      <alignment horizontal="center" vertical="center"/>
      <protection hidden="1"/>
    </xf>
    <xf numFmtId="167" fontId="15" fillId="0" borderId="1" xfId="5" applyNumberFormat="1" applyFont="1" applyBorder="1" applyAlignment="1">
      <alignment horizontal="center" vertical="center"/>
    </xf>
    <xf numFmtId="164" fontId="15" fillId="0" borderId="1" xfId="5" applyFont="1" applyBorder="1" applyAlignment="1">
      <alignment horizontal="center" vertical="center"/>
    </xf>
    <xf numFmtId="0" fontId="20" fillId="0" borderId="10" xfId="6" applyFont="1" applyBorder="1" applyAlignment="1" applyProtection="1">
      <alignment horizontal="left"/>
      <protection hidden="1"/>
    </xf>
    <xf numFmtId="0" fontId="15" fillId="0" borderId="10" xfId="6" applyFont="1" applyBorder="1" applyAlignment="1" applyProtection="1">
      <alignment horizontal="center" vertical="center"/>
      <protection hidden="1"/>
    </xf>
    <xf numFmtId="2" fontId="15" fillId="0" borderId="10" xfId="5" applyNumberFormat="1" applyFont="1" applyBorder="1" applyAlignment="1" applyProtection="1">
      <alignment horizontal="center" vertical="center"/>
      <protection hidden="1"/>
    </xf>
    <xf numFmtId="1" fontId="15" fillId="0" borderId="10" xfId="6" applyNumberFormat="1" applyFont="1" applyBorder="1" applyAlignment="1" applyProtection="1">
      <alignment horizontal="center"/>
      <protection hidden="1"/>
    </xf>
    <xf numFmtId="1" fontId="15" fillId="0" borderId="10" xfId="7" applyNumberFormat="1" applyFont="1" applyFill="1" applyBorder="1" applyAlignment="1" applyProtection="1">
      <alignment horizontal="center" vertical="center"/>
      <protection hidden="1"/>
    </xf>
    <xf numFmtId="1" fontId="15" fillId="0" borderId="1" xfId="5" applyNumberFormat="1" applyFont="1" applyFill="1" applyBorder="1" applyAlignment="1">
      <alignment horizontal="center"/>
    </xf>
    <xf numFmtId="1" fontId="15" fillId="0" borderId="1" xfId="5" applyNumberFormat="1" applyFont="1" applyFill="1" applyBorder="1" applyAlignment="1">
      <alignment horizontal="center" vertical="center"/>
    </xf>
    <xf numFmtId="49" fontId="15" fillId="0" borderId="1" xfId="0" applyNumberFormat="1" applyFont="1" applyBorder="1" applyAlignment="1">
      <alignment horizontal="center" vertical="center"/>
    </xf>
    <xf numFmtId="0" fontId="46" fillId="0" borderId="1" xfId="0" applyFont="1" applyBorder="1" applyAlignment="1">
      <alignment horizontal="left"/>
    </xf>
    <xf numFmtId="49" fontId="45" fillId="0" borderId="1" xfId="0" applyNumberFormat="1" applyFont="1" applyBorder="1" applyAlignment="1">
      <alignment horizontal="center" vertical="center"/>
    </xf>
    <xf numFmtId="2" fontId="45" fillId="0" borderId="1" xfId="5" applyNumberFormat="1" applyFont="1" applyBorder="1" applyAlignment="1">
      <alignment horizontal="center" vertical="center"/>
    </xf>
    <xf numFmtId="1" fontId="45" fillId="0" borderId="1" xfId="5" applyNumberFormat="1" applyFont="1" applyBorder="1" applyAlignment="1">
      <alignment horizontal="center"/>
    </xf>
    <xf numFmtId="1" fontId="45" fillId="0" borderId="1" xfId="0" applyNumberFormat="1" applyFont="1" applyBorder="1" applyAlignment="1">
      <alignment horizontal="center" vertical="center"/>
    </xf>
    <xf numFmtId="0" fontId="45" fillId="0" borderId="1" xfId="0" applyFont="1" applyBorder="1" applyAlignment="1">
      <alignment horizontal="center"/>
    </xf>
    <xf numFmtId="49" fontId="15" fillId="0" borderId="1" xfId="6" applyNumberFormat="1" applyFont="1" applyBorder="1" applyAlignment="1" applyProtection="1">
      <alignment horizontal="center" vertical="center"/>
      <protection hidden="1"/>
    </xf>
    <xf numFmtId="2" fontId="15" fillId="0" borderId="1" xfId="6" applyNumberFormat="1" applyFont="1" applyBorder="1" applyAlignment="1" applyProtection="1">
      <alignment horizontal="center" vertical="center"/>
      <protection hidden="1"/>
    </xf>
    <xf numFmtId="2" fontId="15" fillId="0" borderId="1" xfId="7" applyNumberFormat="1" applyFont="1" applyBorder="1" applyAlignment="1" applyProtection="1">
      <alignment horizontal="center" vertical="center"/>
      <protection hidden="1"/>
    </xf>
    <xf numFmtId="2" fontId="15" fillId="0" borderId="1" xfId="7" applyNumberFormat="1" applyFont="1" applyFill="1" applyBorder="1" applyAlignment="1" applyProtection="1">
      <alignment horizontal="center" vertical="center"/>
      <protection hidden="1"/>
    </xf>
    <xf numFmtId="0" fontId="15" fillId="0" borderId="1" xfId="6" applyFont="1" applyBorder="1" applyAlignment="1" applyProtection="1">
      <alignment horizontal="center" vertical="center" wrapText="1"/>
      <protection hidden="1"/>
    </xf>
    <xf numFmtId="2" fontId="15" fillId="0" borderId="1" xfId="7" applyNumberFormat="1" applyFont="1" applyFill="1" applyBorder="1" applyAlignment="1" applyProtection="1">
      <alignment horizontal="center" vertical="center" wrapText="1"/>
      <protection hidden="1"/>
    </xf>
    <xf numFmtId="2" fontId="15" fillId="0" borderId="1" xfId="5" applyNumberFormat="1" applyFont="1" applyBorder="1" applyAlignment="1" applyProtection="1">
      <alignment horizontal="center" vertical="center" wrapText="1"/>
      <protection hidden="1"/>
    </xf>
    <xf numFmtId="1" fontId="15" fillId="0" borderId="1" xfId="7" applyNumberFormat="1" applyFont="1" applyFill="1" applyBorder="1" applyAlignment="1" applyProtection="1">
      <alignment horizontal="center" vertical="center" wrapText="1"/>
      <protection hidden="1"/>
    </xf>
    <xf numFmtId="2" fontId="15" fillId="0" borderId="1" xfId="0" applyNumberFormat="1" applyFont="1" applyBorder="1" applyAlignment="1">
      <alignment horizontal="center" vertical="center"/>
    </xf>
    <xf numFmtId="0" fontId="15" fillId="6" borderId="1" xfId="0" applyFont="1" applyFill="1" applyBorder="1" applyAlignment="1">
      <alignment horizontal="center" vertical="center"/>
    </xf>
    <xf numFmtId="0" fontId="15" fillId="6" borderId="1" xfId="6" applyFont="1" applyFill="1" applyBorder="1" applyAlignment="1" applyProtection="1">
      <alignment horizontal="center" vertical="center"/>
      <protection hidden="1"/>
    </xf>
    <xf numFmtId="1" fontId="15" fillId="6" borderId="1" xfId="6" applyNumberFormat="1" applyFont="1" applyFill="1" applyBorder="1" applyAlignment="1" applyProtection="1">
      <alignment horizontal="center"/>
      <protection hidden="1"/>
    </xf>
    <xf numFmtId="1" fontId="15" fillId="6" borderId="1" xfId="0" applyNumberFormat="1" applyFont="1" applyFill="1" applyBorder="1" applyAlignment="1">
      <alignment horizontal="center" vertical="center"/>
    </xf>
    <xf numFmtId="0" fontId="56" fillId="6" borderId="1" xfId="6" applyFont="1" applyFill="1" applyBorder="1" applyAlignment="1" applyProtection="1">
      <alignment horizontal="center"/>
      <protection hidden="1"/>
    </xf>
    <xf numFmtId="12" fontId="15" fillId="0" borderId="1" xfId="6" applyNumberFormat="1" applyFont="1" applyBorder="1" applyAlignment="1" applyProtection="1">
      <alignment horizontal="center" vertical="center"/>
      <protection hidden="1"/>
    </xf>
    <xf numFmtId="167" fontId="15" fillId="6" borderId="1" xfId="5" applyNumberFormat="1" applyFont="1" applyFill="1" applyBorder="1" applyAlignment="1">
      <alignment horizontal="center" vertical="center"/>
    </xf>
    <xf numFmtId="2" fontId="15" fillId="6" borderId="1" xfId="5" applyNumberFormat="1" applyFont="1" applyFill="1" applyBorder="1" applyAlignment="1">
      <alignment horizontal="center" vertical="center"/>
    </xf>
    <xf numFmtId="1" fontId="15" fillId="6" borderId="1" xfId="5" applyNumberFormat="1" applyFont="1" applyFill="1" applyBorder="1" applyAlignment="1">
      <alignment horizontal="center"/>
    </xf>
    <xf numFmtId="0" fontId="15" fillId="6" borderId="1" xfId="6" applyFont="1" applyFill="1" applyBorder="1" applyAlignment="1" applyProtection="1">
      <alignment horizontal="center"/>
      <protection hidden="1"/>
    </xf>
    <xf numFmtId="0" fontId="15" fillId="7" borderId="1" xfId="0" applyFont="1" applyFill="1" applyBorder="1" applyAlignment="1">
      <alignment horizontal="center" vertical="center"/>
    </xf>
    <xf numFmtId="12" fontId="15" fillId="6" borderId="1" xfId="0" applyNumberFormat="1" applyFont="1" applyFill="1" applyBorder="1" applyAlignment="1">
      <alignment horizontal="center" vertical="center"/>
    </xf>
    <xf numFmtId="2" fontId="15" fillId="6" borderId="1" xfId="7" applyNumberFormat="1" applyFont="1" applyFill="1" applyBorder="1" applyAlignment="1" applyProtection="1">
      <alignment horizontal="center" vertical="center"/>
      <protection hidden="1"/>
    </xf>
    <xf numFmtId="0" fontId="16" fillId="0" borderId="1" xfId="6" applyFont="1" applyBorder="1" applyAlignment="1">
      <alignment horizontal="center" vertical="center"/>
    </xf>
    <xf numFmtId="1" fontId="15" fillId="7" borderId="1" xfId="6" applyNumberFormat="1" applyFont="1" applyFill="1" applyBorder="1" applyAlignment="1" applyProtection="1">
      <alignment horizontal="center" vertical="center"/>
      <protection hidden="1"/>
    </xf>
    <xf numFmtId="0" fontId="62" fillId="0" borderId="1" xfId="0" applyFont="1" applyBorder="1" applyAlignment="1">
      <alignment horizontal="left"/>
    </xf>
    <xf numFmtId="0" fontId="56" fillId="0" borderId="1" xfId="0" applyFont="1" applyBorder="1" applyAlignment="1">
      <alignment horizontal="center" vertical="center"/>
    </xf>
    <xf numFmtId="0" fontId="64" fillId="0" borderId="1" xfId="0" applyFont="1" applyBorder="1" applyAlignment="1">
      <alignment horizontal="center" vertical="center"/>
    </xf>
    <xf numFmtId="0" fontId="56" fillId="0" borderId="1" xfId="6" applyFont="1" applyBorder="1" applyAlignment="1" applyProtection="1">
      <alignment horizontal="center" vertical="center"/>
      <protection hidden="1"/>
    </xf>
    <xf numFmtId="0" fontId="56" fillId="0" borderId="1" xfId="6" applyFont="1" applyBorder="1" applyAlignment="1" applyProtection="1">
      <alignment horizontal="center"/>
      <protection hidden="1"/>
    </xf>
    <xf numFmtId="0" fontId="0" fillId="0" borderId="1" xfId="0" applyBorder="1" applyAlignment="1">
      <alignment horizontal="center" vertical="center"/>
    </xf>
    <xf numFmtId="0" fontId="59" fillId="0" borderId="1" xfId="0" applyFont="1" applyBorder="1" applyAlignment="1">
      <alignment horizontal="center"/>
    </xf>
    <xf numFmtId="0" fontId="0" fillId="0" borderId="1" xfId="0" applyBorder="1"/>
    <xf numFmtId="0" fontId="0" fillId="6" borderId="1" xfId="0" applyFill="1" applyBorder="1"/>
    <xf numFmtId="0" fontId="33" fillId="6" borderId="1" xfId="0" applyFont="1" applyFill="1" applyBorder="1" applyAlignment="1">
      <alignment horizontal="center"/>
    </xf>
    <xf numFmtId="0" fontId="60" fillId="0" borderId="1" xfId="0" applyFont="1" applyBorder="1"/>
    <xf numFmtId="0" fontId="60" fillId="6" borderId="1" xfId="0" applyFont="1" applyFill="1" applyBorder="1"/>
    <xf numFmtId="0" fontId="33" fillId="0" borderId="1" xfId="0" applyFont="1" applyBorder="1" applyAlignment="1">
      <alignment horizontal="center" vertical="center"/>
    </xf>
    <xf numFmtId="0" fontId="56" fillId="0" borderId="1" xfId="0" applyFont="1" applyBorder="1"/>
    <xf numFmtId="0" fontId="36" fillId="0" borderId="1" xfId="0" applyFont="1" applyBorder="1" applyAlignment="1">
      <alignment horizontal="center" vertical="center"/>
    </xf>
    <xf numFmtId="0" fontId="20" fillId="0" borderId="1" xfId="0" applyFont="1" applyBorder="1" applyAlignment="1">
      <alignment horizontal="left" vertical="center"/>
    </xf>
    <xf numFmtId="0" fontId="20" fillId="0" borderId="1" xfId="0" applyFont="1" applyBorder="1"/>
    <xf numFmtId="1" fontId="56" fillId="0" borderId="1" xfId="0" applyNumberFormat="1" applyFont="1" applyBorder="1" applyAlignment="1">
      <alignment horizontal="center" vertical="center"/>
    </xf>
    <xf numFmtId="0" fontId="20" fillId="0" borderId="1" xfId="0" applyFont="1" applyBorder="1" applyAlignment="1">
      <alignment vertical="center"/>
    </xf>
    <xf numFmtId="0" fontId="39" fillId="0" borderId="1" xfId="0" applyFont="1" applyBorder="1"/>
    <xf numFmtId="0" fontId="39" fillId="0" borderId="1" xfId="0" applyFont="1" applyBorder="1" applyAlignment="1">
      <alignment horizontal="center"/>
    </xf>
    <xf numFmtId="2" fontId="20" fillId="6" borderId="1" xfId="5" applyNumberFormat="1" applyFont="1" applyFill="1" applyBorder="1" applyAlignment="1">
      <alignment vertical="center"/>
    </xf>
    <xf numFmtId="164" fontId="20" fillId="0" borderId="1" xfId="5" applyFont="1" applyBorder="1" applyAlignment="1"/>
    <xf numFmtId="164" fontId="20" fillId="6" borderId="1" xfId="5" applyFont="1" applyFill="1" applyBorder="1" applyAlignment="1"/>
    <xf numFmtId="164" fontId="61" fillId="0" borderId="1" xfId="5" applyFont="1" applyBorder="1" applyAlignment="1"/>
    <xf numFmtId="164" fontId="46" fillId="0" borderId="1" xfId="5" applyFont="1" applyBorder="1" applyAlignment="1">
      <alignment vertical="center"/>
    </xf>
    <xf numFmtId="164" fontId="20" fillId="0" borderId="1" xfId="5" applyFont="1" applyBorder="1" applyAlignment="1">
      <alignment vertical="center"/>
    </xf>
    <xf numFmtId="0" fontId="63" fillId="0" borderId="1" xfId="5" applyNumberFormat="1" applyFont="1" applyBorder="1" applyAlignment="1">
      <alignment vertical="center"/>
    </xf>
    <xf numFmtId="0" fontId="63" fillId="0" borderId="1" xfId="0" applyFont="1" applyBorder="1" applyAlignment="1">
      <alignment vertical="center"/>
    </xf>
    <xf numFmtId="2" fontId="63" fillId="0" borderId="1" xfId="0" applyNumberFormat="1" applyFont="1" applyBorder="1" applyAlignment="1">
      <alignment vertical="center"/>
    </xf>
    <xf numFmtId="0" fontId="15" fillId="0" borderId="1" xfId="5" applyNumberFormat="1" applyFont="1" applyBorder="1" applyAlignment="1"/>
    <xf numFmtId="0" fontId="20" fillId="0" borderId="1" xfId="6" applyFont="1" applyBorder="1" applyProtection="1">
      <protection hidden="1"/>
    </xf>
    <xf numFmtId="0" fontId="15" fillId="0" borderId="1" xfId="7" applyNumberFormat="1" applyFont="1" applyFill="1" applyBorder="1" applyAlignment="1" applyProtection="1">
      <protection hidden="1"/>
    </xf>
    <xf numFmtId="0" fontId="52" fillId="0" borderId="0" xfId="0" applyFont="1" applyProtection="1">
      <protection hidden="1"/>
    </xf>
    <xf numFmtId="0" fontId="52" fillId="0" borderId="2" xfId="0" applyFont="1" applyBorder="1" applyAlignment="1" applyProtection="1">
      <alignment horizontal="center"/>
      <protection hidden="1"/>
    </xf>
    <xf numFmtId="0" fontId="52" fillId="0" borderId="3" xfId="0" applyFont="1" applyBorder="1" applyAlignment="1" applyProtection="1">
      <alignment horizontal="center"/>
      <protection hidden="1"/>
    </xf>
    <xf numFmtId="0" fontId="52" fillId="0" borderId="4" xfId="0" applyFont="1" applyBorder="1" applyAlignment="1" applyProtection="1">
      <alignment horizontal="center"/>
      <protection hidden="1"/>
    </xf>
    <xf numFmtId="0" fontId="52" fillId="0" borderId="1" xfId="0" applyFont="1" applyBorder="1" applyAlignment="1" applyProtection="1">
      <alignment horizontal="left"/>
      <protection hidden="1"/>
    </xf>
    <xf numFmtId="0" fontId="52" fillId="0" borderId="1" xfId="0" applyFont="1" applyBorder="1" applyProtection="1">
      <protection hidden="1"/>
    </xf>
    <xf numFmtId="0" fontId="52" fillId="0" borderId="1" xfId="0" applyFont="1" applyBorder="1" applyAlignment="1" applyProtection="1">
      <alignment horizontal="center"/>
      <protection hidden="1"/>
    </xf>
    <xf numFmtId="0" fontId="52" fillId="0" borderId="5" xfId="0" applyFont="1" applyBorder="1" applyProtection="1">
      <protection hidden="1"/>
    </xf>
    <xf numFmtId="0" fontId="52" fillId="0" borderId="0" xfId="0" applyFont="1" applyAlignment="1" applyProtection="1">
      <alignment horizontal="center"/>
      <protection hidden="1"/>
    </xf>
    <xf numFmtId="0" fontId="52" fillId="0" borderId="6" xfId="0" applyFont="1" applyBorder="1" applyAlignment="1" applyProtection="1">
      <alignment horizontal="center"/>
      <protection hidden="1"/>
    </xf>
    <xf numFmtId="0" fontId="19" fillId="0" borderId="0" xfId="0" applyFont="1" applyAlignment="1" applyProtection="1">
      <alignment horizontal="center"/>
      <protection hidden="1"/>
    </xf>
    <xf numFmtId="0" fontId="19" fillId="0" borderId="1" xfId="0" applyFont="1" applyBorder="1" applyProtection="1">
      <protection hidden="1"/>
    </xf>
    <xf numFmtId="0" fontId="52" fillId="0" borderId="0" xfId="0" applyFont="1" applyAlignment="1" applyProtection="1">
      <alignment horizontal="left"/>
      <protection hidden="1"/>
    </xf>
    <xf numFmtId="0" fontId="52" fillId="0" borderId="7" xfId="0" applyFont="1" applyBorder="1" applyProtection="1">
      <protection hidden="1"/>
    </xf>
    <xf numFmtId="0" fontId="52" fillId="0" borderId="8" xfId="0" applyFont="1" applyBorder="1" applyAlignment="1" applyProtection="1">
      <alignment horizontal="center"/>
      <protection hidden="1"/>
    </xf>
    <xf numFmtId="0" fontId="52" fillId="0" borderId="9" xfId="0" applyFont="1" applyBorder="1" applyAlignment="1" applyProtection="1">
      <alignment horizontal="center"/>
      <protection hidden="1"/>
    </xf>
    <xf numFmtId="0" fontId="24" fillId="0" borderId="0" xfId="0" applyFont="1" applyAlignment="1" applyProtection="1">
      <alignment horizontal="center"/>
      <protection hidden="1"/>
    </xf>
    <xf numFmtId="0" fontId="17" fillId="0" borderId="0" xfId="0" quotePrefix="1" applyFont="1" applyProtection="1">
      <protection hidden="1"/>
    </xf>
    <xf numFmtId="0" fontId="52" fillId="0" borderId="0" xfId="0" quotePrefix="1" applyFont="1" applyAlignment="1" applyProtection="1">
      <alignment horizontal="center"/>
      <protection hidden="1"/>
    </xf>
    <xf numFmtId="0" fontId="43" fillId="0" borderId="0" xfId="0" applyFont="1" applyAlignment="1" applyProtection="1">
      <alignment vertical="center"/>
      <protection hidden="1"/>
    </xf>
    <xf numFmtId="2" fontId="15" fillId="0" borderId="12" xfId="6" applyNumberFormat="1" applyFont="1" applyBorder="1" applyAlignment="1" applyProtection="1">
      <alignment horizontal="center"/>
      <protection hidden="1"/>
    </xf>
    <xf numFmtId="0" fontId="34" fillId="0" borderId="0" xfId="10" applyProtection="1">
      <protection hidden="1"/>
    </xf>
    <xf numFmtId="0" fontId="22" fillId="0" borderId="0" xfId="0" applyFont="1"/>
    <xf numFmtId="165" fontId="19" fillId="8" borderId="0" xfId="0" applyNumberFormat="1" applyFont="1" applyFill="1" applyProtection="1">
      <protection hidden="1"/>
    </xf>
    <xf numFmtId="165" fontId="23" fillId="9" borderId="0" xfId="0" applyNumberFormat="1" applyFont="1" applyFill="1" applyProtection="1">
      <protection hidden="1"/>
    </xf>
    <xf numFmtId="165" fontId="8" fillId="0" borderId="0" xfId="0" applyNumberFormat="1" applyFont="1" applyAlignment="1" applyProtection="1">
      <alignment horizontal="center"/>
      <protection hidden="1"/>
    </xf>
    <xf numFmtId="165" fontId="8" fillId="0" borderId="0" xfId="0" applyNumberFormat="1" applyFont="1" applyAlignment="1">
      <alignment horizontal="center"/>
    </xf>
    <xf numFmtId="165" fontId="57" fillId="0" borderId="0" xfId="0" applyNumberFormat="1" applyFont="1" applyAlignment="1">
      <alignment horizontal="center" vertical="center"/>
    </xf>
    <xf numFmtId="165" fontId="20" fillId="0" borderId="1" xfId="6" applyNumberFormat="1" applyFont="1" applyBorder="1" applyAlignment="1" applyProtection="1">
      <alignment horizontal="left"/>
      <protection hidden="1"/>
    </xf>
    <xf numFmtId="165" fontId="20" fillId="0" borderId="1" xfId="5" applyNumberFormat="1" applyFont="1" applyBorder="1" applyAlignment="1"/>
    <xf numFmtId="165" fontId="20" fillId="0" borderId="1" xfId="0" applyNumberFormat="1" applyFont="1" applyBorder="1" applyAlignment="1">
      <alignment horizontal="left"/>
    </xf>
    <xf numFmtId="165" fontId="61" fillId="0" borderId="1" xfId="0" applyNumberFormat="1" applyFont="1" applyBorder="1" applyAlignment="1">
      <alignment horizontal="left"/>
    </xf>
    <xf numFmtId="165" fontId="63" fillId="0" borderId="1" xfId="5" applyNumberFormat="1" applyFont="1" applyBorder="1" applyAlignment="1">
      <alignment horizontal="center" vertical="center"/>
    </xf>
    <xf numFmtId="165" fontId="56" fillId="0" borderId="0" xfId="0" applyNumberFormat="1" applyFont="1" applyProtection="1">
      <protection hidden="1"/>
    </xf>
    <xf numFmtId="165" fontId="56" fillId="0" borderId="0" xfId="0" quotePrefix="1" applyNumberFormat="1" applyFont="1" applyProtection="1">
      <protection hidden="1"/>
    </xf>
    <xf numFmtId="165" fontId="23" fillId="0" borderId="0" xfId="0" applyNumberFormat="1" applyFont="1" applyAlignment="1" applyProtection="1">
      <alignment horizontal="center"/>
      <protection hidden="1"/>
    </xf>
    <xf numFmtId="0" fontId="36" fillId="0" borderId="0" xfId="0" applyFont="1" applyAlignment="1" applyProtection="1">
      <alignment horizontal="center" wrapText="1"/>
      <protection hidden="1"/>
    </xf>
    <xf numFmtId="0" fontId="8" fillId="0" borderId="0" xfId="0" applyFont="1" applyAlignment="1" applyProtection="1">
      <alignment horizontal="center"/>
      <protection hidden="1"/>
    </xf>
    <xf numFmtId="0" fontId="37" fillId="0" borderId="0" xfId="0" applyFont="1" applyAlignment="1" applyProtection="1">
      <alignment horizontal="center"/>
      <protection hidden="1"/>
    </xf>
    <xf numFmtId="0" fontId="31" fillId="0" borderId="0" xfId="0" applyFont="1" applyAlignment="1" applyProtection="1">
      <alignment horizontal="left" vertical="top" wrapText="1"/>
      <protection hidden="1"/>
    </xf>
    <xf numFmtId="165" fontId="19" fillId="0" borderId="0" xfId="0" applyNumberFormat="1" applyFont="1" applyAlignment="1" applyProtection="1">
      <alignment horizontal="center"/>
      <protection hidden="1"/>
    </xf>
    <xf numFmtId="0" fontId="18" fillId="0" borderId="0" xfId="0" applyFont="1" applyAlignment="1" applyProtection="1">
      <alignment horizontal="center"/>
      <protection hidden="1"/>
    </xf>
    <xf numFmtId="0" fontId="18" fillId="0" borderId="0" xfId="0" applyFont="1" applyAlignment="1" applyProtection="1">
      <alignment horizontal="center" wrapText="1"/>
      <protection hidden="1"/>
    </xf>
  </cellXfs>
  <cellStyles count="15">
    <cellStyle name="Dziesiętny" xfId="5" builtinId="3"/>
    <cellStyle name="Dziesiętny 2" xfId="7" xr:uid="{00000000-0005-0000-0000-000001000000}"/>
    <cellStyle name="Dziesiętny 2 3" xfId="11" xr:uid="{00000000-0005-0000-0000-000002000000}"/>
    <cellStyle name="Dziesiętny 3" xfId="9" xr:uid="{00000000-0005-0000-0000-000003000000}"/>
    <cellStyle name="Hiperłącze" xfId="10" builtinId="8"/>
    <cellStyle name="Normalny" xfId="0" builtinId="0"/>
    <cellStyle name="Normalny 2" xfId="3" xr:uid="{00000000-0005-0000-0000-000006000000}"/>
    <cellStyle name="Normalny 2 2" xfId="12" xr:uid="{C6A8592E-A42B-4A77-AB24-F5BDBD574B99}"/>
    <cellStyle name="Normalny 3" xfId="2" xr:uid="{00000000-0005-0000-0000-000007000000}"/>
    <cellStyle name="Normalny 3 2" xfId="13" xr:uid="{EB22D8EC-CEDD-4379-94C1-20ACF9364950}"/>
    <cellStyle name="Normalny 4" xfId="1" xr:uid="{00000000-0005-0000-0000-000008000000}"/>
    <cellStyle name="Normalny 4 2" xfId="4" xr:uid="{00000000-0005-0000-0000-000009000000}"/>
    <cellStyle name="Normalny 5" xfId="8" xr:uid="{00000000-0005-0000-0000-00000A000000}"/>
    <cellStyle name="Normalny 6" xfId="6" xr:uid="{00000000-0005-0000-0000-00000B000000}"/>
    <cellStyle name="Normalny 7" xfId="14" xr:uid="{25121ED3-A100-4790-8630-EE3BDF983175}"/>
  </cellStyles>
  <dxfs count="60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theme="1"/>
      </font>
      <fill>
        <patternFill>
          <bgColor theme="3" tint="0.79998168889431442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theme="0"/>
      </font>
    </dxf>
    <dxf>
      <font>
        <color theme="0"/>
      </font>
    </dxf>
    <dxf>
      <font>
        <color theme="0"/>
      </font>
      <fill>
        <patternFill patternType="none">
          <bgColor auto="1"/>
        </patternFill>
      </fill>
    </dxf>
    <dxf>
      <font>
        <color theme="0"/>
      </font>
      <fill>
        <patternFill patternType="none">
          <bgColor auto="1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C7CE"/>
        </patternFill>
      </fill>
    </dxf>
    <dxf>
      <font>
        <color rgb="FF9C0006"/>
      </font>
    </dxf>
    <dxf>
      <font>
        <color rgb="FF9C5700"/>
      </font>
      <fill>
        <patternFill>
          <bgColor rgb="FFFFEB9C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006100"/>
      </font>
      <fill>
        <patternFill>
          <bgColor rgb="FFC6EF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  <family val="2"/>
        <charset val="238"/>
      </font>
      <fill>
        <patternFill patternType="solid">
          <fgColor rgb="FFFFC7CE"/>
          <bgColor rgb="FFFFC7CE"/>
        </patternFill>
      </fill>
    </dxf>
  </dxf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17" Type="http://schemas.microsoft.com/office/2017/06/relationships/rdRichValueTypes" Target="richData/rdRichValueTypes.xml"/><Relationship Id="rId2" Type="http://schemas.openxmlformats.org/officeDocument/2006/relationships/worksheet" Target="worksheets/sheet2.xml"/><Relationship Id="rId16" Type="http://schemas.microsoft.com/office/2017/06/relationships/rdRichValueStructure" Target="richData/rdrichvaluestructure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microsoft.com/office/2017/06/relationships/rdRichValue" Target="richData/rdrichvalue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eetMetadata" Target="metadata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jpeg"/><Relationship Id="rId3" Type="http://schemas.openxmlformats.org/officeDocument/2006/relationships/image" Target="../media/image20.jpeg"/><Relationship Id="rId7" Type="http://schemas.openxmlformats.org/officeDocument/2006/relationships/image" Target="../media/image24.jpeg"/><Relationship Id="rId2" Type="http://schemas.openxmlformats.org/officeDocument/2006/relationships/image" Target="../media/image19.jpeg"/><Relationship Id="rId1" Type="http://schemas.openxmlformats.org/officeDocument/2006/relationships/image" Target="../media/image18.png"/><Relationship Id="rId6" Type="http://schemas.openxmlformats.org/officeDocument/2006/relationships/image" Target="../media/image23.jpeg"/><Relationship Id="rId5" Type="http://schemas.openxmlformats.org/officeDocument/2006/relationships/image" Target="../media/image22.jpeg"/><Relationship Id="rId4" Type="http://schemas.openxmlformats.org/officeDocument/2006/relationships/image" Target="../media/image21.jpeg"/><Relationship Id="rId9" Type="http://schemas.openxmlformats.org/officeDocument/2006/relationships/image" Target="../media/image26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jpeg"/><Relationship Id="rId3" Type="http://schemas.openxmlformats.org/officeDocument/2006/relationships/image" Target="../media/image67.jpeg"/><Relationship Id="rId7" Type="http://schemas.openxmlformats.org/officeDocument/2006/relationships/image" Target="../media/image71.png"/><Relationship Id="rId2" Type="http://schemas.openxmlformats.org/officeDocument/2006/relationships/image" Target="../media/image66.jpeg"/><Relationship Id="rId1" Type="http://schemas.openxmlformats.org/officeDocument/2006/relationships/image" Target="../media/image65.jpeg"/><Relationship Id="rId6" Type="http://schemas.openxmlformats.org/officeDocument/2006/relationships/image" Target="../media/image70.png"/><Relationship Id="rId11" Type="http://schemas.openxmlformats.org/officeDocument/2006/relationships/image" Target="../media/image74.png"/><Relationship Id="rId5" Type="http://schemas.openxmlformats.org/officeDocument/2006/relationships/image" Target="../media/image69.jpeg"/><Relationship Id="rId10" Type="http://schemas.openxmlformats.org/officeDocument/2006/relationships/image" Target="../media/image18.png"/><Relationship Id="rId4" Type="http://schemas.openxmlformats.org/officeDocument/2006/relationships/image" Target="../media/image68.jpeg"/><Relationship Id="rId9" Type="http://schemas.openxmlformats.org/officeDocument/2006/relationships/image" Target="../media/image73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2.jpeg"/><Relationship Id="rId3" Type="http://schemas.openxmlformats.org/officeDocument/2006/relationships/image" Target="../media/image67.jpeg"/><Relationship Id="rId7" Type="http://schemas.openxmlformats.org/officeDocument/2006/relationships/image" Target="../media/image71.png"/><Relationship Id="rId2" Type="http://schemas.openxmlformats.org/officeDocument/2006/relationships/image" Target="../media/image66.jpeg"/><Relationship Id="rId1" Type="http://schemas.openxmlformats.org/officeDocument/2006/relationships/image" Target="../media/image65.jpeg"/><Relationship Id="rId6" Type="http://schemas.openxmlformats.org/officeDocument/2006/relationships/image" Target="../media/image70.png"/><Relationship Id="rId11" Type="http://schemas.openxmlformats.org/officeDocument/2006/relationships/image" Target="../media/image18.png"/><Relationship Id="rId5" Type="http://schemas.openxmlformats.org/officeDocument/2006/relationships/image" Target="../media/image69.jpeg"/><Relationship Id="rId10" Type="http://schemas.openxmlformats.org/officeDocument/2006/relationships/image" Target="../media/image74.png"/><Relationship Id="rId4" Type="http://schemas.openxmlformats.org/officeDocument/2006/relationships/image" Target="../media/image68.jpeg"/><Relationship Id="rId9" Type="http://schemas.openxmlformats.org/officeDocument/2006/relationships/image" Target="../media/image73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.jpeg"/><Relationship Id="rId13" Type="http://schemas.openxmlformats.org/officeDocument/2006/relationships/image" Target="../media/image124.jpeg"/><Relationship Id="rId18" Type="http://schemas.openxmlformats.org/officeDocument/2006/relationships/image" Target="../media/image129.jpeg"/><Relationship Id="rId3" Type="http://schemas.openxmlformats.org/officeDocument/2006/relationships/image" Target="../media/image114.jpeg"/><Relationship Id="rId7" Type="http://schemas.openxmlformats.org/officeDocument/2006/relationships/image" Target="../media/image118.jpeg"/><Relationship Id="rId12" Type="http://schemas.openxmlformats.org/officeDocument/2006/relationships/image" Target="../media/image123.jpeg"/><Relationship Id="rId17" Type="http://schemas.openxmlformats.org/officeDocument/2006/relationships/image" Target="../media/image128.png"/><Relationship Id="rId2" Type="http://schemas.openxmlformats.org/officeDocument/2006/relationships/image" Target="../media/image113.jpeg"/><Relationship Id="rId16" Type="http://schemas.openxmlformats.org/officeDocument/2006/relationships/image" Target="../media/image127.jpeg"/><Relationship Id="rId1" Type="http://schemas.openxmlformats.org/officeDocument/2006/relationships/image" Target="../media/image112.jpeg"/><Relationship Id="rId6" Type="http://schemas.openxmlformats.org/officeDocument/2006/relationships/image" Target="../media/image117.jpeg"/><Relationship Id="rId11" Type="http://schemas.openxmlformats.org/officeDocument/2006/relationships/image" Target="../media/image122.jpeg"/><Relationship Id="rId5" Type="http://schemas.openxmlformats.org/officeDocument/2006/relationships/image" Target="../media/image116.jpeg"/><Relationship Id="rId15" Type="http://schemas.openxmlformats.org/officeDocument/2006/relationships/image" Target="../media/image126.jpeg"/><Relationship Id="rId10" Type="http://schemas.openxmlformats.org/officeDocument/2006/relationships/image" Target="../media/image121.jpeg"/><Relationship Id="rId19" Type="http://schemas.openxmlformats.org/officeDocument/2006/relationships/image" Target="../media/image18.png"/><Relationship Id="rId4" Type="http://schemas.openxmlformats.org/officeDocument/2006/relationships/image" Target="../media/image115.jpeg"/><Relationship Id="rId9" Type="http://schemas.openxmlformats.org/officeDocument/2006/relationships/image" Target="../media/image120.jpeg"/><Relationship Id="rId14" Type="http://schemas.openxmlformats.org/officeDocument/2006/relationships/image" Target="../media/image125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.jpeg"/><Relationship Id="rId13" Type="http://schemas.openxmlformats.org/officeDocument/2006/relationships/image" Target="../media/image126.jpeg"/><Relationship Id="rId18" Type="http://schemas.openxmlformats.org/officeDocument/2006/relationships/image" Target="../media/image152.png"/><Relationship Id="rId3" Type="http://schemas.openxmlformats.org/officeDocument/2006/relationships/image" Target="../media/image114.jpeg"/><Relationship Id="rId21" Type="http://schemas.openxmlformats.org/officeDocument/2006/relationships/image" Target="../media/image155.png"/><Relationship Id="rId7" Type="http://schemas.openxmlformats.org/officeDocument/2006/relationships/image" Target="../media/image118.jpeg"/><Relationship Id="rId12" Type="http://schemas.openxmlformats.org/officeDocument/2006/relationships/image" Target="../media/image123.jpeg"/><Relationship Id="rId17" Type="http://schemas.openxmlformats.org/officeDocument/2006/relationships/image" Target="../media/image18.png"/><Relationship Id="rId2" Type="http://schemas.openxmlformats.org/officeDocument/2006/relationships/image" Target="../media/image113.jpeg"/><Relationship Id="rId16" Type="http://schemas.openxmlformats.org/officeDocument/2006/relationships/image" Target="../media/image129.jpeg"/><Relationship Id="rId20" Type="http://schemas.openxmlformats.org/officeDocument/2006/relationships/image" Target="../media/image154.png"/><Relationship Id="rId1" Type="http://schemas.openxmlformats.org/officeDocument/2006/relationships/image" Target="../media/image112.jpeg"/><Relationship Id="rId6" Type="http://schemas.openxmlformats.org/officeDocument/2006/relationships/image" Target="../media/image117.jpeg"/><Relationship Id="rId11" Type="http://schemas.openxmlformats.org/officeDocument/2006/relationships/image" Target="../media/image122.jpeg"/><Relationship Id="rId5" Type="http://schemas.openxmlformats.org/officeDocument/2006/relationships/image" Target="../media/image116.jpeg"/><Relationship Id="rId15" Type="http://schemas.openxmlformats.org/officeDocument/2006/relationships/image" Target="../media/image128.png"/><Relationship Id="rId10" Type="http://schemas.openxmlformats.org/officeDocument/2006/relationships/image" Target="../media/image121.jpeg"/><Relationship Id="rId19" Type="http://schemas.openxmlformats.org/officeDocument/2006/relationships/image" Target="../media/image153.png"/><Relationship Id="rId4" Type="http://schemas.openxmlformats.org/officeDocument/2006/relationships/image" Target="../media/image115.jpeg"/><Relationship Id="rId9" Type="http://schemas.openxmlformats.org/officeDocument/2006/relationships/image" Target="../media/image120.jpeg"/><Relationship Id="rId14" Type="http://schemas.openxmlformats.org/officeDocument/2006/relationships/image" Target="../media/image127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7.jpeg"/><Relationship Id="rId2" Type="http://schemas.openxmlformats.org/officeDocument/2006/relationships/image" Target="../media/image156.jpeg"/><Relationship Id="rId1" Type="http://schemas.openxmlformats.org/officeDocument/2006/relationships/image" Target="../media/image18.png"/><Relationship Id="rId5" Type="http://schemas.openxmlformats.org/officeDocument/2006/relationships/image" Target="../media/image159.png"/><Relationship Id="rId4" Type="http://schemas.openxmlformats.org/officeDocument/2006/relationships/image" Target="../media/image158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../media/image164.png"/><Relationship Id="rId1" Type="http://schemas.openxmlformats.org/officeDocument/2006/relationships/image" Target="../media/image163.png"/><Relationship Id="rId5" Type="http://schemas.openxmlformats.org/officeDocument/2006/relationships/image" Target="../media/image166.png"/><Relationship Id="rId4" Type="http://schemas.openxmlformats.org/officeDocument/2006/relationships/image" Target="../media/image165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9.png"/><Relationship Id="rId2" Type="http://schemas.openxmlformats.org/officeDocument/2006/relationships/image" Target="../media/image168.png"/><Relationship Id="rId1" Type="http://schemas.openxmlformats.org/officeDocument/2006/relationships/image" Target="../media/image167.png"/></Relationships>
</file>

<file path=xl/drawings/_rels/vmlDrawing2.vml.rels><?xml version="1.0" encoding="UTF-8" standalone="yes"?>
<Relationships xmlns="http://schemas.openxmlformats.org/package/2006/relationships"><Relationship Id="rId13" Type="http://schemas.openxmlformats.org/officeDocument/2006/relationships/image" Target="../media/image39.png"/><Relationship Id="rId18" Type="http://schemas.openxmlformats.org/officeDocument/2006/relationships/image" Target="../media/image44.png"/><Relationship Id="rId26" Type="http://schemas.openxmlformats.org/officeDocument/2006/relationships/image" Target="../media/image52.png"/><Relationship Id="rId21" Type="http://schemas.openxmlformats.org/officeDocument/2006/relationships/image" Target="../media/image47.png"/><Relationship Id="rId34" Type="http://schemas.openxmlformats.org/officeDocument/2006/relationships/image" Target="../media/image60.png"/><Relationship Id="rId7" Type="http://schemas.openxmlformats.org/officeDocument/2006/relationships/image" Target="../media/image33.png"/><Relationship Id="rId12" Type="http://schemas.openxmlformats.org/officeDocument/2006/relationships/image" Target="../media/image38.png"/><Relationship Id="rId17" Type="http://schemas.openxmlformats.org/officeDocument/2006/relationships/image" Target="../media/image43.png"/><Relationship Id="rId25" Type="http://schemas.openxmlformats.org/officeDocument/2006/relationships/image" Target="../media/image51.png"/><Relationship Id="rId33" Type="http://schemas.openxmlformats.org/officeDocument/2006/relationships/image" Target="../media/image59.png"/><Relationship Id="rId38" Type="http://schemas.openxmlformats.org/officeDocument/2006/relationships/image" Target="../media/image64.png"/><Relationship Id="rId2" Type="http://schemas.openxmlformats.org/officeDocument/2006/relationships/image" Target="../media/image28.png"/><Relationship Id="rId16" Type="http://schemas.openxmlformats.org/officeDocument/2006/relationships/image" Target="../media/image42.png"/><Relationship Id="rId20" Type="http://schemas.openxmlformats.org/officeDocument/2006/relationships/image" Target="../media/image46.png"/><Relationship Id="rId29" Type="http://schemas.openxmlformats.org/officeDocument/2006/relationships/image" Target="../media/image55.png"/><Relationship Id="rId1" Type="http://schemas.openxmlformats.org/officeDocument/2006/relationships/image" Target="../media/image27.png"/><Relationship Id="rId6" Type="http://schemas.openxmlformats.org/officeDocument/2006/relationships/image" Target="../media/image32.png"/><Relationship Id="rId11" Type="http://schemas.openxmlformats.org/officeDocument/2006/relationships/image" Target="../media/image37.png"/><Relationship Id="rId24" Type="http://schemas.openxmlformats.org/officeDocument/2006/relationships/image" Target="../media/image50.png"/><Relationship Id="rId32" Type="http://schemas.openxmlformats.org/officeDocument/2006/relationships/image" Target="../media/image58.png"/><Relationship Id="rId37" Type="http://schemas.openxmlformats.org/officeDocument/2006/relationships/image" Target="../media/image63.png"/><Relationship Id="rId5" Type="http://schemas.openxmlformats.org/officeDocument/2006/relationships/image" Target="../media/image31.png"/><Relationship Id="rId15" Type="http://schemas.openxmlformats.org/officeDocument/2006/relationships/image" Target="../media/image41.png"/><Relationship Id="rId23" Type="http://schemas.openxmlformats.org/officeDocument/2006/relationships/image" Target="../media/image49.png"/><Relationship Id="rId28" Type="http://schemas.openxmlformats.org/officeDocument/2006/relationships/image" Target="../media/image54.png"/><Relationship Id="rId36" Type="http://schemas.openxmlformats.org/officeDocument/2006/relationships/image" Target="../media/image62.png"/><Relationship Id="rId10" Type="http://schemas.openxmlformats.org/officeDocument/2006/relationships/image" Target="../media/image36.png"/><Relationship Id="rId19" Type="http://schemas.openxmlformats.org/officeDocument/2006/relationships/image" Target="../media/image45.png"/><Relationship Id="rId31" Type="http://schemas.openxmlformats.org/officeDocument/2006/relationships/image" Target="../media/image57.png"/><Relationship Id="rId4" Type="http://schemas.openxmlformats.org/officeDocument/2006/relationships/image" Target="../media/image30.png"/><Relationship Id="rId9" Type="http://schemas.openxmlformats.org/officeDocument/2006/relationships/image" Target="../media/image35.png"/><Relationship Id="rId14" Type="http://schemas.openxmlformats.org/officeDocument/2006/relationships/image" Target="../media/image40.png"/><Relationship Id="rId22" Type="http://schemas.openxmlformats.org/officeDocument/2006/relationships/image" Target="../media/image48.png"/><Relationship Id="rId27" Type="http://schemas.openxmlformats.org/officeDocument/2006/relationships/image" Target="../media/image53.png"/><Relationship Id="rId30" Type="http://schemas.openxmlformats.org/officeDocument/2006/relationships/image" Target="../media/image56.png"/><Relationship Id="rId35" Type="http://schemas.openxmlformats.org/officeDocument/2006/relationships/image" Target="../media/image61.png"/><Relationship Id="rId8" Type="http://schemas.openxmlformats.org/officeDocument/2006/relationships/image" Target="../media/image34.png"/><Relationship Id="rId3" Type="http://schemas.openxmlformats.org/officeDocument/2006/relationships/image" Target="../media/image29.png"/></Relationships>
</file>

<file path=xl/drawings/_rels/vmlDrawing3.vml.rels><?xml version="1.0" encoding="UTF-8" standalone="yes"?>
<Relationships xmlns="http://schemas.openxmlformats.org/package/2006/relationships"><Relationship Id="rId13" Type="http://schemas.openxmlformats.org/officeDocument/2006/relationships/image" Target="../media/image79.png"/><Relationship Id="rId18" Type="http://schemas.openxmlformats.org/officeDocument/2006/relationships/image" Target="../media/image84.png"/><Relationship Id="rId26" Type="http://schemas.openxmlformats.org/officeDocument/2006/relationships/image" Target="../media/image91.png"/><Relationship Id="rId39" Type="http://schemas.openxmlformats.org/officeDocument/2006/relationships/image" Target="../media/image59.png"/><Relationship Id="rId21" Type="http://schemas.openxmlformats.org/officeDocument/2006/relationships/image" Target="../media/image87.png"/><Relationship Id="rId34" Type="http://schemas.openxmlformats.org/officeDocument/2006/relationships/image" Target="../media/image99.png"/><Relationship Id="rId42" Type="http://schemas.openxmlformats.org/officeDocument/2006/relationships/image" Target="../media/image103.png"/><Relationship Id="rId47" Type="http://schemas.openxmlformats.org/officeDocument/2006/relationships/image" Target="../media/image107.png"/><Relationship Id="rId50" Type="http://schemas.openxmlformats.org/officeDocument/2006/relationships/image" Target="../media/image110.png"/><Relationship Id="rId7" Type="http://schemas.openxmlformats.org/officeDocument/2006/relationships/image" Target="../media/image32.png"/><Relationship Id="rId2" Type="http://schemas.openxmlformats.org/officeDocument/2006/relationships/image" Target="../media/image75.png"/><Relationship Id="rId16" Type="http://schemas.openxmlformats.org/officeDocument/2006/relationships/image" Target="../media/image82.png"/><Relationship Id="rId29" Type="http://schemas.openxmlformats.org/officeDocument/2006/relationships/image" Target="../media/image94.png"/><Relationship Id="rId11" Type="http://schemas.openxmlformats.org/officeDocument/2006/relationships/image" Target="../media/image77.png"/><Relationship Id="rId24" Type="http://schemas.openxmlformats.org/officeDocument/2006/relationships/image" Target="../media/image48.png"/><Relationship Id="rId32" Type="http://schemas.openxmlformats.org/officeDocument/2006/relationships/image" Target="../media/image97.png"/><Relationship Id="rId37" Type="http://schemas.openxmlformats.org/officeDocument/2006/relationships/image" Target="../media/image55.png"/><Relationship Id="rId40" Type="http://schemas.openxmlformats.org/officeDocument/2006/relationships/image" Target="../media/image101.png"/><Relationship Id="rId45" Type="http://schemas.openxmlformats.org/officeDocument/2006/relationships/image" Target="../media/image45.png"/><Relationship Id="rId5" Type="http://schemas.openxmlformats.org/officeDocument/2006/relationships/image" Target="../media/image34.png"/><Relationship Id="rId15" Type="http://schemas.openxmlformats.org/officeDocument/2006/relationships/image" Target="../media/image81.png"/><Relationship Id="rId23" Type="http://schemas.openxmlformats.org/officeDocument/2006/relationships/image" Target="../media/image89.png"/><Relationship Id="rId28" Type="http://schemas.openxmlformats.org/officeDocument/2006/relationships/image" Target="../media/image93.png"/><Relationship Id="rId36" Type="http://schemas.openxmlformats.org/officeDocument/2006/relationships/image" Target="../media/image56.png"/><Relationship Id="rId49" Type="http://schemas.openxmlformats.org/officeDocument/2006/relationships/image" Target="../media/image109.png"/><Relationship Id="rId10" Type="http://schemas.openxmlformats.org/officeDocument/2006/relationships/image" Target="../media/image64.png"/><Relationship Id="rId19" Type="http://schemas.openxmlformats.org/officeDocument/2006/relationships/image" Target="../media/image85.png"/><Relationship Id="rId31" Type="http://schemas.openxmlformats.org/officeDocument/2006/relationships/image" Target="../media/image96.png"/><Relationship Id="rId44" Type="http://schemas.openxmlformats.org/officeDocument/2006/relationships/image" Target="../media/image105.png"/><Relationship Id="rId4" Type="http://schemas.openxmlformats.org/officeDocument/2006/relationships/image" Target="../media/image33.png"/><Relationship Id="rId9" Type="http://schemas.openxmlformats.org/officeDocument/2006/relationships/image" Target="../media/image37.png"/><Relationship Id="rId14" Type="http://schemas.openxmlformats.org/officeDocument/2006/relationships/image" Target="../media/image80.png"/><Relationship Id="rId22" Type="http://schemas.openxmlformats.org/officeDocument/2006/relationships/image" Target="../media/image88.png"/><Relationship Id="rId27" Type="http://schemas.openxmlformats.org/officeDocument/2006/relationships/image" Target="../media/image92.png"/><Relationship Id="rId30" Type="http://schemas.openxmlformats.org/officeDocument/2006/relationships/image" Target="../media/image95.png"/><Relationship Id="rId35" Type="http://schemas.openxmlformats.org/officeDocument/2006/relationships/image" Target="../media/image100.png"/><Relationship Id="rId43" Type="http://schemas.openxmlformats.org/officeDocument/2006/relationships/image" Target="../media/image104.png"/><Relationship Id="rId48" Type="http://schemas.openxmlformats.org/officeDocument/2006/relationships/image" Target="../media/image108.png"/><Relationship Id="rId8" Type="http://schemas.openxmlformats.org/officeDocument/2006/relationships/image" Target="../media/image63.png"/><Relationship Id="rId51" Type="http://schemas.openxmlformats.org/officeDocument/2006/relationships/image" Target="../media/image111.png"/><Relationship Id="rId3" Type="http://schemas.openxmlformats.org/officeDocument/2006/relationships/image" Target="../media/image76.png"/><Relationship Id="rId12" Type="http://schemas.openxmlformats.org/officeDocument/2006/relationships/image" Target="../media/image78.png"/><Relationship Id="rId17" Type="http://schemas.openxmlformats.org/officeDocument/2006/relationships/image" Target="../media/image83.png"/><Relationship Id="rId25" Type="http://schemas.openxmlformats.org/officeDocument/2006/relationships/image" Target="../media/image90.png"/><Relationship Id="rId33" Type="http://schemas.openxmlformats.org/officeDocument/2006/relationships/image" Target="../media/image98.png"/><Relationship Id="rId38" Type="http://schemas.openxmlformats.org/officeDocument/2006/relationships/image" Target="../media/image57.png"/><Relationship Id="rId46" Type="http://schemas.openxmlformats.org/officeDocument/2006/relationships/image" Target="../media/image106.png"/><Relationship Id="rId20" Type="http://schemas.openxmlformats.org/officeDocument/2006/relationships/image" Target="../media/image86.png"/><Relationship Id="rId41" Type="http://schemas.openxmlformats.org/officeDocument/2006/relationships/image" Target="../media/image102.png"/><Relationship Id="rId1" Type="http://schemas.openxmlformats.org/officeDocument/2006/relationships/image" Target="../media/image62.png"/><Relationship Id="rId6" Type="http://schemas.openxmlformats.org/officeDocument/2006/relationships/image" Target="../media/image35.png"/></Relationships>
</file>

<file path=xl/drawings/_rels/vmlDrawing4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08.png"/><Relationship Id="rId18" Type="http://schemas.openxmlformats.org/officeDocument/2006/relationships/image" Target="../media/image37.png"/><Relationship Id="rId26" Type="http://schemas.openxmlformats.org/officeDocument/2006/relationships/image" Target="../media/image78.png"/><Relationship Id="rId39" Type="http://schemas.openxmlformats.org/officeDocument/2006/relationships/image" Target="../media/image99.png"/><Relationship Id="rId21" Type="http://schemas.openxmlformats.org/officeDocument/2006/relationships/image" Target="../media/image101.png"/><Relationship Id="rId34" Type="http://schemas.openxmlformats.org/officeDocument/2006/relationships/image" Target="../media/image83.png"/><Relationship Id="rId42" Type="http://schemas.openxmlformats.org/officeDocument/2006/relationships/image" Target="../media/image55.png"/><Relationship Id="rId47" Type="http://schemas.openxmlformats.org/officeDocument/2006/relationships/image" Target="../media/image103.png"/><Relationship Id="rId50" Type="http://schemas.openxmlformats.org/officeDocument/2006/relationships/image" Target="../media/image109.png"/><Relationship Id="rId7" Type="http://schemas.openxmlformats.org/officeDocument/2006/relationships/image" Target="../media/image106.png"/><Relationship Id="rId2" Type="http://schemas.openxmlformats.org/officeDocument/2006/relationships/image" Target="../media/image85.png"/><Relationship Id="rId16" Type="http://schemas.openxmlformats.org/officeDocument/2006/relationships/image" Target="../media/image79.png"/><Relationship Id="rId29" Type="http://schemas.openxmlformats.org/officeDocument/2006/relationships/image" Target="../media/image88.png"/><Relationship Id="rId11" Type="http://schemas.openxmlformats.org/officeDocument/2006/relationships/image" Target="../media/image35.png"/><Relationship Id="rId24" Type="http://schemas.openxmlformats.org/officeDocument/2006/relationships/image" Target="../media/image57.png"/><Relationship Id="rId32" Type="http://schemas.openxmlformats.org/officeDocument/2006/relationships/image" Target="../media/image56.png"/><Relationship Id="rId37" Type="http://schemas.openxmlformats.org/officeDocument/2006/relationships/image" Target="../media/image89.png"/><Relationship Id="rId40" Type="http://schemas.openxmlformats.org/officeDocument/2006/relationships/image" Target="../media/image90.png"/><Relationship Id="rId45" Type="http://schemas.openxmlformats.org/officeDocument/2006/relationships/image" Target="../media/image93.png"/><Relationship Id="rId5" Type="http://schemas.openxmlformats.org/officeDocument/2006/relationships/image" Target="../media/image76.png"/><Relationship Id="rId15" Type="http://schemas.openxmlformats.org/officeDocument/2006/relationships/image" Target="../media/image96.png"/><Relationship Id="rId23" Type="http://schemas.openxmlformats.org/officeDocument/2006/relationships/image" Target="../media/image107.png"/><Relationship Id="rId28" Type="http://schemas.openxmlformats.org/officeDocument/2006/relationships/image" Target="../media/image80.png"/><Relationship Id="rId36" Type="http://schemas.openxmlformats.org/officeDocument/2006/relationships/image" Target="../media/image87.png"/><Relationship Id="rId49" Type="http://schemas.openxmlformats.org/officeDocument/2006/relationships/image" Target="../media/image105.png"/><Relationship Id="rId10" Type="http://schemas.openxmlformats.org/officeDocument/2006/relationships/image" Target="../media/image100.png"/><Relationship Id="rId19" Type="http://schemas.openxmlformats.org/officeDocument/2006/relationships/image" Target="../media/image97.png"/><Relationship Id="rId31" Type="http://schemas.openxmlformats.org/officeDocument/2006/relationships/image" Target="../media/image95.png"/><Relationship Id="rId44" Type="http://schemas.openxmlformats.org/officeDocument/2006/relationships/image" Target="../media/image45.png"/><Relationship Id="rId4" Type="http://schemas.openxmlformats.org/officeDocument/2006/relationships/image" Target="../media/image75.png"/><Relationship Id="rId9" Type="http://schemas.openxmlformats.org/officeDocument/2006/relationships/image" Target="../media/image34.png"/><Relationship Id="rId14" Type="http://schemas.openxmlformats.org/officeDocument/2006/relationships/image" Target="../media/image111.png"/><Relationship Id="rId22" Type="http://schemas.openxmlformats.org/officeDocument/2006/relationships/image" Target="../media/image59.png"/><Relationship Id="rId27" Type="http://schemas.openxmlformats.org/officeDocument/2006/relationships/image" Target="../media/image98.png"/><Relationship Id="rId30" Type="http://schemas.openxmlformats.org/officeDocument/2006/relationships/image" Target="../media/image81.png"/><Relationship Id="rId35" Type="http://schemas.openxmlformats.org/officeDocument/2006/relationships/image" Target="../media/image84.png"/><Relationship Id="rId43" Type="http://schemas.openxmlformats.org/officeDocument/2006/relationships/image" Target="../media/image92.png"/><Relationship Id="rId48" Type="http://schemas.openxmlformats.org/officeDocument/2006/relationships/image" Target="../media/image104.png"/><Relationship Id="rId8" Type="http://schemas.openxmlformats.org/officeDocument/2006/relationships/image" Target="../media/image33.png"/><Relationship Id="rId51" Type="http://schemas.openxmlformats.org/officeDocument/2006/relationships/image" Target="../media/image110.png"/><Relationship Id="rId3" Type="http://schemas.openxmlformats.org/officeDocument/2006/relationships/image" Target="../media/image62.png"/><Relationship Id="rId12" Type="http://schemas.openxmlformats.org/officeDocument/2006/relationships/image" Target="../media/image32.png"/><Relationship Id="rId17" Type="http://schemas.openxmlformats.org/officeDocument/2006/relationships/image" Target="../media/image63.png"/><Relationship Id="rId25" Type="http://schemas.openxmlformats.org/officeDocument/2006/relationships/image" Target="../media/image77.png"/><Relationship Id="rId33" Type="http://schemas.openxmlformats.org/officeDocument/2006/relationships/image" Target="../media/image82.png"/><Relationship Id="rId38" Type="http://schemas.openxmlformats.org/officeDocument/2006/relationships/image" Target="../media/image48.png"/><Relationship Id="rId46" Type="http://schemas.openxmlformats.org/officeDocument/2006/relationships/image" Target="../media/image102.png"/><Relationship Id="rId20" Type="http://schemas.openxmlformats.org/officeDocument/2006/relationships/image" Target="../media/image64.png"/><Relationship Id="rId41" Type="http://schemas.openxmlformats.org/officeDocument/2006/relationships/image" Target="../media/image91.png"/><Relationship Id="rId1" Type="http://schemas.openxmlformats.org/officeDocument/2006/relationships/image" Target="../media/image86.png"/><Relationship Id="rId6" Type="http://schemas.openxmlformats.org/officeDocument/2006/relationships/image" Target="../media/image94.png"/></Relationships>
</file>

<file path=xl/drawings/_rels/vmlDrawing5.vml.rels><?xml version="1.0" encoding="UTF-8" standalone="yes"?>
<Relationships xmlns="http://schemas.openxmlformats.org/package/2006/relationships"><Relationship Id="rId13" Type="http://schemas.openxmlformats.org/officeDocument/2006/relationships/image" Target="../media/image57.png"/><Relationship Id="rId18" Type="http://schemas.openxmlformats.org/officeDocument/2006/relationships/image" Target="../media/image138.png"/><Relationship Id="rId26" Type="http://schemas.openxmlformats.org/officeDocument/2006/relationships/image" Target="../media/image146.png"/><Relationship Id="rId3" Type="http://schemas.openxmlformats.org/officeDocument/2006/relationships/image" Target="../media/image132.png"/><Relationship Id="rId21" Type="http://schemas.openxmlformats.org/officeDocument/2006/relationships/image" Target="../media/image141.png"/><Relationship Id="rId7" Type="http://schemas.openxmlformats.org/officeDocument/2006/relationships/image" Target="../media/image62.png"/><Relationship Id="rId12" Type="http://schemas.openxmlformats.org/officeDocument/2006/relationships/image" Target="../media/image35.png"/><Relationship Id="rId17" Type="http://schemas.openxmlformats.org/officeDocument/2006/relationships/image" Target="../media/image137.jpeg"/><Relationship Id="rId25" Type="http://schemas.openxmlformats.org/officeDocument/2006/relationships/image" Target="../media/image145.png"/><Relationship Id="rId33" Type="http://schemas.openxmlformats.org/officeDocument/2006/relationships/image" Target="../media/image64.png"/><Relationship Id="rId2" Type="http://schemas.openxmlformats.org/officeDocument/2006/relationships/image" Target="../media/image131.png"/><Relationship Id="rId16" Type="http://schemas.openxmlformats.org/officeDocument/2006/relationships/image" Target="../media/image37.png"/><Relationship Id="rId20" Type="http://schemas.openxmlformats.org/officeDocument/2006/relationships/image" Target="../media/image140.png"/><Relationship Id="rId29" Type="http://schemas.openxmlformats.org/officeDocument/2006/relationships/image" Target="../media/image148.jpeg"/><Relationship Id="rId1" Type="http://schemas.openxmlformats.org/officeDocument/2006/relationships/image" Target="../media/image130.png"/><Relationship Id="rId6" Type="http://schemas.openxmlformats.org/officeDocument/2006/relationships/image" Target="../media/image56.png"/><Relationship Id="rId11" Type="http://schemas.openxmlformats.org/officeDocument/2006/relationships/image" Target="../media/image86.png"/><Relationship Id="rId24" Type="http://schemas.openxmlformats.org/officeDocument/2006/relationships/image" Target="../media/image144.png"/><Relationship Id="rId32" Type="http://schemas.openxmlformats.org/officeDocument/2006/relationships/image" Target="../media/image151.png"/><Relationship Id="rId5" Type="http://schemas.openxmlformats.org/officeDocument/2006/relationships/image" Target="../media/image134.png"/><Relationship Id="rId15" Type="http://schemas.openxmlformats.org/officeDocument/2006/relationships/image" Target="../media/image48.png"/><Relationship Id="rId23" Type="http://schemas.openxmlformats.org/officeDocument/2006/relationships/image" Target="../media/image143.png"/><Relationship Id="rId28" Type="http://schemas.openxmlformats.org/officeDocument/2006/relationships/image" Target="../media/image147.jpeg"/><Relationship Id="rId10" Type="http://schemas.openxmlformats.org/officeDocument/2006/relationships/image" Target="../media/image85.png"/><Relationship Id="rId19" Type="http://schemas.openxmlformats.org/officeDocument/2006/relationships/image" Target="../media/image139.png"/><Relationship Id="rId31" Type="http://schemas.openxmlformats.org/officeDocument/2006/relationships/image" Target="../media/image150.png"/><Relationship Id="rId4" Type="http://schemas.openxmlformats.org/officeDocument/2006/relationships/image" Target="../media/image133.png"/><Relationship Id="rId9" Type="http://schemas.openxmlformats.org/officeDocument/2006/relationships/image" Target="../media/image136.png"/><Relationship Id="rId14" Type="http://schemas.openxmlformats.org/officeDocument/2006/relationships/image" Target="../media/image103.png"/><Relationship Id="rId22" Type="http://schemas.openxmlformats.org/officeDocument/2006/relationships/image" Target="../media/image142.png"/><Relationship Id="rId27" Type="http://schemas.openxmlformats.org/officeDocument/2006/relationships/image" Target="../media/image81.png"/><Relationship Id="rId30" Type="http://schemas.openxmlformats.org/officeDocument/2006/relationships/image" Target="../media/image149.png"/><Relationship Id="rId8" Type="http://schemas.openxmlformats.org/officeDocument/2006/relationships/image" Target="../media/image135.png"/></Relationships>
</file>

<file path=xl/drawings/_rels/vmlDrawing6.vml.rels><?xml version="1.0" encoding="UTF-8" standalone="yes"?>
<Relationships xmlns="http://schemas.openxmlformats.org/package/2006/relationships"><Relationship Id="rId13" Type="http://schemas.openxmlformats.org/officeDocument/2006/relationships/image" Target="../media/image148.jpeg"/><Relationship Id="rId18" Type="http://schemas.openxmlformats.org/officeDocument/2006/relationships/image" Target="../media/image103.png"/><Relationship Id="rId26" Type="http://schemas.openxmlformats.org/officeDocument/2006/relationships/image" Target="../media/image139.png"/><Relationship Id="rId3" Type="http://schemas.openxmlformats.org/officeDocument/2006/relationships/image" Target="../media/image131.png"/><Relationship Id="rId21" Type="http://schemas.openxmlformats.org/officeDocument/2006/relationships/image" Target="../media/image37.png"/><Relationship Id="rId7" Type="http://schemas.openxmlformats.org/officeDocument/2006/relationships/image" Target="../media/image134.png"/><Relationship Id="rId12" Type="http://schemas.openxmlformats.org/officeDocument/2006/relationships/image" Target="../media/image136.png"/><Relationship Id="rId17" Type="http://schemas.openxmlformats.org/officeDocument/2006/relationships/image" Target="../media/image57.png"/><Relationship Id="rId25" Type="http://schemas.openxmlformats.org/officeDocument/2006/relationships/image" Target="../media/image142.png"/><Relationship Id="rId33" Type="http://schemas.openxmlformats.org/officeDocument/2006/relationships/image" Target="../media/image81.png"/><Relationship Id="rId2" Type="http://schemas.openxmlformats.org/officeDocument/2006/relationships/image" Target="../media/image138.png"/><Relationship Id="rId16" Type="http://schemas.openxmlformats.org/officeDocument/2006/relationships/image" Target="../media/image35.png"/><Relationship Id="rId20" Type="http://schemas.openxmlformats.org/officeDocument/2006/relationships/image" Target="../media/image48.png"/><Relationship Id="rId29" Type="http://schemas.openxmlformats.org/officeDocument/2006/relationships/image" Target="../media/image144.png"/><Relationship Id="rId1" Type="http://schemas.openxmlformats.org/officeDocument/2006/relationships/image" Target="../media/image130.png"/><Relationship Id="rId6" Type="http://schemas.openxmlformats.org/officeDocument/2006/relationships/image" Target="../media/image56.png"/><Relationship Id="rId11" Type="http://schemas.openxmlformats.org/officeDocument/2006/relationships/image" Target="../media/image135.png"/><Relationship Id="rId24" Type="http://schemas.openxmlformats.org/officeDocument/2006/relationships/image" Target="../media/image143.png"/><Relationship Id="rId32" Type="http://schemas.openxmlformats.org/officeDocument/2006/relationships/image" Target="../media/image147.jpeg"/><Relationship Id="rId5" Type="http://schemas.openxmlformats.org/officeDocument/2006/relationships/image" Target="../media/image133.png"/><Relationship Id="rId15" Type="http://schemas.openxmlformats.org/officeDocument/2006/relationships/image" Target="../media/image86.png"/><Relationship Id="rId23" Type="http://schemas.openxmlformats.org/officeDocument/2006/relationships/image" Target="../media/image151.png"/><Relationship Id="rId28" Type="http://schemas.openxmlformats.org/officeDocument/2006/relationships/image" Target="../media/image141.png"/><Relationship Id="rId10" Type="http://schemas.openxmlformats.org/officeDocument/2006/relationships/image" Target="../media/image150.png"/><Relationship Id="rId19" Type="http://schemas.openxmlformats.org/officeDocument/2006/relationships/image" Target="../media/image64.png"/><Relationship Id="rId31" Type="http://schemas.openxmlformats.org/officeDocument/2006/relationships/image" Target="../media/image146.png"/><Relationship Id="rId4" Type="http://schemas.openxmlformats.org/officeDocument/2006/relationships/image" Target="../media/image132.png"/><Relationship Id="rId9" Type="http://schemas.openxmlformats.org/officeDocument/2006/relationships/image" Target="../media/image149.png"/><Relationship Id="rId14" Type="http://schemas.openxmlformats.org/officeDocument/2006/relationships/image" Target="../media/image85.png"/><Relationship Id="rId22" Type="http://schemas.openxmlformats.org/officeDocument/2006/relationships/image" Target="../media/image137.jpeg"/><Relationship Id="rId27" Type="http://schemas.openxmlformats.org/officeDocument/2006/relationships/image" Target="../media/image140.png"/><Relationship Id="rId30" Type="http://schemas.openxmlformats.org/officeDocument/2006/relationships/image" Target="../media/image145.png"/><Relationship Id="rId8" Type="http://schemas.openxmlformats.org/officeDocument/2006/relationships/image" Target="../media/image62.png"/></Relationships>
</file>

<file path=xl/drawings/_rels/vmlDrawing7.vml.rels><?xml version="1.0" encoding="UTF-8" standalone="yes"?>
<Relationships xmlns="http://schemas.openxmlformats.org/package/2006/relationships"><Relationship Id="rId8" Type="http://schemas.openxmlformats.org/officeDocument/2006/relationships/image" Target="../media/image84.png"/><Relationship Id="rId13" Type="http://schemas.openxmlformats.org/officeDocument/2006/relationships/image" Target="../media/image160.png"/><Relationship Id="rId18" Type="http://schemas.openxmlformats.org/officeDocument/2006/relationships/image" Target="../media/image59.png"/><Relationship Id="rId3" Type="http://schemas.openxmlformats.org/officeDocument/2006/relationships/image" Target="../media/image82.png"/><Relationship Id="rId7" Type="http://schemas.openxmlformats.org/officeDocument/2006/relationships/image" Target="../media/image83.png"/><Relationship Id="rId12" Type="http://schemas.openxmlformats.org/officeDocument/2006/relationships/image" Target="../media/image87.png"/><Relationship Id="rId17" Type="http://schemas.openxmlformats.org/officeDocument/2006/relationships/image" Target="../media/image162.png"/><Relationship Id="rId2" Type="http://schemas.openxmlformats.org/officeDocument/2006/relationships/image" Target="../media/image62.png"/><Relationship Id="rId16" Type="http://schemas.openxmlformats.org/officeDocument/2006/relationships/image" Target="../media/image56.png"/><Relationship Id="rId1" Type="http://schemas.openxmlformats.org/officeDocument/2006/relationships/image" Target="../media/image63.png"/><Relationship Id="rId6" Type="http://schemas.openxmlformats.org/officeDocument/2006/relationships/image" Target="../media/image37.png"/><Relationship Id="rId11" Type="http://schemas.openxmlformats.org/officeDocument/2006/relationships/image" Target="../media/image35.png"/><Relationship Id="rId5" Type="http://schemas.openxmlformats.org/officeDocument/2006/relationships/image" Target="../media/image48.png"/><Relationship Id="rId15" Type="http://schemas.openxmlformats.org/officeDocument/2006/relationships/image" Target="../media/image100.png"/><Relationship Id="rId10" Type="http://schemas.openxmlformats.org/officeDocument/2006/relationships/image" Target="../media/image86.png"/><Relationship Id="rId4" Type="http://schemas.openxmlformats.org/officeDocument/2006/relationships/image" Target="../media/image57.png"/><Relationship Id="rId9" Type="http://schemas.openxmlformats.org/officeDocument/2006/relationships/image" Target="../media/image85.png"/><Relationship Id="rId14" Type="http://schemas.openxmlformats.org/officeDocument/2006/relationships/image" Target="../media/image16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234412</xdr:colOff>
      <xdr:row>0</xdr:row>
      <xdr:rowOff>47625</xdr:rowOff>
    </xdr:from>
    <xdr:to>
      <xdr:col>12</xdr:col>
      <xdr:colOff>0</xdr:colOff>
      <xdr:row>6</xdr:row>
      <xdr:rowOff>66675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30412" y="47625"/>
          <a:ext cx="984788" cy="1162050"/>
        </a:xfrm>
        <a:prstGeom prst="rect">
          <a:avLst/>
        </a:prstGeom>
        <a:effectLst/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10</xdr:col>
      <xdr:colOff>27809</xdr:colOff>
      <xdr:row>39</xdr:row>
      <xdr:rowOff>141928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6123809" cy="75714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0</xdr:rowOff>
    </xdr:from>
    <xdr:to>
      <xdr:col>10</xdr:col>
      <xdr:colOff>265905</xdr:colOff>
      <xdr:row>80</xdr:row>
      <xdr:rowOff>180000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7620000"/>
          <a:ext cx="6361905" cy="78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0</xdr:rowOff>
    </xdr:from>
    <xdr:to>
      <xdr:col>10</xdr:col>
      <xdr:colOff>237333</xdr:colOff>
      <xdr:row>103</xdr:row>
      <xdr:rowOff>142333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15430500"/>
          <a:ext cx="6333333" cy="43333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</xdr:row>
      <xdr:rowOff>0</xdr:rowOff>
    </xdr:from>
    <xdr:to>
      <xdr:col>10</xdr:col>
      <xdr:colOff>94476</xdr:colOff>
      <xdr:row>127</xdr:row>
      <xdr:rowOff>56595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9812000"/>
          <a:ext cx="6190476" cy="44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127</xdr:row>
      <xdr:rowOff>61551</xdr:rowOff>
    </xdr:from>
    <xdr:to>
      <xdr:col>10</xdr:col>
      <xdr:colOff>76200</xdr:colOff>
      <xdr:row>166</xdr:row>
      <xdr:rowOff>75281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24255051"/>
          <a:ext cx="6172200" cy="74432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</xdr:row>
      <xdr:rowOff>0</xdr:rowOff>
    </xdr:from>
    <xdr:to>
      <xdr:col>8</xdr:col>
      <xdr:colOff>199390</xdr:colOff>
      <xdr:row>205</xdr:row>
      <xdr:rowOff>46714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31813500"/>
          <a:ext cx="5076190" cy="72857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205</xdr:row>
      <xdr:rowOff>62602</xdr:rowOff>
    </xdr:from>
    <xdr:to>
      <xdr:col>8</xdr:col>
      <xdr:colOff>76200</xdr:colOff>
      <xdr:row>228</xdr:row>
      <xdr:rowOff>94712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39115102"/>
          <a:ext cx="4953000" cy="441361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229</xdr:row>
      <xdr:rowOff>0</xdr:rowOff>
    </xdr:from>
    <xdr:to>
      <xdr:col>21</xdr:col>
      <xdr:colOff>417447</xdr:colOff>
      <xdr:row>249</xdr:row>
      <xdr:rowOff>94762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43624500"/>
          <a:ext cx="13219047" cy="39047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251</xdr:row>
      <xdr:rowOff>0</xdr:rowOff>
    </xdr:from>
    <xdr:to>
      <xdr:col>10</xdr:col>
      <xdr:colOff>465905</xdr:colOff>
      <xdr:row>289</xdr:row>
      <xdr:rowOff>8619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47815500"/>
          <a:ext cx="6561905" cy="724761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290</xdr:row>
      <xdr:rowOff>0</xdr:rowOff>
    </xdr:from>
    <xdr:to>
      <xdr:col>21</xdr:col>
      <xdr:colOff>398400</xdr:colOff>
      <xdr:row>309</xdr:row>
      <xdr:rowOff>151929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55245000"/>
          <a:ext cx="13200000" cy="37714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317</xdr:row>
      <xdr:rowOff>47625</xdr:rowOff>
    </xdr:from>
    <xdr:to>
      <xdr:col>8</xdr:col>
      <xdr:colOff>599390</xdr:colOff>
      <xdr:row>358</xdr:row>
      <xdr:rowOff>56173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60436125"/>
          <a:ext cx="5476190" cy="781904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310</xdr:row>
      <xdr:rowOff>0</xdr:rowOff>
    </xdr:from>
    <xdr:to>
      <xdr:col>8</xdr:col>
      <xdr:colOff>256533</xdr:colOff>
      <xdr:row>317</xdr:row>
      <xdr:rowOff>47452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59055000"/>
          <a:ext cx="5133333" cy="138095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359</xdr:row>
      <xdr:rowOff>0</xdr:rowOff>
    </xdr:from>
    <xdr:to>
      <xdr:col>9</xdr:col>
      <xdr:colOff>589790</xdr:colOff>
      <xdr:row>394</xdr:row>
      <xdr:rowOff>161071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0" y="68389500"/>
          <a:ext cx="6076190" cy="68285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395</xdr:row>
      <xdr:rowOff>0</xdr:rowOff>
    </xdr:from>
    <xdr:to>
      <xdr:col>20</xdr:col>
      <xdr:colOff>227047</xdr:colOff>
      <xdr:row>418</xdr:row>
      <xdr:rowOff>56595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75247500"/>
          <a:ext cx="12419047" cy="44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104775</xdr:rowOff>
    </xdr:from>
    <xdr:to>
      <xdr:col>9</xdr:col>
      <xdr:colOff>545121</xdr:colOff>
      <xdr:row>24</xdr:row>
      <xdr:rowOff>62492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0" y="4486275"/>
          <a:ext cx="6031521" cy="1482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</xdr:row>
      <xdr:rowOff>180975</xdr:rowOff>
    </xdr:from>
    <xdr:to>
      <xdr:col>10</xdr:col>
      <xdr:colOff>170667</xdr:colOff>
      <xdr:row>22</xdr:row>
      <xdr:rowOff>37618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EC4CF056-7905-0FB5-854F-E3715CB3E6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371475"/>
          <a:ext cx="6266667" cy="385714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248411</xdr:colOff>
      <xdr:row>0</xdr:row>
      <xdr:rowOff>124428</xdr:rowOff>
    </xdr:from>
    <xdr:to>
      <xdr:col>32</xdr:col>
      <xdr:colOff>298875</xdr:colOff>
      <xdr:row>9</xdr:row>
      <xdr:rowOff>154373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60411" y="124428"/>
          <a:ext cx="1868875" cy="2212036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186580</xdr:colOff>
      <xdr:row>1</xdr:row>
      <xdr:rowOff>107111</xdr:rowOff>
    </xdr:from>
    <xdr:to>
      <xdr:col>29</xdr:col>
      <xdr:colOff>105298</xdr:colOff>
      <xdr:row>25</xdr:row>
      <xdr:rowOff>81597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95259" y="760254"/>
          <a:ext cx="4939753" cy="4546486"/>
        </a:xfrm>
        <a:prstGeom prst="rect">
          <a:avLst/>
        </a:prstGeom>
      </xdr:spPr>
    </xdr:pic>
    <xdr:clientData/>
  </xdr:twoCellAnchor>
  <xdr:twoCellAnchor editAs="oneCell">
    <xdr:from>
      <xdr:col>21</xdr:col>
      <xdr:colOff>188964</xdr:colOff>
      <xdr:row>27</xdr:row>
      <xdr:rowOff>32034</xdr:rowOff>
    </xdr:from>
    <xdr:to>
      <xdr:col>29</xdr:col>
      <xdr:colOff>94567</xdr:colOff>
      <xdr:row>50</xdr:row>
      <xdr:rowOff>145650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97643" y="6100820"/>
          <a:ext cx="4926638" cy="4495116"/>
        </a:xfrm>
        <a:prstGeom prst="rect">
          <a:avLst/>
        </a:prstGeom>
      </xdr:spPr>
    </xdr:pic>
    <xdr:clientData/>
  </xdr:twoCellAnchor>
  <xdr:twoCellAnchor editAs="oneCell">
    <xdr:from>
      <xdr:col>21</xdr:col>
      <xdr:colOff>201796</xdr:colOff>
      <xdr:row>101</xdr:row>
      <xdr:rowOff>381572</xdr:rowOff>
    </xdr:from>
    <xdr:to>
      <xdr:col>29</xdr:col>
      <xdr:colOff>129118</xdr:colOff>
      <xdr:row>122</xdr:row>
      <xdr:rowOff>98841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10475" y="21472643"/>
          <a:ext cx="4948357" cy="4180412"/>
        </a:xfrm>
        <a:prstGeom prst="rect">
          <a:avLst/>
        </a:prstGeom>
      </xdr:spPr>
    </xdr:pic>
    <xdr:clientData/>
  </xdr:twoCellAnchor>
  <xdr:twoCellAnchor editAs="oneCell">
    <xdr:from>
      <xdr:col>21</xdr:col>
      <xdr:colOff>239299</xdr:colOff>
      <xdr:row>126</xdr:row>
      <xdr:rowOff>290095</xdr:rowOff>
    </xdr:from>
    <xdr:to>
      <xdr:col>29</xdr:col>
      <xdr:colOff>98515</xdr:colOff>
      <xdr:row>147</xdr:row>
      <xdr:rowOff>219858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7978" y="26606309"/>
          <a:ext cx="4880251" cy="4392906"/>
        </a:xfrm>
        <a:prstGeom prst="rect">
          <a:avLst/>
        </a:prstGeom>
      </xdr:spPr>
    </xdr:pic>
    <xdr:clientData/>
  </xdr:twoCellAnchor>
  <xdr:twoCellAnchor editAs="oneCell">
    <xdr:from>
      <xdr:col>21</xdr:col>
      <xdr:colOff>200873</xdr:colOff>
      <xdr:row>52</xdr:row>
      <xdr:rowOff>19542</xdr:rowOff>
    </xdr:from>
    <xdr:to>
      <xdr:col>29</xdr:col>
      <xdr:colOff>92528</xdr:colOff>
      <xdr:row>75</xdr:row>
      <xdr:rowOff>56493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09552" y="11313471"/>
          <a:ext cx="4912690" cy="4418451"/>
        </a:xfrm>
        <a:prstGeom prst="rect">
          <a:avLst/>
        </a:prstGeom>
      </xdr:spPr>
    </xdr:pic>
    <xdr:clientData/>
  </xdr:twoCellAnchor>
  <xdr:twoCellAnchor editAs="oneCell">
    <xdr:from>
      <xdr:col>21</xdr:col>
      <xdr:colOff>211446</xdr:colOff>
      <xdr:row>77</xdr:row>
      <xdr:rowOff>177990</xdr:rowOff>
    </xdr:from>
    <xdr:to>
      <xdr:col>29</xdr:col>
      <xdr:colOff>140873</xdr:colOff>
      <xdr:row>100</xdr:row>
      <xdr:rowOff>37081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20125" y="16697061"/>
          <a:ext cx="4950462" cy="4240591"/>
        </a:xfrm>
        <a:prstGeom prst="rect">
          <a:avLst/>
        </a:prstGeom>
      </xdr:spPr>
    </xdr:pic>
    <xdr:clientData/>
  </xdr:twoCellAnchor>
  <xdr:twoCellAnchor editAs="oneCell">
    <xdr:from>
      <xdr:col>21</xdr:col>
      <xdr:colOff>240083</xdr:colOff>
      <xdr:row>147</xdr:row>
      <xdr:rowOff>605370</xdr:rowOff>
    </xdr:from>
    <xdr:to>
      <xdr:col>29</xdr:col>
      <xdr:colOff>82328</xdr:colOff>
      <xdr:row>172</xdr:row>
      <xdr:rowOff>128683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8762" y="31384727"/>
          <a:ext cx="4863280" cy="4748456"/>
        </a:xfrm>
        <a:prstGeom prst="rect">
          <a:avLst/>
        </a:prstGeom>
      </xdr:spPr>
    </xdr:pic>
    <xdr:clientData/>
  </xdr:twoCellAnchor>
  <xdr:twoCellAnchor editAs="oneCell">
    <xdr:from>
      <xdr:col>21</xdr:col>
      <xdr:colOff>234723</xdr:colOff>
      <xdr:row>172</xdr:row>
      <xdr:rowOff>425931</xdr:rowOff>
    </xdr:from>
    <xdr:to>
      <xdr:col>29</xdr:col>
      <xdr:colOff>91849</xdr:colOff>
      <xdr:row>190</xdr:row>
      <xdr:rowOff>169187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243402" y="36430431"/>
          <a:ext cx="4878161" cy="363489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62684</xdr:colOff>
      <xdr:row>175</xdr:row>
      <xdr:rowOff>70830</xdr:rowOff>
    </xdr:from>
    <xdr:to>
      <xdr:col>28</xdr:col>
      <xdr:colOff>376820</xdr:colOff>
      <xdr:row>191</xdr:row>
      <xdr:rowOff>148348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95363" y="36660437"/>
          <a:ext cx="5103850" cy="3588161"/>
        </a:xfrm>
        <a:prstGeom prst="rect">
          <a:avLst/>
        </a:prstGeom>
      </xdr:spPr>
    </xdr:pic>
    <xdr:clientData/>
  </xdr:twoCellAnchor>
  <xdr:twoCellAnchor editAs="oneCell">
    <xdr:from>
      <xdr:col>25</xdr:col>
      <xdr:colOff>317219</xdr:colOff>
      <xdr:row>188</xdr:row>
      <xdr:rowOff>18873</xdr:rowOff>
    </xdr:from>
    <xdr:to>
      <xdr:col>30</xdr:col>
      <xdr:colOff>347454</xdr:colOff>
      <xdr:row>204</xdr:row>
      <xdr:rowOff>19275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67219" y="39547623"/>
          <a:ext cx="3989914" cy="3511045"/>
        </a:xfrm>
        <a:prstGeom prst="rect">
          <a:avLst/>
        </a:prstGeom>
      </xdr:spPr>
    </xdr:pic>
    <xdr:clientData/>
  </xdr:twoCellAnchor>
  <xdr:twoCellAnchor editAs="oneCell">
    <xdr:from>
      <xdr:col>21</xdr:col>
      <xdr:colOff>44904</xdr:colOff>
      <xdr:row>127</xdr:row>
      <xdr:rowOff>586076</xdr:rowOff>
    </xdr:from>
    <xdr:to>
      <xdr:col>28</xdr:col>
      <xdr:colOff>314099</xdr:colOff>
      <xdr:row>146</xdr:row>
      <xdr:rowOff>80080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7583" y="27106397"/>
          <a:ext cx="5058909" cy="3576147"/>
        </a:xfrm>
        <a:prstGeom prst="rect">
          <a:avLst/>
        </a:prstGeom>
      </xdr:spPr>
    </xdr:pic>
    <xdr:clientData/>
  </xdr:twoCellAnchor>
  <xdr:twoCellAnchor editAs="oneCell">
    <xdr:from>
      <xdr:col>21</xdr:col>
      <xdr:colOff>33769</xdr:colOff>
      <xdr:row>146</xdr:row>
      <xdr:rowOff>131331</xdr:rowOff>
    </xdr:from>
    <xdr:to>
      <xdr:col>28</xdr:col>
      <xdr:colOff>322325</xdr:colOff>
      <xdr:row>163</xdr:row>
      <xdr:rowOff>117252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66448" y="30733795"/>
          <a:ext cx="5078270" cy="3687064"/>
        </a:xfrm>
        <a:prstGeom prst="rect">
          <a:avLst/>
        </a:prstGeom>
      </xdr:spPr>
    </xdr:pic>
    <xdr:clientData/>
  </xdr:twoCellAnchor>
  <xdr:twoCellAnchor editAs="oneCell">
    <xdr:from>
      <xdr:col>25</xdr:col>
      <xdr:colOff>283060</xdr:colOff>
      <xdr:row>156</xdr:row>
      <xdr:rowOff>85890</xdr:rowOff>
    </xdr:from>
    <xdr:to>
      <xdr:col>30</xdr:col>
      <xdr:colOff>531910</xdr:colOff>
      <xdr:row>175</xdr:row>
      <xdr:rowOff>65309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33060" y="33055997"/>
          <a:ext cx="4208529" cy="3598919"/>
        </a:xfrm>
        <a:prstGeom prst="rect">
          <a:avLst/>
        </a:prstGeom>
      </xdr:spPr>
    </xdr:pic>
    <xdr:clientData/>
  </xdr:twoCellAnchor>
  <xdr:twoCellAnchor editAs="oneCell">
    <xdr:from>
      <xdr:col>21</xdr:col>
      <xdr:colOff>46223</xdr:colOff>
      <xdr:row>203</xdr:row>
      <xdr:rowOff>642936</xdr:rowOff>
    </xdr:from>
    <xdr:to>
      <xdr:col>30</xdr:col>
      <xdr:colOff>320067</xdr:colOff>
      <xdr:row>230</xdr:row>
      <xdr:rowOff>40715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578902" y="43029186"/>
          <a:ext cx="6750844" cy="5003922"/>
        </a:xfrm>
        <a:prstGeom prst="rect">
          <a:avLst/>
        </a:prstGeom>
      </xdr:spPr>
    </xdr:pic>
    <xdr:clientData/>
  </xdr:twoCellAnchor>
  <xdr:twoCellAnchor editAs="oneCell">
    <xdr:from>
      <xdr:col>21</xdr:col>
      <xdr:colOff>23813</xdr:colOff>
      <xdr:row>230</xdr:row>
      <xdr:rowOff>566738</xdr:rowOff>
    </xdr:from>
    <xdr:to>
      <xdr:col>30</xdr:col>
      <xdr:colOff>297656</xdr:colOff>
      <xdr:row>255</xdr:row>
      <xdr:rowOff>159934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013907" y="26653332"/>
          <a:ext cx="6703218" cy="4820040"/>
        </a:xfrm>
        <a:prstGeom prst="rect">
          <a:avLst/>
        </a:prstGeom>
      </xdr:spPr>
    </xdr:pic>
    <xdr:clientData/>
  </xdr:twoCellAnchor>
  <xdr:twoCellAnchor editAs="oneCell">
    <xdr:from>
      <xdr:col>21</xdr:col>
      <xdr:colOff>43542</xdr:colOff>
      <xdr:row>103</xdr:row>
      <xdr:rowOff>21772</xdr:rowOff>
    </xdr:from>
    <xdr:to>
      <xdr:col>28</xdr:col>
      <xdr:colOff>325786</xdr:colOff>
      <xdr:row>122</xdr:row>
      <xdr:rowOff>46977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CE38C665-9F12-4CEA-9AC6-3B9455A81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576221" y="21970093"/>
          <a:ext cx="5071958" cy="3644705"/>
        </a:xfrm>
        <a:prstGeom prst="rect">
          <a:avLst/>
        </a:prstGeom>
      </xdr:spPr>
    </xdr:pic>
    <xdr:clientData/>
  </xdr:twoCellAnchor>
  <xdr:twoCellAnchor editAs="oneCell">
    <xdr:from>
      <xdr:col>21</xdr:col>
      <xdr:colOff>57114</xdr:colOff>
      <xdr:row>3</xdr:row>
      <xdr:rowOff>136073</xdr:rowOff>
    </xdr:from>
    <xdr:to>
      <xdr:col>29</xdr:col>
      <xdr:colOff>144992</xdr:colOff>
      <xdr:row>20</xdr:row>
      <xdr:rowOff>27214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485CFCEF-F576-413F-A681-B3A81BA7C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589793" y="1170216"/>
          <a:ext cx="5721235" cy="3129641"/>
        </a:xfrm>
        <a:prstGeom prst="rect">
          <a:avLst/>
        </a:prstGeom>
      </xdr:spPr>
    </xdr:pic>
    <xdr:clientData/>
  </xdr:twoCellAnchor>
  <xdr:twoCellAnchor editAs="oneCell">
    <xdr:from>
      <xdr:col>28</xdr:col>
      <xdr:colOff>338941</xdr:colOff>
      <xdr:row>0</xdr:row>
      <xdr:rowOff>34638</xdr:rowOff>
    </xdr:from>
    <xdr:to>
      <xdr:col>30</xdr:col>
      <xdr:colOff>445554</xdr:colOff>
      <xdr:row>8</xdr:row>
      <xdr:rowOff>130653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661334" y="34638"/>
          <a:ext cx="1793899" cy="2082658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40822</xdr:colOff>
      <xdr:row>29</xdr:row>
      <xdr:rowOff>108857</xdr:rowOff>
    </xdr:from>
    <xdr:to>
      <xdr:col>30</xdr:col>
      <xdr:colOff>722819</xdr:colOff>
      <xdr:row>47</xdr:row>
      <xdr:rowOff>25131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67F3AF31-A291-611D-4087-BC1D266A3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6573501" y="6558643"/>
          <a:ext cx="7158997" cy="334527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62684</xdr:colOff>
      <xdr:row>175</xdr:row>
      <xdr:rowOff>136070</xdr:rowOff>
    </xdr:from>
    <xdr:to>
      <xdr:col>28</xdr:col>
      <xdr:colOff>356519</xdr:colOff>
      <xdr:row>192</xdr:row>
      <xdr:rowOff>70786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D1024711-7FD2-427E-BDAE-3C7C05081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64041" y="26588356"/>
          <a:ext cx="4580085" cy="3635859"/>
        </a:xfrm>
        <a:prstGeom prst="rect">
          <a:avLst/>
        </a:prstGeom>
      </xdr:spPr>
    </xdr:pic>
    <xdr:clientData/>
  </xdr:twoCellAnchor>
  <xdr:twoCellAnchor editAs="oneCell">
    <xdr:from>
      <xdr:col>25</xdr:col>
      <xdr:colOff>317220</xdr:colOff>
      <xdr:row>188</xdr:row>
      <xdr:rowOff>32477</xdr:rowOff>
    </xdr:from>
    <xdr:to>
      <xdr:col>32</xdr:col>
      <xdr:colOff>54428</xdr:colOff>
      <xdr:row>205</xdr:row>
      <xdr:rowOff>5986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F0897A05-55E2-455A-BAC8-4DB0ED3247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67863" y="29423906"/>
          <a:ext cx="4023458" cy="3674651"/>
        </a:xfrm>
        <a:prstGeom prst="rect">
          <a:avLst/>
        </a:prstGeom>
      </xdr:spPr>
    </xdr:pic>
    <xdr:clientData/>
  </xdr:twoCellAnchor>
  <xdr:twoCellAnchor editAs="oneCell">
    <xdr:from>
      <xdr:col>21</xdr:col>
      <xdr:colOff>44904</xdr:colOff>
      <xdr:row>128</xdr:row>
      <xdr:rowOff>55397</xdr:rowOff>
    </xdr:from>
    <xdr:to>
      <xdr:col>29</xdr:col>
      <xdr:colOff>209323</xdr:colOff>
      <xdr:row>148</xdr:row>
      <xdr:rowOff>51504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6C875F8C-AE48-4A98-91F6-FD637FB63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37404" y="17091540"/>
          <a:ext cx="5062991" cy="3806107"/>
        </a:xfrm>
        <a:prstGeom prst="rect">
          <a:avLst/>
        </a:prstGeom>
      </xdr:spPr>
    </xdr:pic>
    <xdr:clientData/>
  </xdr:twoCellAnchor>
  <xdr:twoCellAnchor editAs="oneCell">
    <xdr:from>
      <xdr:col>21</xdr:col>
      <xdr:colOff>33769</xdr:colOff>
      <xdr:row>148</xdr:row>
      <xdr:rowOff>139434</xdr:rowOff>
    </xdr:from>
    <xdr:to>
      <xdr:col>28</xdr:col>
      <xdr:colOff>353786</xdr:colOff>
      <xdr:row>166</xdr:row>
      <xdr:rowOff>12477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D7E5C7EB-B876-4920-A3D4-9D6AC44C7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26269" y="20985577"/>
          <a:ext cx="4606267" cy="3764686"/>
        </a:xfrm>
        <a:prstGeom prst="rect">
          <a:avLst/>
        </a:prstGeom>
      </xdr:spPr>
    </xdr:pic>
    <xdr:clientData/>
  </xdr:twoCellAnchor>
  <xdr:twoCellAnchor editAs="oneCell">
    <xdr:from>
      <xdr:col>25</xdr:col>
      <xdr:colOff>283060</xdr:colOff>
      <xdr:row>156</xdr:row>
      <xdr:rowOff>140319</xdr:rowOff>
    </xdr:from>
    <xdr:to>
      <xdr:col>32</xdr:col>
      <xdr:colOff>208060</xdr:colOff>
      <xdr:row>175</xdr:row>
      <xdr:rowOff>119738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D5A7A997-2710-46D3-AAC6-66930B2B2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24846" y="22973105"/>
          <a:ext cx="4211250" cy="3598919"/>
        </a:xfrm>
        <a:prstGeom prst="rect">
          <a:avLst/>
        </a:prstGeom>
      </xdr:spPr>
    </xdr:pic>
    <xdr:clientData/>
  </xdr:twoCellAnchor>
  <xdr:twoCellAnchor editAs="oneCell">
    <xdr:from>
      <xdr:col>21</xdr:col>
      <xdr:colOff>46224</xdr:colOff>
      <xdr:row>204</xdr:row>
      <xdr:rowOff>188404</xdr:rowOff>
    </xdr:from>
    <xdr:to>
      <xdr:col>30</xdr:col>
      <xdr:colOff>544287</xdr:colOff>
      <xdr:row>228</xdr:row>
      <xdr:rowOff>32550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DF531FAF-B854-4F56-A619-D4EE946FE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238724" y="33090475"/>
          <a:ext cx="6008956" cy="4906004"/>
        </a:xfrm>
        <a:prstGeom prst="rect">
          <a:avLst/>
        </a:prstGeom>
      </xdr:spPr>
    </xdr:pic>
    <xdr:clientData/>
  </xdr:twoCellAnchor>
  <xdr:twoCellAnchor editAs="oneCell">
    <xdr:from>
      <xdr:col>21</xdr:col>
      <xdr:colOff>23813</xdr:colOff>
      <xdr:row>231</xdr:row>
      <xdr:rowOff>163286</xdr:rowOff>
    </xdr:from>
    <xdr:to>
      <xdr:col>31</xdr:col>
      <xdr:colOff>930</xdr:colOff>
      <xdr:row>255</xdr:row>
      <xdr:rowOff>164017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E11433E7-795F-4258-9D59-961C5843F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216313" y="39324643"/>
          <a:ext cx="6093128" cy="4572731"/>
        </a:xfrm>
        <a:prstGeom prst="rect">
          <a:avLst/>
        </a:prstGeom>
      </xdr:spPr>
    </xdr:pic>
    <xdr:clientData/>
  </xdr:twoCellAnchor>
  <xdr:twoCellAnchor editAs="oneCell">
    <xdr:from>
      <xdr:col>21</xdr:col>
      <xdr:colOff>43542</xdr:colOff>
      <xdr:row>103</xdr:row>
      <xdr:rowOff>62593</xdr:rowOff>
    </xdr:from>
    <xdr:to>
      <xdr:col>29</xdr:col>
      <xdr:colOff>221010</xdr:colOff>
      <xdr:row>122</xdr:row>
      <xdr:rowOff>87798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E49AC88F-4493-4567-B0C2-72B728BF06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36042" y="11710307"/>
          <a:ext cx="5076040" cy="3644705"/>
        </a:xfrm>
        <a:prstGeom prst="rect">
          <a:avLst/>
        </a:prstGeom>
      </xdr:spPr>
    </xdr:pic>
    <xdr:clientData/>
  </xdr:twoCellAnchor>
  <xdr:twoCellAnchor editAs="oneCell">
    <xdr:from>
      <xdr:col>21</xdr:col>
      <xdr:colOff>57114</xdr:colOff>
      <xdr:row>3</xdr:row>
      <xdr:rowOff>136073</xdr:rowOff>
    </xdr:from>
    <xdr:to>
      <xdr:col>30</xdr:col>
      <xdr:colOff>268817</xdr:colOff>
      <xdr:row>20</xdr:row>
      <xdr:rowOff>27214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913BE4CD-DA9D-4196-A98A-8AA19BE25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6535364" y="1174298"/>
          <a:ext cx="5698103" cy="3129641"/>
        </a:xfrm>
        <a:prstGeom prst="rect">
          <a:avLst/>
        </a:prstGeom>
      </xdr:spPr>
    </xdr:pic>
    <xdr:clientData/>
  </xdr:twoCellAnchor>
  <xdr:twoCellAnchor editAs="oneCell">
    <xdr:from>
      <xdr:col>21</xdr:col>
      <xdr:colOff>40822</xdr:colOff>
      <xdr:row>29</xdr:row>
      <xdr:rowOff>108855</xdr:rowOff>
    </xdr:from>
    <xdr:to>
      <xdr:col>32</xdr:col>
      <xdr:colOff>465644</xdr:colOff>
      <xdr:row>47</xdr:row>
      <xdr:rowOff>25129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EC924CD9-EEE6-4A78-8114-4644F1E6A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6342179" y="6721926"/>
          <a:ext cx="7160358" cy="3345274"/>
        </a:xfrm>
        <a:prstGeom prst="rect">
          <a:avLst/>
        </a:prstGeom>
      </xdr:spPr>
    </xdr:pic>
    <xdr:clientData/>
  </xdr:twoCellAnchor>
  <xdr:twoCellAnchor editAs="oneCell">
    <xdr:from>
      <xdr:col>29</xdr:col>
      <xdr:colOff>163287</xdr:colOff>
      <xdr:row>0</xdr:row>
      <xdr:rowOff>95250</xdr:rowOff>
    </xdr:from>
    <xdr:to>
      <xdr:col>32</xdr:col>
      <xdr:colOff>213752</xdr:colOff>
      <xdr:row>9</xdr:row>
      <xdr:rowOff>125195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73830225-0731-4E8B-83B2-059D3ADA5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254358" y="95250"/>
          <a:ext cx="1887429" cy="2207088"/>
        </a:xfrm>
        <a:prstGeom prst="rect">
          <a:avLst/>
        </a:prstGeom>
        <a:effectLst/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96608</xdr:colOff>
      <xdr:row>0</xdr:row>
      <xdr:rowOff>95251</xdr:rowOff>
    </xdr:from>
    <xdr:to>
      <xdr:col>28</xdr:col>
      <xdr:colOff>406754</xdr:colOff>
      <xdr:row>16</xdr:row>
      <xdr:rowOff>2907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2358" y="95251"/>
          <a:ext cx="4560677" cy="3420000"/>
        </a:xfrm>
        <a:prstGeom prst="rect">
          <a:avLst/>
        </a:prstGeom>
      </xdr:spPr>
    </xdr:pic>
    <xdr:clientData/>
  </xdr:twoCellAnchor>
  <xdr:twoCellAnchor editAs="oneCell">
    <xdr:from>
      <xdr:col>26</xdr:col>
      <xdr:colOff>1019</xdr:colOff>
      <xdr:row>15</xdr:row>
      <xdr:rowOff>187098</xdr:rowOff>
    </xdr:from>
    <xdr:to>
      <xdr:col>32</xdr:col>
      <xdr:colOff>444419</xdr:colOff>
      <xdr:row>32</xdr:row>
      <xdr:rowOff>346827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42805" y="3507241"/>
          <a:ext cx="4117328" cy="3425443"/>
        </a:xfrm>
        <a:prstGeom prst="rect">
          <a:avLst/>
        </a:prstGeom>
      </xdr:spPr>
    </xdr:pic>
    <xdr:clientData/>
  </xdr:twoCellAnchor>
  <xdr:twoCellAnchor editAs="oneCell">
    <xdr:from>
      <xdr:col>21</xdr:col>
      <xdr:colOff>61568</xdr:colOff>
      <xdr:row>32</xdr:row>
      <xdr:rowOff>505847</xdr:rowOff>
    </xdr:from>
    <xdr:to>
      <xdr:col>28</xdr:col>
      <xdr:colOff>354937</xdr:colOff>
      <xdr:row>50</xdr:row>
      <xdr:rowOff>73664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87318" y="7090003"/>
          <a:ext cx="4543900" cy="3473067"/>
        </a:xfrm>
        <a:prstGeom prst="rect">
          <a:avLst/>
        </a:prstGeom>
      </xdr:spPr>
    </xdr:pic>
    <xdr:clientData/>
  </xdr:twoCellAnchor>
  <xdr:twoCellAnchor editAs="oneCell">
    <xdr:from>
      <xdr:col>26</xdr:col>
      <xdr:colOff>214651</xdr:colOff>
      <xdr:row>44</xdr:row>
      <xdr:rowOff>10546</xdr:rowOff>
    </xdr:from>
    <xdr:to>
      <xdr:col>33</xdr:col>
      <xdr:colOff>35927</xdr:colOff>
      <xdr:row>61</xdr:row>
      <xdr:rowOff>159388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76495" y="9345046"/>
          <a:ext cx="4071807" cy="3411155"/>
        </a:xfrm>
        <a:prstGeom prst="rect">
          <a:avLst/>
        </a:prstGeom>
      </xdr:spPr>
    </xdr:pic>
    <xdr:clientData/>
  </xdr:twoCellAnchor>
  <xdr:twoCellAnchor editAs="oneCell">
    <xdr:from>
      <xdr:col>21</xdr:col>
      <xdr:colOff>32654</xdr:colOff>
      <xdr:row>64</xdr:row>
      <xdr:rowOff>545647</xdr:rowOff>
    </xdr:from>
    <xdr:to>
      <xdr:col>28</xdr:col>
      <xdr:colOff>313129</xdr:colOff>
      <xdr:row>82</xdr:row>
      <xdr:rowOff>72644</xdr:rowOff>
    </xdr:to>
    <xdr:pic>
      <xdr:nvPicPr>
        <xdr:cNvPr id="36" name="Obraz 35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58404" y="13713960"/>
          <a:ext cx="4531006" cy="3444153"/>
        </a:xfrm>
        <a:prstGeom prst="rect">
          <a:avLst/>
        </a:prstGeom>
      </xdr:spPr>
    </xdr:pic>
    <xdr:clientData/>
  </xdr:twoCellAnchor>
  <xdr:twoCellAnchor editAs="oneCell">
    <xdr:from>
      <xdr:col>26</xdr:col>
      <xdr:colOff>19047</xdr:colOff>
      <xdr:row>77</xdr:row>
      <xdr:rowOff>78922</xdr:rowOff>
    </xdr:from>
    <xdr:to>
      <xdr:col>33</xdr:col>
      <xdr:colOff>283195</xdr:colOff>
      <xdr:row>95</xdr:row>
      <xdr:rowOff>50872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580891" y="16199985"/>
          <a:ext cx="4514679" cy="3412856"/>
        </a:xfrm>
        <a:prstGeom prst="rect">
          <a:avLst/>
        </a:prstGeom>
      </xdr:spPr>
    </xdr:pic>
    <xdr:clientData/>
  </xdr:twoCellAnchor>
  <xdr:twoCellAnchor editAs="oneCell">
    <xdr:from>
      <xdr:col>21</xdr:col>
      <xdr:colOff>88783</xdr:colOff>
      <xdr:row>96</xdr:row>
      <xdr:rowOff>269692</xdr:rowOff>
    </xdr:from>
    <xdr:to>
      <xdr:col>28</xdr:col>
      <xdr:colOff>432264</xdr:colOff>
      <xdr:row>113</xdr:row>
      <xdr:rowOff>523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14533" y="20022161"/>
          <a:ext cx="4594012" cy="3447962"/>
        </a:xfrm>
        <a:prstGeom prst="rect">
          <a:avLst/>
        </a:prstGeom>
      </xdr:spPr>
    </xdr:pic>
    <xdr:clientData/>
  </xdr:twoCellAnchor>
  <xdr:twoCellAnchor editAs="oneCell">
    <xdr:from>
      <xdr:col>26</xdr:col>
      <xdr:colOff>122802</xdr:colOff>
      <xdr:row>109</xdr:row>
      <xdr:rowOff>140153</xdr:rowOff>
    </xdr:from>
    <xdr:to>
      <xdr:col>33</xdr:col>
      <xdr:colOff>391206</xdr:colOff>
      <xdr:row>127</xdr:row>
      <xdr:rowOff>63117</xdr:rowOff>
    </xdr:to>
    <xdr:pic>
      <xdr:nvPicPr>
        <xdr:cNvPr id="39" name="Obraz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4646" y="22857278"/>
          <a:ext cx="4518935" cy="3351964"/>
        </a:xfrm>
        <a:prstGeom prst="rect">
          <a:avLst/>
        </a:prstGeom>
      </xdr:spPr>
    </xdr:pic>
    <xdr:clientData/>
  </xdr:twoCellAnchor>
  <xdr:twoCellAnchor editAs="oneCell">
    <xdr:from>
      <xdr:col>21</xdr:col>
      <xdr:colOff>49663</xdr:colOff>
      <xdr:row>128</xdr:row>
      <xdr:rowOff>193222</xdr:rowOff>
    </xdr:from>
    <xdr:to>
      <xdr:col>28</xdr:col>
      <xdr:colOff>365854</xdr:colOff>
      <xdr:row>144</xdr:row>
      <xdr:rowOff>128433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75413" y="26529847"/>
          <a:ext cx="4566722" cy="3471367"/>
        </a:xfrm>
        <a:prstGeom prst="rect">
          <a:avLst/>
        </a:prstGeom>
      </xdr:spPr>
    </xdr:pic>
    <xdr:clientData/>
  </xdr:twoCellAnchor>
  <xdr:twoCellAnchor editAs="oneCell">
    <xdr:from>
      <xdr:col>26</xdr:col>
      <xdr:colOff>119399</xdr:colOff>
      <xdr:row>139</xdr:row>
      <xdr:rowOff>5330</xdr:rowOff>
    </xdr:from>
    <xdr:to>
      <xdr:col>33</xdr:col>
      <xdr:colOff>392906</xdr:colOff>
      <xdr:row>157</xdr:row>
      <xdr:rowOff>116868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81243" y="28925611"/>
          <a:ext cx="4524038" cy="3552445"/>
        </a:xfrm>
        <a:prstGeom prst="rect">
          <a:avLst/>
        </a:prstGeom>
      </xdr:spPr>
    </xdr:pic>
    <xdr:clientData/>
  </xdr:twoCellAnchor>
  <xdr:twoCellAnchor editAs="oneCell">
    <xdr:from>
      <xdr:col>21</xdr:col>
      <xdr:colOff>110895</xdr:colOff>
      <xdr:row>159</xdr:row>
      <xdr:rowOff>171113</xdr:rowOff>
    </xdr:from>
    <xdr:to>
      <xdr:col>29</xdr:col>
      <xdr:colOff>202993</xdr:colOff>
      <xdr:row>175</xdr:row>
      <xdr:rowOff>106323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36645" y="32913301"/>
          <a:ext cx="4949848" cy="3447553"/>
        </a:xfrm>
        <a:prstGeom prst="rect">
          <a:avLst/>
        </a:prstGeom>
      </xdr:spPr>
    </xdr:pic>
    <xdr:clientData/>
  </xdr:twoCellAnchor>
  <xdr:twoCellAnchor editAs="oneCell">
    <xdr:from>
      <xdr:col>26</xdr:col>
      <xdr:colOff>97289</xdr:colOff>
      <xdr:row>172</xdr:row>
      <xdr:rowOff>90830</xdr:rowOff>
    </xdr:from>
    <xdr:to>
      <xdr:col>33</xdr:col>
      <xdr:colOff>440961</xdr:colOff>
      <xdr:row>190</xdr:row>
      <xdr:rowOff>68563</xdr:rowOff>
    </xdr:to>
    <xdr:pic>
      <xdr:nvPicPr>
        <xdr:cNvPr id="43" name="Obraz 42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59133" y="35773861"/>
          <a:ext cx="4594203" cy="3430546"/>
        </a:xfrm>
        <a:prstGeom prst="rect">
          <a:avLst/>
        </a:prstGeom>
      </xdr:spPr>
    </xdr:pic>
    <xdr:clientData/>
  </xdr:twoCellAnchor>
  <xdr:twoCellAnchor editAs="oneCell">
    <xdr:from>
      <xdr:col>21</xdr:col>
      <xdr:colOff>98988</xdr:colOff>
      <xdr:row>190</xdr:row>
      <xdr:rowOff>79262</xdr:rowOff>
    </xdr:from>
    <xdr:to>
      <xdr:col>29</xdr:col>
      <xdr:colOff>206860</xdr:colOff>
      <xdr:row>206</xdr:row>
      <xdr:rowOff>32162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24738" y="39215106"/>
          <a:ext cx="4965622" cy="3489056"/>
        </a:xfrm>
        <a:prstGeom prst="rect">
          <a:avLst/>
        </a:prstGeom>
      </xdr:spPr>
    </xdr:pic>
    <xdr:clientData/>
  </xdr:twoCellAnchor>
  <xdr:twoCellAnchor editAs="oneCell">
    <xdr:from>
      <xdr:col>26</xdr:col>
      <xdr:colOff>71775</xdr:colOff>
      <xdr:row>201</xdr:row>
      <xdr:rowOff>144052</xdr:rowOff>
    </xdr:from>
    <xdr:to>
      <xdr:col>33</xdr:col>
      <xdr:colOff>433182</xdr:colOff>
      <xdr:row>217</xdr:row>
      <xdr:rowOff>566738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33619" y="41863552"/>
          <a:ext cx="4611938" cy="3482592"/>
        </a:xfrm>
        <a:prstGeom prst="rect">
          <a:avLst/>
        </a:prstGeom>
      </xdr:spPr>
    </xdr:pic>
    <xdr:clientData/>
  </xdr:twoCellAnchor>
  <xdr:twoCellAnchor editAs="oneCell">
    <xdr:from>
      <xdr:col>21</xdr:col>
      <xdr:colOff>145937</xdr:colOff>
      <xdr:row>217</xdr:row>
      <xdr:rowOff>596332</xdr:rowOff>
    </xdr:from>
    <xdr:to>
      <xdr:col>28</xdr:col>
      <xdr:colOff>272110</xdr:colOff>
      <xdr:row>239</xdr:row>
      <xdr:rowOff>46869</xdr:rowOff>
    </xdr:to>
    <xdr:pic>
      <xdr:nvPicPr>
        <xdr:cNvPr id="46" name="Obraz 45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71687" y="45375738"/>
          <a:ext cx="4376704" cy="4117787"/>
        </a:xfrm>
        <a:prstGeom prst="rect">
          <a:avLst/>
        </a:prstGeom>
      </xdr:spPr>
    </xdr:pic>
    <xdr:clientData/>
  </xdr:twoCellAnchor>
  <xdr:twoCellAnchor editAs="oneCell">
    <xdr:from>
      <xdr:col>27</xdr:col>
      <xdr:colOff>251343</xdr:colOff>
      <xdr:row>231</xdr:row>
      <xdr:rowOff>62379</xdr:rowOff>
    </xdr:from>
    <xdr:to>
      <xdr:col>33</xdr:col>
      <xdr:colOff>595313</xdr:colOff>
      <xdr:row>252</xdr:row>
      <xdr:rowOff>120000</xdr:rowOff>
    </xdr:to>
    <xdr:pic>
      <xdr:nvPicPr>
        <xdr:cNvPr id="47" name="Obraz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420406" y="47973129"/>
          <a:ext cx="3987282" cy="4070027"/>
        </a:xfrm>
        <a:prstGeom prst="rect">
          <a:avLst/>
        </a:prstGeom>
      </xdr:spPr>
    </xdr:pic>
    <xdr:clientData/>
  </xdr:twoCellAnchor>
  <xdr:oneCellAnchor>
    <xdr:from>
      <xdr:col>9</xdr:col>
      <xdr:colOff>27215</xdr:colOff>
      <xdr:row>196</xdr:row>
      <xdr:rowOff>153559</xdr:rowOff>
    </xdr:from>
    <xdr:ext cx="11114361" cy="2440476"/>
    <xdr:sp macro="" textlink="">
      <xdr:nvSpPr>
        <xdr:cNvPr id="2" name="Prostokąt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/>
      </xdr:nvSpPr>
      <xdr:spPr>
        <a:xfrm rot="939072">
          <a:off x="5102679" y="38444059"/>
          <a:ext cx="11114361" cy="2440476"/>
        </a:xfrm>
        <a:prstGeom prst="rect">
          <a:avLst/>
        </a:prstGeom>
        <a:noFill/>
      </xdr:spPr>
      <xdr:txBody>
        <a:bodyPr wrap="square" lIns="91440" tIns="45720" rIns="91440" bIns="45720">
          <a:spAutoFit/>
        </a:bodyPr>
        <a:lstStyle/>
        <a:p>
          <a:pPr algn="ctr"/>
          <a:r>
            <a:rPr lang="pl-PL" sz="15000" b="0" cap="none" spc="0">
              <a:ln w="0"/>
              <a:solidFill>
                <a:srgbClr val="FF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WYCOFANA</a:t>
          </a:r>
        </a:p>
      </xdr:txBody>
    </xdr:sp>
    <xdr:clientData/>
  </xdr:oneCellAnchor>
  <xdr:twoCellAnchor editAs="oneCell">
    <xdr:from>
      <xdr:col>21</xdr:col>
      <xdr:colOff>25514</xdr:colOff>
      <xdr:row>252</xdr:row>
      <xdr:rowOff>193222</xdr:rowOff>
    </xdr:from>
    <xdr:to>
      <xdr:col>28</xdr:col>
      <xdr:colOff>329741</xdr:colOff>
      <xdr:row>270</xdr:row>
      <xdr:rowOff>139674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5551264" y="52116378"/>
          <a:ext cx="4554758" cy="3839796"/>
        </a:xfrm>
        <a:prstGeom prst="rect">
          <a:avLst/>
        </a:prstGeom>
      </xdr:spPr>
    </xdr:pic>
    <xdr:clientData/>
  </xdr:twoCellAnchor>
  <xdr:twoCellAnchor editAs="oneCell">
    <xdr:from>
      <xdr:col>26</xdr:col>
      <xdr:colOff>415020</xdr:colOff>
      <xdr:row>264</xdr:row>
      <xdr:rowOff>27215</xdr:rowOff>
    </xdr:from>
    <xdr:to>
      <xdr:col>33</xdr:col>
      <xdr:colOff>333376</xdr:colOff>
      <xdr:row>282</xdr:row>
      <xdr:rowOff>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76864" y="54700715"/>
          <a:ext cx="4168887" cy="3401785"/>
        </a:xfrm>
        <a:prstGeom prst="rect">
          <a:avLst/>
        </a:prstGeom>
      </xdr:spPr>
    </xdr:pic>
    <xdr:clientData/>
  </xdr:twoCellAnchor>
  <xdr:twoCellAnchor editAs="oneCell">
    <xdr:from>
      <xdr:col>29</xdr:col>
      <xdr:colOff>35719</xdr:colOff>
      <xdr:row>0</xdr:row>
      <xdr:rowOff>166688</xdr:rowOff>
    </xdr:from>
    <xdr:to>
      <xdr:col>32</xdr:col>
      <xdr:colOff>101492</xdr:colOff>
      <xdr:row>10</xdr:row>
      <xdr:rowOff>4432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07845A79-243A-461A-9833-304E6A4DB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419219" y="166688"/>
          <a:ext cx="1887429" cy="2207088"/>
        </a:xfrm>
        <a:prstGeom prst="rect">
          <a:avLst/>
        </a:prstGeom>
        <a:effectLst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194240</xdr:colOff>
      <xdr:row>0</xdr:row>
      <xdr:rowOff>176894</xdr:rowOff>
    </xdr:from>
    <xdr:to>
      <xdr:col>28</xdr:col>
      <xdr:colOff>502004</xdr:colOff>
      <xdr:row>18</xdr:row>
      <xdr:rowOff>170275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B4C28C41-E8EE-480C-9E9F-90DB3B098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42454" y="176894"/>
          <a:ext cx="4594014" cy="3885024"/>
        </a:xfrm>
        <a:prstGeom prst="rect">
          <a:avLst/>
        </a:prstGeom>
      </xdr:spPr>
    </xdr:pic>
    <xdr:clientData/>
  </xdr:twoCellAnchor>
  <xdr:twoCellAnchor editAs="oneCell">
    <xdr:from>
      <xdr:col>26</xdr:col>
      <xdr:colOff>98651</xdr:colOff>
      <xdr:row>15</xdr:row>
      <xdr:rowOff>78241</xdr:rowOff>
    </xdr:from>
    <xdr:to>
      <xdr:col>32</xdr:col>
      <xdr:colOff>539669</xdr:colOff>
      <xdr:row>33</xdr:row>
      <xdr:rowOff>68221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DE5738D9-EBB5-4D0D-A553-22265D871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08472" y="3398384"/>
          <a:ext cx="4114947" cy="3908837"/>
        </a:xfrm>
        <a:prstGeom prst="rect">
          <a:avLst/>
        </a:prstGeom>
      </xdr:spPr>
    </xdr:pic>
    <xdr:clientData/>
  </xdr:twoCellAnchor>
  <xdr:twoCellAnchor editAs="oneCell">
    <xdr:from>
      <xdr:col>21</xdr:col>
      <xdr:colOff>159200</xdr:colOff>
      <xdr:row>33</xdr:row>
      <xdr:rowOff>121445</xdr:rowOff>
    </xdr:from>
    <xdr:to>
      <xdr:col>28</xdr:col>
      <xdr:colOff>450187</xdr:colOff>
      <xdr:row>52</xdr:row>
      <xdr:rowOff>125031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C213ACCC-EE06-4286-B14A-892FDBEC1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07414" y="7360445"/>
          <a:ext cx="4577237" cy="3636693"/>
        </a:xfrm>
        <a:prstGeom prst="rect">
          <a:avLst/>
        </a:prstGeom>
      </xdr:spPr>
    </xdr:pic>
    <xdr:clientData/>
  </xdr:twoCellAnchor>
  <xdr:twoCellAnchor editAs="oneCell">
    <xdr:from>
      <xdr:col>26</xdr:col>
      <xdr:colOff>309901</xdr:colOff>
      <xdr:row>44</xdr:row>
      <xdr:rowOff>175533</xdr:rowOff>
    </xdr:from>
    <xdr:to>
      <xdr:col>33</xdr:col>
      <xdr:colOff>133559</xdr:colOff>
      <xdr:row>62</xdr:row>
      <xdr:rowOff>152925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C2199D0-52B9-438F-B488-AB8077BCD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19722" y="9510033"/>
          <a:ext cx="4109908" cy="3433606"/>
        </a:xfrm>
        <a:prstGeom prst="rect">
          <a:avLst/>
        </a:prstGeom>
      </xdr:spPr>
    </xdr:pic>
    <xdr:clientData/>
  </xdr:twoCellAnchor>
  <xdr:twoCellAnchor editAs="oneCell">
    <xdr:from>
      <xdr:col>21</xdr:col>
      <xdr:colOff>130286</xdr:colOff>
      <xdr:row>64</xdr:row>
      <xdr:rowOff>559255</xdr:rowOff>
    </xdr:from>
    <xdr:to>
      <xdr:col>28</xdr:col>
      <xdr:colOff>408379</xdr:colOff>
      <xdr:row>83</xdr:row>
      <xdr:rowOff>29102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6323DA9C-C347-46C8-BBEA-159D1B62B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78500" y="13730969"/>
          <a:ext cx="4564343" cy="3579204"/>
        </a:xfrm>
        <a:prstGeom prst="rect">
          <a:avLst/>
        </a:prstGeom>
      </xdr:spPr>
    </xdr:pic>
    <xdr:clientData/>
  </xdr:twoCellAnchor>
  <xdr:twoCellAnchor editAs="oneCell">
    <xdr:from>
      <xdr:col>26</xdr:col>
      <xdr:colOff>116679</xdr:colOff>
      <xdr:row>77</xdr:row>
      <xdr:rowOff>175874</xdr:rowOff>
    </xdr:from>
    <xdr:to>
      <xdr:col>33</xdr:col>
      <xdr:colOff>378446</xdr:colOff>
      <xdr:row>95</xdr:row>
      <xdr:rowOff>157349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54C8C140-337B-49B0-BFF7-F2CD76A83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26500" y="16300338"/>
          <a:ext cx="4548017" cy="3424082"/>
        </a:xfrm>
        <a:prstGeom prst="rect">
          <a:avLst/>
        </a:prstGeom>
      </xdr:spPr>
    </xdr:pic>
    <xdr:clientData/>
  </xdr:twoCellAnchor>
  <xdr:twoCellAnchor editAs="oneCell">
    <xdr:from>
      <xdr:col>21</xdr:col>
      <xdr:colOff>159201</xdr:colOff>
      <xdr:row>96</xdr:row>
      <xdr:rowOff>487406</xdr:rowOff>
    </xdr:from>
    <xdr:to>
      <xdr:col>28</xdr:col>
      <xdr:colOff>500300</xdr:colOff>
      <xdr:row>116</xdr:row>
      <xdr:rowOff>56312</xdr:rowOff>
    </xdr:to>
    <xdr:pic>
      <xdr:nvPicPr>
        <xdr:cNvPr id="8" name="Obraz 7">
          <a:extLst>
            <a:ext uri="{FF2B5EF4-FFF2-40B4-BE49-F238E27FC236}">
              <a16:creationId xmlns:a16="http://schemas.microsoft.com/office/drawing/2014/main" id="{58D18A0A-132D-4682-8BBA-C1B843477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07415" y="20244977"/>
          <a:ext cx="4627349" cy="3868764"/>
        </a:xfrm>
        <a:prstGeom prst="rect">
          <a:avLst/>
        </a:prstGeom>
      </xdr:spPr>
    </xdr:pic>
    <xdr:clientData/>
  </xdr:twoCellAnchor>
  <xdr:twoCellAnchor editAs="oneCell">
    <xdr:from>
      <xdr:col>26</xdr:col>
      <xdr:colOff>193220</xdr:colOff>
      <xdr:row>111</xdr:row>
      <xdr:rowOff>95929</xdr:rowOff>
    </xdr:from>
    <xdr:to>
      <xdr:col>33</xdr:col>
      <xdr:colOff>459243</xdr:colOff>
      <xdr:row>128</xdr:row>
      <xdr:rowOff>209393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83AE12D2-FA93-41DF-A01A-7D520DB63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03041" y="23200858"/>
          <a:ext cx="4552273" cy="3351964"/>
        </a:xfrm>
        <a:prstGeom prst="rect">
          <a:avLst/>
        </a:prstGeom>
      </xdr:spPr>
    </xdr:pic>
    <xdr:clientData/>
  </xdr:twoCellAnchor>
  <xdr:twoCellAnchor editAs="oneCell">
    <xdr:from>
      <xdr:col>21</xdr:col>
      <xdr:colOff>147295</xdr:colOff>
      <xdr:row>128</xdr:row>
      <xdr:rowOff>455159</xdr:rowOff>
    </xdr:from>
    <xdr:to>
      <xdr:col>28</xdr:col>
      <xdr:colOff>461104</xdr:colOff>
      <xdr:row>148</xdr:row>
      <xdr:rowOff>114145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181E76BA-D935-4FEF-B8D1-E4A787893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32576" y="26791784"/>
          <a:ext cx="4564341" cy="3957142"/>
        </a:xfrm>
        <a:prstGeom prst="rect">
          <a:avLst/>
        </a:prstGeom>
      </xdr:spPr>
    </xdr:pic>
    <xdr:clientData/>
  </xdr:twoCellAnchor>
  <xdr:twoCellAnchor editAs="oneCell">
    <xdr:from>
      <xdr:col>26</xdr:col>
      <xdr:colOff>217031</xdr:colOff>
      <xdr:row>140</xdr:row>
      <xdr:rowOff>76767</xdr:rowOff>
    </xdr:from>
    <xdr:to>
      <xdr:col>33</xdr:col>
      <xdr:colOff>488157</xdr:colOff>
      <xdr:row>159</xdr:row>
      <xdr:rowOff>7330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772AC4A2-031D-4032-AB4D-F0B3295A5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38406" y="29187548"/>
          <a:ext cx="4521657" cy="3561970"/>
        </a:xfrm>
        <a:prstGeom prst="rect">
          <a:avLst/>
        </a:prstGeom>
      </xdr:spPr>
    </xdr:pic>
    <xdr:clientData/>
  </xdr:twoCellAnchor>
  <xdr:twoCellAnchor editAs="oneCell">
    <xdr:from>
      <xdr:col>21</xdr:col>
      <xdr:colOff>208527</xdr:colOff>
      <xdr:row>160</xdr:row>
      <xdr:rowOff>528301</xdr:rowOff>
    </xdr:from>
    <xdr:to>
      <xdr:col>29</xdr:col>
      <xdr:colOff>298244</xdr:colOff>
      <xdr:row>180</xdr:row>
      <xdr:rowOff>168236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3B4C94FC-F2C0-4BA9-AECD-7EB6A5D8A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793808" y="33460989"/>
          <a:ext cx="4947467" cy="3914278"/>
        </a:xfrm>
        <a:prstGeom prst="rect">
          <a:avLst/>
        </a:prstGeom>
      </xdr:spPr>
    </xdr:pic>
    <xdr:clientData/>
  </xdr:twoCellAnchor>
  <xdr:twoCellAnchor editAs="oneCell">
    <xdr:from>
      <xdr:col>26</xdr:col>
      <xdr:colOff>194921</xdr:colOff>
      <xdr:row>175</xdr:row>
      <xdr:rowOff>67018</xdr:rowOff>
    </xdr:from>
    <xdr:to>
      <xdr:col>33</xdr:col>
      <xdr:colOff>536212</xdr:colOff>
      <xdr:row>217</xdr:row>
      <xdr:rowOff>242395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84953640-D46D-4D43-BCF0-28D5CE357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16296" y="36321549"/>
          <a:ext cx="4591822" cy="3449596"/>
        </a:xfrm>
        <a:prstGeom prst="rect">
          <a:avLst/>
        </a:prstGeom>
      </xdr:spPr>
    </xdr:pic>
    <xdr:clientData/>
  </xdr:twoCellAnchor>
  <xdr:twoCellAnchor editAs="oneCell">
    <xdr:from>
      <xdr:col>21</xdr:col>
      <xdr:colOff>241188</xdr:colOff>
      <xdr:row>218</xdr:row>
      <xdr:rowOff>60551</xdr:rowOff>
    </xdr:from>
    <xdr:to>
      <xdr:col>28</xdr:col>
      <xdr:colOff>367360</xdr:colOff>
      <xdr:row>240</xdr:row>
      <xdr:rowOff>30201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CA2AE46F-BC90-4E83-BA2C-CA3ED3BEF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826469" y="40244145"/>
          <a:ext cx="4376704" cy="4184462"/>
        </a:xfrm>
        <a:prstGeom prst="rect">
          <a:avLst/>
        </a:prstGeom>
      </xdr:spPr>
    </xdr:pic>
    <xdr:clientData/>
  </xdr:twoCellAnchor>
  <xdr:twoCellAnchor editAs="oneCell">
    <xdr:from>
      <xdr:col>26</xdr:col>
      <xdr:colOff>162522</xdr:colOff>
      <xdr:row>233</xdr:row>
      <xdr:rowOff>59531</xdr:rowOff>
    </xdr:from>
    <xdr:to>
      <xdr:col>33</xdr:col>
      <xdr:colOff>95250</xdr:colOff>
      <xdr:row>252</xdr:row>
      <xdr:rowOff>379557</xdr:rowOff>
    </xdr:to>
    <xdr:pic>
      <xdr:nvPicPr>
        <xdr:cNvPr id="17" name="Obraz 16">
          <a:extLst>
            <a:ext uri="{FF2B5EF4-FFF2-40B4-BE49-F238E27FC236}">
              <a16:creationId xmlns:a16="http://schemas.microsoft.com/office/drawing/2014/main" id="{95DC04E8-E040-4CF8-BD7B-321D996FC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72343" y="43112531"/>
          <a:ext cx="4218978" cy="3966740"/>
        </a:xfrm>
        <a:prstGeom prst="rect">
          <a:avLst/>
        </a:prstGeom>
      </xdr:spPr>
    </xdr:pic>
    <xdr:clientData/>
  </xdr:twoCellAnchor>
  <xdr:twoCellAnchor editAs="oneCell">
    <xdr:from>
      <xdr:col>21</xdr:col>
      <xdr:colOff>123146</xdr:colOff>
      <xdr:row>252</xdr:row>
      <xdr:rowOff>443253</xdr:rowOff>
    </xdr:from>
    <xdr:to>
      <xdr:col>28</xdr:col>
      <xdr:colOff>424991</xdr:colOff>
      <xdr:row>274</xdr:row>
      <xdr:rowOff>94430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F01C3D18-B95D-44EB-B6B0-BDBFB8F17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5708427" y="47127659"/>
          <a:ext cx="4552377" cy="4306521"/>
        </a:xfrm>
        <a:prstGeom prst="rect">
          <a:avLst/>
        </a:prstGeom>
      </xdr:spPr>
    </xdr:pic>
    <xdr:clientData/>
  </xdr:twoCellAnchor>
  <xdr:twoCellAnchor editAs="oneCell">
    <xdr:from>
      <xdr:col>26</xdr:col>
      <xdr:colOff>403114</xdr:colOff>
      <xdr:row>265</xdr:row>
      <xdr:rowOff>86746</xdr:rowOff>
    </xdr:from>
    <xdr:to>
      <xdr:col>33</xdr:col>
      <xdr:colOff>321471</xdr:colOff>
      <xdr:row>283</xdr:row>
      <xdr:rowOff>59531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D50B88AF-9F93-446D-B8FE-FC2012778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24489" y="49711996"/>
          <a:ext cx="4168888" cy="3401785"/>
        </a:xfrm>
        <a:prstGeom prst="rect">
          <a:avLst/>
        </a:prstGeom>
      </xdr:spPr>
    </xdr:pic>
    <xdr:clientData/>
  </xdr:twoCellAnchor>
  <xdr:twoCellAnchor editAs="oneCell">
    <xdr:from>
      <xdr:col>29</xdr:col>
      <xdr:colOff>285750</xdr:colOff>
      <xdr:row>0</xdr:row>
      <xdr:rowOff>345282</xdr:rowOff>
    </xdr:from>
    <xdr:to>
      <xdr:col>32</xdr:col>
      <xdr:colOff>339616</xdr:colOff>
      <xdr:row>10</xdr:row>
      <xdr:rowOff>179057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8CD7E0F1-5B1E-4F71-B3A5-90FD5480E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28781" y="345282"/>
          <a:ext cx="1875523" cy="2203119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119063</xdr:colOff>
      <xdr:row>317</xdr:row>
      <xdr:rowOff>483052</xdr:rowOff>
    </xdr:from>
    <xdr:to>
      <xdr:col>29</xdr:col>
      <xdr:colOff>253242</xdr:colOff>
      <xdr:row>333</xdr:row>
      <xdr:rowOff>30614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081F8A48-E12A-117E-EBC4-46886BDE0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767277" y="60490552"/>
          <a:ext cx="5032751" cy="3058205"/>
        </a:xfrm>
        <a:prstGeom prst="rect">
          <a:avLst/>
        </a:prstGeom>
      </xdr:spPr>
    </xdr:pic>
    <xdr:clientData/>
  </xdr:twoCellAnchor>
  <xdr:twoCellAnchor editAs="oneCell">
    <xdr:from>
      <xdr:col>24</xdr:col>
      <xdr:colOff>35720</xdr:colOff>
      <xdr:row>332</xdr:row>
      <xdr:rowOff>18709</xdr:rowOff>
    </xdr:from>
    <xdr:to>
      <xdr:col>33</xdr:col>
      <xdr:colOff>535782</xdr:colOff>
      <xdr:row>348</xdr:row>
      <xdr:rowOff>148913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38AEA184-7736-7E0C-A36C-FF4AE3628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7520899" y="63346352"/>
          <a:ext cx="6010954" cy="3178204"/>
        </a:xfrm>
        <a:prstGeom prst="rect">
          <a:avLst/>
        </a:prstGeom>
      </xdr:spPr>
    </xdr:pic>
    <xdr:clientData/>
  </xdr:twoCellAnchor>
  <xdr:twoCellAnchor editAs="oneCell">
    <xdr:from>
      <xdr:col>21</xdr:col>
      <xdr:colOff>119063</xdr:colOff>
      <xdr:row>283</xdr:row>
      <xdr:rowOff>641237</xdr:rowOff>
    </xdr:from>
    <xdr:to>
      <xdr:col>30</xdr:col>
      <xdr:colOff>606475</xdr:colOff>
      <xdr:row>303</xdr:row>
      <xdr:rowOff>128798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C77893F4-9727-8D2F-CB7E-8FB83ED2AD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767277" y="53709094"/>
          <a:ext cx="5998305" cy="3760204"/>
        </a:xfrm>
        <a:prstGeom prst="rect">
          <a:avLst/>
        </a:prstGeom>
      </xdr:spPr>
    </xdr:pic>
    <xdr:clientData/>
  </xdr:twoCellAnchor>
  <xdr:twoCellAnchor editAs="oneCell">
    <xdr:from>
      <xdr:col>24</xdr:col>
      <xdr:colOff>107157</xdr:colOff>
      <xdr:row>302</xdr:row>
      <xdr:rowOff>93548</xdr:rowOff>
    </xdr:from>
    <xdr:to>
      <xdr:col>33</xdr:col>
      <xdr:colOff>381000</xdr:colOff>
      <xdr:row>317</xdr:row>
      <xdr:rowOff>583688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75DCBD49-38A9-365D-D65B-8674047DA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7592336" y="57243548"/>
          <a:ext cx="5784735" cy="334764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27</xdr:col>
      <xdr:colOff>526967</xdr:colOff>
      <xdr:row>0</xdr:row>
      <xdr:rowOff>17318</xdr:rowOff>
    </xdr:from>
    <xdr:to>
      <xdr:col>30</xdr:col>
      <xdr:colOff>477718</xdr:colOff>
      <xdr:row>8</xdr:row>
      <xdr:rowOff>113334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41785" y="17318"/>
          <a:ext cx="1769159" cy="2087607"/>
        </a:xfrm>
        <a:prstGeom prst="rect">
          <a:avLst/>
        </a:prstGeom>
        <a:effectLst/>
      </xdr:spPr>
    </xdr:pic>
    <xdr:clientData/>
  </xdr:twoCellAnchor>
  <xdr:twoCellAnchor editAs="oneCell">
    <xdr:from>
      <xdr:col>21</xdr:col>
      <xdr:colOff>122464</xdr:colOff>
      <xdr:row>1</xdr:row>
      <xdr:rowOff>12370</xdr:rowOff>
    </xdr:from>
    <xdr:to>
      <xdr:col>27</xdr:col>
      <xdr:colOff>457341</xdr:colOff>
      <xdr:row>22</xdr:row>
      <xdr:rowOff>331870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0143" y="665513"/>
          <a:ext cx="4008805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122465</xdr:colOff>
      <xdr:row>23</xdr:row>
      <xdr:rowOff>7422</xdr:rowOff>
    </xdr:from>
    <xdr:to>
      <xdr:col>29</xdr:col>
      <xdr:colOff>13470</xdr:colOff>
      <xdr:row>45</xdr:row>
      <xdr:rowOff>136422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0144" y="5314208"/>
          <a:ext cx="4789576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122464</xdr:colOff>
      <xdr:row>48</xdr:row>
      <xdr:rowOff>2474</xdr:rowOff>
    </xdr:from>
    <xdr:to>
      <xdr:col>30</xdr:col>
      <xdr:colOff>413457</xdr:colOff>
      <xdr:row>70</xdr:row>
      <xdr:rowOff>131474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0143" y="10534403"/>
          <a:ext cx="5801885" cy="4320000"/>
        </a:xfrm>
        <a:prstGeom prst="rect">
          <a:avLst/>
        </a:prstGeom>
      </xdr:spPr>
    </xdr:pic>
    <xdr:clientData/>
  </xdr:twoCellAnchor>
  <xdr:twoCellAnchor editAs="oneCell">
    <xdr:from>
      <xdr:col>21</xdr:col>
      <xdr:colOff>100852</xdr:colOff>
      <xdr:row>71</xdr:row>
      <xdr:rowOff>526676</xdr:rowOff>
    </xdr:from>
    <xdr:to>
      <xdr:col>30</xdr:col>
      <xdr:colOff>358216</xdr:colOff>
      <xdr:row>91</xdr:row>
      <xdr:rowOff>44823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D024BFAC-FD8F-8FEC-BDC9-3699798ED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728531" y="15440105"/>
          <a:ext cx="5768256" cy="379078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884463</xdr:colOff>
      <xdr:row>0</xdr:row>
      <xdr:rowOff>9525</xdr:rowOff>
    </xdr:from>
    <xdr:to>
      <xdr:col>28</xdr:col>
      <xdr:colOff>705320</xdr:colOff>
      <xdr:row>11</xdr:row>
      <xdr:rowOff>152400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E0308089-8756-B6FA-1A9F-1EC8C6A35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158106" y="9525"/>
          <a:ext cx="6855751" cy="2728232"/>
        </a:xfrm>
        <a:prstGeom prst="rect">
          <a:avLst/>
        </a:prstGeom>
      </xdr:spPr>
    </xdr:pic>
    <xdr:clientData/>
  </xdr:twoCellAnchor>
  <xdr:twoCellAnchor editAs="oneCell">
    <xdr:from>
      <xdr:col>17</xdr:col>
      <xdr:colOff>884464</xdr:colOff>
      <xdr:row>11</xdr:row>
      <xdr:rowOff>133350</xdr:rowOff>
    </xdr:from>
    <xdr:to>
      <xdr:col>28</xdr:col>
      <xdr:colOff>703191</xdr:colOff>
      <xdr:row>22</xdr:row>
      <xdr:rowOff>142875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EC8CE0D0-DC96-0C38-2578-E41D1D761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158107" y="2718707"/>
          <a:ext cx="6853621" cy="2730954"/>
        </a:xfrm>
        <a:prstGeom prst="rect">
          <a:avLst/>
        </a:prstGeom>
      </xdr:spPr>
    </xdr:pic>
    <xdr:clientData/>
  </xdr:twoCellAnchor>
  <xdr:twoCellAnchor editAs="oneCell">
    <xdr:from>
      <xdr:col>28</xdr:col>
      <xdr:colOff>734785</xdr:colOff>
      <xdr:row>0</xdr:row>
      <xdr:rowOff>122465</xdr:rowOff>
    </xdr:from>
    <xdr:to>
      <xdr:col>30</xdr:col>
      <xdr:colOff>605117</xdr:colOff>
      <xdr:row>9</xdr:row>
      <xdr:rowOff>138803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F026B334-3099-41B3-8890-8B635F44F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43321" y="122465"/>
          <a:ext cx="1887429" cy="2207088"/>
        </a:xfrm>
        <a:prstGeom prst="rect">
          <a:avLst/>
        </a:prstGeom>
        <a:effectLst/>
      </xdr:spPr>
    </xdr:pic>
    <xdr:clientData/>
  </xdr:twoCellAnchor>
  <xdr:twoCellAnchor editAs="oneCell">
    <xdr:from>
      <xdr:col>19</xdr:col>
      <xdr:colOff>22413</xdr:colOff>
      <xdr:row>42</xdr:row>
      <xdr:rowOff>179295</xdr:rowOff>
    </xdr:from>
    <xdr:to>
      <xdr:col>21</xdr:col>
      <xdr:colOff>478844</xdr:colOff>
      <xdr:row>62</xdr:row>
      <xdr:rowOff>179585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E5703643-EC21-C477-31C2-8FF56F014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884089" y="10421471"/>
          <a:ext cx="1666667" cy="3952381"/>
        </a:xfrm>
        <a:prstGeom prst="rect">
          <a:avLst/>
        </a:prstGeom>
      </xdr:spPr>
    </xdr:pic>
    <xdr:clientData/>
  </xdr:twoCellAnchor>
  <xdr:twoCellAnchor editAs="oneCell">
    <xdr:from>
      <xdr:col>21</xdr:col>
      <xdr:colOff>537884</xdr:colOff>
      <xdr:row>43</xdr:row>
      <xdr:rowOff>162682</xdr:rowOff>
    </xdr:from>
    <xdr:to>
      <xdr:col>24</xdr:col>
      <xdr:colOff>481855</xdr:colOff>
      <xdr:row>63</xdr:row>
      <xdr:rowOff>140674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63F1015A-DBFD-23E7-1ACC-50162C2405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609796" y="10595358"/>
          <a:ext cx="1759324" cy="393366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321469</xdr:colOff>
      <xdr:row>5</xdr:row>
      <xdr:rowOff>59532</xdr:rowOff>
    </xdr:from>
    <xdr:to>
      <xdr:col>7</xdr:col>
      <xdr:colOff>381000</xdr:colOff>
      <xdr:row>14</xdr:row>
      <xdr:rowOff>26908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4032" y="928688"/>
          <a:ext cx="1273968" cy="1503283"/>
        </a:xfrm>
        <a:prstGeom prst="rect">
          <a:avLst/>
        </a:prstGeom>
        <a:effectLst/>
      </xdr:spPr>
    </xdr:pic>
    <xdr:clientData/>
  </xdr:twoCellAnchor>
  <xdr:twoCellAnchor editAs="oneCell">
    <xdr:from>
      <xdr:col>2</xdr:col>
      <xdr:colOff>19050</xdr:colOff>
      <xdr:row>19</xdr:row>
      <xdr:rowOff>152401</xdr:rowOff>
    </xdr:from>
    <xdr:to>
      <xdr:col>9</xdr:col>
      <xdr:colOff>137522</xdr:colOff>
      <xdr:row>26</xdr:row>
      <xdr:rowOff>76201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3333751"/>
          <a:ext cx="4833347" cy="10858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26</xdr:row>
      <xdr:rowOff>66675</xdr:rowOff>
    </xdr:from>
    <xdr:to>
      <xdr:col>8</xdr:col>
      <xdr:colOff>533400</xdr:colOff>
      <xdr:row>36</xdr:row>
      <xdr:rowOff>149338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9900" y="4410075"/>
          <a:ext cx="4619625" cy="1759063"/>
        </a:xfrm>
        <a:prstGeom prst="rect">
          <a:avLst/>
        </a:prstGeom>
      </xdr:spPr>
    </xdr:pic>
    <xdr:clientData/>
  </xdr:twoCellAnchor>
</xdr:wsDr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8</v>
    <v>19</v>
    <v>6</v>
  </rv>
</rvData>
</file>

<file path=xl/richData/rdrichvaluestructure.xml><?xml version="1.0" encoding="utf-8"?>
<rvStructures xmlns="http://schemas.microsoft.com/office/spreadsheetml/2017/richdata" count="1">
  <s t="_error">
    <k n="colOffset" t="i"/>
    <k n="errorType" t="i"/>
    <k n="rwOffset" t="i"/>
    <k n="subType" t="i"/>
  </s>
</rvStructures>
</file>

<file path=xl/theme/theme1.xml><?xml version="1.0" encoding="utf-8"?>
<a:theme xmlns:a="http://schemas.openxmlformats.org/drawingml/2006/main" name="Office Theme 2007 - 2010">
  <a:themeElements>
    <a:clrScheme name="Pakiet Office 2007–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akiet Office 2007–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akiet Office 2007–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S-V7N1.pdf" TargetMode="External"/><Relationship Id="rId13" Type="http://schemas.openxmlformats.org/officeDocument/2006/relationships/comments" Target="../comments2.xml"/><Relationship Id="rId3" Type="http://schemas.openxmlformats.org/officeDocument/2006/relationships/hyperlink" Target="https://www.baks.com.pl/wp-content/uploads/2015/08/DS-V3N1.pdf" TargetMode="External"/><Relationship Id="rId7" Type="http://schemas.openxmlformats.org/officeDocument/2006/relationships/hyperlink" Target="https://www.baks.com.pl/wp-content/uploads/2015/08/DS-V6cN1.pdf" TargetMode="External"/><Relationship Id="rId12" Type="http://schemas.openxmlformats.org/officeDocument/2006/relationships/vmlDrawing" Target="../drawings/vmlDrawing2.vml"/><Relationship Id="rId2" Type="http://schemas.openxmlformats.org/officeDocument/2006/relationships/hyperlink" Target="https://www.baks.com.pl/wp-content/uploads/2015/08/DS-V2N1.pdf" TargetMode="External"/><Relationship Id="rId1" Type="http://schemas.openxmlformats.org/officeDocument/2006/relationships/hyperlink" Target="https://www.baks.com.pl/wp-content/uploads/2015/08/DS-V1N1.pdf" TargetMode="External"/><Relationship Id="rId6" Type="http://schemas.openxmlformats.org/officeDocument/2006/relationships/hyperlink" Target="https://www.baks.com.pl/wp-content/uploads/2015/08/DS-V6aN1.pdf" TargetMode="External"/><Relationship Id="rId11" Type="http://schemas.openxmlformats.org/officeDocument/2006/relationships/drawing" Target="../drawings/drawing2.xml"/><Relationship Id="rId5" Type="http://schemas.openxmlformats.org/officeDocument/2006/relationships/hyperlink" Target="https://www.baks.com.pl/wp-content/uploads/2015/08/DS-V5N1.pdf" TargetMode="External"/><Relationship Id="rId10" Type="http://schemas.openxmlformats.org/officeDocument/2006/relationships/printerSettings" Target="../printerSettings/printerSettings3.bin"/><Relationship Id="rId4" Type="http://schemas.openxmlformats.org/officeDocument/2006/relationships/hyperlink" Target="https://www.baks.com.pl/wp-content/uploads/2015/08/DS-V4N1.pdf" TargetMode="External"/><Relationship Id="rId9" Type="http://schemas.openxmlformats.org/officeDocument/2006/relationships/hyperlink" Target="https://www.baks.com.pl/wp-content/uploads/2015/08/DS-V6bN1.pdf" TargetMode="External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P-DNHWE-WZ1.pdf" TargetMode="External"/><Relationship Id="rId13" Type="http://schemas.openxmlformats.org/officeDocument/2006/relationships/hyperlink" Target="https://www.baks.com.pl/wp-content/uploads/2015/08/DP-DTHBN1.pdf" TargetMode="External"/><Relationship Id="rId18" Type="http://schemas.openxmlformats.org/officeDocument/2006/relationships/hyperlink" Target="https://www.baks.com.pl/wp-content/uploads/2015/08/DP-DTHKN-WZ1.pdf" TargetMode="External"/><Relationship Id="rId3" Type="http://schemas.openxmlformats.org/officeDocument/2006/relationships/hyperlink" Target="https://www.baks.com.pl/wp-content/uploads/2015/08/DP-DNHKSE1.pdf" TargetMode="External"/><Relationship Id="rId21" Type="http://schemas.openxmlformats.org/officeDocument/2006/relationships/printerSettings" Target="../printerSettings/printerSettings4.bin"/><Relationship Id="rId7" Type="http://schemas.openxmlformats.org/officeDocument/2006/relationships/hyperlink" Target="https://www.baks.com.pl/wp-content/uploads/2015/08/DP-DNHKSE-WZ1.pdf" TargetMode="External"/><Relationship Id="rId12" Type="http://schemas.openxmlformats.org/officeDocument/2006/relationships/hyperlink" Target="https://www.baks.com.pl/wp-content/uploads/2015/08/DP-DTAVKN1.pdf" TargetMode="External"/><Relationship Id="rId17" Type="http://schemas.openxmlformats.org/officeDocument/2006/relationships/hyperlink" Target="https://www.baks.com.pl/wp-content/uploads/2015/08/DP-DTHBN-WZ1.pdf" TargetMode="External"/><Relationship Id="rId2" Type="http://schemas.openxmlformats.org/officeDocument/2006/relationships/hyperlink" Target="https://www.baks.com.pl/wp-content/uploads/2015/08/DP-DNHKE1.pdf" TargetMode="External"/><Relationship Id="rId16" Type="http://schemas.openxmlformats.org/officeDocument/2006/relationships/hyperlink" Target="https://www.baks.com.pl/wp-content/uploads/2015/08/DP-DTHWN1.pdf" TargetMode="External"/><Relationship Id="rId20" Type="http://schemas.openxmlformats.org/officeDocument/2006/relationships/hyperlink" Target="https://www.baks.com.pl/wp-content/uploads/2015/08/DP-DTHWN-WZ1.pdf" TargetMode="External"/><Relationship Id="rId1" Type="http://schemas.openxmlformats.org/officeDocument/2006/relationships/hyperlink" Target="https://www.baks.com.pl/wp-content/uploads/2015/08/DP-DNHBE1.pdf" TargetMode="External"/><Relationship Id="rId6" Type="http://schemas.openxmlformats.org/officeDocument/2006/relationships/hyperlink" Target="https://www.baks.com.pl/wp-content/uploads/2015/08/DP-DNHKE-WZ1.pdf" TargetMode="External"/><Relationship Id="rId11" Type="http://schemas.openxmlformats.org/officeDocument/2006/relationships/hyperlink" Target="https://www.baks.com.pl/wp-content/uploads/2015/08/DP-DTAVBN1.pdf" TargetMode="External"/><Relationship Id="rId24" Type="http://schemas.openxmlformats.org/officeDocument/2006/relationships/comments" Target="../comments3.xml"/><Relationship Id="rId5" Type="http://schemas.openxmlformats.org/officeDocument/2006/relationships/hyperlink" Target="https://www.baks.com.pl/wp-content/uploads/2015/08/DP-DNHBE-WZ1.pdf" TargetMode="External"/><Relationship Id="rId15" Type="http://schemas.openxmlformats.org/officeDocument/2006/relationships/hyperlink" Target="https://www.baks.com.pl/wp-content/uploads/2015/08/DP-DTHKSN1.pdf" TargetMode="External"/><Relationship Id="rId23" Type="http://schemas.openxmlformats.org/officeDocument/2006/relationships/vmlDrawing" Target="../drawings/vmlDrawing3.vml"/><Relationship Id="rId10" Type="http://schemas.openxmlformats.org/officeDocument/2006/relationships/hyperlink" Target="https://www.baks.com.pl/wp-content/uploads/2015/08/DP-DTVKN1.pdf" TargetMode="External"/><Relationship Id="rId19" Type="http://schemas.openxmlformats.org/officeDocument/2006/relationships/hyperlink" Target="https://www.baks.com.pl/wp-content/uploads/2015/08/DP-DTHKSN-WZ1.pdf" TargetMode="External"/><Relationship Id="rId4" Type="http://schemas.openxmlformats.org/officeDocument/2006/relationships/hyperlink" Target="https://www.baks.com.pl/wp-content/uploads/2015/08/DP-DNHWE1.pdf" TargetMode="External"/><Relationship Id="rId9" Type="http://schemas.openxmlformats.org/officeDocument/2006/relationships/hyperlink" Target="https://www.baks.com.pl/wp-content/uploads/2015/08/DP-DTVBN1.pdf" TargetMode="External"/><Relationship Id="rId14" Type="http://schemas.openxmlformats.org/officeDocument/2006/relationships/hyperlink" Target="https://www.baks.com.pl/wp-content/uploads/2015/08/DP-DTHKN1.pdf" TargetMode="External"/><Relationship Id="rId22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baks.com.pl/wp-content/uploads/2015/08/DP-DNHWE-WZ1.pdf" TargetMode="External"/><Relationship Id="rId13" Type="http://schemas.openxmlformats.org/officeDocument/2006/relationships/hyperlink" Target="https://www.baks.com.pl/wp-content/uploads/2015/08/DP-DTHBN1.pdf" TargetMode="External"/><Relationship Id="rId18" Type="http://schemas.openxmlformats.org/officeDocument/2006/relationships/hyperlink" Target="https://www.baks.com.pl/wp-content/uploads/2015/08/DP-DTHKN-WZ1.pdf" TargetMode="External"/><Relationship Id="rId26" Type="http://schemas.openxmlformats.org/officeDocument/2006/relationships/hyperlink" Target="https://eur04.safelinks.protection.outlook.com/?url=https%3A%2F%2Fwww.baks.com.pl%2Fwp-content%2Fuploads%2F2015%2F08%2FDP-DTHKS-WZ.pdf&amp;data=05%7C02%7Cmarek.cedrowski%40baks.com.pl%7Cbc19725c145d4a29f6e808de67e3f85e%7C8af407175c6944bda87253599531b7a3%7C0%7C0%7C639062426093730879%7CUnknown%7CTWFpbGZsb3d8eyJFbXB0eU1hcGkiOnRydWUsIlYiOiIwLjAuMDAwMCIsIlAiOiJXaW4zMiIsIkFOIjoiTWFpbCIsIldUIjoyfQ%3D%3D%7C0%7C%7C%7C&amp;sdata=4B5skTW2aTWm3Cd6ka5u%2BlRPgJD74NoZ%2BfAS1oneleQ%3D&amp;reserved=0" TargetMode="External"/><Relationship Id="rId3" Type="http://schemas.openxmlformats.org/officeDocument/2006/relationships/hyperlink" Target="https://www.baks.com.pl/wp-content/uploads/2015/08/DP-DNHKSE1.pdf" TargetMode="External"/><Relationship Id="rId21" Type="http://schemas.openxmlformats.org/officeDocument/2006/relationships/hyperlink" Target="https://eur04.safelinks.protection.outlook.com/?url=https%3A%2F%2Fwww.baks.com.pl%2Fwp-content%2Fuploads%2F2015%2F08%2FDP-DTHBS-1.pdf&amp;data=05%7C02%7Cmarek.cedrowski%40baks.com.pl%7Cbc19725c145d4a29f6e808de67e3f85e%7C8af407175c6944bda87253599531b7a3%7C0%7C0%7C639062426093528145%7CUnknown%7CTWFpbGZsb3d8eyJFbXB0eU1hcGkiOnRydWUsIlYiOiIwLjAuMDAwMCIsIlAiOiJXaW4zMiIsIkFOIjoiTWFpbCIsIldUIjoyfQ%3D%3D%7C0%7C%7C%7C&amp;sdata=chcIDuGGMJ2yNU1MVmn8xlOUoU%2B5SzRu8gPCEBj9Szc%3D&amp;reserved=0" TargetMode="External"/><Relationship Id="rId7" Type="http://schemas.openxmlformats.org/officeDocument/2006/relationships/hyperlink" Target="https://www.baks.com.pl/wp-content/uploads/2015/08/DP-DNHKSE-WZ1.pdf" TargetMode="External"/><Relationship Id="rId12" Type="http://schemas.openxmlformats.org/officeDocument/2006/relationships/hyperlink" Target="https://www.baks.com.pl/wp-content/uploads/2015/08/DP-DTAVKN1.pdf" TargetMode="External"/><Relationship Id="rId17" Type="http://schemas.openxmlformats.org/officeDocument/2006/relationships/hyperlink" Target="https://www.baks.com.pl/wp-content/uploads/2015/08/DP-DTHBN-WZ1.pdf" TargetMode="External"/><Relationship Id="rId25" Type="http://schemas.openxmlformats.org/officeDocument/2006/relationships/hyperlink" Target="https://eur04.safelinks.protection.outlook.com/?url=https%3A%2F%2Fwww.baks.com.pl%2Fwp-content%2Fuploads%2F2015%2F08%2FDP-DTHBS-WZ.pdf&amp;data=05%7C02%7Cmarek.cedrowski%40baks.com.pl%7Cbc19725c145d4a29f6e808de67e3f85e%7C8af407175c6944bda87253599531b7a3%7C0%7C0%7C639062426093574894%7CUnknown%7CTWFpbGZsb3d8eyJFbXB0eU1hcGkiOnRydWUsIlYiOiIwLjAuMDAwMCIsIlAiOiJXaW4zMiIsIkFOIjoiTWFpbCIsIldUIjoyfQ%3D%3D%7C0%7C%7C%7C&amp;sdata=VaMcvX9SBnGaj8vLZeuVFFkGyoXPqTTYmGp3PUCXPFA%3D&amp;reserved=0" TargetMode="External"/><Relationship Id="rId2" Type="http://schemas.openxmlformats.org/officeDocument/2006/relationships/hyperlink" Target="https://www.baks.com.pl/wp-content/uploads/2015/08/DP-DNHKE1.pdf" TargetMode="External"/><Relationship Id="rId16" Type="http://schemas.openxmlformats.org/officeDocument/2006/relationships/hyperlink" Target="https://www.baks.com.pl/wp-content/uploads/2015/08/DP-DTHWN1.pdf" TargetMode="External"/><Relationship Id="rId20" Type="http://schemas.openxmlformats.org/officeDocument/2006/relationships/hyperlink" Target="https://www.baks.com.pl/wp-content/uploads/2015/08/DP-DTHWN-WZ1.pdf" TargetMode="External"/><Relationship Id="rId29" Type="http://schemas.openxmlformats.org/officeDocument/2006/relationships/drawing" Target="../drawings/drawing4.xml"/><Relationship Id="rId1" Type="http://schemas.openxmlformats.org/officeDocument/2006/relationships/hyperlink" Target="https://www.baks.com.pl/wp-content/uploads/2015/08/DP-DNHBE1.pdf" TargetMode="External"/><Relationship Id="rId6" Type="http://schemas.openxmlformats.org/officeDocument/2006/relationships/hyperlink" Target="https://www.baks.com.pl/wp-content/uploads/2015/08/DP-DNHKE-WZ1.pdf" TargetMode="External"/><Relationship Id="rId11" Type="http://schemas.openxmlformats.org/officeDocument/2006/relationships/hyperlink" Target="https://www.baks.com.pl/wp-content/uploads/2015/08/DP-DTAVBN1.pdf" TargetMode="External"/><Relationship Id="rId24" Type="http://schemas.openxmlformats.org/officeDocument/2006/relationships/hyperlink" Target="https://eur04.safelinks.protection.outlook.com/?url=https%3A%2F%2Fwww.baks.com.pl%2Fwp-content%2Fuploads%2F2015%2F08%2FDP-DTHWS-1.pdf&amp;data=05%7C02%7Cmarek.cedrowski%40baks.com.pl%7Cbc19725c145d4a29f6e808de67e3f85e%7C8af407175c6944bda87253599531b7a3%7C0%7C0%7C639062426093767353%7CUnknown%7CTWFpbGZsb3d8eyJFbXB0eU1hcGkiOnRydWUsIlYiOiIwLjAuMDAwMCIsIlAiOiJXaW4zMiIsIkFOIjoiTWFpbCIsIldUIjoyfQ%3D%3D%7C0%7C%7C%7C&amp;sdata=QIewoQ9tBDy%2FF4EgAeKVxw8gQon2C9lho8GrnLWWZgg%3D&amp;reserved=0" TargetMode="External"/><Relationship Id="rId5" Type="http://schemas.openxmlformats.org/officeDocument/2006/relationships/hyperlink" Target="https://www.baks.com.pl/wp-content/uploads/2015/08/DP-DNHBE-WZ1.pdf" TargetMode="External"/><Relationship Id="rId15" Type="http://schemas.openxmlformats.org/officeDocument/2006/relationships/hyperlink" Target="https://www.baks.com.pl/wp-content/uploads/2015/08/DP-DTHKSN1.pdf" TargetMode="External"/><Relationship Id="rId23" Type="http://schemas.openxmlformats.org/officeDocument/2006/relationships/hyperlink" Target="https://eur04.safelinks.protection.outlook.com/?url=https%3A%2F%2Fwww.baks.com.pl%2Fwp-content%2Fuploads%2F2015%2F08%2FDP-DTHKSS-1.pdf&amp;data=05%7C02%7Cmarek.cedrowski%40baks.com.pl%7Cbc19725c145d4a29f6e808de67e3f85e%7C8af407175c6944bda87253599531b7a3%7C0%7C0%7C639062426093667356%7CUnknown%7CTWFpbGZsb3d8eyJFbXB0eU1hcGkiOnRydWUsIlYiOiIwLjAuMDAwMCIsIlAiOiJXaW4zMiIsIkFOIjoiTWFpbCIsIldUIjoyfQ%3D%3D%7C0%7C%7C%7C&amp;sdata=kzxcrjwazho7PwLlrdogpa7WYXGAtKlZGUeyV%2BGO9Ck%3D&amp;reserved=0" TargetMode="External"/><Relationship Id="rId28" Type="http://schemas.openxmlformats.org/officeDocument/2006/relationships/hyperlink" Target="https://eur04.safelinks.protection.outlook.com/?url=https%3A%2F%2Fwww.baks.com.pl%2Fwp-content%2Fuploads%2F2015%2F08%2FDP-DTHWS-WZ.pdf&amp;data=05%7C02%7Cmarek.cedrowski%40baks.com.pl%7Cbc19725c145d4a29f6e808de67e3f85e%7C8af407175c6944bda87253599531b7a3%7C0%7C0%7C639062426093803720%7CUnknown%7CTWFpbGZsb3d8eyJFbXB0eU1hcGkiOnRydWUsIlYiOiIwLjAuMDAwMCIsIlAiOiJXaW4zMiIsIkFOIjoiTWFpbCIsIldUIjoyfQ%3D%3D%7C0%7C%7C%7C&amp;sdata=oalYGXNBFssnjJ%2Fndi8YgwSUCkKg%2FpDP7dOfr7YdhRA%3D&amp;reserved=0" TargetMode="External"/><Relationship Id="rId10" Type="http://schemas.openxmlformats.org/officeDocument/2006/relationships/hyperlink" Target="https://www.baks.com.pl/wp-content/uploads/2015/08/DP-DTVKN1.pdf" TargetMode="External"/><Relationship Id="rId19" Type="http://schemas.openxmlformats.org/officeDocument/2006/relationships/hyperlink" Target="https://www.baks.com.pl/wp-content/uploads/2015/08/DP-DTHKSN-WZ1.pdf" TargetMode="External"/><Relationship Id="rId31" Type="http://schemas.openxmlformats.org/officeDocument/2006/relationships/comments" Target="../comments4.xml"/><Relationship Id="rId4" Type="http://schemas.openxmlformats.org/officeDocument/2006/relationships/hyperlink" Target="https://www.baks.com.pl/wp-content/uploads/2015/08/DP-DNHWE1.pdf" TargetMode="External"/><Relationship Id="rId9" Type="http://schemas.openxmlformats.org/officeDocument/2006/relationships/hyperlink" Target="https://www.baks.com.pl/wp-content/uploads/2015/08/DP-DTVBN1.pdf" TargetMode="External"/><Relationship Id="rId14" Type="http://schemas.openxmlformats.org/officeDocument/2006/relationships/hyperlink" Target="https://www.baks.com.pl/wp-content/uploads/2015/08/DP-DTHKN1.pdf" TargetMode="External"/><Relationship Id="rId22" Type="http://schemas.openxmlformats.org/officeDocument/2006/relationships/hyperlink" Target="https://eur04.safelinks.protection.outlook.com/?url=https%3A%2F%2Fwww.baks.com.pl%2Fwp-content%2Fuploads%2F2015%2F08%2FDP-DTHKS-1.pdf&amp;data=05%7C02%7Cmarek.cedrowski%40baks.com.pl%7Cbc19725c145d4a29f6e808de67e3f85e%7C8af407175c6944bda87253599531b7a3%7C0%7C0%7C639062426093616062%7CUnknown%7CTWFpbGZsb3d8eyJFbXB0eU1hcGkiOnRydWUsIlYiOiIwLjAuMDAwMCIsIlAiOiJXaW4zMiIsIkFOIjoiTWFpbCIsIldUIjoyfQ%3D%3D%7C0%7C%7C%7C&amp;sdata=9VRRIDoh2OoGbUah8wBeasvBX9i%2FE0cccWtOUlmL7PA%3D&amp;reserved=0" TargetMode="External"/><Relationship Id="rId27" Type="http://schemas.openxmlformats.org/officeDocument/2006/relationships/hyperlink" Target="https://eur04.safelinks.protection.outlook.com/?url=https%3A%2F%2Fwww.baks.com.pl%2Fwp-content%2Fuploads%2F2015%2F08%2FDP-DTHKSS-WZ.pdf&amp;data=05%7C02%7Cmarek.cedrowski%40baks.com.pl%7Cbc19725c145d4a29f6e808de67e3f85e%7C8af407175c6944bda87253599531b7a3%7C0%7C0%7C639062426093698088%7CUnknown%7CTWFpbGZsb3d8eyJFbXB0eU1hcGkiOnRydWUsIlYiOiIwLjAuMDAwMCIsIlAiOiJXaW4zMiIsIkFOIjoiTWFpbCIsIldUIjoyfQ%3D%3D%7C0%7C%7C%7C&amp;sdata=kuq7hnR1VphtrhrHIu5wOXjscMXfopQXYfCgtvrqqKU%3D&amp;reserved=0" TargetMode="External"/><Relationship Id="rId30" Type="http://schemas.openxmlformats.org/officeDocument/2006/relationships/vmlDrawing" Target="../drawings/vmlDrawing4.vml"/></Relationships>
</file>

<file path=xl/worksheets/_rels/sheet6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baks.com.pl/wp-content/uploads/2015/08/Instrukcja-W-V2B21.pdf" TargetMode="External"/><Relationship Id="rId18" Type="http://schemas.openxmlformats.org/officeDocument/2006/relationships/hyperlink" Target="https://www.baks.com.pl/wp-content/uploads/2015/08/Instrukcja-W-V3K21.pdf" TargetMode="External"/><Relationship Id="rId26" Type="http://schemas.openxmlformats.org/officeDocument/2006/relationships/hyperlink" Target="https://www.baks.com.pl/wp-content/uploads/2015/08/Instrukcja-W-H4K2-BI1.pdf" TargetMode="External"/><Relationship Id="rId3" Type="http://schemas.openxmlformats.org/officeDocument/2006/relationships/hyperlink" Target="https://www.baks.com.pl/wp-content/uploads/2015/08/Instrukcja-W-H4S21.pdf" TargetMode="External"/><Relationship Id="rId21" Type="http://schemas.openxmlformats.org/officeDocument/2006/relationships/hyperlink" Target="https://www.baks.com.pl/wp-content/uploads/2015/08/Instrukcja-W-V2B12.pdf" TargetMode="External"/><Relationship Id="rId34" Type="http://schemas.openxmlformats.org/officeDocument/2006/relationships/drawing" Target="../drawings/drawing5.xml"/><Relationship Id="rId7" Type="http://schemas.openxmlformats.org/officeDocument/2006/relationships/hyperlink" Target="https://www.baks.com.pl/wp-content/uploads/2015/08/Instrukcja-W-H5S21.pdf" TargetMode="External"/><Relationship Id="rId12" Type="http://schemas.openxmlformats.org/officeDocument/2006/relationships/hyperlink" Target="https://www.baks.com.pl/wp-content/uploads/2015/08/Instrukcja-W-V2G21.pdf" TargetMode="External"/><Relationship Id="rId17" Type="http://schemas.openxmlformats.org/officeDocument/2006/relationships/hyperlink" Target="https://www.baks.com.pl/wp-content/uploads/2015/08/Instrukcja-W-V3B21.pdf" TargetMode="External"/><Relationship Id="rId25" Type="http://schemas.openxmlformats.org/officeDocument/2006/relationships/hyperlink" Target="https://www.baks.com.pl/wp-content/uploads/2015/08/Instrukcja-W-H4B2-BI1.pdf" TargetMode="External"/><Relationship Id="rId33" Type="http://schemas.openxmlformats.org/officeDocument/2006/relationships/printerSettings" Target="../printerSettings/printerSettings5.bin"/><Relationship Id="rId2" Type="http://schemas.openxmlformats.org/officeDocument/2006/relationships/hyperlink" Target="https://www.baks.com.pl/wp-content/uploads/2015/08/Instrukcja-W-H4B21.pdf" TargetMode="External"/><Relationship Id="rId16" Type="http://schemas.openxmlformats.org/officeDocument/2006/relationships/hyperlink" Target="https://www.baks.com.pl/wp-content/uploads/2015/08/Instrukcja-W-V3G21.pdf" TargetMode="External"/><Relationship Id="rId20" Type="http://schemas.openxmlformats.org/officeDocument/2006/relationships/hyperlink" Target="https://www.baks.com.pl/wp-content/uploads/2015/08/Instrukcja-W-V2G12.pdf" TargetMode="External"/><Relationship Id="rId29" Type="http://schemas.openxmlformats.org/officeDocument/2006/relationships/hyperlink" Target="https://www.baks.com.pl/wp-content/uploads/2015/08/W-V2B2-BI1.pdf" TargetMode="External"/><Relationship Id="rId1" Type="http://schemas.openxmlformats.org/officeDocument/2006/relationships/hyperlink" Target="https://www.baks.com.pl/wp-content/uploads/2015/08/Instrukcja-W-H4G21.pdf" TargetMode="External"/><Relationship Id="rId6" Type="http://schemas.openxmlformats.org/officeDocument/2006/relationships/hyperlink" Target="https://www.baks.com.pl/wp-content/uploads/2015/08/Instrukcja-W-H5K21.pdf" TargetMode="External"/><Relationship Id="rId11" Type="http://schemas.openxmlformats.org/officeDocument/2006/relationships/hyperlink" Target="https://www.baks.com.pl/wp-content/uploads/2015/08/Instrukcja-W-H6S22.pdf" TargetMode="External"/><Relationship Id="rId24" Type="http://schemas.openxmlformats.org/officeDocument/2006/relationships/hyperlink" Target="https://www.baks.com.pl/wp-content/uploads/2015/08/Instrukcja-W-H4G2-BI1.pdf" TargetMode="External"/><Relationship Id="rId32" Type="http://schemas.openxmlformats.org/officeDocument/2006/relationships/hyperlink" Target="https://www.baks.com.pl/wp-content/uploads/2015/08/Instrukcja-W-H4K21.pdf" TargetMode="External"/><Relationship Id="rId5" Type="http://schemas.openxmlformats.org/officeDocument/2006/relationships/hyperlink" Target="https://www.baks.com.pl/wp-content/uploads/2015/08/Instrukcja-W-H5B21.pdf" TargetMode="External"/><Relationship Id="rId15" Type="http://schemas.openxmlformats.org/officeDocument/2006/relationships/hyperlink" Target="https://www.baks.com.pl/wp-content/uploads/2015/08/Instrukcja-W-V2S21.pdf" TargetMode="External"/><Relationship Id="rId23" Type="http://schemas.openxmlformats.org/officeDocument/2006/relationships/hyperlink" Target="https://www.baks.com.pl/wp-content/uploads/2015/08/Instrukcja-W-V2S12.pdf" TargetMode="External"/><Relationship Id="rId28" Type="http://schemas.openxmlformats.org/officeDocument/2006/relationships/hyperlink" Target="https://www.baks.com.pl/wp-content/uploads/2015/08/W-V2G2-BI1.pdf" TargetMode="External"/><Relationship Id="rId36" Type="http://schemas.openxmlformats.org/officeDocument/2006/relationships/comments" Target="../comments5.xml"/><Relationship Id="rId10" Type="http://schemas.openxmlformats.org/officeDocument/2006/relationships/hyperlink" Target="https://www.baks.com.pl/wp-content/uploads/2015/08/Instrukcja-W-H6K22.pdf" TargetMode="External"/><Relationship Id="rId19" Type="http://schemas.openxmlformats.org/officeDocument/2006/relationships/hyperlink" Target="https://www.baks.com.pl/wp-content/uploads/2015/08/Instrukcja-W-V3S21.pdf" TargetMode="External"/><Relationship Id="rId31" Type="http://schemas.openxmlformats.org/officeDocument/2006/relationships/hyperlink" Target="https://www.baks.com.pl/wp-content/uploads/2015/08/W-V2S2-BI1.pdf" TargetMode="External"/><Relationship Id="rId4" Type="http://schemas.openxmlformats.org/officeDocument/2006/relationships/hyperlink" Target="https://www.baks.com.pl/wp-content/uploads/2015/08/Instrukcja-W-H5G21.pdf" TargetMode="External"/><Relationship Id="rId9" Type="http://schemas.openxmlformats.org/officeDocument/2006/relationships/hyperlink" Target="https://www.baks.com.pl/wp-content/uploads/2015/08/Instrukcja-W-H6B22.pdf" TargetMode="External"/><Relationship Id="rId14" Type="http://schemas.openxmlformats.org/officeDocument/2006/relationships/hyperlink" Target="https://www.baks.com.pl/wp-content/uploads/2015/08/Instrukcja-W-V2K21.pdf" TargetMode="External"/><Relationship Id="rId22" Type="http://schemas.openxmlformats.org/officeDocument/2006/relationships/hyperlink" Target="https://www.baks.com.pl/wp-content/uploads/2015/08/Instrukcja-W-V2K12.pdf" TargetMode="External"/><Relationship Id="rId27" Type="http://schemas.openxmlformats.org/officeDocument/2006/relationships/hyperlink" Target="https://www.baks.com.pl/wp-content/uploads/2015/08/Instrukcja-W-H4S2-BI1.pdf" TargetMode="External"/><Relationship Id="rId30" Type="http://schemas.openxmlformats.org/officeDocument/2006/relationships/hyperlink" Target="https://www.baks.com.pl/wp-content/uploads/2015/08/W-V2K2-BI1.pdf" TargetMode="External"/><Relationship Id="rId35" Type="http://schemas.openxmlformats.org/officeDocument/2006/relationships/vmlDrawing" Target="../drawings/vmlDrawing5.vml"/><Relationship Id="rId8" Type="http://schemas.openxmlformats.org/officeDocument/2006/relationships/hyperlink" Target="https://www.baks.com.pl/wp-content/uploads/2015/08/Instrukcja-W-H6G22.pdf" TargetMode="Externa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hyperlink" Target="https://www.baks.com.pl/wp-content/uploads/2015/08/Instrukcja-W-V2B21.pdf" TargetMode="External"/><Relationship Id="rId18" Type="http://schemas.openxmlformats.org/officeDocument/2006/relationships/hyperlink" Target="https://www.baks.com.pl/wp-content/uploads/2015/08/Instrukcja-W-V3K21.pdf" TargetMode="External"/><Relationship Id="rId26" Type="http://schemas.openxmlformats.org/officeDocument/2006/relationships/hyperlink" Target="https://www.baks.com.pl/wp-content/uploads/2015/08/Instrukcja-W-H4K2-BI1.pdf" TargetMode="External"/><Relationship Id="rId3" Type="http://schemas.openxmlformats.org/officeDocument/2006/relationships/hyperlink" Target="https://www.baks.com.pl/wp-content/uploads/2015/08/Instrukcja-W-H4S21.pdf" TargetMode="External"/><Relationship Id="rId21" Type="http://schemas.openxmlformats.org/officeDocument/2006/relationships/hyperlink" Target="https://www.baks.com.pl/wp-content/uploads/2015/08/Instrukcja-W-V2B12.pdf" TargetMode="External"/><Relationship Id="rId34" Type="http://schemas.openxmlformats.org/officeDocument/2006/relationships/drawing" Target="../drawings/drawing6.xml"/><Relationship Id="rId7" Type="http://schemas.openxmlformats.org/officeDocument/2006/relationships/hyperlink" Target="https://www.baks.com.pl/wp-content/uploads/2015/08/Instrukcja-W-H5S21.pdf" TargetMode="External"/><Relationship Id="rId12" Type="http://schemas.openxmlformats.org/officeDocument/2006/relationships/hyperlink" Target="https://www.baks.com.pl/wp-content/uploads/2015/08/Instrukcja-W-V2G21.pdf" TargetMode="External"/><Relationship Id="rId17" Type="http://schemas.openxmlformats.org/officeDocument/2006/relationships/hyperlink" Target="https://www.baks.com.pl/wp-content/uploads/2015/08/Instrukcja-W-V3B21.pdf" TargetMode="External"/><Relationship Id="rId25" Type="http://schemas.openxmlformats.org/officeDocument/2006/relationships/hyperlink" Target="https://www.baks.com.pl/wp-content/uploads/2015/08/Instrukcja-W-H4B2-BI1.pdf" TargetMode="External"/><Relationship Id="rId33" Type="http://schemas.openxmlformats.org/officeDocument/2006/relationships/printerSettings" Target="../printerSettings/printerSettings6.bin"/><Relationship Id="rId2" Type="http://schemas.openxmlformats.org/officeDocument/2006/relationships/hyperlink" Target="https://www.baks.com.pl/wp-content/uploads/2015/08/Instrukcja-W-H4B21.pdf" TargetMode="External"/><Relationship Id="rId16" Type="http://schemas.openxmlformats.org/officeDocument/2006/relationships/hyperlink" Target="https://www.baks.com.pl/wp-content/uploads/2015/08/Instrukcja-W-V3G21.pdf" TargetMode="External"/><Relationship Id="rId20" Type="http://schemas.openxmlformats.org/officeDocument/2006/relationships/hyperlink" Target="https://www.baks.com.pl/wp-content/uploads/2015/08/Instrukcja-W-V2G12.pdf" TargetMode="External"/><Relationship Id="rId29" Type="http://schemas.openxmlformats.org/officeDocument/2006/relationships/hyperlink" Target="https://www.baks.com.pl/wp-content/uploads/2015/08/W-V2B2-BI1.pdf" TargetMode="External"/><Relationship Id="rId1" Type="http://schemas.openxmlformats.org/officeDocument/2006/relationships/hyperlink" Target="https://www.baks.com.pl/wp-content/uploads/2015/08/Instrukcja-W-H4G21.pdf" TargetMode="External"/><Relationship Id="rId6" Type="http://schemas.openxmlformats.org/officeDocument/2006/relationships/hyperlink" Target="https://www.baks.com.pl/wp-content/uploads/2015/08/Instrukcja-W-H5K21.pdf" TargetMode="External"/><Relationship Id="rId11" Type="http://schemas.openxmlformats.org/officeDocument/2006/relationships/hyperlink" Target="https://www.baks.com.pl/wp-content/uploads/2015/08/Instrukcja-W-H6S22.pdf" TargetMode="External"/><Relationship Id="rId24" Type="http://schemas.openxmlformats.org/officeDocument/2006/relationships/hyperlink" Target="https://www.baks.com.pl/wp-content/uploads/2015/08/Instrukcja-W-H4G2-BI1.pdf" TargetMode="External"/><Relationship Id="rId32" Type="http://schemas.openxmlformats.org/officeDocument/2006/relationships/hyperlink" Target="https://www.baks.com.pl/wp-content/uploads/2015/08/Instrukcja-W-H4K21.pdf" TargetMode="External"/><Relationship Id="rId5" Type="http://schemas.openxmlformats.org/officeDocument/2006/relationships/hyperlink" Target="https://www.baks.com.pl/wp-content/uploads/2015/08/Instrukcja-W-H5B21.pdf" TargetMode="External"/><Relationship Id="rId15" Type="http://schemas.openxmlformats.org/officeDocument/2006/relationships/hyperlink" Target="https://www.baks.com.pl/wp-content/uploads/2015/08/Instrukcja-W-V2S21.pdf" TargetMode="External"/><Relationship Id="rId23" Type="http://schemas.openxmlformats.org/officeDocument/2006/relationships/hyperlink" Target="https://www.baks.com.pl/wp-content/uploads/2015/08/Instrukcja-W-V2S12.pdf" TargetMode="External"/><Relationship Id="rId28" Type="http://schemas.openxmlformats.org/officeDocument/2006/relationships/hyperlink" Target="https://www.baks.com.pl/wp-content/uploads/2015/08/W-V2G2-BI1.pdf" TargetMode="External"/><Relationship Id="rId36" Type="http://schemas.openxmlformats.org/officeDocument/2006/relationships/comments" Target="../comments6.xml"/><Relationship Id="rId10" Type="http://schemas.openxmlformats.org/officeDocument/2006/relationships/hyperlink" Target="https://www.baks.com.pl/wp-content/uploads/2015/08/Instrukcja-W-H6K22.pdf" TargetMode="External"/><Relationship Id="rId19" Type="http://schemas.openxmlformats.org/officeDocument/2006/relationships/hyperlink" Target="https://www.baks.com.pl/wp-content/uploads/2015/08/Instrukcja-W-V3S21.pdf" TargetMode="External"/><Relationship Id="rId31" Type="http://schemas.openxmlformats.org/officeDocument/2006/relationships/hyperlink" Target="https://www.baks.com.pl/wp-content/uploads/2015/08/W-V2S2-BI1.pdf" TargetMode="External"/><Relationship Id="rId4" Type="http://schemas.openxmlformats.org/officeDocument/2006/relationships/hyperlink" Target="https://www.baks.com.pl/wp-content/uploads/2015/08/Instrukcja-W-H5G21.pdf" TargetMode="External"/><Relationship Id="rId9" Type="http://schemas.openxmlformats.org/officeDocument/2006/relationships/hyperlink" Target="https://www.baks.com.pl/wp-content/uploads/2015/08/Instrukcja-W-H6B22.pdf" TargetMode="External"/><Relationship Id="rId14" Type="http://schemas.openxmlformats.org/officeDocument/2006/relationships/hyperlink" Target="https://www.baks.com.pl/wp-content/uploads/2015/08/Instrukcja-W-V2K21.pdf" TargetMode="External"/><Relationship Id="rId22" Type="http://schemas.openxmlformats.org/officeDocument/2006/relationships/hyperlink" Target="https://www.baks.com.pl/wp-content/uploads/2015/08/Instrukcja-W-V2K12.pdf" TargetMode="External"/><Relationship Id="rId27" Type="http://schemas.openxmlformats.org/officeDocument/2006/relationships/hyperlink" Target="https://www.baks.com.pl/wp-content/uploads/2015/08/Instrukcja-W-H4S2-BI1.pdf" TargetMode="External"/><Relationship Id="rId30" Type="http://schemas.openxmlformats.org/officeDocument/2006/relationships/hyperlink" Target="https://www.baks.com.pl/wp-content/uploads/2015/08/W-V2K2-BI1.pdf" TargetMode="External"/><Relationship Id="rId35" Type="http://schemas.openxmlformats.org/officeDocument/2006/relationships/vmlDrawing" Target="../drawings/vmlDrawing6.vml"/><Relationship Id="rId8" Type="http://schemas.openxmlformats.org/officeDocument/2006/relationships/hyperlink" Target="https://www.baks.com.pl/wp-content/uploads/2015/08/Instrukcja-W-H6G22.pdf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7.bin"/><Relationship Id="rId2" Type="http://schemas.openxmlformats.org/officeDocument/2006/relationships/hyperlink" Target="https://www.baks.com.pl/wp-content/uploads/2015/08/E-VKTN1.pdf" TargetMode="External"/><Relationship Id="rId1" Type="http://schemas.openxmlformats.org/officeDocument/2006/relationships/hyperlink" Target="https://www.baks.com.pl/wp-content/uploads/2015/08/E-VKRN1.pdf" TargetMode="External"/><Relationship Id="rId6" Type="http://schemas.openxmlformats.org/officeDocument/2006/relationships/comments" Target="../comments7.xml"/><Relationship Id="rId5" Type="http://schemas.openxmlformats.org/officeDocument/2006/relationships/vmlDrawing" Target="../drawings/vmlDrawing7.vml"/><Relationship Id="rId4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https://eur04.safelinks.protection.outlook.com/?url=https%3A%2F%2Fwww.baks.com.pl%2Fwp-content%2Fuploads%2F2015%2F08%2FMontaz-carportu-DK2O.pdf&amp;data=05%7C02%7Cmarek.cedrowski%40baks.com.pl%7Cbc19725c145d4a29f6e808de67e3f85e%7C8af407175c6944bda87253599531b7a3%7C0%7C0%7C639062426094049256%7CUnknown%7CTWFpbGZsb3d8eyJFbXB0eU1hcGkiOnRydWUsIlYiOiIwLjAuMDAwMCIsIlAiOiJXaW4zMiIsIkFOIjoiTWFpbCIsIldUIjoyfQ%3D%3D%7C0%7C%7C%7C&amp;sdata=y9eamJ3AfG299cc5SzHYAdZiXfD6bN7NQiZltr1QHLA%3D&amp;reserved=0" TargetMode="External"/><Relationship Id="rId3" Type="http://schemas.openxmlformats.org/officeDocument/2006/relationships/hyperlink" Target="https://eur04.safelinks.protection.outlook.com/?url=https%3A%2F%2Fwww.baks.com.pl%2Fwp-content%2Fuploads%2F2015%2F08%2FInstrukcja-montazu-Carportu-K1O.pdf&amp;data=05%7C02%7Cmarek.cedrowski%40baks.com.pl%7Cbc19725c145d4a29f6e808de67e3f85e%7C8af407175c6944bda87253599531b7a3%7C0%7C0%7C639062426093869003%7CUnknown%7CTWFpbGZsb3d8eyJFbXB0eU1hcGkiOnRydWUsIlYiOiIwLjAuMDAwMCIsIlAiOiJXaW4zMiIsIkFOIjoiTWFpbCIsIldUIjoyfQ%3D%3D%7C0%7C%7C%7C&amp;sdata=v5aztHV7%2FlYh8xEz9W0Zs7sZx%2BolpluSsWAIuvZp%2Flc%3D&amp;reserved=0" TargetMode="External"/><Relationship Id="rId7" Type="http://schemas.openxmlformats.org/officeDocument/2006/relationships/hyperlink" Target="https://eur04.safelinks.protection.outlook.com/?url=https%3A%2F%2Fwww.baks.com.pl%2Fwp-content%2Fuploads%2F2015%2F08%2FInstrukcja-montazu-dostawki-Carportu-DK2-1.pdf&amp;data=05%7C02%7Cmarek.cedrowski%40baks.com.pl%7Cbc19725c145d4a29f6e808de67e3f85e%7C8af407175c6944bda87253599531b7a3%7C0%7C0%7C639062426094014139%7CUnknown%7CTWFpbGZsb3d8eyJFbXB0eU1hcGkiOnRydWUsIlYiOiIwLjAuMDAwMCIsIlAiOiJXaW4zMiIsIkFOIjoiTWFpbCIsIldUIjoyfQ%3D%3D%7C0%7C%7C%7C&amp;sdata=yry1Hfq8XrIALiCg2N6SnhZeIBRvyt6SZPU0pn%2FB2do%3D&amp;reserved=0" TargetMode="External"/><Relationship Id="rId2" Type="http://schemas.openxmlformats.org/officeDocument/2006/relationships/hyperlink" Target="https://eur04.safelinks.protection.outlook.com/?url=https%3A%2F%2Fwww.baks.com.pl%2Fwp-content%2Fuploads%2F2015%2F08%2FInstrukcja-montazu-Carportu-K1.pdf&amp;data=05%7C02%7Cmarek.cedrowski%40baks.com.pl%7Cbc19725c145d4a29f6e808de67e3f85e%7C8af407175c6944bda87253599531b7a3%7C0%7C0%7C639062426093836913%7CUnknown%7CTWFpbGZsb3d8eyJFbXB0eU1hcGkiOnRydWUsIlYiOiIwLjAuMDAwMCIsIlAiOiJXaW4zMiIsIkFOIjoiTWFpbCIsIldUIjoyfQ%3D%3D%7C0%7C%7C%7C&amp;sdata=i5zhWuTXjtzA4CCmSPunmHjPm9CBfq%2FZE6hdGGCZcJE%3D&amp;reserved=0" TargetMode="External"/><Relationship Id="rId1" Type="http://schemas.openxmlformats.org/officeDocument/2006/relationships/hyperlink" Target="https://www.baks.com.pl/wp-content/uploads/2015/08/Stacja-do-ladowania.pdf" TargetMode="External"/><Relationship Id="rId6" Type="http://schemas.openxmlformats.org/officeDocument/2006/relationships/hyperlink" Target="https://eur04.safelinks.protection.outlook.com/?url=https%3A%2F%2Fwww.baks.com.pl%2Fwp-content%2Fuploads%2F2015%2F08%2FInstrukcja-montazu-Carportu-K2O.pdf&amp;data=05%7C02%7Cmarek.cedrowski%40baks.com.pl%7Cbc19725c145d4a29f6e808de67e3f85e%7C8af407175c6944bda87253599531b7a3%7C0%7C0%7C639062426093977088%7CUnknown%7CTWFpbGZsb3d8eyJFbXB0eU1hcGkiOnRydWUsIlYiOiIwLjAuMDAwMCIsIlAiOiJXaW4zMiIsIkFOIjoiTWFpbCIsIldUIjoyfQ%3D%3D%7C0%7C%7C%7C&amp;sdata=adUTlEkvXuF3QXe6x2tIaWY9YO0UvZb2Uwsr7ctFaEE%3D&amp;reserved=0" TargetMode="External"/><Relationship Id="rId5" Type="http://schemas.openxmlformats.org/officeDocument/2006/relationships/hyperlink" Target="https://eur04.safelinks.protection.outlook.com/?url=https%3A%2F%2Fwww.baks.com.pl%2Fwp-content%2Fuploads%2F2015%2F08%2FInstrukcja-montazu-Carportu-K2-1.pdf&amp;data=05%7C02%7Cmarek.cedrowski%40baks.com.pl%7Cbc19725c145d4a29f6e808de67e3f85e%7C8af407175c6944bda87253599531b7a3%7C0%7C0%7C639062426093939578%7CUnknown%7CTWFpbGZsb3d8eyJFbXB0eU1hcGkiOnRydWUsIlYiOiIwLjAuMDAwMCIsIlAiOiJXaW4zMiIsIkFOIjoiTWFpbCIsIldUIjoyfQ%3D%3D%7C0%7C%7C%7C&amp;sdata=4F5dM1iFoZaEk3p4emcVHyE6uZGviheEVIZxUOnfa70%3D&amp;reserved=0" TargetMode="External"/><Relationship Id="rId10" Type="http://schemas.openxmlformats.org/officeDocument/2006/relationships/drawing" Target="../drawings/drawing8.xml"/><Relationship Id="rId4" Type="http://schemas.openxmlformats.org/officeDocument/2006/relationships/hyperlink" Target="https://eur04.safelinks.protection.outlook.com/?url=https%3A%2F%2Fwww.baks.com.pl%2Fwp-content%2Fuploads%2F2015%2F08%2FInstrukcja-montazu-dostawki-Carportu-DK1O.pdf&amp;data=05%7C02%7Cmarek.cedrowski%40baks.com.pl%7Cbc19725c145d4a29f6e808de67e3f85e%7C8af407175c6944bda87253599531b7a3%7C0%7C0%7C639062426093903111%7CUnknown%7CTWFpbGZsb3d8eyJFbXB0eU1hcGkiOnRydWUsIlYiOiIwLjAuMDAwMCIsIlAiOiJXaW4zMiIsIkFOIjoiTWFpbCIsIldUIjoyfQ%3D%3D%7C0%7C%7C%7C&amp;sdata=EIbtQ9RHSG%2FHjO1RwWIhSvbs%2BNvuaZ0Ome8af3rLdXk%3D&amp;reserved=0" TargetMode="External"/><Relationship Id="rId9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Arkusz7"/>
  <dimension ref="A1:V419"/>
  <sheetViews>
    <sheetView showGridLines="0" tabSelected="1" zoomScale="85" zoomScaleNormal="85" workbookViewId="0">
      <selection activeCell="H55" sqref="H55"/>
    </sheetView>
  </sheetViews>
  <sheetFormatPr defaultColWidth="0" defaultRowHeight="15" zeroHeight="1" x14ac:dyDescent="0.25"/>
  <cols>
    <col min="1" max="22" width="9.140625" style="1" customWidth="1"/>
    <col min="23" max="16384" width="9.140625" style="1" hidden="1"/>
  </cols>
  <sheetData>
    <row r="1" x14ac:dyDescent="0.25"/>
    <row r="2" x14ac:dyDescent="0.25"/>
    <row r="3" x14ac:dyDescent="0.25"/>
    <row r="4" x14ac:dyDescent="0.25"/>
    <row r="5" x14ac:dyDescent="0.25"/>
    <row r="6" x14ac:dyDescent="0.25"/>
    <row r="7" x14ac:dyDescent="0.25"/>
    <row r="8" x14ac:dyDescent="0.25"/>
    <row r="9" x14ac:dyDescent="0.25"/>
    <row r="10" x14ac:dyDescent="0.25"/>
    <row r="11" x14ac:dyDescent="0.25"/>
    <row r="12" x14ac:dyDescent="0.25"/>
    <row r="13" x14ac:dyDescent="0.25"/>
    <row r="14" x14ac:dyDescent="0.25"/>
    <row r="15" x14ac:dyDescent="0.25"/>
    <row r="16" x14ac:dyDescent="0.25"/>
    <row r="17" x14ac:dyDescent="0.25"/>
    <row r="18" x14ac:dyDescent="0.25"/>
    <row r="19" x14ac:dyDescent="0.25"/>
    <row r="20" x14ac:dyDescent="0.25"/>
    <row r="21" x14ac:dyDescent="0.25"/>
    <row r="22" x14ac:dyDescent="0.25"/>
    <row r="23" x14ac:dyDescent="0.25"/>
    <row r="24" x14ac:dyDescent="0.25"/>
    <row r="25" x14ac:dyDescent="0.25"/>
    <row r="26" x14ac:dyDescent="0.25"/>
    <row r="27" x14ac:dyDescent="0.25"/>
    <row r="28" x14ac:dyDescent="0.25"/>
    <row r="29" x14ac:dyDescent="0.25"/>
    <row r="30" x14ac:dyDescent="0.25"/>
    <row r="31" x14ac:dyDescent="0.25"/>
    <row r="32" x14ac:dyDescent="0.25"/>
    <row r="33" x14ac:dyDescent="0.25"/>
    <row r="34" x14ac:dyDescent="0.25"/>
    <row r="35" x14ac:dyDescent="0.25"/>
    <row r="36" x14ac:dyDescent="0.25"/>
    <row r="37" x14ac:dyDescent="0.25"/>
    <row r="38" x14ac:dyDescent="0.25"/>
    <row r="39" x14ac:dyDescent="0.25"/>
    <row r="40" x14ac:dyDescent="0.25"/>
    <row r="41" x14ac:dyDescent="0.25"/>
    <row r="42" x14ac:dyDescent="0.25"/>
    <row r="43" x14ac:dyDescent="0.25"/>
    <row r="44" x14ac:dyDescent="0.25"/>
    <row r="45" x14ac:dyDescent="0.25"/>
    <row r="46" x14ac:dyDescent="0.25"/>
    <row r="47" x14ac:dyDescent="0.25"/>
    <row r="48" x14ac:dyDescent="0.25"/>
    <row r="49" x14ac:dyDescent="0.25"/>
    <row r="50" x14ac:dyDescent="0.25"/>
    <row r="51" x14ac:dyDescent="0.25"/>
    <row r="52" x14ac:dyDescent="0.25"/>
    <row r="53" x14ac:dyDescent="0.25"/>
    <row r="54" x14ac:dyDescent="0.25"/>
    <row r="55" x14ac:dyDescent="0.25"/>
    <row r="56" x14ac:dyDescent="0.25"/>
    <row r="57" x14ac:dyDescent="0.25"/>
    <row r="58" x14ac:dyDescent="0.25"/>
    <row r="59" x14ac:dyDescent="0.25"/>
    <row r="60" x14ac:dyDescent="0.25"/>
    <row r="61" x14ac:dyDescent="0.25"/>
    <row r="62" x14ac:dyDescent="0.25"/>
    <row r="63" x14ac:dyDescent="0.25"/>
    <row r="64" x14ac:dyDescent="0.25"/>
    <row r="65" x14ac:dyDescent="0.25"/>
    <row r="66" x14ac:dyDescent="0.25"/>
    <row r="67" x14ac:dyDescent="0.25"/>
    <row r="68" x14ac:dyDescent="0.25"/>
    <row r="69" x14ac:dyDescent="0.25"/>
    <row r="70" x14ac:dyDescent="0.25"/>
    <row r="71" x14ac:dyDescent="0.25"/>
    <row r="72" x14ac:dyDescent="0.25"/>
    <row r="73" x14ac:dyDescent="0.25"/>
    <row r="74" x14ac:dyDescent="0.25"/>
    <row r="75" x14ac:dyDescent="0.25"/>
    <row r="76" x14ac:dyDescent="0.25"/>
    <row r="77" x14ac:dyDescent="0.25"/>
    <row r="78" x14ac:dyDescent="0.25"/>
    <row r="79" x14ac:dyDescent="0.25"/>
    <row r="80" x14ac:dyDescent="0.25"/>
    <row r="81" x14ac:dyDescent="0.25"/>
    <row r="82" x14ac:dyDescent="0.25"/>
    <row r="83" x14ac:dyDescent="0.25"/>
    <row r="84" x14ac:dyDescent="0.25"/>
    <row r="85" x14ac:dyDescent="0.25"/>
    <row r="86" x14ac:dyDescent="0.25"/>
    <row r="87" x14ac:dyDescent="0.25"/>
    <row r="88" x14ac:dyDescent="0.25"/>
    <row r="89" x14ac:dyDescent="0.25"/>
    <row r="90" x14ac:dyDescent="0.25"/>
    <row r="91" x14ac:dyDescent="0.25"/>
    <row r="92" x14ac:dyDescent="0.25"/>
    <row r="93" x14ac:dyDescent="0.25"/>
    <row r="94" x14ac:dyDescent="0.25"/>
    <row r="95" x14ac:dyDescent="0.25"/>
    <row r="96" x14ac:dyDescent="0.25"/>
    <row r="97" x14ac:dyDescent="0.25"/>
    <row r="98" x14ac:dyDescent="0.25"/>
    <row r="99" x14ac:dyDescent="0.25"/>
    <row r="100" x14ac:dyDescent="0.25"/>
    <row r="101" x14ac:dyDescent="0.25"/>
    <row r="102" x14ac:dyDescent="0.25"/>
    <row r="103" x14ac:dyDescent="0.25"/>
    <row r="104" x14ac:dyDescent="0.25"/>
    <row r="105" x14ac:dyDescent="0.25"/>
    <row r="106" x14ac:dyDescent="0.25"/>
    <row r="107" x14ac:dyDescent="0.25"/>
    <row r="108" x14ac:dyDescent="0.25"/>
    <row r="109" x14ac:dyDescent="0.25"/>
    <row r="110" x14ac:dyDescent="0.25"/>
    <row r="111" x14ac:dyDescent="0.25"/>
    <row r="112" x14ac:dyDescent="0.25"/>
    <row r="113" x14ac:dyDescent="0.25"/>
    <row r="114" x14ac:dyDescent="0.25"/>
    <row r="115" x14ac:dyDescent="0.25"/>
    <row r="116" x14ac:dyDescent="0.25"/>
    <row r="117" x14ac:dyDescent="0.25"/>
    <row r="118" x14ac:dyDescent="0.25"/>
    <row r="119" x14ac:dyDescent="0.25"/>
    <row r="120" x14ac:dyDescent="0.25"/>
    <row r="121" x14ac:dyDescent="0.25"/>
    <row r="122" x14ac:dyDescent="0.25"/>
    <row r="123" x14ac:dyDescent="0.25"/>
    <row r="124" x14ac:dyDescent="0.25"/>
    <row r="125" x14ac:dyDescent="0.25"/>
    <row r="126" x14ac:dyDescent="0.25"/>
    <row r="127" x14ac:dyDescent="0.25"/>
    <row r="128" x14ac:dyDescent="0.25"/>
    <row r="129" x14ac:dyDescent="0.25"/>
    <row r="130" x14ac:dyDescent="0.25"/>
    <row r="131" x14ac:dyDescent="0.25"/>
    <row r="132" x14ac:dyDescent="0.25"/>
    <row r="133" x14ac:dyDescent="0.25"/>
    <row r="134" x14ac:dyDescent="0.25"/>
    <row r="135" x14ac:dyDescent="0.25"/>
    <row r="136" x14ac:dyDescent="0.25"/>
    <row r="137" x14ac:dyDescent="0.25"/>
    <row r="138" x14ac:dyDescent="0.25"/>
    <row r="139" x14ac:dyDescent="0.25"/>
    <row r="140" x14ac:dyDescent="0.25"/>
    <row r="141" x14ac:dyDescent="0.25"/>
    <row r="142" x14ac:dyDescent="0.25"/>
    <row r="143" x14ac:dyDescent="0.25"/>
    <row r="144" x14ac:dyDescent="0.25"/>
    <row r="145" x14ac:dyDescent="0.25"/>
    <row r="146" x14ac:dyDescent="0.25"/>
    <row r="147" x14ac:dyDescent="0.25"/>
    <row r="148" x14ac:dyDescent="0.25"/>
    <row r="149" x14ac:dyDescent="0.25"/>
    <row r="150" x14ac:dyDescent="0.25"/>
    <row r="151" x14ac:dyDescent="0.25"/>
    <row r="152" x14ac:dyDescent="0.25"/>
    <row r="153" x14ac:dyDescent="0.25"/>
    <row r="154" x14ac:dyDescent="0.25"/>
    <row r="155" x14ac:dyDescent="0.25"/>
    <row r="156" x14ac:dyDescent="0.25"/>
    <row r="157" x14ac:dyDescent="0.25"/>
    <row r="158" x14ac:dyDescent="0.25"/>
    <row r="159" x14ac:dyDescent="0.25"/>
    <row r="160" x14ac:dyDescent="0.25"/>
    <row r="161" x14ac:dyDescent="0.25"/>
    <row r="162" x14ac:dyDescent="0.25"/>
    <row r="163" x14ac:dyDescent="0.25"/>
    <row r="164" x14ac:dyDescent="0.25"/>
    <row r="165" x14ac:dyDescent="0.25"/>
    <row r="166" x14ac:dyDescent="0.25"/>
    <row r="167" x14ac:dyDescent="0.25"/>
    <row r="168" x14ac:dyDescent="0.25"/>
    <row r="169" x14ac:dyDescent="0.25"/>
    <row r="170" x14ac:dyDescent="0.25"/>
    <row r="171" x14ac:dyDescent="0.25"/>
    <row r="172" x14ac:dyDescent="0.25"/>
    <row r="173" x14ac:dyDescent="0.25"/>
    <row r="174" x14ac:dyDescent="0.25"/>
    <row r="175" x14ac:dyDescent="0.25"/>
    <row r="176" x14ac:dyDescent="0.25"/>
    <row r="177" x14ac:dyDescent="0.25"/>
    <row r="178" x14ac:dyDescent="0.25"/>
    <row r="179" x14ac:dyDescent="0.25"/>
    <row r="180" x14ac:dyDescent="0.25"/>
    <row r="181" x14ac:dyDescent="0.25"/>
    <row r="182" x14ac:dyDescent="0.25"/>
    <row r="183" x14ac:dyDescent="0.25"/>
    <row r="184" x14ac:dyDescent="0.25"/>
    <row r="185" x14ac:dyDescent="0.25"/>
    <row r="186" x14ac:dyDescent="0.25"/>
    <row r="187" x14ac:dyDescent="0.25"/>
    <row r="188" x14ac:dyDescent="0.25"/>
    <row r="189" x14ac:dyDescent="0.25"/>
    <row r="190" x14ac:dyDescent="0.25"/>
    <row r="191" x14ac:dyDescent="0.25"/>
    <row r="192" x14ac:dyDescent="0.25"/>
    <row r="193" x14ac:dyDescent="0.25"/>
    <row r="194" x14ac:dyDescent="0.25"/>
    <row r="195" x14ac:dyDescent="0.25"/>
    <row r="196" x14ac:dyDescent="0.25"/>
    <row r="197" x14ac:dyDescent="0.25"/>
    <row r="198" x14ac:dyDescent="0.25"/>
    <row r="199" x14ac:dyDescent="0.25"/>
    <row r="200" x14ac:dyDescent="0.25"/>
    <row r="201" x14ac:dyDescent="0.25"/>
    <row r="202" x14ac:dyDescent="0.25"/>
    <row r="203" x14ac:dyDescent="0.25"/>
    <row r="204" x14ac:dyDescent="0.25"/>
    <row r="205" x14ac:dyDescent="0.25"/>
    <row r="206" x14ac:dyDescent="0.25"/>
    <row r="207" x14ac:dyDescent="0.25"/>
    <row r="208" x14ac:dyDescent="0.25"/>
    <row r="209" x14ac:dyDescent="0.25"/>
    <row r="210" x14ac:dyDescent="0.25"/>
    <row r="211" x14ac:dyDescent="0.25"/>
    <row r="212" x14ac:dyDescent="0.25"/>
    <row r="213" x14ac:dyDescent="0.25"/>
    <row r="214" x14ac:dyDescent="0.25"/>
    <row r="215" x14ac:dyDescent="0.25"/>
    <row r="216" x14ac:dyDescent="0.25"/>
    <row r="217" x14ac:dyDescent="0.25"/>
    <row r="218" x14ac:dyDescent="0.25"/>
    <row r="219" x14ac:dyDescent="0.25"/>
    <row r="220" x14ac:dyDescent="0.25"/>
    <row r="221" x14ac:dyDescent="0.25"/>
    <row r="222" x14ac:dyDescent="0.25"/>
    <row r="223" x14ac:dyDescent="0.25"/>
    <row r="224" x14ac:dyDescent="0.25"/>
    <row r="225" x14ac:dyDescent="0.25"/>
    <row r="226" x14ac:dyDescent="0.25"/>
    <row r="227" x14ac:dyDescent="0.25"/>
    <row r="228" x14ac:dyDescent="0.25"/>
    <row r="229" x14ac:dyDescent="0.25"/>
    <row r="230" x14ac:dyDescent="0.25"/>
    <row r="231" x14ac:dyDescent="0.25"/>
    <row r="232" x14ac:dyDescent="0.25"/>
    <row r="233" x14ac:dyDescent="0.25"/>
    <row r="234" x14ac:dyDescent="0.25"/>
    <row r="235" x14ac:dyDescent="0.25"/>
    <row r="236" x14ac:dyDescent="0.25"/>
    <row r="237" x14ac:dyDescent="0.25"/>
    <row r="238" x14ac:dyDescent="0.25"/>
    <row r="239" x14ac:dyDescent="0.25"/>
    <row r="240" x14ac:dyDescent="0.25"/>
    <row r="241" x14ac:dyDescent="0.25"/>
    <row r="242" x14ac:dyDescent="0.25"/>
    <row r="243" x14ac:dyDescent="0.25"/>
    <row r="244" x14ac:dyDescent="0.25"/>
    <row r="245" x14ac:dyDescent="0.25"/>
    <row r="246" x14ac:dyDescent="0.25"/>
    <row r="247" x14ac:dyDescent="0.25"/>
    <row r="248" x14ac:dyDescent="0.25"/>
    <row r="249" x14ac:dyDescent="0.25"/>
    <row r="250" x14ac:dyDescent="0.25"/>
    <row r="251" x14ac:dyDescent="0.25"/>
    <row r="252" x14ac:dyDescent="0.25"/>
    <row r="253" x14ac:dyDescent="0.25"/>
    <row r="254" x14ac:dyDescent="0.25"/>
    <row r="255" x14ac:dyDescent="0.25"/>
    <row r="256" x14ac:dyDescent="0.25"/>
    <row r="257" x14ac:dyDescent="0.25"/>
    <row r="258" x14ac:dyDescent="0.25"/>
    <row r="259" x14ac:dyDescent="0.25"/>
    <row r="260" x14ac:dyDescent="0.25"/>
    <row r="261" x14ac:dyDescent="0.25"/>
    <row r="262" x14ac:dyDescent="0.25"/>
    <row r="263" x14ac:dyDescent="0.25"/>
    <row r="264" x14ac:dyDescent="0.25"/>
    <row r="265" x14ac:dyDescent="0.25"/>
    <row r="266" x14ac:dyDescent="0.25"/>
    <row r="267" x14ac:dyDescent="0.25"/>
    <row r="268" x14ac:dyDescent="0.25"/>
    <row r="269" x14ac:dyDescent="0.25"/>
    <row r="270" x14ac:dyDescent="0.25"/>
    <row r="271" x14ac:dyDescent="0.25"/>
    <row r="272" x14ac:dyDescent="0.25"/>
    <row r="273" x14ac:dyDescent="0.25"/>
    <row r="274" x14ac:dyDescent="0.25"/>
    <row r="275" x14ac:dyDescent="0.25"/>
    <row r="276" x14ac:dyDescent="0.25"/>
    <row r="277" x14ac:dyDescent="0.25"/>
    <row r="278" x14ac:dyDescent="0.25"/>
    <row r="279" x14ac:dyDescent="0.25"/>
    <row r="280" x14ac:dyDescent="0.25"/>
    <row r="281" x14ac:dyDescent="0.25"/>
    <row r="282" x14ac:dyDescent="0.25"/>
    <row r="283" x14ac:dyDescent="0.25"/>
    <row r="284" x14ac:dyDescent="0.25"/>
    <row r="285" x14ac:dyDescent="0.25"/>
    <row r="286" x14ac:dyDescent="0.25"/>
    <row r="287" x14ac:dyDescent="0.25"/>
    <row r="288" x14ac:dyDescent="0.25"/>
    <row r="289" x14ac:dyDescent="0.25"/>
    <row r="290" x14ac:dyDescent="0.25"/>
    <row r="291" x14ac:dyDescent="0.25"/>
    <row r="292" x14ac:dyDescent="0.25"/>
    <row r="293" x14ac:dyDescent="0.25"/>
    <row r="294" x14ac:dyDescent="0.25"/>
    <row r="295" x14ac:dyDescent="0.25"/>
    <row r="296" x14ac:dyDescent="0.25"/>
    <row r="297" x14ac:dyDescent="0.25"/>
    <row r="298" x14ac:dyDescent="0.25"/>
    <row r="299" x14ac:dyDescent="0.25"/>
    <row r="300" x14ac:dyDescent="0.25"/>
    <row r="301" x14ac:dyDescent="0.25"/>
    <row r="302" x14ac:dyDescent="0.25"/>
    <row r="303" x14ac:dyDescent="0.25"/>
    <row r="304" x14ac:dyDescent="0.25"/>
    <row r="305" x14ac:dyDescent="0.25"/>
    <row r="306" x14ac:dyDescent="0.25"/>
    <row r="307" x14ac:dyDescent="0.25"/>
    <row r="308" x14ac:dyDescent="0.25"/>
    <row r="309" x14ac:dyDescent="0.25"/>
    <row r="310" x14ac:dyDescent="0.25"/>
    <row r="311" x14ac:dyDescent="0.25"/>
    <row r="312" x14ac:dyDescent="0.25"/>
    <row r="313" x14ac:dyDescent="0.25"/>
    <row r="314" x14ac:dyDescent="0.25"/>
    <row r="315" x14ac:dyDescent="0.25"/>
    <row r="316" x14ac:dyDescent="0.25"/>
    <row r="317" x14ac:dyDescent="0.25"/>
    <row r="318" x14ac:dyDescent="0.25"/>
    <row r="319" x14ac:dyDescent="0.25"/>
    <row r="320" x14ac:dyDescent="0.25"/>
    <row r="321" x14ac:dyDescent="0.25"/>
    <row r="322" x14ac:dyDescent="0.25"/>
    <row r="323" x14ac:dyDescent="0.25"/>
    <row r="324" x14ac:dyDescent="0.25"/>
    <row r="325" x14ac:dyDescent="0.25"/>
    <row r="326" x14ac:dyDescent="0.25"/>
    <row r="327" x14ac:dyDescent="0.25"/>
    <row r="328" x14ac:dyDescent="0.25"/>
    <row r="329" x14ac:dyDescent="0.25"/>
    <row r="330" x14ac:dyDescent="0.25"/>
    <row r="331" x14ac:dyDescent="0.25"/>
    <row r="332" x14ac:dyDescent="0.25"/>
    <row r="333" x14ac:dyDescent="0.25"/>
    <row r="334" x14ac:dyDescent="0.25"/>
    <row r="335" x14ac:dyDescent="0.25"/>
    <row r="336" x14ac:dyDescent="0.25"/>
    <row r="337" x14ac:dyDescent="0.25"/>
    <row r="338" x14ac:dyDescent="0.25"/>
    <row r="339" x14ac:dyDescent="0.25"/>
    <row r="340" x14ac:dyDescent="0.25"/>
    <row r="341" x14ac:dyDescent="0.25"/>
    <row r="342" x14ac:dyDescent="0.25"/>
    <row r="343" x14ac:dyDescent="0.25"/>
    <row r="344" x14ac:dyDescent="0.25"/>
    <row r="345" x14ac:dyDescent="0.25"/>
    <row r="346" x14ac:dyDescent="0.25"/>
    <row r="347" x14ac:dyDescent="0.25"/>
    <row r="348" x14ac:dyDescent="0.25"/>
    <row r="349" x14ac:dyDescent="0.25"/>
    <row r="350" x14ac:dyDescent="0.25"/>
    <row r="351" x14ac:dyDescent="0.25"/>
    <row r="352" x14ac:dyDescent="0.25"/>
    <row r="353" x14ac:dyDescent="0.25"/>
    <row r="354" x14ac:dyDescent="0.25"/>
    <row r="355" x14ac:dyDescent="0.25"/>
    <row r="356" x14ac:dyDescent="0.25"/>
    <row r="357" x14ac:dyDescent="0.25"/>
    <row r="358" x14ac:dyDescent="0.25"/>
    <row r="359" x14ac:dyDescent="0.25"/>
    <row r="360" x14ac:dyDescent="0.25"/>
    <row r="361" x14ac:dyDescent="0.25"/>
    <row r="362" x14ac:dyDescent="0.25"/>
    <row r="363" x14ac:dyDescent="0.25"/>
    <row r="364" x14ac:dyDescent="0.25"/>
    <row r="365" x14ac:dyDescent="0.25"/>
    <row r="366" x14ac:dyDescent="0.25"/>
    <row r="367" x14ac:dyDescent="0.25"/>
    <row r="368" x14ac:dyDescent="0.25"/>
    <row r="369" x14ac:dyDescent="0.25"/>
    <row r="370" x14ac:dyDescent="0.25"/>
    <row r="371" x14ac:dyDescent="0.25"/>
    <row r="372" x14ac:dyDescent="0.25"/>
    <row r="373" x14ac:dyDescent="0.25"/>
    <row r="374" x14ac:dyDescent="0.25"/>
    <row r="375" x14ac:dyDescent="0.25"/>
    <row r="376" x14ac:dyDescent="0.25"/>
    <row r="377" x14ac:dyDescent="0.25"/>
    <row r="378" x14ac:dyDescent="0.25"/>
    <row r="379" x14ac:dyDescent="0.25"/>
    <row r="380" x14ac:dyDescent="0.25"/>
    <row r="381" x14ac:dyDescent="0.25"/>
    <row r="382" x14ac:dyDescent="0.25"/>
    <row r="383" x14ac:dyDescent="0.25"/>
    <row r="384" x14ac:dyDescent="0.25"/>
    <row r="385" x14ac:dyDescent="0.25"/>
    <row r="386" x14ac:dyDescent="0.25"/>
    <row r="387" x14ac:dyDescent="0.25"/>
    <row r="388" x14ac:dyDescent="0.25"/>
    <row r="389" x14ac:dyDescent="0.25"/>
    <row r="390" x14ac:dyDescent="0.25"/>
    <row r="391" x14ac:dyDescent="0.25"/>
    <row r="392" x14ac:dyDescent="0.25"/>
    <row r="393" x14ac:dyDescent="0.25"/>
    <row r="394" x14ac:dyDescent="0.25"/>
    <row r="395" x14ac:dyDescent="0.25"/>
    <row r="396" x14ac:dyDescent="0.25"/>
    <row r="397" x14ac:dyDescent="0.25"/>
    <row r="398" x14ac:dyDescent="0.25"/>
    <row r="399" x14ac:dyDescent="0.25"/>
    <row r="400" x14ac:dyDescent="0.25"/>
    <row r="401" x14ac:dyDescent="0.25"/>
    <row r="402" x14ac:dyDescent="0.25"/>
    <row r="403" x14ac:dyDescent="0.25"/>
    <row r="404" x14ac:dyDescent="0.25"/>
    <row r="405" x14ac:dyDescent="0.25"/>
    <row r="406" x14ac:dyDescent="0.25"/>
    <row r="407" x14ac:dyDescent="0.25"/>
    <row r="408" x14ac:dyDescent="0.25"/>
    <row r="409" x14ac:dyDescent="0.25"/>
    <row r="410" x14ac:dyDescent="0.25"/>
    <row r="411" x14ac:dyDescent="0.25"/>
    <row r="412" x14ac:dyDescent="0.25"/>
    <row r="413" x14ac:dyDescent="0.25"/>
    <row r="414" x14ac:dyDescent="0.25"/>
    <row r="415" x14ac:dyDescent="0.25"/>
    <row r="416" x14ac:dyDescent="0.25"/>
    <row r="417" x14ac:dyDescent="0.25"/>
    <row r="418" x14ac:dyDescent="0.25"/>
    <row r="419" x14ac:dyDescent="0.25"/>
  </sheetData>
  <sheetProtection algorithmName="SHA-512" hashValue="ByKg5KeRepmlZts3zPqLfyj3RR1wzLr7/K3Vjn+xR+0HZJwBp/yUq1k9V0SAnkCR61LKVtgMd9DMaV3yAHeB4g==" saltValue="zBN1iFHZkwbsAJKMHUlRgQ==" spinCount="100000" sheet="1" objects="1" scenarios="1"/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Arkusz2"/>
  <dimension ref="A1:XFC604"/>
  <sheetViews>
    <sheetView topLeftCell="B1" zoomScale="85" zoomScaleNormal="85" workbookViewId="0">
      <pane ySplit="1" topLeftCell="A2" activePane="bottomLeft" state="frozen"/>
      <selection pane="bottomLeft" activeCell="B1" sqref="B1"/>
    </sheetView>
  </sheetViews>
  <sheetFormatPr defaultColWidth="0" defaultRowHeight="12.75" zeroHeight="1" x14ac:dyDescent="0.2"/>
  <cols>
    <col min="1" max="1" width="43.5703125" style="77" bestFit="1" customWidth="1"/>
    <col min="2" max="2" width="16.140625" style="77" bestFit="1" customWidth="1"/>
    <col min="3" max="3" width="12.7109375" style="77" bestFit="1" customWidth="1"/>
    <col min="4" max="4" width="12.140625" style="77" bestFit="1" customWidth="1"/>
    <col min="5" max="5" width="14.5703125" style="77" customWidth="1"/>
    <col min="6" max="6" width="8.5703125" style="77" bestFit="1" customWidth="1"/>
    <col min="7" max="7" width="9.140625" style="77" bestFit="1" customWidth="1"/>
    <col min="8" max="9" width="9.28515625" style="77" bestFit="1" customWidth="1"/>
    <col min="10" max="10" width="6.5703125" style="77" bestFit="1" customWidth="1"/>
    <col min="11" max="11" width="10.85546875" style="77" bestFit="1" customWidth="1"/>
    <col min="12" max="12" width="14.85546875" style="77" bestFit="1" customWidth="1"/>
    <col min="13" max="13" width="9.42578125" style="77" bestFit="1" customWidth="1"/>
    <col min="14" max="14" width="17.5703125" style="77" bestFit="1" customWidth="1"/>
    <col min="15" max="15" width="5.140625" style="77" customWidth="1"/>
    <col min="16" max="16" width="5.140625" style="77" hidden="1" customWidth="1"/>
    <col min="17" max="16384" width="9.140625" style="77" hidden="1"/>
  </cols>
  <sheetData>
    <row r="1" spans="1:16" s="9" customFormat="1" ht="36" x14ac:dyDescent="0.2">
      <c r="A1" s="16" t="s">
        <v>102</v>
      </c>
      <c r="B1" s="16" t="s">
        <v>103</v>
      </c>
      <c r="C1" s="16" t="s">
        <v>104</v>
      </c>
      <c r="D1" s="16" t="s">
        <v>800</v>
      </c>
      <c r="E1" s="16" t="s">
        <v>164</v>
      </c>
      <c r="F1" s="16" t="s">
        <v>165</v>
      </c>
      <c r="G1" s="16" t="s">
        <v>469</v>
      </c>
      <c r="H1" s="42" t="s">
        <v>105</v>
      </c>
      <c r="I1" s="28" t="s">
        <v>106</v>
      </c>
      <c r="J1" s="16" t="s">
        <v>107</v>
      </c>
      <c r="K1" s="311" t="s">
        <v>446</v>
      </c>
      <c r="L1" s="28" t="s">
        <v>626</v>
      </c>
      <c r="M1" s="43" t="s">
        <v>108</v>
      </c>
      <c r="N1" s="28" t="s">
        <v>166</v>
      </c>
      <c r="O1" s="44" t="s">
        <v>801</v>
      </c>
      <c r="P1" s="51"/>
    </row>
    <row r="2" spans="1:16" s="9" customFormat="1" x14ac:dyDescent="0.2">
      <c r="A2" s="219" t="s">
        <v>21</v>
      </c>
      <c r="B2" s="219" t="s">
        <v>22</v>
      </c>
      <c r="C2" s="129">
        <v>898311</v>
      </c>
      <c r="D2" s="129">
        <v>23</v>
      </c>
      <c r="E2" s="129" t="s">
        <v>167</v>
      </c>
      <c r="F2" s="129" t="s">
        <v>169</v>
      </c>
      <c r="G2" s="129" t="s">
        <v>451</v>
      </c>
      <c r="H2" s="227">
        <v>5</v>
      </c>
      <c r="I2" s="228">
        <v>0.08</v>
      </c>
      <c r="J2" s="129" t="s">
        <v>23</v>
      </c>
      <c r="K2" s="312">
        <v>4.93</v>
      </c>
      <c r="L2" s="229">
        <v>1</v>
      </c>
      <c r="M2" s="230">
        <v>100</v>
      </c>
      <c r="N2" s="46" t="s">
        <v>802</v>
      </c>
      <c r="O2" s="50" t="s">
        <v>801</v>
      </c>
      <c r="P2" s="9" t="s">
        <v>801</v>
      </c>
    </row>
    <row r="3" spans="1:16" s="9" customFormat="1" x14ac:dyDescent="0.2">
      <c r="A3" s="219" t="s">
        <v>21</v>
      </c>
      <c r="B3" s="219" t="s">
        <v>24</v>
      </c>
      <c r="C3" s="129">
        <v>898312</v>
      </c>
      <c r="D3" s="129">
        <v>23</v>
      </c>
      <c r="E3" s="129" t="s">
        <v>168</v>
      </c>
      <c r="F3" s="129" t="s">
        <v>169</v>
      </c>
      <c r="G3" s="129" t="s">
        <v>451</v>
      </c>
      <c r="H3" s="227">
        <v>5</v>
      </c>
      <c r="I3" s="228">
        <v>7.0000000000000007E-2</v>
      </c>
      <c r="J3" s="129" t="s">
        <v>23</v>
      </c>
      <c r="K3" s="312">
        <v>4.93</v>
      </c>
      <c r="L3" s="229">
        <v>1</v>
      </c>
      <c r="M3" s="230">
        <v>100</v>
      </c>
      <c r="N3" s="46" t="s">
        <v>802</v>
      </c>
      <c r="O3" s="50" t="s">
        <v>801</v>
      </c>
      <c r="P3" s="9" t="s">
        <v>801</v>
      </c>
    </row>
    <row r="4" spans="1:16" s="9" customFormat="1" x14ac:dyDescent="0.2">
      <c r="A4" s="219" t="s">
        <v>1120</v>
      </c>
      <c r="B4" s="220" t="s">
        <v>1121</v>
      </c>
      <c r="C4" s="231">
        <v>895857</v>
      </c>
      <c r="D4" s="129">
        <v>23</v>
      </c>
      <c r="E4" s="231" t="s">
        <v>1122</v>
      </c>
      <c r="F4" s="129" t="s">
        <v>169</v>
      </c>
      <c r="G4" s="129" t="s">
        <v>451</v>
      </c>
      <c r="H4" s="232">
        <v>2</v>
      </c>
      <c r="I4" s="233">
        <v>0.12</v>
      </c>
      <c r="J4" s="231" t="s">
        <v>23</v>
      </c>
      <c r="K4" s="312">
        <v>6.72</v>
      </c>
      <c r="L4" s="229">
        <v>1</v>
      </c>
      <c r="M4" s="234"/>
      <c r="N4" s="46" t="s">
        <v>803</v>
      </c>
      <c r="O4" s="50" t="s">
        <v>801</v>
      </c>
      <c r="P4" s="9" t="s">
        <v>801</v>
      </c>
    </row>
    <row r="5" spans="1:16" s="9" customFormat="1" x14ac:dyDescent="0.2">
      <c r="A5" s="219" t="s">
        <v>1117</v>
      </c>
      <c r="B5" s="220" t="s">
        <v>1118</v>
      </c>
      <c r="C5" s="231">
        <v>895856</v>
      </c>
      <c r="D5" s="129">
        <v>23</v>
      </c>
      <c r="E5" s="231" t="s">
        <v>1119</v>
      </c>
      <c r="F5" s="129" t="s">
        <v>169</v>
      </c>
      <c r="G5" s="129" t="s">
        <v>451</v>
      </c>
      <c r="H5" s="232">
        <v>2</v>
      </c>
      <c r="I5" s="233">
        <v>0.16</v>
      </c>
      <c r="J5" s="231" t="s">
        <v>23</v>
      </c>
      <c r="K5" s="312">
        <v>7.16</v>
      </c>
      <c r="L5" s="229">
        <v>1</v>
      </c>
      <c r="M5" s="234"/>
      <c r="N5" s="46" t="s">
        <v>803</v>
      </c>
      <c r="O5" s="50" t="s">
        <v>801</v>
      </c>
      <c r="P5" s="9" t="s">
        <v>801</v>
      </c>
    </row>
    <row r="6" spans="1:16" s="9" customFormat="1" x14ac:dyDescent="0.2">
      <c r="A6" s="220" t="s">
        <v>701</v>
      </c>
      <c r="B6" s="219" t="s">
        <v>563</v>
      </c>
      <c r="C6" s="129">
        <v>892525</v>
      </c>
      <c r="D6" s="129">
        <v>23</v>
      </c>
      <c r="E6" s="129" t="s">
        <v>702</v>
      </c>
      <c r="F6" s="129" t="s">
        <v>169</v>
      </c>
      <c r="G6" s="129" t="s">
        <v>451</v>
      </c>
      <c r="H6" s="227">
        <v>2</v>
      </c>
      <c r="I6" s="228">
        <v>0.41</v>
      </c>
      <c r="J6" s="129" t="s">
        <v>23</v>
      </c>
      <c r="K6" s="312">
        <v>15.7</v>
      </c>
      <c r="L6" s="229">
        <v>1</v>
      </c>
      <c r="M6" s="230">
        <v>10</v>
      </c>
      <c r="N6" s="46" t="s">
        <v>802</v>
      </c>
      <c r="O6" s="50" t="s">
        <v>801</v>
      </c>
      <c r="P6" s="9" t="s">
        <v>801</v>
      </c>
    </row>
    <row r="7" spans="1:16" s="9" customFormat="1" x14ac:dyDescent="0.2">
      <c r="A7" s="220" t="s">
        <v>1131</v>
      </c>
      <c r="B7" s="220" t="s">
        <v>1132</v>
      </c>
      <c r="C7" s="231">
        <v>895859</v>
      </c>
      <c r="D7" s="129">
        <v>23</v>
      </c>
      <c r="E7" s="231" t="s">
        <v>1133</v>
      </c>
      <c r="F7" s="129" t="s">
        <v>169</v>
      </c>
      <c r="G7" s="129" t="s">
        <v>451</v>
      </c>
      <c r="H7" s="235">
        <v>3</v>
      </c>
      <c r="I7" s="231">
        <v>7.0000000000000007E-2</v>
      </c>
      <c r="J7" s="231" t="s">
        <v>23</v>
      </c>
      <c r="K7" s="312">
        <v>5.74</v>
      </c>
      <c r="L7" s="236">
        <v>1</v>
      </c>
      <c r="M7" s="237"/>
      <c r="N7" s="46" t="s">
        <v>803</v>
      </c>
      <c r="O7" s="296" t="s">
        <v>801</v>
      </c>
      <c r="P7" s="9" t="s">
        <v>801</v>
      </c>
    </row>
    <row r="8" spans="1:16" s="9" customFormat="1" x14ac:dyDescent="0.2">
      <c r="A8" s="220" t="s">
        <v>1128</v>
      </c>
      <c r="B8" s="220" t="s">
        <v>1129</v>
      </c>
      <c r="C8" s="231">
        <v>895858</v>
      </c>
      <c r="D8" s="129">
        <v>23</v>
      </c>
      <c r="E8" s="231" t="s">
        <v>1130</v>
      </c>
      <c r="F8" s="129" t="s">
        <v>169</v>
      </c>
      <c r="G8" s="129" t="s">
        <v>451</v>
      </c>
      <c r="H8" s="235">
        <v>3</v>
      </c>
      <c r="I8" s="231">
        <v>0.1</v>
      </c>
      <c r="J8" s="231" t="s">
        <v>23</v>
      </c>
      <c r="K8" s="312">
        <v>6.46</v>
      </c>
      <c r="L8" s="236">
        <v>1</v>
      </c>
      <c r="M8" s="237"/>
      <c r="N8" s="46" t="s">
        <v>803</v>
      </c>
      <c r="O8" s="296" t="s">
        <v>801</v>
      </c>
      <c r="P8" s="9" t="s">
        <v>801</v>
      </c>
    </row>
    <row r="9" spans="1:16" s="9" customFormat="1" x14ac:dyDescent="0.2">
      <c r="A9" s="219" t="s">
        <v>25</v>
      </c>
      <c r="B9" s="219" t="s">
        <v>577</v>
      </c>
      <c r="C9" s="129">
        <v>863725</v>
      </c>
      <c r="D9" s="129">
        <v>23</v>
      </c>
      <c r="E9" s="129" t="s">
        <v>631</v>
      </c>
      <c r="F9" s="129" t="s">
        <v>169</v>
      </c>
      <c r="G9" s="129" t="s">
        <v>451</v>
      </c>
      <c r="H9" s="227">
        <v>2</v>
      </c>
      <c r="I9" s="238">
        <v>6.94</v>
      </c>
      <c r="J9" s="129" t="s">
        <v>23</v>
      </c>
      <c r="K9" s="312">
        <v>89.66</v>
      </c>
      <c r="L9" s="229">
        <v>1</v>
      </c>
      <c r="M9" s="230">
        <v>1</v>
      </c>
      <c r="N9" s="46" t="s">
        <v>803</v>
      </c>
      <c r="O9" s="50" t="s">
        <v>801</v>
      </c>
      <c r="P9" s="9" t="s">
        <v>801</v>
      </c>
    </row>
    <row r="10" spans="1:16" s="9" customFormat="1" x14ac:dyDescent="0.2">
      <c r="A10" s="221" t="s">
        <v>25</v>
      </c>
      <c r="B10" s="221" t="s">
        <v>578</v>
      </c>
      <c r="C10" s="239">
        <v>863132</v>
      </c>
      <c r="D10" s="239">
        <v>23</v>
      </c>
      <c r="E10" s="239" t="s">
        <v>632</v>
      </c>
      <c r="F10" s="239" t="s">
        <v>169</v>
      </c>
      <c r="G10" s="129" t="s">
        <v>451</v>
      </c>
      <c r="H10" s="240">
        <v>2</v>
      </c>
      <c r="I10" s="241">
        <v>8.08</v>
      </c>
      <c r="J10" s="239" t="s">
        <v>23</v>
      </c>
      <c r="K10" s="312">
        <v>104.33</v>
      </c>
      <c r="L10" s="229">
        <v>1</v>
      </c>
      <c r="M10" s="230">
        <v>1</v>
      </c>
      <c r="N10" s="46" t="s">
        <v>803</v>
      </c>
      <c r="O10" s="67" t="s">
        <v>801</v>
      </c>
      <c r="P10" s="9" t="s">
        <v>801</v>
      </c>
    </row>
    <row r="11" spans="1:16" s="9" customFormat="1" x14ac:dyDescent="0.2">
      <c r="A11" s="219" t="s">
        <v>25</v>
      </c>
      <c r="B11" s="219" t="s">
        <v>579</v>
      </c>
      <c r="C11" s="129">
        <v>863335</v>
      </c>
      <c r="D11" s="129">
        <v>23</v>
      </c>
      <c r="E11" s="129" t="s">
        <v>636</v>
      </c>
      <c r="F11" s="129" t="s">
        <v>169</v>
      </c>
      <c r="G11" s="129" t="s">
        <v>451</v>
      </c>
      <c r="H11" s="227">
        <v>2</v>
      </c>
      <c r="I11" s="238">
        <v>11.04</v>
      </c>
      <c r="J11" s="129" t="s">
        <v>23</v>
      </c>
      <c r="K11" s="312">
        <v>148.08000000000001</v>
      </c>
      <c r="L11" s="229">
        <v>1</v>
      </c>
      <c r="M11" s="230">
        <v>1</v>
      </c>
      <c r="N11" s="46" t="s">
        <v>803</v>
      </c>
      <c r="O11" s="50" t="s">
        <v>801</v>
      </c>
      <c r="P11" s="9" t="s">
        <v>801</v>
      </c>
    </row>
    <row r="12" spans="1:16" s="9" customFormat="1" x14ac:dyDescent="0.2">
      <c r="A12" s="219" t="s">
        <v>25</v>
      </c>
      <c r="B12" s="219" t="s">
        <v>580</v>
      </c>
      <c r="C12" s="129">
        <v>863343</v>
      </c>
      <c r="D12" s="129">
        <v>23</v>
      </c>
      <c r="E12" s="129" t="s">
        <v>633</v>
      </c>
      <c r="F12" s="129" t="s">
        <v>169</v>
      </c>
      <c r="G12" s="129" t="s">
        <v>451</v>
      </c>
      <c r="H12" s="227">
        <v>2</v>
      </c>
      <c r="I12" s="238">
        <v>13.49</v>
      </c>
      <c r="J12" s="129" t="s">
        <v>23</v>
      </c>
      <c r="K12" s="312">
        <v>181</v>
      </c>
      <c r="L12" s="229">
        <v>1</v>
      </c>
      <c r="M12" s="230">
        <v>1</v>
      </c>
      <c r="N12" s="46" t="s">
        <v>803</v>
      </c>
      <c r="O12" s="50" t="s">
        <v>801</v>
      </c>
      <c r="P12" s="9" t="s">
        <v>801</v>
      </c>
    </row>
    <row r="13" spans="1:16" s="9" customFormat="1" x14ac:dyDescent="0.2">
      <c r="A13" s="219" t="s">
        <v>25</v>
      </c>
      <c r="B13" s="219" t="s">
        <v>581</v>
      </c>
      <c r="C13" s="129">
        <v>863347</v>
      </c>
      <c r="D13" s="129">
        <v>23</v>
      </c>
      <c r="E13" s="129" t="s">
        <v>637</v>
      </c>
      <c r="F13" s="129" t="s">
        <v>169</v>
      </c>
      <c r="G13" s="129" t="s">
        <v>451</v>
      </c>
      <c r="H13" s="227">
        <v>2</v>
      </c>
      <c r="I13" s="238">
        <v>14.72</v>
      </c>
      <c r="J13" s="129" t="s">
        <v>23</v>
      </c>
      <c r="K13" s="312">
        <v>197.45</v>
      </c>
      <c r="L13" s="229">
        <v>1</v>
      </c>
      <c r="M13" s="230">
        <v>50</v>
      </c>
      <c r="N13" s="46" t="s">
        <v>803</v>
      </c>
      <c r="O13" s="50" t="s">
        <v>801</v>
      </c>
      <c r="P13" s="9" t="s">
        <v>801</v>
      </c>
    </row>
    <row r="14" spans="1:16" s="9" customFormat="1" x14ac:dyDescent="0.2">
      <c r="A14" s="219" t="s">
        <v>25</v>
      </c>
      <c r="B14" s="219" t="s">
        <v>582</v>
      </c>
      <c r="C14" s="129">
        <v>863354</v>
      </c>
      <c r="D14" s="129">
        <v>23</v>
      </c>
      <c r="E14" s="129" t="s">
        <v>634</v>
      </c>
      <c r="F14" s="129" t="s">
        <v>169</v>
      </c>
      <c r="G14" s="129" t="s">
        <v>451</v>
      </c>
      <c r="H14" s="227">
        <v>2</v>
      </c>
      <c r="I14" s="238">
        <v>16.559999999999999</v>
      </c>
      <c r="J14" s="129" t="s">
        <v>23</v>
      </c>
      <c r="K14" s="312">
        <v>222.13</v>
      </c>
      <c r="L14" s="229">
        <v>1</v>
      </c>
      <c r="M14" s="230">
        <v>1</v>
      </c>
      <c r="N14" s="46" t="s">
        <v>803</v>
      </c>
      <c r="O14" s="50" t="s">
        <v>801</v>
      </c>
      <c r="P14" s="9" t="s">
        <v>801</v>
      </c>
    </row>
    <row r="15" spans="1:16" s="9" customFormat="1" x14ac:dyDescent="0.2">
      <c r="A15" s="219" t="s">
        <v>25</v>
      </c>
      <c r="B15" s="219" t="s">
        <v>584</v>
      </c>
      <c r="C15" s="129">
        <v>863464</v>
      </c>
      <c r="D15" s="129">
        <v>23</v>
      </c>
      <c r="E15" s="129" t="s">
        <v>635</v>
      </c>
      <c r="F15" s="129" t="s">
        <v>169</v>
      </c>
      <c r="G15" s="129" t="s">
        <v>451</v>
      </c>
      <c r="H15" s="227">
        <v>3</v>
      </c>
      <c r="I15" s="238">
        <v>28.59</v>
      </c>
      <c r="J15" s="129" t="s">
        <v>23</v>
      </c>
      <c r="K15" s="312">
        <v>398.88</v>
      </c>
      <c r="L15" s="229">
        <v>1</v>
      </c>
      <c r="M15" s="230">
        <v>50</v>
      </c>
      <c r="N15" s="46" t="s">
        <v>803</v>
      </c>
      <c r="O15" s="50" t="s">
        <v>801</v>
      </c>
    </row>
    <row r="16" spans="1:16" s="9" customFormat="1" x14ac:dyDescent="0.2">
      <c r="A16" s="219" t="s">
        <v>25</v>
      </c>
      <c r="B16" s="219" t="s">
        <v>585</v>
      </c>
      <c r="C16" s="129">
        <v>863468</v>
      </c>
      <c r="D16" s="129">
        <v>23</v>
      </c>
      <c r="E16" s="129" t="s">
        <v>639</v>
      </c>
      <c r="F16" s="129" t="s">
        <v>169</v>
      </c>
      <c r="G16" s="129" t="s">
        <v>451</v>
      </c>
      <c r="H16" s="227">
        <v>3</v>
      </c>
      <c r="I16" s="238">
        <v>30.37</v>
      </c>
      <c r="J16" s="129" t="s">
        <v>23</v>
      </c>
      <c r="K16" s="312">
        <v>424.51</v>
      </c>
      <c r="L16" s="229">
        <v>1</v>
      </c>
      <c r="M16" s="230">
        <v>1</v>
      </c>
      <c r="N16" s="46" t="s">
        <v>803</v>
      </c>
      <c r="O16" s="50" t="s">
        <v>801</v>
      </c>
    </row>
    <row r="17" spans="1:15" s="9" customFormat="1" x14ac:dyDescent="0.2">
      <c r="A17" s="219" t="s">
        <v>25</v>
      </c>
      <c r="B17" s="219" t="s">
        <v>583</v>
      </c>
      <c r="C17" s="129">
        <v>863461</v>
      </c>
      <c r="D17" s="129">
        <v>23</v>
      </c>
      <c r="E17" s="129" t="s">
        <v>638</v>
      </c>
      <c r="F17" s="129" t="s">
        <v>169</v>
      </c>
      <c r="G17" s="129" t="s">
        <v>451</v>
      </c>
      <c r="H17" s="227">
        <v>3</v>
      </c>
      <c r="I17" s="238">
        <v>26.8</v>
      </c>
      <c r="J17" s="129" t="s">
        <v>23</v>
      </c>
      <c r="K17" s="312">
        <v>374.57</v>
      </c>
      <c r="L17" s="229">
        <v>1</v>
      </c>
      <c r="M17" s="230">
        <v>50</v>
      </c>
      <c r="N17" s="46" t="s">
        <v>803</v>
      </c>
      <c r="O17" s="50" t="s">
        <v>801</v>
      </c>
    </row>
    <row r="18" spans="1:15" s="9" customFormat="1" x14ac:dyDescent="0.2">
      <c r="A18" s="219" t="s">
        <v>619</v>
      </c>
      <c r="B18" s="242" t="s">
        <v>620</v>
      </c>
      <c r="C18" s="231">
        <v>895003</v>
      </c>
      <c r="D18" s="129">
        <v>23</v>
      </c>
      <c r="E18" s="231" t="s">
        <v>658</v>
      </c>
      <c r="F18" s="129" t="s">
        <v>169</v>
      </c>
      <c r="G18" s="129" t="s">
        <v>451</v>
      </c>
      <c r="H18" s="232">
        <v>2</v>
      </c>
      <c r="I18" s="233">
        <v>1.6</v>
      </c>
      <c r="J18" s="129" t="s">
        <v>23</v>
      </c>
      <c r="K18" s="312">
        <v>25.57</v>
      </c>
      <c r="L18" s="229">
        <v>1</v>
      </c>
      <c r="M18" s="237">
        <v>10</v>
      </c>
      <c r="N18" s="46" t="s">
        <v>802</v>
      </c>
      <c r="O18" s="50" t="s">
        <v>801</v>
      </c>
    </row>
    <row r="19" spans="1:15" s="9" customFormat="1" x14ac:dyDescent="0.2">
      <c r="A19" s="219" t="s">
        <v>170</v>
      </c>
      <c r="B19" s="219" t="s">
        <v>475</v>
      </c>
      <c r="C19" s="231">
        <v>897330</v>
      </c>
      <c r="D19" s="129">
        <v>23</v>
      </c>
      <c r="E19" s="231" t="s">
        <v>687</v>
      </c>
      <c r="F19" s="129" t="s">
        <v>172</v>
      </c>
      <c r="G19" s="129" t="s">
        <v>452</v>
      </c>
      <c r="H19" s="232">
        <v>3</v>
      </c>
      <c r="I19" s="233">
        <v>0.02</v>
      </c>
      <c r="J19" s="231" t="s">
        <v>23</v>
      </c>
      <c r="K19" s="312">
        <v>1.92</v>
      </c>
      <c r="L19" s="236">
        <v>1</v>
      </c>
      <c r="M19" s="230">
        <v>50</v>
      </c>
      <c r="N19" s="46" t="s">
        <v>802</v>
      </c>
      <c r="O19" s="48"/>
    </row>
    <row r="20" spans="1:15" s="9" customFormat="1" x14ac:dyDescent="0.2">
      <c r="A20" s="219" t="s">
        <v>170</v>
      </c>
      <c r="B20" s="219" t="s">
        <v>476</v>
      </c>
      <c r="C20" s="231">
        <v>8973302</v>
      </c>
      <c r="D20" s="129">
        <v>23</v>
      </c>
      <c r="E20" s="231" t="s">
        <v>688</v>
      </c>
      <c r="F20" s="129" t="s">
        <v>172</v>
      </c>
      <c r="G20" s="129" t="s">
        <v>452</v>
      </c>
      <c r="H20" s="232">
        <v>3</v>
      </c>
      <c r="I20" s="233">
        <v>0.02</v>
      </c>
      <c r="J20" s="231" t="s">
        <v>23</v>
      </c>
      <c r="K20" s="312">
        <v>3.58</v>
      </c>
      <c r="L20" s="236">
        <v>1</v>
      </c>
      <c r="M20" s="230">
        <v>50</v>
      </c>
      <c r="N20" s="46" t="s">
        <v>803</v>
      </c>
      <c r="O20" s="48"/>
    </row>
    <row r="21" spans="1:15" s="9" customFormat="1" x14ac:dyDescent="0.2">
      <c r="A21" s="219" t="s">
        <v>170</v>
      </c>
      <c r="B21" s="219" t="s">
        <v>26</v>
      </c>
      <c r="C21" s="129">
        <v>897332</v>
      </c>
      <c r="D21" s="129">
        <v>23</v>
      </c>
      <c r="E21" s="129" t="s">
        <v>177</v>
      </c>
      <c r="F21" s="129" t="s">
        <v>172</v>
      </c>
      <c r="G21" s="129" t="s">
        <v>452</v>
      </c>
      <c r="H21" s="232">
        <v>3</v>
      </c>
      <c r="I21" s="228">
        <v>0.02</v>
      </c>
      <c r="J21" s="129" t="s">
        <v>23</v>
      </c>
      <c r="K21" s="312">
        <v>1.92</v>
      </c>
      <c r="L21" s="229">
        <v>1</v>
      </c>
      <c r="M21" s="230">
        <v>50</v>
      </c>
      <c r="N21" s="46" t="s">
        <v>802</v>
      </c>
      <c r="O21" s="48"/>
    </row>
    <row r="22" spans="1:15" s="9" customFormat="1" x14ac:dyDescent="0.2">
      <c r="A22" s="219" t="s">
        <v>170</v>
      </c>
      <c r="B22" s="219" t="s">
        <v>27</v>
      </c>
      <c r="C22" s="129">
        <v>827332</v>
      </c>
      <c r="D22" s="129">
        <v>23</v>
      </c>
      <c r="E22" s="129" t="s">
        <v>178</v>
      </c>
      <c r="F22" s="129" t="s">
        <v>172</v>
      </c>
      <c r="G22" s="129" t="s">
        <v>452</v>
      </c>
      <c r="H22" s="232">
        <v>3</v>
      </c>
      <c r="I22" s="238">
        <v>0.02</v>
      </c>
      <c r="J22" s="129" t="s">
        <v>23</v>
      </c>
      <c r="K22" s="312">
        <v>3.58</v>
      </c>
      <c r="L22" s="229">
        <v>1</v>
      </c>
      <c r="M22" s="230">
        <v>50</v>
      </c>
      <c r="N22" s="46" t="s">
        <v>803</v>
      </c>
      <c r="O22" s="48"/>
    </row>
    <row r="23" spans="1:15" s="9" customFormat="1" x14ac:dyDescent="0.2">
      <c r="A23" s="219" t="s">
        <v>170</v>
      </c>
      <c r="B23" s="219" t="s">
        <v>28</v>
      </c>
      <c r="C23" s="129">
        <v>897333</v>
      </c>
      <c r="D23" s="129">
        <v>23</v>
      </c>
      <c r="E23" s="129" t="s">
        <v>179</v>
      </c>
      <c r="F23" s="129" t="s">
        <v>172</v>
      </c>
      <c r="G23" s="129" t="s">
        <v>452</v>
      </c>
      <c r="H23" s="232">
        <v>3</v>
      </c>
      <c r="I23" s="228">
        <v>0.02</v>
      </c>
      <c r="J23" s="129" t="s">
        <v>23</v>
      </c>
      <c r="K23" s="312">
        <v>3.02</v>
      </c>
      <c r="L23" s="229">
        <v>1</v>
      </c>
      <c r="M23" s="230">
        <v>50</v>
      </c>
      <c r="N23" s="46" t="s">
        <v>802</v>
      </c>
      <c r="O23" s="48"/>
    </row>
    <row r="24" spans="1:15" s="9" customFormat="1" x14ac:dyDescent="0.2">
      <c r="A24" s="219" t="s">
        <v>170</v>
      </c>
      <c r="B24" s="219" t="s">
        <v>29</v>
      </c>
      <c r="C24" s="129">
        <v>897335</v>
      </c>
      <c r="D24" s="129">
        <v>23</v>
      </c>
      <c r="E24" s="129" t="s">
        <v>171</v>
      </c>
      <c r="F24" s="129" t="s">
        <v>172</v>
      </c>
      <c r="G24" s="129" t="s">
        <v>452</v>
      </c>
      <c r="H24" s="232">
        <v>3</v>
      </c>
      <c r="I24" s="228">
        <v>0.02</v>
      </c>
      <c r="J24" s="129" t="s">
        <v>23</v>
      </c>
      <c r="K24" s="312">
        <v>1.92</v>
      </c>
      <c r="L24" s="229">
        <v>1</v>
      </c>
      <c r="M24" s="230">
        <v>50</v>
      </c>
      <c r="N24" s="46" t="s">
        <v>802</v>
      </c>
      <c r="O24" s="48"/>
    </row>
    <row r="25" spans="1:15" s="9" customFormat="1" x14ac:dyDescent="0.2">
      <c r="A25" s="219" t="s">
        <v>170</v>
      </c>
      <c r="B25" s="219" t="s">
        <v>30</v>
      </c>
      <c r="C25" s="129">
        <v>827335</v>
      </c>
      <c r="D25" s="129">
        <v>23</v>
      </c>
      <c r="E25" s="129" t="s">
        <v>180</v>
      </c>
      <c r="F25" s="129" t="s">
        <v>172</v>
      </c>
      <c r="G25" s="129" t="s">
        <v>452</v>
      </c>
      <c r="H25" s="232">
        <v>3</v>
      </c>
      <c r="I25" s="238">
        <v>0.02</v>
      </c>
      <c r="J25" s="129" t="s">
        <v>23</v>
      </c>
      <c r="K25" s="312">
        <v>3.58</v>
      </c>
      <c r="L25" s="229">
        <v>1</v>
      </c>
      <c r="M25" s="230">
        <v>50</v>
      </c>
      <c r="N25" s="46" t="s">
        <v>803</v>
      </c>
      <c r="O25" s="48"/>
    </row>
    <row r="26" spans="1:15" s="9" customFormat="1" x14ac:dyDescent="0.2">
      <c r="A26" s="219" t="s">
        <v>170</v>
      </c>
      <c r="B26" s="219" t="s">
        <v>31</v>
      </c>
      <c r="C26" s="129">
        <v>897338</v>
      </c>
      <c r="D26" s="129">
        <v>23</v>
      </c>
      <c r="E26" s="129" t="s">
        <v>181</v>
      </c>
      <c r="F26" s="129" t="s">
        <v>172</v>
      </c>
      <c r="G26" s="129" t="s">
        <v>452</v>
      </c>
      <c r="H26" s="232">
        <v>3</v>
      </c>
      <c r="I26" s="228">
        <v>0.02</v>
      </c>
      <c r="J26" s="129" t="s">
        <v>23</v>
      </c>
      <c r="K26" s="312">
        <v>1.92</v>
      </c>
      <c r="L26" s="229">
        <v>1</v>
      </c>
      <c r="M26" s="230">
        <v>50</v>
      </c>
      <c r="N26" s="46" t="s">
        <v>802</v>
      </c>
      <c r="O26" s="48"/>
    </row>
    <row r="27" spans="1:15" s="9" customFormat="1" x14ac:dyDescent="0.2">
      <c r="A27" s="219" t="s">
        <v>170</v>
      </c>
      <c r="B27" s="219" t="s">
        <v>32</v>
      </c>
      <c r="C27" s="129">
        <v>897340</v>
      </c>
      <c r="D27" s="129">
        <v>23</v>
      </c>
      <c r="E27" s="129" t="s">
        <v>173</v>
      </c>
      <c r="F27" s="129" t="s">
        <v>172</v>
      </c>
      <c r="G27" s="129" t="s">
        <v>452</v>
      </c>
      <c r="H27" s="232">
        <v>3</v>
      </c>
      <c r="I27" s="228">
        <v>0.02</v>
      </c>
      <c r="J27" s="129" t="s">
        <v>23</v>
      </c>
      <c r="K27" s="312">
        <v>1.92</v>
      </c>
      <c r="L27" s="229">
        <v>1</v>
      </c>
      <c r="M27" s="230">
        <v>50</v>
      </c>
      <c r="N27" s="46" t="s">
        <v>802</v>
      </c>
      <c r="O27" s="48"/>
    </row>
    <row r="28" spans="1:15" s="9" customFormat="1" x14ac:dyDescent="0.2">
      <c r="A28" s="219" t="s">
        <v>170</v>
      </c>
      <c r="B28" s="219" t="s">
        <v>33</v>
      </c>
      <c r="C28" s="129">
        <v>827340</v>
      </c>
      <c r="D28" s="129">
        <v>23</v>
      </c>
      <c r="E28" s="129" t="s">
        <v>182</v>
      </c>
      <c r="F28" s="129" t="s">
        <v>172</v>
      </c>
      <c r="G28" s="129" t="s">
        <v>452</v>
      </c>
      <c r="H28" s="232">
        <v>3</v>
      </c>
      <c r="I28" s="238">
        <v>0.02</v>
      </c>
      <c r="J28" s="129" t="s">
        <v>23</v>
      </c>
      <c r="K28" s="312">
        <v>3.58</v>
      </c>
      <c r="L28" s="229">
        <v>1</v>
      </c>
      <c r="M28" s="230">
        <v>50</v>
      </c>
      <c r="N28" s="46" t="s">
        <v>803</v>
      </c>
      <c r="O28" s="48"/>
    </row>
    <row r="29" spans="1:15" s="9" customFormat="1" x14ac:dyDescent="0.2">
      <c r="A29" s="219" t="s">
        <v>170</v>
      </c>
      <c r="B29" s="219" t="s">
        <v>34</v>
      </c>
      <c r="C29" s="129">
        <v>897342</v>
      </c>
      <c r="D29" s="129">
        <v>23</v>
      </c>
      <c r="E29" s="129" t="s">
        <v>174</v>
      </c>
      <c r="F29" s="129" t="s">
        <v>172</v>
      </c>
      <c r="G29" s="129" t="s">
        <v>452</v>
      </c>
      <c r="H29" s="232">
        <v>3</v>
      </c>
      <c r="I29" s="228">
        <v>0.02</v>
      </c>
      <c r="J29" s="129" t="s">
        <v>23</v>
      </c>
      <c r="K29" s="312">
        <v>1.92</v>
      </c>
      <c r="L29" s="229">
        <v>1</v>
      </c>
      <c r="M29" s="230">
        <v>50</v>
      </c>
      <c r="N29" s="46" t="s">
        <v>802</v>
      </c>
      <c r="O29" s="48"/>
    </row>
    <row r="30" spans="1:15" s="9" customFormat="1" x14ac:dyDescent="0.2">
      <c r="A30" s="219" t="s">
        <v>170</v>
      </c>
      <c r="B30" s="219" t="s">
        <v>35</v>
      </c>
      <c r="C30" s="129">
        <v>897345</v>
      </c>
      <c r="D30" s="129">
        <v>23</v>
      </c>
      <c r="E30" s="129" t="s">
        <v>175</v>
      </c>
      <c r="F30" s="129" t="s">
        <v>172</v>
      </c>
      <c r="G30" s="129" t="s">
        <v>452</v>
      </c>
      <c r="H30" s="232">
        <v>3</v>
      </c>
      <c r="I30" s="228">
        <v>0.02</v>
      </c>
      <c r="J30" s="129" t="s">
        <v>23</v>
      </c>
      <c r="K30" s="312">
        <v>1.92</v>
      </c>
      <c r="L30" s="229">
        <v>1</v>
      </c>
      <c r="M30" s="230">
        <v>50</v>
      </c>
      <c r="N30" s="46" t="s">
        <v>802</v>
      </c>
      <c r="O30" s="48"/>
    </row>
    <row r="31" spans="1:15" s="9" customFormat="1" x14ac:dyDescent="0.2">
      <c r="A31" s="219" t="s">
        <v>170</v>
      </c>
      <c r="B31" s="219" t="s">
        <v>36</v>
      </c>
      <c r="C31" s="129">
        <v>897350</v>
      </c>
      <c r="D31" s="129">
        <v>23</v>
      </c>
      <c r="E31" s="129" t="s">
        <v>176</v>
      </c>
      <c r="F31" s="129" t="s">
        <v>172</v>
      </c>
      <c r="G31" s="129" t="s">
        <v>452</v>
      </c>
      <c r="H31" s="232">
        <v>3</v>
      </c>
      <c r="I31" s="228">
        <v>0.03</v>
      </c>
      <c r="J31" s="129" t="s">
        <v>23</v>
      </c>
      <c r="K31" s="312">
        <v>2.2999999999999998</v>
      </c>
      <c r="L31" s="229">
        <v>1</v>
      </c>
      <c r="M31" s="230">
        <v>50</v>
      </c>
      <c r="N31" s="46" t="s">
        <v>802</v>
      </c>
      <c r="O31" s="48"/>
    </row>
    <row r="32" spans="1:15" s="9" customFormat="1" x14ac:dyDescent="0.2">
      <c r="A32" s="219" t="s">
        <v>170</v>
      </c>
      <c r="B32" s="219" t="s">
        <v>37</v>
      </c>
      <c r="C32" s="129">
        <v>827350</v>
      </c>
      <c r="D32" s="129">
        <v>23</v>
      </c>
      <c r="E32" s="129" t="s">
        <v>183</v>
      </c>
      <c r="F32" s="129" t="s">
        <v>172</v>
      </c>
      <c r="G32" s="129" t="s">
        <v>452</v>
      </c>
      <c r="H32" s="232">
        <v>3</v>
      </c>
      <c r="I32" s="238">
        <v>0.03</v>
      </c>
      <c r="J32" s="129" t="s">
        <v>23</v>
      </c>
      <c r="K32" s="312">
        <v>3.8</v>
      </c>
      <c r="L32" s="229">
        <v>1</v>
      </c>
      <c r="M32" s="230">
        <v>50</v>
      </c>
      <c r="N32" s="46" t="s">
        <v>803</v>
      </c>
      <c r="O32" s="48"/>
    </row>
    <row r="33" spans="1:16" s="9" customFormat="1" ht="15" x14ac:dyDescent="0.25">
      <c r="A33" s="222" t="s">
        <v>170</v>
      </c>
      <c r="B33" s="222" t="s">
        <v>1086</v>
      </c>
      <c r="C33" s="243">
        <v>858130</v>
      </c>
      <c r="D33" s="129">
        <v>23</v>
      </c>
      <c r="E33" s="244" t="s">
        <v>1087</v>
      </c>
      <c r="F33" s="129" t="s">
        <v>172</v>
      </c>
      <c r="G33" s="129" t="s">
        <v>452</v>
      </c>
      <c r="H33" s="245">
        <v>4</v>
      </c>
      <c r="I33" s="231">
        <v>0.04</v>
      </c>
      <c r="J33" s="129" t="s">
        <v>23</v>
      </c>
      <c r="K33" s="312">
        <v>6.2</v>
      </c>
      <c r="L33" s="229">
        <v>1</v>
      </c>
      <c r="M33" s="230">
        <v>50</v>
      </c>
      <c r="N33" s="46" t="s">
        <v>802</v>
      </c>
      <c r="O33" s="297"/>
    </row>
    <row r="34" spans="1:16" s="9" customFormat="1" ht="15" x14ac:dyDescent="0.25">
      <c r="A34" s="222" t="s">
        <v>170</v>
      </c>
      <c r="B34" s="222" t="s">
        <v>1074</v>
      </c>
      <c r="C34" s="243">
        <v>858530</v>
      </c>
      <c r="D34" s="129">
        <v>23</v>
      </c>
      <c r="E34" s="244" t="s">
        <v>1075</v>
      </c>
      <c r="F34" s="129" t="s">
        <v>172</v>
      </c>
      <c r="G34" s="129" t="s">
        <v>452</v>
      </c>
      <c r="H34" s="245">
        <v>4</v>
      </c>
      <c r="I34" s="231">
        <v>0.02</v>
      </c>
      <c r="J34" s="129" t="s">
        <v>23</v>
      </c>
      <c r="K34" s="312">
        <v>3.09</v>
      </c>
      <c r="L34" s="229">
        <v>1</v>
      </c>
      <c r="M34" s="230">
        <v>50</v>
      </c>
      <c r="N34" s="46" t="s">
        <v>802</v>
      </c>
      <c r="O34" s="297"/>
    </row>
    <row r="35" spans="1:16" s="9" customFormat="1" ht="15" x14ac:dyDescent="0.25">
      <c r="A35" s="222" t="s">
        <v>170</v>
      </c>
      <c r="B35" s="222" t="s">
        <v>1080</v>
      </c>
      <c r="C35" s="243">
        <v>858730</v>
      </c>
      <c r="D35" s="129">
        <v>23</v>
      </c>
      <c r="E35" s="244" t="s">
        <v>1081</v>
      </c>
      <c r="F35" s="129" t="s">
        <v>172</v>
      </c>
      <c r="G35" s="129" t="s">
        <v>452</v>
      </c>
      <c r="H35" s="245">
        <v>4</v>
      </c>
      <c r="I35" s="231">
        <v>0.03</v>
      </c>
      <c r="J35" s="129" t="s">
        <v>23</v>
      </c>
      <c r="K35" s="312">
        <v>4.59</v>
      </c>
      <c r="L35" s="229">
        <v>1</v>
      </c>
      <c r="M35" s="230">
        <v>50</v>
      </c>
      <c r="N35" s="46" t="s">
        <v>802</v>
      </c>
      <c r="O35" s="297"/>
    </row>
    <row r="36" spans="1:16" s="9" customFormat="1" ht="15" x14ac:dyDescent="0.25">
      <c r="A36" s="222" t="s">
        <v>170</v>
      </c>
      <c r="B36" s="222" t="s">
        <v>1088</v>
      </c>
      <c r="C36" s="243">
        <v>858132</v>
      </c>
      <c r="D36" s="129">
        <v>23</v>
      </c>
      <c r="E36" s="244" t="s">
        <v>1089</v>
      </c>
      <c r="F36" s="129" t="s">
        <v>172</v>
      </c>
      <c r="G36" s="129" t="s">
        <v>452</v>
      </c>
      <c r="H36" s="245">
        <v>4</v>
      </c>
      <c r="I36" s="231">
        <v>0.04</v>
      </c>
      <c r="J36" s="129" t="s">
        <v>23</v>
      </c>
      <c r="K36" s="312">
        <v>6.2</v>
      </c>
      <c r="L36" s="229">
        <v>1</v>
      </c>
      <c r="M36" s="230">
        <v>50</v>
      </c>
      <c r="N36" s="46" t="s">
        <v>802</v>
      </c>
      <c r="O36" s="297"/>
    </row>
    <row r="37" spans="1:16" s="9" customFormat="1" ht="15" x14ac:dyDescent="0.25">
      <c r="A37" s="222" t="s">
        <v>170</v>
      </c>
      <c r="B37" s="222" t="s">
        <v>1076</v>
      </c>
      <c r="C37" s="243">
        <v>858532</v>
      </c>
      <c r="D37" s="129">
        <v>23</v>
      </c>
      <c r="E37" s="244" t="s">
        <v>1077</v>
      </c>
      <c r="F37" s="129" t="s">
        <v>172</v>
      </c>
      <c r="G37" s="129" t="s">
        <v>452</v>
      </c>
      <c r="H37" s="245">
        <v>4</v>
      </c>
      <c r="I37" s="231">
        <v>0.02</v>
      </c>
      <c r="J37" s="129" t="s">
        <v>23</v>
      </c>
      <c r="K37" s="312">
        <v>3.09</v>
      </c>
      <c r="L37" s="229">
        <v>1</v>
      </c>
      <c r="M37" s="230">
        <v>50</v>
      </c>
      <c r="N37" s="46" t="s">
        <v>802</v>
      </c>
      <c r="O37" s="297"/>
    </row>
    <row r="38" spans="1:16" s="9" customFormat="1" ht="15" x14ac:dyDescent="0.25">
      <c r="A38" s="222" t="s">
        <v>170</v>
      </c>
      <c r="B38" s="222" t="s">
        <v>1082</v>
      </c>
      <c r="C38" s="243">
        <v>858732</v>
      </c>
      <c r="D38" s="129">
        <v>23</v>
      </c>
      <c r="E38" s="244" t="s">
        <v>1083</v>
      </c>
      <c r="F38" s="129" t="s">
        <v>172</v>
      </c>
      <c r="G38" s="129" t="s">
        <v>452</v>
      </c>
      <c r="H38" s="245">
        <v>4</v>
      </c>
      <c r="I38" s="231">
        <v>0.03</v>
      </c>
      <c r="J38" s="129" t="s">
        <v>23</v>
      </c>
      <c r="K38" s="312">
        <v>4.59</v>
      </c>
      <c r="L38" s="229">
        <v>1</v>
      </c>
      <c r="M38" s="230">
        <v>50</v>
      </c>
      <c r="N38" s="46" t="s">
        <v>802</v>
      </c>
      <c r="O38" s="297"/>
    </row>
    <row r="39" spans="1:16" s="9" customFormat="1" ht="15" x14ac:dyDescent="0.25">
      <c r="A39" s="222" t="s">
        <v>170</v>
      </c>
      <c r="B39" s="222" t="s">
        <v>1090</v>
      </c>
      <c r="C39" s="243">
        <v>858135</v>
      </c>
      <c r="D39" s="129">
        <v>23</v>
      </c>
      <c r="E39" s="244" t="s">
        <v>1091</v>
      </c>
      <c r="F39" s="129" t="s">
        <v>172</v>
      </c>
      <c r="G39" s="129" t="s">
        <v>452</v>
      </c>
      <c r="H39" s="245">
        <v>4</v>
      </c>
      <c r="I39" s="231">
        <v>0.04</v>
      </c>
      <c r="J39" s="129" t="s">
        <v>23</v>
      </c>
      <c r="K39" s="312">
        <v>6.2</v>
      </c>
      <c r="L39" s="229">
        <v>1</v>
      </c>
      <c r="M39" s="230">
        <v>50</v>
      </c>
      <c r="N39" s="46" t="s">
        <v>802</v>
      </c>
      <c r="O39" s="297"/>
    </row>
    <row r="40" spans="1:16" s="9" customFormat="1" ht="15" x14ac:dyDescent="0.25">
      <c r="A40" s="222" t="s">
        <v>170</v>
      </c>
      <c r="B40" s="222" t="s">
        <v>1078</v>
      </c>
      <c r="C40" s="243">
        <v>858535</v>
      </c>
      <c r="D40" s="129">
        <v>23</v>
      </c>
      <c r="E40" s="244" t="s">
        <v>1079</v>
      </c>
      <c r="F40" s="129" t="s">
        <v>172</v>
      </c>
      <c r="G40" s="129" t="s">
        <v>452</v>
      </c>
      <c r="H40" s="245">
        <v>4</v>
      </c>
      <c r="I40" s="231">
        <v>0.02</v>
      </c>
      <c r="J40" s="129" t="s">
        <v>23</v>
      </c>
      <c r="K40" s="312">
        <v>3.09</v>
      </c>
      <c r="L40" s="229">
        <v>1</v>
      </c>
      <c r="M40" s="230">
        <v>50</v>
      </c>
      <c r="N40" s="46" t="s">
        <v>802</v>
      </c>
      <c r="O40" s="297"/>
      <c r="P40" s="9" t="s">
        <v>801</v>
      </c>
    </row>
    <row r="41" spans="1:16" s="9" customFormat="1" ht="15" x14ac:dyDescent="0.25">
      <c r="A41" s="222" t="s">
        <v>170</v>
      </c>
      <c r="B41" s="222" t="s">
        <v>1084</v>
      </c>
      <c r="C41" s="243">
        <v>858735</v>
      </c>
      <c r="D41" s="129">
        <v>23</v>
      </c>
      <c r="E41" s="244" t="s">
        <v>1085</v>
      </c>
      <c r="F41" s="129" t="s">
        <v>172</v>
      </c>
      <c r="G41" s="129" t="s">
        <v>452</v>
      </c>
      <c r="H41" s="245">
        <v>4</v>
      </c>
      <c r="I41" s="231">
        <v>0.03</v>
      </c>
      <c r="J41" s="129" t="s">
        <v>23</v>
      </c>
      <c r="K41" s="312">
        <v>4.59</v>
      </c>
      <c r="L41" s="229">
        <v>1</v>
      </c>
      <c r="M41" s="230">
        <v>50</v>
      </c>
      <c r="N41" s="46" t="s">
        <v>802</v>
      </c>
      <c r="O41" s="297"/>
      <c r="P41" s="9" t="s">
        <v>801</v>
      </c>
    </row>
    <row r="42" spans="1:16" s="9" customFormat="1" ht="15" x14ac:dyDescent="0.25">
      <c r="A42" s="222" t="s">
        <v>1049</v>
      </c>
      <c r="B42" s="222" t="s">
        <v>1062</v>
      </c>
      <c r="C42" s="243">
        <v>888130</v>
      </c>
      <c r="D42" s="129">
        <v>23</v>
      </c>
      <c r="E42" s="244" t="s">
        <v>1063</v>
      </c>
      <c r="F42" s="129" t="s">
        <v>172</v>
      </c>
      <c r="G42" s="129" t="s">
        <v>452</v>
      </c>
      <c r="H42" s="245">
        <v>4</v>
      </c>
      <c r="I42" s="231">
        <v>0.06</v>
      </c>
      <c r="J42" s="129" t="s">
        <v>23</v>
      </c>
      <c r="K42" s="312">
        <v>12.4</v>
      </c>
      <c r="L42" s="229">
        <v>1</v>
      </c>
      <c r="M42" s="230">
        <v>50</v>
      </c>
      <c r="N42" s="46" t="s">
        <v>802</v>
      </c>
      <c r="O42" s="297"/>
      <c r="P42" s="9" t="s">
        <v>801</v>
      </c>
    </row>
    <row r="43" spans="1:16" s="9" customFormat="1" ht="15" x14ac:dyDescent="0.25">
      <c r="A43" s="222" t="s">
        <v>1049</v>
      </c>
      <c r="B43" s="222" t="s">
        <v>1050</v>
      </c>
      <c r="C43" s="243">
        <v>888530</v>
      </c>
      <c r="D43" s="129">
        <v>23</v>
      </c>
      <c r="E43" s="244" t="s">
        <v>1051</v>
      </c>
      <c r="F43" s="129" t="s">
        <v>172</v>
      </c>
      <c r="G43" s="129" t="s">
        <v>452</v>
      </c>
      <c r="H43" s="245">
        <v>4</v>
      </c>
      <c r="I43" s="231">
        <v>0.04</v>
      </c>
      <c r="J43" s="129" t="s">
        <v>23</v>
      </c>
      <c r="K43" s="312">
        <v>6.2</v>
      </c>
      <c r="L43" s="229">
        <v>1</v>
      </c>
      <c r="M43" s="230">
        <v>50</v>
      </c>
      <c r="N43" s="46" t="s">
        <v>802</v>
      </c>
      <c r="O43" s="297"/>
      <c r="P43" s="9" t="s">
        <v>801</v>
      </c>
    </row>
    <row r="44" spans="1:16" s="9" customFormat="1" ht="15" x14ac:dyDescent="0.25">
      <c r="A44" s="222" t="s">
        <v>1049</v>
      </c>
      <c r="B44" s="222" t="s">
        <v>1056</v>
      </c>
      <c r="C44" s="243">
        <v>888730</v>
      </c>
      <c r="D44" s="129">
        <v>23</v>
      </c>
      <c r="E44" s="244" t="s">
        <v>1057</v>
      </c>
      <c r="F44" s="129" t="s">
        <v>172</v>
      </c>
      <c r="G44" s="129" t="s">
        <v>452</v>
      </c>
      <c r="H44" s="245">
        <v>4</v>
      </c>
      <c r="I44" s="231">
        <v>0.05</v>
      </c>
      <c r="J44" s="129" t="s">
        <v>23</v>
      </c>
      <c r="K44" s="312">
        <v>9.19</v>
      </c>
      <c r="L44" s="229">
        <v>1</v>
      </c>
      <c r="M44" s="230">
        <v>50</v>
      </c>
      <c r="N44" s="46" t="s">
        <v>802</v>
      </c>
      <c r="O44" s="297"/>
      <c r="P44" s="9" t="s">
        <v>801</v>
      </c>
    </row>
    <row r="45" spans="1:16" s="9" customFormat="1" ht="15" x14ac:dyDescent="0.25">
      <c r="A45" s="222" t="s">
        <v>1049</v>
      </c>
      <c r="B45" s="222" t="s">
        <v>1064</v>
      </c>
      <c r="C45" s="243">
        <v>888132</v>
      </c>
      <c r="D45" s="129">
        <v>23</v>
      </c>
      <c r="E45" s="244" t="s">
        <v>1065</v>
      </c>
      <c r="F45" s="129" t="s">
        <v>172</v>
      </c>
      <c r="G45" s="129" t="s">
        <v>452</v>
      </c>
      <c r="H45" s="245">
        <v>4</v>
      </c>
      <c r="I45" s="231">
        <v>7.0000000000000007E-2</v>
      </c>
      <c r="J45" s="129" t="s">
        <v>23</v>
      </c>
      <c r="K45" s="312">
        <v>12.4</v>
      </c>
      <c r="L45" s="229">
        <v>1</v>
      </c>
      <c r="M45" s="230">
        <v>50</v>
      </c>
      <c r="N45" s="46" t="s">
        <v>802</v>
      </c>
      <c r="O45" s="297"/>
      <c r="P45" s="9" t="s">
        <v>801</v>
      </c>
    </row>
    <row r="46" spans="1:16" s="9" customFormat="1" ht="15" x14ac:dyDescent="0.25">
      <c r="A46" s="222" t="s">
        <v>1049</v>
      </c>
      <c r="B46" s="222" t="s">
        <v>1052</v>
      </c>
      <c r="C46" s="243">
        <v>888532</v>
      </c>
      <c r="D46" s="129">
        <v>23</v>
      </c>
      <c r="E46" s="244" t="s">
        <v>1053</v>
      </c>
      <c r="F46" s="129" t="s">
        <v>172</v>
      </c>
      <c r="G46" s="129" t="s">
        <v>452</v>
      </c>
      <c r="H46" s="245">
        <v>4</v>
      </c>
      <c r="I46" s="231">
        <v>0.05</v>
      </c>
      <c r="J46" s="129" t="s">
        <v>23</v>
      </c>
      <c r="K46" s="312">
        <v>6.2</v>
      </c>
      <c r="L46" s="229">
        <v>1</v>
      </c>
      <c r="M46" s="230">
        <v>50</v>
      </c>
      <c r="N46" s="46" t="s">
        <v>802</v>
      </c>
      <c r="O46" s="297"/>
      <c r="P46" s="9" t="s">
        <v>801</v>
      </c>
    </row>
    <row r="47" spans="1:16" s="9" customFormat="1" ht="15" x14ac:dyDescent="0.25">
      <c r="A47" s="222" t="s">
        <v>1049</v>
      </c>
      <c r="B47" s="222" t="s">
        <v>1058</v>
      </c>
      <c r="C47" s="243">
        <v>888732</v>
      </c>
      <c r="D47" s="129">
        <v>23</v>
      </c>
      <c r="E47" s="244" t="s">
        <v>1059</v>
      </c>
      <c r="F47" s="129" t="s">
        <v>172</v>
      </c>
      <c r="G47" s="129" t="s">
        <v>452</v>
      </c>
      <c r="H47" s="245">
        <v>4</v>
      </c>
      <c r="I47" s="231">
        <v>0.06</v>
      </c>
      <c r="J47" s="129" t="s">
        <v>23</v>
      </c>
      <c r="K47" s="312">
        <v>9.19</v>
      </c>
      <c r="L47" s="229">
        <v>1</v>
      </c>
      <c r="M47" s="230">
        <v>50</v>
      </c>
      <c r="N47" s="46" t="s">
        <v>802</v>
      </c>
      <c r="O47" s="297"/>
      <c r="P47" s="9" t="s">
        <v>801</v>
      </c>
    </row>
    <row r="48" spans="1:16" s="9" customFormat="1" ht="15" x14ac:dyDescent="0.25">
      <c r="A48" s="222" t="s">
        <v>1049</v>
      </c>
      <c r="B48" s="222" t="s">
        <v>1066</v>
      </c>
      <c r="C48" s="243">
        <v>888135</v>
      </c>
      <c r="D48" s="129">
        <v>23</v>
      </c>
      <c r="E48" s="244" t="s">
        <v>1067</v>
      </c>
      <c r="F48" s="129" t="s">
        <v>172</v>
      </c>
      <c r="G48" s="129" t="s">
        <v>452</v>
      </c>
      <c r="H48" s="245">
        <v>4</v>
      </c>
      <c r="I48" s="231">
        <v>0.08</v>
      </c>
      <c r="J48" s="129" t="s">
        <v>23</v>
      </c>
      <c r="K48" s="312">
        <v>12.4</v>
      </c>
      <c r="L48" s="229">
        <v>1</v>
      </c>
      <c r="M48" s="230">
        <v>50</v>
      </c>
      <c r="N48" s="46" t="s">
        <v>802</v>
      </c>
      <c r="O48" s="297"/>
      <c r="P48" s="9" t="s">
        <v>801</v>
      </c>
    </row>
    <row r="49" spans="1:16" s="9" customFormat="1" ht="15" x14ac:dyDescent="0.25">
      <c r="A49" s="222" t="s">
        <v>1049</v>
      </c>
      <c r="B49" s="222" t="s">
        <v>1054</v>
      </c>
      <c r="C49" s="243">
        <v>888535</v>
      </c>
      <c r="D49" s="129">
        <v>23</v>
      </c>
      <c r="E49" s="244" t="s">
        <v>1055</v>
      </c>
      <c r="F49" s="129" t="s">
        <v>172</v>
      </c>
      <c r="G49" s="129" t="s">
        <v>452</v>
      </c>
      <c r="H49" s="245">
        <v>4</v>
      </c>
      <c r="I49" s="231">
        <v>0.06</v>
      </c>
      <c r="J49" s="129" t="s">
        <v>23</v>
      </c>
      <c r="K49" s="312">
        <v>6.2</v>
      </c>
      <c r="L49" s="229">
        <v>1</v>
      </c>
      <c r="M49" s="230">
        <v>50</v>
      </c>
      <c r="N49" s="46" t="s">
        <v>802</v>
      </c>
      <c r="O49" s="297"/>
      <c r="P49" s="9" t="s">
        <v>801</v>
      </c>
    </row>
    <row r="50" spans="1:16" s="9" customFormat="1" ht="15" x14ac:dyDescent="0.25">
      <c r="A50" s="222" t="s">
        <v>1049</v>
      </c>
      <c r="B50" s="222" t="s">
        <v>1060</v>
      </c>
      <c r="C50" s="243">
        <v>888735</v>
      </c>
      <c r="D50" s="129">
        <v>23</v>
      </c>
      <c r="E50" s="244" t="s">
        <v>1061</v>
      </c>
      <c r="F50" s="129" t="s">
        <v>172</v>
      </c>
      <c r="G50" s="129" t="s">
        <v>452</v>
      </c>
      <c r="H50" s="245">
        <v>4</v>
      </c>
      <c r="I50" s="231">
        <v>7.0000000000000007E-2</v>
      </c>
      <c r="J50" s="129" t="s">
        <v>23</v>
      </c>
      <c r="K50" s="312">
        <v>9.19</v>
      </c>
      <c r="L50" s="229">
        <v>1</v>
      </c>
      <c r="M50" s="230">
        <v>50</v>
      </c>
      <c r="N50" s="46" t="s">
        <v>802</v>
      </c>
      <c r="O50" s="297"/>
      <c r="P50" s="9" t="s">
        <v>801</v>
      </c>
    </row>
    <row r="51" spans="1:16" s="9" customFormat="1" ht="15" x14ac:dyDescent="0.25">
      <c r="A51" s="222" t="s">
        <v>1049</v>
      </c>
      <c r="B51" s="222" t="s">
        <v>1007</v>
      </c>
      <c r="C51" s="243">
        <v>897430</v>
      </c>
      <c r="D51" s="129">
        <v>23</v>
      </c>
      <c r="E51" s="244" t="s">
        <v>1109</v>
      </c>
      <c r="F51" s="129" t="s">
        <v>172</v>
      </c>
      <c r="G51" s="129" t="s">
        <v>452</v>
      </c>
      <c r="H51" s="245">
        <v>3</v>
      </c>
      <c r="I51" s="228">
        <v>0.04</v>
      </c>
      <c r="J51" s="129" t="s">
        <v>23</v>
      </c>
      <c r="K51" s="312">
        <v>5.87</v>
      </c>
      <c r="L51" s="229">
        <v>1</v>
      </c>
      <c r="M51" s="230">
        <v>50</v>
      </c>
      <c r="N51" s="46" t="s">
        <v>802</v>
      </c>
      <c r="O51" s="297"/>
      <c r="P51" s="9" t="s">
        <v>801</v>
      </c>
    </row>
    <row r="52" spans="1:16" s="9" customFormat="1" ht="15" x14ac:dyDescent="0.25">
      <c r="A52" s="222" t="s">
        <v>1049</v>
      </c>
      <c r="B52" s="222" t="s">
        <v>1008</v>
      </c>
      <c r="C52" s="243">
        <v>8974302</v>
      </c>
      <c r="D52" s="129">
        <v>23</v>
      </c>
      <c r="E52" s="244" t="s">
        <v>1110</v>
      </c>
      <c r="F52" s="129" t="s">
        <v>172</v>
      </c>
      <c r="G52" s="129" t="s">
        <v>452</v>
      </c>
      <c r="H52" s="245">
        <v>3</v>
      </c>
      <c r="I52" s="228">
        <v>0.04</v>
      </c>
      <c r="J52" s="129" t="s">
        <v>23</v>
      </c>
      <c r="K52" s="312">
        <v>7.12</v>
      </c>
      <c r="L52" s="229">
        <v>1</v>
      </c>
      <c r="M52" s="230">
        <v>50</v>
      </c>
      <c r="N52" s="46" t="s">
        <v>803</v>
      </c>
      <c r="O52" s="297"/>
      <c r="P52" s="9" t="s">
        <v>801</v>
      </c>
    </row>
    <row r="53" spans="1:16" s="9" customFormat="1" x14ac:dyDescent="0.2">
      <c r="A53" s="219" t="s">
        <v>184</v>
      </c>
      <c r="B53" s="219" t="s">
        <v>38</v>
      </c>
      <c r="C53" s="129">
        <v>897432</v>
      </c>
      <c r="D53" s="129">
        <v>23</v>
      </c>
      <c r="E53" s="129" t="s">
        <v>185</v>
      </c>
      <c r="F53" s="129" t="s">
        <v>172</v>
      </c>
      <c r="G53" s="129" t="s">
        <v>452</v>
      </c>
      <c r="H53" s="232">
        <v>3</v>
      </c>
      <c r="I53" s="228">
        <v>0.05</v>
      </c>
      <c r="J53" s="129" t="s">
        <v>23</v>
      </c>
      <c r="K53" s="312">
        <v>5.87</v>
      </c>
      <c r="L53" s="229">
        <v>1</v>
      </c>
      <c r="M53" s="230">
        <v>50</v>
      </c>
      <c r="N53" s="46" t="s">
        <v>802</v>
      </c>
      <c r="O53" s="48"/>
      <c r="P53" s="9" t="s">
        <v>801</v>
      </c>
    </row>
    <row r="54" spans="1:16" s="9" customFormat="1" x14ac:dyDescent="0.2">
      <c r="A54" s="219" t="s">
        <v>184</v>
      </c>
      <c r="B54" s="219" t="s">
        <v>39</v>
      </c>
      <c r="C54" s="129">
        <v>827442</v>
      </c>
      <c r="D54" s="129">
        <v>23</v>
      </c>
      <c r="E54" s="129" t="s">
        <v>186</v>
      </c>
      <c r="F54" s="129" t="s">
        <v>172</v>
      </c>
      <c r="G54" s="129" t="s">
        <v>452</v>
      </c>
      <c r="H54" s="232">
        <v>3</v>
      </c>
      <c r="I54" s="238">
        <v>0.05</v>
      </c>
      <c r="J54" s="129" t="s">
        <v>23</v>
      </c>
      <c r="K54" s="312">
        <v>7.12</v>
      </c>
      <c r="L54" s="229">
        <v>1</v>
      </c>
      <c r="M54" s="230">
        <v>50</v>
      </c>
      <c r="N54" s="46" t="s">
        <v>803</v>
      </c>
      <c r="O54" s="48"/>
      <c r="P54" s="9" t="s">
        <v>801</v>
      </c>
    </row>
    <row r="55" spans="1:16" s="9" customFormat="1" x14ac:dyDescent="0.2">
      <c r="A55" s="219" t="s">
        <v>184</v>
      </c>
      <c r="B55" s="219" t="s">
        <v>40</v>
      </c>
      <c r="C55" s="129">
        <v>897434</v>
      </c>
      <c r="D55" s="129">
        <v>23</v>
      </c>
      <c r="E55" s="129" t="s">
        <v>187</v>
      </c>
      <c r="F55" s="129" t="s">
        <v>172</v>
      </c>
      <c r="G55" s="129" t="s">
        <v>452</v>
      </c>
      <c r="H55" s="232">
        <v>3</v>
      </c>
      <c r="I55" s="228">
        <v>0.06</v>
      </c>
      <c r="J55" s="129" t="s">
        <v>23</v>
      </c>
      <c r="K55" s="312">
        <v>5.87</v>
      </c>
      <c r="L55" s="229">
        <v>1</v>
      </c>
      <c r="M55" s="230">
        <v>50</v>
      </c>
      <c r="N55" s="46" t="s">
        <v>802</v>
      </c>
      <c r="O55" s="48"/>
      <c r="P55" s="9" t="s">
        <v>801</v>
      </c>
    </row>
    <row r="56" spans="1:16" s="9" customFormat="1" x14ac:dyDescent="0.2">
      <c r="A56" s="219" t="s">
        <v>184</v>
      </c>
      <c r="B56" s="219" t="s">
        <v>41</v>
      </c>
      <c r="C56" s="129">
        <v>897435</v>
      </c>
      <c r="D56" s="129">
        <v>23</v>
      </c>
      <c r="E56" s="129" t="s">
        <v>188</v>
      </c>
      <c r="F56" s="129" t="s">
        <v>172</v>
      </c>
      <c r="G56" s="129" t="s">
        <v>452</v>
      </c>
      <c r="H56" s="232">
        <v>3</v>
      </c>
      <c r="I56" s="228">
        <v>0.06</v>
      </c>
      <c r="J56" s="129" t="s">
        <v>23</v>
      </c>
      <c r="K56" s="312">
        <v>5.87</v>
      </c>
      <c r="L56" s="229">
        <v>1</v>
      </c>
      <c r="M56" s="230">
        <v>50</v>
      </c>
      <c r="N56" s="46" t="s">
        <v>802</v>
      </c>
      <c r="O56" s="48"/>
      <c r="P56" s="9" t="s">
        <v>801</v>
      </c>
    </row>
    <row r="57" spans="1:16" s="9" customFormat="1" x14ac:dyDescent="0.2">
      <c r="A57" s="219" t="s">
        <v>184</v>
      </c>
      <c r="B57" s="219" t="s">
        <v>42</v>
      </c>
      <c r="C57" s="129">
        <v>827435</v>
      </c>
      <c r="D57" s="129">
        <v>23</v>
      </c>
      <c r="E57" s="129" t="s">
        <v>189</v>
      </c>
      <c r="F57" s="129" t="s">
        <v>172</v>
      </c>
      <c r="G57" s="129" t="s">
        <v>452</v>
      </c>
      <c r="H57" s="232">
        <v>3</v>
      </c>
      <c r="I57" s="238">
        <v>0.06</v>
      </c>
      <c r="J57" s="129" t="s">
        <v>23</v>
      </c>
      <c r="K57" s="312">
        <v>7.12</v>
      </c>
      <c r="L57" s="229">
        <v>1</v>
      </c>
      <c r="M57" s="230">
        <v>50</v>
      </c>
      <c r="N57" s="46" t="s">
        <v>803</v>
      </c>
      <c r="O57" s="48"/>
      <c r="P57" s="9" t="s">
        <v>801</v>
      </c>
    </row>
    <row r="58" spans="1:16" s="9" customFormat="1" x14ac:dyDescent="0.2">
      <c r="A58" s="219" t="s">
        <v>184</v>
      </c>
      <c r="B58" s="219" t="s">
        <v>43</v>
      </c>
      <c r="C58" s="129">
        <v>897438</v>
      </c>
      <c r="D58" s="129">
        <v>23</v>
      </c>
      <c r="E58" s="129" t="s">
        <v>190</v>
      </c>
      <c r="F58" s="129" t="s">
        <v>172</v>
      </c>
      <c r="G58" s="129" t="s">
        <v>452</v>
      </c>
      <c r="H58" s="232">
        <v>3</v>
      </c>
      <c r="I58" s="228">
        <v>7.0000000000000007E-2</v>
      </c>
      <c r="J58" s="129" t="s">
        <v>23</v>
      </c>
      <c r="K58" s="312">
        <v>5.87</v>
      </c>
      <c r="L58" s="229">
        <v>1</v>
      </c>
      <c r="M58" s="230">
        <v>50</v>
      </c>
      <c r="N58" s="46" t="s">
        <v>802</v>
      </c>
      <c r="O58" s="48"/>
      <c r="P58" s="9" t="s">
        <v>801</v>
      </c>
    </row>
    <row r="59" spans="1:16" s="9" customFormat="1" x14ac:dyDescent="0.2">
      <c r="A59" s="219" t="s">
        <v>184</v>
      </c>
      <c r="B59" s="219" t="s">
        <v>44</v>
      </c>
      <c r="C59" s="129">
        <v>897440</v>
      </c>
      <c r="D59" s="129">
        <v>23</v>
      </c>
      <c r="E59" s="129" t="s">
        <v>191</v>
      </c>
      <c r="F59" s="129" t="s">
        <v>172</v>
      </c>
      <c r="G59" s="129" t="s">
        <v>452</v>
      </c>
      <c r="H59" s="232">
        <v>3</v>
      </c>
      <c r="I59" s="228">
        <v>7.0000000000000007E-2</v>
      </c>
      <c r="J59" s="129" t="s">
        <v>23</v>
      </c>
      <c r="K59" s="312">
        <v>5.87</v>
      </c>
      <c r="L59" s="229">
        <v>1</v>
      </c>
      <c r="M59" s="230">
        <v>50</v>
      </c>
      <c r="N59" s="46" t="s">
        <v>802</v>
      </c>
      <c r="O59" s="48"/>
      <c r="P59" s="9" t="s">
        <v>801</v>
      </c>
    </row>
    <row r="60" spans="1:16" s="9" customFormat="1" x14ac:dyDescent="0.2">
      <c r="A60" s="219" t="s">
        <v>184</v>
      </c>
      <c r="B60" s="219" t="s">
        <v>45</v>
      </c>
      <c r="C60" s="129">
        <v>827440</v>
      </c>
      <c r="D60" s="129">
        <v>23</v>
      </c>
      <c r="E60" s="129" t="s">
        <v>192</v>
      </c>
      <c r="F60" s="129" t="s">
        <v>172</v>
      </c>
      <c r="G60" s="129" t="s">
        <v>452</v>
      </c>
      <c r="H60" s="232">
        <v>3</v>
      </c>
      <c r="I60" s="238">
        <v>7.0000000000000007E-2</v>
      </c>
      <c r="J60" s="129" t="s">
        <v>23</v>
      </c>
      <c r="K60" s="312">
        <v>7.12</v>
      </c>
      <c r="L60" s="229">
        <v>1</v>
      </c>
      <c r="M60" s="230">
        <v>50</v>
      </c>
      <c r="N60" s="46" t="s">
        <v>803</v>
      </c>
      <c r="O60" s="48"/>
      <c r="P60" s="9" t="s">
        <v>801</v>
      </c>
    </row>
    <row r="61" spans="1:16" s="9" customFormat="1" x14ac:dyDescent="0.2">
      <c r="A61" s="219" t="s">
        <v>184</v>
      </c>
      <c r="B61" s="219" t="s">
        <v>46</v>
      </c>
      <c r="C61" s="129">
        <v>897442</v>
      </c>
      <c r="D61" s="129">
        <v>23</v>
      </c>
      <c r="E61" s="129" t="s">
        <v>193</v>
      </c>
      <c r="F61" s="129" t="s">
        <v>172</v>
      </c>
      <c r="G61" s="129" t="s">
        <v>452</v>
      </c>
      <c r="H61" s="232">
        <v>3</v>
      </c>
      <c r="I61" s="228">
        <v>7.0000000000000007E-2</v>
      </c>
      <c r="J61" s="129" t="s">
        <v>23</v>
      </c>
      <c r="K61" s="312">
        <v>5.87</v>
      </c>
      <c r="L61" s="229">
        <v>1</v>
      </c>
      <c r="M61" s="230">
        <v>50</v>
      </c>
      <c r="N61" s="46" t="s">
        <v>802</v>
      </c>
      <c r="O61" s="48"/>
      <c r="P61" s="9" t="s">
        <v>801</v>
      </c>
    </row>
    <row r="62" spans="1:16" s="9" customFormat="1" x14ac:dyDescent="0.2">
      <c r="A62" s="219" t="s">
        <v>184</v>
      </c>
      <c r="B62" s="219" t="s">
        <v>47</v>
      </c>
      <c r="C62" s="129">
        <v>897446</v>
      </c>
      <c r="D62" s="129">
        <v>23</v>
      </c>
      <c r="E62" s="129" t="s">
        <v>194</v>
      </c>
      <c r="F62" s="129" t="s">
        <v>172</v>
      </c>
      <c r="G62" s="129" t="s">
        <v>452</v>
      </c>
      <c r="H62" s="232">
        <v>3</v>
      </c>
      <c r="I62" s="228">
        <v>0.08</v>
      </c>
      <c r="J62" s="129" t="s">
        <v>23</v>
      </c>
      <c r="K62" s="312">
        <v>5.87</v>
      </c>
      <c r="L62" s="229">
        <v>1</v>
      </c>
      <c r="M62" s="230">
        <v>50</v>
      </c>
      <c r="N62" s="46" t="s">
        <v>802</v>
      </c>
      <c r="O62" s="48"/>
      <c r="P62" s="9" t="s">
        <v>801</v>
      </c>
    </row>
    <row r="63" spans="1:16" s="9" customFormat="1" x14ac:dyDescent="0.2">
      <c r="A63" s="219" t="s">
        <v>184</v>
      </c>
      <c r="B63" s="219" t="s">
        <v>48</v>
      </c>
      <c r="C63" s="129">
        <v>897450</v>
      </c>
      <c r="D63" s="129">
        <v>23</v>
      </c>
      <c r="E63" s="129" t="s">
        <v>195</v>
      </c>
      <c r="F63" s="129" t="s">
        <v>172</v>
      </c>
      <c r="G63" s="129" t="s">
        <v>452</v>
      </c>
      <c r="H63" s="232">
        <v>3</v>
      </c>
      <c r="I63" s="228">
        <v>0.08</v>
      </c>
      <c r="J63" s="129" t="s">
        <v>23</v>
      </c>
      <c r="K63" s="312">
        <v>5.87</v>
      </c>
      <c r="L63" s="229">
        <v>1</v>
      </c>
      <c r="M63" s="230">
        <v>50</v>
      </c>
      <c r="N63" s="46" t="s">
        <v>802</v>
      </c>
      <c r="O63" s="48"/>
      <c r="P63" s="9" t="s">
        <v>801</v>
      </c>
    </row>
    <row r="64" spans="1:16" s="9" customFormat="1" x14ac:dyDescent="0.2">
      <c r="A64" s="219" t="s">
        <v>170</v>
      </c>
      <c r="B64" s="220" t="s">
        <v>859</v>
      </c>
      <c r="C64" s="231">
        <v>897334</v>
      </c>
      <c r="D64" s="231">
        <v>23</v>
      </c>
      <c r="E64" s="231" t="s">
        <v>886</v>
      </c>
      <c r="F64" s="129" t="s">
        <v>169</v>
      </c>
      <c r="G64" s="129" t="s">
        <v>451</v>
      </c>
      <c r="H64" s="232">
        <v>2</v>
      </c>
      <c r="I64" s="246">
        <v>0.09</v>
      </c>
      <c r="J64" s="231" t="s">
        <v>23</v>
      </c>
      <c r="K64" s="312">
        <v>5.18</v>
      </c>
      <c r="L64" s="229">
        <v>1</v>
      </c>
      <c r="M64" s="234">
        <v>10</v>
      </c>
      <c r="N64" s="46" t="s">
        <v>803</v>
      </c>
      <c r="O64" s="50" t="s">
        <v>801</v>
      </c>
      <c r="P64" s="9" t="s">
        <v>801</v>
      </c>
    </row>
    <row r="65" spans="1:16" s="9" customFormat="1" x14ac:dyDescent="0.2">
      <c r="A65" s="222" t="s">
        <v>988</v>
      </c>
      <c r="B65" s="222" t="s">
        <v>1092</v>
      </c>
      <c r="C65" s="243">
        <v>890222</v>
      </c>
      <c r="D65" s="129">
        <v>23</v>
      </c>
      <c r="E65" s="244" t="s">
        <v>1093</v>
      </c>
      <c r="F65" s="129" t="s">
        <v>169</v>
      </c>
      <c r="G65" s="129" t="s">
        <v>451</v>
      </c>
      <c r="H65" s="243"/>
      <c r="I65" s="231">
        <v>0.16</v>
      </c>
      <c r="J65" s="129" t="s">
        <v>23</v>
      </c>
      <c r="K65" s="312">
        <v>28.92</v>
      </c>
      <c r="L65" s="247">
        <v>1</v>
      </c>
      <c r="M65" s="248">
        <v>100</v>
      </c>
      <c r="N65" s="46" t="s">
        <v>803</v>
      </c>
      <c r="O65" s="50" t="s">
        <v>801</v>
      </c>
      <c r="P65" s="9" t="s">
        <v>801</v>
      </c>
    </row>
    <row r="66" spans="1:16" s="9" customFormat="1" x14ac:dyDescent="0.2">
      <c r="A66" s="219" t="s">
        <v>50</v>
      </c>
      <c r="B66" s="219" t="s">
        <v>1011</v>
      </c>
      <c r="C66" s="129">
        <v>867603</v>
      </c>
      <c r="D66" s="129">
        <v>23</v>
      </c>
      <c r="E66" s="244">
        <v>5900993251586</v>
      </c>
      <c r="F66" s="129" t="s">
        <v>169</v>
      </c>
      <c r="G66" s="129" t="s">
        <v>451</v>
      </c>
      <c r="H66" s="227">
        <v>3</v>
      </c>
      <c r="I66" s="238">
        <v>10.94</v>
      </c>
      <c r="J66" s="129" t="s">
        <v>23</v>
      </c>
      <c r="K66" s="312">
        <v>136.1</v>
      </c>
      <c r="L66" s="229">
        <v>1</v>
      </c>
      <c r="M66" s="249">
        <v>4</v>
      </c>
      <c r="N66" s="46" t="s">
        <v>803</v>
      </c>
      <c r="O66" s="50" t="s">
        <v>801</v>
      </c>
      <c r="P66" s="9" t="s">
        <v>801</v>
      </c>
    </row>
    <row r="67" spans="1:16" s="9" customFormat="1" x14ac:dyDescent="0.2">
      <c r="A67" s="219" t="s">
        <v>50</v>
      </c>
      <c r="B67" s="219" t="s">
        <v>1012</v>
      </c>
      <c r="C67" s="129">
        <v>867604</v>
      </c>
      <c r="D67" s="129">
        <v>23</v>
      </c>
      <c r="E67" s="244">
        <v>5900993251616</v>
      </c>
      <c r="F67" s="129" t="s">
        <v>169</v>
      </c>
      <c r="G67" s="129" t="s">
        <v>451</v>
      </c>
      <c r="H67" s="227">
        <v>3</v>
      </c>
      <c r="I67" s="238">
        <v>14.59</v>
      </c>
      <c r="J67" s="129" t="s">
        <v>23</v>
      </c>
      <c r="K67" s="312">
        <v>181.47</v>
      </c>
      <c r="L67" s="229">
        <v>1</v>
      </c>
      <c r="M67" s="249">
        <v>4</v>
      </c>
      <c r="N67" s="46" t="s">
        <v>803</v>
      </c>
      <c r="O67" s="50" t="s">
        <v>801</v>
      </c>
      <c r="P67" s="9" t="s">
        <v>801</v>
      </c>
    </row>
    <row r="68" spans="1:16" s="9" customFormat="1" x14ac:dyDescent="0.2">
      <c r="A68" s="219" t="s">
        <v>50</v>
      </c>
      <c r="B68" s="220" t="s">
        <v>855</v>
      </c>
      <c r="C68" s="231">
        <v>895230</v>
      </c>
      <c r="D68" s="231">
        <v>23</v>
      </c>
      <c r="E68" s="231" t="s">
        <v>890</v>
      </c>
      <c r="F68" s="129" t="s">
        <v>169</v>
      </c>
      <c r="G68" s="129" t="s">
        <v>451</v>
      </c>
      <c r="H68" s="250">
        <v>2</v>
      </c>
      <c r="I68" s="246">
        <v>0.48</v>
      </c>
      <c r="J68" s="251" t="s">
        <v>23</v>
      </c>
      <c r="K68" s="312">
        <v>8.16</v>
      </c>
      <c r="L68" s="229">
        <v>1</v>
      </c>
      <c r="M68" s="234">
        <v>1</v>
      </c>
      <c r="N68" s="46" t="s">
        <v>803</v>
      </c>
      <c r="O68" s="50" t="s">
        <v>801</v>
      </c>
      <c r="P68" s="9" t="s">
        <v>801</v>
      </c>
    </row>
    <row r="69" spans="1:16" s="9" customFormat="1" x14ac:dyDescent="0.2">
      <c r="A69" s="219" t="s">
        <v>50</v>
      </c>
      <c r="B69" s="220" t="s">
        <v>857</v>
      </c>
      <c r="C69" s="231">
        <v>895345</v>
      </c>
      <c r="D69" s="231">
        <v>23</v>
      </c>
      <c r="E69" s="231" t="s">
        <v>891</v>
      </c>
      <c r="F69" s="129" t="s">
        <v>169</v>
      </c>
      <c r="G69" s="129" t="s">
        <v>451</v>
      </c>
      <c r="H69" s="250">
        <v>2</v>
      </c>
      <c r="I69" s="246">
        <v>0.72</v>
      </c>
      <c r="J69" s="251" t="s">
        <v>23</v>
      </c>
      <c r="K69" s="312">
        <v>12.23</v>
      </c>
      <c r="L69" s="229">
        <v>1</v>
      </c>
      <c r="M69" s="234">
        <v>1</v>
      </c>
      <c r="N69" s="46" t="s">
        <v>803</v>
      </c>
      <c r="O69" s="50" t="s">
        <v>801</v>
      </c>
      <c r="P69" s="9" t="s">
        <v>801</v>
      </c>
    </row>
    <row r="70" spans="1:16" s="9" customFormat="1" x14ac:dyDescent="0.2">
      <c r="A70" s="219" t="s">
        <v>50</v>
      </c>
      <c r="B70" s="220" t="s">
        <v>858</v>
      </c>
      <c r="C70" s="231">
        <v>895255</v>
      </c>
      <c r="D70" s="231">
        <v>23</v>
      </c>
      <c r="E70" s="231" t="s">
        <v>892</v>
      </c>
      <c r="F70" s="129" t="s">
        <v>169</v>
      </c>
      <c r="G70" s="129" t="s">
        <v>451</v>
      </c>
      <c r="H70" s="250">
        <v>2</v>
      </c>
      <c r="I70" s="246">
        <v>0.88</v>
      </c>
      <c r="J70" s="251" t="s">
        <v>23</v>
      </c>
      <c r="K70" s="312">
        <v>14.97</v>
      </c>
      <c r="L70" s="229">
        <v>1</v>
      </c>
      <c r="M70" s="234">
        <v>1</v>
      </c>
      <c r="N70" s="46" t="s">
        <v>803</v>
      </c>
      <c r="O70" s="50" t="s">
        <v>801</v>
      </c>
      <c r="P70" s="9" t="s">
        <v>801</v>
      </c>
    </row>
    <row r="71" spans="1:16" s="9" customFormat="1" x14ac:dyDescent="0.2">
      <c r="A71" s="219" t="s">
        <v>50</v>
      </c>
      <c r="B71" s="252" t="s">
        <v>196</v>
      </c>
      <c r="C71" s="253">
        <v>895385</v>
      </c>
      <c r="D71" s="253">
        <v>23</v>
      </c>
      <c r="E71" s="129" t="s">
        <v>197</v>
      </c>
      <c r="F71" s="129" t="s">
        <v>169</v>
      </c>
      <c r="G71" s="129" t="s">
        <v>451</v>
      </c>
      <c r="H71" s="227">
        <v>2</v>
      </c>
      <c r="I71" s="254">
        <v>1.35</v>
      </c>
      <c r="J71" s="253" t="s">
        <v>23</v>
      </c>
      <c r="K71" s="312">
        <v>23.13</v>
      </c>
      <c r="L71" s="255">
        <v>1</v>
      </c>
      <c r="M71" s="256">
        <v>25</v>
      </c>
      <c r="N71" s="46" t="s">
        <v>803</v>
      </c>
      <c r="O71" s="50" t="s">
        <v>801</v>
      </c>
      <c r="P71" s="9" t="s">
        <v>801</v>
      </c>
    </row>
    <row r="72" spans="1:16" s="9" customFormat="1" x14ac:dyDescent="0.2">
      <c r="A72" s="219" t="s">
        <v>50</v>
      </c>
      <c r="B72" s="219" t="s">
        <v>200</v>
      </c>
      <c r="C72" s="129">
        <v>895325</v>
      </c>
      <c r="D72" s="129">
        <v>23</v>
      </c>
      <c r="E72" s="129" t="s">
        <v>201</v>
      </c>
      <c r="F72" s="129" t="s">
        <v>169</v>
      </c>
      <c r="G72" s="129" t="s">
        <v>451</v>
      </c>
      <c r="H72" s="227">
        <v>2</v>
      </c>
      <c r="I72" s="228">
        <v>1.83</v>
      </c>
      <c r="J72" s="129" t="s">
        <v>23</v>
      </c>
      <c r="K72" s="312">
        <v>31.28</v>
      </c>
      <c r="L72" s="229">
        <v>1</v>
      </c>
      <c r="M72" s="230">
        <v>1</v>
      </c>
      <c r="N72" s="46" t="s">
        <v>803</v>
      </c>
      <c r="O72" s="50" t="s">
        <v>801</v>
      </c>
      <c r="P72" s="9" t="s">
        <v>801</v>
      </c>
    </row>
    <row r="73" spans="1:16" s="9" customFormat="1" x14ac:dyDescent="0.2">
      <c r="A73" s="219" t="s">
        <v>50</v>
      </c>
      <c r="B73" s="220" t="s">
        <v>954</v>
      </c>
      <c r="C73" s="231">
        <v>895336</v>
      </c>
      <c r="D73" s="231">
        <v>23</v>
      </c>
      <c r="E73" s="231" t="s">
        <v>955</v>
      </c>
      <c r="F73" s="129" t="s">
        <v>169</v>
      </c>
      <c r="G73" s="129" t="s">
        <v>451</v>
      </c>
      <c r="H73" s="232">
        <v>2</v>
      </c>
      <c r="I73" s="233">
        <v>2.15</v>
      </c>
      <c r="J73" s="231" t="s">
        <v>23</v>
      </c>
      <c r="K73" s="312">
        <v>34.979999999999997</v>
      </c>
      <c r="L73" s="257">
        <v>1</v>
      </c>
      <c r="M73" s="258">
        <v>1</v>
      </c>
      <c r="N73" s="46" t="s">
        <v>803</v>
      </c>
      <c r="O73" s="50" t="s">
        <v>801</v>
      </c>
      <c r="P73" s="9" t="s">
        <v>801</v>
      </c>
    </row>
    <row r="74" spans="1:16" s="9" customFormat="1" x14ac:dyDescent="0.2">
      <c r="A74" s="219" t="s">
        <v>50</v>
      </c>
      <c r="B74" s="220" t="s">
        <v>899</v>
      </c>
      <c r="C74" s="231">
        <v>895313</v>
      </c>
      <c r="D74" s="231">
        <v>23</v>
      </c>
      <c r="E74" s="231" t="s">
        <v>900</v>
      </c>
      <c r="F74" s="129" t="s">
        <v>169</v>
      </c>
      <c r="G74" s="129" t="s">
        <v>451</v>
      </c>
      <c r="H74" s="232">
        <v>2</v>
      </c>
      <c r="I74" s="233">
        <v>2.0699999999999998</v>
      </c>
      <c r="J74" s="231" t="s">
        <v>23</v>
      </c>
      <c r="K74" s="312">
        <v>33.68</v>
      </c>
      <c r="L74" s="257">
        <v>1</v>
      </c>
      <c r="M74" s="258">
        <v>1</v>
      </c>
      <c r="N74" s="46" t="s">
        <v>803</v>
      </c>
      <c r="O74" s="50" t="s">
        <v>801</v>
      </c>
      <c r="P74" s="9" t="s">
        <v>801</v>
      </c>
    </row>
    <row r="75" spans="1:16" s="9" customFormat="1" x14ac:dyDescent="0.2">
      <c r="A75" s="219" t="s">
        <v>50</v>
      </c>
      <c r="B75" s="220" t="s">
        <v>956</v>
      </c>
      <c r="C75" s="231">
        <v>895365</v>
      </c>
      <c r="D75" s="231">
        <v>23</v>
      </c>
      <c r="E75" s="231" t="s">
        <v>957</v>
      </c>
      <c r="F75" s="129" t="s">
        <v>169</v>
      </c>
      <c r="G75" s="129" t="s">
        <v>451</v>
      </c>
      <c r="H75" s="250">
        <v>2</v>
      </c>
      <c r="I75" s="246">
        <v>2.4700000000000002</v>
      </c>
      <c r="J75" s="251" t="s">
        <v>23</v>
      </c>
      <c r="K75" s="312">
        <v>40.17</v>
      </c>
      <c r="L75" s="229">
        <v>1</v>
      </c>
      <c r="M75" s="234">
        <v>1</v>
      </c>
      <c r="N75" s="46" t="s">
        <v>803</v>
      </c>
      <c r="O75" s="50" t="s">
        <v>801</v>
      </c>
      <c r="P75" s="9" t="s">
        <v>801</v>
      </c>
    </row>
    <row r="76" spans="1:16" s="9" customFormat="1" x14ac:dyDescent="0.2">
      <c r="A76" s="219" t="s">
        <v>50</v>
      </c>
      <c r="B76" s="220" t="s">
        <v>854</v>
      </c>
      <c r="C76" s="231">
        <v>895355</v>
      </c>
      <c r="D76" s="231">
        <v>23</v>
      </c>
      <c r="E76" s="231" t="s">
        <v>893</v>
      </c>
      <c r="F76" s="129" t="s">
        <v>169</v>
      </c>
      <c r="G76" s="129" t="s">
        <v>451</v>
      </c>
      <c r="H76" s="250">
        <v>2</v>
      </c>
      <c r="I76" s="246">
        <v>2.39</v>
      </c>
      <c r="J76" s="251" t="s">
        <v>23</v>
      </c>
      <c r="K76" s="312">
        <v>38.86</v>
      </c>
      <c r="L76" s="229">
        <v>1</v>
      </c>
      <c r="M76" s="234">
        <v>1</v>
      </c>
      <c r="N76" s="46" t="s">
        <v>803</v>
      </c>
      <c r="O76" s="50" t="s">
        <v>801</v>
      </c>
      <c r="P76" s="9" t="s">
        <v>801</v>
      </c>
    </row>
    <row r="77" spans="1:16" s="9" customFormat="1" x14ac:dyDescent="0.2">
      <c r="A77" s="219" t="s">
        <v>50</v>
      </c>
      <c r="B77" s="219" t="s">
        <v>202</v>
      </c>
      <c r="C77" s="129">
        <v>895375</v>
      </c>
      <c r="D77" s="129">
        <v>23</v>
      </c>
      <c r="E77" s="129" t="s">
        <v>203</v>
      </c>
      <c r="F77" s="129" t="s">
        <v>169</v>
      </c>
      <c r="G77" s="129" t="s">
        <v>451</v>
      </c>
      <c r="H77" s="227">
        <v>2</v>
      </c>
      <c r="I77" s="228">
        <v>2.7</v>
      </c>
      <c r="J77" s="129" t="s">
        <v>23</v>
      </c>
      <c r="K77" s="312">
        <v>44.04</v>
      </c>
      <c r="L77" s="229">
        <v>1</v>
      </c>
      <c r="M77" s="230">
        <v>1</v>
      </c>
      <c r="N77" s="46" t="s">
        <v>803</v>
      </c>
      <c r="O77" s="50" t="s">
        <v>801</v>
      </c>
      <c r="P77" s="9" t="s">
        <v>801</v>
      </c>
    </row>
    <row r="78" spans="1:16" s="9" customFormat="1" x14ac:dyDescent="0.2">
      <c r="A78" s="219" t="s">
        <v>50</v>
      </c>
      <c r="B78" s="219" t="s">
        <v>198</v>
      </c>
      <c r="C78" s="129">
        <v>895335</v>
      </c>
      <c r="D78" s="129">
        <v>23</v>
      </c>
      <c r="E78" s="129" t="s">
        <v>199</v>
      </c>
      <c r="F78" s="129" t="s">
        <v>169</v>
      </c>
      <c r="G78" s="129" t="s">
        <v>451</v>
      </c>
      <c r="H78" s="227">
        <v>2</v>
      </c>
      <c r="I78" s="228">
        <v>1.59</v>
      </c>
      <c r="J78" s="129" t="s">
        <v>23</v>
      </c>
      <c r="K78" s="312">
        <v>27.21</v>
      </c>
      <c r="L78" s="229">
        <v>1</v>
      </c>
      <c r="M78" s="230">
        <v>1</v>
      </c>
      <c r="N78" s="46" t="s">
        <v>803</v>
      </c>
      <c r="O78" s="50" t="s">
        <v>801</v>
      </c>
      <c r="P78" s="9" t="s">
        <v>801</v>
      </c>
    </row>
    <row r="79" spans="1:16" s="9" customFormat="1" x14ac:dyDescent="0.2">
      <c r="A79" s="219" t="s">
        <v>50</v>
      </c>
      <c r="B79" s="220" t="s">
        <v>826</v>
      </c>
      <c r="C79" s="231">
        <v>895322</v>
      </c>
      <c r="D79" s="231">
        <v>23</v>
      </c>
      <c r="E79" s="231" t="s">
        <v>894</v>
      </c>
      <c r="F79" s="129" t="s">
        <v>169</v>
      </c>
      <c r="G79" s="129" t="s">
        <v>451</v>
      </c>
      <c r="H79" s="250">
        <v>2</v>
      </c>
      <c r="I79" s="246">
        <v>3.5</v>
      </c>
      <c r="J79" s="251" t="s">
        <v>23</v>
      </c>
      <c r="K79" s="312">
        <v>57</v>
      </c>
      <c r="L79" s="229">
        <v>1</v>
      </c>
      <c r="M79" s="234">
        <v>1</v>
      </c>
      <c r="N79" s="46" t="s">
        <v>803</v>
      </c>
      <c r="O79" s="50" t="s">
        <v>801</v>
      </c>
      <c r="P79" s="9" t="s">
        <v>801</v>
      </c>
    </row>
    <row r="80" spans="1:16" s="9" customFormat="1" x14ac:dyDescent="0.2">
      <c r="A80" s="219" t="s">
        <v>50</v>
      </c>
      <c r="B80" s="220" t="s">
        <v>825</v>
      </c>
      <c r="C80" s="231">
        <v>895333</v>
      </c>
      <c r="D80" s="231">
        <v>23</v>
      </c>
      <c r="E80" s="231" t="s">
        <v>895</v>
      </c>
      <c r="F80" s="129" t="s">
        <v>169</v>
      </c>
      <c r="G80" s="129" t="s">
        <v>451</v>
      </c>
      <c r="H80" s="250">
        <v>2</v>
      </c>
      <c r="I80" s="246">
        <v>5.25</v>
      </c>
      <c r="J80" s="251" t="s">
        <v>23</v>
      </c>
      <c r="K80" s="312">
        <v>85.5</v>
      </c>
      <c r="L80" s="229">
        <v>1</v>
      </c>
      <c r="M80" s="234">
        <v>1</v>
      </c>
      <c r="N80" s="46" t="s">
        <v>803</v>
      </c>
      <c r="O80" s="50" t="s">
        <v>801</v>
      </c>
      <c r="P80" s="9" t="s">
        <v>801</v>
      </c>
    </row>
    <row r="81" spans="1:15" s="9" customFormat="1" x14ac:dyDescent="0.2">
      <c r="A81" s="219" t="s">
        <v>50</v>
      </c>
      <c r="B81" s="220" t="s">
        <v>630</v>
      </c>
      <c r="C81" s="231">
        <v>895406</v>
      </c>
      <c r="D81" s="129">
        <v>23</v>
      </c>
      <c r="E81" s="231" t="s">
        <v>677</v>
      </c>
      <c r="F81" s="129" t="s">
        <v>169</v>
      </c>
      <c r="G81" s="129" t="s">
        <v>451</v>
      </c>
      <c r="H81" s="232">
        <v>2</v>
      </c>
      <c r="I81" s="233">
        <v>1.2149999999999999</v>
      </c>
      <c r="J81" s="231" t="s">
        <v>23</v>
      </c>
      <c r="K81" s="312">
        <v>19.600000000000001</v>
      </c>
      <c r="L81" s="229">
        <v>1</v>
      </c>
      <c r="M81" s="237">
        <v>1</v>
      </c>
      <c r="N81" s="46" t="s">
        <v>803</v>
      </c>
      <c r="O81" s="50" t="s">
        <v>801</v>
      </c>
    </row>
    <row r="82" spans="1:15" s="9" customFormat="1" x14ac:dyDescent="0.2">
      <c r="A82" s="219" t="s">
        <v>50</v>
      </c>
      <c r="B82" s="220" t="s">
        <v>629</v>
      </c>
      <c r="C82" s="231">
        <v>895407</v>
      </c>
      <c r="D82" s="129">
        <v>23</v>
      </c>
      <c r="E82" s="231" t="s">
        <v>676</v>
      </c>
      <c r="F82" s="129" t="s">
        <v>169</v>
      </c>
      <c r="G82" s="129" t="s">
        <v>451</v>
      </c>
      <c r="H82" s="232">
        <v>2</v>
      </c>
      <c r="I82" s="233">
        <v>1.43</v>
      </c>
      <c r="J82" s="231" t="s">
        <v>23</v>
      </c>
      <c r="K82" s="312">
        <v>22.87</v>
      </c>
      <c r="L82" s="229">
        <v>1</v>
      </c>
      <c r="M82" s="237">
        <v>1</v>
      </c>
      <c r="N82" s="46" t="s">
        <v>803</v>
      </c>
      <c r="O82" s="50" t="s">
        <v>801</v>
      </c>
    </row>
    <row r="83" spans="1:15" s="9" customFormat="1" x14ac:dyDescent="0.2">
      <c r="A83" s="219" t="s">
        <v>50</v>
      </c>
      <c r="B83" s="220" t="s">
        <v>930</v>
      </c>
      <c r="C83" s="231">
        <v>895535</v>
      </c>
      <c r="D83" s="231">
        <v>23</v>
      </c>
      <c r="E83" s="231" t="s">
        <v>958</v>
      </c>
      <c r="F83" s="129" t="s">
        <v>169</v>
      </c>
      <c r="G83" s="129" t="s">
        <v>451</v>
      </c>
      <c r="H83" s="250">
        <v>2</v>
      </c>
      <c r="I83" s="246">
        <v>2.76</v>
      </c>
      <c r="J83" s="251" t="s">
        <v>23</v>
      </c>
      <c r="K83" s="312">
        <v>42</v>
      </c>
      <c r="L83" s="229">
        <v>1</v>
      </c>
      <c r="M83" s="234">
        <v>1</v>
      </c>
      <c r="N83" s="46" t="s">
        <v>803</v>
      </c>
      <c r="O83" s="50" t="s">
        <v>801</v>
      </c>
    </row>
    <row r="84" spans="1:15" s="9" customFormat="1" x14ac:dyDescent="0.2">
      <c r="A84" s="219" t="s">
        <v>50</v>
      </c>
      <c r="B84" s="220" t="s">
        <v>856</v>
      </c>
      <c r="C84" s="231">
        <v>895525</v>
      </c>
      <c r="D84" s="231">
        <v>23</v>
      </c>
      <c r="E84" s="231" t="s">
        <v>896</v>
      </c>
      <c r="F84" s="129" t="s">
        <v>169</v>
      </c>
      <c r="G84" s="129" t="s">
        <v>451</v>
      </c>
      <c r="H84" s="250">
        <v>2</v>
      </c>
      <c r="I84" s="246">
        <v>3.16</v>
      </c>
      <c r="J84" s="251" t="s">
        <v>23</v>
      </c>
      <c r="K84" s="312">
        <v>48.22</v>
      </c>
      <c r="L84" s="229">
        <v>1</v>
      </c>
      <c r="M84" s="234">
        <v>1</v>
      </c>
      <c r="N84" s="46" t="s">
        <v>803</v>
      </c>
      <c r="O84" s="50" t="s">
        <v>801</v>
      </c>
    </row>
    <row r="85" spans="1:15" s="9" customFormat="1" x14ac:dyDescent="0.2">
      <c r="A85" s="219" t="s">
        <v>50</v>
      </c>
      <c r="B85" s="220" t="s">
        <v>931</v>
      </c>
      <c r="C85" s="231">
        <v>895327</v>
      </c>
      <c r="D85" s="231">
        <v>23</v>
      </c>
      <c r="E85" s="231" t="s">
        <v>959</v>
      </c>
      <c r="F85" s="129" t="s">
        <v>169</v>
      </c>
      <c r="G85" s="129" t="s">
        <v>451</v>
      </c>
      <c r="H85" s="250">
        <v>2</v>
      </c>
      <c r="I85" s="246">
        <v>5.31</v>
      </c>
      <c r="J85" s="251" t="s">
        <v>23</v>
      </c>
      <c r="K85" s="312">
        <v>81.400000000000006</v>
      </c>
      <c r="L85" s="229">
        <v>1</v>
      </c>
      <c r="M85" s="234">
        <v>1</v>
      </c>
      <c r="N85" s="46" t="s">
        <v>803</v>
      </c>
      <c r="O85" s="50" t="s">
        <v>801</v>
      </c>
    </row>
    <row r="86" spans="1:15" s="9" customFormat="1" x14ac:dyDescent="0.2">
      <c r="A86" s="219" t="s">
        <v>50</v>
      </c>
      <c r="B86" s="220" t="s">
        <v>823</v>
      </c>
      <c r="C86" s="231">
        <v>895413</v>
      </c>
      <c r="D86" s="129">
        <v>23</v>
      </c>
      <c r="E86" s="231" t="s">
        <v>675</v>
      </c>
      <c r="F86" s="129" t="s">
        <v>169</v>
      </c>
      <c r="G86" s="129" t="s">
        <v>451</v>
      </c>
      <c r="H86" s="232">
        <v>2</v>
      </c>
      <c r="I86" s="233">
        <v>2</v>
      </c>
      <c r="J86" s="231" t="s">
        <v>23</v>
      </c>
      <c r="K86" s="312">
        <v>38.74</v>
      </c>
      <c r="L86" s="236">
        <v>1</v>
      </c>
      <c r="M86" s="237">
        <v>1</v>
      </c>
      <c r="N86" s="46" t="s">
        <v>803</v>
      </c>
      <c r="O86" s="50" t="s">
        <v>801</v>
      </c>
    </row>
    <row r="87" spans="1:15" s="9" customFormat="1" x14ac:dyDescent="0.2">
      <c r="A87" s="219" t="s">
        <v>50</v>
      </c>
      <c r="B87" s="220" t="s">
        <v>824</v>
      </c>
      <c r="C87" s="231">
        <v>895414</v>
      </c>
      <c r="D87" s="129">
        <v>23</v>
      </c>
      <c r="E87" s="231" t="s">
        <v>674</v>
      </c>
      <c r="F87" s="129" t="s">
        <v>169</v>
      </c>
      <c r="G87" s="129" t="s">
        <v>451</v>
      </c>
      <c r="H87" s="232">
        <v>2</v>
      </c>
      <c r="I87" s="233">
        <v>2.08</v>
      </c>
      <c r="J87" s="231" t="s">
        <v>23</v>
      </c>
      <c r="K87" s="312">
        <v>41.71</v>
      </c>
      <c r="L87" s="236">
        <v>1</v>
      </c>
      <c r="M87" s="237">
        <v>1</v>
      </c>
      <c r="N87" s="46" t="s">
        <v>803</v>
      </c>
      <c r="O87" s="50" t="s">
        <v>801</v>
      </c>
    </row>
    <row r="88" spans="1:15" s="9" customFormat="1" x14ac:dyDescent="0.2">
      <c r="A88" s="219" t="s">
        <v>49</v>
      </c>
      <c r="B88" s="219" t="s">
        <v>9</v>
      </c>
      <c r="C88" s="129">
        <v>856211</v>
      </c>
      <c r="D88" s="129">
        <v>23</v>
      </c>
      <c r="E88" s="129" t="s">
        <v>205</v>
      </c>
      <c r="F88" s="129" t="s">
        <v>169</v>
      </c>
      <c r="G88" s="129" t="s">
        <v>451</v>
      </c>
      <c r="H88" s="227">
        <v>1.5</v>
      </c>
      <c r="I88" s="228">
        <v>1.82</v>
      </c>
      <c r="J88" s="129" t="s">
        <v>23</v>
      </c>
      <c r="K88" s="312">
        <v>25.2</v>
      </c>
      <c r="L88" s="229">
        <v>1</v>
      </c>
      <c r="M88" s="249">
        <v>4</v>
      </c>
      <c r="N88" s="46" t="s">
        <v>803</v>
      </c>
      <c r="O88" s="50" t="s">
        <v>801</v>
      </c>
    </row>
    <row r="89" spans="1:15" s="9" customFormat="1" x14ac:dyDescent="0.2">
      <c r="A89" s="219" t="s">
        <v>49</v>
      </c>
      <c r="B89" s="219" t="s">
        <v>206</v>
      </c>
      <c r="C89" s="129">
        <v>856215</v>
      </c>
      <c r="D89" s="129">
        <v>23</v>
      </c>
      <c r="E89" s="129" t="s">
        <v>207</v>
      </c>
      <c r="F89" s="129" t="s">
        <v>169</v>
      </c>
      <c r="G89" s="129" t="s">
        <v>451</v>
      </c>
      <c r="H89" s="227">
        <v>1.5</v>
      </c>
      <c r="I89" s="228">
        <v>2.27</v>
      </c>
      <c r="J89" s="129" t="s">
        <v>23</v>
      </c>
      <c r="K89" s="312">
        <v>31.5</v>
      </c>
      <c r="L89" s="229">
        <v>1</v>
      </c>
      <c r="M89" s="249">
        <v>4</v>
      </c>
      <c r="N89" s="46" t="s">
        <v>803</v>
      </c>
      <c r="O89" s="50" t="s">
        <v>801</v>
      </c>
    </row>
    <row r="90" spans="1:15" s="9" customFormat="1" x14ac:dyDescent="0.2">
      <c r="A90" s="219" t="s">
        <v>49</v>
      </c>
      <c r="B90" s="219" t="s">
        <v>208</v>
      </c>
      <c r="C90" s="129">
        <v>851117</v>
      </c>
      <c r="D90" s="129">
        <v>23</v>
      </c>
      <c r="E90" s="129" t="s">
        <v>209</v>
      </c>
      <c r="F90" s="129" t="s">
        <v>169</v>
      </c>
      <c r="G90" s="129" t="s">
        <v>451</v>
      </c>
      <c r="H90" s="227">
        <v>1.5</v>
      </c>
      <c r="I90" s="228">
        <v>2.58</v>
      </c>
      <c r="J90" s="129" t="s">
        <v>23</v>
      </c>
      <c r="K90" s="312">
        <v>35.700000000000003</v>
      </c>
      <c r="L90" s="229">
        <v>1</v>
      </c>
      <c r="M90" s="249">
        <v>4</v>
      </c>
      <c r="N90" s="46" t="s">
        <v>803</v>
      </c>
      <c r="O90" s="50" t="s">
        <v>801</v>
      </c>
    </row>
    <row r="91" spans="1:15" s="9" customFormat="1" x14ac:dyDescent="0.2">
      <c r="A91" s="219" t="s">
        <v>49</v>
      </c>
      <c r="B91" s="219" t="s">
        <v>293</v>
      </c>
      <c r="C91" s="129">
        <v>851122</v>
      </c>
      <c r="D91" s="129">
        <v>23</v>
      </c>
      <c r="E91" s="129" t="s">
        <v>326</v>
      </c>
      <c r="F91" s="129" t="s">
        <v>169</v>
      </c>
      <c r="G91" s="129" t="s">
        <v>451</v>
      </c>
      <c r="H91" s="227">
        <v>1.5</v>
      </c>
      <c r="I91" s="228">
        <v>3.34</v>
      </c>
      <c r="J91" s="129" t="s">
        <v>23</v>
      </c>
      <c r="K91" s="312">
        <v>46.2</v>
      </c>
      <c r="L91" s="229">
        <v>1</v>
      </c>
      <c r="M91" s="249">
        <v>4</v>
      </c>
      <c r="N91" s="46" t="s">
        <v>803</v>
      </c>
      <c r="O91" s="50" t="s">
        <v>801</v>
      </c>
    </row>
    <row r="92" spans="1:15" s="9" customFormat="1" x14ac:dyDescent="0.2">
      <c r="A92" s="219" t="s">
        <v>49</v>
      </c>
      <c r="B92" s="220" t="s">
        <v>882</v>
      </c>
      <c r="C92" s="231">
        <v>851125</v>
      </c>
      <c r="D92" s="231">
        <v>23</v>
      </c>
      <c r="E92" s="231" t="s">
        <v>911</v>
      </c>
      <c r="F92" s="129" t="s">
        <v>169</v>
      </c>
      <c r="G92" s="129" t="s">
        <v>451</v>
      </c>
      <c r="H92" s="232">
        <v>1.5</v>
      </c>
      <c r="I92" s="233">
        <v>3.79</v>
      </c>
      <c r="J92" s="231" t="s">
        <v>23</v>
      </c>
      <c r="K92" s="312">
        <v>52.5</v>
      </c>
      <c r="L92" s="257">
        <v>1</v>
      </c>
      <c r="M92" s="258">
        <v>1</v>
      </c>
      <c r="N92" s="46" t="s">
        <v>803</v>
      </c>
      <c r="O92" s="50" t="s">
        <v>801</v>
      </c>
    </row>
    <row r="93" spans="1:15" s="9" customFormat="1" x14ac:dyDescent="0.2">
      <c r="A93" s="219" t="s">
        <v>49</v>
      </c>
      <c r="B93" s="219" t="s">
        <v>212</v>
      </c>
      <c r="C93" s="129">
        <v>851135</v>
      </c>
      <c r="D93" s="129">
        <v>23</v>
      </c>
      <c r="E93" s="129" t="s">
        <v>213</v>
      </c>
      <c r="F93" s="129" t="s">
        <v>169</v>
      </c>
      <c r="G93" s="129" t="s">
        <v>451</v>
      </c>
      <c r="H93" s="227">
        <v>1.5</v>
      </c>
      <c r="I93" s="228">
        <v>5.31</v>
      </c>
      <c r="J93" s="129" t="s">
        <v>23</v>
      </c>
      <c r="K93" s="312">
        <v>73.5</v>
      </c>
      <c r="L93" s="229">
        <v>1</v>
      </c>
      <c r="M93" s="249">
        <v>4</v>
      </c>
      <c r="N93" s="46" t="s">
        <v>803</v>
      </c>
      <c r="O93" s="50" t="s">
        <v>801</v>
      </c>
    </row>
    <row r="94" spans="1:15" s="9" customFormat="1" x14ac:dyDescent="0.2">
      <c r="A94" s="219" t="s">
        <v>49</v>
      </c>
      <c r="B94" s="219" t="s">
        <v>214</v>
      </c>
      <c r="C94" s="129">
        <v>852137</v>
      </c>
      <c r="D94" s="129">
        <v>23</v>
      </c>
      <c r="E94" s="129" t="s">
        <v>215</v>
      </c>
      <c r="F94" s="129" t="s">
        <v>169</v>
      </c>
      <c r="G94" s="129" t="s">
        <v>451</v>
      </c>
      <c r="H94" s="227">
        <v>1.5</v>
      </c>
      <c r="I94" s="228">
        <v>5.61</v>
      </c>
      <c r="J94" s="129" t="s">
        <v>23</v>
      </c>
      <c r="K94" s="312">
        <v>77.7</v>
      </c>
      <c r="L94" s="229">
        <v>1</v>
      </c>
      <c r="M94" s="249">
        <v>4</v>
      </c>
      <c r="N94" s="46" t="s">
        <v>803</v>
      </c>
      <c r="O94" s="50" t="s">
        <v>801</v>
      </c>
    </row>
    <row r="95" spans="1:15" s="9" customFormat="1" ht="13.5" customHeight="1" x14ac:dyDescent="0.2">
      <c r="A95" s="220" t="s">
        <v>50</v>
      </c>
      <c r="B95" s="220" t="s">
        <v>928</v>
      </c>
      <c r="C95" s="231">
        <v>895625</v>
      </c>
      <c r="D95" s="231">
        <v>23</v>
      </c>
      <c r="E95" s="231" t="s">
        <v>960</v>
      </c>
      <c r="F95" s="129" t="s">
        <v>169</v>
      </c>
      <c r="G95" s="129" t="s">
        <v>451</v>
      </c>
      <c r="H95" s="232">
        <v>1.5</v>
      </c>
      <c r="I95" s="233">
        <v>0.3</v>
      </c>
      <c r="J95" s="231" t="s">
        <v>23</v>
      </c>
      <c r="K95" s="312">
        <v>5.99</v>
      </c>
      <c r="L95" s="257">
        <v>1</v>
      </c>
      <c r="M95" s="258">
        <v>1</v>
      </c>
      <c r="N95" s="46" t="s">
        <v>803</v>
      </c>
      <c r="O95" s="50" t="s">
        <v>801</v>
      </c>
    </row>
    <row r="96" spans="1:15" s="9" customFormat="1" x14ac:dyDescent="0.2">
      <c r="A96" s="220" t="s">
        <v>50</v>
      </c>
      <c r="B96" s="220" t="s">
        <v>929</v>
      </c>
      <c r="C96" s="231">
        <v>895635</v>
      </c>
      <c r="D96" s="231">
        <v>23</v>
      </c>
      <c r="E96" s="231" t="s">
        <v>961</v>
      </c>
      <c r="F96" s="129" t="s">
        <v>169</v>
      </c>
      <c r="G96" s="129" t="s">
        <v>451</v>
      </c>
      <c r="H96" s="232">
        <v>1.5</v>
      </c>
      <c r="I96" s="233">
        <v>0.42</v>
      </c>
      <c r="J96" s="231" t="s">
        <v>23</v>
      </c>
      <c r="K96" s="312">
        <v>8.3800000000000008</v>
      </c>
      <c r="L96" s="257">
        <v>1</v>
      </c>
      <c r="M96" s="258">
        <v>1</v>
      </c>
      <c r="N96" s="46" t="s">
        <v>803</v>
      </c>
      <c r="O96" s="50" t="s">
        <v>801</v>
      </c>
    </row>
    <row r="97" spans="1:16" s="9" customFormat="1" x14ac:dyDescent="0.2">
      <c r="A97" s="220" t="s">
        <v>50</v>
      </c>
      <c r="B97" s="220" t="s">
        <v>903</v>
      </c>
      <c r="C97" s="231">
        <v>895603</v>
      </c>
      <c r="D97" s="231">
        <v>23</v>
      </c>
      <c r="E97" s="231" t="s">
        <v>904</v>
      </c>
      <c r="F97" s="129" t="s">
        <v>169</v>
      </c>
      <c r="G97" s="129" t="s">
        <v>451</v>
      </c>
      <c r="H97" s="232">
        <v>1.5</v>
      </c>
      <c r="I97" s="233">
        <v>0.36</v>
      </c>
      <c r="J97" s="231" t="s">
        <v>23</v>
      </c>
      <c r="K97" s="312">
        <v>7.16</v>
      </c>
      <c r="L97" s="257">
        <v>1</v>
      </c>
      <c r="M97" s="258">
        <v>1</v>
      </c>
      <c r="N97" s="46" t="s">
        <v>803</v>
      </c>
      <c r="O97" s="50" t="s">
        <v>801</v>
      </c>
    </row>
    <row r="98" spans="1:16" s="9" customFormat="1" x14ac:dyDescent="0.2">
      <c r="A98" s="220" t="s">
        <v>50</v>
      </c>
      <c r="B98" s="220" t="s">
        <v>905</v>
      </c>
      <c r="C98" s="231">
        <v>895604</v>
      </c>
      <c r="D98" s="231">
        <v>23</v>
      </c>
      <c r="E98" s="231" t="s">
        <v>906</v>
      </c>
      <c r="F98" s="129" t="s">
        <v>169</v>
      </c>
      <c r="G98" s="129" t="s">
        <v>451</v>
      </c>
      <c r="H98" s="232">
        <v>1.5</v>
      </c>
      <c r="I98" s="233">
        <v>0.54</v>
      </c>
      <c r="J98" s="231" t="s">
        <v>23</v>
      </c>
      <c r="K98" s="312">
        <v>10.74</v>
      </c>
      <c r="L98" s="257">
        <v>1</v>
      </c>
      <c r="M98" s="258">
        <v>1</v>
      </c>
      <c r="N98" s="46" t="s">
        <v>803</v>
      </c>
      <c r="O98" s="50" t="s">
        <v>801</v>
      </c>
    </row>
    <row r="99" spans="1:16" s="9" customFormat="1" x14ac:dyDescent="0.2">
      <c r="A99" s="220" t="s">
        <v>50</v>
      </c>
      <c r="B99" s="220" t="s">
        <v>907</v>
      </c>
      <c r="C99" s="231">
        <v>895605</v>
      </c>
      <c r="D99" s="231">
        <v>23</v>
      </c>
      <c r="E99" s="231" t="s">
        <v>908</v>
      </c>
      <c r="F99" s="129" t="s">
        <v>169</v>
      </c>
      <c r="G99" s="129" t="s">
        <v>451</v>
      </c>
      <c r="H99" s="232">
        <v>1.5</v>
      </c>
      <c r="I99" s="233">
        <v>0.66</v>
      </c>
      <c r="J99" s="231" t="s">
        <v>23</v>
      </c>
      <c r="K99" s="312">
        <v>13.13</v>
      </c>
      <c r="L99" s="257">
        <v>1</v>
      </c>
      <c r="M99" s="258">
        <v>1</v>
      </c>
      <c r="N99" s="46" t="s">
        <v>803</v>
      </c>
      <c r="O99" s="50" t="s">
        <v>801</v>
      </c>
      <c r="P99" s="9" t="s">
        <v>801</v>
      </c>
    </row>
    <row r="100" spans="1:16" s="9" customFormat="1" x14ac:dyDescent="0.2">
      <c r="A100" s="219" t="s">
        <v>50</v>
      </c>
      <c r="B100" s="220" t="s">
        <v>901</v>
      </c>
      <c r="C100" s="231">
        <v>895613</v>
      </c>
      <c r="D100" s="231">
        <v>23</v>
      </c>
      <c r="E100" s="231" t="s">
        <v>902</v>
      </c>
      <c r="F100" s="129" t="s">
        <v>169</v>
      </c>
      <c r="G100" s="129" t="s">
        <v>451</v>
      </c>
      <c r="H100" s="232">
        <v>1.5</v>
      </c>
      <c r="I100" s="233">
        <v>1.55</v>
      </c>
      <c r="J100" s="231" t="s">
        <v>23</v>
      </c>
      <c r="K100" s="312">
        <v>29.56</v>
      </c>
      <c r="L100" s="257">
        <v>1</v>
      </c>
      <c r="M100" s="258">
        <v>1</v>
      </c>
      <c r="N100" s="46" t="s">
        <v>803</v>
      </c>
      <c r="O100" s="50" t="s">
        <v>801</v>
      </c>
      <c r="P100" s="9" t="s">
        <v>801</v>
      </c>
    </row>
    <row r="101" spans="1:16" s="9" customFormat="1" x14ac:dyDescent="0.2">
      <c r="A101" s="220" t="s">
        <v>50</v>
      </c>
      <c r="B101" s="220" t="s">
        <v>909</v>
      </c>
      <c r="C101" s="231">
        <v>895615</v>
      </c>
      <c r="D101" s="231">
        <v>23</v>
      </c>
      <c r="E101" s="231" t="s">
        <v>910</v>
      </c>
      <c r="F101" s="129" t="s">
        <v>169</v>
      </c>
      <c r="G101" s="129" t="s">
        <v>451</v>
      </c>
      <c r="H101" s="232">
        <v>1.5</v>
      </c>
      <c r="I101" s="233">
        <v>1.79</v>
      </c>
      <c r="J101" s="231" t="s">
        <v>23</v>
      </c>
      <c r="K101" s="312">
        <v>34.1</v>
      </c>
      <c r="L101" s="257">
        <v>1</v>
      </c>
      <c r="M101" s="258">
        <v>1</v>
      </c>
      <c r="N101" s="46" t="s">
        <v>803</v>
      </c>
      <c r="O101" s="50" t="s">
        <v>801</v>
      </c>
      <c r="P101" s="9" t="s">
        <v>801</v>
      </c>
    </row>
    <row r="102" spans="1:16" s="9" customFormat="1" x14ac:dyDescent="0.2">
      <c r="A102" s="219" t="s">
        <v>50</v>
      </c>
      <c r="B102" s="219" t="s">
        <v>587</v>
      </c>
      <c r="C102" s="129">
        <v>864510</v>
      </c>
      <c r="D102" s="129">
        <v>23</v>
      </c>
      <c r="E102" s="129" t="s">
        <v>640</v>
      </c>
      <c r="F102" s="129" t="s">
        <v>169</v>
      </c>
      <c r="G102" s="129" t="s">
        <v>451</v>
      </c>
      <c r="H102" s="227">
        <v>3</v>
      </c>
      <c r="I102" s="238">
        <v>3.38</v>
      </c>
      <c r="J102" s="129" t="s">
        <v>23</v>
      </c>
      <c r="K102" s="312">
        <v>45.37</v>
      </c>
      <c r="L102" s="229">
        <v>4</v>
      </c>
      <c r="M102" s="234">
        <v>4</v>
      </c>
      <c r="N102" s="46" t="s">
        <v>803</v>
      </c>
      <c r="O102" s="50" t="s">
        <v>801</v>
      </c>
      <c r="P102" s="9" t="s">
        <v>801</v>
      </c>
    </row>
    <row r="103" spans="1:16" s="9" customFormat="1" x14ac:dyDescent="0.2">
      <c r="A103" s="219" t="s">
        <v>50</v>
      </c>
      <c r="B103" s="219" t="s">
        <v>588</v>
      </c>
      <c r="C103" s="129">
        <v>864520</v>
      </c>
      <c r="D103" s="129">
        <v>23</v>
      </c>
      <c r="E103" s="129" t="s">
        <v>641</v>
      </c>
      <c r="F103" s="129" t="s">
        <v>169</v>
      </c>
      <c r="G103" s="129" t="s">
        <v>451</v>
      </c>
      <c r="H103" s="227">
        <v>3</v>
      </c>
      <c r="I103" s="238">
        <v>6.76</v>
      </c>
      <c r="J103" s="129" t="s">
        <v>23</v>
      </c>
      <c r="K103" s="312">
        <v>90.99</v>
      </c>
      <c r="L103" s="229">
        <v>1</v>
      </c>
      <c r="M103" s="234">
        <v>4</v>
      </c>
      <c r="N103" s="46" t="s">
        <v>803</v>
      </c>
      <c r="O103" s="50" t="s">
        <v>801</v>
      </c>
      <c r="P103" s="9" t="s">
        <v>801</v>
      </c>
    </row>
    <row r="104" spans="1:16" s="9" customFormat="1" x14ac:dyDescent="0.2">
      <c r="A104" s="219" t="s">
        <v>50</v>
      </c>
      <c r="B104" s="219" t="s">
        <v>589</v>
      </c>
      <c r="C104" s="129">
        <v>864530</v>
      </c>
      <c r="D104" s="129">
        <v>23</v>
      </c>
      <c r="E104" s="129" t="s">
        <v>642</v>
      </c>
      <c r="F104" s="129" t="s">
        <v>169</v>
      </c>
      <c r="G104" s="129" t="s">
        <v>451</v>
      </c>
      <c r="H104" s="227">
        <v>3</v>
      </c>
      <c r="I104" s="238">
        <v>10.14</v>
      </c>
      <c r="J104" s="129" t="s">
        <v>23</v>
      </c>
      <c r="K104" s="312">
        <v>136.47999999999999</v>
      </c>
      <c r="L104" s="229">
        <v>1</v>
      </c>
      <c r="M104" s="249">
        <v>4</v>
      </c>
      <c r="N104" s="46" t="s">
        <v>803</v>
      </c>
      <c r="O104" s="50" t="s">
        <v>801</v>
      </c>
      <c r="P104" s="9" t="s">
        <v>801</v>
      </c>
    </row>
    <row r="105" spans="1:16" s="9" customFormat="1" x14ac:dyDescent="0.2">
      <c r="A105" s="219" t="s">
        <v>50</v>
      </c>
      <c r="B105" s="219" t="s">
        <v>590</v>
      </c>
      <c r="C105" s="129">
        <v>864540</v>
      </c>
      <c r="D105" s="129">
        <v>23</v>
      </c>
      <c r="E105" s="129" t="s">
        <v>643</v>
      </c>
      <c r="F105" s="129" t="s">
        <v>169</v>
      </c>
      <c r="G105" s="129" t="s">
        <v>451</v>
      </c>
      <c r="H105" s="227">
        <v>3</v>
      </c>
      <c r="I105" s="238">
        <v>13.52</v>
      </c>
      <c r="J105" s="129" t="s">
        <v>23</v>
      </c>
      <c r="K105" s="312">
        <v>181.97</v>
      </c>
      <c r="L105" s="229">
        <v>1</v>
      </c>
      <c r="M105" s="249">
        <v>4</v>
      </c>
      <c r="N105" s="46" t="s">
        <v>803</v>
      </c>
      <c r="O105" s="50" t="s">
        <v>801</v>
      </c>
      <c r="P105" s="9" t="s">
        <v>801</v>
      </c>
    </row>
    <row r="106" spans="1:16" s="9" customFormat="1" x14ac:dyDescent="0.2">
      <c r="A106" s="219" t="s">
        <v>51</v>
      </c>
      <c r="B106" s="219" t="s">
        <v>1013</v>
      </c>
      <c r="C106" s="129">
        <v>867524</v>
      </c>
      <c r="D106" s="129">
        <v>23</v>
      </c>
      <c r="E106" s="259">
        <v>5900993251579</v>
      </c>
      <c r="F106" s="129" t="s">
        <v>169</v>
      </c>
      <c r="G106" s="129" t="s">
        <v>451</v>
      </c>
      <c r="H106" s="227">
        <v>3</v>
      </c>
      <c r="I106" s="238">
        <v>9.74</v>
      </c>
      <c r="J106" s="129" t="s">
        <v>23</v>
      </c>
      <c r="K106" s="312">
        <v>121.1</v>
      </c>
      <c r="L106" s="229">
        <v>1</v>
      </c>
      <c r="M106" s="234">
        <v>4</v>
      </c>
      <c r="N106" s="46" t="s">
        <v>803</v>
      </c>
      <c r="O106" s="50" t="s">
        <v>801</v>
      </c>
      <c r="P106" s="9" t="s">
        <v>801</v>
      </c>
    </row>
    <row r="107" spans="1:16" s="9" customFormat="1" x14ac:dyDescent="0.2">
      <c r="A107" s="219" t="s">
        <v>51</v>
      </c>
      <c r="B107" s="219" t="s">
        <v>1014</v>
      </c>
      <c r="C107" s="129">
        <v>867532</v>
      </c>
      <c r="D107" s="129">
        <v>23</v>
      </c>
      <c r="E107" s="259">
        <v>5900993251609</v>
      </c>
      <c r="F107" s="129" t="s">
        <v>169</v>
      </c>
      <c r="G107" s="129" t="s">
        <v>451</v>
      </c>
      <c r="H107" s="227">
        <v>3</v>
      </c>
      <c r="I107" s="238">
        <v>12.99</v>
      </c>
      <c r="J107" s="129" t="s">
        <v>23</v>
      </c>
      <c r="K107" s="312">
        <v>161.47</v>
      </c>
      <c r="L107" s="229">
        <v>1</v>
      </c>
      <c r="M107" s="249">
        <v>4</v>
      </c>
      <c r="N107" s="46" t="s">
        <v>803</v>
      </c>
      <c r="O107" s="50" t="s">
        <v>801</v>
      </c>
    </row>
    <row r="108" spans="1:16" s="9" customFormat="1" x14ac:dyDescent="0.2">
      <c r="A108" s="219" t="s">
        <v>51</v>
      </c>
      <c r="B108" s="219" t="s">
        <v>1015</v>
      </c>
      <c r="C108" s="129">
        <v>867503</v>
      </c>
      <c r="D108" s="129">
        <v>23</v>
      </c>
      <c r="E108" s="259">
        <v>5900993251593</v>
      </c>
      <c r="F108" s="129" t="s">
        <v>169</v>
      </c>
      <c r="G108" s="129" t="s">
        <v>451</v>
      </c>
      <c r="H108" s="227">
        <v>3</v>
      </c>
      <c r="I108" s="238">
        <v>12.18</v>
      </c>
      <c r="J108" s="129" t="s">
        <v>23</v>
      </c>
      <c r="K108" s="312">
        <v>151.38</v>
      </c>
      <c r="L108" s="229">
        <v>1</v>
      </c>
      <c r="M108" s="249">
        <v>6</v>
      </c>
      <c r="N108" s="46" t="s">
        <v>803</v>
      </c>
      <c r="O108" s="50" t="s">
        <v>801</v>
      </c>
    </row>
    <row r="109" spans="1:16" s="9" customFormat="1" x14ac:dyDescent="0.2">
      <c r="A109" s="219" t="s">
        <v>51</v>
      </c>
      <c r="B109" s="219" t="s">
        <v>1016</v>
      </c>
      <c r="C109" s="129">
        <v>867534</v>
      </c>
      <c r="D109" s="129">
        <v>23</v>
      </c>
      <c r="E109" s="259">
        <v>5900993251623</v>
      </c>
      <c r="F109" s="129" t="s">
        <v>169</v>
      </c>
      <c r="G109" s="129" t="s">
        <v>451</v>
      </c>
      <c r="H109" s="227">
        <v>3</v>
      </c>
      <c r="I109" s="238">
        <v>17.86</v>
      </c>
      <c r="J109" s="129" t="s">
        <v>23</v>
      </c>
      <c r="K109" s="312">
        <v>222.01</v>
      </c>
      <c r="L109" s="229">
        <v>1</v>
      </c>
      <c r="M109" s="249">
        <v>4</v>
      </c>
      <c r="N109" s="46" t="s">
        <v>803</v>
      </c>
      <c r="O109" s="50" t="s">
        <v>801</v>
      </c>
    </row>
    <row r="110" spans="1:16" s="9" customFormat="1" x14ac:dyDescent="0.2">
      <c r="A110" s="219" t="s">
        <v>51</v>
      </c>
      <c r="B110" s="219" t="s">
        <v>523</v>
      </c>
      <c r="C110" s="129">
        <v>867633</v>
      </c>
      <c r="D110" s="129">
        <v>23</v>
      </c>
      <c r="E110" s="129" t="s">
        <v>644</v>
      </c>
      <c r="F110" s="129" t="s">
        <v>169</v>
      </c>
      <c r="G110" s="129" t="s">
        <v>451</v>
      </c>
      <c r="H110" s="227">
        <v>2</v>
      </c>
      <c r="I110" s="238">
        <v>9.85</v>
      </c>
      <c r="J110" s="129" t="s">
        <v>23</v>
      </c>
      <c r="K110" s="312">
        <v>132.6</v>
      </c>
      <c r="L110" s="229">
        <v>1</v>
      </c>
      <c r="M110" s="249">
        <v>4</v>
      </c>
      <c r="N110" s="46" t="s">
        <v>803</v>
      </c>
      <c r="O110" s="50" t="s">
        <v>801</v>
      </c>
    </row>
    <row r="111" spans="1:16" s="9" customFormat="1" x14ac:dyDescent="0.2">
      <c r="A111" s="219" t="s">
        <v>51</v>
      </c>
      <c r="B111" s="219" t="s">
        <v>522</v>
      </c>
      <c r="C111" s="129">
        <v>867644</v>
      </c>
      <c r="D111" s="129">
        <v>23</v>
      </c>
      <c r="E111" s="129" t="s">
        <v>645</v>
      </c>
      <c r="F111" s="129" t="s">
        <v>169</v>
      </c>
      <c r="G111" s="129" t="s">
        <v>451</v>
      </c>
      <c r="H111" s="227">
        <v>2</v>
      </c>
      <c r="I111" s="238">
        <v>13.13</v>
      </c>
      <c r="J111" s="129" t="s">
        <v>23</v>
      </c>
      <c r="K111" s="312">
        <v>176.8</v>
      </c>
      <c r="L111" s="229">
        <v>1</v>
      </c>
      <c r="M111" s="249">
        <v>4</v>
      </c>
      <c r="N111" s="46" t="s">
        <v>803</v>
      </c>
      <c r="O111" s="50" t="s">
        <v>801</v>
      </c>
    </row>
    <row r="112" spans="1:16" s="9" customFormat="1" x14ac:dyDescent="0.2">
      <c r="A112" s="219" t="s">
        <v>51</v>
      </c>
      <c r="B112" s="219" t="s">
        <v>586</v>
      </c>
      <c r="C112" s="129">
        <v>867566</v>
      </c>
      <c r="D112" s="129">
        <v>23</v>
      </c>
      <c r="E112" s="129" t="s">
        <v>646</v>
      </c>
      <c r="F112" s="129" t="s">
        <v>169</v>
      </c>
      <c r="G112" s="129" t="s">
        <v>451</v>
      </c>
      <c r="H112" s="227">
        <v>2</v>
      </c>
      <c r="I112" s="238">
        <v>19.7</v>
      </c>
      <c r="J112" s="129" t="s">
        <v>23</v>
      </c>
      <c r="K112" s="312">
        <v>265.20999999999998</v>
      </c>
      <c r="L112" s="229">
        <v>1</v>
      </c>
      <c r="M112" s="234">
        <v>4</v>
      </c>
      <c r="N112" s="46" t="s">
        <v>803</v>
      </c>
      <c r="O112" s="50" t="s">
        <v>801</v>
      </c>
    </row>
    <row r="113" spans="1:16" s="9" customFormat="1" x14ac:dyDescent="0.2">
      <c r="A113" s="219" t="s">
        <v>51</v>
      </c>
      <c r="B113" s="220" t="s">
        <v>912</v>
      </c>
      <c r="C113" s="231">
        <v>898940</v>
      </c>
      <c r="D113" s="231">
        <v>23</v>
      </c>
      <c r="E113" s="231" t="s">
        <v>913</v>
      </c>
      <c r="F113" s="129" t="s">
        <v>169</v>
      </c>
      <c r="G113" s="129" t="s">
        <v>451</v>
      </c>
      <c r="H113" s="232">
        <v>2</v>
      </c>
      <c r="I113" s="233">
        <v>10.25</v>
      </c>
      <c r="J113" s="231" t="s">
        <v>23</v>
      </c>
      <c r="K113" s="312">
        <v>136.85</v>
      </c>
      <c r="L113" s="257">
        <v>1</v>
      </c>
      <c r="M113" s="237">
        <v>50</v>
      </c>
      <c r="N113" s="46" t="s">
        <v>803</v>
      </c>
      <c r="O113" s="50" t="s">
        <v>801</v>
      </c>
      <c r="P113" s="9" t="s">
        <v>801</v>
      </c>
    </row>
    <row r="114" spans="1:16" s="9" customFormat="1" x14ac:dyDescent="0.2">
      <c r="A114" s="220" t="s">
        <v>51</v>
      </c>
      <c r="B114" s="220" t="s">
        <v>813</v>
      </c>
      <c r="C114" s="231">
        <v>881533</v>
      </c>
      <c r="D114" s="231">
        <v>23</v>
      </c>
      <c r="E114" s="231" t="s">
        <v>814</v>
      </c>
      <c r="F114" s="231" t="s">
        <v>169</v>
      </c>
      <c r="G114" s="129" t="s">
        <v>451</v>
      </c>
      <c r="H114" s="250">
        <v>2</v>
      </c>
      <c r="I114" s="246">
        <v>9.85</v>
      </c>
      <c r="J114" s="231" t="s">
        <v>23</v>
      </c>
      <c r="K114" s="312">
        <v>132.6</v>
      </c>
      <c r="L114" s="229">
        <v>4</v>
      </c>
      <c r="M114" s="237">
        <v>4</v>
      </c>
      <c r="N114" s="46" t="s">
        <v>803</v>
      </c>
      <c r="O114" s="50" t="s">
        <v>801</v>
      </c>
      <c r="P114" s="9" t="s">
        <v>801</v>
      </c>
    </row>
    <row r="115" spans="1:16" s="9" customFormat="1" x14ac:dyDescent="0.2">
      <c r="A115" s="220" t="s">
        <v>51</v>
      </c>
      <c r="B115" s="220" t="s">
        <v>815</v>
      </c>
      <c r="C115" s="231">
        <v>881544</v>
      </c>
      <c r="D115" s="231">
        <v>23</v>
      </c>
      <c r="E115" s="259" t="s">
        <v>816</v>
      </c>
      <c r="F115" s="231" t="s">
        <v>169</v>
      </c>
      <c r="G115" s="129" t="s">
        <v>451</v>
      </c>
      <c r="H115" s="250">
        <v>2</v>
      </c>
      <c r="I115" s="246">
        <v>13.13</v>
      </c>
      <c r="J115" s="231" t="s">
        <v>23</v>
      </c>
      <c r="K115" s="312">
        <v>176.8</v>
      </c>
      <c r="L115" s="229">
        <v>4</v>
      </c>
      <c r="M115" s="237">
        <v>4</v>
      </c>
      <c r="N115" s="46" t="s">
        <v>803</v>
      </c>
      <c r="O115" s="50" t="s">
        <v>801</v>
      </c>
      <c r="P115" s="9" t="s">
        <v>801</v>
      </c>
    </row>
    <row r="116" spans="1:16" s="9" customFormat="1" x14ac:dyDescent="0.2">
      <c r="A116" s="220" t="s">
        <v>51</v>
      </c>
      <c r="B116" s="220" t="s">
        <v>817</v>
      </c>
      <c r="C116" s="231">
        <v>881566</v>
      </c>
      <c r="D116" s="231">
        <v>23</v>
      </c>
      <c r="E116" s="259" t="s">
        <v>818</v>
      </c>
      <c r="F116" s="231" t="s">
        <v>169</v>
      </c>
      <c r="G116" s="129" t="s">
        <v>451</v>
      </c>
      <c r="H116" s="250">
        <v>2</v>
      </c>
      <c r="I116" s="246">
        <v>19.7</v>
      </c>
      <c r="J116" s="231" t="s">
        <v>23</v>
      </c>
      <c r="K116" s="312">
        <v>265.20999999999998</v>
      </c>
      <c r="L116" s="229">
        <v>4</v>
      </c>
      <c r="M116" s="237">
        <v>4</v>
      </c>
      <c r="N116" s="46" t="s">
        <v>803</v>
      </c>
      <c r="O116" s="50" t="s">
        <v>801</v>
      </c>
    </row>
    <row r="117" spans="1:16" s="9" customFormat="1" x14ac:dyDescent="0.2">
      <c r="A117" s="219" t="s">
        <v>50</v>
      </c>
      <c r="B117" s="260" t="s">
        <v>897</v>
      </c>
      <c r="C117" s="114">
        <v>8951155</v>
      </c>
      <c r="D117" s="231">
        <v>23</v>
      </c>
      <c r="E117" s="261" t="s">
        <v>898</v>
      </c>
      <c r="F117" s="231" t="s">
        <v>169</v>
      </c>
      <c r="G117" s="129" t="s">
        <v>451</v>
      </c>
      <c r="H117" s="250">
        <v>4</v>
      </c>
      <c r="I117" s="262">
        <v>8.57</v>
      </c>
      <c r="J117" s="114" t="s">
        <v>23</v>
      </c>
      <c r="K117" s="312">
        <v>118.29</v>
      </c>
      <c r="L117" s="263">
        <v>1</v>
      </c>
      <c r="M117" s="264">
        <v>50</v>
      </c>
      <c r="N117" s="265" t="s">
        <v>803</v>
      </c>
      <c r="O117" s="50" t="s">
        <v>801</v>
      </c>
    </row>
    <row r="118" spans="1:16" s="9" customFormat="1" x14ac:dyDescent="0.2">
      <c r="A118" s="219" t="s">
        <v>51</v>
      </c>
      <c r="B118" s="219" t="s">
        <v>861</v>
      </c>
      <c r="C118" s="129">
        <v>865115</v>
      </c>
      <c r="D118" s="129">
        <v>23</v>
      </c>
      <c r="E118" s="266" t="s">
        <v>647</v>
      </c>
      <c r="F118" s="129" t="s">
        <v>169</v>
      </c>
      <c r="G118" s="129" t="s">
        <v>451</v>
      </c>
      <c r="H118" s="227">
        <v>4</v>
      </c>
      <c r="I118" s="238">
        <v>8.57</v>
      </c>
      <c r="J118" s="129" t="s">
        <v>23</v>
      </c>
      <c r="K118" s="312">
        <v>118.29</v>
      </c>
      <c r="L118" s="229">
        <v>4</v>
      </c>
      <c r="M118" s="237">
        <v>10</v>
      </c>
      <c r="N118" s="46" t="s">
        <v>803</v>
      </c>
      <c r="O118" s="50" t="s">
        <v>801</v>
      </c>
    </row>
    <row r="119" spans="1:16" s="9" customFormat="1" x14ac:dyDescent="0.2">
      <c r="A119" s="219" t="s">
        <v>50</v>
      </c>
      <c r="B119" s="260" t="s">
        <v>888</v>
      </c>
      <c r="C119" s="114">
        <v>895132</v>
      </c>
      <c r="D119" s="114">
        <v>23</v>
      </c>
      <c r="E119" s="261" t="s">
        <v>889</v>
      </c>
      <c r="F119" s="231" t="s">
        <v>169</v>
      </c>
      <c r="G119" s="129" t="s">
        <v>451</v>
      </c>
      <c r="H119" s="250">
        <v>4</v>
      </c>
      <c r="I119" s="262">
        <v>18.29</v>
      </c>
      <c r="J119" s="114" t="s">
        <v>23</v>
      </c>
      <c r="K119" s="312">
        <v>252.34</v>
      </c>
      <c r="L119" s="263">
        <v>1</v>
      </c>
      <c r="M119" s="264">
        <v>1</v>
      </c>
      <c r="N119" s="265" t="s">
        <v>803</v>
      </c>
      <c r="O119" s="50" t="s">
        <v>801</v>
      </c>
    </row>
    <row r="120" spans="1:16" s="9" customFormat="1" x14ac:dyDescent="0.2">
      <c r="A120" s="219" t="s">
        <v>51</v>
      </c>
      <c r="B120" s="219" t="s">
        <v>862</v>
      </c>
      <c r="C120" s="129">
        <v>865132</v>
      </c>
      <c r="D120" s="129">
        <v>23</v>
      </c>
      <c r="E120" s="129" t="s">
        <v>648</v>
      </c>
      <c r="F120" s="129" t="s">
        <v>169</v>
      </c>
      <c r="G120" s="129" t="s">
        <v>451</v>
      </c>
      <c r="H120" s="227">
        <v>4</v>
      </c>
      <c r="I120" s="238">
        <v>18.29</v>
      </c>
      <c r="J120" s="129" t="s">
        <v>23</v>
      </c>
      <c r="K120" s="312">
        <v>252.34</v>
      </c>
      <c r="L120" s="229">
        <v>1</v>
      </c>
      <c r="M120" s="234">
        <v>1</v>
      </c>
      <c r="N120" s="46" t="s">
        <v>803</v>
      </c>
      <c r="O120" s="50" t="s">
        <v>801</v>
      </c>
    </row>
    <row r="121" spans="1:16" s="9" customFormat="1" ht="12.75" customHeight="1" x14ac:dyDescent="0.2">
      <c r="A121" s="219" t="s">
        <v>50</v>
      </c>
      <c r="B121" s="220" t="s">
        <v>844</v>
      </c>
      <c r="C121" s="231">
        <v>855136</v>
      </c>
      <c r="D121" s="231">
        <v>23</v>
      </c>
      <c r="E121" s="259" t="s">
        <v>887</v>
      </c>
      <c r="F121" s="231" t="s">
        <v>169</v>
      </c>
      <c r="G121" s="129" t="s">
        <v>451</v>
      </c>
      <c r="H121" s="250">
        <v>4</v>
      </c>
      <c r="I121" s="246">
        <v>20.58</v>
      </c>
      <c r="J121" s="231" t="s">
        <v>23</v>
      </c>
      <c r="K121" s="312">
        <v>282.94</v>
      </c>
      <c r="L121" s="257">
        <v>1</v>
      </c>
      <c r="M121" s="258">
        <v>1</v>
      </c>
      <c r="N121" s="46" t="s">
        <v>803</v>
      </c>
      <c r="O121" s="50" t="s">
        <v>801</v>
      </c>
    </row>
    <row r="122" spans="1:16" s="9" customFormat="1" ht="12.75" customHeight="1" x14ac:dyDescent="0.2">
      <c r="A122" s="219" t="s">
        <v>51</v>
      </c>
      <c r="B122" s="219" t="s">
        <v>863</v>
      </c>
      <c r="C122" s="129">
        <v>865136</v>
      </c>
      <c r="D122" s="129">
        <v>23</v>
      </c>
      <c r="E122" s="129" t="s">
        <v>649</v>
      </c>
      <c r="F122" s="129" t="s">
        <v>169</v>
      </c>
      <c r="G122" s="129" t="s">
        <v>451</v>
      </c>
      <c r="H122" s="227">
        <v>4</v>
      </c>
      <c r="I122" s="238">
        <v>20.58</v>
      </c>
      <c r="J122" s="129" t="s">
        <v>23</v>
      </c>
      <c r="K122" s="312">
        <v>282.94</v>
      </c>
      <c r="L122" s="229">
        <v>1</v>
      </c>
      <c r="M122" s="234">
        <v>1</v>
      </c>
      <c r="N122" s="46" t="s">
        <v>803</v>
      </c>
      <c r="O122" s="50" t="s">
        <v>801</v>
      </c>
      <c r="P122" s="9" t="s">
        <v>801</v>
      </c>
    </row>
    <row r="123" spans="1:16" s="9" customFormat="1" x14ac:dyDescent="0.2">
      <c r="A123" s="220" t="s">
        <v>51</v>
      </c>
      <c r="B123" s="220" t="s">
        <v>710</v>
      </c>
      <c r="C123" s="231">
        <v>620412</v>
      </c>
      <c r="D123" s="231">
        <v>23</v>
      </c>
      <c r="E123" s="231" t="s">
        <v>809</v>
      </c>
      <c r="F123" s="231" t="s">
        <v>169</v>
      </c>
      <c r="G123" s="129" t="s">
        <v>451</v>
      </c>
      <c r="H123" s="250">
        <v>1.5</v>
      </c>
      <c r="I123" s="246">
        <v>2.74</v>
      </c>
      <c r="J123" s="231" t="s">
        <v>23</v>
      </c>
      <c r="K123" s="312">
        <v>40.51</v>
      </c>
      <c r="L123" s="236">
        <v>1</v>
      </c>
      <c r="M123" s="237">
        <v>4</v>
      </c>
      <c r="N123" s="46" t="s">
        <v>803</v>
      </c>
      <c r="O123" s="50" t="s">
        <v>801</v>
      </c>
      <c r="P123" s="9" t="s">
        <v>801</v>
      </c>
    </row>
    <row r="124" spans="1:16" s="9" customFormat="1" x14ac:dyDescent="0.2">
      <c r="A124" s="220" t="s">
        <v>962</v>
      </c>
      <c r="B124" s="220" t="s">
        <v>963</v>
      </c>
      <c r="C124" s="231">
        <v>620416</v>
      </c>
      <c r="D124" s="231">
        <v>23</v>
      </c>
      <c r="E124" s="231" t="s">
        <v>964</v>
      </c>
      <c r="F124" s="231" t="s">
        <v>169</v>
      </c>
      <c r="G124" s="129" t="s">
        <v>451</v>
      </c>
      <c r="H124" s="250">
        <v>1.5</v>
      </c>
      <c r="I124" s="246">
        <v>2.74</v>
      </c>
      <c r="J124" s="231" t="s">
        <v>23</v>
      </c>
      <c r="K124" s="312">
        <v>54.68</v>
      </c>
      <c r="L124" s="236">
        <v>1</v>
      </c>
      <c r="M124" s="237">
        <v>4</v>
      </c>
      <c r="N124" s="46" t="s">
        <v>803</v>
      </c>
      <c r="O124" s="50" t="s">
        <v>801</v>
      </c>
      <c r="P124" s="9" t="s">
        <v>801</v>
      </c>
    </row>
    <row r="125" spans="1:16" s="9" customFormat="1" x14ac:dyDescent="0.2">
      <c r="A125" s="220" t="s">
        <v>51</v>
      </c>
      <c r="B125" s="220" t="s">
        <v>711</v>
      </c>
      <c r="C125" s="231">
        <v>620413</v>
      </c>
      <c r="D125" s="231">
        <v>23</v>
      </c>
      <c r="E125" s="231" t="s">
        <v>810</v>
      </c>
      <c r="F125" s="231" t="s">
        <v>169</v>
      </c>
      <c r="G125" s="129" t="s">
        <v>451</v>
      </c>
      <c r="H125" s="250">
        <v>1.5</v>
      </c>
      <c r="I125" s="246">
        <v>4.1100000000000003</v>
      </c>
      <c r="J125" s="231" t="s">
        <v>23</v>
      </c>
      <c r="K125" s="312">
        <v>60.75</v>
      </c>
      <c r="L125" s="236">
        <v>1</v>
      </c>
      <c r="M125" s="237">
        <v>4</v>
      </c>
      <c r="N125" s="46" t="s">
        <v>803</v>
      </c>
      <c r="O125" s="50" t="s">
        <v>801</v>
      </c>
      <c r="P125" s="9" t="s">
        <v>801</v>
      </c>
    </row>
    <row r="126" spans="1:16" s="9" customFormat="1" x14ac:dyDescent="0.2">
      <c r="A126" s="220" t="s">
        <v>962</v>
      </c>
      <c r="B126" s="220" t="s">
        <v>965</v>
      </c>
      <c r="C126" s="231">
        <v>620417</v>
      </c>
      <c r="D126" s="231">
        <v>23</v>
      </c>
      <c r="E126" s="231" t="s">
        <v>966</v>
      </c>
      <c r="F126" s="231" t="s">
        <v>169</v>
      </c>
      <c r="G126" s="129" t="s">
        <v>451</v>
      </c>
      <c r="H126" s="250">
        <v>1.5</v>
      </c>
      <c r="I126" s="246">
        <v>4.1100000000000003</v>
      </c>
      <c r="J126" s="231" t="s">
        <v>23</v>
      </c>
      <c r="K126" s="312">
        <v>82.02</v>
      </c>
      <c r="L126" s="236">
        <v>1</v>
      </c>
      <c r="M126" s="237">
        <v>4</v>
      </c>
      <c r="N126" s="46" t="s">
        <v>803</v>
      </c>
      <c r="O126" s="50" t="s">
        <v>801</v>
      </c>
      <c r="P126" s="9" t="s">
        <v>801</v>
      </c>
    </row>
    <row r="127" spans="1:16" s="9" customFormat="1" x14ac:dyDescent="0.2">
      <c r="A127" s="219" t="s">
        <v>51</v>
      </c>
      <c r="B127" s="219" t="s">
        <v>591</v>
      </c>
      <c r="C127" s="129">
        <v>867810</v>
      </c>
      <c r="D127" s="129">
        <v>23</v>
      </c>
      <c r="E127" s="129" t="s">
        <v>650</v>
      </c>
      <c r="F127" s="129" t="s">
        <v>169</v>
      </c>
      <c r="G127" s="129" t="s">
        <v>451</v>
      </c>
      <c r="H127" s="227">
        <v>3</v>
      </c>
      <c r="I127" s="238">
        <v>3.76</v>
      </c>
      <c r="J127" s="129" t="s">
        <v>23</v>
      </c>
      <c r="K127" s="312">
        <v>50.61</v>
      </c>
      <c r="L127" s="229">
        <v>1</v>
      </c>
      <c r="M127" s="234">
        <v>4</v>
      </c>
      <c r="N127" s="46" t="s">
        <v>803</v>
      </c>
      <c r="O127" s="50" t="s">
        <v>801</v>
      </c>
      <c r="P127" s="9" t="s">
        <v>801</v>
      </c>
    </row>
    <row r="128" spans="1:16" s="9" customFormat="1" x14ac:dyDescent="0.2">
      <c r="A128" s="219" t="s">
        <v>51</v>
      </c>
      <c r="B128" s="219" t="s">
        <v>593</v>
      </c>
      <c r="C128" s="129">
        <v>867824</v>
      </c>
      <c r="D128" s="129">
        <v>23</v>
      </c>
      <c r="E128" s="129" t="s">
        <v>652</v>
      </c>
      <c r="F128" s="129" t="s">
        <v>169</v>
      </c>
      <c r="G128" s="129" t="s">
        <v>451</v>
      </c>
      <c r="H128" s="227">
        <v>3</v>
      </c>
      <c r="I128" s="238">
        <v>9.02</v>
      </c>
      <c r="J128" s="129" t="s">
        <v>23</v>
      </c>
      <c r="K128" s="312">
        <v>121.47</v>
      </c>
      <c r="L128" s="229">
        <v>1</v>
      </c>
      <c r="M128" s="234">
        <v>4</v>
      </c>
      <c r="N128" s="46" t="s">
        <v>803</v>
      </c>
      <c r="O128" s="50" t="s">
        <v>801</v>
      </c>
      <c r="P128" s="9" t="s">
        <v>801</v>
      </c>
    </row>
    <row r="129" spans="1:16" s="9" customFormat="1" x14ac:dyDescent="0.2">
      <c r="A129" s="219" t="s">
        <v>51</v>
      </c>
      <c r="B129" s="219" t="s">
        <v>592</v>
      </c>
      <c r="C129" s="129">
        <v>867820</v>
      </c>
      <c r="D129" s="129">
        <v>23</v>
      </c>
      <c r="E129" s="129" t="s">
        <v>651</v>
      </c>
      <c r="F129" s="129" t="s">
        <v>169</v>
      </c>
      <c r="G129" s="129" t="s">
        <v>451</v>
      </c>
      <c r="H129" s="227">
        <v>3</v>
      </c>
      <c r="I129" s="238">
        <v>7.52</v>
      </c>
      <c r="J129" s="129" t="s">
        <v>23</v>
      </c>
      <c r="K129" s="312">
        <v>101.22</v>
      </c>
      <c r="L129" s="229">
        <v>1</v>
      </c>
      <c r="M129" s="249">
        <v>6</v>
      </c>
      <c r="N129" s="46" t="s">
        <v>803</v>
      </c>
      <c r="O129" s="50" t="s">
        <v>801</v>
      </c>
      <c r="P129" s="9" t="s">
        <v>801</v>
      </c>
    </row>
    <row r="130" spans="1:16" s="9" customFormat="1" x14ac:dyDescent="0.2">
      <c r="A130" s="219" t="s">
        <v>51</v>
      </c>
      <c r="B130" s="219" t="s">
        <v>529</v>
      </c>
      <c r="C130" s="129">
        <v>867832</v>
      </c>
      <c r="D130" s="129">
        <v>23</v>
      </c>
      <c r="E130" s="129" t="s">
        <v>653</v>
      </c>
      <c r="F130" s="129" t="s">
        <v>169</v>
      </c>
      <c r="G130" s="129" t="s">
        <v>451</v>
      </c>
      <c r="H130" s="227">
        <v>3</v>
      </c>
      <c r="I130" s="238">
        <v>12.03</v>
      </c>
      <c r="J130" s="129" t="s">
        <v>23</v>
      </c>
      <c r="K130" s="312">
        <v>161.94999999999999</v>
      </c>
      <c r="L130" s="229">
        <v>1</v>
      </c>
      <c r="M130" s="249">
        <v>4</v>
      </c>
      <c r="N130" s="46" t="s">
        <v>803</v>
      </c>
      <c r="O130" s="50" t="s">
        <v>801</v>
      </c>
      <c r="P130" s="9" t="s">
        <v>801</v>
      </c>
    </row>
    <row r="131" spans="1:16" s="9" customFormat="1" x14ac:dyDescent="0.2">
      <c r="A131" s="219" t="s">
        <v>51</v>
      </c>
      <c r="B131" s="219" t="s">
        <v>595</v>
      </c>
      <c r="C131" s="129">
        <v>867834</v>
      </c>
      <c r="D131" s="129">
        <v>23</v>
      </c>
      <c r="E131" s="129" t="s">
        <v>654</v>
      </c>
      <c r="F131" s="129" t="s">
        <v>169</v>
      </c>
      <c r="G131" s="129" t="s">
        <v>451</v>
      </c>
      <c r="H131" s="227">
        <v>3</v>
      </c>
      <c r="I131" s="238">
        <v>12.78</v>
      </c>
      <c r="J131" s="129" t="s">
        <v>23</v>
      </c>
      <c r="K131" s="312">
        <v>172.08</v>
      </c>
      <c r="L131" s="229">
        <v>1</v>
      </c>
      <c r="M131" s="249">
        <v>4</v>
      </c>
      <c r="N131" s="46" t="s">
        <v>803</v>
      </c>
      <c r="O131" s="50" t="s">
        <v>801</v>
      </c>
      <c r="P131" s="9" t="s">
        <v>801</v>
      </c>
    </row>
    <row r="132" spans="1:16" s="9" customFormat="1" x14ac:dyDescent="0.2">
      <c r="A132" s="219" t="s">
        <v>51</v>
      </c>
      <c r="B132" s="219" t="s">
        <v>594</v>
      </c>
      <c r="C132" s="129">
        <v>867830</v>
      </c>
      <c r="D132" s="129">
        <v>23</v>
      </c>
      <c r="E132" s="129" t="s">
        <v>655</v>
      </c>
      <c r="F132" s="129" t="s">
        <v>169</v>
      </c>
      <c r="G132" s="129" t="s">
        <v>451</v>
      </c>
      <c r="H132" s="227">
        <v>3</v>
      </c>
      <c r="I132" s="238">
        <v>11.28</v>
      </c>
      <c r="J132" s="129" t="s">
        <v>23</v>
      </c>
      <c r="K132" s="312">
        <v>151.83000000000001</v>
      </c>
      <c r="L132" s="229">
        <v>1</v>
      </c>
      <c r="M132" s="249">
        <v>6</v>
      </c>
      <c r="N132" s="46" t="s">
        <v>803</v>
      </c>
      <c r="O132" s="50" t="s">
        <v>801</v>
      </c>
      <c r="P132" s="9" t="s">
        <v>801</v>
      </c>
    </row>
    <row r="133" spans="1:16" s="9" customFormat="1" x14ac:dyDescent="0.2">
      <c r="A133" s="219" t="s">
        <v>51</v>
      </c>
      <c r="B133" s="219" t="s">
        <v>596</v>
      </c>
      <c r="C133" s="129">
        <v>867844</v>
      </c>
      <c r="D133" s="129">
        <v>23</v>
      </c>
      <c r="E133" s="129" t="s">
        <v>656</v>
      </c>
      <c r="F133" s="129" t="s">
        <v>169</v>
      </c>
      <c r="G133" s="129" t="s">
        <v>451</v>
      </c>
      <c r="H133" s="227">
        <v>3</v>
      </c>
      <c r="I133" s="238">
        <v>16.54</v>
      </c>
      <c r="J133" s="129" t="s">
        <v>23</v>
      </c>
      <c r="K133" s="312">
        <v>222.68</v>
      </c>
      <c r="L133" s="229">
        <v>1</v>
      </c>
      <c r="M133" s="249">
        <v>4</v>
      </c>
      <c r="N133" s="46" t="s">
        <v>803</v>
      </c>
      <c r="O133" s="50" t="s">
        <v>801</v>
      </c>
      <c r="P133" s="9" t="s">
        <v>801</v>
      </c>
    </row>
    <row r="134" spans="1:16" s="9" customFormat="1" x14ac:dyDescent="0.2">
      <c r="A134" s="219" t="s">
        <v>379</v>
      </c>
      <c r="B134" s="219" t="s">
        <v>380</v>
      </c>
      <c r="C134" s="129">
        <v>899916</v>
      </c>
      <c r="D134" s="129">
        <v>23</v>
      </c>
      <c r="E134" s="129" t="s">
        <v>381</v>
      </c>
      <c r="F134" s="129" t="s">
        <v>242</v>
      </c>
      <c r="G134" s="129" t="s">
        <v>453</v>
      </c>
      <c r="H134" s="267"/>
      <c r="I134" s="228">
        <v>1.2999999999999999E-2</v>
      </c>
      <c r="J134" s="129" t="s">
        <v>23</v>
      </c>
      <c r="K134" s="312">
        <v>7.75</v>
      </c>
      <c r="L134" s="229">
        <v>1</v>
      </c>
      <c r="M134" s="234">
        <v>1</v>
      </c>
      <c r="N134" s="46" t="s">
        <v>803</v>
      </c>
      <c r="O134" s="48"/>
      <c r="P134" s="9" t="s">
        <v>801</v>
      </c>
    </row>
    <row r="135" spans="1:16" s="9" customFormat="1" x14ac:dyDescent="0.2">
      <c r="A135" s="219" t="s">
        <v>379</v>
      </c>
      <c r="B135" s="219" t="s">
        <v>382</v>
      </c>
      <c r="C135" s="129">
        <v>899920</v>
      </c>
      <c r="D135" s="129">
        <v>23</v>
      </c>
      <c r="E135" s="129" t="s">
        <v>383</v>
      </c>
      <c r="F135" s="129" t="s">
        <v>242</v>
      </c>
      <c r="G135" s="129" t="s">
        <v>453</v>
      </c>
      <c r="H135" s="268"/>
      <c r="I135" s="228">
        <v>1.4999999999999999E-2</v>
      </c>
      <c r="J135" s="129" t="s">
        <v>23</v>
      </c>
      <c r="K135" s="312">
        <v>7.86</v>
      </c>
      <c r="L135" s="229">
        <v>1</v>
      </c>
      <c r="M135" s="234">
        <v>1</v>
      </c>
      <c r="N135" s="46" t="s">
        <v>803</v>
      </c>
      <c r="O135" s="48"/>
      <c r="P135" s="9" t="s">
        <v>801</v>
      </c>
    </row>
    <row r="136" spans="1:16" s="9" customFormat="1" x14ac:dyDescent="0.2">
      <c r="A136" s="219" t="s">
        <v>379</v>
      </c>
      <c r="B136" s="219" t="s">
        <v>384</v>
      </c>
      <c r="C136" s="129">
        <v>899925</v>
      </c>
      <c r="D136" s="129">
        <v>23</v>
      </c>
      <c r="E136" s="129" t="s">
        <v>385</v>
      </c>
      <c r="F136" s="129" t="s">
        <v>242</v>
      </c>
      <c r="G136" s="129" t="s">
        <v>453</v>
      </c>
      <c r="H136" s="268"/>
      <c r="I136" s="228">
        <v>1.7000000000000001E-2</v>
      </c>
      <c r="J136" s="129" t="s">
        <v>23</v>
      </c>
      <c r="K136" s="312">
        <v>8.06</v>
      </c>
      <c r="L136" s="229">
        <v>1</v>
      </c>
      <c r="M136" s="234">
        <v>1</v>
      </c>
      <c r="N136" s="46" t="s">
        <v>803</v>
      </c>
      <c r="O136" s="48"/>
    </row>
    <row r="137" spans="1:16" s="9" customFormat="1" x14ac:dyDescent="0.2">
      <c r="A137" s="219" t="s">
        <v>379</v>
      </c>
      <c r="B137" s="219" t="s">
        <v>386</v>
      </c>
      <c r="C137" s="129">
        <v>899932</v>
      </c>
      <c r="D137" s="129">
        <v>23</v>
      </c>
      <c r="E137" s="129" t="s">
        <v>387</v>
      </c>
      <c r="F137" s="129" t="s">
        <v>242</v>
      </c>
      <c r="G137" s="129" t="s">
        <v>453</v>
      </c>
      <c r="H137" s="268"/>
      <c r="I137" s="228">
        <v>0.02</v>
      </c>
      <c r="J137" s="129" t="s">
        <v>23</v>
      </c>
      <c r="K137" s="312">
        <v>8.23</v>
      </c>
      <c r="L137" s="229">
        <v>1</v>
      </c>
      <c r="M137" s="234">
        <v>1</v>
      </c>
      <c r="N137" s="46" t="s">
        <v>803</v>
      </c>
      <c r="O137" s="48"/>
    </row>
    <row r="138" spans="1:16" s="9" customFormat="1" x14ac:dyDescent="0.2">
      <c r="A138" s="219" t="s">
        <v>379</v>
      </c>
      <c r="B138" s="219" t="s">
        <v>388</v>
      </c>
      <c r="C138" s="129">
        <v>899940</v>
      </c>
      <c r="D138" s="129">
        <v>23</v>
      </c>
      <c r="E138" s="129" t="s">
        <v>389</v>
      </c>
      <c r="F138" s="129" t="s">
        <v>242</v>
      </c>
      <c r="G138" s="129" t="s">
        <v>453</v>
      </c>
      <c r="H138" s="268"/>
      <c r="I138" s="228">
        <v>2.4E-2</v>
      </c>
      <c r="J138" s="129" t="s">
        <v>23</v>
      </c>
      <c r="K138" s="312">
        <v>8.25</v>
      </c>
      <c r="L138" s="229">
        <v>1</v>
      </c>
      <c r="M138" s="234">
        <v>1</v>
      </c>
      <c r="N138" s="46" t="s">
        <v>803</v>
      </c>
      <c r="O138" s="48"/>
    </row>
    <row r="139" spans="1:16" s="9" customFormat="1" x14ac:dyDescent="0.2">
      <c r="A139" s="219" t="s">
        <v>379</v>
      </c>
      <c r="B139" s="219" t="s">
        <v>390</v>
      </c>
      <c r="C139" s="129">
        <v>899950</v>
      </c>
      <c r="D139" s="129">
        <v>23</v>
      </c>
      <c r="E139" s="129" t="s">
        <v>391</v>
      </c>
      <c r="F139" s="129" t="s">
        <v>242</v>
      </c>
      <c r="G139" s="129" t="s">
        <v>453</v>
      </c>
      <c r="H139" s="268"/>
      <c r="I139" s="228">
        <v>2.8000000000000001E-2</v>
      </c>
      <c r="J139" s="129" t="s">
        <v>23</v>
      </c>
      <c r="K139" s="312">
        <v>9.08</v>
      </c>
      <c r="L139" s="229">
        <v>1</v>
      </c>
      <c r="M139" s="234">
        <v>1</v>
      </c>
      <c r="N139" s="46" t="s">
        <v>803</v>
      </c>
      <c r="O139" s="48"/>
    </row>
    <row r="140" spans="1:16" s="9" customFormat="1" x14ac:dyDescent="0.2">
      <c r="A140" s="219" t="s">
        <v>379</v>
      </c>
      <c r="B140" s="219" t="s">
        <v>392</v>
      </c>
      <c r="C140" s="129">
        <v>899960</v>
      </c>
      <c r="D140" s="129">
        <v>23</v>
      </c>
      <c r="E140" s="129" t="s">
        <v>393</v>
      </c>
      <c r="F140" s="129" t="s">
        <v>242</v>
      </c>
      <c r="G140" s="129" t="s">
        <v>453</v>
      </c>
      <c r="H140" s="268"/>
      <c r="I140" s="228">
        <v>3.2000000000000001E-2</v>
      </c>
      <c r="J140" s="129" t="s">
        <v>23</v>
      </c>
      <c r="K140" s="312">
        <v>9.52</v>
      </c>
      <c r="L140" s="229">
        <v>1</v>
      </c>
      <c r="M140" s="234">
        <v>1</v>
      </c>
      <c r="N140" s="46" t="s">
        <v>803</v>
      </c>
      <c r="O140" s="48"/>
    </row>
    <row r="141" spans="1:16" s="9" customFormat="1" x14ac:dyDescent="0.2">
      <c r="A141" s="219" t="s">
        <v>379</v>
      </c>
      <c r="B141" s="219" t="s">
        <v>394</v>
      </c>
      <c r="C141" s="129">
        <v>899963</v>
      </c>
      <c r="D141" s="129">
        <v>23</v>
      </c>
      <c r="E141" s="129" t="s">
        <v>395</v>
      </c>
      <c r="F141" s="129" t="s">
        <v>242</v>
      </c>
      <c r="G141" s="129" t="s">
        <v>453</v>
      </c>
      <c r="H141" s="267"/>
      <c r="I141" s="228">
        <v>3.4000000000000002E-2</v>
      </c>
      <c r="J141" s="129" t="s">
        <v>23</v>
      </c>
      <c r="K141" s="312">
        <v>10.28</v>
      </c>
      <c r="L141" s="229">
        <v>1</v>
      </c>
      <c r="M141" s="234">
        <v>1</v>
      </c>
      <c r="N141" s="46" t="s">
        <v>803</v>
      </c>
      <c r="O141" s="48"/>
    </row>
    <row r="142" spans="1:16" s="9" customFormat="1" x14ac:dyDescent="0.2">
      <c r="A142" s="219" t="s">
        <v>364</v>
      </c>
      <c r="B142" s="219" t="s">
        <v>365</v>
      </c>
      <c r="C142" s="129">
        <v>899820</v>
      </c>
      <c r="D142" s="129">
        <v>23</v>
      </c>
      <c r="E142" s="129" t="s">
        <v>366</v>
      </c>
      <c r="F142" s="129" t="s">
        <v>242</v>
      </c>
      <c r="G142" s="129" t="s">
        <v>453</v>
      </c>
      <c r="H142" s="267"/>
      <c r="I142" s="228">
        <v>1.9E-2</v>
      </c>
      <c r="J142" s="129" t="s">
        <v>23</v>
      </c>
      <c r="K142" s="312">
        <v>6.33</v>
      </c>
      <c r="L142" s="229">
        <v>1</v>
      </c>
      <c r="M142" s="234">
        <v>1</v>
      </c>
      <c r="N142" s="46" t="s">
        <v>803</v>
      </c>
      <c r="O142" s="48"/>
    </row>
    <row r="143" spans="1:16" s="9" customFormat="1" x14ac:dyDescent="0.2">
      <c r="A143" s="219" t="s">
        <v>364</v>
      </c>
      <c r="B143" s="219" t="s">
        <v>367</v>
      </c>
      <c r="C143" s="129">
        <v>899825</v>
      </c>
      <c r="D143" s="129">
        <v>23</v>
      </c>
      <c r="E143" s="129" t="s">
        <v>368</v>
      </c>
      <c r="F143" s="129" t="s">
        <v>242</v>
      </c>
      <c r="G143" s="129" t="s">
        <v>453</v>
      </c>
      <c r="H143" s="268"/>
      <c r="I143" s="228">
        <v>2.1999999999999999E-2</v>
      </c>
      <c r="J143" s="129" t="s">
        <v>23</v>
      </c>
      <c r="K143" s="312">
        <v>6.49</v>
      </c>
      <c r="L143" s="229">
        <v>1</v>
      </c>
      <c r="M143" s="234">
        <v>1</v>
      </c>
      <c r="N143" s="46" t="s">
        <v>803</v>
      </c>
      <c r="O143" s="48"/>
      <c r="P143" s="9" t="s">
        <v>801</v>
      </c>
    </row>
    <row r="144" spans="1:16" s="9" customFormat="1" x14ac:dyDescent="0.2">
      <c r="A144" s="219" t="s">
        <v>364</v>
      </c>
      <c r="B144" s="219" t="s">
        <v>369</v>
      </c>
      <c r="C144" s="129">
        <v>899832</v>
      </c>
      <c r="D144" s="129">
        <v>23</v>
      </c>
      <c r="E144" s="129" t="s">
        <v>370</v>
      </c>
      <c r="F144" s="129" t="s">
        <v>242</v>
      </c>
      <c r="G144" s="129" t="s">
        <v>453</v>
      </c>
      <c r="H144" s="268"/>
      <c r="I144" s="228">
        <v>2.5999999999999999E-2</v>
      </c>
      <c r="J144" s="129" t="s">
        <v>23</v>
      </c>
      <c r="K144" s="312">
        <v>6.75</v>
      </c>
      <c r="L144" s="229">
        <v>1</v>
      </c>
      <c r="M144" s="234">
        <v>1</v>
      </c>
      <c r="N144" s="46" t="s">
        <v>803</v>
      </c>
      <c r="O144" s="48"/>
    </row>
    <row r="145" spans="1:16" s="9" customFormat="1" x14ac:dyDescent="0.2">
      <c r="A145" s="219" t="s">
        <v>364</v>
      </c>
      <c r="B145" s="219" t="s">
        <v>371</v>
      </c>
      <c r="C145" s="129">
        <v>899840</v>
      </c>
      <c r="D145" s="129">
        <v>23</v>
      </c>
      <c r="E145" s="129" t="s">
        <v>372</v>
      </c>
      <c r="F145" s="129" t="s">
        <v>242</v>
      </c>
      <c r="G145" s="129" t="s">
        <v>453</v>
      </c>
      <c r="H145" s="267"/>
      <c r="I145" s="228">
        <v>0.03</v>
      </c>
      <c r="J145" s="129" t="s">
        <v>23</v>
      </c>
      <c r="K145" s="312">
        <v>7.69</v>
      </c>
      <c r="L145" s="229">
        <v>1</v>
      </c>
      <c r="M145" s="234">
        <v>1</v>
      </c>
      <c r="N145" s="46" t="s">
        <v>803</v>
      </c>
      <c r="O145" s="48"/>
      <c r="P145" s="9" t="s">
        <v>801</v>
      </c>
    </row>
    <row r="146" spans="1:16" s="9" customFormat="1" x14ac:dyDescent="0.2">
      <c r="A146" s="219" t="s">
        <v>364</v>
      </c>
      <c r="B146" s="219" t="s">
        <v>373</v>
      </c>
      <c r="C146" s="129">
        <v>899850</v>
      </c>
      <c r="D146" s="129">
        <v>23</v>
      </c>
      <c r="E146" s="129" t="s">
        <v>374</v>
      </c>
      <c r="F146" s="129" t="s">
        <v>242</v>
      </c>
      <c r="G146" s="129" t="s">
        <v>453</v>
      </c>
      <c r="H146" s="267"/>
      <c r="I146" s="228">
        <v>3.5000000000000003E-2</v>
      </c>
      <c r="J146" s="129" t="s">
        <v>23</v>
      </c>
      <c r="K146" s="312">
        <v>8.01</v>
      </c>
      <c r="L146" s="229">
        <v>1</v>
      </c>
      <c r="M146" s="234">
        <v>1</v>
      </c>
      <c r="N146" s="46" t="s">
        <v>803</v>
      </c>
      <c r="O146" s="48"/>
      <c r="P146" s="9" t="s">
        <v>801</v>
      </c>
    </row>
    <row r="147" spans="1:16" s="9" customFormat="1" x14ac:dyDescent="0.2">
      <c r="A147" s="219" t="s">
        <v>364</v>
      </c>
      <c r="B147" s="219" t="s">
        <v>375</v>
      </c>
      <c r="C147" s="129">
        <v>899860</v>
      </c>
      <c r="D147" s="129">
        <v>23</v>
      </c>
      <c r="E147" s="129" t="s">
        <v>376</v>
      </c>
      <c r="F147" s="129" t="s">
        <v>242</v>
      </c>
      <c r="G147" s="129" t="s">
        <v>453</v>
      </c>
      <c r="H147" s="267"/>
      <c r="I147" s="228">
        <v>0.04</v>
      </c>
      <c r="J147" s="129" t="s">
        <v>23</v>
      </c>
      <c r="K147" s="312">
        <v>8.32</v>
      </c>
      <c r="L147" s="229">
        <v>1</v>
      </c>
      <c r="M147" s="234">
        <v>1</v>
      </c>
      <c r="N147" s="46" t="s">
        <v>803</v>
      </c>
      <c r="O147" s="48"/>
      <c r="P147" s="9" t="s">
        <v>801</v>
      </c>
    </row>
    <row r="148" spans="1:16" s="9" customFormat="1" x14ac:dyDescent="0.2">
      <c r="A148" s="219" t="s">
        <v>364</v>
      </c>
      <c r="B148" s="219" t="s">
        <v>377</v>
      </c>
      <c r="C148" s="129">
        <v>899863</v>
      </c>
      <c r="D148" s="129">
        <v>23</v>
      </c>
      <c r="E148" s="129" t="s">
        <v>378</v>
      </c>
      <c r="F148" s="129" t="s">
        <v>242</v>
      </c>
      <c r="G148" s="129" t="s">
        <v>454</v>
      </c>
      <c r="H148" s="267"/>
      <c r="I148" s="228">
        <v>4.2000000000000003E-2</v>
      </c>
      <c r="J148" s="129" t="s">
        <v>23</v>
      </c>
      <c r="K148" s="312">
        <v>8.4499999999999993</v>
      </c>
      <c r="L148" s="229">
        <v>1</v>
      </c>
      <c r="M148" s="234">
        <v>1</v>
      </c>
      <c r="N148" s="46" t="s">
        <v>803</v>
      </c>
      <c r="O148" s="48"/>
      <c r="P148" s="9" t="s">
        <v>801</v>
      </c>
    </row>
    <row r="149" spans="1:16" s="9" customFormat="1" x14ac:dyDescent="0.2">
      <c r="A149" s="219" t="s">
        <v>52</v>
      </c>
      <c r="B149" s="219" t="s">
        <v>363</v>
      </c>
      <c r="C149" s="129">
        <v>890661</v>
      </c>
      <c r="D149" s="129">
        <v>23</v>
      </c>
      <c r="E149" s="129" t="s">
        <v>286</v>
      </c>
      <c r="F149" s="129" t="s">
        <v>242</v>
      </c>
      <c r="G149" s="129" t="s">
        <v>466</v>
      </c>
      <c r="H149" s="269"/>
      <c r="I149" s="228"/>
      <c r="J149" s="129" t="s">
        <v>66</v>
      </c>
      <c r="K149" s="312">
        <v>103.15</v>
      </c>
      <c r="L149" s="229">
        <v>1</v>
      </c>
      <c r="M149" s="230">
        <v>100</v>
      </c>
      <c r="N149" s="46" t="s">
        <v>802</v>
      </c>
      <c r="O149" s="48"/>
      <c r="P149" s="9" t="s">
        <v>801</v>
      </c>
    </row>
    <row r="150" spans="1:16" s="9" customFormat="1" x14ac:dyDescent="0.2">
      <c r="A150" s="219" t="s">
        <v>52</v>
      </c>
      <c r="B150" s="219" t="s">
        <v>3</v>
      </c>
      <c r="C150" s="129">
        <v>890810</v>
      </c>
      <c r="D150" s="129">
        <v>23</v>
      </c>
      <c r="E150" s="129" t="s">
        <v>287</v>
      </c>
      <c r="F150" s="129" t="s">
        <v>242</v>
      </c>
      <c r="G150" s="129" t="s">
        <v>467</v>
      </c>
      <c r="H150" s="269"/>
      <c r="I150" s="228"/>
      <c r="J150" s="129" t="s">
        <v>66</v>
      </c>
      <c r="K150" s="312">
        <v>65</v>
      </c>
      <c r="L150" s="229">
        <v>1</v>
      </c>
      <c r="M150" s="230">
        <v>100</v>
      </c>
      <c r="N150" s="46" t="s">
        <v>802</v>
      </c>
      <c r="O150" s="48"/>
      <c r="P150" s="9" t="s">
        <v>801</v>
      </c>
    </row>
    <row r="151" spans="1:16" s="9" customFormat="1" x14ac:dyDescent="0.2">
      <c r="A151" s="219" t="s">
        <v>52</v>
      </c>
      <c r="B151" s="219" t="s">
        <v>327</v>
      </c>
      <c r="C151" s="129">
        <v>890811</v>
      </c>
      <c r="D151" s="129">
        <v>23</v>
      </c>
      <c r="E151" s="129" t="s">
        <v>288</v>
      </c>
      <c r="F151" s="129" t="s">
        <v>242</v>
      </c>
      <c r="G151" s="129" t="s">
        <v>466</v>
      </c>
      <c r="H151" s="269"/>
      <c r="I151" s="228"/>
      <c r="J151" s="129" t="s">
        <v>66</v>
      </c>
      <c r="K151" s="312">
        <v>228.9</v>
      </c>
      <c r="L151" s="229">
        <v>1</v>
      </c>
      <c r="M151" s="230">
        <v>100</v>
      </c>
      <c r="N151" s="46" t="s">
        <v>802</v>
      </c>
      <c r="O151" s="48"/>
      <c r="P151" s="9" t="s">
        <v>801</v>
      </c>
    </row>
    <row r="152" spans="1:16" s="9" customFormat="1" x14ac:dyDescent="0.2">
      <c r="A152" s="219" t="s">
        <v>617</v>
      </c>
      <c r="B152" s="242" t="s">
        <v>618</v>
      </c>
      <c r="C152" s="231">
        <v>895002</v>
      </c>
      <c r="D152" s="129">
        <v>23</v>
      </c>
      <c r="E152" s="231" t="s">
        <v>659</v>
      </c>
      <c r="F152" s="129" t="s">
        <v>169</v>
      </c>
      <c r="G152" s="129" t="s">
        <v>451</v>
      </c>
      <c r="H152" s="232">
        <v>3</v>
      </c>
      <c r="I152" s="233">
        <v>6.97</v>
      </c>
      <c r="J152" s="129" t="s">
        <v>23</v>
      </c>
      <c r="K152" s="312">
        <v>104.58</v>
      </c>
      <c r="L152" s="229">
        <v>1</v>
      </c>
      <c r="M152" s="237">
        <v>10</v>
      </c>
      <c r="N152" s="46" t="s">
        <v>802</v>
      </c>
      <c r="O152" s="50" t="s">
        <v>801</v>
      </c>
      <c r="P152" s="9" t="s">
        <v>801</v>
      </c>
    </row>
    <row r="153" spans="1:16" s="9" customFormat="1" x14ac:dyDescent="0.2">
      <c r="A153" s="219" t="s">
        <v>53</v>
      </c>
      <c r="B153" s="219" t="s">
        <v>0</v>
      </c>
      <c r="C153" s="129">
        <v>897960</v>
      </c>
      <c r="D153" s="129">
        <v>23</v>
      </c>
      <c r="E153" s="129" t="s">
        <v>272</v>
      </c>
      <c r="F153" s="129" t="s">
        <v>169</v>
      </c>
      <c r="G153" s="129" t="s">
        <v>451</v>
      </c>
      <c r="H153" s="269"/>
      <c r="I153" s="228">
        <v>0.4</v>
      </c>
      <c r="J153" s="129" t="s">
        <v>23</v>
      </c>
      <c r="K153" s="312">
        <v>23.25</v>
      </c>
      <c r="L153" s="229">
        <v>1</v>
      </c>
      <c r="M153" s="230">
        <v>20</v>
      </c>
      <c r="N153" s="46" t="s">
        <v>802</v>
      </c>
      <c r="O153" s="50" t="s">
        <v>801</v>
      </c>
      <c r="P153" s="9" t="s">
        <v>801</v>
      </c>
    </row>
    <row r="154" spans="1:16" s="9" customFormat="1" x14ac:dyDescent="0.2">
      <c r="A154" s="223" t="s">
        <v>53</v>
      </c>
      <c r="B154" s="223" t="s">
        <v>4</v>
      </c>
      <c r="C154" s="270">
        <v>897975</v>
      </c>
      <c r="D154" s="129">
        <v>23</v>
      </c>
      <c r="E154" s="270" t="s">
        <v>273</v>
      </c>
      <c r="F154" s="129" t="s">
        <v>169</v>
      </c>
      <c r="G154" s="129" t="s">
        <v>451</v>
      </c>
      <c r="H154" s="271"/>
      <c r="I154" s="272">
        <v>0.52</v>
      </c>
      <c r="J154" s="270" t="s">
        <v>23</v>
      </c>
      <c r="K154" s="312">
        <v>24.97</v>
      </c>
      <c r="L154" s="229">
        <v>1</v>
      </c>
      <c r="M154" s="273">
        <v>20</v>
      </c>
      <c r="N154" s="46" t="s">
        <v>802</v>
      </c>
      <c r="O154" s="50" t="s">
        <v>801</v>
      </c>
      <c r="P154" s="9" t="s">
        <v>801</v>
      </c>
    </row>
    <row r="155" spans="1:16" s="9" customFormat="1" x14ac:dyDescent="0.2">
      <c r="A155" s="219" t="s">
        <v>54</v>
      </c>
      <c r="B155" s="219" t="s">
        <v>55</v>
      </c>
      <c r="C155" s="129">
        <v>897875</v>
      </c>
      <c r="D155" s="129">
        <v>23</v>
      </c>
      <c r="E155" s="129" t="s">
        <v>274</v>
      </c>
      <c r="F155" s="129" t="s">
        <v>169</v>
      </c>
      <c r="G155" s="129" t="s">
        <v>451</v>
      </c>
      <c r="H155" s="269"/>
      <c r="I155" s="228">
        <v>0.85</v>
      </c>
      <c r="J155" s="129" t="s">
        <v>23</v>
      </c>
      <c r="K155" s="312">
        <v>69.22</v>
      </c>
      <c r="L155" s="229">
        <v>1</v>
      </c>
      <c r="M155" s="230">
        <v>1</v>
      </c>
      <c r="N155" s="46" t="s">
        <v>802</v>
      </c>
      <c r="O155" s="50" t="s">
        <v>801</v>
      </c>
      <c r="P155" s="9" t="s">
        <v>801</v>
      </c>
    </row>
    <row r="156" spans="1:16" s="9" customFormat="1" x14ac:dyDescent="0.2">
      <c r="A156" s="219" t="s">
        <v>54</v>
      </c>
      <c r="B156" s="219" t="s">
        <v>56</v>
      </c>
      <c r="C156" s="129">
        <v>897855</v>
      </c>
      <c r="D156" s="129">
        <v>23</v>
      </c>
      <c r="E156" s="129" t="s">
        <v>275</v>
      </c>
      <c r="F156" s="129" t="s">
        <v>169</v>
      </c>
      <c r="G156" s="129" t="s">
        <v>451</v>
      </c>
      <c r="H156" s="269"/>
      <c r="I156" s="228">
        <v>0.85</v>
      </c>
      <c r="J156" s="129" t="s">
        <v>23</v>
      </c>
      <c r="K156" s="312">
        <v>55.17</v>
      </c>
      <c r="L156" s="229">
        <v>1</v>
      </c>
      <c r="M156" s="230">
        <v>1</v>
      </c>
      <c r="N156" s="46" t="s">
        <v>802</v>
      </c>
      <c r="O156" s="50" t="s">
        <v>801</v>
      </c>
      <c r="P156" s="9" t="s">
        <v>801</v>
      </c>
    </row>
    <row r="157" spans="1:16" s="9" customFormat="1" x14ac:dyDescent="0.2">
      <c r="A157" s="219" t="s">
        <v>53</v>
      </c>
      <c r="B157" s="242" t="s">
        <v>613</v>
      </c>
      <c r="C157" s="231">
        <v>897976</v>
      </c>
      <c r="D157" s="129">
        <v>23</v>
      </c>
      <c r="E157" s="231" t="s">
        <v>660</v>
      </c>
      <c r="F157" s="129" t="s">
        <v>169</v>
      </c>
      <c r="G157" s="129" t="s">
        <v>451</v>
      </c>
      <c r="H157" s="233"/>
      <c r="I157" s="233">
        <v>0.3</v>
      </c>
      <c r="J157" s="129" t="s">
        <v>23</v>
      </c>
      <c r="K157" s="312">
        <v>30.65</v>
      </c>
      <c r="L157" s="229">
        <v>1</v>
      </c>
      <c r="M157" s="237">
        <v>10</v>
      </c>
      <c r="N157" s="46" t="s">
        <v>802</v>
      </c>
      <c r="O157" s="50" t="s">
        <v>801</v>
      </c>
      <c r="P157" s="9" t="s">
        <v>801</v>
      </c>
    </row>
    <row r="158" spans="1:16" s="9" customFormat="1" x14ac:dyDescent="0.2">
      <c r="A158" s="219" t="s">
        <v>57</v>
      </c>
      <c r="B158" s="219" t="s">
        <v>611</v>
      </c>
      <c r="C158" s="231">
        <v>897860</v>
      </c>
      <c r="D158" s="231">
        <v>23</v>
      </c>
      <c r="E158" s="129" t="s">
        <v>657</v>
      </c>
      <c r="F158" s="129" t="s">
        <v>169</v>
      </c>
      <c r="G158" s="129" t="s">
        <v>451</v>
      </c>
      <c r="H158" s="233"/>
      <c r="I158" s="233">
        <v>0.39</v>
      </c>
      <c r="J158" s="129" t="s">
        <v>23</v>
      </c>
      <c r="K158" s="312">
        <v>21.53</v>
      </c>
      <c r="L158" s="236">
        <v>1</v>
      </c>
      <c r="M158" s="237">
        <v>20</v>
      </c>
      <c r="N158" s="46" t="s">
        <v>802</v>
      </c>
      <c r="O158" s="50" t="s">
        <v>801</v>
      </c>
      <c r="P158" s="9" t="s">
        <v>801</v>
      </c>
    </row>
    <row r="159" spans="1:16" s="9" customFormat="1" x14ac:dyDescent="0.2">
      <c r="A159" s="219" t="s">
        <v>57</v>
      </c>
      <c r="B159" s="219" t="s">
        <v>612</v>
      </c>
      <c r="C159" s="231">
        <v>897965</v>
      </c>
      <c r="D159" s="129">
        <v>23</v>
      </c>
      <c r="E159" s="231" t="s">
        <v>673</v>
      </c>
      <c r="F159" s="129" t="s">
        <v>169</v>
      </c>
      <c r="G159" s="129" t="s">
        <v>451</v>
      </c>
      <c r="H159" s="233"/>
      <c r="I159" s="233">
        <v>0.45</v>
      </c>
      <c r="J159" s="231" t="s">
        <v>23</v>
      </c>
      <c r="K159" s="312">
        <v>28.93</v>
      </c>
      <c r="L159" s="236">
        <v>1</v>
      </c>
      <c r="M159" s="237">
        <v>1</v>
      </c>
      <c r="N159" s="46" t="s">
        <v>802</v>
      </c>
      <c r="O159" s="50" t="s">
        <v>801</v>
      </c>
      <c r="P159" s="9" t="s">
        <v>801</v>
      </c>
    </row>
    <row r="160" spans="1:16" s="9" customFormat="1" x14ac:dyDescent="0.2">
      <c r="A160" s="220" t="s">
        <v>53</v>
      </c>
      <c r="B160" s="220" t="s">
        <v>860</v>
      </c>
      <c r="C160" s="231">
        <v>898076</v>
      </c>
      <c r="D160" s="129">
        <v>23</v>
      </c>
      <c r="E160" s="259">
        <v>5900993251647</v>
      </c>
      <c r="F160" s="129" t="s">
        <v>169</v>
      </c>
      <c r="G160" s="129" t="s">
        <v>451</v>
      </c>
      <c r="H160" s="231"/>
      <c r="I160" s="274">
        <v>0.3</v>
      </c>
      <c r="J160" s="129" t="s">
        <v>23</v>
      </c>
      <c r="K160" s="312">
        <v>40.76</v>
      </c>
      <c r="L160" s="229">
        <v>1</v>
      </c>
      <c r="M160" s="237">
        <v>10</v>
      </c>
      <c r="N160" s="46" t="s">
        <v>803</v>
      </c>
      <c r="O160" s="50" t="s">
        <v>801</v>
      </c>
      <c r="P160" s="9" t="s">
        <v>801</v>
      </c>
    </row>
    <row r="161" spans="1:16" s="9" customFormat="1" x14ac:dyDescent="0.2">
      <c r="A161" s="219" t="s">
        <v>57</v>
      </c>
      <c r="B161" s="219" t="s">
        <v>2</v>
      </c>
      <c r="C161" s="129">
        <v>898140</v>
      </c>
      <c r="D161" s="129">
        <v>23</v>
      </c>
      <c r="E161" s="129" t="s">
        <v>276</v>
      </c>
      <c r="F161" s="129" t="s">
        <v>169</v>
      </c>
      <c r="G161" s="129" t="s">
        <v>451</v>
      </c>
      <c r="H161" s="269"/>
      <c r="I161" s="228">
        <v>1.05</v>
      </c>
      <c r="J161" s="129" t="s">
        <v>23</v>
      </c>
      <c r="K161" s="312">
        <v>31.85</v>
      </c>
      <c r="L161" s="229">
        <v>1</v>
      </c>
      <c r="M161" s="230">
        <v>20</v>
      </c>
      <c r="N161" s="46" t="s">
        <v>802</v>
      </c>
      <c r="O161" s="50" t="s">
        <v>801</v>
      </c>
      <c r="P161" s="9" t="s">
        <v>801</v>
      </c>
    </row>
    <row r="162" spans="1:16" s="9" customFormat="1" x14ac:dyDescent="0.2">
      <c r="A162" s="219" t="s">
        <v>57</v>
      </c>
      <c r="B162" s="219" t="s">
        <v>277</v>
      </c>
      <c r="C162" s="129">
        <v>898141</v>
      </c>
      <c r="D162" s="129">
        <v>23</v>
      </c>
      <c r="E162" s="129" t="s">
        <v>278</v>
      </c>
      <c r="F162" s="129" t="s">
        <v>169</v>
      </c>
      <c r="G162" s="129" t="s">
        <v>451</v>
      </c>
      <c r="H162" s="269"/>
      <c r="I162" s="228">
        <v>0.7</v>
      </c>
      <c r="J162" s="129" t="s">
        <v>23</v>
      </c>
      <c r="K162" s="312">
        <v>29.49</v>
      </c>
      <c r="L162" s="229">
        <v>1</v>
      </c>
      <c r="M162" s="230">
        <v>20</v>
      </c>
      <c r="N162" s="46" t="s">
        <v>802</v>
      </c>
      <c r="O162" s="50" t="s">
        <v>801</v>
      </c>
      <c r="P162" s="9" t="s">
        <v>801</v>
      </c>
    </row>
    <row r="163" spans="1:16" s="9" customFormat="1" x14ac:dyDescent="0.2">
      <c r="A163" s="219" t="s">
        <v>328</v>
      </c>
      <c r="B163" s="219" t="s">
        <v>58</v>
      </c>
      <c r="C163" s="129">
        <v>890000</v>
      </c>
      <c r="D163" s="129">
        <v>23</v>
      </c>
      <c r="E163" s="129" t="s">
        <v>218</v>
      </c>
      <c r="F163" s="129" t="s">
        <v>219</v>
      </c>
      <c r="G163" s="129" t="s">
        <v>455</v>
      </c>
      <c r="H163" s="269"/>
      <c r="I163" s="228"/>
      <c r="J163" s="129" t="s">
        <v>23</v>
      </c>
      <c r="K163" s="312">
        <v>87.25</v>
      </c>
      <c r="L163" s="229">
        <v>1</v>
      </c>
      <c r="M163" s="230">
        <v>10</v>
      </c>
      <c r="N163" s="46" t="s">
        <v>802</v>
      </c>
      <c r="O163" s="48"/>
      <c r="P163" s="9" t="s">
        <v>801</v>
      </c>
    </row>
    <row r="164" spans="1:16" s="9" customFormat="1" ht="15" x14ac:dyDescent="0.25">
      <c r="A164" s="224" t="s">
        <v>59</v>
      </c>
      <c r="B164" s="224" t="s">
        <v>704</v>
      </c>
      <c r="C164" s="275">
        <v>897716</v>
      </c>
      <c r="D164" s="276">
        <v>23</v>
      </c>
      <c r="E164" s="275" t="s">
        <v>705</v>
      </c>
      <c r="F164" s="275" t="s">
        <v>242</v>
      </c>
      <c r="G164" s="275" t="s">
        <v>462</v>
      </c>
      <c r="H164" s="275"/>
      <c r="I164" s="275">
        <v>11</v>
      </c>
      <c r="J164" s="275" t="s">
        <v>23</v>
      </c>
      <c r="K164" s="313">
        <v>349</v>
      </c>
      <c r="L164" s="277">
        <v>1</v>
      </c>
      <c r="M164" s="278">
        <v>1</v>
      </c>
      <c r="N164" s="279" t="s">
        <v>266</v>
      </c>
      <c r="O164" s="298"/>
      <c r="P164" s="9" t="s">
        <v>801</v>
      </c>
    </row>
    <row r="165" spans="1:16" s="9" customFormat="1" x14ac:dyDescent="0.2">
      <c r="A165" s="219" t="s">
        <v>59</v>
      </c>
      <c r="B165" s="219" t="s">
        <v>878</v>
      </c>
      <c r="C165" s="129">
        <v>897722</v>
      </c>
      <c r="D165" s="231">
        <v>23</v>
      </c>
      <c r="E165" s="129" t="s">
        <v>921</v>
      </c>
      <c r="F165" s="129" t="s">
        <v>242</v>
      </c>
      <c r="G165" s="129" t="s">
        <v>462</v>
      </c>
      <c r="H165" s="269"/>
      <c r="I165" s="228">
        <v>12.9</v>
      </c>
      <c r="J165" s="129" t="s">
        <v>23</v>
      </c>
      <c r="K165" s="312">
        <v>399</v>
      </c>
      <c r="L165" s="229">
        <v>1</v>
      </c>
      <c r="M165" s="230">
        <v>1</v>
      </c>
      <c r="N165" s="46" t="s">
        <v>266</v>
      </c>
      <c r="O165" s="50"/>
      <c r="P165" s="9" t="s">
        <v>801</v>
      </c>
    </row>
    <row r="166" spans="1:16" s="9" customFormat="1" x14ac:dyDescent="0.2">
      <c r="A166" s="219" t="s">
        <v>60</v>
      </c>
      <c r="B166" s="219" t="s">
        <v>229</v>
      </c>
      <c r="C166" s="129">
        <v>898099</v>
      </c>
      <c r="D166" s="231">
        <v>23</v>
      </c>
      <c r="E166" s="129" t="s">
        <v>230</v>
      </c>
      <c r="F166" s="129" t="s">
        <v>172</v>
      </c>
      <c r="G166" s="129" t="s">
        <v>457</v>
      </c>
      <c r="H166" s="228">
        <v>3</v>
      </c>
      <c r="I166" s="228">
        <v>1.8</v>
      </c>
      <c r="J166" s="129" t="s">
        <v>23</v>
      </c>
      <c r="K166" s="312">
        <v>36.68</v>
      </c>
      <c r="L166" s="229">
        <v>1</v>
      </c>
      <c r="M166" s="230">
        <v>1</v>
      </c>
      <c r="N166" s="46" t="s">
        <v>803</v>
      </c>
      <c r="O166" s="48"/>
      <c r="P166" s="9" t="s">
        <v>801</v>
      </c>
    </row>
    <row r="167" spans="1:16" s="9" customFormat="1" x14ac:dyDescent="0.2">
      <c r="A167" s="219" t="s">
        <v>60</v>
      </c>
      <c r="B167" s="219" t="s">
        <v>231</v>
      </c>
      <c r="C167" s="129">
        <v>898115</v>
      </c>
      <c r="D167" s="129">
        <v>23</v>
      </c>
      <c r="E167" s="129" t="s">
        <v>232</v>
      </c>
      <c r="F167" s="129" t="s">
        <v>172</v>
      </c>
      <c r="G167" s="129" t="s">
        <v>457</v>
      </c>
      <c r="H167" s="227">
        <v>3</v>
      </c>
      <c r="I167" s="228">
        <v>2.0699999999999998</v>
      </c>
      <c r="J167" s="129" t="s">
        <v>23</v>
      </c>
      <c r="K167" s="312">
        <v>40.26</v>
      </c>
      <c r="L167" s="229">
        <v>1</v>
      </c>
      <c r="M167" s="230">
        <v>1</v>
      </c>
      <c r="N167" s="46" t="s">
        <v>803</v>
      </c>
      <c r="O167" s="48"/>
      <c r="P167" s="9" t="s">
        <v>801</v>
      </c>
    </row>
    <row r="168" spans="1:16" s="9" customFormat="1" x14ac:dyDescent="0.2">
      <c r="A168" s="219" t="s">
        <v>60</v>
      </c>
      <c r="B168" s="219" t="s">
        <v>233</v>
      </c>
      <c r="C168" s="129">
        <v>898170</v>
      </c>
      <c r="D168" s="129">
        <v>23</v>
      </c>
      <c r="E168" s="129" t="s">
        <v>234</v>
      </c>
      <c r="F168" s="129" t="s">
        <v>172</v>
      </c>
      <c r="G168" s="129" t="s">
        <v>457</v>
      </c>
      <c r="H168" s="227">
        <v>3</v>
      </c>
      <c r="I168" s="228">
        <v>3.06</v>
      </c>
      <c r="J168" s="129" t="s">
        <v>23</v>
      </c>
      <c r="K168" s="312">
        <v>63.34</v>
      </c>
      <c r="L168" s="229">
        <v>1</v>
      </c>
      <c r="M168" s="230">
        <v>1</v>
      </c>
      <c r="N168" s="46" t="s">
        <v>803</v>
      </c>
      <c r="O168" s="48"/>
      <c r="P168" s="9" t="s">
        <v>801</v>
      </c>
    </row>
    <row r="169" spans="1:16" s="9" customFormat="1" x14ac:dyDescent="0.2">
      <c r="A169" s="219" t="s">
        <v>60</v>
      </c>
      <c r="B169" s="219" t="s">
        <v>225</v>
      </c>
      <c r="C169" s="129">
        <v>898210</v>
      </c>
      <c r="D169" s="129">
        <v>23</v>
      </c>
      <c r="E169" s="129" t="s">
        <v>226</v>
      </c>
      <c r="F169" s="129" t="s">
        <v>172</v>
      </c>
      <c r="G169" s="129" t="s">
        <v>457</v>
      </c>
      <c r="H169" s="227">
        <v>3</v>
      </c>
      <c r="I169" s="228">
        <v>3.6</v>
      </c>
      <c r="J169" s="129" t="s">
        <v>23</v>
      </c>
      <c r="K169" s="312">
        <v>74.540000000000006</v>
      </c>
      <c r="L169" s="229">
        <v>1</v>
      </c>
      <c r="M169" s="230">
        <v>1</v>
      </c>
      <c r="N169" s="46" t="s">
        <v>803</v>
      </c>
      <c r="O169" s="48"/>
      <c r="P169" s="9" t="s">
        <v>801</v>
      </c>
    </row>
    <row r="170" spans="1:16" s="9" customFormat="1" x14ac:dyDescent="0.2">
      <c r="A170" s="219" t="s">
        <v>60</v>
      </c>
      <c r="B170" s="219" t="s">
        <v>223</v>
      </c>
      <c r="C170" s="129">
        <v>898085</v>
      </c>
      <c r="D170" s="129">
        <v>23</v>
      </c>
      <c r="E170" s="129" t="s">
        <v>224</v>
      </c>
      <c r="F170" s="129" t="s">
        <v>172</v>
      </c>
      <c r="G170" s="129" t="s">
        <v>457</v>
      </c>
      <c r="H170" s="227">
        <v>3</v>
      </c>
      <c r="I170" s="228">
        <v>1.53</v>
      </c>
      <c r="J170" s="129" t="s">
        <v>23</v>
      </c>
      <c r="K170" s="312">
        <v>31.64</v>
      </c>
      <c r="L170" s="229">
        <v>1</v>
      </c>
      <c r="M170" s="230">
        <v>1</v>
      </c>
      <c r="N170" s="46" t="s">
        <v>803</v>
      </c>
      <c r="O170" s="48"/>
      <c r="P170" s="9" t="s">
        <v>801</v>
      </c>
    </row>
    <row r="171" spans="1:16" s="9" customFormat="1" x14ac:dyDescent="0.2">
      <c r="A171" s="219" t="s">
        <v>60</v>
      </c>
      <c r="B171" s="219" t="s">
        <v>227</v>
      </c>
      <c r="C171" s="129">
        <v>898175</v>
      </c>
      <c r="D171" s="129">
        <v>23</v>
      </c>
      <c r="E171" s="129" t="s">
        <v>228</v>
      </c>
      <c r="F171" s="129" t="s">
        <v>172</v>
      </c>
      <c r="G171" s="129" t="s">
        <v>457</v>
      </c>
      <c r="H171" s="227">
        <v>3</v>
      </c>
      <c r="I171" s="228">
        <v>3.06</v>
      </c>
      <c r="J171" s="129" t="s">
        <v>23</v>
      </c>
      <c r="K171" s="312">
        <v>63.34</v>
      </c>
      <c r="L171" s="229">
        <v>1</v>
      </c>
      <c r="M171" s="230">
        <v>1</v>
      </c>
      <c r="N171" s="46" t="s">
        <v>803</v>
      </c>
      <c r="O171" s="48"/>
      <c r="P171" s="9" t="s">
        <v>801</v>
      </c>
    </row>
    <row r="172" spans="1:16" s="9" customFormat="1" x14ac:dyDescent="0.2">
      <c r="A172" s="219" t="s">
        <v>811</v>
      </c>
      <c r="B172" s="219" t="s">
        <v>712</v>
      </c>
      <c r="C172" s="129">
        <v>620414</v>
      </c>
      <c r="D172" s="129">
        <v>23</v>
      </c>
      <c r="E172" s="129" t="s">
        <v>812</v>
      </c>
      <c r="F172" s="129" t="s">
        <v>169</v>
      </c>
      <c r="G172" s="129" t="s">
        <v>451</v>
      </c>
      <c r="H172" s="227">
        <v>1.5</v>
      </c>
      <c r="I172" s="228">
        <v>0.18</v>
      </c>
      <c r="J172" s="129" t="s">
        <v>23</v>
      </c>
      <c r="K172" s="312">
        <v>4.8899999999999997</v>
      </c>
      <c r="L172" s="229">
        <v>1</v>
      </c>
      <c r="M172" s="230">
        <v>8</v>
      </c>
      <c r="N172" s="46" t="s">
        <v>803</v>
      </c>
      <c r="O172" s="48" t="s">
        <v>801</v>
      </c>
      <c r="P172" s="9" t="s">
        <v>801</v>
      </c>
    </row>
    <row r="173" spans="1:16" s="9" customFormat="1" x14ac:dyDescent="0.2">
      <c r="A173" s="220" t="s">
        <v>62</v>
      </c>
      <c r="B173" s="220" t="s">
        <v>445</v>
      </c>
      <c r="C173" s="231">
        <v>858022</v>
      </c>
      <c r="D173" s="231">
        <v>23</v>
      </c>
      <c r="E173" s="231" t="s">
        <v>458</v>
      </c>
      <c r="F173" s="231" t="s">
        <v>169</v>
      </c>
      <c r="G173" s="129" t="s">
        <v>451</v>
      </c>
      <c r="H173" s="250">
        <v>3</v>
      </c>
      <c r="I173" s="246">
        <v>0.08</v>
      </c>
      <c r="J173" s="231" t="s">
        <v>23</v>
      </c>
      <c r="K173" s="312">
        <v>4.5</v>
      </c>
      <c r="L173" s="236">
        <v>1</v>
      </c>
      <c r="M173" s="237">
        <v>50</v>
      </c>
      <c r="N173" s="46" t="s">
        <v>802</v>
      </c>
      <c r="O173" s="50" t="s">
        <v>801</v>
      </c>
      <c r="P173" s="9" t="s">
        <v>801</v>
      </c>
    </row>
    <row r="174" spans="1:16" s="9" customFormat="1" x14ac:dyDescent="0.2">
      <c r="A174" s="219" t="s">
        <v>61</v>
      </c>
      <c r="B174" s="219" t="s">
        <v>853</v>
      </c>
      <c r="C174" s="129">
        <v>620415</v>
      </c>
      <c r="D174" s="129">
        <v>23</v>
      </c>
      <c r="E174" s="129" t="s">
        <v>914</v>
      </c>
      <c r="F174" s="129" t="s">
        <v>169</v>
      </c>
      <c r="G174" s="129" t="s">
        <v>451</v>
      </c>
      <c r="H174" s="227">
        <v>2</v>
      </c>
      <c r="I174" s="228">
        <v>0.26</v>
      </c>
      <c r="J174" s="129" t="s">
        <v>23</v>
      </c>
      <c r="K174" s="312">
        <v>8.33</v>
      </c>
      <c r="L174" s="229">
        <v>1</v>
      </c>
      <c r="M174" s="230">
        <v>50</v>
      </c>
      <c r="N174" s="46" t="s">
        <v>802</v>
      </c>
      <c r="O174" s="50" t="s">
        <v>801</v>
      </c>
      <c r="P174" s="9" t="s">
        <v>801</v>
      </c>
    </row>
    <row r="175" spans="1:16" s="9" customFormat="1" x14ac:dyDescent="0.2">
      <c r="A175" s="220" t="s">
        <v>61</v>
      </c>
      <c r="B175" s="220" t="s">
        <v>1113</v>
      </c>
      <c r="C175" s="231">
        <v>850154</v>
      </c>
      <c r="D175" s="231">
        <v>23</v>
      </c>
      <c r="E175" s="231" t="s">
        <v>1114</v>
      </c>
      <c r="F175" s="129" t="s">
        <v>169</v>
      </c>
      <c r="G175" s="129" t="s">
        <v>451</v>
      </c>
      <c r="H175" s="250">
        <v>3</v>
      </c>
      <c r="I175" s="246">
        <v>0.18</v>
      </c>
      <c r="J175" s="231" t="s">
        <v>23</v>
      </c>
      <c r="K175" s="312">
        <v>14.98</v>
      </c>
      <c r="L175" s="257">
        <v>1</v>
      </c>
      <c r="M175" s="258">
        <v>20</v>
      </c>
      <c r="N175" s="46" t="s">
        <v>802</v>
      </c>
      <c r="O175" s="50" t="s">
        <v>801</v>
      </c>
      <c r="P175" s="9" t="s">
        <v>801</v>
      </c>
    </row>
    <row r="176" spans="1:16" s="9" customFormat="1" x14ac:dyDescent="0.2">
      <c r="A176" s="219" t="s">
        <v>61</v>
      </c>
      <c r="B176" s="219" t="s">
        <v>1111</v>
      </c>
      <c r="C176" s="231">
        <v>850252</v>
      </c>
      <c r="D176" s="129">
        <v>23</v>
      </c>
      <c r="E176" s="244" t="s">
        <v>1112</v>
      </c>
      <c r="F176" s="129" t="s">
        <v>169</v>
      </c>
      <c r="G176" s="129" t="s">
        <v>451</v>
      </c>
      <c r="H176" s="232">
        <v>4</v>
      </c>
      <c r="I176" s="233">
        <v>0.45</v>
      </c>
      <c r="J176" s="231" t="s">
        <v>23</v>
      </c>
      <c r="K176" s="312">
        <v>6.06</v>
      </c>
      <c r="L176" s="236">
        <v>1</v>
      </c>
      <c r="M176" s="237">
        <v>30</v>
      </c>
      <c r="N176" s="46" t="s">
        <v>802</v>
      </c>
      <c r="O176" s="50" t="s">
        <v>801</v>
      </c>
      <c r="P176" s="9" t="s">
        <v>801</v>
      </c>
    </row>
    <row r="177" spans="1:16" s="9" customFormat="1" x14ac:dyDescent="0.2">
      <c r="A177" s="219" t="s">
        <v>61</v>
      </c>
      <c r="B177" s="219" t="s">
        <v>986</v>
      </c>
      <c r="C177" s="231">
        <v>890218</v>
      </c>
      <c r="D177" s="129">
        <v>23</v>
      </c>
      <c r="E177" s="244" t="s">
        <v>987</v>
      </c>
      <c r="F177" s="129" t="s">
        <v>169</v>
      </c>
      <c r="G177" s="129" t="s">
        <v>451</v>
      </c>
      <c r="H177" s="232">
        <v>3</v>
      </c>
      <c r="I177" s="233">
        <v>0.15</v>
      </c>
      <c r="J177" s="231" t="s">
        <v>23</v>
      </c>
      <c r="K177" s="312">
        <v>6.14</v>
      </c>
      <c r="L177" s="236">
        <v>1</v>
      </c>
      <c r="M177" s="237">
        <v>50</v>
      </c>
      <c r="N177" s="46" t="s">
        <v>802</v>
      </c>
      <c r="O177" s="50" t="s">
        <v>801</v>
      </c>
      <c r="P177" s="9" t="s">
        <v>801</v>
      </c>
    </row>
    <row r="178" spans="1:16" s="9" customFormat="1" x14ac:dyDescent="0.2">
      <c r="A178" s="219" t="s">
        <v>61</v>
      </c>
      <c r="B178" s="219" t="s">
        <v>700</v>
      </c>
      <c r="C178" s="129">
        <v>856107</v>
      </c>
      <c r="D178" s="129">
        <v>23</v>
      </c>
      <c r="E178" s="129" t="s">
        <v>821</v>
      </c>
      <c r="F178" s="129" t="s">
        <v>169</v>
      </c>
      <c r="G178" s="129" t="s">
        <v>451</v>
      </c>
      <c r="H178" s="227">
        <v>3</v>
      </c>
      <c r="I178" s="228">
        <v>2.46</v>
      </c>
      <c r="J178" s="129" t="s">
        <v>23</v>
      </c>
      <c r="K178" s="312">
        <v>26.44</v>
      </c>
      <c r="L178" s="229">
        <v>1</v>
      </c>
      <c r="M178" s="230">
        <v>10</v>
      </c>
      <c r="N178" s="46" t="s">
        <v>803</v>
      </c>
      <c r="O178" s="50" t="s">
        <v>801</v>
      </c>
      <c r="P178" s="9" t="s">
        <v>801</v>
      </c>
    </row>
    <row r="179" spans="1:16" s="9" customFormat="1" x14ac:dyDescent="0.2">
      <c r="A179" s="220" t="s">
        <v>807</v>
      </c>
      <c r="B179" s="220" t="s">
        <v>779</v>
      </c>
      <c r="C179" s="231">
        <v>856105</v>
      </c>
      <c r="D179" s="231">
        <v>23</v>
      </c>
      <c r="E179" s="231" t="s">
        <v>808</v>
      </c>
      <c r="F179" s="231" t="s">
        <v>169</v>
      </c>
      <c r="G179" s="129" t="s">
        <v>451</v>
      </c>
      <c r="H179" s="250">
        <v>2</v>
      </c>
      <c r="I179" s="246">
        <v>2.2999999999999998</v>
      </c>
      <c r="J179" s="231" t="s">
        <v>23</v>
      </c>
      <c r="K179" s="312">
        <v>21.81</v>
      </c>
      <c r="L179" s="236">
        <v>1</v>
      </c>
      <c r="M179" s="237">
        <v>10</v>
      </c>
      <c r="N179" s="46" t="s">
        <v>803</v>
      </c>
      <c r="O179" s="50" t="s">
        <v>801</v>
      </c>
      <c r="P179" s="9" t="s">
        <v>801</v>
      </c>
    </row>
    <row r="180" spans="1:16" s="9" customFormat="1" x14ac:dyDescent="0.2">
      <c r="A180" s="220" t="s">
        <v>61</v>
      </c>
      <c r="B180" s="220" t="s">
        <v>819</v>
      </c>
      <c r="C180" s="231">
        <v>856106</v>
      </c>
      <c r="D180" s="231">
        <v>23</v>
      </c>
      <c r="E180" s="231" t="s">
        <v>820</v>
      </c>
      <c r="F180" s="231" t="s">
        <v>169</v>
      </c>
      <c r="G180" s="129" t="s">
        <v>451</v>
      </c>
      <c r="H180" s="250">
        <v>2</v>
      </c>
      <c r="I180" s="246">
        <v>2.2999999999999998</v>
      </c>
      <c r="J180" s="231" t="s">
        <v>23</v>
      </c>
      <c r="K180" s="312">
        <v>21.81</v>
      </c>
      <c r="L180" s="236">
        <v>1</v>
      </c>
      <c r="M180" s="237">
        <v>10</v>
      </c>
      <c r="N180" s="46" t="s">
        <v>803</v>
      </c>
      <c r="O180" s="50" t="s">
        <v>801</v>
      </c>
      <c r="P180" s="9" t="s">
        <v>801</v>
      </c>
    </row>
    <row r="181" spans="1:16" s="9" customFormat="1" x14ac:dyDescent="0.2">
      <c r="A181" s="220" t="s">
        <v>621</v>
      </c>
      <c r="B181" s="220" t="s">
        <v>622</v>
      </c>
      <c r="C181" s="231">
        <v>895004</v>
      </c>
      <c r="D181" s="231">
        <v>23</v>
      </c>
      <c r="E181" s="231" t="s">
        <v>661</v>
      </c>
      <c r="F181" s="231" t="s">
        <v>169</v>
      </c>
      <c r="G181" s="129" t="s">
        <v>451</v>
      </c>
      <c r="H181" s="250">
        <v>2</v>
      </c>
      <c r="I181" s="246">
        <v>0.45</v>
      </c>
      <c r="J181" s="231" t="s">
        <v>23</v>
      </c>
      <c r="K181" s="312">
        <v>14.98</v>
      </c>
      <c r="L181" s="229">
        <v>1</v>
      </c>
      <c r="M181" s="237">
        <v>10</v>
      </c>
      <c r="N181" s="46" t="s">
        <v>802</v>
      </c>
      <c r="O181" s="50" t="s">
        <v>801</v>
      </c>
      <c r="P181" s="9" t="s">
        <v>801</v>
      </c>
    </row>
    <row r="182" spans="1:16" s="9" customFormat="1" x14ac:dyDescent="0.2">
      <c r="A182" s="219" t="s">
        <v>573</v>
      </c>
      <c r="B182" s="242" t="s">
        <v>521</v>
      </c>
      <c r="C182" s="231">
        <v>890630</v>
      </c>
      <c r="D182" s="129">
        <v>23</v>
      </c>
      <c r="E182" s="231" t="s">
        <v>662</v>
      </c>
      <c r="F182" s="129" t="s">
        <v>169</v>
      </c>
      <c r="G182" s="129" t="s">
        <v>451</v>
      </c>
      <c r="H182" s="232">
        <v>1.5</v>
      </c>
      <c r="I182" s="233">
        <v>0.03</v>
      </c>
      <c r="J182" s="231" t="s">
        <v>23</v>
      </c>
      <c r="K182" s="312">
        <v>2.92</v>
      </c>
      <c r="L182" s="229">
        <v>1</v>
      </c>
      <c r="M182" s="237">
        <v>100</v>
      </c>
      <c r="N182" s="46" t="s">
        <v>802</v>
      </c>
      <c r="O182" s="50" t="s">
        <v>801</v>
      </c>
      <c r="P182" s="9" t="s">
        <v>801</v>
      </c>
    </row>
    <row r="183" spans="1:16" s="9" customFormat="1" x14ac:dyDescent="0.2">
      <c r="A183" s="219" t="s">
        <v>73</v>
      </c>
      <c r="B183" s="242" t="s">
        <v>408</v>
      </c>
      <c r="C183" s="231">
        <v>890512</v>
      </c>
      <c r="D183" s="129">
        <v>23</v>
      </c>
      <c r="E183" s="231" t="s">
        <v>459</v>
      </c>
      <c r="F183" s="129" t="s">
        <v>169</v>
      </c>
      <c r="G183" s="129" t="s">
        <v>451</v>
      </c>
      <c r="H183" s="232">
        <v>1.5</v>
      </c>
      <c r="I183" s="233">
        <v>0.06</v>
      </c>
      <c r="J183" s="231" t="s">
        <v>23</v>
      </c>
      <c r="K183" s="312">
        <v>4.28</v>
      </c>
      <c r="L183" s="229">
        <v>1</v>
      </c>
      <c r="M183" s="237">
        <v>100</v>
      </c>
      <c r="N183" s="46" t="s">
        <v>802</v>
      </c>
      <c r="O183" s="50" t="s">
        <v>801</v>
      </c>
      <c r="P183" s="9" t="s">
        <v>801</v>
      </c>
    </row>
    <row r="184" spans="1:16" s="9" customFormat="1" x14ac:dyDescent="0.2">
      <c r="A184" s="219" t="s">
        <v>63</v>
      </c>
      <c r="B184" s="219" t="s">
        <v>14</v>
      </c>
      <c r="C184" s="129">
        <v>600909</v>
      </c>
      <c r="D184" s="129">
        <v>23</v>
      </c>
      <c r="E184" s="129" t="s">
        <v>245</v>
      </c>
      <c r="F184" s="129" t="s">
        <v>242</v>
      </c>
      <c r="G184" s="129" t="s">
        <v>452</v>
      </c>
      <c r="H184" s="227"/>
      <c r="I184" s="228">
        <v>0.01</v>
      </c>
      <c r="J184" s="129" t="s">
        <v>23</v>
      </c>
      <c r="K184" s="312">
        <v>0.6</v>
      </c>
      <c r="L184" s="229">
        <v>1</v>
      </c>
      <c r="M184" s="230">
        <v>200</v>
      </c>
      <c r="N184" s="46" t="s">
        <v>802</v>
      </c>
      <c r="O184" s="50"/>
      <c r="P184" s="9" t="s">
        <v>801</v>
      </c>
    </row>
    <row r="185" spans="1:16" s="9" customFormat="1" x14ac:dyDescent="0.2">
      <c r="A185" s="219" t="s">
        <v>64</v>
      </c>
      <c r="B185" s="219" t="s">
        <v>65</v>
      </c>
      <c r="C185" s="129">
        <v>890009</v>
      </c>
      <c r="D185" s="129">
        <v>23</v>
      </c>
      <c r="E185" s="129" t="s">
        <v>241</v>
      </c>
      <c r="F185" s="129" t="s">
        <v>242</v>
      </c>
      <c r="G185" s="129" t="s">
        <v>460</v>
      </c>
      <c r="H185" s="269"/>
      <c r="I185" s="228">
        <v>0.99</v>
      </c>
      <c r="J185" s="129" t="s">
        <v>66</v>
      </c>
      <c r="K185" s="312">
        <v>46.15</v>
      </c>
      <c r="L185" s="229">
        <v>1</v>
      </c>
      <c r="M185" s="230">
        <v>100</v>
      </c>
      <c r="N185" s="46" t="s">
        <v>802</v>
      </c>
      <c r="O185" s="48"/>
      <c r="P185" s="9" t="s">
        <v>801</v>
      </c>
    </row>
    <row r="186" spans="1:16" s="9" customFormat="1" x14ac:dyDescent="0.2">
      <c r="A186" s="219" t="s">
        <v>1002</v>
      </c>
      <c r="B186" s="219" t="s">
        <v>694</v>
      </c>
      <c r="C186" s="129">
        <v>6500451</v>
      </c>
      <c r="D186" s="129">
        <v>23</v>
      </c>
      <c r="E186" s="129" t="s">
        <v>1003</v>
      </c>
      <c r="F186" s="129" t="s">
        <v>242</v>
      </c>
      <c r="G186" s="129" t="s">
        <v>460</v>
      </c>
      <c r="H186" s="269"/>
      <c r="I186" s="228"/>
      <c r="J186" s="129" t="s">
        <v>66</v>
      </c>
      <c r="K186" s="312">
        <v>14.29</v>
      </c>
      <c r="L186" s="229">
        <v>1</v>
      </c>
      <c r="M186" s="230">
        <v>1</v>
      </c>
      <c r="N186" s="46" t="s">
        <v>802</v>
      </c>
      <c r="O186" s="48"/>
      <c r="P186" s="9" t="s">
        <v>801</v>
      </c>
    </row>
    <row r="187" spans="1:16" s="9" customFormat="1" x14ac:dyDescent="0.2">
      <c r="A187" s="219" t="s">
        <v>64</v>
      </c>
      <c r="B187" s="219" t="s">
        <v>67</v>
      </c>
      <c r="C187" s="129">
        <v>890008</v>
      </c>
      <c r="D187" s="129">
        <v>23</v>
      </c>
      <c r="E187" s="280" t="s">
        <v>243</v>
      </c>
      <c r="F187" s="129" t="s">
        <v>242</v>
      </c>
      <c r="G187" s="129" t="s">
        <v>460</v>
      </c>
      <c r="H187" s="269"/>
      <c r="I187" s="228">
        <v>0.53</v>
      </c>
      <c r="J187" s="129" t="s">
        <v>66</v>
      </c>
      <c r="K187" s="312">
        <v>28.15</v>
      </c>
      <c r="L187" s="229">
        <v>1</v>
      </c>
      <c r="M187" s="237">
        <v>100</v>
      </c>
      <c r="N187" s="46" t="s">
        <v>802</v>
      </c>
      <c r="O187" s="48"/>
      <c r="P187" s="9" t="s">
        <v>801</v>
      </c>
    </row>
    <row r="188" spans="1:16" s="9" customFormat="1" x14ac:dyDescent="0.2">
      <c r="A188" s="219" t="s">
        <v>235</v>
      </c>
      <c r="B188" s="219" t="s">
        <v>236</v>
      </c>
      <c r="C188" s="129">
        <v>890403</v>
      </c>
      <c r="D188" s="129">
        <v>23</v>
      </c>
      <c r="E188" s="129" t="s">
        <v>237</v>
      </c>
      <c r="F188" s="129" t="s">
        <v>238</v>
      </c>
      <c r="G188" s="129" t="s">
        <v>505</v>
      </c>
      <c r="H188" s="269"/>
      <c r="I188" s="228">
        <v>0.05</v>
      </c>
      <c r="J188" s="129" t="s">
        <v>23</v>
      </c>
      <c r="K188" s="312">
        <v>0.59</v>
      </c>
      <c r="L188" s="229">
        <v>1</v>
      </c>
      <c r="M188" s="230">
        <v>100</v>
      </c>
      <c r="N188" s="46" t="s">
        <v>802</v>
      </c>
      <c r="O188" s="48"/>
      <c r="P188" s="9" t="s">
        <v>801</v>
      </c>
    </row>
    <row r="189" spans="1:16" s="9" customFormat="1" x14ac:dyDescent="0.2">
      <c r="A189" s="219" t="s">
        <v>235</v>
      </c>
      <c r="B189" s="219" t="s">
        <v>239</v>
      </c>
      <c r="C189" s="129">
        <v>890401</v>
      </c>
      <c r="D189" s="129">
        <v>23</v>
      </c>
      <c r="E189" s="129" t="s">
        <v>240</v>
      </c>
      <c r="F189" s="129" t="s">
        <v>238</v>
      </c>
      <c r="G189" s="129" t="s">
        <v>505</v>
      </c>
      <c r="H189" s="269"/>
      <c r="I189" s="228">
        <v>0.05</v>
      </c>
      <c r="J189" s="129" t="s">
        <v>23</v>
      </c>
      <c r="K189" s="312">
        <v>0.59</v>
      </c>
      <c r="L189" s="229">
        <v>1</v>
      </c>
      <c r="M189" s="230">
        <v>100</v>
      </c>
      <c r="N189" s="46" t="s">
        <v>802</v>
      </c>
      <c r="O189" s="48"/>
      <c r="P189" s="9" t="s">
        <v>801</v>
      </c>
    </row>
    <row r="190" spans="1:16" s="9" customFormat="1" x14ac:dyDescent="0.2">
      <c r="A190" s="219" t="s">
        <v>804</v>
      </c>
      <c r="B190" s="219" t="s">
        <v>805</v>
      </c>
      <c r="C190" s="129">
        <v>890504</v>
      </c>
      <c r="D190" s="129">
        <v>23</v>
      </c>
      <c r="E190" s="129" t="s">
        <v>806</v>
      </c>
      <c r="F190" s="129" t="s">
        <v>238</v>
      </c>
      <c r="G190" s="129" t="s">
        <v>780</v>
      </c>
      <c r="H190" s="269"/>
      <c r="I190" s="228">
        <v>0.03</v>
      </c>
      <c r="J190" s="129" t="s">
        <v>23</v>
      </c>
      <c r="K190" s="312">
        <v>4.58</v>
      </c>
      <c r="L190" s="229">
        <v>1</v>
      </c>
      <c r="M190" s="230">
        <v>100</v>
      </c>
      <c r="N190" s="46" t="s">
        <v>802</v>
      </c>
      <c r="O190" s="48"/>
      <c r="P190" s="9" t="s">
        <v>801</v>
      </c>
    </row>
    <row r="191" spans="1:16" s="9" customFormat="1" x14ac:dyDescent="0.2">
      <c r="A191" s="220" t="s">
        <v>235</v>
      </c>
      <c r="B191" s="220" t="s">
        <v>396</v>
      </c>
      <c r="C191" s="231">
        <v>890404</v>
      </c>
      <c r="D191" s="231">
        <v>23</v>
      </c>
      <c r="E191" s="231" t="s">
        <v>397</v>
      </c>
      <c r="F191" s="231" t="s">
        <v>238</v>
      </c>
      <c r="G191" s="231" t="s">
        <v>505</v>
      </c>
      <c r="H191" s="246"/>
      <c r="I191" s="246"/>
      <c r="J191" s="129" t="s">
        <v>23</v>
      </c>
      <c r="K191" s="312">
        <v>0.7</v>
      </c>
      <c r="L191" s="236">
        <v>1</v>
      </c>
      <c r="M191" s="237">
        <v>100</v>
      </c>
      <c r="N191" s="46" t="s">
        <v>802</v>
      </c>
      <c r="O191" s="50"/>
      <c r="P191" s="9" t="s">
        <v>801</v>
      </c>
    </row>
    <row r="192" spans="1:16" s="9" customFormat="1" x14ac:dyDescent="0.2">
      <c r="A192" s="219" t="s">
        <v>614</v>
      </c>
      <c r="B192" s="219" t="s">
        <v>849</v>
      </c>
      <c r="C192" s="129">
        <v>660246</v>
      </c>
      <c r="D192" s="129">
        <v>23</v>
      </c>
      <c r="E192" s="129" t="s">
        <v>915</v>
      </c>
      <c r="F192" s="129" t="s">
        <v>169</v>
      </c>
      <c r="G192" s="129" t="s">
        <v>451</v>
      </c>
      <c r="H192" s="267"/>
      <c r="I192" s="228">
        <v>0.01</v>
      </c>
      <c r="J192" s="129" t="s">
        <v>23</v>
      </c>
      <c r="K192" s="312">
        <v>1.56</v>
      </c>
      <c r="L192" s="229">
        <v>1</v>
      </c>
      <c r="M192" s="234">
        <v>100</v>
      </c>
      <c r="N192" s="46" t="s">
        <v>802</v>
      </c>
      <c r="O192" s="48" t="s">
        <v>801</v>
      </c>
      <c r="P192" s="9" t="s">
        <v>801</v>
      </c>
    </row>
    <row r="193" spans="1:16" s="9" customFormat="1" x14ac:dyDescent="0.2">
      <c r="A193" s="219" t="s">
        <v>614</v>
      </c>
      <c r="B193" s="220" t="s">
        <v>525</v>
      </c>
      <c r="C193" s="231">
        <v>660245</v>
      </c>
      <c r="D193" s="231">
        <v>23</v>
      </c>
      <c r="E193" s="231" t="s">
        <v>663</v>
      </c>
      <c r="F193" s="129" t="s">
        <v>169</v>
      </c>
      <c r="G193" s="129" t="s">
        <v>451</v>
      </c>
      <c r="H193" s="274"/>
      <c r="I193" s="246"/>
      <c r="J193" s="231" t="s">
        <v>23</v>
      </c>
      <c r="K193" s="312">
        <v>1.56</v>
      </c>
      <c r="L193" s="257">
        <v>1</v>
      </c>
      <c r="M193" s="237">
        <v>100</v>
      </c>
      <c r="N193" s="46" t="s">
        <v>802</v>
      </c>
      <c r="O193" s="50" t="s">
        <v>801</v>
      </c>
      <c r="P193" s="9" t="s">
        <v>801</v>
      </c>
    </row>
    <row r="194" spans="1:16" s="9" customFormat="1" x14ac:dyDescent="0.2">
      <c r="A194" s="219" t="s">
        <v>68</v>
      </c>
      <c r="B194" s="220" t="s">
        <v>8</v>
      </c>
      <c r="C194" s="231">
        <v>650146</v>
      </c>
      <c r="D194" s="129">
        <v>23</v>
      </c>
      <c r="E194" s="231" t="s">
        <v>244</v>
      </c>
      <c r="F194" s="129" t="s">
        <v>242</v>
      </c>
      <c r="G194" s="129" t="s">
        <v>460</v>
      </c>
      <c r="H194" s="233"/>
      <c r="I194" s="233">
        <v>0.31</v>
      </c>
      <c r="J194" s="231" t="s">
        <v>66</v>
      </c>
      <c r="K194" s="312">
        <v>32.65</v>
      </c>
      <c r="L194" s="229">
        <v>1</v>
      </c>
      <c r="M194" s="237">
        <v>100</v>
      </c>
      <c r="N194" s="46" t="s">
        <v>802</v>
      </c>
      <c r="O194" s="50"/>
      <c r="P194" s="9" t="s">
        <v>801</v>
      </c>
    </row>
    <row r="195" spans="1:16" s="9" customFormat="1" x14ac:dyDescent="0.2">
      <c r="A195" s="219" t="s">
        <v>70</v>
      </c>
      <c r="B195" s="219" t="s">
        <v>516</v>
      </c>
      <c r="C195" s="129">
        <v>893210</v>
      </c>
      <c r="D195" s="129">
        <v>23</v>
      </c>
      <c r="E195" s="129" t="s">
        <v>680</v>
      </c>
      <c r="F195" s="129" t="s">
        <v>172</v>
      </c>
      <c r="G195" s="129" t="s">
        <v>452</v>
      </c>
      <c r="H195" s="269"/>
      <c r="I195" s="228">
        <v>0.82</v>
      </c>
      <c r="J195" s="129" t="s">
        <v>23</v>
      </c>
      <c r="K195" s="312">
        <v>26.49</v>
      </c>
      <c r="L195" s="229">
        <v>1</v>
      </c>
      <c r="M195" s="230">
        <v>1</v>
      </c>
      <c r="N195" s="46" t="s">
        <v>802</v>
      </c>
      <c r="O195" s="48"/>
      <c r="P195" s="9" t="s">
        <v>801</v>
      </c>
    </row>
    <row r="196" spans="1:16" s="9" customFormat="1" x14ac:dyDescent="0.2">
      <c r="A196" s="224" t="s">
        <v>70</v>
      </c>
      <c r="B196" s="224" t="s">
        <v>517</v>
      </c>
      <c r="C196" s="275">
        <v>893221</v>
      </c>
      <c r="D196" s="275">
        <v>23</v>
      </c>
      <c r="E196" s="275" t="s">
        <v>822</v>
      </c>
      <c r="F196" s="276" t="s">
        <v>172</v>
      </c>
      <c r="G196" s="276" t="s">
        <v>452</v>
      </c>
      <c r="H196" s="281"/>
      <c r="I196" s="282">
        <v>1.5</v>
      </c>
      <c r="J196" s="275" t="s">
        <v>23</v>
      </c>
      <c r="K196" s="313">
        <v>48.49</v>
      </c>
      <c r="L196" s="283">
        <v>1</v>
      </c>
      <c r="M196" s="278">
        <v>1</v>
      </c>
      <c r="N196" s="284" t="s">
        <v>802</v>
      </c>
      <c r="O196" s="299"/>
      <c r="P196" s="9" t="s">
        <v>801</v>
      </c>
    </row>
    <row r="197" spans="1:16" s="9" customFormat="1" x14ac:dyDescent="0.2">
      <c r="A197" s="224" t="s">
        <v>70</v>
      </c>
      <c r="B197" s="224" t="s">
        <v>518</v>
      </c>
      <c r="C197" s="275">
        <v>893222</v>
      </c>
      <c r="D197" s="275">
        <v>23</v>
      </c>
      <c r="E197" s="275" t="s">
        <v>681</v>
      </c>
      <c r="F197" s="276" t="s">
        <v>172</v>
      </c>
      <c r="G197" s="276" t="s">
        <v>452</v>
      </c>
      <c r="H197" s="281"/>
      <c r="I197" s="282">
        <v>1.57</v>
      </c>
      <c r="J197" s="275" t="s">
        <v>23</v>
      </c>
      <c r="K197" s="313">
        <v>51.59</v>
      </c>
      <c r="L197" s="283">
        <v>1</v>
      </c>
      <c r="M197" s="278">
        <v>1</v>
      </c>
      <c r="N197" s="284" t="s">
        <v>802</v>
      </c>
      <c r="O197" s="299"/>
      <c r="P197" s="9" t="s">
        <v>801</v>
      </c>
    </row>
    <row r="198" spans="1:16" s="9" customFormat="1" x14ac:dyDescent="0.2">
      <c r="A198" s="224" t="s">
        <v>70</v>
      </c>
      <c r="B198" s="224" t="s">
        <v>519</v>
      </c>
      <c r="C198" s="275">
        <v>893231</v>
      </c>
      <c r="D198" s="275">
        <v>23</v>
      </c>
      <c r="E198" s="275" t="s">
        <v>682</v>
      </c>
      <c r="F198" s="276" t="s">
        <v>172</v>
      </c>
      <c r="G198" s="276" t="s">
        <v>452</v>
      </c>
      <c r="H198" s="281"/>
      <c r="I198" s="282">
        <v>2.25</v>
      </c>
      <c r="J198" s="275" t="s">
        <v>23</v>
      </c>
      <c r="K198" s="313">
        <v>72.69</v>
      </c>
      <c r="L198" s="283">
        <v>1</v>
      </c>
      <c r="M198" s="278">
        <v>1</v>
      </c>
      <c r="N198" s="284" t="s">
        <v>802</v>
      </c>
      <c r="O198" s="299"/>
      <c r="P198" s="9" t="s">
        <v>801</v>
      </c>
    </row>
    <row r="199" spans="1:16" s="9" customFormat="1" x14ac:dyDescent="0.2">
      <c r="A199" s="224" t="s">
        <v>70</v>
      </c>
      <c r="B199" s="224" t="s">
        <v>520</v>
      </c>
      <c r="C199" s="275">
        <v>893233</v>
      </c>
      <c r="D199" s="275">
        <v>23</v>
      </c>
      <c r="E199" s="275" t="s">
        <v>683</v>
      </c>
      <c r="F199" s="276" t="s">
        <v>172</v>
      </c>
      <c r="G199" s="276" t="s">
        <v>452</v>
      </c>
      <c r="H199" s="281"/>
      <c r="I199" s="282">
        <v>2.36</v>
      </c>
      <c r="J199" s="275" t="s">
        <v>23</v>
      </c>
      <c r="K199" s="313">
        <v>76.19</v>
      </c>
      <c r="L199" s="277">
        <v>1</v>
      </c>
      <c r="M199" s="278">
        <v>1</v>
      </c>
      <c r="N199" s="284" t="s">
        <v>802</v>
      </c>
      <c r="O199" s="299"/>
      <c r="P199" s="9" t="s">
        <v>801</v>
      </c>
    </row>
    <row r="200" spans="1:16" s="9" customFormat="1" x14ac:dyDescent="0.2">
      <c r="A200" s="224" t="s">
        <v>70</v>
      </c>
      <c r="B200" s="224" t="s">
        <v>1030</v>
      </c>
      <c r="C200" s="275">
        <v>894266</v>
      </c>
      <c r="D200" s="275">
        <v>23</v>
      </c>
      <c r="E200" s="275" t="s">
        <v>1031</v>
      </c>
      <c r="F200" s="276" t="s">
        <v>172</v>
      </c>
      <c r="G200" s="276" t="s">
        <v>452</v>
      </c>
      <c r="H200" s="281">
        <v>1.5</v>
      </c>
      <c r="I200" s="282">
        <v>18.3</v>
      </c>
      <c r="J200" s="275" t="s">
        <v>23</v>
      </c>
      <c r="K200" s="313">
        <v>544.5</v>
      </c>
      <c r="L200" s="277">
        <v>1</v>
      </c>
      <c r="M200" s="278">
        <v>1</v>
      </c>
      <c r="N200" s="284" t="s">
        <v>802</v>
      </c>
      <c r="O200" s="299"/>
      <c r="P200" s="9" t="s">
        <v>801</v>
      </c>
    </row>
    <row r="201" spans="1:16" s="9" customFormat="1" x14ac:dyDescent="0.2">
      <c r="A201" s="224" t="s">
        <v>70</v>
      </c>
      <c r="B201" s="224" t="s">
        <v>991</v>
      </c>
      <c r="C201" s="275">
        <v>894504</v>
      </c>
      <c r="D201" s="275">
        <v>23</v>
      </c>
      <c r="E201" s="275" t="s">
        <v>992</v>
      </c>
      <c r="F201" s="276" t="s">
        <v>172</v>
      </c>
      <c r="G201" s="276" t="s">
        <v>452</v>
      </c>
      <c r="H201" s="281">
        <v>1.5</v>
      </c>
      <c r="I201" s="282">
        <v>0.38</v>
      </c>
      <c r="J201" s="275" t="s">
        <v>23</v>
      </c>
      <c r="K201" s="313">
        <v>12.8</v>
      </c>
      <c r="L201" s="277">
        <v>1</v>
      </c>
      <c r="M201" s="278">
        <v>1</v>
      </c>
      <c r="N201" s="284" t="s">
        <v>802</v>
      </c>
      <c r="O201" s="299"/>
      <c r="P201" s="9" t="s">
        <v>801</v>
      </c>
    </row>
    <row r="202" spans="1:16" s="9" customFormat="1" x14ac:dyDescent="0.2">
      <c r="A202" s="224" t="s">
        <v>70</v>
      </c>
      <c r="B202" s="224" t="s">
        <v>126</v>
      </c>
      <c r="C202" s="275">
        <v>894510</v>
      </c>
      <c r="D202" s="275">
        <v>23</v>
      </c>
      <c r="E202" s="275" t="s">
        <v>344</v>
      </c>
      <c r="F202" s="276" t="s">
        <v>172</v>
      </c>
      <c r="G202" s="276" t="s">
        <v>452</v>
      </c>
      <c r="H202" s="281">
        <v>1.5</v>
      </c>
      <c r="I202" s="282">
        <v>1.08</v>
      </c>
      <c r="J202" s="275" t="s">
        <v>23</v>
      </c>
      <c r="K202" s="313">
        <v>36.799999999999997</v>
      </c>
      <c r="L202" s="277">
        <v>1</v>
      </c>
      <c r="M202" s="278">
        <v>1</v>
      </c>
      <c r="N202" s="284" t="s">
        <v>802</v>
      </c>
      <c r="O202" s="299"/>
      <c r="P202" s="9" t="s">
        <v>801</v>
      </c>
    </row>
    <row r="203" spans="1:16" s="9" customFormat="1" x14ac:dyDescent="0.2">
      <c r="A203" s="224" t="s">
        <v>70</v>
      </c>
      <c r="B203" s="224" t="s">
        <v>1018</v>
      </c>
      <c r="C203" s="275">
        <v>894613</v>
      </c>
      <c r="D203" s="275">
        <v>23</v>
      </c>
      <c r="E203" s="275" t="s">
        <v>1023</v>
      </c>
      <c r="F203" s="276" t="s">
        <v>172</v>
      </c>
      <c r="G203" s="276" t="s">
        <v>452</v>
      </c>
      <c r="H203" s="281">
        <v>1.5</v>
      </c>
      <c r="I203" s="282">
        <v>1.22</v>
      </c>
      <c r="J203" s="275" t="s">
        <v>23</v>
      </c>
      <c r="K203" s="313">
        <v>41.6</v>
      </c>
      <c r="L203" s="277">
        <v>1</v>
      </c>
      <c r="M203" s="278">
        <v>1</v>
      </c>
      <c r="N203" s="284" t="s">
        <v>802</v>
      </c>
      <c r="O203" s="299"/>
      <c r="P203" s="9" t="s">
        <v>801</v>
      </c>
    </row>
    <row r="204" spans="1:16" s="9" customFormat="1" x14ac:dyDescent="0.2">
      <c r="A204" s="224" t="s">
        <v>70</v>
      </c>
      <c r="B204" s="224" t="s">
        <v>12</v>
      </c>
      <c r="C204" s="275">
        <v>894621</v>
      </c>
      <c r="D204" s="275">
        <v>23</v>
      </c>
      <c r="E204" s="275" t="s">
        <v>254</v>
      </c>
      <c r="F204" s="276" t="s">
        <v>172</v>
      </c>
      <c r="G204" s="276" t="s">
        <v>452</v>
      </c>
      <c r="H204" s="281">
        <v>1.5</v>
      </c>
      <c r="I204" s="282">
        <v>1.97</v>
      </c>
      <c r="J204" s="275" t="s">
        <v>23</v>
      </c>
      <c r="K204" s="313">
        <v>65.099999999999994</v>
      </c>
      <c r="L204" s="277">
        <v>1</v>
      </c>
      <c r="M204" s="278">
        <v>1</v>
      </c>
      <c r="N204" s="284" t="s">
        <v>802</v>
      </c>
      <c r="O204" s="299"/>
      <c r="P204" s="9" t="s">
        <v>801</v>
      </c>
    </row>
    <row r="205" spans="1:16" s="9" customFormat="1" x14ac:dyDescent="0.2">
      <c r="A205" s="219" t="s">
        <v>70</v>
      </c>
      <c r="B205" s="219" t="s">
        <v>127</v>
      </c>
      <c r="C205" s="231">
        <v>894622</v>
      </c>
      <c r="D205" s="129">
        <v>23</v>
      </c>
      <c r="E205" s="231" t="s">
        <v>258</v>
      </c>
      <c r="F205" s="129" t="s">
        <v>172</v>
      </c>
      <c r="G205" s="129" t="s">
        <v>452</v>
      </c>
      <c r="H205" s="233">
        <v>1.5</v>
      </c>
      <c r="I205" s="233">
        <v>2.06</v>
      </c>
      <c r="J205" s="231" t="s">
        <v>23</v>
      </c>
      <c r="K205" s="312">
        <v>68.2</v>
      </c>
      <c r="L205" s="236">
        <v>1</v>
      </c>
      <c r="M205" s="237">
        <v>1</v>
      </c>
      <c r="N205" s="46" t="s">
        <v>802</v>
      </c>
      <c r="O205" s="48"/>
    </row>
    <row r="206" spans="1:16" s="9" customFormat="1" x14ac:dyDescent="0.2">
      <c r="A206" s="219" t="s">
        <v>916</v>
      </c>
      <c r="B206" s="220" t="s">
        <v>917</v>
      </c>
      <c r="C206" s="231">
        <v>8946222</v>
      </c>
      <c r="D206" s="231">
        <v>23</v>
      </c>
      <c r="E206" s="231" t="s">
        <v>918</v>
      </c>
      <c r="F206" s="231" t="s">
        <v>172</v>
      </c>
      <c r="G206" s="231" t="s">
        <v>452</v>
      </c>
      <c r="H206" s="246"/>
      <c r="I206" s="246">
        <v>2.1</v>
      </c>
      <c r="J206" s="231" t="s">
        <v>23</v>
      </c>
      <c r="K206" s="312">
        <v>90.24</v>
      </c>
      <c r="L206" s="236">
        <v>10</v>
      </c>
      <c r="M206" s="237">
        <v>10</v>
      </c>
      <c r="N206" s="46" t="s">
        <v>803</v>
      </c>
      <c r="O206" s="48"/>
    </row>
    <row r="207" spans="1:16" s="9" customFormat="1" x14ac:dyDescent="0.2">
      <c r="A207" s="219" t="s">
        <v>70</v>
      </c>
      <c r="B207" s="219" t="s">
        <v>1024</v>
      </c>
      <c r="C207" s="231">
        <v>894624</v>
      </c>
      <c r="D207" s="129">
        <v>23</v>
      </c>
      <c r="E207" s="231" t="s">
        <v>1025</v>
      </c>
      <c r="F207" s="129" t="s">
        <v>172</v>
      </c>
      <c r="G207" s="129" t="s">
        <v>452</v>
      </c>
      <c r="H207" s="233">
        <v>1.5</v>
      </c>
      <c r="I207" s="233">
        <v>2.29</v>
      </c>
      <c r="J207" s="231" t="s">
        <v>23</v>
      </c>
      <c r="K207" s="312">
        <v>74.400000000000006</v>
      </c>
      <c r="L207" s="236">
        <v>1</v>
      </c>
      <c r="M207" s="237">
        <v>1</v>
      </c>
      <c r="N207" s="46" t="s">
        <v>802</v>
      </c>
      <c r="O207" s="48"/>
    </row>
    <row r="208" spans="1:16" s="9" customFormat="1" x14ac:dyDescent="0.2">
      <c r="A208" s="219" t="s">
        <v>70</v>
      </c>
      <c r="B208" s="219" t="s">
        <v>15</v>
      </c>
      <c r="C208" s="231">
        <v>894631</v>
      </c>
      <c r="D208" s="129">
        <v>23</v>
      </c>
      <c r="E208" s="231" t="s">
        <v>255</v>
      </c>
      <c r="F208" s="129" t="s">
        <v>172</v>
      </c>
      <c r="G208" s="129" t="s">
        <v>452</v>
      </c>
      <c r="H208" s="233">
        <v>1.5</v>
      </c>
      <c r="I208" s="233">
        <v>2.96</v>
      </c>
      <c r="J208" s="231" t="s">
        <v>23</v>
      </c>
      <c r="K208" s="312">
        <v>97.65</v>
      </c>
      <c r="L208" s="236">
        <v>1</v>
      </c>
      <c r="M208" s="237">
        <v>1</v>
      </c>
      <c r="N208" s="46" t="s">
        <v>802</v>
      </c>
      <c r="O208" s="48"/>
    </row>
    <row r="209" spans="1:16" s="9" customFormat="1" x14ac:dyDescent="0.2">
      <c r="A209" s="219" t="s">
        <v>70</v>
      </c>
      <c r="B209" s="219" t="s">
        <v>19</v>
      </c>
      <c r="C209" s="231">
        <v>894633</v>
      </c>
      <c r="D209" s="129">
        <v>23</v>
      </c>
      <c r="E209" s="231" t="s">
        <v>256</v>
      </c>
      <c r="F209" s="129" t="s">
        <v>172</v>
      </c>
      <c r="G209" s="129" t="s">
        <v>452</v>
      </c>
      <c r="H209" s="233">
        <v>1.5</v>
      </c>
      <c r="I209" s="233">
        <v>3</v>
      </c>
      <c r="J209" s="231" t="s">
        <v>23</v>
      </c>
      <c r="K209" s="312">
        <v>102.3</v>
      </c>
      <c r="L209" s="236">
        <v>1</v>
      </c>
      <c r="M209" s="237">
        <v>1</v>
      </c>
      <c r="N209" s="46" t="s">
        <v>802</v>
      </c>
      <c r="O209" s="48"/>
    </row>
    <row r="210" spans="1:16" s="9" customFormat="1" ht="15" x14ac:dyDescent="0.25">
      <c r="A210" s="222" t="s">
        <v>916</v>
      </c>
      <c r="B210" s="222" t="s">
        <v>919</v>
      </c>
      <c r="C210" s="243">
        <v>8946332</v>
      </c>
      <c r="D210" s="129">
        <v>23</v>
      </c>
      <c r="E210" s="244" t="s">
        <v>920</v>
      </c>
      <c r="F210" s="129" t="s">
        <v>172</v>
      </c>
      <c r="G210" s="129" t="s">
        <v>452</v>
      </c>
      <c r="H210" s="227"/>
      <c r="I210" s="231">
        <v>3</v>
      </c>
      <c r="J210" s="129" t="s">
        <v>23</v>
      </c>
      <c r="K210" s="312">
        <v>136.18</v>
      </c>
      <c r="L210" s="229">
        <v>10</v>
      </c>
      <c r="M210" s="237">
        <v>10</v>
      </c>
      <c r="N210" s="46" t="s">
        <v>803</v>
      </c>
      <c r="O210" s="297"/>
    </row>
    <row r="211" spans="1:16" s="9" customFormat="1" x14ac:dyDescent="0.2">
      <c r="A211" s="219" t="s">
        <v>70</v>
      </c>
      <c r="B211" s="219" t="s">
        <v>1026</v>
      </c>
      <c r="C211" s="129">
        <v>894644</v>
      </c>
      <c r="D211" s="129">
        <v>23</v>
      </c>
      <c r="E211" s="129" t="s">
        <v>1027</v>
      </c>
      <c r="F211" s="129" t="s">
        <v>172</v>
      </c>
      <c r="G211" s="129" t="s">
        <v>452</v>
      </c>
      <c r="H211" s="227">
        <v>1.5</v>
      </c>
      <c r="I211" s="228">
        <v>4.18</v>
      </c>
      <c r="J211" s="129" t="s">
        <v>23</v>
      </c>
      <c r="K211" s="312">
        <v>140.80000000000001</v>
      </c>
      <c r="L211" s="229">
        <v>1</v>
      </c>
      <c r="M211" s="237">
        <v>1</v>
      </c>
      <c r="N211" s="46" t="s">
        <v>802</v>
      </c>
      <c r="O211" s="48"/>
    </row>
    <row r="212" spans="1:16" s="9" customFormat="1" x14ac:dyDescent="0.2">
      <c r="A212" s="219" t="s">
        <v>70</v>
      </c>
      <c r="B212" s="219" t="s">
        <v>71</v>
      </c>
      <c r="C212" s="129">
        <v>894663</v>
      </c>
      <c r="D212" s="129">
        <v>23</v>
      </c>
      <c r="E212" s="129" t="s">
        <v>257</v>
      </c>
      <c r="F212" s="129" t="s">
        <v>172</v>
      </c>
      <c r="G212" s="129" t="s">
        <v>452</v>
      </c>
      <c r="H212" s="227">
        <v>1.5</v>
      </c>
      <c r="I212" s="228">
        <v>5.91</v>
      </c>
      <c r="J212" s="129" t="s">
        <v>23</v>
      </c>
      <c r="K212" s="312">
        <v>201.6</v>
      </c>
      <c r="L212" s="229">
        <v>1</v>
      </c>
      <c r="M212" s="237">
        <v>1</v>
      </c>
      <c r="N212" s="46" t="s">
        <v>802</v>
      </c>
      <c r="O212" s="48"/>
    </row>
    <row r="213" spans="1:16" s="9" customFormat="1" ht="15" x14ac:dyDescent="0.25">
      <c r="A213" s="220" t="s">
        <v>70</v>
      </c>
      <c r="B213" s="220" t="s">
        <v>295</v>
      </c>
      <c r="C213" s="285">
        <v>894666</v>
      </c>
      <c r="D213" s="129">
        <v>23</v>
      </c>
      <c r="E213" s="244" t="s">
        <v>345</v>
      </c>
      <c r="F213" s="129" t="s">
        <v>172</v>
      </c>
      <c r="G213" s="129" t="s">
        <v>452</v>
      </c>
      <c r="H213" s="227">
        <v>1.5</v>
      </c>
      <c r="I213" s="231">
        <v>6.1</v>
      </c>
      <c r="J213" s="129" t="s">
        <v>23</v>
      </c>
      <c r="K213" s="312">
        <v>211.2</v>
      </c>
      <c r="L213" s="229">
        <v>1</v>
      </c>
      <c r="M213" s="237">
        <v>1</v>
      </c>
      <c r="N213" s="46" t="s">
        <v>802</v>
      </c>
      <c r="O213" s="300"/>
    </row>
    <row r="214" spans="1:16" s="9" customFormat="1" ht="13.5" customHeight="1" x14ac:dyDescent="0.2">
      <c r="A214" s="219" t="s">
        <v>70</v>
      </c>
      <c r="B214" s="219" t="s">
        <v>1028</v>
      </c>
      <c r="C214" s="129">
        <v>894866</v>
      </c>
      <c r="D214" s="129">
        <v>23</v>
      </c>
      <c r="E214" s="129" t="s">
        <v>1029</v>
      </c>
      <c r="F214" s="129" t="s">
        <v>172</v>
      </c>
      <c r="G214" s="129" t="s">
        <v>452</v>
      </c>
      <c r="H214" s="227">
        <v>1.5</v>
      </c>
      <c r="I214" s="228">
        <v>12.2</v>
      </c>
      <c r="J214" s="129" t="s">
        <v>23</v>
      </c>
      <c r="K214" s="312">
        <v>429</v>
      </c>
      <c r="L214" s="229">
        <v>1</v>
      </c>
      <c r="M214" s="237">
        <v>1</v>
      </c>
      <c r="N214" s="46" t="s">
        <v>802</v>
      </c>
      <c r="O214" s="48"/>
    </row>
    <row r="215" spans="1:16" s="9" customFormat="1" x14ac:dyDescent="0.2">
      <c r="A215" s="219" t="s">
        <v>72</v>
      </c>
      <c r="B215" s="219" t="s">
        <v>950</v>
      </c>
      <c r="C215" s="129">
        <v>858440</v>
      </c>
      <c r="D215" s="129">
        <v>23</v>
      </c>
      <c r="E215" s="129" t="s">
        <v>979</v>
      </c>
      <c r="F215" s="129" t="s">
        <v>169</v>
      </c>
      <c r="G215" s="129" t="s">
        <v>451</v>
      </c>
      <c r="H215" s="227">
        <v>1.2</v>
      </c>
      <c r="I215" s="228">
        <v>0.78</v>
      </c>
      <c r="J215" s="129" t="s">
        <v>23</v>
      </c>
      <c r="K215" s="312">
        <v>16.440000000000001</v>
      </c>
      <c r="L215" s="229">
        <v>1</v>
      </c>
      <c r="M215" s="237">
        <v>10</v>
      </c>
      <c r="N215" s="46" t="s">
        <v>802</v>
      </c>
      <c r="O215" s="48" t="s">
        <v>801</v>
      </c>
    </row>
    <row r="216" spans="1:16" s="9" customFormat="1" x14ac:dyDescent="0.2">
      <c r="A216" s="219" t="s">
        <v>72</v>
      </c>
      <c r="B216" s="220" t="s">
        <v>952</v>
      </c>
      <c r="C216" s="231">
        <v>858450</v>
      </c>
      <c r="D216" s="231">
        <v>23</v>
      </c>
      <c r="E216" s="231" t="s">
        <v>980</v>
      </c>
      <c r="F216" s="129" t="s">
        <v>169</v>
      </c>
      <c r="G216" s="129" t="s">
        <v>451</v>
      </c>
      <c r="H216" s="274">
        <v>1.2</v>
      </c>
      <c r="I216" s="233">
        <v>0.81</v>
      </c>
      <c r="J216" s="231" t="s">
        <v>23</v>
      </c>
      <c r="K216" s="312">
        <v>17.18</v>
      </c>
      <c r="L216" s="257">
        <v>1</v>
      </c>
      <c r="M216" s="237">
        <v>10</v>
      </c>
      <c r="N216" s="46" t="s">
        <v>802</v>
      </c>
      <c r="O216" s="48" t="s">
        <v>801</v>
      </c>
    </row>
    <row r="217" spans="1:16" s="9" customFormat="1" ht="15" x14ac:dyDescent="0.25">
      <c r="A217" s="222" t="s">
        <v>72</v>
      </c>
      <c r="B217" s="222" t="s">
        <v>951</v>
      </c>
      <c r="C217" s="231">
        <v>858441</v>
      </c>
      <c r="D217" s="129">
        <v>23</v>
      </c>
      <c r="E217" s="244" t="s">
        <v>981</v>
      </c>
      <c r="F217" s="129" t="s">
        <v>169</v>
      </c>
      <c r="G217" s="129" t="s">
        <v>451</v>
      </c>
      <c r="H217" s="227">
        <v>1.2</v>
      </c>
      <c r="I217" s="231">
        <v>1.45</v>
      </c>
      <c r="J217" s="129" t="s">
        <v>23</v>
      </c>
      <c r="K217" s="312">
        <v>34.47</v>
      </c>
      <c r="L217" s="229">
        <v>1</v>
      </c>
      <c r="M217" s="237">
        <v>10</v>
      </c>
      <c r="N217" s="46" t="s">
        <v>802</v>
      </c>
      <c r="O217" s="297" t="s">
        <v>801</v>
      </c>
      <c r="P217" s="9" t="s">
        <v>801</v>
      </c>
    </row>
    <row r="218" spans="1:16" s="9" customFormat="1" x14ac:dyDescent="0.2">
      <c r="A218" s="219" t="s">
        <v>72</v>
      </c>
      <c r="B218" s="219" t="s">
        <v>953</v>
      </c>
      <c r="C218" s="129">
        <v>858451</v>
      </c>
      <c r="D218" s="129">
        <v>23</v>
      </c>
      <c r="E218" s="129" t="s">
        <v>982</v>
      </c>
      <c r="F218" s="129" t="s">
        <v>169</v>
      </c>
      <c r="G218" s="129" t="s">
        <v>451</v>
      </c>
      <c r="H218" s="227">
        <v>1.2</v>
      </c>
      <c r="I218" s="228">
        <v>1.48</v>
      </c>
      <c r="J218" s="129" t="s">
        <v>23</v>
      </c>
      <c r="K218" s="312">
        <v>35.21</v>
      </c>
      <c r="L218" s="229">
        <v>1</v>
      </c>
      <c r="M218" s="237">
        <v>10</v>
      </c>
      <c r="N218" s="46" t="s">
        <v>802</v>
      </c>
      <c r="O218" s="48" t="s">
        <v>801</v>
      </c>
      <c r="P218" s="9" t="s">
        <v>801</v>
      </c>
    </row>
    <row r="219" spans="1:16" s="9" customFormat="1" x14ac:dyDescent="0.2">
      <c r="A219" s="219" t="s">
        <v>703</v>
      </c>
      <c r="B219" s="219" t="s">
        <v>949</v>
      </c>
      <c r="C219" s="129">
        <v>858433</v>
      </c>
      <c r="D219" s="129">
        <v>23</v>
      </c>
      <c r="E219" s="129" t="s">
        <v>976</v>
      </c>
      <c r="F219" s="129" t="s">
        <v>169</v>
      </c>
      <c r="G219" s="129" t="s">
        <v>451</v>
      </c>
      <c r="H219" s="227">
        <v>1.2</v>
      </c>
      <c r="I219" s="228">
        <v>0.16</v>
      </c>
      <c r="J219" s="129" t="s">
        <v>23</v>
      </c>
      <c r="K219" s="312">
        <v>6.8</v>
      </c>
      <c r="L219" s="229">
        <v>1</v>
      </c>
      <c r="M219" s="237">
        <v>10</v>
      </c>
      <c r="N219" s="46" t="s">
        <v>802</v>
      </c>
      <c r="O219" s="48" t="s">
        <v>801</v>
      </c>
      <c r="P219" s="9" t="s">
        <v>801</v>
      </c>
    </row>
    <row r="220" spans="1:16" s="9" customFormat="1" x14ac:dyDescent="0.2">
      <c r="A220" s="219" t="s">
        <v>703</v>
      </c>
      <c r="B220" s="220" t="s">
        <v>948</v>
      </c>
      <c r="C220" s="231">
        <v>858432</v>
      </c>
      <c r="D220" s="231">
        <v>23</v>
      </c>
      <c r="E220" s="231" t="s">
        <v>975</v>
      </c>
      <c r="F220" s="129" t="s">
        <v>169</v>
      </c>
      <c r="G220" s="129" t="s">
        <v>451</v>
      </c>
      <c r="H220" s="274">
        <v>1.2</v>
      </c>
      <c r="I220" s="233">
        <v>0.16</v>
      </c>
      <c r="J220" s="231" t="s">
        <v>23</v>
      </c>
      <c r="K220" s="312">
        <v>6.8</v>
      </c>
      <c r="L220" s="257">
        <v>1</v>
      </c>
      <c r="M220" s="237">
        <v>10</v>
      </c>
      <c r="N220" s="46" t="s">
        <v>802</v>
      </c>
      <c r="O220" s="48" t="s">
        <v>801</v>
      </c>
      <c r="P220" s="9" t="s">
        <v>801</v>
      </c>
    </row>
    <row r="221" spans="1:16" s="9" customFormat="1" ht="15" x14ac:dyDescent="0.25">
      <c r="A221" s="222" t="s">
        <v>703</v>
      </c>
      <c r="B221" s="222" t="s">
        <v>947</v>
      </c>
      <c r="C221" s="243">
        <v>858434</v>
      </c>
      <c r="D221" s="129">
        <v>23</v>
      </c>
      <c r="E221" s="244" t="s">
        <v>974</v>
      </c>
      <c r="F221" s="129" t="s">
        <v>169</v>
      </c>
      <c r="G221" s="129" t="s">
        <v>451</v>
      </c>
      <c r="H221" s="227">
        <v>1.2</v>
      </c>
      <c r="I221" s="231">
        <v>0.08</v>
      </c>
      <c r="J221" s="129" t="s">
        <v>23</v>
      </c>
      <c r="K221" s="312">
        <v>5.17</v>
      </c>
      <c r="L221" s="229">
        <v>1</v>
      </c>
      <c r="M221" s="237">
        <v>10</v>
      </c>
      <c r="N221" s="46" t="s">
        <v>802</v>
      </c>
      <c r="O221" s="297" t="s">
        <v>801</v>
      </c>
      <c r="P221" s="9" t="s">
        <v>801</v>
      </c>
    </row>
    <row r="222" spans="1:16" s="9" customFormat="1" x14ac:dyDescent="0.2">
      <c r="A222" s="219" t="s">
        <v>627</v>
      </c>
      <c r="B222" s="219" t="s">
        <v>600</v>
      </c>
      <c r="C222" s="129">
        <v>751219</v>
      </c>
      <c r="D222" s="129">
        <v>23</v>
      </c>
      <c r="E222" s="129" t="s">
        <v>664</v>
      </c>
      <c r="F222" s="129" t="s">
        <v>169</v>
      </c>
      <c r="G222" s="129" t="s">
        <v>451</v>
      </c>
      <c r="H222" s="227"/>
      <c r="I222" s="228">
        <v>4.87</v>
      </c>
      <c r="J222" s="129" t="s">
        <v>23</v>
      </c>
      <c r="K222" s="312">
        <v>127.21</v>
      </c>
      <c r="L222" s="229">
        <v>1</v>
      </c>
      <c r="M222" s="237">
        <v>5</v>
      </c>
      <c r="N222" s="46" t="s">
        <v>802</v>
      </c>
      <c r="O222" s="48" t="s">
        <v>801</v>
      </c>
      <c r="P222" s="9" t="s">
        <v>801</v>
      </c>
    </row>
    <row r="223" spans="1:16" s="9" customFormat="1" x14ac:dyDescent="0.2">
      <c r="A223" s="219" t="s">
        <v>627</v>
      </c>
      <c r="B223" s="219" t="s">
        <v>599</v>
      </c>
      <c r="C223" s="129">
        <v>751218</v>
      </c>
      <c r="D223" s="129">
        <v>23</v>
      </c>
      <c r="E223" s="129" t="s">
        <v>665</v>
      </c>
      <c r="F223" s="129" t="s">
        <v>169</v>
      </c>
      <c r="G223" s="129" t="s">
        <v>451</v>
      </c>
      <c r="H223" s="227"/>
      <c r="I223" s="228">
        <v>4.32</v>
      </c>
      <c r="J223" s="129" t="s">
        <v>23</v>
      </c>
      <c r="K223" s="312">
        <v>116.38</v>
      </c>
      <c r="L223" s="229">
        <v>1</v>
      </c>
      <c r="M223" s="237">
        <v>5</v>
      </c>
      <c r="N223" s="46" t="s">
        <v>802</v>
      </c>
      <c r="O223" s="48" t="s">
        <v>801</v>
      </c>
      <c r="P223" s="9" t="s">
        <v>801</v>
      </c>
    </row>
    <row r="224" spans="1:16" s="9" customFormat="1" ht="15" x14ac:dyDescent="0.25">
      <c r="A224" s="222" t="s">
        <v>627</v>
      </c>
      <c r="B224" s="222" t="s">
        <v>598</v>
      </c>
      <c r="C224" s="243">
        <v>751216</v>
      </c>
      <c r="D224" s="129">
        <v>23</v>
      </c>
      <c r="E224" s="244" t="s">
        <v>666</v>
      </c>
      <c r="F224" s="129" t="s">
        <v>169</v>
      </c>
      <c r="G224" s="129" t="s">
        <v>451</v>
      </c>
      <c r="H224" s="227"/>
      <c r="I224" s="231">
        <v>2.17</v>
      </c>
      <c r="J224" s="129" t="s">
        <v>23</v>
      </c>
      <c r="K224" s="312">
        <v>98.71</v>
      </c>
      <c r="L224" s="229">
        <v>1</v>
      </c>
      <c r="M224" s="237">
        <v>5</v>
      </c>
      <c r="N224" s="46" t="s">
        <v>802</v>
      </c>
      <c r="O224" s="297" t="s">
        <v>801</v>
      </c>
      <c r="P224" s="9" t="s">
        <v>801</v>
      </c>
    </row>
    <row r="225" spans="1:16" s="9" customFormat="1" ht="15" x14ac:dyDescent="0.25">
      <c r="A225" s="224" t="s">
        <v>627</v>
      </c>
      <c r="B225" s="224" t="s">
        <v>597</v>
      </c>
      <c r="C225" s="275">
        <v>751217</v>
      </c>
      <c r="D225" s="276">
        <v>23</v>
      </c>
      <c r="E225" s="286" t="s">
        <v>667</v>
      </c>
      <c r="F225" s="276" t="s">
        <v>169</v>
      </c>
      <c r="G225" s="276" t="s">
        <v>451</v>
      </c>
      <c r="H225" s="287"/>
      <c r="I225" s="275">
        <v>1.81</v>
      </c>
      <c r="J225" s="276" t="s">
        <v>23</v>
      </c>
      <c r="K225" s="313">
        <v>93.12</v>
      </c>
      <c r="L225" s="277">
        <v>1</v>
      </c>
      <c r="M225" s="278">
        <v>5</v>
      </c>
      <c r="N225" s="279" t="s">
        <v>802</v>
      </c>
      <c r="O225" s="301" t="s">
        <v>801</v>
      </c>
      <c r="P225" s="9" t="s">
        <v>801</v>
      </c>
    </row>
    <row r="226" spans="1:16" s="9" customFormat="1" ht="15" x14ac:dyDescent="0.25">
      <c r="A226" s="224" t="s">
        <v>977</v>
      </c>
      <c r="B226" s="224" t="s">
        <v>864</v>
      </c>
      <c r="C226" s="275">
        <v>878000</v>
      </c>
      <c r="D226" s="276">
        <v>23</v>
      </c>
      <c r="E226" s="286" t="s">
        <v>978</v>
      </c>
      <c r="F226" s="276" t="s">
        <v>169</v>
      </c>
      <c r="G226" s="276" t="s">
        <v>451</v>
      </c>
      <c r="H226" s="287">
        <v>2</v>
      </c>
      <c r="I226" s="275">
        <v>0.17</v>
      </c>
      <c r="J226" s="276" t="s">
        <v>23</v>
      </c>
      <c r="K226" s="313">
        <v>15.64</v>
      </c>
      <c r="L226" s="277">
        <v>1</v>
      </c>
      <c r="M226" s="278">
        <v>10</v>
      </c>
      <c r="N226" s="279" t="s">
        <v>802</v>
      </c>
      <c r="O226" s="301" t="s">
        <v>801</v>
      </c>
      <c r="P226" s="9" t="s">
        <v>801</v>
      </c>
    </row>
    <row r="227" spans="1:16" s="9" customFormat="1" ht="15" x14ac:dyDescent="0.25">
      <c r="A227" s="224" t="s">
        <v>997</v>
      </c>
      <c r="B227" s="224" t="s">
        <v>851</v>
      </c>
      <c r="C227" s="275">
        <v>6505443</v>
      </c>
      <c r="D227" s="276">
        <v>23</v>
      </c>
      <c r="E227" s="286" t="s">
        <v>998</v>
      </c>
      <c r="F227" s="276" t="s">
        <v>679</v>
      </c>
      <c r="G227" s="276" t="s">
        <v>692</v>
      </c>
      <c r="H227" s="287"/>
      <c r="I227" s="275"/>
      <c r="J227" s="276" t="s">
        <v>66</v>
      </c>
      <c r="K227" s="313">
        <v>12.95</v>
      </c>
      <c r="L227" s="277">
        <v>1</v>
      </c>
      <c r="M227" s="278">
        <v>1</v>
      </c>
      <c r="N227" s="279" t="s">
        <v>802</v>
      </c>
      <c r="O227" s="301"/>
      <c r="P227" s="9" t="s">
        <v>801</v>
      </c>
    </row>
    <row r="228" spans="1:16" s="9" customFormat="1" ht="15" x14ac:dyDescent="0.25">
      <c r="A228" s="224" t="s">
        <v>624</v>
      </c>
      <c r="B228" s="224" t="s">
        <v>1009</v>
      </c>
      <c r="C228" s="275">
        <v>166991</v>
      </c>
      <c r="D228" s="276">
        <v>23</v>
      </c>
      <c r="E228" s="286" t="s">
        <v>678</v>
      </c>
      <c r="F228" s="276" t="s">
        <v>679</v>
      </c>
      <c r="G228" s="276" t="s">
        <v>692</v>
      </c>
      <c r="H228" s="287"/>
      <c r="I228" s="275"/>
      <c r="J228" s="276" t="s">
        <v>66</v>
      </c>
      <c r="K228" s="313">
        <v>2.75</v>
      </c>
      <c r="L228" s="277">
        <v>1</v>
      </c>
      <c r="M228" s="278">
        <v>100</v>
      </c>
      <c r="N228" s="279" t="s">
        <v>802</v>
      </c>
      <c r="O228" s="301"/>
      <c r="P228" s="9" t="s">
        <v>801</v>
      </c>
    </row>
    <row r="229" spans="1:16" s="9" customFormat="1" ht="15" x14ac:dyDescent="0.25">
      <c r="A229" s="224" t="s">
        <v>624</v>
      </c>
      <c r="B229" s="224" t="s">
        <v>1019</v>
      </c>
      <c r="C229" s="275">
        <v>166794</v>
      </c>
      <c r="D229" s="276">
        <v>23</v>
      </c>
      <c r="E229" s="286" t="s">
        <v>706</v>
      </c>
      <c r="F229" s="276" t="s">
        <v>679</v>
      </c>
      <c r="G229" s="276" t="s">
        <v>692</v>
      </c>
      <c r="H229" s="287"/>
      <c r="I229" s="275"/>
      <c r="J229" s="276" t="s">
        <v>66</v>
      </c>
      <c r="K229" s="313">
        <v>3.95</v>
      </c>
      <c r="L229" s="277">
        <v>1</v>
      </c>
      <c r="M229" s="278">
        <v>100</v>
      </c>
      <c r="N229" s="279" t="s">
        <v>802</v>
      </c>
      <c r="O229" s="301"/>
    </row>
    <row r="230" spans="1:16" s="9" customFormat="1" ht="15" x14ac:dyDescent="0.25">
      <c r="A230" s="224" t="s">
        <v>74</v>
      </c>
      <c r="B230" s="224" t="s">
        <v>75</v>
      </c>
      <c r="C230" s="275">
        <v>651211</v>
      </c>
      <c r="D230" s="276">
        <v>23</v>
      </c>
      <c r="E230" s="286" t="s">
        <v>267</v>
      </c>
      <c r="F230" s="276" t="s">
        <v>242</v>
      </c>
      <c r="G230" s="276" t="s">
        <v>464</v>
      </c>
      <c r="H230" s="287"/>
      <c r="I230" s="275">
        <v>5.2999999999999999E-2</v>
      </c>
      <c r="J230" s="276" t="s">
        <v>23</v>
      </c>
      <c r="K230" s="313">
        <v>5.19</v>
      </c>
      <c r="L230" s="277">
        <v>1</v>
      </c>
      <c r="M230" s="278">
        <v>100</v>
      </c>
      <c r="N230" s="279" t="s">
        <v>802</v>
      </c>
      <c r="O230" s="301"/>
    </row>
    <row r="231" spans="1:16" s="9" customFormat="1" ht="15" x14ac:dyDescent="0.25">
      <c r="A231" s="224" t="s">
        <v>74</v>
      </c>
      <c r="B231" s="224" t="s">
        <v>76</v>
      </c>
      <c r="C231" s="275">
        <v>650875</v>
      </c>
      <c r="D231" s="276">
        <v>23</v>
      </c>
      <c r="E231" s="286" t="s">
        <v>268</v>
      </c>
      <c r="F231" s="276" t="s">
        <v>242</v>
      </c>
      <c r="G231" s="276" t="s">
        <v>464</v>
      </c>
      <c r="H231" s="287"/>
      <c r="I231" s="275">
        <v>3.1E-2</v>
      </c>
      <c r="J231" s="276" t="s">
        <v>23</v>
      </c>
      <c r="K231" s="313">
        <v>2.65</v>
      </c>
      <c r="L231" s="277">
        <v>1</v>
      </c>
      <c r="M231" s="278">
        <v>100</v>
      </c>
      <c r="N231" s="279" t="s">
        <v>802</v>
      </c>
      <c r="O231" s="301"/>
    </row>
    <row r="232" spans="1:16" s="9" customFormat="1" ht="15" x14ac:dyDescent="0.25">
      <c r="A232" s="224" t="s">
        <v>248</v>
      </c>
      <c r="B232" s="224" t="s">
        <v>13</v>
      </c>
      <c r="C232" s="275">
        <v>897300</v>
      </c>
      <c r="D232" s="276">
        <v>23</v>
      </c>
      <c r="E232" s="286" t="s">
        <v>250</v>
      </c>
      <c r="F232" s="276" t="s">
        <v>172</v>
      </c>
      <c r="G232" s="276" t="s">
        <v>452</v>
      </c>
      <c r="H232" s="287">
        <v>3</v>
      </c>
      <c r="I232" s="275">
        <v>0.02</v>
      </c>
      <c r="J232" s="276" t="s">
        <v>23</v>
      </c>
      <c r="K232" s="313">
        <v>2.06</v>
      </c>
      <c r="L232" s="277">
        <v>1</v>
      </c>
      <c r="M232" s="278">
        <v>100</v>
      </c>
      <c r="N232" s="279" t="s">
        <v>802</v>
      </c>
      <c r="O232" s="301"/>
    </row>
    <row r="233" spans="1:16" s="9" customFormat="1" ht="15" x14ac:dyDescent="0.25">
      <c r="A233" s="224" t="s">
        <v>248</v>
      </c>
      <c r="B233" s="224" t="s">
        <v>1072</v>
      </c>
      <c r="C233" s="275">
        <v>897417</v>
      </c>
      <c r="D233" s="276">
        <v>23</v>
      </c>
      <c r="E233" s="286" t="s">
        <v>1073</v>
      </c>
      <c r="F233" s="276" t="s">
        <v>172</v>
      </c>
      <c r="G233" s="276" t="s">
        <v>452</v>
      </c>
      <c r="H233" s="287">
        <v>4</v>
      </c>
      <c r="I233" s="275">
        <v>0.04</v>
      </c>
      <c r="J233" s="276" t="s">
        <v>23</v>
      </c>
      <c r="K233" s="313">
        <v>6.99</v>
      </c>
      <c r="L233" s="277">
        <v>1</v>
      </c>
      <c r="M233" s="278">
        <v>100</v>
      </c>
      <c r="N233" s="279" t="s">
        <v>802</v>
      </c>
      <c r="O233" s="301"/>
    </row>
    <row r="234" spans="1:16" s="9" customFormat="1" ht="15" x14ac:dyDescent="0.25">
      <c r="A234" s="224" t="s">
        <v>248</v>
      </c>
      <c r="B234" s="224" t="s">
        <v>1068</v>
      </c>
      <c r="C234" s="275">
        <v>897415</v>
      </c>
      <c r="D234" s="276">
        <v>23</v>
      </c>
      <c r="E234" s="286" t="s">
        <v>1069</v>
      </c>
      <c r="F234" s="276" t="s">
        <v>172</v>
      </c>
      <c r="G234" s="276" t="s">
        <v>452</v>
      </c>
      <c r="H234" s="287">
        <v>4</v>
      </c>
      <c r="I234" s="275">
        <v>0.02</v>
      </c>
      <c r="J234" s="276" t="s">
        <v>23</v>
      </c>
      <c r="K234" s="313">
        <v>3.49</v>
      </c>
      <c r="L234" s="277">
        <v>1</v>
      </c>
      <c r="M234" s="278">
        <v>100</v>
      </c>
      <c r="N234" s="279" t="s">
        <v>802</v>
      </c>
      <c r="O234" s="301"/>
    </row>
    <row r="235" spans="1:16" s="9" customFormat="1" x14ac:dyDescent="0.2">
      <c r="A235" s="219" t="s">
        <v>248</v>
      </c>
      <c r="B235" s="219" t="s">
        <v>1070</v>
      </c>
      <c r="C235" s="129">
        <v>897416</v>
      </c>
      <c r="D235" s="129">
        <v>23</v>
      </c>
      <c r="E235" s="129" t="s">
        <v>1071</v>
      </c>
      <c r="F235" s="129" t="s">
        <v>172</v>
      </c>
      <c r="G235" s="129" t="s">
        <v>452</v>
      </c>
      <c r="H235" s="227">
        <v>4</v>
      </c>
      <c r="I235" s="228">
        <v>0.03</v>
      </c>
      <c r="J235" s="129" t="s">
        <v>23</v>
      </c>
      <c r="K235" s="312">
        <v>5.24</v>
      </c>
      <c r="L235" s="229">
        <v>1</v>
      </c>
      <c r="M235" s="230">
        <v>100</v>
      </c>
      <c r="N235" s="46" t="s">
        <v>802</v>
      </c>
      <c r="O235" s="50"/>
    </row>
    <row r="236" spans="1:16" s="9" customFormat="1" x14ac:dyDescent="0.2">
      <c r="A236" s="219" t="s">
        <v>1042</v>
      </c>
      <c r="B236" s="219" t="s">
        <v>1047</v>
      </c>
      <c r="C236" s="129">
        <v>897317</v>
      </c>
      <c r="D236" s="129">
        <v>23</v>
      </c>
      <c r="E236" s="129" t="s">
        <v>1048</v>
      </c>
      <c r="F236" s="129" t="s">
        <v>172</v>
      </c>
      <c r="G236" s="129" t="s">
        <v>452</v>
      </c>
      <c r="H236" s="227">
        <v>4</v>
      </c>
      <c r="I236" s="228">
        <v>0.04</v>
      </c>
      <c r="J236" s="129" t="s">
        <v>23</v>
      </c>
      <c r="K236" s="312">
        <v>13.99</v>
      </c>
      <c r="L236" s="229">
        <v>1</v>
      </c>
      <c r="M236" s="230">
        <v>50</v>
      </c>
      <c r="N236" s="46" t="s">
        <v>802</v>
      </c>
      <c r="O236" s="50"/>
    </row>
    <row r="237" spans="1:16" s="9" customFormat="1" x14ac:dyDescent="0.2">
      <c r="A237" s="219" t="s">
        <v>1042</v>
      </c>
      <c r="B237" s="219" t="s">
        <v>1043</v>
      </c>
      <c r="C237" s="129">
        <v>897315</v>
      </c>
      <c r="D237" s="129">
        <v>23</v>
      </c>
      <c r="E237" s="129" t="s">
        <v>1044</v>
      </c>
      <c r="F237" s="129" t="s">
        <v>172</v>
      </c>
      <c r="G237" s="129" t="s">
        <v>452</v>
      </c>
      <c r="H237" s="227">
        <v>4</v>
      </c>
      <c r="I237" s="228">
        <v>0.02</v>
      </c>
      <c r="J237" s="129" t="s">
        <v>23</v>
      </c>
      <c r="K237" s="312">
        <v>6.99</v>
      </c>
      <c r="L237" s="229">
        <v>1</v>
      </c>
      <c r="M237" s="230">
        <v>50</v>
      </c>
      <c r="N237" s="46" t="s">
        <v>802</v>
      </c>
      <c r="O237" s="50"/>
      <c r="P237" s="9" t="s">
        <v>801</v>
      </c>
    </row>
    <row r="238" spans="1:16" s="9" customFormat="1" x14ac:dyDescent="0.2">
      <c r="A238" s="219" t="s">
        <v>1042</v>
      </c>
      <c r="B238" s="219" t="s">
        <v>1045</v>
      </c>
      <c r="C238" s="129">
        <v>897316</v>
      </c>
      <c r="D238" s="129">
        <v>23</v>
      </c>
      <c r="E238" s="129" t="s">
        <v>1046</v>
      </c>
      <c r="F238" s="129" t="s">
        <v>172</v>
      </c>
      <c r="G238" s="129" t="s">
        <v>452</v>
      </c>
      <c r="H238" s="227">
        <v>4</v>
      </c>
      <c r="I238" s="228">
        <v>0.03</v>
      </c>
      <c r="J238" s="129" t="s">
        <v>23</v>
      </c>
      <c r="K238" s="312">
        <v>10.49</v>
      </c>
      <c r="L238" s="229">
        <v>1</v>
      </c>
      <c r="M238" s="230">
        <v>50</v>
      </c>
      <c r="N238" s="46" t="s">
        <v>802</v>
      </c>
      <c r="O238" s="50"/>
      <c r="P238" s="9" t="s">
        <v>801</v>
      </c>
    </row>
    <row r="239" spans="1:16" s="9" customFormat="1" x14ac:dyDescent="0.2">
      <c r="A239" s="220" t="s">
        <v>251</v>
      </c>
      <c r="B239" s="220" t="s">
        <v>6</v>
      </c>
      <c r="C239" s="231">
        <v>890300</v>
      </c>
      <c r="D239" s="231">
        <v>23</v>
      </c>
      <c r="E239" s="231" t="s">
        <v>252</v>
      </c>
      <c r="F239" s="129" t="s">
        <v>172</v>
      </c>
      <c r="G239" s="129" t="s">
        <v>452</v>
      </c>
      <c r="H239" s="250">
        <v>3</v>
      </c>
      <c r="I239" s="246">
        <v>0.04</v>
      </c>
      <c r="J239" s="129" t="s">
        <v>23</v>
      </c>
      <c r="K239" s="312">
        <v>7.31</v>
      </c>
      <c r="L239" s="236">
        <v>1</v>
      </c>
      <c r="M239" s="237">
        <v>50</v>
      </c>
      <c r="N239" s="46" t="s">
        <v>802</v>
      </c>
      <c r="O239" s="50"/>
      <c r="P239" s="9" t="s">
        <v>801</v>
      </c>
    </row>
    <row r="240" spans="1:16" s="9" customFormat="1" x14ac:dyDescent="0.2">
      <c r="A240" s="220" t="s">
        <v>251</v>
      </c>
      <c r="B240" s="220" t="s">
        <v>78</v>
      </c>
      <c r="C240" s="231">
        <v>890302</v>
      </c>
      <c r="D240" s="231">
        <v>23</v>
      </c>
      <c r="E240" s="231" t="s">
        <v>253</v>
      </c>
      <c r="F240" s="129" t="s">
        <v>172</v>
      </c>
      <c r="G240" s="129" t="s">
        <v>452</v>
      </c>
      <c r="H240" s="250">
        <v>3</v>
      </c>
      <c r="I240" s="246">
        <v>0.04</v>
      </c>
      <c r="J240" s="129" t="s">
        <v>23</v>
      </c>
      <c r="K240" s="312">
        <v>8.74</v>
      </c>
      <c r="L240" s="236">
        <v>1</v>
      </c>
      <c r="M240" s="237">
        <v>50</v>
      </c>
      <c r="N240" s="46" t="s">
        <v>802</v>
      </c>
      <c r="O240" s="50"/>
      <c r="P240" s="9" t="s">
        <v>801</v>
      </c>
    </row>
    <row r="241" spans="1:15" s="9" customFormat="1" x14ac:dyDescent="0.2">
      <c r="A241" s="220" t="s">
        <v>248</v>
      </c>
      <c r="B241" s="220" t="s">
        <v>77</v>
      </c>
      <c r="C241" s="231">
        <v>897302</v>
      </c>
      <c r="D241" s="231">
        <v>23</v>
      </c>
      <c r="E241" s="231" t="s">
        <v>249</v>
      </c>
      <c r="F241" s="129" t="s">
        <v>172</v>
      </c>
      <c r="G241" s="129" t="s">
        <v>452</v>
      </c>
      <c r="H241" s="250">
        <v>3</v>
      </c>
      <c r="I241" s="246">
        <v>0.02</v>
      </c>
      <c r="J241" s="129" t="s">
        <v>23</v>
      </c>
      <c r="K241" s="312">
        <v>4.3099999999999996</v>
      </c>
      <c r="L241" s="236">
        <v>1</v>
      </c>
      <c r="M241" s="237">
        <v>100</v>
      </c>
      <c r="N241" s="46" t="s">
        <v>802</v>
      </c>
      <c r="O241" s="50"/>
    </row>
    <row r="242" spans="1:15" s="9" customFormat="1" x14ac:dyDescent="0.2">
      <c r="A242" s="219" t="s">
        <v>246</v>
      </c>
      <c r="B242" s="242" t="s">
        <v>128</v>
      </c>
      <c r="C242" s="231">
        <v>897303</v>
      </c>
      <c r="D242" s="129">
        <v>23</v>
      </c>
      <c r="E242" s="231" t="s">
        <v>247</v>
      </c>
      <c r="F242" s="129" t="s">
        <v>169</v>
      </c>
      <c r="G242" s="129" t="s">
        <v>451</v>
      </c>
      <c r="H242" s="233">
        <v>0.5</v>
      </c>
      <c r="I242" s="233">
        <v>1.6E-2</v>
      </c>
      <c r="J242" s="231" t="s">
        <v>23</v>
      </c>
      <c r="K242" s="312">
        <v>2.4</v>
      </c>
      <c r="L242" s="229">
        <v>1</v>
      </c>
      <c r="M242" s="237">
        <v>100</v>
      </c>
      <c r="N242" s="46" t="s">
        <v>802</v>
      </c>
      <c r="O242" s="50" t="s">
        <v>801</v>
      </c>
    </row>
    <row r="243" spans="1:15" s="9" customFormat="1" x14ac:dyDescent="0.2">
      <c r="A243" s="219" t="s">
        <v>246</v>
      </c>
      <c r="B243" s="242" t="s">
        <v>346</v>
      </c>
      <c r="C243" s="231">
        <v>897304</v>
      </c>
      <c r="D243" s="129">
        <v>23</v>
      </c>
      <c r="E243" s="231" t="s">
        <v>347</v>
      </c>
      <c r="F243" s="129" t="s">
        <v>169</v>
      </c>
      <c r="G243" s="129" t="s">
        <v>451</v>
      </c>
      <c r="H243" s="233">
        <v>0.5</v>
      </c>
      <c r="I243" s="233">
        <v>1.6E-2</v>
      </c>
      <c r="J243" s="231" t="s">
        <v>23</v>
      </c>
      <c r="K243" s="312">
        <v>2.4</v>
      </c>
      <c r="L243" s="229">
        <v>1</v>
      </c>
      <c r="M243" s="237">
        <v>100</v>
      </c>
      <c r="N243" s="46" t="s">
        <v>802</v>
      </c>
      <c r="O243" s="50" t="s">
        <v>801</v>
      </c>
    </row>
    <row r="244" spans="1:15" s="9" customFormat="1" x14ac:dyDescent="0.2">
      <c r="A244" s="219" t="s">
        <v>971</v>
      </c>
      <c r="B244" s="242" t="s">
        <v>972</v>
      </c>
      <c r="C244" s="231">
        <v>897305</v>
      </c>
      <c r="D244" s="129">
        <v>23</v>
      </c>
      <c r="E244" s="231" t="s">
        <v>973</v>
      </c>
      <c r="F244" s="129" t="s">
        <v>169</v>
      </c>
      <c r="G244" s="129" t="s">
        <v>451</v>
      </c>
      <c r="H244" s="233">
        <v>0.5</v>
      </c>
      <c r="I244" s="233">
        <v>0.06</v>
      </c>
      <c r="J244" s="231" t="s">
        <v>23</v>
      </c>
      <c r="K244" s="312">
        <v>4.49</v>
      </c>
      <c r="L244" s="229">
        <v>1</v>
      </c>
      <c r="M244" s="237">
        <v>100</v>
      </c>
      <c r="N244" s="46" t="s">
        <v>802</v>
      </c>
      <c r="O244" s="50" t="s">
        <v>801</v>
      </c>
    </row>
    <row r="245" spans="1:15" s="9" customFormat="1" x14ac:dyDescent="0.2">
      <c r="A245" s="219" t="s">
        <v>994</v>
      </c>
      <c r="B245" s="242" t="s">
        <v>799</v>
      </c>
      <c r="C245" s="231">
        <v>6510443</v>
      </c>
      <c r="D245" s="129">
        <v>23</v>
      </c>
      <c r="E245" s="231" t="s">
        <v>1004</v>
      </c>
      <c r="F245" s="129" t="s">
        <v>679</v>
      </c>
      <c r="G245" s="129" t="s">
        <v>692</v>
      </c>
      <c r="H245" s="233"/>
      <c r="I245" s="233"/>
      <c r="J245" s="231" t="s">
        <v>66</v>
      </c>
      <c r="K245" s="312">
        <v>43.51</v>
      </c>
      <c r="L245" s="229">
        <v>1</v>
      </c>
      <c r="M245" s="237">
        <v>1</v>
      </c>
      <c r="N245" s="46" t="s">
        <v>802</v>
      </c>
      <c r="O245" s="50"/>
    </row>
    <row r="246" spans="1:15" s="9" customFormat="1" x14ac:dyDescent="0.2">
      <c r="A246" s="220" t="s">
        <v>79</v>
      </c>
      <c r="B246" s="220" t="s">
        <v>80</v>
      </c>
      <c r="C246" s="231">
        <v>899501</v>
      </c>
      <c r="D246" s="231">
        <v>23</v>
      </c>
      <c r="E246" s="231" t="s">
        <v>259</v>
      </c>
      <c r="F246" s="129" t="s">
        <v>169</v>
      </c>
      <c r="G246" s="129" t="s">
        <v>451</v>
      </c>
      <c r="H246" s="250">
        <v>3</v>
      </c>
      <c r="I246" s="246">
        <v>0.5</v>
      </c>
      <c r="J246" s="129" t="s">
        <v>23</v>
      </c>
      <c r="K246" s="312">
        <v>39.44</v>
      </c>
      <c r="L246" s="236">
        <v>1</v>
      </c>
      <c r="M246" s="237">
        <v>10</v>
      </c>
      <c r="N246" s="46" t="s">
        <v>802</v>
      </c>
      <c r="O246" s="50" t="s">
        <v>801</v>
      </c>
    </row>
    <row r="247" spans="1:15" s="9" customFormat="1" x14ac:dyDescent="0.2">
      <c r="A247" s="219" t="s">
        <v>81</v>
      </c>
      <c r="B247" s="219" t="s">
        <v>82</v>
      </c>
      <c r="C247" s="129">
        <v>898525</v>
      </c>
      <c r="D247" s="129">
        <v>23</v>
      </c>
      <c r="E247" s="129" t="s">
        <v>263</v>
      </c>
      <c r="F247" s="129" t="s">
        <v>242</v>
      </c>
      <c r="G247" s="129" t="s">
        <v>461</v>
      </c>
      <c r="H247" s="269"/>
      <c r="I247" s="228">
        <v>0.05</v>
      </c>
      <c r="J247" s="129" t="s">
        <v>23</v>
      </c>
      <c r="K247" s="312">
        <v>0.45</v>
      </c>
      <c r="L247" s="229">
        <v>1</v>
      </c>
      <c r="M247" s="237">
        <v>100</v>
      </c>
      <c r="N247" s="46" t="s">
        <v>802</v>
      </c>
      <c r="O247" s="48"/>
    </row>
    <row r="248" spans="1:15" s="9" customFormat="1" x14ac:dyDescent="0.2">
      <c r="A248" s="219" t="s">
        <v>81</v>
      </c>
      <c r="B248" s="219" t="s">
        <v>83</v>
      </c>
      <c r="C248" s="231">
        <v>898530</v>
      </c>
      <c r="D248" s="231">
        <v>23</v>
      </c>
      <c r="E248" s="231" t="s">
        <v>264</v>
      </c>
      <c r="F248" s="129" t="s">
        <v>242</v>
      </c>
      <c r="G248" s="231" t="s">
        <v>461</v>
      </c>
      <c r="H248" s="233"/>
      <c r="I248" s="233">
        <v>0.05</v>
      </c>
      <c r="J248" s="129" t="s">
        <v>23</v>
      </c>
      <c r="K248" s="312">
        <v>0.5</v>
      </c>
      <c r="L248" s="236">
        <v>1</v>
      </c>
      <c r="M248" s="237">
        <v>100</v>
      </c>
      <c r="N248" s="46" t="s">
        <v>802</v>
      </c>
      <c r="O248" s="48"/>
    </row>
    <row r="249" spans="1:15" s="9" customFormat="1" x14ac:dyDescent="0.2">
      <c r="A249" s="219" t="s">
        <v>81</v>
      </c>
      <c r="B249" s="219" t="s">
        <v>84</v>
      </c>
      <c r="C249" s="231">
        <v>898535</v>
      </c>
      <c r="D249" s="231">
        <v>23</v>
      </c>
      <c r="E249" s="231" t="s">
        <v>348</v>
      </c>
      <c r="F249" s="129" t="s">
        <v>242</v>
      </c>
      <c r="G249" s="231" t="s">
        <v>461</v>
      </c>
      <c r="H249" s="233"/>
      <c r="I249" s="233">
        <v>0.05</v>
      </c>
      <c r="J249" s="129" t="s">
        <v>23</v>
      </c>
      <c r="K249" s="312">
        <v>0.61</v>
      </c>
      <c r="L249" s="236">
        <v>1</v>
      </c>
      <c r="M249" s="237">
        <v>100</v>
      </c>
      <c r="N249" s="46" t="s">
        <v>802</v>
      </c>
      <c r="O249" s="48"/>
    </row>
    <row r="250" spans="1:15" s="9" customFormat="1" x14ac:dyDescent="0.2">
      <c r="A250" s="219" t="s">
        <v>81</v>
      </c>
      <c r="B250" s="219" t="s">
        <v>85</v>
      </c>
      <c r="C250" s="129">
        <v>898540</v>
      </c>
      <c r="D250" s="129">
        <v>23</v>
      </c>
      <c r="E250" s="129" t="s">
        <v>265</v>
      </c>
      <c r="F250" s="129" t="s">
        <v>242</v>
      </c>
      <c r="G250" s="129" t="s">
        <v>461</v>
      </c>
      <c r="H250" s="269"/>
      <c r="I250" s="228">
        <v>0.05</v>
      </c>
      <c r="J250" s="129" t="s">
        <v>23</v>
      </c>
      <c r="K250" s="312">
        <v>0.65</v>
      </c>
      <c r="L250" s="229">
        <v>1</v>
      </c>
      <c r="M250" s="230">
        <v>100</v>
      </c>
      <c r="N250" s="46" t="s">
        <v>802</v>
      </c>
      <c r="O250" s="48"/>
    </row>
    <row r="251" spans="1:15" s="9" customFormat="1" x14ac:dyDescent="0.2">
      <c r="A251" s="219" t="s">
        <v>86</v>
      </c>
      <c r="B251" s="219" t="s">
        <v>87</v>
      </c>
      <c r="C251" s="129">
        <v>890002</v>
      </c>
      <c r="D251" s="129">
        <v>23</v>
      </c>
      <c r="E251" s="129" t="s">
        <v>220</v>
      </c>
      <c r="F251" s="129" t="s">
        <v>221</v>
      </c>
      <c r="G251" s="129" t="s">
        <v>456</v>
      </c>
      <c r="H251" s="269">
        <v>10</v>
      </c>
      <c r="I251" s="228">
        <v>0.55000000000000004</v>
      </c>
      <c r="J251" s="129" t="s">
        <v>23</v>
      </c>
      <c r="K251" s="312">
        <v>5.7</v>
      </c>
      <c r="L251" s="229">
        <v>1</v>
      </c>
      <c r="M251" s="230">
        <v>20</v>
      </c>
      <c r="N251" s="46" t="s">
        <v>802</v>
      </c>
      <c r="O251" s="48"/>
    </row>
    <row r="252" spans="1:15" s="9" customFormat="1" x14ac:dyDescent="0.2">
      <c r="A252" s="219" t="s">
        <v>86</v>
      </c>
      <c r="B252" s="219" t="s">
        <v>294</v>
      </c>
      <c r="C252" s="129">
        <v>890007</v>
      </c>
      <c r="D252" s="129">
        <v>23</v>
      </c>
      <c r="E252" s="129" t="s">
        <v>349</v>
      </c>
      <c r="F252" s="129" t="s">
        <v>221</v>
      </c>
      <c r="G252" s="129" t="s">
        <v>456</v>
      </c>
      <c r="H252" s="227">
        <v>10</v>
      </c>
      <c r="I252" s="228">
        <v>0.64</v>
      </c>
      <c r="J252" s="129" t="s">
        <v>23</v>
      </c>
      <c r="K252" s="312">
        <v>6.11</v>
      </c>
      <c r="L252" s="229">
        <v>1</v>
      </c>
      <c r="M252" s="230">
        <v>30</v>
      </c>
      <c r="N252" s="46" t="s">
        <v>802</v>
      </c>
      <c r="O252" s="48"/>
    </row>
    <row r="253" spans="1:15" s="9" customFormat="1" ht="15" x14ac:dyDescent="0.25">
      <c r="A253" s="222" t="s">
        <v>86</v>
      </c>
      <c r="B253" s="222" t="s">
        <v>16</v>
      </c>
      <c r="C253" s="243">
        <v>890001</v>
      </c>
      <c r="D253" s="129">
        <v>23</v>
      </c>
      <c r="E253" s="244" t="s">
        <v>222</v>
      </c>
      <c r="F253" s="129" t="s">
        <v>221</v>
      </c>
      <c r="G253" s="129" t="s">
        <v>456</v>
      </c>
      <c r="H253" s="245">
        <v>10</v>
      </c>
      <c r="I253" s="231">
        <v>0.18</v>
      </c>
      <c r="J253" s="129" t="s">
        <v>23</v>
      </c>
      <c r="K253" s="312">
        <v>1.81</v>
      </c>
      <c r="L253" s="229">
        <v>1</v>
      </c>
      <c r="M253" s="230">
        <v>50</v>
      </c>
      <c r="N253" s="46" t="s">
        <v>802</v>
      </c>
      <c r="O253" s="297"/>
    </row>
    <row r="254" spans="1:15" s="9" customFormat="1" ht="15" x14ac:dyDescent="0.25">
      <c r="A254" s="222" t="s">
        <v>86</v>
      </c>
      <c r="B254" s="222" t="s">
        <v>607</v>
      </c>
      <c r="C254" s="243">
        <v>895507</v>
      </c>
      <c r="D254" s="129">
        <v>23</v>
      </c>
      <c r="E254" s="244" t="s">
        <v>691</v>
      </c>
      <c r="F254" s="129" t="s">
        <v>221</v>
      </c>
      <c r="G254" s="129" t="s">
        <v>456</v>
      </c>
      <c r="H254" s="245">
        <v>5</v>
      </c>
      <c r="I254" s="231">
        <v>0.32</v>
      </c>
      <c r="J254" s="129" t="s">
        <v>23</v>
      </c>
      <c r="K254" s="312">
        <v>4.08</v>
      </c>
      <c r="L254" s="229">
        <v>1</v>
      </c>
      <c r="M254" s="230">
        <v>30</v>
      </c>
      <c r="N254" s="46" t="s">
        <v>802</v>
      </c>
      <c r="O254" s="297"/>
    </row>
    <row r="255" spans="1:15" s="9" customFormat="1" ht="15" x14ac:dyDescent="0.25">
      <c r="A255" s="222" t="s">
        <v>86</v>
      </c>
      <c r="B255" s="222" t="s">
        <v>605</v>
      </c>
      <c r="C255" s="243">
        <v>895500</v>
      </c>
      <c r="D255" s="129">
        <v>23</v>
      </c>
      <c r="E255" s="244" t="s">
        <v>689</v>
      </c>
      <c r="F255" s="129" t="s">
        <v>221</v>
      </c>
      <c r="G255" s="129" t="s">
        <v>456</v>
      </c>
      <c r="H255" s="245">
        <v>5</v>
      </c>
      <c r="I255" s="231">
        <v>0.18</v>
      </c>
      <c r="J255" s="129" t="s">
        <v>23</v>
      </c>
      <c r="K255" s="312">
        <v>0.52</v>
      </c>
      <c r="L255" s="229">
        <v>1</v>
      </c>
      <c r="M255" s="230">
        <v>50</v>
      </c>
      <c r="N255" s="46" t="s">
        <v>802</v>
      </c>
      <c r="O255" s="297"/>
    </row>
    <row r="256" spans="1:15" s="9" customFormat="1" ht="15" x14ac:dyDescent="0.25">
      <c r="A256" s="222" t="s">
        <v>86</v>
      </c>
      <c r="B256" s="222" t="s">
        <v>606</v>
      </c>
      <c r="C256" s="243">
        <v>895501</v>
      </c>
      <c r="D256" s="129">
        <v>23</v>
      </c>
      <c r="E256" s="244" t="s">
        <v>690</v>
      </c>
      <c r="F256" s="129" t="s">
        <v>221</v>
      </c>
      <c r="G256" s="129" t="s">
        <v>456</v>
      </c>
      <c r="H256" s="245">
        <v>5</v>
      </c>
      <c r="I256" s="231">
        <v>0.9</v>
      </c>
      <c r="J256" s="129" t="s">
        <v>23</v>
      </c>
      <c r="K256" s="312">
        <v>1.24</v>
      </c>
      <c r="L256" s="229">
        <v>1</v>
      </c>
      <c r="M256" s="230">
        <v>50</v>
      </c>
      <c r="N256" s="46" t="s">
        <v>802</v>
      </c>
      <c r="O256" s="297"/>
    </row>
    <row r="257" spans="1:16" s="9" customFormat="1" ht="15" x14ac:dyDescent="0.25">
      <c r="A257" s="222" t="s">
        <v>88</v>
      </c>
      <c r="B257" s="222" t="s">
        <v>350</v>
      </c>
      <c r="C257" s="243">
        <v>651643</v>
      </c>
      <c r="D257" s="129">
        <v>23</v>
      </c>
      <c r="E257" s="244" t="s">
        <v>351</v>
      </c>
      <c r="F257" s="129" t="s">
        <v>242</v>
      </c>
      <c r="G257" s="129" t="s">
        <v>463</v>
      </c>
      <c r="H257" s="245"/>
      <c r="I257" s="231">
        <v>3.3</v>
      </c>
      <c r="J257" s="129" t="s">
        <v>66</v>
      </c>
      <c r="K257" s="312">
        <v>144.19</v>
      </c>
      <c r="L257" s="229">
        <v>1</v>
      </c>
      <c r="M257" s="230">
        <v>100</v>
      </c>
      <c r="N257" s="46" t="s">
        <v>802</v>
      </c>
      <c r="O257" s="297"/>
    </row>
    <row r="258" spans="1:16" s="9" customFormat="1" ht="15" x14ac:dyDescent="0.25">
      <c r="A258" s="222" t="s">
        <v>88</v>
      </c>
      <c r="B258" s="222" t="s">
        <v>319</v>
      </c>
      <c r="C258" s="243">
        <v>890111</v>
      </c>
      <c r="D258" s="129">
        <v>23</v>
      </c>
      <c r="E258" s="244" t="s">
        <v>352</v>
      </c>
      <c r="F258" s="129" t="s">
        <v>242</v>
      </c>
      <c r="G258" s="129" t="s">
        <v>463</v>
      </c>
      <c r="H258" s="245"/>
      <c r="I258" s="231">
        <v>4</v>
      </c>
      <c r="J258" s="129" t="s">
        <v>66</v>
      </c>
      <c r="K258" s="312">
        <v>174.59</v>
      </c>
      <c r="L258" s="229">
        <v>1</v>
      </c>
      <c r="M258" s="230">
        <v>100</v>
      </c>
      <c r="N258" s="46" t="s">
        <v>802</v>
      </c>
      <c r="O258" s="297"/>
      <c r="P258" s="9" t="s">
        <v>801</v>
      </c>
    </row>
    <row r="259" spans="1:16" s="9" customFormat="1" x14ac:dyDescent="0.2">
      <c r="A259" s="219" t="s">
        <v>88</v>
      </c>
      <c r="B259" s="219" t="s">
        <v>89</v>
      </c>
      <c r="C259" s="129">
        <v>651820</v>
      </c>
      <c r="D259" s="129">
        <v>23</v>
      </c>
      <c r="E259" s="129" t="s">
        <v>270</v>
      </c>
      <c r="F259" s="129" t="s">
        <v>242</v>
      </c>
      <c r="G259" s="129" t="s">
        <v>463</v>
      </c>
      <c r="H259" s="227"/>
      <c r="I259" s="228">
        <v>1.62</v>
      </c>
      <c r="J259" s="129" t="s">
        <v>66</v>
      </c>
      <c r="K259" s="312">
        <v>95.85</v>
      </c>
      <c r="L259" s="229">
        <v>1</v>
      </c>
      <c r="M259" s="230">
        <v>100</v>
      </c>
      <c r="N259" s="46" t="s">
        <v>802</v>
      </c>
      <c r="O259" s="48"/>
      <c r="P259" s="9" t="s">
        <v>801</v>
      </c>
    </row>
    <row r="260" spans="1:16" s="9" customFormat="1" x14ac:dyDescent="0.2">
      <c r="A260" s="219" t="s">
        <v>90</v>
      </c>
      <c r="B260" s="219" t="s">
        <v>7</v>
      </c>
      <c r="C260" s="129">
        <v>890040</v>
      </c>
      <c r="D260" s="129">
        <v>23</v>
      </c>
      <c r="E260" s="129" t="s">
        <v>262</v>
      </c>
      <c r="F260" s="129" t="s">
        <v>172</v>
      </c>
      <c r="G260" s="129" t="s">
        <v>452</v>
      </c>
      <c r="H260" s="227"/>
      <c r="I260" s="228">
        <v>0.25</v>
      </c>
      <c r="J260" s="129" t="s">
        <v>23</v>
      </c>
      <c r="K260" s="312">
        <v>13.22</v>
      </c>
      <c r="L260" s="229">
        <v>1</v>
      </c>
      <c r="M260" s="230">
        <v>50</v>
      </c>
      <c r="N260" s="46" t="s">
        <v>802</v>
      </c>
      <c r="O260" s="48"/>
    </row>
    <row r="261" spans="1:16" s="9" customFormat="1" x14ac:dyDescent="0.2">
      <c r="A261" s="219" t="s">
        <v>90</v>
      </c>
      <c r="B261" s="219" t="s">
        <v>576</v>
      </c>
      <c r="C261" s="129">
        <v>890046</v>
      </c>
      <c r="D261" s="129">
        <v>23</v>
      </c>
      <c r="E261" s="129" t="s">
        <v>686</v>
      </c>
      <c r="F261" s="129" t="s">
        <v>172</v>
      </c>
      <c r="G261" s="129" t="s">
        <v>452</v>
      </c>
      <c r="H261" s="227"/>
      <c r="I261" s="228">
        <v>4.08</v>
      </c>
      <c r="J261" s="129" t="s">
        <v>23</v>
      </c>
      <c r="K261" s="312">
        <v>143</v>
      </c>
      <c r="L261" s="229">
        <v>5</v>
      </c>
      <c r="M261" s="230">
        <v>5</v>
      </c>
      <c r="N261" s="46" t="s">
        <v>802</v>
      </c>
      <c r="O261" s="48"/>
    </row>
    <row r="262" spans="1:16" s="9" customFormat="1" x14ac:dyDescent="0.2">
      <c r="A262" s="219" t="s">
        <v>90</v>
      </c>
      <c r="B262" s="219" t="s">
        <v>1036</v>
      </c>
      <c r="C262" s="129">
        <v>890133</v>
      </c>
      <c r="D262" s="129">
        <v>23</v>
      </c>
      <c r="E262" s="129" t="s">
        <v>1037</v>
      </c>
      <c r="F262" s="129" t="s">
        <v>172</v>
      </c>
      <c r="G262" s="129" t="s">
        <v>452</v>
      </c>
      <c r="H262" s="250"/>
      <c r="I262" s="228">
        <v>0.61</v>
      </c>
      <c r="J262" s="129" t="s">
        <v>23</v>
      </c>
      <c r="K262" s="312">
        <v>32.590000000000003</v>
      </c>
      <c r="L262" s="229">
        <v>1</v>
      </c>
      <c r="M262" s="230">
        <v>20</v>
      </c>
      <c r="N262" s="46" t="s">
        <v>802</v>
      </c>
      <c r="O262" s="50"/>
      <c r="P262" s="9" t="s">
        <v>801</v>
      </c>
    </row>
    <row r="263" spans="1:16" s="9" customFormat="1" x14ac:dyDescent="0.2">
      <c r="A263" s="219" t="s">
        <v>90</v>
      </c>
      <c r="B263" s="219" t="s">
        <v>1038</v>
      </c>
      <c r="C263" s="129">
        <v>890140</v>
      </c>
      <c r="D263" s="129">
        <v>23</v>
      </c>
      <c r="E263" s="129" t="s">
        <v>1039</v>
      </c>
      <c r="F263" s="129" t="s">
        <v>172</v>
      </c>
      <c r="G263" s="129" t="s">
        <v>452</v>
      </c>
      <c r="H263" s="250"/>
      <c r="I263" s="228">
        <v>0.8</v>
      </c>
      <c r="J263" s="129" t="s">
        <v>23</v>
      </c>
      <c r="K263" s="312">
        <v>39.549999999999997</v>
      </c>
      <c r="L263" s="229">
        <v>1</v>
      </c>
      <c r="M263" s="230">
        <v>20</v>
      </c>
      <c r="N263" s="46" t="s">
        <v>802</v>
      </c>
      <c r="O263" s="50"/>
      <c r="P263" s="9" t="s">
        <v>801</v>
      </c>
    </row>
    <row r="264" spans="1:16" s="9" customFormat="1" x14ac:dyDescent="0.2">
      <c r="A264" s="219" t="s">
        <v>90</v>
      </c>
      <c r="B264" s="219" t="s">
        <v>1040</v>
      </c>
      <c r="C264" s="129">
        <v>890166</v>
      </c>
      <c r="D264" s="129">
        <v>23</v>
      </c>
      <c r="E264" s="129" t="s">
        <v>1041</v>
      </c>
      <c r="F264" s="129" t="s">
        <v>172</v>
      </c>
      <c r="G264" s="129" t="s">
        <v>452</v>
      </c>
      <c r="H264" s="250"/>
      <c r="I264" s="228">
        <v>11.2</v>
      </c>
      <c r="J264" s="129" t="s">
        <v>23</v>
      </c>
      <c r="K264" s="312">
        <v>407.77</v>
      </c>
      <c r="L264" s="229">
        <v>5</v>
      </c>
      <c r="M264" s="230">
        <v>5</v>
      </c>
      <c r="N264" s="46" t="s">
        <v>802</v>
      </c>
      <c r="O264" s="50"/>
      <c r="P264" s="9" t="s">
        <v>801</v>
      </c>
    </row>
    <row r="265" spans="1:16" s="9" customFormat="1" x14ac:dyDescent="0.2">
      <c r="A265" s="219" t="s">
        <v>90</v>
      </c>
      <c r="B265" s="219" t="s">
        <v>91</v>
      </c>
      <c r="C265" s="129">
        <v>890433</v>
      </c>
      <c r="D265" s="129">
        <v>23</v>
      </c>
      <c r="E265" s="280" t="s">
        <v>260</v>
      </c>
      <c r="F265" s="129" t="s">
        <v>172</v>
      </c>
      <c r="G265" s="129" t="s">
        <v>452</v>
      </c>
      <c r="H265" s="269"/>
      <c r="I265" s="228">
        <v>0.36</v>
      </c>
      <c r="J265" s="129" t="s">
        <v>23</v>
      </c>
      <c r="K265" s="312">
        <v>20.36</v>
      </c>
      <c r="L265" s="229">
        <v>1</v>
      </c>
      <c r="M265" s="237">
        <v>45</v>
      </c>
      <c r="N265" s="46" t="s">
        <v>802</v>
      </c>
      <c r="O265" s="48"/>
    </row>
    <row r="266" spans="1:16" s="9" customFormat="1" x14ac:dyDescent="0.2">
      <c r="A266" s="219" t="s">
        <v>90</v>
      </c>
      <c r="B266" s="219" t="s">
        <v>1032</v>
      </c>
      <c r="C266" s="129">
        <v>890440</v>
      </c>
      <c r="D266" s="129">
        <v>23</v>
      </c>
      <c r="E266" s="129" t="s">
        <v>1033</v>
      </c>
      <c r="F266" s="129" t="s">
        <v>172</v>
      </c>
      <c r="G266" s="129" t="s">
        <v>452</v>
      </c>
      <c r="H266" s="227"/>
      <c r="I266" s="228">
        <v>0.45</v>
      </c>
      <c r="J266" s="129" t="s">
        <v>23</v>
      </c>
      <c r="K266" s="312">
        <v>24.73</v>
      </c>
      <c r="L266" s="229">
        <v>1</v>
      </c>
      <c r="M266" s="230">
        <v>20</v>
      </c>
      <c r="N266" s="46" t="s">
        <v>802</v>
      </c>
      <c r="O266" s="50"/>
    </row>
    <row r="267" spans="1:16" s="9" customFormat="1" x14ac:dyDescent="0.2">
      <c r="A267" s="219" t="s">
        <v>90</v>
      </c>
      <c r="B267" s="219" t="s">
        <v>574</v>
      </c>
      <c r="C267" s="129">
        <v>890466</v>
      </c>
      <c r="D267" s="129">
        <v>23</v>
      </c>
      <c r="E267" s="129" t="s">
        <v>684</v>
      </c>
      <c r="F267" s="129" t="s">
        <v>172</v>
      </c>
      <c r="G267" s="129" t="s">
        <v>452</v>
      </c>
      <c r="H267" s="269"/>
      <c r="I267" s="228">
        <v>7.02</v>
      </c>
      <c r="J267" s="129" t="s">
        <v>23</v>
      </c>
      <c r="K267" s="312">
        <v>264</v>
      </c>
      <c r="L267" s="229">
        <v>5</v>
      </c>
      <c r="M267" s="230">
        <v>5</v>
      </c>
      <c r="N267" s="46" t="s">
        <v>802</v>
      </c>
      <c r="O267" s="48"/>
    </row>
    <row r="268" spans="1:16" s="9" customFormat="1" x14ac:dyDescent="0.2">
      <c r="A268" s="219" t="s">
        <v>90</v>
      </c>
      <c r="B268" s="219" t="s">
        <v>5</v>
      </c>
      <c r="C268" s="129">
        <v>890733</v>
      </c>
      <c r="D268" s="129">
        <v>23</v>
      </c>
      <c r="E268" s="129" t="s">
        <v>261</v>
      </c>
      <c r="F268" s="129" t="s">
        <v>172</v>
      </c>
      <c r="G268" s="129" t="s">
        <v>452</v>
      </c>
      <c r="H268" s="269"/>
      <c r="I268" s="228">
        <v>0.47</v>
      </c>
      <c r="J268" s="129" t="s">
        <v>23</v>
      </c>
      <c r="K268" s="312">
        <v>25.48</v>
      </c>
      <c r="L268" s="229">
        <v>1</v>
      </c>
      <c r="M268" s="230">
        <v>20</v>
      </c>
      <c r="N268" s="46" t="s">
        <v>802</v>
      </c>
      <c r="O268" s="48"/>
    </row>
    <row r="269" spans="1:16" s="9" customFormat="1" x14ac:dyDescent="0.2">
      <c r="A269" s="219" t="s">
        <v>90</v>
      </c>
      <c r="B269" s="219" t="s">
        <v>1034</v>
      </c>
      <c r="C269" s="129">
        <v>890740</v>
      </c>
      <c r="D269" s="129">
        <v>23</v>
      </c>
      <c r="E269" s="129" t="s">
        <v>1035</v>
      </c>
      <c r="F269" s="129" t="s">
        <v>172</v>
      </c>
      <c r="G269" s="129" t="s">
        <v>452</v>
      </c>
      <c r="H269" s="269"/>
      <c r="I269" s="228">
        <v>0.6</v>
      </c>
      <c r="J269" s="129" t="s">
        <v>23</v>
      </c>
      <c r="K269" s="312">
        <v>30.88</v>
      </c>
      <c r="L269" s="229">
        <v>1</v>
      </c>
      <c r="M269" s="230">
        <v>20</v>
      </c>
      <c r="N269" s="46" t="s">
        <v>802</v>
      </c>
      <c r="O269" s="48"/>
    </row>
    <row r="270" spans="1:16" s="9" customFormat="1" x14ac:dyDescent="0.2">
      <c r="A270" s="219" t="s">
        <v>90</v>
      </c>
      <c r="B270" s="219" t="s">
        <v>575</v>
      </c>
      <c r="C270" s="129">
        <v>890766</v>
      </c>
      <c r="D270" s="129">
        <v>23</v>
      </c>
      <c r="E270" s="129" t="s">
        <v>685</v>
      </c>
      <c r="F270" s="129" t="s">
        <v>172</v>
      </c>
      <c r="G270" s="129" t="s">
        <v>452</v>
      </c>
      <c r="H270" s="269"/>
      <c r="I270" s="228">
        <v>10.44</v>
      </c>
      <c r="J270" s="129" t="s">
        <v>23</v>
      </c>
      <c r="K270" s="312">
        <v>354</v>
      </c>
      <c r="L270" s="229">
        <v>5</v>
      </c>
      <c r="M270" s="230">
        <v>5</v>
      </c>
      <c r="N270" s="46" t="s">
        <v>802</v>
      </c>
      <c r="O270" s="48"/>
    </row>
    <row r="271" spans="1:16" s="9" customFormat="1" x14ac:dyDescent="0.2">
      <c r="A271" s="219" t="s">
        <v>92</v>
      </c>
      <c r="B271" s="219" t="s">
        <v>93</v>
      </c>
      <c r="C271" s="129">
        <v>894824</v>
      </c>
      <c r="D271" s="129">
        <v>23</v>
      </c>
      <c r="E271" s="129" t="s">
        <v>289</v>
      </c>
      <c r="F271" s="129" t="s">
        <v>242</v>
      </c>
      <c r="G271" s="129" t="s">
        <v>468</v>
      </c>
      <c r="H271" s="227"/>
      <c r="I271" s="228">
        <v>0.01</v>
      </c>
      <c r="J271" s="129" t="s">
        <v>23</v>
      </c>
      <c r="K271" s="312">
        <v>1.85</v>
      </c>
      <c r="L271" s="229">
        <v>1</v>
      </c>
      <c r="M271" s="230">
        <v>100</v>
      </c>
      <c r="N271" s="46" t="s">
        <v>802</v>
      </c>
      <c r="O271" s="48"/>
    </row>
    <row r="272" spans="1:16" s="9" customFormat="1" x14ac:dyDescent="0.2">
      <c r="A272" s="219" t="s">
        <v>353</v>
      </c>
      <c r="B272" s="219" t="s">
        <v>354</v>
      </c>
      <c r="C272" s="129">
        <v>808251</v>
      </c>
      <c r="D272" s="129">
        <v>23</v>
      </c>
      <c r="E272" s="129" t="s">
        <v>355</v>
      </c>
      <c r="F272" s="129" t="s">
        <v>356</v>
      </c>
      <c r="G272" s="129" t="s">
        <v>463</v>
      </c>
      <c r="H272" s="227"/>
      <c r="I272" s="228">
        <v>0.01</v>
      </c>
      <c r="J272" s="129" t="s">
        <v>23</v>
      </c>
      <c r="K272" s="312">
        <v>0.63</v>
      </c>
      <c r="L272" s="229">
        <v>1</v>
      </c>
      <c r="M272" s="230">
        <v>100</v>
      </c>
      <c r="N272" s="46" t="s">
        <v>802</v>
      </c>
      <c r="O272" s="48"/>
      <c r="P272" s="9" t="s">
        <v>801</v>
      </c>
    </row>
    <row r="273" spans="1:16" s="9" customFormat="1" x14ac:dyDescent="0.2">
      <c r="A273" s="219" t="s">
        <v>1094</v>
      </c>
      <c r="B273" s="219" t="s">
        <v>1095</v>
      </c>
      <c r="C273" s="129">
        <v>993321</v>
      </c>
      <c r="D273" s="129">
        <v>23</v>
      </c>
      <c r="E273" s="129" t="s">
        <v>1096</v>
      </c>
      <c r="F273" s="129" t="s">
        <v>1097</v>
      </c>
      <c r="G273" s="129" t="s">
        <v>1236</v>
      </c>
      <c r="H273" s="227"/>
      <c r="I273" s="228">
        <v>1.7999999999999999E-2</v>
      </c>
      <c r="J273" s="129" t="s">
        <v>23</v>
      </c>
      <c r="K273" s="312">
        <v>1.2</v>
      </c>
      <c r="L273" s="229">
        <v>1</v>
      </c>
      <c r="M273" s="230">
        <v>100</v>
      </c>
      <c r="N273" s="46" t="s">
        <v>802</v>
      </c>
      <c r="O273" s="48"/>
      <c r="P273" s="9" t="s">
        <v>801</v>
      </c>
    </row>
    <row r="274" spans="1:16" s="9" customFormat="1" x14ac:dyDescent="0.2">
      <c r="A274" s="219" t="s">
        <v>1094</v>
      </c>
      <c r="B274" s="219" t="s">
        <v>1098</v>
      </c>
      <c r="C274" s="231">
        <v>992521</v>
      </c>
      <c r="D274" s="129">
        <v>23</v>
      </c>
      <c r="E274" s="231" t="s">
        <v>1099</v>
      </c>
      <c r="F274" s="129" t="s">
        <v>1097</v>
      </c>
      <c r="G274" s="129" t="s">
        <v>1236</v>
      </c>
      <c r="H274" s="232"/>
      <c r="I274" s="233">
        <v>0.02</v>
      </c>
      <c r="J274" s="231" t="s">
        <v>23</v>
      </c>
      <c r="K274" s="312">
        <v>1.4</v>
      </c>
      <c r="L274" s="236">
        <v>1</v>
      </c>
      <c r="M274" s="237">
        <v>100</v>
      </c>
      <c r="N274" s="46" t="s">
        <v>802</v>
      </c>
      <c r="O274" s="48"/>
    </row>
    <row r="275" spans="1:16" s="9" customFormat="1" x14ac:dyDescent="0.2">
      <c r="A275" s="219" t="s">
        <v>995</v>
      </c>
      <c r="B275" s="219" t="s">
        <v>922</v>
      </c>
      <c r="C275" s="231">
        <v>65114197</v>
      </c>
      <c r="D275" s="129">
        <v>23</v>
      </c>
      <c r="E275" s="231" t="s">
        <v>996</v>
      </c>
      <c r="F275" s="129" t="s">
        <v>242</v>
      </c>
      <c r="G275" s="129" t="s">
        <v>465</v>
      </c>
      <c r="H275" s="232"/>
      <c r="I275" s="233"/>
      <c r="J275" s="231" t="s">
        <v>66</v>
      </c>
      <c r="K275" s="312">
        <v>184.49</v>
      </c>
      <c r="L275" s="236">
        <v>1</v>
      </c>
      <c r="M275" s="237">
        <v>1</v>
      </c>
      <c r="N275" s="46" t="s">
        <v>802</v>
      </c>
      <c r="O275" s="48"/>
    </row>
    <row r="276" spans="1:16" s="9" customFormat="1" x14ac:dyDescent="0.2">
      <c r="A276" s="219" t="s">
        <v>999</v>
      </c>
      <c r="B276" s="219" t="s">
        <v>1000</v>
      </c>
      <c r="C276" s="231">
        <v>6505414</v>
      </c>
      <c r="D276" s="129">
        <v>23</v>
      </c>
      <c r="E276" s="231" t="s">
        <v>1001</v>
      </c>
      <c r="F276" s="129" t="s">
        <v>242</v>
      </c>
      <c r="G276" s="129" t="s">
        <v>465</v>
      </c>
      <c r="H276" s="232"/>
      <c r="I276" s="233"/>
      <c r="J276" s="231" t="s">
        <v>66</v>
      </c>
      <c r="K276" s="312">
        <v>60.87</v>
      </c>
      <c r="L276" s="236">
        <v>1</v>
      </c>
      <c r="M276" s="237">
        <v>1</v>
      </c>
      <c r="N276" s="46" t="s">
        <v>802</v>
      </c>
      <c r="O276" s="48"/>
    </row>
    <row r="277" spans="1:16" s="9" customFormat="1" x14ac:dyDescent="0.2">
      <c r="A277" s="219" t="s">
        <v>628</v>
      </c>
      <c r="B277" s="219" t="s">
        <v>601</v>
      </c>
      <c r="C277" s="129">
        <v>858023</v>
      </c>
      <c r="D277" s="129">
        <v>23</v>
      </c>
      <c r="E277" s="129" t="s">
        <v>670</v>
      </c>
      <c r="F277" s="129" t="s">
        <v>169</v>
      </c>
      <c r="G277" s="129" t="s">
        <v>451</v>
      </c>
      <c r="H277" s="269">
        <v>2</v>
      </c>
      <c r="I277" s="228">
        <v>0.73</v>
      </c>
      <c r="J277" s="129" t="s">
        <v>23</v>
      </c>
      <c r="K277" s="312">
        <v>20.399999999999999</v>
      </c>
      <c r="L277" s="229">
        <v>1</v>
      </c>
      <c r="M277" s="230">
        <v>10</v>
      </c>
      <c r="N277" s="46" t="s">
        <v>802</v>
      </c>
      <c r="O277" s="48" t="s">
        <v>801</v>
      </c>
    </row>
    <row r="278" spans="1:16" s="9" customFormat="1" x14ac:dyDescent="0.2">
      <c r="A278" s="219" t="s">
        <v>628</v>
      </c>
      <c r="B278" s="219" t="s">
        <v>602</v>
      </c>
      <c r="C278" s="129">
        <v>858024</v>
      </c>
      <c r="D278" s="129">
        <v>23</v>
      </c>
      <c r="E278" s="129" t="s">
        <v>671</v>
      </c>
      <c r="F278" s="129" t="s">
        <v>169</v>
      </c>
      <c r="G278" s="129" t="s">
        <v>451</v>
      </c>
      <c r="H278" s="269">
        <v>2</v>
      </c>
      <c r="I278" s="228">
        <v>1.42</v>
      </c>
      <c r="J278" s="129" t="s">
        <v>23</v>
      </c>
      <c r="K278" s="312">
        <v>37.4</v>
      </c>
      <c r="L278" s="229">
        <v>1</v>
      </c>
      <c r="M278" s="230">
        <v>10</v>
      </c>
      <c r="N278" s="46" t="s">
        <v>802</v>
      </c>
      <c r="O278" s="48" t="s">
        <v>801</v>
      </c>
    </row>
    <row r="279" spans="1:16" s="9" customFormat="1" x14ac:dyDescent="0.2">
      <c r="A279" s="219" t="s">
        <v>628</v>
      </c>
      <c r="B279" s="219" t="s">
        <v>1115</v>
      </c>
      <c r="C279" s="129">
        <v>858025</v>
      </c>
      <c r="D279" s="129">
        <v>23</v>
      </c>
      <c r="E279" s="129" t="s">
        <v>1116</v>
      </c>
      <c r="F279" s="129" t="s">
        <v>169</v>
      </c>
      <c r="G279" s="129" t="s">
        <v>451</v>
      </c>
      <c r="H279" s="269">
        <v>2</v>
      </c>
      <c r="I279" s="228">
        <v>0.8</v>
      </c>
      <c r="J279" s="129" t="s">
        <v>23</v>
      </c>
      <c r="K279" s="312">
        <v>15</v>
      </c>
      <c r="L279" s="229">
        <v>1</v>
      </c>
      <c r="M279" s="230">
        <v>10</v>
      </c>
      <c r="N279" s="46" t="s">
        <v>803</v>
      </c>
      <c r="O279" s="48" t="s">
        <v>801</v>
      </c>
    </row>
    <row r="280" spans="1:16" s="9" customFormat="1" x14ac:dyDescent="0.2">
      <c r="A280" s="219" t="s">
        <v>603</v>
      </c>
      <c r="B280" s="219" t="s">
        <v>604</v>
      </c>
      <c r="C280" s="129">
        <v>864205</v>
      </c>
      <c r="D280" s="129">
        <v>23</v>
      </c>
      <c r="E280" s="129" t="s">
        <v>668</v>
      </c>
      <c r="F280" s="129" t="s">
        <v>169</v>
      </c>
      <c r="G280" s="129" t="s">
        <v>451</v>
      </c>
      <c r="H280" s="269"/>
      <c r="I280" s="228">
        <v>0.3</v>
      </c>
      <c r="J280" s="129" t="s">
        <v>23</v>
      </c>
      <c r="K280" s="312">
        <v>3.49</v>
      </c>
      <c r="L280" s="229">
        <v>1</v>
      </c>
      <c r="M280" s="230">
        <v>100</v>
      </c>
      <c r="N280" s="46" t="s">
        <v>802</v>
      </c>
      <c r="O280" s="48" t="s">
        <v>801</v>
      </c>
    </row>
    <row r="281" spans="1:16" s="9" customFormat="1" x14ac:dyDescent="0.2">
      <c r="A281" s="219" t="s">
        <v>357</v>
      </c>
      <c r="B281" s="219" t="s">
        <v>358</v>
      </c>
      <c r="C281" s="231">
        <v>6506513</v>
      </c>
      <c r="D281" s="129">
        <v>23</v>
      </c>
      <c r="E281" s="231" t="s">
        <v>359</v>
      </c>
      <c r="F281" s="129" t="s">
        <v>356</v>
      </c>
      <c r="G281" s="129" t="s">
        <v>465</v>
      </c>
      <c r="H281" s="233"/>
      <c r="I281" s="233">
        <v>0.06</v>
      </c>
      <c r="J281" s="231" t="s">
        <v>23</v>
      </c>
      <c r="K281" s="312">
        <v>4.1900000000000004</v>
      </c>
      <c r="L281" s="236">
        <v>1</v>
      </c>
      <c r="M281" s="237">
        <v>100</v>
      </c>
      <c r="N281" s="46" t="s">
        <v>802</v>
      </c>
      <c r="O281" s="48"/>
    </row>
    <row r="282" spans="1:16" s="9" customFormat="1" ht="15" x14ac:dyDescent="0.25">
      <c r="A282" s="222" t="s">
        <v>94</v>
      </c>
      <c r="B282" s="222" t="s">
        <v>360</v>
      </c>
      <c r="C282" s="243">
        <v>991020</v>
      </c>
      <c r="D282" s="129">
        <v>23</v>
      </c>
      <c r="E282" s="244" t="s">
        <v>271</v>
      </c>
      <c r="F282" s="129" t="s">
        <v>242</v>
      </c>
      <c r="G282" s="129" t="s">
        <v>461</v>
      </c>
      <c r="H282" s="243"/>
      <c r="I282" s="231">
        <v>2.5</v>
      </c>
      <c r="J282" s="129" t="s">
        <v>66</v>
      </c>
      <c r="K282" s="312">
        <v>69.75</v>
      </c>
      <c r="L282" s="247">
        <v>1</v>
      </c>
      <c r="M282" s="248">
        <v>100</v>
      </c>
      <c r="N282" s="46" t="s">
        <v>802</v>
      </c>
      <c r="O282" s="297"/>
      <c r="P282" s="9" t="s">
        <v>801</v>
      </c>
    </row>
    <row r="283" spans="1:16" s="9" customFormat="1" ht="15" x14ac:dyDescent="0.25">
      <c r="A283" s="222" t="s">
        <v>94</v>
      </c>
      <c r="B283" s="222" t="s">
        <v>1010</v>
      </c>
      <c r="C283" s="243">
        <v>998121</v>
      </c>
      <c r="D283" s="129">
        <v>23</v>
      </c>
      <c r="E283" s="244" t="s">
        <v>993</v>
      </c>
      <c r="F283" s="129" t="s">
        <v>242</v>
      </c>
      <c r="G283" s="129" t="s">
        <v>465</v>
      </c>
      <c r="H283" s="243"/>
      <c r="I283" s="231"/>
      <c r="J283" s="129" t="s">
        <v>66</v>
      </c>
      <c r="K283" s="312">
        <v>24.99</v>
      </c>
      <c r="L283" s="247">
        <v>1</v>
      </c>
      <c r="M283" s="248">
        <v>1</v>
      </c>
      <c r="N283" s="46" t="s">
        <v>802</v>
      </c>
      <c r="O283" s="297"/>
      <c r="P283" s="9" t="s">
        <v>801</v>
      </c>
    </row>
    <row r="284" spans="1:16" s="9" customFormat="1" ht="12" customHeight="1" x14ac:dyDescent="0.25">
      <c r="A284" s="222" t="s">
        <v>94</v>
      </c>
      <c r="B284" s="222" t="s">
        <v>707</v>
      </c>
      <c r="C284" s="243">
        <v>99998301</v>
      </c>
      <c r="D284" s="129">
        <v>23</v>
      </c>
      <c r="E284" s="244" t="s">
        <v>708</v>
      </c>
      <c r="F284" s="129" t="s">
        <v>242</v>
      </c>
      <c r="G284" s="129" t="s">
        <v>461</v>
      </c>
      <c r="H284" s="243"/>
      <c r="I284" s="231"/>
      <c r="J284" s="129" t="s">
        <v>66</v>
      </c>
      <c r="K284" s="312">
        <v>48.75</v>
      </c>
      <c r="L284" s="247">
        <v>1</v>
      </c>
      <c r="M284" s="248">
        <v>100</v>
      </c>
      <c r="N284" s="46" t="s">
        <v>802</v>
      </c>
      <c r="O284" s="297"/>
      <c r="P284" s="9" t="s">
        <v>801</v>
      </c>
    </row>
    <row r="285" spans="1:16" s="9" customFormat="1" x14ac:dyDescent="0.2">
      <c r="A285" s="219" t="s">
        <v>95</v>
      </c>
      <c r="B285" s="219" t="s">
        <v>96</v>
      </c>
      <c r="C285" s="129">
        <v>898820</v>
      </c>
      <c r="D285" s="129">
        <v>23</v>
      </c>
      <c r="E285" s="129">
        <v>5900993207224</v>
      </c>
      <c r="F285" s="129" t="s">
        <v>242</v>
      </c>
      <c r="G285" s="129" t="s">
        <v>461</v>
      </c>
      <c r="H285" s="269"/>
      <c r="I285" s="228">
        <v>0.13</v>
      </c>
      <c r="J285" s="129" t="s">
        <v>23</v>
      </c>
      <c r="K285" s="312">
        <v>6.29</v>
      </c>
      <c r="L285" s="229">
        <v>1</v>
      </c>
      <c r="M285" s="230">
        <v>50</v>
      </c>
      <c r="N285" s="46" t="s">
        <v>802</v>
      </c>
      <c r="O285" s="48"/>
      <c r="P285" s="9" t="s">
        <v>801</v>
      </c>
    </row>
    <row r="286" spans="1:16" s="9" customFormat="1" ht="15" x14ac:dyDescent="0.25">
      <c r="A286" s="222" t="s">
        <v>95</v>
      </c>
      <c r="B286" s="222" t="s">
        <v>97</v>
      </c>
      <c r="C286" s="243">
        <v>898825</v>
      </c>
      <c r="D286" s="129">
        <v>23</v>
      </c>
      <c r="E286" s="244">
        <v>5900993207231</v>
      </c>
      <c r="F286" s="129" t="s">
        <v>242</v>
      </c>
      <c r="G286" s="129" t="s">
        <v>461</v>
      </c>
      <c r="H286" s="243"/>
      <c r="I286" s="231">
        <v>0.15</v>
      </c>
      <c r="J286" s="129" t="s">
        <v>23</v>
      </c>
      <c r="K286" s="312">
        <v>6.99</v>
      </c>
      <c r="L286" s="247">
        <v>1</v>
      </c>
      <c r="M286" s="248">
        <v>50</v>
      </c>
      <c r="N286" s="46" t="s">
        <v>802</v>
      </c>
      <c r="O286" s="297"/>
      <c r="P286" s="9" t="s">
        <v>801</v>
      </c>
    </row>
    <row r="287" spans="1:16" s="9" customFormat="1" x14ac:dyDescent="0.2">
      <c r="A287" s="219" t="s">
        <v>95</v>
      </c>
      <c r="B287" s="219" t="s">
        <v>98</v>
      </c>
      <c r="C287" s="231">
        <v>898830</v>
      </c>
      <c r="D287" s="129">
        <v>23</v>
      </c>
      <c r="E287" s="231">
        <v>5900993207248</v>
      </c>
      <c r="F287" s="129" t="s">
        <v>242</v>
      </c>
      <c r="G287" s="129" t="s">
        <v>461</v>
      </c>
      <c r="H287" s="233"/>
      <c r="I287" s="233">
        <v>0.17</v>
      </c>
      <c r="J287" s="231" t="s">
        <v>23</v>
      </c>
      <c r="K287" s="312">
        <v>8.39</v>
      </c>
      <c r="L287" s="236">
        <v>1</v>
      </c>
      <c r="M287" s="237">
        <v>50</v>
      </c>
      <c r="N287" s="46" t="s">
        <v>802</v>
      </c>
      <c r="O287" s="48"/>
      <c r="P287" s="9" t="s">
        <v>801</v>
      </c>
    </row>
    <row r="288" spans="1:16" s="9" customFormat="1" x14ac:dyDescent="0.2">
      <c r="A288" s="219" t="s">
        <v>95</v>
      </c>
      <c r="B288" s="219" t="s">
        <v>99</v>
      </c>
      <c r="C288" s="129">
        <v>898831</v>
      </c>
      <c r="D288" s="129">
        <v>23</v>
      </c>
      <c r="E288" s="129" t="s">
        <v>269</v>
      </c>
      <c r="F288" s="129" t="s">
        <v>242</v>
      </c>
      <c r="G288" s="129" t="s">
        <v>461</v>
      </c>
      <c r="H288" s="269"/>
      <c r="I288" s="228">
        <v>0.25</v>
      </c>
      <c r="J288" s="129" t="s">
        <v>23</v>
      </c>
      <c r="K288" s="312" t="e">
        <v>#VALUE!</v>
      </c>
      <c r="L288" s="229">
        <v>1</v>
      </c>
      <c r="M288" s="230">
        <v>25</v>
      </c>
      <c r="N288" s="46" t="s">
        <v>802</v>
      </c>
      <c r="O288" s="48"/>
      <c r="P288" s="9" t="s">
        <v>801</v>
      </c>
    </row>
    <row r="289" spans="1:16" s="9" customFormat="1" ht="15" x14ac:dyDescent="0.25">
      <c r="A289" s="222" t="s">
        <v>988</v>
      </c>
      <c r="B289" s="222" t="s">
        <v>989</v>
      </c>
      <c r="C289" s="243">
        <v>809219</v>
      </c>
      <c r="D289" s="129">
        <v>23</v>
      </c>
      <c r="E289" s="244" t="s">
        <v>990</v>
      </c>
      <c r="F289" s="129" t="s">
        <v>169</v>
      </c>
      <c r="G289" s="129" t="s">
        <v>451</v>
      </c>
      <c r="H289" s="243"/>
      <c r="I289" s="231">
        <v>0.16</v>
      </c>
      <c r="J289" s="129" t="s">
        <v>23</v>
      </c>
      <c r="K289" s="312">
        <v>19.899999999999999</v>
      </c>
      <c r="L289" s="247">
        <v>1</v>
      </c>
      <c r="M289" s="248">
        <v>10</v>
      </c>
      <c r="N289" s="46" t="s">
        <v>802</v>
      </c>
      <c r="O289" s="297" t="s">
        <v>801</v>
      </c>
      <c r="P289" s="9" t="s">
        <v>801</v>
      </c>
    </row>
    <row r="290" spans="1:16" s="9" customFormat="1" x14ac:dyDescent="0.2">
      <c r="A290" s="219" t="s">
        <v>100</v>
      </c>
      <c r="B290" s="219" t="s">
        <v>361</v>
      </c>
      <c r="C290" s="231">
        <v>890110</v>
      </c>
      <c r="D290" s="129">
        <v>23</v>
      </c>
      <c r="E290" s="231" t="s">
        <v>362</v>
      </c>
      <c r="F290" s="129" t="s">
        <v>169</v>
      </c>
      <c r="G290" s="129" t="s">
        <v>451</v>
      </c>
      <c r="H290" s="233"/>
      <c r="I290" s="233">
        <v>0.4</v>
      </c>
      <c r="J290" s="231" t="s">
        <v>23</v>
      </c>
      <c r="K290" s="312">
        <v>35.25</v>
      </c>
      <c r="L290" s="236">
        <v>1</v>
      </c>
      <c r="M290" s="237">
        <v>100</v>
      </c>
      <c r="N290" s="46" t="s">
        <v>802</v>
      </c>
      <c r="O290" s="48" t="s">
        <v>801</v>
      </c>
      <c r="P290" s="9" t="s">
        <v>801</v>
      </c>
    </row>
    <row r="291" spans="1:16" s="9" customFormat="1" x14ac:dyDescent="0.2">
      <c r="A291" s="219" t="s">
        <v>100</v>
      </c>
      <c r="B291" s="219" t="s">
        <v>101</v>
      </c>
      <c r="C291" s="129">
        <v>890120</v>
      </c>
      <c r="D291" s="129">
        <v>23</v>
      </c>
      <c r="E291" s="129" t="s">
        <v>279</v>
      </c>
      <c r="F291" s="129" t="s">
        <v>169</v>
      </c>
      <c r="G291" s="129" t="s">
        <v>451</v>
      </c>
      <c r="H291" s="269"/>
      <c r="I291" s="228">
        <v>0.5</v>
      </c>
      <c r="J291" s="129" t="s">
        <v>23</v>
      </c>
      <c r="K291" s="312">
        <v>45.53</v>
      </c>
      <c r="L291" s="229">
        <v>1</v>
      </c>
      <c r="M291" s="230">
        <v>100</v>
      </c>
      <c r="N291" s="46" t="s">
        <v>802</v>
      </c>
      <c r="O291" s="48" t="s">
        <v>801</v>
      </c>
      <c r="P291" s="9" t="s">
        <v>801</v>
      </c>
    </row>
    <row r="292" spans="1:16" s="9" customFormat="1" x14ac:dyDescent="0.2">
      <c r="A292" s="219" t="s">
        <v>280</v>
      </c>
      <c r="B292" s="219" t="s">
        <v>398</v>
      </c>
      <c r="C292" s="129">
        <v>890225</v>
      </c>
      <c r="D292" s="129">
        <v>23</v>
      </c>
      <c r="E292" s="129" t="s">
        <v>399</v>
      </c>
      <c r="F292" s="129" t="s">
        <v>169</v>
      </c>
      <c r="G292" s="129" t="s">
        <v>451</v>
      </c>
      <c r="H292" s="269"/>
      <c r="I292" s="228">
        <v>0.5</v>
      </c>
      <c r="J292" s="129" t="s">
        <v>23</v>
      </c>
      <c r="K292" s="312">
        <v>27.63</v>
      </c>
      <c r="L292" s="229">
        <v>1</v>
      </c>
      <c r="M292" s="230">
        <v>100</v>
      </c>
      <c r="N292" s="46" t="s">
        <v>802</v>
      </c>
      <c r="O292" s="48" t="s">
        <v>801</v>
      </c>
      <c r="P292" s="9" t="s">
        <v>801</v>
      </c>
    </row>
    <row r="293" spans="1:16" s="9" customFormat="1" ht="15" x14ac:dyDescent="0.25">
      <c r="A293" s="222" t="s">
        <v>280</v>
      </c>
      <c r="B293" s="222" t="s">
        <v>400</v>
      </c>
      <c r="C293" s="243">
        <v>890232</v>
      </c>
      <c r="D293" s="129">
        <v>23</v>
      </c>
      <c r="E293" s="244" t="s">
        <v>401</v>
      </c>
      <c r="F293" s="243" t="s">
        <v>169</v>
      </c>
      <c r="G293" s="288" t="s">
        <v>451</v>
      </c>
      <c r="H293" s="243"/>
      <c r="I293" s="231">
        <v>0.53</v>
      </c>
      <c r="J293" s="129" t="s">
        <v>23</v>
      </c>
      <c r="K293" s="312">
        <v>28.49</v>
      </c>
      <c r="L293" s="247">
        <v>1</v>
      </c>
      <c r="M293" s="248">
        <v>100</v>
      </c>
      <c r="N293" s="46" t="s">
        <v>802</v>
      </c>
      <c r="O293" s="297" t="s">
        <v>801</v>
      </c>
      <c r="P293" s="9" t="s">
        <v>801</v>
      </c>
    </row>
    <row r="294" spans="1:16" s="9" customFormat="1" ht="13.5" customHeight="1" x14ac:dyDescent="0.25">
      <c r="A294" s="222" t="s">
        <v>280</v>
      </c>
      <c r="B294" s="222" t="s">
        <v>402</v>
      </c>
      <c r="C294" s="243">
        <v>890125</v>
      </c>
      <c r="D294" s="129">
        <v>23</v>
      </c>
      <c r="E294" s="244" t="s">
        <v>403</v>
      </c>
      <c r="F294" s="243" t="s">
        <v>169</v>
      </c>
      <c r="G294" s="288" t="s">
        <v>451</v>
      </c>
      <c r="H294" s="243"/>
      <c r="I294" s="231">
        <v>0.43</v>
      </c>
      <c r="J294" s="129" t="s">
        <v>23</v>
      </c>
      <c r="K294" s="312">
        <v>28.24</v>
      </c>
      <c r="L294" s="247">
        <v>1</v>
      </c>
      <c r="M294" s="248">
        <v>100</v>
      </c>
      <c r="N294" s="46" t="s">
        <v>802</v>
      </c>
      <c r="O294" s="297" t="s">
        <v>801</v>
      </c>
      <c r="P294" s="9" t="s">
        <v>801</v>
      </c>
    </row>
    <row r="295" spans="1:16" s="9" customFormat="1" x14ac:dyDescent="0.2">
      <c r="A295" s="219" t="s">
        <v>280</v>
      </c>
      <c r="B295" s="219" t="s">
        <v>404</v>
      </c>
      <c r="C295" s="129">
        <v>890132</v>
      </c>
      <c r="D295" s="129">
        <v>23</v>
      </c>
      <c r="E295" s="129" t="s">
        <v>405</v>
      </c>
      <c r="F295" s="129" t="s">
        <v>169</v>
      </c>
      <c r="G295" s="129" t="s">
        <v>451</v>
      </c>
      <c r="H295" s="269"/>
      <c r="I295" s="228">
        <v>0.46</v>
      </c>
      <c r="J295" s="129" t="s">
        <v>23</v>
      </c>
      <c r="K295" s="312">
        <v>30.57</v>
      </c>
      <c r="L295" s="229">
        <v>1</v>
      </c>
      <c r="M295" s="237">
        <v>100</v>
      </c>
      <c r="N295" s="46" t="s">
        <v>802</v>
      </c>
      <c r="O295" s="48" t="s">
        <v>801</v>
      </c>
      <c r="P295" s="9" t="s">
        <v>801</v>
      </c>
    </row>
    <row r="296" spans="1:16" s="9" customFormat="1" x14ac:dyDescent="0.2">
      <c r="A296" s="219" t="s">
        <v>1102</v>
      </c>
      <c r="B296" s="219" t="s">
        <v>1103</v>
      </c>
      <c r="C296" s="129">
        <v>991021</v>
      </c>
      <c r="D296" s="129">
        <v>23</v>
      </c>
      <c r="E296" s="280" t="s">
        <v>1104</v>
      </c>
      <c r="F296" s="129" t="s">
        <v>219</v>
      </c>
      <c r="G296" s="129" t="s">
        <v>1100</v>
      </c>
      <c r="H296" s="269"/>
      <c r="I296" s="228">
        <v>2E-3</v>
      </c>
      <c r="J296" s="129" t="s">
        <v>23</v>
      </c>
      <c r="K296" s="312">
        <v>2.14</v>
      </c>
      <c r="L296" s="229">
        <v>1</v>
      </c>
      <c r="M296" s="237">
        <v>100</v>
      </c>
      <c r="N296" s="46" t="s">
        <v>802</v>
      </c>
      <c r="O296" s="48"/>
      <c r="P296" s="9" t="s">
        <v>801</v>
      </c>
    </row>
    <row r="297" spans="1:16" s="9" customFormat="1" x14ac:dyDescent="0.2">
      <c r="A297" s="219" t="s">
        <v>1102</v>
      </c>
      <c r="B297" s="242" t="s">
        <v>1105</v>
      </c>
      <c r="C297" s="231">
        <v>991022</v>
      </c>
      <c r="D297" s="129">
        <v>23</v>
      </c>
      <c r="E297" s="231" t="s">
        <v>1106</v>
      </c>
      <c r="F297" s="129" t="s">
        <v>219</v>
      </c>
      <c r="G297" s="129" t="s">
        <v>1100</v>
      </c>
      <c r="H297" s="232"/>
      <c r="I297" s="233">
        <v>1E-3</v>
      </c>
      <c r="J297" s="231" t="s">
        <v>23</v>
      </c>
      <c r="K297" s="312">
        <v>1.31</v>
      </c>
      <c r="L297" s="229">
        <v>1</v>
      </c>
      <c r="M297" s="234">
        <v>100</v>
      </c>
      <c r="N297" s="46" t="s">
        <v>802</v>
      </c>
      <c r="O297" s="50"/>
      <c r="P297" s="9" t="s">
        <v>801</v>
      </c>
    </row>
    <row r="298" spans="1:16" s="9" customFormat="1" x14ac:dyDescent="0.2">
      <c r="A298" s="219" t="s">
        <v>1102</v>
      </c>
      <c r="B298" s="220" t="s">
        <v>1107</v>
      </c>
      <c r="C298" s="231">
        <v>991023</v>
      </c>
      <c r="D298" s="129">
        <v>23</v>
      </c>
      <c r="E298" s="231" t="s">
        <v>1108</v>
      </c>
      <c r="F298" s="129" t="s">
        <v>219</v>
      </c>
      <c r="G298" s="129" t="s">
        <v>1100</v>
      </c>
      <c r="H298" s="232"/>
      <c r="I298" s="233">
        <v>2E-3</v>
      </c>
      <c r="J298" s="231" t="s">
        <v>23</v>
      </c>
      <c r="K298" s="312">
        <v>3.49</v>
      </c>
      <c r="L298" s="229">
        <v>1</v>
      </c>
      <c r="M298" s="234">
        <v>100</v>
      </c>
      <c r="N298" s="46" t="s">
        <v>802</v>
      </c>
      <c r="O298" s="50"/>
    </row>
    <row r="299" spans="1:16" s="9" customFormat="1" x14ac:dyDescent="0.2">
      <c r="A299" s="219" t="s">
        <v>1142</v>
      </c>
      <c r="B299" s="220" t="s">
        <v>1143</v>
      </c>
      <c r="C299" s="231">
        <v>887656</v>
      </c>
      <c r="D299" s="129">
        <v>23</v>
      </c>
      <c r="E299" s="231" t="s">
        <v>1144</v>
      </c>
      <c r="F299" s="129" t="s">
        <v>1145</v>
      </c>
      <c r="G299" s="129" t="s">
        <v>1146</v>
      </c>
      <c r="H299" s="232"/>
      <c r="I299" s="233">
        <v>0.37</v>
      </c>
      <c r="J299" s="231" t="s">
        <v>1101</v>
      </c>
      <c r="K299" s="312">
        <v>18.989999999999998</v>
      </c>
      <c r="L299" s="229">
        <v>30</v>
      </c>
      <c r="M299" s="234">
        <v>30</v>
      </c>
      <c r="N299" s="46" t="s">
        <v>802</v>
      </c>
      <c r="O299" s="50"/>
    </row>
    <row r="300" spans="1:16" s="9" customFormat="1" x14ac:dyDescent="0.2">
      <c r="A300" s="220" t="s">
        <v>281</v>
      </c>
      <c r="B300" s="220" t="s">
        <v>924</v>
      </c>
      <c r="C300" s="231">
        <v>857016</v>
      </c>
      <c r="D300" s="129">
        <v>23</v>
      </c>
      <c r="E300" s="231" t="s">
        <v>967</v>
      </c>
      <c r="F300" s="129" t="s">
        <v>169</v>
      </c>
      <c r="G300" s="129" t="s">
        <v>451</v>
      </c>
      <c r="H300" s="233">
        <v>3</v>
      </c>
      <c r="I300" s="233">
        <v>0.25</v>
      </c>
      <c r="J300" s="231" t="s">
        <v>23</v>
      </c>
      <c r="K300" s="312">
        <v>19.309999999999999</v>
      </c>
      <c r="L300" s="229">
        <v>1</v>
      </c>
      <c r="M300" s="237">
        <v>30</v>
      </c>
      <c r="N300" s="46" t="s">
        <v>802</v>
      </c>
      <c r="O300" s="50" t="s">
        <v>801</v>
      </c>
    </row>
    <row r="301" spans="1:16" s="74" customFormat="1" ht="12.75" customHeight="1" x14ac:dyDescent="0.2">
      <c r="A301" s="219" t="s">
        <v>282</v>
      </c>
      <c r="B301" s="219" t="s">
        <v>925</v>
      </c>
      <c r="C301" s="129">
        <v>878110</v>
      </c>
      <c r="D301" s="129">
        <v>23</v>
      </c>
      <c r="E301" s="129" t="s">
        <v>968</v>
      </c>
      <c r="F301" s="129" t="s">
        <v>169</v>
      </c>
      <c r="G301" s="129" t="s">
        <v>451</v>
      </c>
      <c r="H301" s="269">
        <v>3</v>
      </c>
      <c r="I301" s="228">
        <v>0.41</v>
      </c>
      <c r="J301" s="129" t="s">
        <v>23</v>
      </c>
      <c r="K301" s="312">
        <v>25.21</v>
      </c>
      <c r="L301" s="229">
        <v>1</v>
      </c>
      <c r="M301" s="230">
        <v>12</v>
      </c>
      <c r="N301" s="46" t="s">
        <v>802</v>
      </c>
      <c r="O301" s="48" t="s">
        <v>801</v>
      </c>
    </row>
    <row r="302" spans="1:16" s="74" customFormat="1" ht="12.75" customHeight="1" x14ac:dyDescent="0.2">
      <c r="A302" s="219" t="s">
        <v>282</v>
      </c>
      <c r="B302" s="219" t="s">
        <v>926</v>
      </c>
      <c r="C302" s="129">
        <v>878115</v>
      </c>
      <c r="D302" s="129">
        <v>23</v>
      </c>
      <c r="E302" s="129" t="s">
        <v>969</v>
      </c>
      <c r="F302" s="129" t="s">
        <v>169</v>
      </c>
      <c r="G302" s="129" t="s">
        <v>451</v>
      </c>
      <c r="H302" s="269">
        <v>3</v>
      </c>
      <c r="I302" s="228">
        <v>0.5</v>
      </c>
      <c r="J302" s="129" t="s">
        <v>23</v>
      </c>
      <c r="K302" s="312">
        <v>27.34</v>
      </c>
      <c r="L302" s="229">
        <v>1</v>
      </c>
      <c r="M302" s="230">
        <v>10</v>
      </c>
      <c r="N302" s="46" t="s">
        <v>802</v>
      </c>
      <c r="O302" s="48" t="s">
        <v>801</v>
      </c>
    </row>
    <row r="303" spans="1:16" s="74" customFormat="1" ht="12.75" customHeight="1" x14ac:dyDescent="0.2">
      <c r="A303" s="219" t="s">
        <v>282</v>
      </c>
      <c r="B303" s="219" t="s">
        <v>927</v>
      </c>
      <c r="C303" s="129">
        <v>878120</v>
      </c>
      <c r="D303" s="129">
        <v>23</v>
      </c>
      <c r="E303" s="129" t="s">
        <v>970</v>
      </c>
      <c r="F303" s="129" t="s">
        <v>169</v>
      </c>
      <c r="G303" s="129" t="s">
        <v>451</v>
      </c>
      <c r="H303" s="269">
        <v>3</v>
      </c>
      <c r="I303" s="228">
        <v>0.6</v>
      </c>
      <c r="J303" s="129" t="s">
        <v>23</v>
      </c>
      <c r="K303" s="312">
        <v>29.77</v>
      </c>
      <c r="L303" s="229">
        <v>1</v>
      </c>
      <c r="M303" s="237">
        <v>8</v>
      </c>
      <c r="N303" s="46" t="s">
        <v>802</v>
      </c>
      <c r="O303" s="48" t="s">
        <v>801</v>
      </c>
    </row>
    <row r="304" spans="1:16" s="74" customFormat="1" ht="12.75" customHeight="1" x14ac:dyDescent="0.2">
      <c r="A304" s="220" t="s">
        <v>248</v>
      </c>
      <c r="B304" s="220" t="s">
        <v>527</v>
      </c>
      <c r="C304" s="129">
        <v>897311</v>
      </c>
      <c r="D304" s="231">
        <v>23</v>
      </c>
      <c r="E304" s="231" t="s">
        <v>672</v>
      </c>
      <c r="F304" s="129" t="s">
        <v>169</v>
      </c>
      <c r="G304" s="129" t="s">
        <v>451</v>
      </c>
      <c r="H304" s="246"/>
      <c r="I304" s="246">
        <v>0.03</v>
      </c>
      <c r="J304" s="129" t="s">
        <v>23</v>
      </c>
      <c r="K304" s="312">
        <v>5.49</v>
      </c>
      <c r="L304" s="236">
        <v>1</v>
      </c>
      <c r="M304" s="237">
        <v>100</v>
      </c>
      <c r="N304" s="46" t="s">
        <v>802</v>
      </c>
      <c r="O304" s="48" t="s">
        <v>801</v>
      </c>
    </row>
    <row r="305" spans="1:15" s="74" customFormat="1" ht="12.75" customHeight="1" x14ac:dyDescent="0.2">
      <c r="A305" s="219" t="s">
        <v>283</v>
      </c>
      <c r="B305" s="219" t="s">
        <v>284</v>
      </c>
      <c r="C305" s="129">
        <v>897301</v>
      </c>
      <c r="D305" s="129">
        <v>23</v>
      </c>
      <c r="E305" s="234" t="s">
        <v>285</v>
      </c>
      <c r="F305" s="129" t="s">
        <v>169</v>
      </c>
      <c r="G305" s="129" t="s">
        <v>451</v>
      </c>
      <c r="H305" s="269"/>
      <c r="I305" s="228">
        <v>0.03</v>
      </c>
      <c r="J305" s="129" t="s">
        <v>23</v>
      </c>
      <c r="K305" s="312">
        <v>4.49</v>
      </c>
      <c r="L305" s="229">
        <v>1</v>
      </c>
      <c r="M305" s="230">
        <v>100</v>
      </c>
      <c r="N305" s="46" t="s">
        <v>802</v>
      </c>
      <c r="O305" s="48" t="s">
        <v>801</v>
      </c>
    </row>
    <row r="306" spans="1:15" s="74" customFormat="1" ht="12.75" customHeight="1" x14ac:dyDescent="0.2">
      <c r="A306" s="219" t="s">
        <v>983</v>
      </c>
      <c r="B306" s="219" t="s">
        <v>984</v>
      </c>
      <c r="C306" s="129">
        <v>890118</v>
      </c>
      <c r="D306" s="129">
        <v>23</v>
      </c>
      <c r="E306" s="234" t="s">
        <v>985</v>
      </c>
      <c r="F306" s="129" t="s">
        <v>169</v>
      </c>
      <c r="G306" s="129" t="s">
        <v>451</v>
      </c>
      <c r="H306" s="269">
        <v>3</v>
      </c>
      <c r="I306" s="228">
        <v>0.41</v>
      </c>
      <c r="J306" s="129" t="s">
        <v>23</v>
      </c>
      <c r="K306" s="312">
        <v>15.01</v>
      </c>
      <c r="L306" s="229">
        <v>1</v>
      </c>
      <c r="M306" s="230">
        <v>50</v>
      </c>
      <c r="N306" s="46" t="s">
        <v>802</v>
      </c>
      <c r="O306" s="48" t="s">
        <v>801</v>
      </c>
    </row>
    <row r="307" spans="1:15" s="74" customFormat="1" ht="12.75" customHeight="1" x14ac:dyDescent="0.2">
      <c r="A307" s="219" t="s">
        <v>615</v>
      </c>
      <c r="B307" s="219" t="s">
        <v>616</v>
      </c>
      <c r="C307" s="129">
        <v>731305</v>
      </c>
      <c r="D307" s="129">
        <v>23</v>
      </c>
      <c r="E307" s="234" t="s">
        <v>669</v>
      </c>
      <c r="F307" s="129" t="s">
        <v>169</v>
      </c>
      <c r="G307" s="129" t="s">
        <v>451</v>
      </c>
      <c r="H307" s="269">
        <v>4</v>
      </c>
      <c r="I307" s="228">
        <v>0.11</v>
      </c>
      <c r="J307" s="129" t="s">
        <v>23</v>
      </c>
      <c r="K307" s="312">
        <v>5.12</v>
      </c>
      <c r="L307" s="229">
        <v>1</v>
      </c>
      <c r="M307" s="230">
        <v>50</v>
      </c>
      <c r="N307" s="46" t="s">
        <v>802</v>
      </c>
      <c r="O307" s="48" t="s">
        <v>801</v>
      </c>
    </row>
    <row r="308" spans="1:15" s="74" customFormat="1" ht="12.75" customHeight="1" x14ac:dyDescent="0.2">
      <c r="A308" s="219" t="s">
        <v>235</v>
      </c>
      <c r="B308" s="219" t="s">
        <v>1237</v>
      </c>
      <c r="C308" s="129">
        <v>890405</v>
      </c>
      <c r="D308" s="129">
        <v>23</v>
      </c>
      <c r="E308" s="129" t="s">
        <v>1238</v>
      </c>
      <c r="F308" s="129" t="s">
        <v>238</v>
      </c>
      <c r="G308" s="129" t="s">
        <v>780</v>
      </c>
      <c r="H308" s="269"/>
      <c r="I308" s="228">
        <v>3.2000000000000001E-2</v>
      </c>
      <c r="J308" s="129" t="s">
        <v>23</v>
      </c>
      <c r="K308" s="312">
        <v>2.4</v>
      </c>
      <c r="L308" s="229">
        <v>1</v>
      </c>
      <c r="M308" s="230">
        <v>100</v>
      </c>
      <c r="N308" s="46" t="s">
        <v>802</v>
      </c>
      <c r="O308" s="48"/>
    </row>
    <row r="309" spans="1:15" s="74" customFormat="1" ht="12.75" customHeight="1" x14ac:dyDescent="0.2">
      <c r="A309" s="219" t="s">
        <v>73</v>
      </c>
      <c r="B309" s="219" t="s">
        <v>1239</v>
      </c>
      <c r="C309" s="129">
        <v>890518</v>
      </c>
      <c r="D309" s="129">
        <v>23</v>
      </c>
      <c r="E309" s="129" t="s">
        <v>1240</v>
      </c>
      <c r="F309" s="129" t="s">
        <v>169</v>
      </c>
      <c r="G309" s="129" t="s">
        <v>451</v>
      </c>
      <c r="H309" s="269">
        <v>1.5</v>
      </c>
      <c r="I309" s="228" t="s">
        <v>1241</v>
      </c>
      <c r="J309" s="129" t="s">
        <v>23</v>
      </c>
      <c r="K309" s="312">
        <v>5.99</v>
      </c>
      <c r="L309" s="229">
        <v>1</v>
      </c>
      <c r="M309" s="230">
        <v>100</v>
      </c>
      <c r="N309" s="46" t="s">
        <v>802</v>
      </c>
      <c r="O309" s="50" t="s">
        <v>801</v>
      </c>
    </row>
    <row r="310" spans="1:15" s="74" customFormat="1" ht="12.75" customHeight="1" x14ac:dyDescent="0.2">
      <c r="A310" s="219" t="s">
        <v>1242</v>
      </c>
      <c r="B310" s="219" t="s">
        <v>1243</v>
      </c>
      <c r="C310" s="129">
        <v>852003</v>
      </c>
      <c r="D310" s="129">
        <v>23</v>
      </c>
      <c r="E310" s="129" t="s">
        <v>1244</v>
      </c>
      <c r="F310" s="129" t="s">
        <v>169</v>
      </c>
      <c r="G310" s="129" t="s">
        <v>451</v>
      </c>
      <c r="H310" s="269">
        <v>4</v>
      </c>
      <c r="I310" s="228">
        <v>1.1200000000000001</v>
      </c>
      <c r="J310" s="129" t="s">
        <v>23</v>
      </c>
      <c r="K310" s="312">
        <v>31</v>
      </c>
      <c r="L310" s="229">
        <v>1</v>
      </c>
      <c r="M310" s="230">
        <v>10</v>
      </c>
      <c r="N310" s="46" t="s">
        <v>803</v>
      </c>
      <c r="O310" s="50" t="s">
        <v>801</v>
      </c>
    </row>
    <row r="311" spans="1:15" s="74" customFormat="1" ht="12.75" customHeight="1" x14ac:dyDescent="0.2">
      <c r="A311" s="219" t="s">
        <v>1245</v>
      </c>
      <c r="B311" s="219" t="s">
        <v>1246</v>
      </c>
      <c r="C311" s="129">
        <v>866689</v>
      </c>
      <c r="D311" s="129">
        <v>23</v>
      </c>
      <c r="E311" s="129" t="s">
        <v>1247</v>
      </c>
      <c r="F311" s="129" t="s">
        <v>1248</v>
      </c>
      <c r="G311" s="129" t="s">
        <v>1249</v>
      </c>
      <c r="H311" s="269"/>
      <c r="I311" s="228">
        <v>5</v>
      </c>
      <c r="J311" s="129" t="s">
        <v>23</v>
      </c>
      <c r="K311" s="312">
        <v>29.98</v>
      </c>
      <c r="L311" s="229">
        <v>1</v>
      </c>
      <c r="M311" s="230">
        <v>150</v>
      </c>
      <c r="N311" s="46" t="s">
        <v>802</v>
      </c>
      <c r="O311" s="50"/>
    </row>
    <row r="312" spans="1:15" s="74" customFormat="1" ht="12.75" customHeight="1" x14ac:dyDescent="0.2">
      <c r="A312" s="219" t="s">
        <v>1250</v>
      </c>
      <c r="B312" s="219" t="s">
        <v>1172</v>
      </c>
      <c r="C312" s="129">
        <v>887666</v>
      </c>
      <c r="D312" s="129">
        <v>23</v>
      </c>
      <c r="E312" s="129" t="s">
        <v>1341</v>
      </c>
      <c r="F312" s="129" t="s">
        <v>221</v>
      </c>
      <c r="G312" s="129" t="s">
        <v>1146</v>
      </c>
      <c r="H312" s="267"/>
      <c r="I312" s="228">
        <v>23.1</v>
      </c>
      <c r="J312" s="129" t="s">
        <v>23</v>
      </c>
      <c r="K312" s="312">
        <v>398.79</v>
      </c>
      <c r="L312" s="229">
        <v>1</v>
      </c>
      <c r="M312" s="234">
        <v>1</v>
      </c>
      <c r="N312" s="46" t="s">
        <v>802</v>
      </c>
      <c r="O312" s="50"/>
    </row>
    <row r="313" spans="1:15" s="74" customFormat="1" ht="12.75" customHeight="1" x14ac:dyDescent="0.2">
      <c r="A313" s="219" t="s">
        <v>1250</v>
      </c>
      <c r="B313" s="219" t="s">
        <v>1173</v>
      </c>
      <c r="C313" s="129">
        <v>887676</v>
      </c>
      <c r="D313" s="129">
        <v>23</v>
      </c>
      <c r="E313" s="129" t="s">
        <v>1342</v>
      </c>
      <c r="F313" s="129" t="s">
        <v>221</v>
      </c>
      <c r="G313" s="129" t="s">
        <v>1146</v>
      </c>
      <c r="H313" s="267"/>
      <c r="I313" s="228">
        <v>29.7</v>
      </c>
      <c r="J313" s="129" t="s">
        <v>23</v>
      </c>
      <c r="K313" s="312">
        <v>512.73</v>
      </c>
      <c r="L313" s="229">
        <v>1</v>
      </c>
      <c r="M313" s="234">
        <v>1</v>
      </c>
      <c r="N313" s="46" t="s">
        <v>802</v>
      </c>
      <c r="O313" s="50"/>
    </row>
    <row r="314" spans="1:15" s="74" customFormat="1" ht="12.75" customHeight="1" x14ac:dyDescent="0.2">
      <c r="A314" s="219" t="s">
        <v>1250</v>
      </c>
      <c r="B314" s="219" t="s">
        <v>1199</v>
      </c>
      <c r="C314" s="129">
        <v>887686</v>
      </c>
      <c r="D314" s="129">
        <v>23</v>
      </c>
      <c r="E314" s="129" t="s">
        <v>1343</v>
      </c>
      <c r="F314" s="129" t="s">
        <v>221</v>
      </c>
      <c r="G314" s="129" t="s">
        <v>1146</v>
      </c>
      <c r="H314" s="269"/>
      <c r="I314" s="228">
        <v>39.6</v>
      </c>
      <c r="J314" s="129" t="s">
        <v>23</v>
      </c>
      <c r="K314" s="312">
        <v>683.64</v>
      </c>
      <c r="L314" s="229">
        <v>1</v>
      </c>
      <c r="M314" s="234">
        <v>1</v>
      </c>
      <c r="N314" s="46" t="s">
        <v>802</v>
      </c>
      <c r="O314" s="50"/>
    </row>
    <row r="315" spans="1:15" s="74" customFormat="1" ht="12.75" customHeight="1" x14ac:dyDescent="0.2">
      <c r="A315" s="219" t="s">
        <v>1250</v>
      </c>
      <c r="B315" s="219" t="s">
        <v>1200</v>
      </c>
      <c r="C315" s="129">
        <v>887696</v>
      </c>
      <c r="D315" s="129">
        <v>23</v>
      </c>
      <c r="E315" s="129" t="s">
        <v>1344</v>
      </c>
      <c r="F315" s="129" t="s">
        <v>221</v>
      </c>
      <c r="G315" s="129" t="s">
        <v>1146</v>
      </c>
      <c r="H315" s="267"/>
      <c r="I315" s="228">
        <v>46.2</v>
      </c>
      <c r="J315" s="129" t="s">
        <v>23</v>
      </c>
      <c r="K315" s="312">
        <v>797.58</v>
      </c>
      <c r="L315" s="229">
        <v>1</v>
      </c>
      <c r="M315" s="234">
        <v>1</v>
      </c>
      <c r="N315" s="46" t="s">
        <v>802</v>
      </c>
      <c r="O315" s="50"/>
    </row>
    <row r="316" spans="1:15" s="74" customFormat="1" ht="12.75" customHeight="1" x14ac:dyDescent="0.25">
      <c r="A316" s="222" t="s">
        <v>1327</v>
      </c>
      <c r="B316" s="222" t="s">
        <v>1134</v>
      </c>
      <c r="C316" s="243">
        <v>811110</v>
      </c>
      <c r="D316" s="129">
        <v>23</v>
      </c>
      <c r="E316" s="244" t="s">
        <v>1345</v>
      </c>
      <c r="F316" s="243" t="s">
        <v>169</v>
      </c>
      <c r="G316" s="243" t="s">
        <v>451</v>
      </c>
      <c r="H316" s="243"/>
      <c r="I316" s="231">
        <v>460.99</v>
      </c>
      <c r="J316" s="129" t="s">
        <v>23</v>
      </c>
      <c r="K316" s="312">
        <v>9181.6299999999992</v>
      </c>
      <c r="L316" s="247">
        <v>1</v>
      </c>
      <c r="M316" s="248"/>
      <c r="N316" s="46" t="s">
        <v>803</v>
      </c>
      <c r="O316" s="297" t="s">
        <v>801</v>
      </c>
    </row>
    <row r="317" spans="1:15" s="74" customFormat="1" ht="12.75" customHeight="1" x14ac:dyDescent="0.25">
      <c r="A317" s="222" t="s">
        <v>1327</v>
      </c>
      <c r="B317" s="222" t="s">
        <v>1175</v>
      </c>
      <c r="C317" s="243">
        <v>811111</v>
      </c>
      <c r="D317" s="129">
        <v>23</v>
      </c>
      <c r="E317" s="244" t="s">
        <v>1346</v>
      </c>
      <c r="F317" s="243" t="s">
        <v>169</v>
      </c>
      <c r="G317" s="243" t="s">
        <v>451</v>
      </c>
      <c r="H317" s="243"/>
      <c r="I317" s="231">
        <v>570.74</v>
      </c>
      <c r="J317" s="129" t="s">
        <v>23</v>
      </c>
      <c r="K317" s="312">
        <v>12199.42</v>
      </c>
      <c r="L317" s="247">
        <v>1</v>
      </c>
      <c r="M317" s="248"/>
      <c r="N317" s="46" t="s">
        <v>803</v>
      </c>
      <c r="O317" s="297" t="s">
        <v>801</v>
      </c>
    </row>
    <row r="318" spans="1:15" s="74" customFormat="1" ht="12.75" customHeight="1" x14ac:dyDescent="0.25">
      <c r="A318" s="222" t="s">
        <v>1328</v>
      </c>
      <c r="B318" s="222" t="s">
        <v>1136</v>
      </c>
      <c r="C318" s="243">
        <v>811112</v>
      </c>
      <c r="D318" s="129">
        <v>23</v>
      </c>
      <c r="E318" s="244" t="s">
        <v>1347</v>
      </c>
      <c r="F318" s="243" t="s">
        <v>169</v>
      </c>
      <c r="G318" s="243" t="s">
        <v>451</v>
      </c>
      <c r="H318" s="243"/>
      <c r="I318" s="231">
        <v>352.86</v>
      </c>
      <c r="J318" s="129" t="s">
        <v>23</v>
      </c>
      <c r="K318" s="312">
        <v>6964.77</v>
      </c>
      <c r="L318" s="247">
        <v>1</v>
      </c>
      <c r="M318" s="248"/>
      <c r="N318" s="46" t="s">
        <v>803</v>
      </c>
      <c r="O318" s="297" t="s">
        <v>801</v>
      </c>
    </row>
    <row r="319" spans="1:15" s="74" customFormat="1" ht="12.75" customHeight="1" x14ac:dyDescent="0.25">
      <c r="A319" s="220" t="s">
        <v>1328</v>
      </c>
      <c r="B319" s="220" t="s">
        <v>1178</v>
      </c>
      <c r="C319" s="231">
        <v>811113</v>
      </c>
      <c r="D319" s="129">
        <v>23</v>
      </c>
      <c r="E319" s="231" t="s">
        <v>1348</v>
      </c>
      <c r="F319" s="129" t="s">
        <v>169</v>
      </c>
      <c r="G319" s="231" t="s">
        <v>451</v>
      </c>
      <c r="H319" s="231"/>
      <c r="I319" s="231">
        <v>395.81</v>
      </c>
      <c r="J319" s="231" t="s">
        <v>23</v>
      </c>
      <c r="K319" s="312">
        <v>8137.99</v>
      </c>
      <c r="L319" s="237">
        <v>1</v>
      </c>
      <c r="M319" s="237"/>
      <c r="N319" s="46" t="s">
        <v>803</v>
      </c>
      <c r="O319" s="297" t="s">
        <v>801</v>
      </c>
    </row>
    <row r="320" spans="1:15" s="74" customFormat="1" ht="12.75" customHeight="1" x14ac:dyDescent="0.2">
      <c r="A320" s="219" t="s">
        <v>1327</v>
      </c>
      <c r="B320" s="219" t="s">
        <v>1138</v>
      </c>
      <c r="C320" s="129">
        <v>811310</v>
      </c>
      <c r="D320" s="129">
        <v>23</v>
      </c>
      <c r="E320" s="129" t="s">
        <v>1349</v>
      </c>
      <c r="F320" s="129" t="s">
        <v>169</v>
      </c>
      <c r="G320" s="129" t="s">
        <v>451</v>
      </c>
      <c r="H320" s="227"/>
      <c r="I320" s="228">
        <v>687.35</v>
      </c>
      <c r="J320" s="129" t="s">
        <v>23</v>
      </c>
      <c r="K320" s="312">
        <v>12602.69</v>
      </c>
      <c r="L320" s="229">
        <v>1</v>
      </c>
      <c r="M320" s="230"/>
      <c r="N320" s="46" t="s">
        <v>803</v>
      </c>
      <c r="O320" s="50" t="s">
        <v>801</v>
      </c>
    </row>
    <row r="321" spans="1:15" s="74" customFormat="1" ht="12.75" customHeight="1" x14ac:dyDescent="0.2">
      <c r="A321" s="219" t="s">
        <v>1327</v>
      </c>
      <c r="B321" s="220" t="s">
        <v>1187</v>
      </c>
      <c r="C321" s="231">
        <v>811311</v>
      </c>
      <c r="D321" s="231">
        <v>23</v>
      </c>
      <c r="E321" s="231" t="s">
        <v>1350</v>
      </c>
      <c r="F321" s="129" t="s">
        <v>169</v>
      </c>
      <c r="G321" s="129" t="s">
        <v>451</v>
      </c>
      <c r="H321" s="250"/>
      <c r="I321" s="246">
        <v>890.75</v>
      </c>
      <c r="J321" s="231" t="s">
        <v>23</v>
      </c>
      <c r="K321" s="312">
        <v>17231.45</v>
      </c>
      <c r="L321" s="257">
        <v>1</v>
      </c>
      <c r="M321" s="230"/>
      <c r="N321" s="129" t="s">
        <v>803</v>
      </c>
      <c r="O321" s="50" t="s">
        <v>801</v>
      </c>
    </row>
    <row r="322" spans="1:15" s="74" customFormat="1" ht="12.75" customHeight="1" x14ac:dyDescent="0.2">
      <c r="A322" s="219" t="s">
        <v>1327</v>
      </c>
      <c r="B322" s="220" t="s">
        <v>1140</v>
      </c>
      <c r="C322" s="231">
        <v>811312</v>
      </c>
      <c r="D322" s="231">
        <v>23</v>
      </c>
      <c r="E322" s="231" t="s">
        <v>1351</v>
      </c>
      <c r="F322" s="129" t="s">
        <v>169</v>
      </c>
      <c r="G322" s="129" t="s">
        <v>451</v>
      </c>
      <c r="H322" s="250"/>
      <c r="I322" s="246">
        <v>573.69000000000005</v>
      </c>
      <c r="J322" s="231" t="s">
        <v>23</v>
      </c>
      <c r="K322" s="312">
        <v>10337.5</v>
      </c>
      <c r="L322" s="257">
        <v>1</v>
      </c>
      <c r="M322" s="230"/>
      <c r="N322" s="129" t="s">
        <v>803</v>
      </c>
      <c r="O322" s="50" t="s">
        <v>801</v>
      </c>
    </row>
    <row r="323" spans="1:15" s="74" customFormat="1" ht="12.75" customHeight="1" x14ac:dyDescent="0.2">
      <c r="A323" s="219" t="s">
        <v>1327</v>
      </c>
      <c r="B323" s="220" t="s">
        <v>1197</v>
      </c>
      <c r="C323" s="231">
        <v>811313</v>
      </c>
      <c r="D323" s="231">
        <v>23</v>
      </c>
      <c r="E323" s="231" t="s">
        <v>1352</v>
      </c>
      <c r="F323" s="129" t="s">
        <v>169</v>
      </c>
      <c r="G323" s="129" t="s">
        <v>451</v>
      </c>
      <c r="H323" s="250"/>
      <c r="I323" s="246">
        <v>678.46</v>
      </c>
      <c r="J323" s="231" t="s">
        <v>23</v>
      </c>
      <c r="K323" s="312">
        <v>12655.59</v>
      </c>
      <c r="L323" s="257">
        <v>1</v>
      </c>
      <c r="M323" s="230"/>
      <c r="N323" s="129" t="s">
        <v>803</v>
      </c>
      <c r="O323" s="50" t="s">
        <v>801</v>
      </c>
    </row>
    <row r="324" spans="1:15" s="74" customFormat="1" ht="12.75" customHeight="1" x14ac:dyDescent="0.2">
      <c r="A324" s="219" t="s">
        <v>1327</v>
      </c>
      <c r="B324" s="219" t="s">
        <v>1135</v>
      </c>
      <c r="C324" s="231">
        <v>8111102</v>
      </c>
      <c r="D324" s="129">
        <v>23</v>
      </c>
      <c r="E324" s="231" t="s">
        <v>1353</v>
      </c>
      <c r="F324" s="129" t="s">
        <v>169</v>
      </c>
      <c r="G324" s="129" t="s">
        <v>451</v>
      </c>
      <c r="H324" s="233"/>
      <c r="I324" s="233">
        <v>460.99</v>
      </c>
      <c r="J324" s="231" t="s">
        <v>23</v>
      </c>
      <c r="K324" s="312">
        <v>14372.18</v>
      </c>
      <c r="L324" s="236">
        <v>1</v>
      </c>
      <c r="M324" s="237"/>
      <c r="N324" s="46" t="s">
        <v>266</v>
      </c>
      <c r="O324" s="50" t="s">
        <v>801</v>
      </c>
    </row>
    <row r="325" spans="1:15" s="74" customFormat="1" ht="12.75" customHeight="1" x14ac:dyDescent="0.2">
      <c r="A325" s="219" t="s">
        <v>1327</v>
      </c>
      <c r="B325" s="219" t="s">
        <v>1180</v>
      </c>
      <c r="C325" s="129">
        <v>8111112</v>
      </c>
      <c r="D325" s="129">
        <v>23</v>
      </c>
      <c r="E325" s="129" t="s">
        <v>1354</v>
      </c>
      <c r="F325" s="129" t="s">
        <v>169</v>
      </c>
      <c r="G325" s="129" t="s">
        <v>451</v>
      </c>
      <c r="H325" s="269"/>
      <c r="I325" s="228">
        <v>570.74</v>
      </c>
      <c r="J325" s="129" t="s">
        <v>23</v>
      </c>
      <c r="K325" s="312">
        <v>20092.3</v>
      </c>
      <c r="L325" s="229">
        <v>1</v>
      </c>
      <c r="M325" s="230"/>
      <c r="N325" s="46" t="s">
        <v>266</v>
      </c>
      <c r="O325" s="50" t="s">
        <v>801</v>
      </c>
    </row>
    <row r="326" spans="1:15" s="74" customFormat="1" ht="12.75" customHeight="1" x14ac:dyDescent="0.2">
      <c r="A326" s="219" t="s">
        <v>1328</v>
      </c>
      <c r="B326" s="219" t="s">
        <v>1137</v>
      </c>
      <c r="C326" s="129">
        <v>8111122</v>
      </c>
      <c r="D326" s="129">
        <v>23</v>
      </c>
      <c r="E326" s="129" t="s">
        <v>1355</v>
      </c>
      <c r="F326" s="129" t="s">
        <v>169</v>
      </c>
      <c r="G326" s="129" t="s">
        <v>451</v>
      </c>
      <c r="H326" s="227"/>
      <c r="I326" s="228">
        <v>352.86</v>
      </c>
      <c r="J326" s="129" t="s">
        <v>23</v>
      </c>
      <c r="K326" s="312">
        <v>10917.73</v>
      </c>
      <c r="L326" s="229">
        <v>1</v>
      </c>
      <c r="M326" s="230"/>
      <c r="N326" s="46" t="s">
        <v>266</v>
      </c>
      <c r="O326" s="50" t="s">
        <v>801</v>
      </c>
    </row>
    <row r="327" spans="1:15" s="74" customFormat="1" ht="12.75" customHeight="1" x14ac:dyDescent="0.2">
      <c r="A327" s="219" t="s">
        <v>1328</v>
      </c>
      <c r="B327" s="220" t="s">
        <v>1185</v>
      </c>
      <c r="C327" s="231">
        <v>8111132</v>
      </c>
      <c r="D327" s="129">
        <v>23</v>
      </c>
      <c r="E327" s="231" t="s">
        <v>1356</v>
      </c>
      <c r="F327" s="129" t="s">
        <v>169</v>
      </c>
      <c r="G327" s="129" t="s">
        <v>451</v>
      </c>
      <c r="H327" s="232"/>
      <c r="I327" s="233">
        <v>395.81</v>
      </c>
      <c r="J327" s="231" t="s">
        <v>23</v>
      </c>
      <c r="K327" s="312">
        <v>13107.37</v>
      </c>
      <c r="L327" s="229">
        <v>1</v>
      </c>
      <c r="M327" s="237"/>
      <c r="N327" s="46" t="s">
        <v>266</v>
      </c>
      <c r="O327" s="50" t="s">
        <v>801</v>
      </c>
    </row>
    <row r="328" spans="1:15" s="74" customFormat="1" ht="12.75" customHeight="1" x14ac:dyDescent="0.2">
      <c r="A328" s="222" t="s">
        <v>1327</v>
      </c>
      <c r="B328" s="222" t="s">
        <v>1139</v>
      </c>
      <c r="C328" s="243">
        <v>8113102</v>
      </c>
      <c r="D328" s="239">
        <v>23</v>
      </c>
      <c r="E328" s="243" t="s">
        <v>1357</v>
      </c>
      <c r="F328" s="243" t="s">
        <v>169</v>
      </c>
      <c r="G328" s="243" t="s">
        <v>451</v>
      </c>
      <c r="H328" s="243"/>
      <c r="I328" s="231">
        <v>687.35</v>
      </c>
      <c r="J328" s="285" t="s">
        <v>23</v>
      </c>
      <c r="K328" s="314">
        <v>20225.59</v>
      </c>
      <c r="L328" s="289">
        <v>1</v>
      </c>
      <c r="M328" s="289"/>
      <c r="N328" s="129" t="s">
        <v>266</v>
      </c>
      <c r="O328" s="243" t="s">
        <v>801</v>
      </c>
    </row>
    <row r="329" spans="1:15" s="74" customFormat="1" ht="12.75" customHeight="1" x14ac:dyDescent="0.2">
      <c r="A329" s="222" t="s">
        <v>1327</v>
      </c>
      <c r="B329" s="222" t="s">
        <v>1188</v>
      </c>
      <c r="C329" s="243">
        <v>8113112</v>
      </c>
      <c r="D329" s="129">
        <v>23</v>
      </c>
      <c r="E329" s="243" t="s">
        <v>1358</v>
      </c>
      <c r="F329" s="243" t="s">
        <v>169</v>
      </c>
      <c r="G329" s="243" t="s">
        <v>451</v>
      </c>
      <c r="H329" s="243"/>
      <c r="I329" s="231">
        <v>890.75</v>
      </c>
      <c r="J329" s="129" t="s">
        <v>23</v>
      </c>
      <c r="K329" s="314">
        <v>29693.85</v>
      </c>
      <c r="L329" s="234">
        <v>1</v>
      </c>
      <c r="M329" s="243"/>
      <c r="N329" s="129" t="s">
        <v>266</v>
      </c>
      <c r="O329" s="302" t="s">
        <v>801</v>
      </c>
    </row>
    <row r="330" spans="1:15" s="74" customFormat="1" ht="12.75" customHeight="1" x14ac:dyDescent="0.2">
      <c r="A330" s="222" t="s">
        <v>1327</v>
      </c>
      <c r="B330" s="222" t="s">
        <v>1141</v>
      </c>
      <c r="C330" s="243">
        <v>8113122</v>
      </c>
      <c r="D330" s="243">
        <v>23</v>
      </c>
      <c r="E330" s="243" t="s">
        <v>1359</v>
      </c>
      <c r="F330" s="243" t="s">
        <v>169</v>
      </c>
      <c r="G330" s="243" t="s">
        <v>451</v>
      </c>
      <c r="H330" s="243"/>
      <c r="I330" s="231">
        <v>573.69000000000005</v>
      </c>
      <c r="J330" s="129" t="s">
        <v>23</v>
      </c>
      <c r="K330" s="314">
        <v>16649.59</v>
      </c>
      <c r="L330" s="49">
        <v>1</v>
      </c>
      <c r="M330" s="243"/>
      <c r="N330" s="129" t="s">
        <v>266</v>
      </c>
      <c r="O330" s="302" t="s">
        <v>801</v>
      </c>
    </row>
    <row r="331" spans="1:15" s="74" customFormat="1" ht="12.75" customHeight="1" x14ac:dyDescent="0.2">
      <c r="A331" s="222" t="s">
        <v>1327</v>
      </c>
      <c r="B331" s="222" t="s">
        <v>1198</v>
      </c>
      <c r="C331" s="243">
        <v>8113132</v>
      </c>
      <c r="D331" s="243">
        <v>23</v>
      </c>
      <c r="E331" s="243" t="s">
        <v>1360</v>
      </c>
      <c r="F331" s="129" t="s">
        <v>169</v>
      </c>
      <c r="G331" s="129" t="s">
        <v>451</v>
      </c>
      <c r="H331" s="243"/>
      <c r="I331" s="231">
        <v>678.46</v>
      </c>
      <c r="J331" s="243" t="s">
        <v>23</v>
      </c>
      <c r="K331" s="314">
        <v>21445.16</v>
      </c>
      <c r="L331" s="49">
        <v>1</v>
      </c>
      <c r="M331" s="243"/>
      <c r="N331" s="129" t="s">
        <v>266</v>
      </c>
      <c r="O331" s="48" t="s">
        <v>801</v>
      </c>
    </row>
    <row r="332" spans="1:15" s="74" customFormat="1" ht="12.75" customHeight="1" x14ac:dyDescent="0.2">
      <c r="A332" s="225" t="s">
        <v>1329</v>
      </c>
      <c r="B332" s="290" t="s">
        <v>1324</v>
      </c>
      <c r="C332" s="291">
        <v>881511</v>
      </c>
      <c r="D332" s="292">
        <v>23</v>
      </c>
      <c r="E332" s="291" t="s">
        <v>1361</v>
      </c>
      <c r="F332" s="293" t="s">
        <v>169</v>
      </c>
      <c r="G332" s="291" t="s">
        <v>451</v>
      </c>
      <c r="H332" s="291"/>
      <c r="I332" s="292">
        <v>45</v>
      </c>
      <c r="J332" s="291" t="s">
        <v>23</v>
      </c>
      <c r="K332" s="315">
        <v>6941.35</v>
      </c>
      <c r="L332" s="291">
        <v>1</v>
      </c>
      <c r="M332" s="291"/>
      <c r="N332" s="293" t="s">
        <v>803</v>
      </c>
      <c r="O332" s="303" t="s">
        <v>801</v>
      </c>
    </row>
    <row r="333" spans="1:15" s="74" customFormat="1" ht="12.75" customHeight="1" x14ac:dyDescent="0.2">
      <c r="A333" s="225" t="s">
        <v>1329</v>
      </c>
      <c r="B333" s="290" t="s">
        <v>1325</v>
      </c>
      <c r="C333" s="291">
        <v>881521</v>
      </c>
      <c r="D333" s="292">
        <v>23</v>
      </c>
      <c r="E333" s="291" t="s">
        <v>1362</v>
      </c>
      <c r="F333" s="293" t="s">
        <v>169</v>
      </c>
      <c r="G333" s="291" t="s">
        <v>451</v>
      </c>
      <c r="H333" s="291"/>
      <c r="I333" s="292">
        <v>65</v>
      </c>
      <c r="J333" s="291" t="s">
        <v>23</v>
      </c>
      <c r="K333" s="315">
        <v>12416.79</v>
      </c>
      <c r="L333" s="291">
        <v>1</v>
      </c>
      <c r="M333" s="291"/>
      <c r="N333" s="293" t="s">
        <v>803</v>
      </c>
      <c r="O333" s="303" t="s">
        <v>801</v>
      </c>
    </row>
    <row r="334" spans="1:15" s="74" customFormat="1" ht="12.75" customHeight="1" x14ac:dyDescent="0.2">
      <c r="A334" s="225" t="s">
        <v>69</v>
      </c>
      <c r="B334" s="290" t="s">
        <v>1363</v>
      </c>
      <c r="C334" s="291">
        <v>8510185</v>
      </c>
      <c r="D334" s="292">
        <v>23</v>
      </c>
      <c r="E334" s="291" t="s">
        <v>1364</v>
      </c>
      <c r="F334" s="293" t="s">
        <v>169</v>
      </c>
      <c r="G334" s="291" t="s">
        <v>451</v>
      </c>
      <c r="H334" s="291">
        <v>0.5</v>
      </c>
      <c r="I334" s="292">
        <v>1.9</v>
      </c>
      <c r="J334" s="291" t="s">
        <v>23</v>
      </c>
      <c r="K334" s="315">
        <v>28.23</v>
      </c>
      <c r="L334" s="291">
        <v>1</v>
      </c>
      <c r="M334" s="291">
        <v>5</v>
      </c>
      <c r="N334" s="293" t="s">
        <v>803</v>
      </c>
      <c r="O334" s="303" t="s">
        <v>801</v>
      </c>
    </row>
    <row r="335" spans="1:15" s="74" customFormat="1" ht="12.75" customHeight="1" x14ac:dyDescent="0.2">
      <c r="A335" s="225" t="s">
        <v>69</v>
      </c>
      <c r="B335" s="290" t="s">
        <v>1365</v>
      </c>
      <c r="C335" s="291">
        <v>8510215</v>
      </c>
      <c r="D335" s="292">
        <v>23</v>
      </c>
      <c r="E335" s="291" t="s">
        <v>1366</v>
      </c>
      <c r="F335" s="293" t="s">
        <v>169</v>
      </c>
      <c r="G335" s="291" t="s">
        <v>451</v>
      </c>
      <c r="H335" s="291">
        <v>0.5</v>
      </c>
      <c r="I335" s="292">
        <v>2.2000000000000002</v>
      </c>
      <c r="J335" s="291" t="s">
        <v>23</v>
      </c>
      <c r="K335" s="315">
        <v>34.35</v>
      </c>
      <c r="L335" s="291">
        <v>1</v>
      </c>
      <c r="M335" s="291">
        <v>5</v>
      </c>
      <c r="N335" s="293" t="s">
        <v>803</v>
      </c>
      <c r="O335" s="303" t="s">
        <v>801</v>
      </c>
    </row>
    <row r="336" spans="1:15" s="74" customFormat="1" ht="12.75" customHeight="1" x14ac:dyDescent="0.2">
      <c r="A336" s="225" t="s">
        <v>69</v>
      </c>
      <c r="B336" s="290" t="s">
        <v>1367</v>
      </c>
      <c r="C336" s="291">
        <v>8510245</v>
      </c>
      <c r="D336" s="291">
        <v>23</v>
      </c>
      <c r="E336" s="291" t="s">
        <v>1368</v>
      </c>
      <c r="F336" s="291" t="s">
        <v>169</v>
      </c>
      <c r="G336" s="293" t="s">
        <v>451</v>
      </c>
      <c r="H336" s="291">
        <v>0.5</v>
      </c>
      <c r="I336" s="291">
        <v>3.3</v>
      </c>
      <c r="J336" s="291" t="s">
        <v>23</v>
      </c>
      <c r="K336" s="316">
        <v>43.91</v>
      </c>
      <c r="L336" s="291">
        <v>1</v>
      </c>
      <c r="M336" s="291">
        <v>5</v>
      </c>
      <c r="N336" s="294" t="s">
        <v>803</v>
      </c>
      <c r="O336" s="304" t="s">
        <v>801</v>
      </c>
    </row>
    <row r="337" spans="1:15" s="74" customFormat="1" ht="12.75" customHeight="1" x14ac:dyDescent="0.2">
      <c r="A337" s="225" t="s">
        <v>69</v>
      </c>
      <c r="B337" s="290" t="s">
        <v>1369</v>
      </c>
      <c r="C337" s="291">
        <v>8515185</v>
      </c>
      <c r="D337" s="291">
        <v>23</v>
      </c>
      <c r="E337" s="291" t="s">
        <v>1370</v>
      </c>
      <c r="F337" s="291" t="s">
        <v>169</v>
      </c>
      <c r="G337" s="293" t="s">
        <v>451</v>
      </c>
      <c r="H337" s="291">
        <v>0.5</v>
      </c>
      <c r="I337" s="291">
        <v>2.4</v>
      </c>
      <c r="J337" s="291" t="s">
        <v>23</v>
      </c>
      <c r="K337" s="316">
        <v>36.9</v>
      </c>
      <c r="L337" s="291">
        <v>1</v>
      </c>
      <c r="M337" s="291">
        <v>5</v>
      </c>
      <c r="N337" s="294" t="s">
        <v>803</v>
      </c>
      <c r="O337" s="304" t="s">
        <v>801</v>
      </c>
    </row>
    <row r="338" spans="1:15" s="74" customFormat="1" ht="12.75" customHeight="1" x14ac:dyDescent="0.2">
      <c r="A338" s="226" t="s">
        <v>69</v>
      </c>
      <c r="B338" s="290" t="s">
        <v>1371</v>
      </c>
      <c r="C338" s="291">
        <v>8515215</v>
      </c>
      <c r="D338" s="291">
        <v>23</v>
      </c>
      <c r="E338" s="291" t="s">
        <v>1372</v>
      </c>
      <c r="F338" s="291" t="s">
        <v>169</v>
      </c>
      <c r="G338" s="293" t="s">
        <v>451</v>
      </c>
      <c r="H338" s="291">
        <v>0.5</v>
      </c>
      <c r="I338" s="291">
        <v>2.9</v>
      </c>
      <c r="J338" s="291" t="s">
        <v>23</v>
      </c>
      <c r="K338" s="316">
        <v>43.38</v>
      </c>
      <c r="L338" s="291">
        <v>1</v>
      </c>
      <c r="M338" s="291">
        <v>5</v>
      </c>
      <c r="N338" s="294" t="s">
        <v>803</v>
      </c>
      <c r="O338" s="304" t="s">
        <v>801</v>
      </c>
    </row>
    <row r="339" spans="1:15" s="74" customFormat="1" ht="12.75" customHeight="1" x14ac:dyDescent="0.2">
      <c r="A339" s="226" t="s">
        <v>69</v>
      </c>
      <c r="B339" s="290" t="s">
        <v>1373</v>
      </c>
      <c r="C339" s="291">
        <v>8515245</v>
      </c>
      <c r="D339" s="291">
        <v>23</v>
      </c>
      <c r="E339" s="291" t="s">
        <v>1374</v>
      </c>
      <c r="F339" s="291" t="s">
        <v>169</v>
      </c>
      <c r="G339" s="293" t="s">
        <v>451</v>
      </c>
      <c r="H339" s="291">
        <v>0.5</v>
      </c>
      <c r="I339" s="291">
        <v>3.5</v>
      </c>
      <c r="J339" s="291" t="s">
        <v>23</v>
      </c>
      <c r="K339" s="316">
        <v>46.46</v>
      </c>
      <c r="L339" s="291">
        <v>1</v>
      </c>
      <c r="M339" s="291">
        <v>5</v>
      </c>
      <c r="N339" s="294" t="s">
        <v>803</v>
      </c>
      <c r="O339" s="304" t="s">
        <v>801</v>
      </c>
    </row>
    <row r="340" spans="1:15" s="74" customFormat="1" ht="12.75" customHeight="1" x14ac:dyDescent="0.2">
      <c r="A340" s="225" t="s">
        <v>69</v>
      </c>
      <c r="B340" s="290" t="s">
        <v>1286</v>
      </c>
      <c r="C340" s="291">
        <v>8520185</v>
      </c>
      <c r="D340" s="291">
        <v>23</v>
      </c>
      <c r="E340" s="291" t="s">
        <v>1375</v>
      </c>
      <c r="F340" s="291" t="s">
        <v>169</v>
      </c>
      <c r="G340" s="293" t="s">
        <v>451</v>
      </c>
      <c r="H340" s="291">
        <v>0.5</v>
      </c>
      <c r="I340" s="291">
        <v>3</v>
      </c>
      <c r="J340" s="291" t="s">
        <v>23</v>
      </c>
      <c r="K340" s="316">
        <v>46.55</v>
      </c>
      <c r="L340" s="291">
        <v>1</v>
      </c>
      <c r="M340" s="291">
        <v>5</v>
      </c>
      <c r="N340" s="294" t="s">
        <v>803</v>
      </c>
      <c r="O340" s="304" t="s">
        <v>801</v>
      </c>
    </row>
    <row r="341" spans="1:15" s="74" customFormat="1" ht="12.75" customHeight="1" x14ac:dyDescent="0.2">
      <c r="A341" s="225" t="s">
        <v>69</v>
      </c>
      <c r="B341" s="290" t="s">
        <v>1287</v>
      </c>
      <c r="C341" s="291">
        <v>8520215</v>
      </c>
      <c r="D341" s="291">
        <v>23</v>
      </c>
      <c r="E341" s="291" t="s">
        <v>1376</v>
      </c>
      <c r="F341" s="291" t="s">
        <v>169</v>
      </c>
      <c r="G341" s="293" t="s">
        <v>451</v>
      </c>
      <c r="H341" s="291">
        <v>0.5</v>
      </c>
      <c r="I341" s="291">
        <v>3.6</v>
      </c>
      <c r="J341" s="291" t="s">
        <v>23</v>
      </c>
      <c r="K341" s="316">
        <v>54.3</v>
      </c>
      <c r="L341" s="291">
        <v>1</v>
      </c>
      <c r="M341" s="291">
        <v>5</v>
      </c>
      <c r="N341" s="294" t="s">
        <v>803</v>
      </c>
      <c r="O341" s="304" t="s">
        <v>801</v>
      </c>
    </row>
    <row r="342" spans="1:15" s="74" customFormat="1" ht="12.75" customHeight="1" x14ac:dyDescent="0.2">
      <c r="A342" s="225" t="s">
        <v>69</v>
      </c>
      <c r="B342" s="290" t="s">
        <v>1288</v>
      </c>
      <c r="C342" s="291">
        <v>8520245</v>
      </c>
      <c r="D342" s="291">
        <v>23</v>
      </c>
      <c r="E342" s="291" t="s">
        <v>1377</v>
      </c>
      <c r="F342" s="291" t="s">
        <v>169</v>
      </c>
      <c r="G342" s="293" t="s">
        <v>451</v>
      </c>
      <c r="H342" s="291">
        <v>0.5</v>
      </c>
      <c r="I342" s="291">
        <v>4.0999999999999996</v>
      </c>
      <c r="J342" s="291" t="s">
        <v>23</v>
      </c>
      <c r="K342" s="316">
        <v>55.04</v>
      </c>
      <c r="L342" s="291">
        <v>1</v>
      </c>
      <c r="M342" s="291">
        <v>5</v>
      </c>
      <c r="N342" s="294" t="s">
        <v>803</v>
      </c>
      <c r="O342" s="304" t="s">
        <v>801</v>
      </c>
    </row>
    <row r="343" spans="1:15" s="74" customFormat="1" ht="12.75" customHeight="1" x14ac:dyDescent="0.2">
      <c r="A343" s="225" t="s">
        <v>1330</v>
      </c>
      <c r="B343" s="290" t="s">
        <v>1280</v>
      </c>
      <c r="C343" s="291">
        <v>954500</v>
      </c>
      <c r="D343" s="291">
        <v>23</v>
      </c>
      <c r="E343" s="291" t="s">
        <v>1378</v>
      </c>
      <c r="F343" s="291" t="s">
        <v>169</v>
      </c>
      <c r="G343" s="293" t="s">
        <v>451</v>
      </c>
      <c r="H343" s="291">
        <v>0.7</v>
      </c>
      <c r="I343" s="291">
        <v>1.85</v>
      </c>
      <c r="J343" s="291" t="s">
        <v>23</v>
      </c>
      <c r="K343" s="316">
        <v>44</v>
      </c>
      <c r="L343" s="291">
        <v>1</v>
      </c>
      <c r="M343" s="291">
        <v>1</v>
      </c>
      <c r="N343" s="294" t="s">
        <v>803</v>
      </c>
      <c r="O343" s="304" t="s">
        <v>801</v>
      </c>
    </row>
    <row r="344" spans="1:15" s="74" customFormat="1" ht="12.75" customHeight="1" x14ac:dyDescent="0.2">
      <c r="A344" s="225" t="s">
        <v>1331</v>
      </c>
      <c r="B344" s="290" t="s">
        <v>1281</v>
      </c>
      <c r="C344" s="291">
        <v>924200</v>
      </c>
      <c r="D344" s="291">
        <v>23</v>
      </c>
      <c r="E344" s="291" t="s">
        <v>1379</v>
      </c>
      <c r="F344" s="291" t="s">
        <v>169</v>
      </c>
      <c r="G344" s="293" t="s">
        <v>451</v>
      </c>
      <c r="H344" s="291">
        <v>0.7</v>
      </c>
      <c r="I344" s="291">
        <v>1.62</v>
      </c>
      <c r="J344" s="291" t="s">
        <v>23</v>
      </c>
      <c r="K344" s="316">
        <v>41.97</v>
      </c>
      <c r="L344" s="291">
        <v>1</v>
      </c>
      <c r="M344" s="291">
        <v>1</v>
      </c>
      <c r="N344" s="294" t="s">
        <v>803</v>
      </c>
      <c r="O344" s="304" t="s">
        <v>801</v>
      </c>
    </row>
    <row r="345" spans="1:15" s="74" customFormat="1" ht="12.75" customHeight="1" x14ac:dyDescent="0.2">
      <c r="A345" s="225" t="s">
        <v>1332</v>
      </c>
      <c r="B345" s="290" t="s">
        <v>1283</v>
      </c>
      <c r="C345" s="291">
        <v>954600</v>
      </c>
      <c r="D345" s="291">
        <v>23</v>
      </c>
      <c r="E345" s="291" t="s">
        <v>1380</v>
      </c>
      <c r="F345" s="291" t="s">
        <v>169</v>
      </c>
      <c r="G345" s="293" t="s">
        <v>451</v>
      </c>
      <c r="H345" s="291">
        <v>1</v>
      </c>
      <c r="I345" s="291">
        <v>3.81</v>
      </c>
      <c r="J345" s="291" t="s">
        <v>23</v>
      </c>
      <c r="K345" s="316">
        <v>64.5</v>
      </c>
      <c r="L345" s="291">
        <v>1</v>
      </c>
      <c r="M345" s="291">
        <v>1</v>
      </c>
      <c r="N345" s="294" t="s">
        <v>803</v>
      </c>
      <c r="O345" s="304" t="s">
        <v>801</v>
      </c>
    </row>
    <row r="346" spans="1:15" s="74" customFormat="1" ht="12.75" customHeight="1" x14ac:dyDescent="0.2">
      <c r="A346" s="226" t="s">
        <v>1333</v>
      </c>
      <c r="B346" s="290" t="s">
        <v>1282</v>
      </c>
      <c r="C346" s="291">
        <v>954300</v>
      </c>
      <c r="D346" s="291">
        <v>23</v>
      </c>
      <c r="E346" s="291" t="s">
        <v>1381</v>
      </c>
      <c r="F346" s="291" t="s">
        <v>169</v>
      </c>
      <c r="G346" s="293" t="s">
        <v>451</v>
      </c>
      <c r="H346" s="291">
        <v>0.7</v>
      </c>
      <c r="I346" s="291">
        <v>2.2999999999999998</v>
      </c>
      <c r="J346" s="291" t="s">
        <v>23</v>
      </c>
      <c r="K346" s="316">
        <v>55</v>
      </c>
      <c r="L346" s="291">
        <v>1</v>
      </c>
      <c r="M346" s="291">
        <v>1</v>
      </c>
      <c r="N346" s="294" t="s">
        <v>803</v>
      </c>
      <c r="O346" s="304" t="s">
        <v>801</v>
      </c>
    </row>
    <row r="347" spans="1:15" s="74" customFormat="1" ht="12.75" customHeight="1" x14ac:dyDescent="0.2">
      <c r="A347" s="226" t="s">
        <v>1049</v>
      </c>
      <c r="B347" s="290" t="s">
        <v>1382</v>
      </c>
      <c r="C347" s="291">
        <v>898230</v>
      </c>
      <c r="D347" s="291">
        <v>23</v>
      </c>
      <c r="E347" s="291" t="s">
        <v>1383</v>
      </c>
      <c r="F347" s="291" t="s">
        <v>172</v>
      </c>
      <c r="G347" s="293" t="s">
        <v>452</v>
      </c>
      <c r="H347" s="291">
        <v>3</v>
      </c>
      <c r="I347" s="291">
        <v>0.04</v>
      </c>
      <c r="J347" s="291" t="s">
        <v>23</v>
      </c>
      <c r="K347" s="316">
        <v>5.87</v>
      </c>
      <c r="L347" s="291">
        <v>1</v>
      </c>
      <c r="M347" s="291">
        <v>50</v>
      </c>
      <c r="N347" s="294" t="s">
        <v>802</v>
      </c>
      <c r="O347" s="304"/>
    </row>
    <row r="348" spans="1:15" s="74" customFormat="1" ht="12.75" customHeight="1" x14ac:dyDescent="0.2">
      <c r="A348" s="225" t="s">
        <v>1049</v>
      </c>
      <c r="B348" s="290" t="s">
        <v>1384</v>
      </c>
      <c r="C348" s="291">
        <v>898235</v>
      </c>
      <c r="D348" s="291">
        <v>23</v>
      </c>
      <c r="E348" s="291" t="s">
        <v>1385</v>
      </c>
      <c r="F348" s="291" t="s">
        <v>172</v>
      </c>
      <c r="G348" s="293" t="s">
        <v>452</v>
      </c>
      <c r="H348" s="291">
        <v>3</v>
      </c>
      <c r="I348" s="291">
        <v>0.06</v>
      </c>
      <c r="J348" s="291" t="s">
        <v>23</v>
      </c>
      <c r="K348" s="316">
        <v>5.87</v>
      </c>
      <c r="L348" s="291">
        <v>1</v>
      </c>
      <c r="M348" s="291">
        <v>50</v>
      </c>
      <c r="N348" s="294" t="s">
        <v>802</v>
      </c>
      <c r="O348" s="304"/>
    </row>
    <row r="349" spans="1:15" s="74" customFormat="1" ht="12.75" customHeight="1" x14ac:dyDescent="0.2">
      <c r="A349" s="225" t="s">
        <v>1049</v>
      </c>
      <c r="B349" s="290" t="s">
        <v>1386</v>
      </c>
      <c r="C349" s="291">
        <v>870530</v>
      </c>
      <c r="D349" s="291">
        <v>23</v>
      </c>
      <c r="E349" s="291" t="s">
        <v>1387</v>
      </c>
      <c r="F349" s="291" t="s">
        <v>172</v>
      </c>
      <c r="G349" s="293" t="s">
        <v>452</v>
      </c>
      <c r="H349" s="291">
        <v>4</v>
      </c>
      <c r="I349" s="291">
        <v>0.06</v>
      </c>
      <c r="J349" s="291" t="s">
        <v>23</v>
      </c>
      <c r="K349" s="316">
        <v>6.2</v>
      </c>
      <c r="L349" s="291">
        <v>1</v>
      </c>
      <c r="M349" s="291">
        <v>50</v>
      </c>
      <c r="N349" s="294" t="s">
        <v>802</v>
      </c>
      <c r="O349" s="304"/>
    </row>
    <row r="350" spans="1:15" s="74" customFormat="1" ht="12.75" customHeight="1" x14ac:dyDescent="0.2">
      <c r="A350" s="225" t="s">
        <v>1049</v>
      </c>
      <c r="B350" s="290" t="s">
        <v>1388</v>
      </c>
      <c r="C350" s="291">
        <v>870535</v>
      </c>
      <c r="D350" s="291">
        <v>23</v>
      </c>
      <c r="E350" s="291" t="s">
        <v>1389</v>
      </c>
      <c r="F350" s="291" t="s">
        <v>172</v>
      </c>
      <c r="G350" s="293" t="s">
        <v>452</v>
      </c>
      <c r="H350" s="291">
        <v>4</v>
      </c>
      <c r="I350" s="291">
        <v>0.06</v>
      </c>
      <c r="J350" s="291" t="s">
        <v>23</v>
      </c>
      <c r="K350" s="316">
        <v>6.2</v>
      </c>
      <c r="L350" s="291">
        <v>1</v>
      </c>
      <c r="M350" s="291">
        <v>50</v>
      </c>
      <c r="N350" s="294" t="s">
        <v>802</v>
      </c>
      <c r="O350" s="304"/>
    </row>
    <row r="351" spans="1:15" s="74" customFormat="1" ht="12.75" customHeight="1" x14ac:dyDescent="0.2">
      <c r="A351" s="225" t="s">
        <v>1334</v>
      </c>
      <c r="B351" s="290" t="s">
        <v>1390</v>
      </c>
      <c r="C351" s="291">
        <v>898430</v>
      </c>
      <c r="D351" s="291">
        <v>23</v>
      </c>
      <c r="E351" s="291" t="s">
        <v>1391</v>
      </c>
      <c r="F351" s="291" t="s">
        <v>172</v>
      </c>
      <c r="G351" s="293" t="s">
        <v>452</v>
      </c>
      <c r="H351" s="291">
        <v>3</v>
      </c>
      <c r="I351" s="291">
        <v>0.02</v>
      </c>
      <c r="J351" s="291" t="s">
        <v>23</v>
      </c>
      <c r="K351" s="316">
        <v>1.92</v>
      </c>
      <c r="L351" s="291">
        <v>1</v>
      </c>
      <c r="M351" s="291">
        <v>50</v>
      </c>
      <c r="N351" s="294" t="s">
        <v>802</v>
      </c>
      <c r="O351" s="304"/>
    </row>
    <row r="352" spans="1:15" s="74" customFormat="1" ht="12.75" customHeight="1" x14ac:dyDescent="0.2">
      <c r="A352" s="226" t="s">
        <v>1334</v>
      </c>
      <c r="B352" s="225" t="s">
        <v>1392</v>
      </c>
      <c r="C352" s="292">
        <v>898435</v>
      </c>
      <c r="D352" s="291">
        <v>23</v>
      </c>
      <c r="E352" s="292" t="s">
        <v>1393</v>
      </c>
      <c r="F352" s="291" t="s">
        <v>172</v>
      </c>
      <c r="G352" s="293" t="s">
        <v>452</v>
      </c>
      <c r="H352" s="291">
        <v>3</v>
      </c>
      <c r="I352" s="291">
        <v>0.04</v>
      </c>
      <c r="J352" s="291" t="s">
        <v>23</v>
      </c>
      <c r="K352" s="316">
        <v>1.92</v>
      </c>
      <c r="L352" s="291">
        <v>1</v>
      </c>
      <c r="M352" s="291">
        <v>50</v>
      </c>
      <c r="N352" s="294" t="s">
        <v>802</v>
      </c>
      <c r="O352" s="304"/>
    </row>
    <row r="353" spans="1:15" s="74" customFormat="1" ht="12.75" customHeight="1" x14ac:dyDescent="0.2">
      <c r="A353" s="226" t="s">
        <v>1334</v>
      </c>
      <c r="B353" s="225" t="s">
        <v>1394</v>
      </c>
      <c r="C353" s="292">
        <v>871530</v>
      </c>
      <c r="D353" s="291">
        <v>23</v>
      </c>
      <c r="E353" s="292" t="s">
        <v>1395</v>
      </c>
      <c r="F353" s="291" t="s">
        <v>172</v>
      </c>
      <c r="G353" s="293" t="s">
        <v>452</v>
      </c>
      <c r="H353" s="291">
        <v>4</v>
      </c>
      <c r="I353" s="291">
        <v>0.02</v>
      </c>
      <c r="J353" s="291" t="s">
        <v>23</v>
      </c>
      <c r="K353" s="316">
        <v>3.09</v>
      </c>
      <c r="L353" s="291">
        <v>1</v>
      </c>
      <c r="M353" s="291">
        <v>50</v>
      </c>
      <c r="N353" s="294" t="s">
        <v>802</v>
      </c>
      <c r="O353" s="304"/>
    </row>
    <row r="354" spans="1:15" s="74" customFormat="1" ht="12.75" customHeight="1" x14ac:dyDescent="0.2">
      <c r="A354" s="220" t="s">
        <v>1334</v>
      </c>
      <c r="B354" s="220" t="s">
        <v>1396</v>
      </c>
      <c r="C354" s="231">
        <v>871535</v>
      </c>
      <c r="D354" s="231">
        <v>23</v>
      </c>
      <c r="E354" s="231" t="s">
        <v>1397</v>
      </c>
      <c r="F354" s="129" t="s">
        <v>172</v>
      </c>
      <c r="G354" s="129" t="s">
        <v>452</v>
      </c>
      <c r="H354" s="250">
        <v>4</v>
      </c>
      <c r="I354" s="246">
        <v>0.02</v>
      </c>
      <c r="J354" s="231" t="s">
        <v>23</v>
      </c>
      <c r="K354" s="312">
        <v>3.09</v>
      </c>
      <c r="L354" s="257">
        <v>1</v>
      </c>
      <c r="M354" s="237">
        <v>50</v>
      </c>
      <c r="N354" s="46" t="s">
        <v>802</v>
      </c>
      <c r="O354" s="50"/>
    </row>
    <row r="355" spans="1:15" s="74" customFormat="1" ht="12.75" customHeight="1" x14ac:dyDescent="0.2">
      <c r="A355" s="220" t="s">
        <v>1042</v>
      </c>
      <c r="B355" s="220" t="s">
        <v>1398</v>
      </c>
      <c r="C355" s="231">
        <v>898500</v>
      </c>
      <c r="D355" s="231">
        <v>23</v>
      </c>
      <c r="E355" s="231" t="s">
        <v>1399</v>
      </c>
      <c r="F355" s="129" t="s">
        <v>172</v>
      </c>
      <c r="G355" s="129" t="s">
        <v>452</v>
      </c>
      <c r="H355" s="250">
        <v>3</v>
      </c>
      <c r="I355" s="246">
        <v>0.04</v>
      </c>
      <c r="J355" s="231" t="s">
        <v>23</v>
      </c>
      <c r="K355" s="312">
        <v>7.31</v>
      </c>
      <c r="L355" s="257">
        <v>1</v>
      </c>
      <c r="M355" s="237">
        <v>50</v>
      </c>
      <c r="N355" s="46" t="s">
        <v>802</v>
      </c>
      <c r="O355" s="50"/>
    </row>
    <row r="356" spans="1:15" s="74" customFormat="1" ht="12.75" customHeight="1" x14ac:dyDescent="0.2">
      <c r="A356" s="220" t="s">
        <v>1042</v>
      </c>
      <c r="B356" s="220" t="s">
        <v>1400</v>
      </c>
      <c r="C356" s="231">
        <v>898501</v>
      </c>
      <c r="D356" s="231">
        <v>23</v>
      </c>
      <c r="E356" s="231" t="s">
        <v>1401</v>
      </c>
      <c r="F356" s="129" t="s">
        <v>172</v>
      </c>
      <c r="G356" s="129" t="s">
        <v>452</v>
      </c>
      <c r="H356" s="250">
        <v>4</v>
      </c>
      <c r="I356" s="246">
        <v>0.05</v>
      </c>
      <c r="J356" s="231" t="s">
        <v>23</v>
      </c>
      <c r="K356" s="312">
        <v>6.99</v>
      </c>
      <c r="L356" s="257">
        <v>1</v>
      </c>
      <c r="M356" s="237">
        <v>50</v>
      </c>
      <c r="N356" s="46" t="s">
        <v>802</v>
      </c>
      <c r="O356" s="50"/>
    </row>
    <row r="357" spans="1:15" s="74" customFormat="1" ht="12.75" customHeight="1" x14ac:dyDescent="0.2">
      <c r="A357" s="220" t="s">
        <v>1335</v>
      </c>
      <c r="B357" s="220" t="s">
        <v>1402</v>
      </c>
      <c r="C357" s="231">
        <v>898502</v>
      </c>
      <c r="D357" s="231">
        <v>23</v>
      </c>
      <c r="E357" s="231" t="s">
        <v>1403</v>
      </c>
      <c r="F357" s="129" t="s">
        <v>172</v>
      </c>
      <c r="G357" s="129" t="s">
        <v>452</v>
      </c>
      <c r="H357" s="250">
        <v>3</v>
      </c>
      <c r="I357" s="246">
        <v>0.02</v>
      </c>
      <c r="J357" s="231" t="s">
        <v>23</v>
      </c>
      <c r="K357" s="312">
        <v>2.06</v>
      </c>
      <c r="L357" s="229">
        <v>1</v>
      </c>
      <c r="M357" s="237">
        <v>50</v>
      </c>
      <c r="N357" s="46" t="s">
        <v>802</v>
      </c>
      <c r="O357" s="50"/>
    </row>
    <row r="358" spans="1:15" s="74" customFormat="1" ht="12.75" customHeight="1" x14ac:dyDescent="0.2">
      <c r="A358" s="220" t="s">
        <v>1335</v>
      </c>
      <c r="B358" s="220" t="s">
        <v>1404</v>
      </c>
      <c r="C358" s="231">
        <v>898503</v>
      </c>
      <c r="D358" s="231">
        <v>23</v>
      </c>
      <c r="E358" s="231" t="s">
        <v>1405</v>
      </c>
      <c r="F358" s="129" t="s">
        <v>172</v>
      </c>
      <c r="G358" s="129" t="s">
        <v>452</v>
      </c>
      <c r="H358" s="250">
        <v>4</v>
      </c>
      <c r="I358" s="246">
        <v>0.04</v>
      </c>
      <c r="J358" s="231" t="s">
        <v>23</v>
      </c>
      <c r="K358" s="312">
        <v>3.49</v>
      </c>
      <c r="L358" s="229">
        <v>1</v>
      </c>
      <c r="M358" s="237">
        <v>50</v>
      </c>
      <c r="N358" s="46" t="s">
        <v>802</v>
      </c>
      <c r="O358" s="50"/>
    </row>
    <row r="359" spans="1:15" s="74" customFormat="1" ht="12.75" customHeight="1" x14ac:dyDescent="0.2">
      <c r="A359" s="220" t="s">
        <v>1336</v>
      </c>
      <c r="B359" s="220" t="s">
        <v>1406</v>
      </c>
      <c r="C359" s="231">
        <v>858455</v>
      </c>
      <c r="D359" s="231">
        <v>23</v>
      </c>
      <c r="E359" s="231" t="s">
        <v>1407</v>
      </c>
      <c r="F359" s="129" t="s">
        <v>169</v>
      </c>
      <c r="G359" s="129" t="s">
        <v>451</v>
      </c>
      <c r="H359" s="250">
        <v>1.5</v>
      </c>
      <c r="I359" s="246">
        <v>0.26</v>
      </c>
      <c r="J359" s="231" t="s">
        <v>23</v>
      </c>
      <c r="K359" s="312">
        <v>36.06</v>
      </c>
      <c r="L359" s="229">
        <v>1</v>
      </c>
      <c r="M359" s="237">
        <v>10</v>
      </c>
      <c r="N359" s="46" t="s">
        <v>803</v>
      </c>
      <c r="O359" s="50" t="s">
        <v>801</v>
      </c>
    </row>
    <row r="360" spans="1:15" s="74" customFormat="1" ht="12.75" customHeight="1" x14ac:dyDescent="0.2">
      <c r="A360" s="220" t="s">
        <v>1336</v>
      </c>
      <c r="B360" s="220" t="s">
        <v>1316</v>
      </c>
      <c r="C360" s="231">
        <v>858454</v>
      </c>
      <c r="D360" s="231">
        <v>23</v>
      </c>
      <c r="E360" s="231" t="s">
        <v>1408</v>
      </c>
      <c r="F360" s="129" t="s">
        <v>169</v>
      </c>
      <c r="G360" s="129" t="s">
        <v>451</v>
      </c>
      <c r="H360" s="250">
        <v>1.5</v>
      </c>
      <c r="I360" s="246">
        <v>0.33</v>
      </c>
      <c r="J360" s="231" t="s">
        <v>23</v>
      </c>
      <c r="K360" s="312">
        <v>36.840000000000003</v>
      </c>
      <c r="L360" s="229">
        <v>1</v>
      </c>
      <c r="M360" s="237">
        <v>10</v>
      </c>
      <c r="N360" s="46" t="s">
        <v>803</v>
      </c>
      <c r="O360" s="50" t="s">
        <v>801</v>
      </c>
    </row>
    <row r="361" spans="1:15" s="74" customFormat="1" ht="12.75" customHeight="1" x14ac:dyDescent="0.2">
      <c r="A361" s="220" t="s">
        <v>1336</v>
      </c>
      <c r="B361" s="220" t="s">
        <v>1409</v>
      </c>
      <c r="C361" s="231">
        <v>858457</v>
      </c>
      <c r="D361" s="231">
        <v>23</v>
      </c>
      <c r="E361" s="231" t="s">
        <v>1410</v>
      </c>
      <c r="F361" s="129" t="s">
        <v>169</v>
      </c>
      <c r="G361" s="129" t="s">
        <v>451</v>
      </c>
      <c r="H361" s="250">
        <v>1.5</v>
      </c>
      <c r="I361" s="246">
        <v>0.62</v>
      </c>
      <c r="J361" s="231" t="s">
        <v>23</v>
      </c>
      <c r="K361" s="312">
        <v>39.18</v>
      </c>
      <c r="L361" s="229">
        <v>1</v>
      </c>
      <c r="M361" s="237">
        <v>10</v>
      </c>
      <c r="N361" s="46" t="s">
        <v>803</v>
      </c>
      <c r="O361" s="50" t="s">
        <v>801</v>
      </c>
    </row>
    <row r="362" spans="1:15" s="74" customFormat="1" ht="12.75" customHeight="1" x14ac:dyDescent="0.2">
      <c r="A362" s="220" t="s">
        <v>1336</v>
      </c>
      <c r="B362" s="220" t="s">
        <v>1411</v>
      </c>
      <c r="C362" s="231">
        <v>858456</v>
      </c>
      <c r="D362" s="231">
        <v>23</v>
      </c>
      <c r="E362" s="231" t="s">
        <v>1412</v>
      </c>
      <c r="F362" s="129" t="s">
        <v>169</v>
      </c>
      <c r="G362" s="129" t="s">
        <v>451</v>
      </c>
      <c r="H362" s="232">
        <v>1.5</v>
      </c>
      <c r="I362" s="233">
        <v>0.71</v>
      </c>
      <c r="J362" s="231" t="s">
        <v>23</v>
      </c>
      <c r="K362" s="312">
        <v>39.96</v>
      </c>
      <c r="L362" s="229">
        <v>1</v>
      </c>
      <c r="M362" s="237">
        <v>10</v>
      </c>
      <c r="N362" s="46" t="s">
        <v>803</v>
      </c>
      <c r="O362" s="50" t="s">
        <v>801</v>
      </c>
    </row>
    <row r="363" spans="1:15" s="74" customFormat="1" ht="12.75" customHeight="1" x14ac:dyDescent="0.2">
      <c r="A363" s="305" t="s">
        <v>70</v>
      </c>
      <c r="B363" s="306" t="s">
        <v>1298</v>
      </c>
      <c r="C363" s="291">
        <v>894636</v>
      </c>
      <c r="D363" s="291">
        <v>23</v>
      </c>
      <c r="E363" s="291" t="s">
        <v>1413</v>
      </c>
      <c r="F363" s="291" t="s">
        <v>172</v>
      </c>
      <c r="G363" s="293" t="s">
        <v>452</v>
      </c>
      <c r="H363" s="291">
        <v>1.5</v>
      </c>
      <c r="I363" s="291">
        <v>3.3479999999999999</v>
      </c>
      <c r="J363" s="291" t="s">
        <v>23</v>
      </c>
      <c r="K363" s="317">
        <v>111.6</v>
      </c>
      <c r="L363" s="229">
        <v>1</v>
      </c>
      <c r="M363" s="295">
        <v>1</v>
      </c>
      <c r="N363" s="46" t="s">
        <v>802</v>
      </c>
      <c r="O363" s="50"/>
    </row>
    <row r="364" spans="1:15" s="74" customFormat="1" ht="12.75" customHeight="1" x14ac:dyDescent="0.2">
      <c r="A364" s="305" t="s">
        <v>1337</v>
      </c>
      <c r="B364" s="306" t="s">
        <v>1223</v>
      </c>
      <c r="C364" s="291">
        <v>894819</v>
      </c>
      <c r="D364" s="291">
        <v>23</v>
      </c>
      <c r="E364" s="291">
        <v>5900993226706</v>
      </c>
      <c r="F364" s="291" t="s">
        <v>242</v>
      </c>
      <c r="G364" s="293" t="s">
        <v>468</v>
      </c>
      <c r="H364" s="291"/>
      <c r="I364" s="291">
        <v>0.01</v>
      </c>
      <c r="J364" s="291" t="s">
        <v>23</v>
      </c>
      <c r="K364" s="317">
        <v>1.85</v>
      </c>
      <c r="L364" s="229">
        <v>1</v>
      </c>
      <c r="M364" s="295">
        <v>100</v>
      </c>
      <c r="N364" s="46" t="s">
        <v>802</v>
      </c>
      <c r="O364" s="50"/>
    </row>
    <row r="365" spans="1:15" s="74" customFormat="1" ht="12.75" customHeight="1" x14ac:dyDescent="0.2">
      <c r="A365" s="305" t="s">
        <v>1476</v>
      </c>
      <c r="B365" s="306" t="s">
        <v>1434</v>
      </c>
      <c r="C365" s="291">
        <v>660352</v>
      </c>
      <c r="D365" s="291">
        <v>23</v>
      </c>
      <c r="E365" s="291">
        <v>5900993173208</v>
      </c>
      <c r="F365" s="291" t="s">
        <v>242</v>
      </c>
      <c r="G365" s="293" t="s">
        <v>461</v>
      </c>
      <c r="H365" s="291"/>
      <c r="I365" s="291">
        <v>1.77</v>
      </c>
      <c r="J365" s="291" t="s">
        <v>66</v>
      </c>
      <c r="K365" s="317">
        <v>89.39</v>
      </c>
      <c r="L365" s="229">
        <v>1</v>
      </c>
      <c r="M365" s="295">
        <v>100</v>
      </c>
      <c r="N365" s="46" t="s">
        <v>802</v>
      </c>
      <c r="O365" s="50"/>
    </row>
    <row r="366" spans="1:15" s="74" customFormat="1" ht="12.75" customHeight="1" x14ac:dyDescent="0.2">
      <c r="A366" s="305" t="s">
        <v>25</v>
      </c>
      <c r="B366" s="306" t="s">
        <v>1432</v>
      </c>
      <c r="C366" s="291">
        <v>863342</v>
      </c>
      <c r="D366" s="291">
        <v>23</v>
      </c>
      <c r="E366" s="291" t="s">
        <v>1477</v>
      </c>
      <c r="F366" s="291" t="s">
        <v>169</v>
      </c>
      <c r="G366" s="293" t="s">
        <v>451</v>
      </c>
      <c r="H366" s="291">
        <v>2</v>
      </c>
      <c r="I366" s="291">
        <v>12.88</v>
      </c>
      <c r="J366" s="291" t="s">
        <v>23</v>
      </c>
      <c r="K366" s="317">
        <v>172.77</v>
      </c>
      <c r="L366" s="229">
        <v>1</v>
      </c>
      <c r="M366" s="295">
        <v>50</v>
      </c>
      <c r="N366" s="46" t="s">
        <v>803</v>
      </c>
      <c r="O366" s="50" t="s">
        <v>801</v>
      </c>
    </row>
    <row r="367" spans="1:15" s="74" customFormat="1" ht="12.75" customHeight="1" x14ac:dyDescent="0.2">
      <c r="A367" s="220" t="s">
        <v>86</v>
      </c>
      <c r="B367" s="220" t="s">
        <v>1227</v>
      </c>
      <c r="C367" s="291">
        <v>895511</v>
      </c>
      <c r="D367" s="291">
        <v>23</v>
      </c>
      <c r="E367" s="293" t="s">
        <v>1478</v>
      </c>
      <c r="F367" s="293" t="s">
        <v>221</v>
      </c>
      <c r="G367" s="293" t="s">
        <v>1414</v>
      </c>
      <c r="H367" s="291">
        <v>5</v>
      </c>
      <c r="I367" s="291">
        <v>0.45</v>
      </c>
      <c r="J367" s="291" t="s">
        <v>23</v>
      </c>
      <c r="K367" s="317">
        <v>4.8</v>
      </c>
      <c r="L367" s="229">
        <v>1</v>
      </c>
      <c r="M367" s="295">
        <v>50</v>
      </c>
      <c r="N367" s="46" t="s">
        <v>802</v>
      </c>
      <c r="O367" s="50"/>
    </row>
    <row r="368" spans="1:15" s="74" customFormat="1" ht="12.75" customHeight="1" x14ac:dyDescent="0.2">
      <c r="A368" s="220" t="s">
        <v>69</v>
      </c>
      <c r="B368" s="220" t="s">
        <v>1314</v>
      </c>
      <c r="C368" s="291">
        <v>8520275</v>
      </c>
      <c r="D368" s="291">
        <v>23</v>
      </c>
      <c r="E368" s="293" t="s">
        <v>1479</v>
      </c>
      <c r="F368" s="293" t="s">
        <v>169</v>
      </c>
      <c r="G368" s="293" t="s">
        <v>451</v>
      </c>
      <c r="H368" s="291">
        <v>0.5</v>
      </c>
      <c r="I368" s="291">
        <v>4.5</v>
      </c>
      <c r="J368" s="291" t="s">
        <v>23</v>
      </c>
      <c r="K368" s="317">
        <v>55.78</v>
      </c>
      <c r="L368" s="229">
        <v>1</v>
      </c>
      <c r="M368" s="295">
        <v>5</v>
      </c>
      <c r="N368" s="46" t="s">
        <v>803</v>
      </c>
      <c r="O368" s="50" t="s">
        <v>801</v>
      </c>
    </row>
    <row r="369" spans="1:15" s="74" customFormat="1" ht="12.75" customHeight="1" x14ac:dyDescent="0.2">
      <c r="A369" s="220" t="s">
        <v>1338</v>
      </c>
      <c r="B369" s="220" t="s">
        <v>1315</v>
      </c>
      <c r="C369" s="291">
        <v>924216</v>
      </c>
      <c r="D369" s="291">
        <v>23</v>
      </c>
      <c r="E369" s="293" t="s">
        <v>1480</v>
      </c>
      <c r="F369" s="293" t="s">
        <v>169</v>
      </c>
      <c r="G369" s="293" t="s">
        <v>451</v>
      </c>
      <c r="H369" s="291">
        <v>1</v>
      </c>
      <c r="I369" s="291">
        <v>0.24</v>
      </c>
      <c r="J369" s="291" t="s">
        <v>23</v>
      </c>
      <c r="K369" s="317">
        <v>7.64</v>
      </c>
      <c r="L369" s="229">
        <v>1</v>
      </c>
      <c r="M369" s="295">
        <v>10</v>
      </c>
      <c r="N369" s="46" t="s">
        <v>803</v>
      </c>
      <c r="O369" s="50" t="s">
        <v>801</v>
      </c>
    </row>
    <row r="370" spans="1:15" s="74" customFormat="1" ht="12.75" customHeight="1" x14ac:dyDescent="0.2">
      <c r="A370" s="220" t="s">
        <v>51</v>
      </c>
      <c r="B370" s="220" t="s">
        <v>1415</v>
      </c>
      <c r="C370" s="291">
        <v>857815</v>
      </c>
      <c r="D370" s="291">
        <v>23</v>
      </c>
      <c r="E370" s="293" t="s">
        <v>1481</v>
      </c>
      <c r="F370" s="293" t="s">
        <v>169</v>
      </c>
      <c r="G370" s="293" t="s">
        <v>451</v>
      </c>
      <c r="H370" s="291">
        <v>3</v>
      </c>
      <c r="I370" s="291">
        <v>5.64</v>
      </c>
      <c r="J370" s="291" t="s">
        <v>23</v>
      </c>
      <c r="K370" s="317">
        <v>75.92</v>
      </c>
      <c r="L370" s="229">
        <v>1</v>
      </c>
      <c r="M370" s="295">
        <v>4</v>
      </c>
      <c r="N370" s="46" t="s">
        <v>803</v>
      </c>
      <c r="O370" s="50" t="s">
        <v>801</v>
      </c>
    </row>
    <row r="371" spans="1:15" s="74" customFormat="1" ht="12.75" customHeight="1" x14ac:dyDescent="0.2">
      <c r="A371" s="220" t="s">
        <v>1339</v>
      </c>
      <c r="B371" s="220" t="s">
        <v>1254</v>
      </c>
      <c r="C371" s="291">
        <v>856025</v>
      </c>
      <c r="D371" s="291">
        <v>23</v>
      </c>
      <c r="E371" s="293" t="s">
        <v>1482</v>
      </c>
      <c r="F371" s="293" t="s">
        <v>169</v>
      </c>
      <c r="G371" s="293" t="s">
        <v>451</v>
      </c>
      <c r="H371" s="291">
        <v>1.5</v>
      </c>
      <c r="I371" s="291">
        <v>6.0999999999999999E-2</v>
      </c>
      <c r="J371" s="291" t="s">
        <v>23</v>
      </c>
      <c r="K371" s="317">
        <v>15.23</v>
      </c>
      <c r="L371" s="229">
        <v>1</v>
      </c>
      <c r="M371" s="295">
        <v>100</v>
      </c>
      <c r="N371" s="46" t="s">
        <v>803</v>
      </c>
      <c r="O371" s="50" t="s">
        <v>801</v>
      </c>
    </row>
    <row r="372" spans="1:15" s="74" customFormat="1" ht="12.75" customHeight="1" x14ac:dyDescent="0.2">
      <c r="A372" s="220" t="s">
        <v>1340</v>
      </c>
      <c r="B372" s="220" t="s">
        <v>1305</v>
      </c>
      <c r="C372" s="291">
        <v>850155</v>
      </c>
      <c r="D372" s="291">
        <v>23</v>
      </c>
      <c r="E372" s="293" t="s">
        <v>1483</v>
      </c>
      <c r="F372" s="293" t="s">
        <v>169</v>
      </c>
      <c r="G372" s="293" t="s">
        <v>451</v>
      </c>
      <c r="H372" s="291">
        <v>3</v>
      </c>
      <c r="I372" s="291">
        <v>0.25</v>
      </c>
      <c r="J372" s="291" t="s">
        <v>23</v>
      </c>
      <c r="K372" s="317">
        <v>14.23</v>
      </c>
      <c r="L372" s="229">
        <v>1</v>
      </c>
      <c r="M372" s="295">
        <v>20</v>
      </c>
      <c r="N372" s="46" t="s">
        <v>803</v>
      </c>
      <c r="O372" s="50" t="s">
        <v>801</v>
      </c>
    </row>
    <row r="373" spans="1:15" s="74" customFormat="1" ht="12.75" customHeight="1" x14ac:dyDescent="0.2">
      <c r="A373" s="220" t="s">
        <v>1484</v>
      </c>
      <c r="B373" s="220" t="s">
        <v>1436</v>
      </c>
      <c r="C373" s="291">
        <v>858435</v>
      </c>
      <c r="D373" s="291">
        <v>23</v>
      </c>
      <c r="E373" s="293" t="s">
        <v>1485</v>
      </c>
      <c r="F373" s="293" t="s">
        <v>169</v>
      </c>
      <c r="G373" s="293" t="s">
        <v>451</v>
      </c>
      <c r="H373" s="291">
        <v>1</v>
      </c>
      <c r="I373" s="291">
        <v>0.16</v>
      </c>
      <c r="J373" s="291" t="s">
        <v>23</v>
      </c>
      <c r="K373" s="317">
        <v>6.8</v>
      </c>
      <c r="L373" s="229">
        <v>1</v>
      </c>
      <c r="M373" s="295">
        <v>10</v>
      </c>
      <c r="N373" s="46" t="s">
        <v>803</v>
      </c>
      <c r="O373" s="50" t="s">
        <v>801</v>
      </c>
    </row>
    <row r="374" spans="1:15" s="74" customFormat="1" ht="12.75" customHeight="1" x14ac:dyDescent="0.2">
      <c r="A374" s="220" t="s">
        <v>72</v>
      </c>
      <c r="B374" s="220" t="s">
        <v>1437</v>
      </c>
      <c r="C374" s="291">
        <v>858442</v>
      </c>
      <c r="D374" s="291">
        <v>23</v>
      </c>
      <c r="E374" s="293" t="s">
        <v>1486</v>
      </c>
      <c r="F374" s="293" t="s">
        <v>169</v>
      </c>
      <c r="G374" s="293" t="s">
        <v>451</v>
      </c>
      <c r="H374" s="291">
        <v>1</v>
      </c>
      <c r="I374" s="291">
        <v>0.78</v>
      </c>
      <c r="J374" s="291" t="s">
        <v>23</v>
      </c>
      <c r="K374" s="317">
        <v>16.440000000000001</v>
      </c>
      <c r="L374" s="229">
        <v>1</v>
      </c>
      <c r="M374" s="295">
        <v>10</v>
      </c>
      <c r="N374" s="46" t="s">
        <v>803</v>
      </c>
      <c r="O374" s="50" t="s">
        <v>801</v>
      </c>
    </row>
    <row r="375" spans="1:15" s="74" customFormat="1" ht="12.75" customHeight="1" x14ac:dyDescent="0.2">
      <c r="A375" s="220" t="s">
        <v>1487</v>
      </c>
      <c r="B375" s="220" t="s">
        <v>1488</v>
      </c>
      <c r="C375" s="291">
        <v>800205</v>
      </c>
      <c r="D375" s="291">
        <v>23</v>
      </c>
      <c r="E375" s="293" t="s">
        <v>1489</v>
      </c>
      <c r="F375" s="293" t="s">
        <v>169</v>
      </c>
      <c r="G375" s="293" t="s">
        <v>451</v>
      </c>
      <c r="H375" s="291">
        <v>1</v>
      </c>
      <c r="I375" s="291">
        <v>0.13</v>
      </c>
      <c r="J375" s="291" t="s">
        <v>23</v>
      </c>
      <c r="K375" s="317">
        <v>5.17</v>
      </c>
      <c r="L375" s="229">
        <v>1</v>
      </c>
      <c r="M375" s="295">
        <v>100</v>
      </c>
      <c r="N375" s="46" t="s">
        <v>803</v>
      </c>
      <c r="O375" s="50" t="s">
        <v>801</v>
      </c>
    </row>
    <row r="376" spans="1:15" s="74" customFormat="1" ht="12.75" customHeight="1" x14ac:dyDescent="0.2">
      <c r="A376" s="220" t="s">
        <v>1490</v>
      </c>
      <c r="B376" s="220" t="s">
        <v>1491</v>
      </c>
      <c r="C376" s="291">
        <v>892640</v>
      </c>
      <c r="D376" s="291">
        <v>23</v>
      </c>
      <c r="E376" s="293" t="s">
        <v>1492</v>
      </c>
      <c r="F376" s="293" t="s">
        <v>169</v>
      </c>
      <c r="G376" s="293" t="s">
        <v>451</v>
      </c>
      <c r="H376" s="291">
        <v>1.5</v>
      </c>
      <c r="I376" s="291">
        <v>6.8000000000000005E-2</v>
      </c>
      <c r="J376" s="291" t="s">
        <v>23</v>
      </c>
      <c r="K376" s="317">
        <v>6.97</v>
      </c>
      <c r="L376" s="229">
        <v>1</v>
      </c>
      <c r="M376" s="295">
        <v>100</v>
      </c>
      <c r="N376" s="46" t="s">
        <v>803</v>
      </c>
      <c r="O376" s="50" t="s">
        <v>801</v>
      </c>
    </row>
    <row r="377" spans="1:15" s="74" customFormat="1" ht="12.75" customHeight="1" x14ac:dyDescent="0.2">
      <c r="A377" s="220" t="s">
        <v>1490</v>
      </c>
      <c r="B377" s="220" t="s">
        <v>1493</v>
      </c>
      <c r="C377" s="291">
        <v>892670</v>
      </c>
      <c r="D377" s="291">
        <v>23</v>
      </c>
      <c r="E377" s="293" t="s">
        <v>1494</v>
      </c>
      <c r="F377" s="293" t="s">
        <v>169</v>
      </c>
      <c r="G377" s="293" t="s">
        <v>451</v>
      </c>
      <c r="H377" s="291">
        <v>1.5</v>
      </c>
      <c r="I377" s="291">
        <v>0.104</v>
      </c>
      <c r="J377" s="291" t="s">
        <v>23</v>
      </c>
      <c r="K377" s="317">
        <v>7.54</v>
      </c>
      <c r="L377" s="229">
        <v>1</v>
      </c>
      <c r="M377" s="295">
        <v>100</v>
      </c>
      <c r="N377" s="46" t="s">
        <v>803</v>
      </c>
      <c r="O377" s="50" t="s">
        <v>801</v>
      </c>
    </row>
    <row r="378" spans="1:15" s="74" customFormat="1" ht="12.75" customHeight="1" x14ac:dyDescent="0.2">
      <c r="A378" s="220" t="s">
        <v>1049</v>
      </c>
      <c r="B378" s="220" t="s">
        <v>1438</v>
      </c>
      <c r="C378" s="291">
        <v>8885302</v>
      </c>
      <c r="D378" s="291">
        <v>23</v>
      </c>
      <c r="E378" s="293" t="s">
        <v>1495</v>
      </c>
      <c r="F378" s="293" t="s">
        <v>172</v>
      </c>
      <c r="G378" s="293" t="s">
        <v>452</v>
      </c>
      <c r="H378" s="291">
        <v>4</v>
      </c>
      <c r="I378" s="291">
        <v>0.04</v>
      </c>
      <c r="J378" s="291" t="s">
        <v>23</v>
      </c>
      <c r="K378" s="317">
        <v>7.29</v>
      </c>
      <c r="L378" s="229">
        <v>1</v>
      </c>
      <c r="M378" s="295">
        <v>50</v>
      </c>
      <c r="N378" s="46" t="s">
        <v>803</v>
      </c>
      <c r="O378" s="50"/>
    </row>
    <row r="379" spans="1:15" s="74" customFormat="1" ht="12.75" customHeight="1" x14ac:dyDescent="0.2">
      <c r="A379" s="220" t="s">
        <v>1049</v>
      </c>
      <c r="B379" s="220" t="s">
        <v>1444</v>
      </c>
      <c r="C379" s="291">
        <v>8885352</v>
      </c>
      <c r="D379" s="291">
        <v>23</v>
      </c>
      <c r="E379" s="291" t="s">
        <v>1496</v>
      </c>
      <c r="F379" s="291" t="s">
        <v>172</v>
      </c>
      <c r="G379" s="293" t="s">
        <v>452</v>
      </c>
      <c r="H379" s="291">
        <v>4</v>
      </c>
      <c r="I379" s="291">
        <v>0.06</v>
      </c>
      <c r="J379" s="291" t="s">
        <v>23</v>
      </c>
      <c r="K379" s="317">
        <v>7.29</v>
      </c>
      <c r="L379" s="229">
        <v>1</v>
      </c>
      <c r="M379" s="295">
        <v>50</v>
      </c>
      <c r="N379" s="46" t="s">
        <v>803</v>
      </c>
      <c r="O379" s="50"/>
    </row>
    <row r="380" spans="1:15" s="74" customFormat="1" ht="12.75" customHeight="1" x14ac:dyDescent="0.2">
      <c r="A380" s="220" t="s">
        <v>1497</v>
      </c>
      <c r="B380" s="220" t="s">
        <v>1498</v>
      </c>
      <c r="C380" s="291">
        <v>866690</v>
      </c>
      <c r="D380" s="291">
        <v>23</v>
      </c>
      <c r="E380" s="291" t="s">
        <v>1499</v>
      </c>
      <c r="F380" s="291" t="s">
        <v>1123</v>
      </c>
      <c r="G380" s="293" t="s">
        <v>1124</v>
      </c>
      <c r="H380" s="291"/>
      <c r="I380" s="291">
        <v>95</v>
      </c>
      <c r="J380" s="291" t="s">
        <v>23</v>
      </c>
      <c r="K380" s="317">
        <v>359</v>
      </c>
      <c r="L380" s="229">
        <v>1</v>
      </c>
      <c r="M380" s="295">
        <v>1</v>
      </c>
      <c r="N380" s="46" t="s">
        <v>802</v>
      </c>
      <c r="O380" s="50"/>
    </row>
    <row r="381" spans="1:15" s="74" customFormat="1" ht="12.75" customHeight="1" x14ac:dyDescent="0.2">
      <c r="A381" s="220" t="s">
        <v>1327</v>
      </c>
      <c r="B381" s="220" t="s">
        <v>1261</v>
      </c>
      <c r="C381" s="291">
        <v>811510</v>
      </c>
      <c r="D381" s="291">
        <v>23</v>
      </c>
      <c r="E381" s="291" t="s">
        <v>1500</v>
      </c>
      <c r="F381" s="291" t="s">
        <v>169</v>
      </c>
      <c r="G381" s="293" t="s">
        <v>451</v>
      </c>
      <c r="H381" s="291"/>
      <c r="I381" s="291">
        <v>455.07</v>
      </c>
      <c r="J381" s="291" t="s">
        <v>23</v>
      </c>
      <c r="K381" s="317">
        <v>9181.6299999999992</v>
      </c>
      <c r="L381" s="229">
        <v>1</v>
      </c>
      <c r="M381" s="295"/>
      <c r="N381" s="46" t="s">
        <v>803</v>
      </c>
      <c r="O381" s="50" t="s">
        <v>801</v>
      </c>
    </row>
    <row r="382" spans="1:15" s="74" customFormat="1" ht="12.75" customHeight="1" x14ac:dyDescent="0.2">
      <c r="A382" s="220" t="s">
        <v>1327</v>
      </c>
      <c r="B382" s="220" t="s">
        <v>1262</v>
      </c>
      <c r="C382" s="291">
        <v>8115102</v>
      </c>
      <c r="D382" s="291">
        <v>23</v>
      </c>
      <c r="E382" s="291" t="s">
        <v>1501</v>
      </c>
      <c r="F382" s="291" t="s">
        <v>169</v>
      </c>
      <c r="G382" s="293" t="s">
        <v>451</v>
      </c>
      <c r="H382" s="291"/>
      <c r="I382" s="291">
        <v>455.07</v>
      </c>
      <c r="J382" s="291" t="s">
        <v>23</v>
      </c>
      <c r="K382" s="317">
        <v>14372.18</v>
      </c>
      <c r="L382" s="229">
        <v>1</v>
      </c>
      <c r="M382" s="295"/>
      <c r="N382" s="46" t="s">
        <v>803</v>
      </c>
      <c r="O382" s="50" t="s">
        <v>801</v>
      </c>
    </row>
    <row r="383" spans="1:15" s="74" customFormat="1" ht="12.75" customHeight="1" x14ac:dyDescent="0.2">
      <c r="A383" s="219" t="s">
        <v>1328</v>
      </c>
      <c r="B383" s="219" t="s">
        <v>1265</v>
      </c>
      <c r="C383" s="293">
        <v>811512</v>
      </c>
      <c r="D383" s="291">
        <v>23</v>
      </c>
      <c r="E383" s="293" t="s">
        <v>1502</v>
      </c>
      <c r="F383" s="293" t="s">
        <v>169</v>
      </c>
      <c r="G383" s="293" t="s">
        <v>451</v>
      </c>
      <c r="H383" s="291"/>
      <c r="I383" s="291">
        <v>337.9</v>
      </c>
      <c r="J383" s="291" t="s">
        <v>23</v>
      </c>
      <c r="K383" s="317">
        <v>6964.77</v>
      </c>
      <c r="L383" s="229">
        <v>1</v>
      </c>
      <c r="M383" s="295"/>
      <c r="N383" s="46" t="s">
        <v>803</v>
      </c>
      <c r="O383" s="50" t="s">
        <v>801</v>
      </c>
    </row>
    <row r="384" spans="1:15" s="74" customFormat="1" ht="12.75" customHeight="1" x14ac:dyDescent="0.2">
      <c r="A384" s="306" t="s">
        <v>1328</v>
      </c>
      <c r="B384" s="306" t="s">
        <v>1266</v>
      </c>
      <c r="C384" s="291">
        <v>8115122</v>
      </c>
      <c r="D384" s="291">
        <v>23</v>
      </c>
      <c r="E384" s="307" t="s">
        <v>1503</v>
      </c>
      <c r="F384" s="291" t="s">
        <v>169</v>
      </c>
      <c r="G384" s="293" t="s">
        <v>451</v>
      </c>
      <c r="H384" s="291"/>
      <c r="I384" s="291">
        <v>337.9</v>
      </c>
      <c r="J384" s="291" t="s">
        <v>23</v>
      </c>
      <c r="K384" s="318">
        <v>10917.73</v>
      </c>
      <c r="L384" s="229">
        <v>1</v>
      </c>
      <c r="M384" s="295"/>
      <c r="N384" s="46" t="s">
        <v>803</v>
      </c>
      <c r="O384" s="50" t="s">
        <v>801</v>
      </c>
    </row>
    <row r="385" spans="1:15" s="74" customFormat="1" ht="12.75" customHeight="1" x14ac:dyDescent="0.2">
      <c r="A385" s="306" t="s">
        <v>1327</v>
      </c>
      <c r="B385" s="306" t="s">
        <v>1269</v>
      </c>
      <c r="C385" s="291">
        <v>811710</v>
      </c>
      <c r="D385" s="291">
        <v>23</v>
      </c>
      <c r="E385" s="291" t="s">
        <v>1504</v>
      </c>
      <c r="F385" s="291" t="s">
        <v>169</v>
      </c>
      <c r="G385" s="293" t="s">
        <v>451</v>
      </c>
      <c r="H385" s="291"/>
      <c r="I385" s="291">
        <v>707.91</v>
      </c>
      <c r="J385" s="293" t="s">
        <v>23</v>
      </c>
      <c r="K385" s="319">
        <v>12602.69</v>
      </c>
      <c r="L385" s="229">
        <v>1</v>
      </c>
      <c r="M385" s="295"/>
      <c r="N385" s="46" t="s">
        <v>803</v>
      </c>
      <c r="O385" s="50" t="s">
        <v>801</v>
      </c>
    </row>
    <row r="386" spans="1:15" s="74" customFormat="1" ht="12.75" customHeight="1" x14ac:dyDescent="0.2">
      <c r="A386" s="219" t="s">
        <v>1327</v>
      </c>
      <c r="B386" s="306" t="s">
        <v>1270</v>
      </c>
      <c r="C386" s="231">
        <v>8117102</v>
      </c>
      <c r="D386" s="231">
        <v>23</v>
      </c>
      <c r="E386" s="231" t="s">
        <v>1505</v>
      </c>
      <c r="F386" s="231" t="s">
        <v>169</v>
      </c>
      <c r="G386" s="231" t="s">
        <v>451</v>
      </c>
      <c r="H386" s="231"/>
      <c r="I386" s="231">
        <v>707.91</v>
      </c>
      <c r="J386" s="231" t="s">
        <v>23</v>
      </c>
      <c r="K386" s="312">
        <v>20225.59</v>
      </c>
      <c r="L386" s="229">
        <v>1</v>
      </c>
      <c r="M386" s="231"/>
      <c r="N386" s="46" t="s">
        <v>803</v>
      </c>
      <c r="O386" s="50" t="s">
        <v>801</v>
      </c>
    </row>
    <row r="387" spans="1:15" s="74" customFormat="1" ht="12.75" customHeight="1" x14ac:dyDescent="0.2">
      <c r="A387" s="219" t="s">
        <v>1328</v>
      </c>
      <c r="B387" s="219" t="s">
        <v>1273</v>
      </c>
      <c r="C387" s="231">
        <v>811712</v>
      </c>
      <c r="D387" s="231">
        <v>23</v>
      </c>
      <c r="E387" s="231" t="s">
        <v>1506</v>
      </c>
      <c r="F387" s="231" t="s">
        <v>169</v>
      </c>
      <c r="G387" s="231" t="s">
        <v>451</v>
      </c>
      <c r="H387" s="232"/>
      <c r="I387" s="231">
        <v>585.59</v>
      </c>
      <c r="J387" s="231" t="s">
        <v>23</v>
      </c>
      <c r="K387" s="312">
        <v>10337.5</v>
      </c>
      <c r="L387" s="229">
        <v>1</v>
      </c>
      <c r="M387" s="231"/>
      <c r="N387" s="46" t="s">
        <v>803</v>
      </c>
      <c r="O387" s="85" t="s">
        <v>801</v>
      </c>
    </row>
    <row r="388" spans="1:15" s="74" customFormat="1" ht="12.75" customHeight="1" x14ac:dyDescent="0.2">
      <c r="A388" s="220" t="s">
        <v>1328</v>
      </c>
      <c r="B388" s="306" t="s">
        <v>1274</v>
      </c>
      <c r="C388" s="231">
        <v>8117122</v>
      </c>
      <c r="D388" s="231">
        <v>23</v>
      </c>
      <c r="E388" s="231" t="s">
        <v>1507</v>
      </c>
      <c r="F388" s="231" t="s">
        <v>169</v>
      </c>
      <c r="G388" s="231" t="s">
        <v>451</v>
      </c>
      <c r="H388" s="232"/>
      <c r="I388" s="231">
        <v>585.59</v>
      </c>
      <c r="J388" s="231" t="s">
        <v>23</v>
      </c>
      <c r="K388" s="306">
        <v>16649.59</v>
      </c>
      <c r="L388" s="229">
        <v>1</v>
      </c>
      <c r="M388" s="231"/>
      <c r="N388" s="46" t="s">
        <v>803</v>
      </c>
      <c r="O388" s="50" t="s">
        <v>801</v>
      </c>
    </row>
    <row r="389" spans="1:15" s="74" customFormat="1" ht="12.75" hidden="1" customHeight="1" x14ac:dyDescent="0.2">
      <c r="A389" s="306"/>
      <c r="B389" s="306"/>
      <c r="C389" s="231"/>
      <c r="D389" s="231"/>
      <c r="E389" s="231"/>
      <c r="F389" s="231"/>
      <c r="G389" s="231"/>
      <c r="H389" s="231"/>
      <c r="I389" s="231"/>
      <c r="J389" s="231"/>
      <c r="K389" s="312"/>
      <c r="L389" s="229"/>
      <c r="M389" s="231"/>
      <c r="N389" s="46"/>
      <c r="O389" s="50"/>
    </row>
    <row r="390" spans="1:15" s="74" customFormat="1" ht="12.75" hidden="1" customHeight="1" x14ac:dyDescent="0.2">
      <c r="A390" s="219"/>
      <c r="B390" s="308"/>
      <c r="C390" s="231"/>
      <c r="D390" s="231"/>
      <c r="E390" s="231"/>
      <c r="F390" s="231"/>
      <c r="G390" s="231"/>
      <c r="H390" s="227"/>
      <c r="I390" s="231"/>
      <c r="J390" s="231"/>
      <c r="K390" s="312"/>
      <c r="L390" s="229"/>
      <c r="M390" s="249"/>
      <c r="N390" s="46"/>
      <c r="O390" s="50"/>
    </row>
    <row r="391" spans="1:15" s="74" customFormat="1" ht="12.75" hidden="1" customHeight="1" x14ac:dyDescent="0.2">
      <c r="A391" s="219"/>
      <c r="B391" s="308"/>
      <c r="C391" s="231"/>
      <c r="D391" s="231"/>
      <c r="E391" s="231"/>
      <c r="F391" s="231"/>
      <c r="G391" s="231"/>
      <c r="H391" s="231"/>
      <c r="I391" s="231"/>
      <c r="J391" s="231"/>
      <c r="K391" s="312"/>
      <c r="L391" s="229"/>
      <c r="M391" s="231"/>
      <c r="N391" s="46"/>
      <c r="O391" s="50"/>
    </row>
    <row r="392" spans="1:15" s="74" customFormat="1" ht="12.75" hidden="1" customHeight="1" x14ac:dyDescent="0.2">
      <c r="A392" s="306"/>
      <c r="B392" s="306"/>
      <c r="C392" s="231"/>
      <c r="D392" s="231"/>
      <c r="E392" s="231"/>
      <c r="F392" s="231"/>
      <c r="G392" s="231"/>
      <c r="H392" s="227"/>
      <c r="I392" s="231"/>
      <c r="J392" s="231"/>
      <c r="K392" s="312"/>
      <c r="L392" s="229"/>
      <c r="M392" s="237"/>
      <c r="N392" s="46"/>
      <c r="O392" s="50"/>
    </row>
    <row r="393" spans="1:15" s="74" customFormat="1" ht="12.75" hidden="1" customHeight="1" x14ac:dyDescent="0.2">
      <c r="A393" s="306"/>
      <c r="B393" s="306"/>
      <c r="C393" s="231"/>
      <c r="D393" s="231"/>
      <c r="E393" s="231"/>
      <c r="F393" s="231"/>
      <c r="G393" s="231"/>
      <c r="H393" s="231"/>
      <c r="I393" s="231"/>
      <c r="J393" s="231"/>
      <c r="K393" s="312"/>
      <c r="L393" s="229"/>
      <c r="M393" s="231"/>
      <c r="N393" s="46"/>
      <c r="O393" s="50"/>
    </row>
    <row r="394" spans="1:15" s="74" customFormat="1" ht="12.75" hidden="1" customHeight="1" x14ac:dyDescent="0.2">
      <c r="A394" s="306"/>
      <c r="B394" s="306"/>
      <c r="C394" s="231"/>
      <c r="D394" s="231"/>
      <c r="E394" s="231"/>
      <c r="F394" s="231"/>
      <c r="G394" s="231"/>
      <c r="H394" s="231"/>
      <c r="I394" s="231"/>
      <c r="J394" s="231"/>
      <c r="K394" s="312"/>
      <c r="L394" s="229"/>
      <c r="M394" s="231"/>
      <c r="N394" s="46"/>
      <c r="O394" s="50"/>
    </row>
    <row r="395" spans="1:15" s="74" customFormat="1" ht="12.75" hidden="1" customHeight="1" x14ac:dyDescent="0.2">
      <c r="A395" s="306" t="s">
        <v>994</v>
      </c>
      <c r="B395" s="306" t="s">
        <v>1474</v>
      </c>
      <c r="C395" s="231">
        <v>899080</v>
      </c>
      <c r="D395" s="231">
        <v>23</v>
      </c>
      <c r="E395" s="231"/>
      <c r="F395" s="231"/>
      <c r="G395" s="231"/>
      <c r="H395" s="231"/>
      <c r="I395" s="231">
        <v>0.54</v>
      </c>
      <c r="J395" s="293" t="s">
        <v>66</v>
      </c>
      <c r="K395" s="312">
        <v>34.15</v>
      </c>
      <c r="L395" s="229"/>
      <c r="M395" s="231"/>
      <c r="N395" s="46"/>
      <c r="O395" s="50"/>
    </row>
    <row r="396" spans="1:15" s="74" customFormat="1" ht="12.75" hidden="1" customHeight="1" x14ac:dyDescent="0.2">
      <c r="A396" s="306" t="s">
        <v>1475</v>
      </c>
      <c r="B396" s="306" t="s">
        <v>1473</v>
      </c>
      <c r="C396" s="231">
        <v>8901024</v>
      </c>
      <c r="D396" s="231">
        <v>23</v>
      </c>
      <c r="E396" s="231"/>
      <c r="F396" s="231"/>
      <c r="G396" s="231"/>
      <c r="H396" s="231"/>
      <c r="I396" s="231">
        <v>0.03</v>
      </c>
      <c r="J396" s="231" t="s">
        <v>23</v>
      </c>
      <c r="K396" s="312">
        <v>3.55</v>
      </c>
      <c r="L396" s="229"/>
      <c r="M396" s="231"/>
      <c r="N396" s="46"/>
      <c r="O396" s="50"/>
    </row>
    <row r="397" spans="1:15" s="74" customFormat="1" ht="12.75" hidden="1" customHeight="1" x14ac:dyDescent="0.2">
      <c r="A397" s="72" t="s">
        <v>1420</v>
      </c>
      <c r="B397" s="309" t="s">
        <v>1467</v>
      </c>
      <c r="C397" s="231">
        <v>651441</v>
      </c>
      <c r="D397" s="231">
        <v>23</v>
      </c>
      <c r="E397" s="231"/>
      <c r="F397" s="231"/>
      <c r="G397" s="231"/>
      <c r="H397" s="231"/>
      <c r="I397" s="231">
        <v>0.77</v>
      </c>
      <c r="J397" s="310" t="s">
        <v>66</v>
      </c>
      <c r="K397" s="312">
        <v>52.15</v>
      </c>
      <c r="L397" s="229"/>
      <c r="M397" s="231"/>
      <c r="N397" s="46"/>
      <c r="O397" s="50"/>
    </row>
    <row r="398" spans="1:15" s="74" customFormat="1" ht="12.75" hidden="1" customHeight="1" x14ac:dyDescent="0.2">
      <c r="A398" s="72" t="s">
        <v>1420</v>
      </c>
      <c r="B398" s="309" t="s">
        <v>1433</v>
      </c>
      <c r="C398" s="310">
        <v>651542</v>
      </c>
      <c r="D398" s="310">
        <v>23</v>
      </c>
      <c r="E398" s="310"/>
      <c r="F398" s="310"/>
      <c r="G398" s="310"/>
      <c r="H398" s="310"/>
      <c r="I398" s="310">
        <v>1.66</v>
      </c>
      <c r="J398" s="310" t="s">
        <v>66</v>
      </c>
      <c r="K398" s="71">
        <v>89.15</v>
      </c>
      <c r="L398" s="47"/>
      <c r="M398" s="66"/>
      <c r="N398" s="46"/>
      <c r="O398" s="86"/>
    </row>
    <row r="399" spans="1:15" s="74" customFormat="1" ht="12.75" hidden="1" customHeight="1" x14ac:dyDescent="0.2">
      <c r="A399" s="72" t="s">
        <v>94</v>
      </c>
      <c r="B399" s="309" t="s">
        <v>1428</v>
      </c>
      <c r="C399" s="310">
        <v>99998201</v>
      </c>
      <c r="D399" s="310">
        <v>23</v>
      </c>
      <c r="E399" s="310"/>
      <c r="F399" s="310"/>
      <c r="G399" s="310"/>
      <c r="H399" s="310"/>
      <c r="I399" s="310">
        <v>1.18</v>
      </c>
      <c r="J399" s="310" t="s">
        <v>66</v>
      </c>
      <c r="K399" s="71">
        <v>35.43</v>
      </c>
      <c r="L399" s="47"/>
      <c r="M399" s="66"/>
      <c r="N399" s="46"/>
      <c r="O399" s="86"/>
    </row>
    <row r="400" spans="1:15" s="74" customFormat="1" ht="12.75" hidden="1" customHeight="1" x14ac:dyDescent="0.2">
      <c r="A400" s="72" t="s">
        <v>994</v>
      </c>
      <c r="B400" s="71" t="s">
        <v>623</v>
      </c>
      <c r="C400" s="70">
        <v>660944</v>
      </c>
      <c r="D400" s="310">
        <v>23</v>
      </c>
      <c r="E400" s="70"/>
      <c r="F400" s="70"/>
      <c r="G400" s="70"/>
      <c r="H400" s="70"/>
      <c r="I400" s="70">
        <v>0.54</v>
      </c>
      <c r="J400" s="70" t="s">
        <v>66</v>
      </c>
      <c r="K400" s="71">
        <v>21.26</v>
      </c>
      <c r="L400" s="47"/>
      <c r="M400" s="66"/>
      <c r="N400" s="46"/>
      <c r="O400" s="86"/>
    </row>
    <row r="401" spans="1:15" s="74" customFormat="1" ht="12.75" hidden="1" customHeight="1" x14ac:dyDescent="0.2">
      <c r="A401" s="72" t="s">
        <v>614</v>
      </c>
      <c r="B401" s="71" t="s">
        <v>321</v>
      </c>
      <c r="C401" s="70">
        <v>890101</v>
      </c>
      <c r="D401" s="310">
        <v>23</v>
      </c>
      <c r="E401" s="70"/>
      <c r="F401" s="70"/>
      <c r="G401" s="70"/>
      <c r="H401" s="70"/>
      <c r="I401" s="70">
        <v>0.03</v>
      </c>
      <c r="J401" s="70" t="s">
        <v>23</v>
      </c>
      <c r="K401" s="71">
        <v>1.99</v>
      </c>
      <c r="L401" s="47"/>
      <c r="M401" s="66"/>
      <c r="N401" s="46"/>
      <c r="O401" s="86"/>
    </row>
    <row r="402" spans="1:15" s="74" customFormat="1" ht="12.75" hidden="1" customHeight="1" x14ac:dyDescent="0.2">
      <c r="A402" s="72" t="s">
        <v>1416</v>
      </c>
      <c r="B402" s="71" t="s">
        <v>783</v>
      </c>
      <c r="C402" s="70">
        <v>652300</v>
      </c>
      <c r="D402" s="310">
        <v>23</v>
      </c>
      <c r="E402" s="70"/>
      <c r="F402" s="70"/>
      <c r="G402" s="70"/>
      <c r="H402" s="70"/>
      <c r="I402" s="70">
        <v>0.32</v>
      </c>
      <c r="J402" s="70" t="s">
        <v>66</v>
      </c>
      <c r="K402" s="71">
        <v>12.39</v>
      </c>
      <c r="L402" s="47"/>
      <c r="M402" s="66"/>
      <c r="N402" s="46"/>
      <c r="O402" s="86"/>
    </row>
    <row r="403" spans="1:15" s="74" customFormat="1" ht="12.75" hidden="1" customHeight="1" x14ac:dyDescent="0.2">
      <c r="A403" s="72" t="s">
        <v>804</v>
      </c>
      <c r="B403" s="71" t="s">
        <v>1005</v>
      </c>
      <c r="C403" s="70">
        <v>760401</v>
      </c>
      <c r="D403" s="310">
        <v>23</v>
      </c>
      <c r="E403" s="70"/>
      <c r="F403" s="70"/>
      <c r="G403" s="70"/>
      <c r="H403" s="70"/>
      <c r="I403" s="70">
        <v>1E-3</v>
      </c>
      <c r="J403" s="70" t="s">
        <v>23</v>
      </c>
      <c r="K403" s="71">
        <v>1.97</v>
      </c>
      <c r="L403" s="47"/>
      <c r="M403" s="66"/>
      <c r="N403" s="46"/>
      <c r="O403" s="86"/>
    </row>
    <row r="404" spans="1:15" s="74" customFormat="1" ht="12.75" hidden="1" customHeight="1" x14ac:dyDescent="0.2">
      <c r="A404" s="72" t="s">
        <v>74</v>
      </c>
      <c r="B404" s="71" t="s">
        <v>1417</v>
      </c>
      <c r="C404" s="70">
        <v>650093</v>
      </c>
      <c r="D404" s="310">
        <v>23</v>
      </c>
      <c r="E404" s="70"/>
      <c r="F404" s="70"/>
      <c r="G404" s="70"/>
      <c r="H404" s="70"/>
      <c r="I404" s="70">
        <v>0.06</v>
      </c>
      <c r="J404" s="70" t="s">
        <v>23</v>
      </c>
      <c r="K404" s="71">
        <v>3.29</v>
      </c>
      <c r="L404" s="47"/>
      <c r="M404" s="66"/>
      <c r="N404" s="46"/>
      <c r="O404" s="86"/>
    </row>
    <row r="405" spans="1:15" s="74" customFormat="1" ht="12.75" hidden="1" customHeight="1" x14ac:dyDescent="0.2">
      <c r="A405" s="72" t="s">
        <v>1418</v>
      </c>
      <c r="B405" s="71" t="s">
        <v>695</v>
      </c>
      <c r="C405" s="70">
        <v>650400</v>
      </c>
      <c r="D405" s="310">
        <v>23</v>
      </c>
      <c r="E405" s="70"/>
      <c r="F405" s="70"/>
      <c r="G405" s="70"/>
      <c r="H405" s="70"/>
      <c r="I405" s="70">
        <v>0.48</v>
      </c>
      <c r="J405" s="70" t="s">
        <v>23</v>
      </c>
      <c r="K405" s="71">
        <v>14.53</v>
      </c>
      <c r="L405" s="47"/>
      <c r="M405" s="66"/>
      <c r="N405" s="46"/>
      <c r="O405" s="86"/>
    </row>
    <row r="406" spans="1:15" s="74" customFormat="1" ht="12.75" hidden="1" customHeight="1" x14ac:dyDescent="0.2">
      <c r="A406" s="72" t="s">
        <v>1419</v>
      </c>
      <c r="B406" s="71" t="s">
        <v>1226</v>
      </c>
      <c r="C406" s="70">
        <v>1618235</v>
      </c>
      <c r="D406" s="310">
        <v>23</v>
      </c>
      <c r="E406" s="70"/>
      <c r="F406" s="70"/>
      <c r="G406" s="70"/>
      <c r="H406" s="70" t="s">
        <v>1426</v>
      </c>
      <c r="I406" s="70">
        <v>2.11</v>
      </c>
      <c r="J406" s="70" t="s">
        <v>1101</v>
      </c>
      <c r="K406" s="71">
        <v>42.28</v>
      </c>
      <c r="L406" s="47"/>
      <c r="M406" s="66"/>
      <c r="N406" s="46"/>
      <c r="O406" s="86"/>
    </row>
    <row r="407" spans="1:15" s="74" customFormat="1" ht="12.75" hidden="1" customHeight="1" x14ac:dyDescent="0.2">
      <c r="A407" s="72" t="s">
        <v>1420</v>
      </c>
      <c r="B407" s="71" t="s">
        <v>786</v>
      </c>
      <c r="C407" s="70">
        <v>651541</v>
      </c>
      <c r="D407" s="310">
        <v>23</v>
      </c>
      <c r="E407" s="70"/>
      <c r="F407" s="70"/>
      <c r="G407" s="70"/>
      <c r="H407" s="70"/>
      <c r="I407" s="70">
        <v>1.55</v>
      </c>
      <c r="J407" s="70" t="s">
        <v>66</v>
      </c>
      <c r="K407" s="71">
        <v>78.89</v>
      </c>
      <c r="L407" s="47"/>
      <c r="M407" s="66"/>
      <c r="N407" s="46"/>
      <c r="O407" s="86"/>
    </row>
    <row r="408" spans="1:15" s="74" customFormat="1" ht="12.75" hidden="1" customHeight="1" x14ac:dyDescent="0.2">
      <c r="A408" s="72" t="s">
        <v>1421</v>
      </c>
      <c r="B408" s="71" t="s">
        <v>210</v>
      </c>
      <c r="C408" s="70">
        <v>6441105</v>
      </c>
      <c r="D408" s="310">
        <v>23</v>
      </c>
      <c r="E408" s="70"/>
      <c r="F408" s="70"/>
      <c r="G408" s="70"/>
      <c r="H408" s="70" t="s">
        <v>1427</v>
      </c>
      <c r="I408" s="70">
        <v>1.32</v>
      </c>
      <c r="J408" s="70" t="s">
        <v>23</v>
      </c>
      <c r="K408" s="71">
        <v>24.55</v>
      </c>
      <c r="L408" s="47"/>
      <c r="M408" s="66"/>
      <c r="N408" s="46"/>
      <c r="O408" s="86"/>
    </row>
    <row r="409" spans="1:15" s="74" customFormat="1" ht="12.75" hidden="1" customHeight="1" x14ac:dyDescent="0.2">
      <c r="A409" s="72" t="s">
        <v>1421</v>
      </c>
      <c r="B409" s="71" t="s">
        <v>211</v>
      </c>
      <c r="C409" s="70">
        <v>6441205</v>
      </c>
      <c r="D409" s="310">
        <v>23</v>
      </c>
      <c r="E409" s="70"/>
      <c r="F409" s="70"/>
      <c r="G409" s="70"/>
      <c r="H409" s="70" t="s">
        <v>1427</v>
      </c>
      <c r="I409" s="70">
        <v>2.64</v>
      </c>
      <c r="J409" s="70" t="s">
        <v>23</v>
      </c>
      <c r="K409" s="71">
        <v>46.35</v>
      </c>
      <c r="L409" s="47"/>
      <c r="M409" s="66"/>
      <c r="N409" s="46"/>
      <c r="O409" s="86"/>
    </row>
    <row r="410" spans="1:15" s="74" customFormat="1" ht="12.75" hidden="1" customHeight="1" x14ac:dyDescent="0.2">
      <c r="A410" s="72" t="s">
        <v>1421</v>
      </c>
      <c r="B410" s="71" t="s">
        <v>10</v>
      </c>
      <c r="C410" s="70">
        <v>6441305</v>
      </c>
      <c r="D410" s="310">
        <v>23</v>
      </c>
      <c r="E410" s="70"/>
      <c r="F410" s="70"/>
      <c r="G410" s="70"/>
      <c r="H410" s="70" t="s">
        <v>1427</v>
      </c>
      <c r="I410" s="70">
        <v>3.96</v>
      </c>
      <c r="J410" s="70" t="s">
        <v>23</v>
      </c>
      <c r="K410" s="71">
        <v>69.55</v>
      </c>
      <c r="L410" s="47"/>
      <c r="M410" s="66"/>
      <c r="N410" s="46"/>
      <c r="O410" s="86"/>
    </row>
    <row r="411" spans="1:15" s="74" customFormat="1" ht="12.75" hidden="1" customHeight="1" x14ac:dyDescent="0.2">
      <c r="A411" s="72" t="s">
        <v>1422</v>
      </c>
      <c r="B411" s="71" t="s">
        <v>11</v>
      </c>
      <c r="C411" s="70">
        <v>6444115</v>
      </c>
      <c r="D411" s="310">
        <v>23</v>
      </c>
      <c r="E411" s="70"/>
      <c r="F411" s="70"/>
      <c r="G411" s="70"/>
      <c r="H411" s="70"/>
      <c r="I411" s="70">
        <v>0.3</v>
      </c>
      <c r="J411" s="70" t="s">
        <v>23</v>
      </c>
      <c r="K411" s="71">
        <v>6.03</v>
      </c>
      <c r="L411" s="47"/>
      <c r="M411" s="66"/>
      <c r="N411" s="46"/>
      <c r="O411" s="86"/>
    </row>
    <row r="412" spans="1:15" s="74" customFormat="1" ht="12.75" hidden="1" customHeight="1" x14ac:dyDescent="0.2">
      <c r="A412" s="72" t="s">
        <v>1423</v>
      </c>
      <c r="B412" s="71" t="s">
        <v>1424</v>
      </c>
      <c r="C412" s="70">
        <v>6121305</v>
      </c>
      <c r="D412" s="310">
        <v>23</v>
      </c>
      <c r="E412" s="70"/>
      <c r="F412" s="70"/>
      <c r="G412" s="70"/>
      <c r="H412" s="70"/>
      <c r="I412" s="70">
        <v>6.09</v>
      </c>
      <c r="J412" s="70" t="s">
        <v>23</v>
      </c>
      <c r="K412" s="71">
        <v>106.2</v>
      </c>
      <c r="L412" s="47"/>
      <c r="M412" s="66"/>
      <c r="N412" s="46"/>
      <c r="O412" s="86"/>
    </row>
    <row r="413" spans="1:15" s="74" customFormat="1" ht="12.75" hidden="1" customHeight="1" x14ac:dyDescent="0.2">
      <c r="A413" s="72" t="s">
        <v>1422</v>
      </c>
      <c r="B413" s="71" t="s">
        <v>1425</v>
      </c>
      <c r="C413" s="70">
        <v>6620015</v>
      </c>
      <c r="D413" s="310">
        <v>23</v>
      </c>
      <c r="E413" s="70"/>
      <c r="F413" s="70"/>
      <c r="G413" s="70"/>
      <c r="H413" s="70"/>
      <c r="I413" s="70">
        <v>0.56999999999999995</v>
      </c>
      <c r="J413" s="70" t="s">
        <v>23</v>
      </c>
      <c r="K413" s="71">
        <v>14.6</v>
      </c>
      <c r="L413" s="47"/>
      <c r="M413" s="66"/>
      <c r="N413" s="46"/>
      <c r="O413" s="86"/>
    </row>
    <row r="414" spans="1:15" s="74" customFormat="1" ht="12.75" hidden="1" customHeight="1" x14ac:dyDescent="0.2">
      <c r="A414" s="72" t="s">
        <v>1423</v>
      </c>
      <c r="B414" s="71" t="s">
        <v>204</v>
      </c>
      <c r="C414" s="70">
        <v>6121205</v>
      </c>
      <c r="D414" s="310">
        <v>23</v>
      </c>
      <c r="E414" s="70"/>
      <c r="F414" s="70"/>
      <c r="G414" s="70"/>
      <c r="H414" s="70"/>
      <c r="I414" s="70">
        <v>4.05</v>
      </c>
      <c r="J414" s="70" t="s">
        <v>23</v>
      </c>
      <c r="K414" s="71">
        <v>70.13</v>
      </c>
      <c r="L414" s="47"/>
      <c r="M414" s="66"/>
      <c r="N414" s="46"/>
      <c r="O414" s="86"/>
    </row>
    <row r="415" spans="1:15" s="74" customFormat="1" ht="12.75" hidden="1" customHeight="1" x14ac:dyDescent="0.2">
      <c r="A415" s="72"/>
      <c r="B415" s="71" t="s">
        <v>1434</v>
      </c>
      <c r="C415" s="70">
        <v>660352</v>
      </c>
      <c r="D415" s="310"/>
      <c r="E415" s="70"/>
      <c r="F415" s="70"/>
      <c r="G415" s="70"/>
      <c r="H415" s="70"/>
      <c r="I415" s="70">
        <v>1.77</v>
      </c>
      <c r="J415" s="70" t="s">
        <v>66</v>
      </c>
      <c r="K415" s="71">
        <v>89.39</v>
      </c>
      <c r="L415" s="343"/>
      <c r="M415" s="66"/>
      <c r="N415" s="46"/>
      <c r="O415" s="86"/>
    </row>
    <row r="416" spans="1:15" s="74" customFormat="1" ht="12.75" hidden="1" customHeight="1" x14ac:dyDescent="0.2">
      <c r="A416" s="72"/>
      <c r="B416" s="71"/>
      <c r="C416" s="70"/>
      <c r="D416" s="310"/>
      <c r="E416" s="70"/>
      <c r="F416" s="70"/>
      <c r="G416" s="70"/>
      <c r="H416" s="70"/>
      <c r="I416" s="70"/>
      <c r="J416" s="70"/>
      <c r="K416" s="71"/>
      <c r="L416" s="343"/>
      <c r="M416" s="66"/>
      <c r="N416" s="46"/>
      <c r="O416" s="86"/>
    </row>
    <row r="417" spans="1:15" s="74" customFormat="1" ht="12.75" hidden="1" customHeight="1" x14ac:dyDescent="0.2">
      <c r="A417" s="72"/>
      <c r="B417" s="71"/>
      <c r="C417" s="70"/>
      <c r="D417" s="70"/>
      <c r="E417" s="70"/>
      <c r="F417" s="70"/>
      <c r="G417" s="70"/>
      <c r="H417" s="70"/>
      <c r="I417" s="70"/>
      <c r="J417" s="70"/>
      <c r="K417" s="71"/>
      <c r="L417" s="343"/>
      <c r="M417" s="66"/>
      <c r="N417" s="46"/>
      <c r="O417" s="86"/>
    </row>
    <row r="418" spans="1:15" s="74" customFormat="1" ht="12.75" hidden="1" customHeight="1" x14ac:dyDescent="0.2">
      <c r="A418" s="72"/>
      <c r="B418" s="71"/>
      <c r="C418" s="70"/>
      <c r="D418" s="70"/>
      <c r="E418" s="70"/>
      <c r="F418" s="70"/>
      <c r="G418" s="70"/>
      <c r="H418" s="70"/>
      <c r="I418" s="70"/>
      <c r="J418" s="70"/>
      <c r="K418" s="71"/>
      <c r="L418" s="343"/>
      <c r="M418" s="66"/>
      <c r="N418" s="46"/>
      <c r="O418" s="86"/>
    </row>
    <row r="419" spans="1:15" s="74" customFormat="1" ht="12.75" hidden="1" customHeight="1" x14ac:dyDescent="0.2">
      <c r="A419" s="72"/>
      <c r="B419" s="113" t="s">
        <v>151</v>
      </c>
      <c r="C419" s="114" t="s">
        <v>151</v>
      </c>
      <c r="D419" s="114" t="s">
        <v>151</v>
      </c>
      <c r="E419" s="115" t="s">
        <v>151</v>
      </c>
      <c r="F419" s="114" t="s">
        <v>151</v>
      </c>
      <c r="G419" s="114">
        <v>0</v>
      </c>
      <c r="H419" s="114" t="s">
        <v>23</v>
      </c>
      <c r="I419" s="114">
        <v>0</v>
      </c>
      <c r="J419" s="114">
        <v>0</v>
      </c>
      <c r="K419" s="113">
        <v>0</v>
      </c>
      <c r="L419" s="96" t="s">
        <v>151</v>
      </c>
      <c r="M419" s="97" t="s">
        <v>151</v>
      </c>
      <c r="N419" s="46"/>
      <c r="O419" s="86"/>
    </row>
    <row r="420" spans="1:15" ht="12.75" hidden="1" customHeight="1" x14ac:dyDescent="0.2">
      <c r="A420" s="109"/>
      <c r="B420" s="110"/>
      <c r="C420" s="111"/>
      <c r="D420" s="111"/>
      <c r="E420" s="111"/>
      <c r="F420" s="111"/>
      <c r="G420" s="111"/>
      <c r="H420" s="111"/>
      <c r="I420" s="111"/>
      <c r="J420" s="111"/>
      <c r="K420" s="110"/>
      <c r="L420" s="95"/>
      <c r="M420" s="65"/>
      <c r="N420" s="46"/>
      <c r="O420" s="98"/>
    </row>
    <row r="421" spans="1:15" ht="12.75" hidden="1" customHeight="1" x14ac:dyDescent="0.2">
      <c r="A421" s="109"/>
      <c r="B421" s="110"/>
      <c r="C421" s="111"/>
      <c r="D421" s="111"/>
      <c r="E421" s="111"/>
      <c r="F421" s="111"/>
      <c r="G421" s="111"/>
      <c r="H421" s="111"/>
      <c r="I421" s="111"/>
      <c r="J421" s="111"/>
      <c r="K421" s="110"/>
      <c r="L421" s="95"/>
      <c r="M421" s="65"/>
      <c r="N421" s="46"/>
      <c r="O421" s="98"/>
    </row>
    <row r="422" spans="1:15" ht="12.75" hidden="1" customHeight="1" x14ac:dyDescent="0.2">
      <c r="A422" s="112"/>
      <c r="N422" s="103"/>
      <c r="O422" s="103"/>
    </row>
    <row r="423" spans="1:15" ht="15" hidden="1" x14ac:dyDescent="0.2">
      <c r="A423" s="112"/>
      <c r="B423" s="116"/>
      <c r="C423" s="117"/>
      <c r="D423" s="118"/>
      <c r="E423" s="116"/>
      <c r="F423" s="116"/>
      <c r="G423" s="116"/>
      <c r="H423" s="116"/>
      <c r="I423" s="118"/>
      <c r="J423" s="111"/>
      <c r="K423" s="116"/>
      <c r="L423" s="96"/>
      <c r="M423" s="97"/>
      <c r="N423" s="103"/>
      <c r="O423" s="103"/>
    </row>
    <row r="424" spans="1:15" hidden="1" x14ac:dyDescent="0.2">
      <c r="A424" s="112"/>
      <c r="B424" s="103"/>
      <c r="C424" s="103"/>
      <c r="D424" s="103"/>
      <c r="E424" s="103"/>
      <c r="F424" s="103"/>
      <c r="G424" s="103"/>
      <c r="H424" s="103"/>
      <c r="I424" s="103"/>
      <c r="J424" s="103"/>
      <c r="K424" s="103"/>
      <c r="L424" s="96"/>
      <c r="M424" s="97"/>
      <c r="N424" s="103"/>
      <c r="O424" s="103"/>
    </row>
    <row r="425" spans="1:15" hidden="1" x14ac:dyDescent="0.2">
      <c r="A425" s="45"/>
      <c r="B425" s="103"/>
      <c r="C425" s="103"/>
      <c r="D425" s="103"/>
      <c r="E425" s="103"/>
      <c r="F425" s="103"/>
      <c r="G425" s="103"/>
      <c r="H425" s="103"/>
      <c r="I425" s="103"/>
      <c r="J425" s="103"/>
      <c r="K425" s="103"/>
      <c r="L425" s="97"/>
      <c r="M425" s="97"/>
      <c r="N425" s="103"/>
      <c r="O425" s="103"/>
    </row>
    <row r="426" spans="1:15" hidden="1" x14ac:dyDescent="0.2">
      <c r="A426" s="45"/>
      <c r="B426" s="98"/>
      <c r="C426" s="97"/>
      <c r="D426" s="97"/>
      <c r="E426" s="99"/>
      <c r="F426" s="97"/>
      <c r="G426" s="97"/>
      <c r="H426" s="97"/>
      <c r="I426" s="97"/>
      <c r="J426" s="97"/>
      <c r="K426" s="98"/>
      <c r="L426" s="97"/>
      <c r="M426" s="97"/>
      <c r="N426" s="103"/>
      <c r="O426" s="103"/>
    </row>
    <row r="427" spans="1:15" hidden="1" x14ac:dyDescent="0.2">
      <c r="A427" s="45"/>
      <c r="B427" s="98"/>
      <c r="C427" s="97"/>
      <c r="D427" s="97"/>
      <c r="E427" s="99"/>
      <c r="F427" s="97"/>
      <c r="G427" s="97"/>
      <c r="H427" s="97"/>
      <c r="I427" s="97"/>
      <c r="J427" s="73"/>
      <c r="K427" s="98"/>
      <c r="L427" s="97"/>
      <c r="M427" s="97"/>
      <c r="N427" s="103"/>
      <c r="O427" s="103"/>
    </row>
    <row r="428" spans="1:15" hidden="1" x14ac:dyDescent="0.2">
      <c r="A428" s="45"/>
      <c r="B428" s="98"/>
      <c r="C428" s="97"/>
      <c r="D428" s="97"/>
      <c r="E428" s="99"/>
      <c r="F428" s="97"/>
      <c r="G428" s="97"/>
      <c r="H428" s="97"/>
      <c r="I428" s="97"/>
      <c r="J428" s="73"/>
      <c r="K428" s="98"/>
      <c r="L428" s="97"/>
      <c r="M428" s="97"/>
      <c r="N428" s="103"/>
      <c r="O428" s="103"/>
    </row>
    <row r="429" spans="1:15" hidden="1" x14ac:dyDescent="0.2">
      <c r="A429" s="45"/>
      <c r="B429" s="98"/>
      <c r="C429" s="97"/>
      <c r="D429" s="97"/>
      <c r="E429" s="99"/>
      <c r="F429" s="97"/>
      <c r="G429" s="97"/>
      <c r="H429" s="97"/>
      <c r="I429" s="97"/>
      <c r="J429" s="73"/>
      <c r="K429" s="98"/>
      <c r="L429" s="97"/>
      <c r="M429" s="97"/>
      <c r="N429" s="103"/>
      <c r="O429" s="103"/>
    </row>
    <row r="430" spans="1:15" hidden="1" x14ac:dyDescent="0.2">
      <c r="A430" s="45"/>
      <c r="B430" s="98"/>
      <c r="C430" s="97"/>
      <c r="D430" s="97"/>
      <c r="E430" s="99"/>
      <c r="F430" s="97"/>
      <c r="G430" s="97"/>
      <c r="H430" s="97"/>
      <c r="I430" s="97"/>
      <c r="J430" s="73"/>
      <c r="K430" s="98"/>
      <c r="L430" s="97"/>
      <c r="M430" s="97"/>
      <c r="N430" s="103"/>
      <c r="O430" s="103"/>
    </row>
    <row r="431" spans="1:15" hidden="1" x14ac:dyDescent="0.2">
      <c r="A431" s="45"/>
      <c r="B431" s="98"/>
      <c r="C431" s="97"/>
      <c r="D431" s="97"/>
      <c r="E431" s="99"/>
      <c r="F431" s="97"/>
      <c r="G431" s="97"/>
      <c r="H431" s="97"/>
      <c r="I431" s="97"/>
      <c r="J431" s="73"/>
      <c r="K431" s="98"/>
      <c r="L431" s="97"/>
      <c r="M431" s="97"/>
      <c r="N431" s="103"/>
      <c r="O431" s="103"/>
    </row>
    <row r="432" spans="1:15" hidden="1" x14ac:dyDescent="0.2">
      <c r="A432" s="45"/>
      <c r="B432" s="98"/>
      <c r="C432" s="97"/>
      <c r="D432" s="97"/>
      <c r="E432" s="99"/>
      <c r="F432" s="97"/>
      <c r="G432" s="97"/>
      <c r="H432" s="97"/>
      <c r="I432" s="97"/>
      <c r="J432" s="73"/>
      <c r="K432" s="98"/>
      <c r="L432" s="97"/>
      <c r="M432" s="97"/>
      <c r="N432" s="103"/>
      <c r="O432" s="103"/>
    </row>
    <row r="433" spans="1:16" hidden="1" x14ac:dyDescent="0.2">
      <c r="A433" s="45"/>
      <c r="B433" s="98"/>
      <c r="C433" s="97"/>
      <c r="D433" s="97"/>
      <c r="E433" s="99"/>
      <c r="F433" s="97"/>
      <c r="G433" s="97"/>
      <c r="H433" s="97"/>
      <c r="I433" s="97"/>
      <c r="J433" s="73"/>
      <c r="K433" s="98"/>
      <c r="L433" s="97"/>
      <c r="M433" s="97"/>
      <c r="N433" s="103"/>
      <c r="O433" s="103"/>
    </row>
    <row r="434" spans="1:16" ht="15" hidden="1" x14ac:dyDescent="0.25">
      <c r="A434" s="45"/>
      <c r="B434" s="119"/>
      <c r="C434" s="73"/>
      <c r="D434" s="120"/>
      <c r="E434" s="120"/>
      <c r="F434" s="120"/>
      <c r="G434" s="120"/>
      <c r="H434" s="120"/>
      <c r="I434" s="73"/>
      <c r="J434" s="73"/>
      <c r="K434" s="119"/>
      <c r="L434" s="121"/>
      <c r="M434" s="101"/>
      <c r="N434" s="103"/>
      <c r="O434" s="103"/>
    </row>
    <row r="435" spans="1:16" ht="15" hidden="1" x14ac:dyDescent="0.25">
      <c r="A435" s="45"/>
      <c r="B435" s="119"/>
      <c r="C435" s="73"/>
      <c r="D435" s="120"/>
      <c r="E435" s="120"/>
      <c r="F435" s="120"/>
      <c r="G435" s="120"/>
      <c r="H435" s="120"/>
      <c r="I435" s="73"/>
      <c r="J435" s="73"/>
      <c r="K435" s="119"/>
      <c r="L435" s="121"/>
      <c r="M435" s="101"/>
      <c r="N435" s="103"/>
      <c r="O435" s="103"/>
    </row>
    <row r="436" spans="1:16" ht="15" hidden="1" customHeight="1" x14ac:dyDescent="0.25">
      <c r="A436" s="45"/>
      <c r="B436" s="119"/>
      <c r="C436" s="73"/>
      <c r="D436" s="73"/>
      <c r="E436" s="122"/>
      <c r="F436" s="123"/>
      <c r="G436" s="123"/>
      <c r="H436" s="73"/>
      <c r="I436" s="73"/>
      <c r="J436" s="73"/>
      <c r="K436" s="119"/>
      <c r="L436" s="121"/>
      <c r="M436" s="101"/>
      <c r="N436" s="124"/>
      <c r="O436" s="124"/>
      <c r="P436" s="78"/>
    </row>
    <row r="437" spans="1:16" ht="15" hidden="1" customHeight="1" x14ac:dyDescent="0.25">
      <c r="A437" s="45"/>
      <c r="B437" s="119"/>
      <c r="C437" s="73"/>
      <c r="D437" s="73"/>
      <c r="E437" s="122"/>
      <c r="F437" s="123"/>
      <c r="G437" s="123"/>
      <c r="H437" s="73"/>
      <c r="I437" s="73"/>
      <c r="J437" s="73"/>
      <c r="K437" s="119"/>
      <c r="L437" s="46"/>
      <c r="M437" s="101"/>
      <c r="N437" s="124"/>
      <c r="O437" s="124"/>
      <c r="P437" s="78"/>
    </row>
    <row r="438" spans="1:16" ht="15" hidden="1" customHeight="1" x14ac:dyDescent="0.25">
      <c r="A438" s="45"/>
      <c r="B438" s="119"/>
      <c r="C438" s="73"/>
      <c r="D438" s="73"/>
      <c r="E438" s="122"/>
      <c r="F438" s="125"/>
      <c r="G438" s="125"/>
      <c r="H438" s="73"/>
      <c r="I438" s="73"/>
      <c r="J438" s="73"/>
      <c r="K438" s="119"/>
      <c r="L438" s="46"/>
      <c r="M438" s="101"/>
      <c r="N438" s="124"/>
      <c r="O438" s="124"/>
      <c r="P438" s="78"/>
    </row>
    <row r="439" spans="1:16" ht="15" hidden="1" customHeight="1" x14ac:dyDescent="0.25">
      <c r="A439" s="45"/>
      <c r="B439" s="119"/>
      <c r="C439" s="73"/>
      <c r="D439" s="73"/>
      <c r="E439" s="122"/>
      <c r="F439" s="125"/>
      <c r="G439" s="125"/>
      <c r="H439" s="73"/>
      <c r="I439" s="73"/>
      <c r="J439" s="73"/>
      <c r="K439" s="119"/>
      <c r="L439" s="46"/>
      <c r="M439" s="101"/>
      <c r="N439" s="124"/>
      <c r="O439" s="124"/>
      <c r="P439" s="78"/>
    </row>
    <row r="440" spans="1:16" ht="15" hidden="1" customHeight="1" x14ac:dyDescent="0.2">
      <c r="A440" s="45"/>
      <c r="B440" s="103"/>
      <c r="C440" s="103"/>
      <c r="D440" s="103"/>
      <c r="E440" s="103"/>
      <c r="F440" s="103"/>
      <c r="G440" s="103"/>
      <c r="H440" s="103"/>
      <c r="I440" s="103"/>
      <c r="J440" s="103"/>
      <c r="K440" s="103"/>
      <c r="L440" s="46"/>
      <c r="M440" s="101"/>
      <c r="N440" s="124"/>
      <c r="O440" s="124"/>
      <c r="P440" s="78"/>
    </row>
    <row r="441" spans="1:16" ht="15" hidden="1" customHeight="1" x14ac:dyDescent="0.2">
      <c r="A441" s="45"/>
      <c r="B441" s="103"/>
      <c r="C441" s="103"/>
      <c r="D441" s="103"/>
      <c r="E441" s="103"/>
      <c r="F441" s="103"/>
      <c r="G441" s="103"/>
      <c r="H441" s="103"/>
      <c r="I441" s="103"/>
      <c r="J441" s="103"/>
      <c r="K441" s="103"/>
      <c r="L441" s="97"/>
      <c r="M441" s="97"/>
      <c r="N441" s="124"/>
      <c r="O441" s="124"/>
      <c r="P441" s="78"/>
    </row>
    <row r="442" spans="1:16" ht="15" hidden="1" customHeight="1" x14ac:dyDescent="0.25">
      <c r="A442" s="45"/>
      <c r="B442" s="119"/>
      <c r="C442" s="73"/>
      <c r="D442" s="73"/>
      <c r="E442" s="122"/>
      <c r="F442" s="125"/>
      <c r="G442" s="125"/>
      <c r="H442" s="73"/>
      <c r="I442" s="73"/>
      <c r="J442" s="73"/>
      <c r="K442" s="119"/>
      <c r="L442" s="97"/>
      <c r="M442" s="97"/>
      <c r="N442" s="124"/>
      <c r="O442" s="124"/>
      <c r="P442" s="78"/>
    </row>
    <row r="443" spans="1:16" ht="15" hidden="1" customHeight="1" x14ac:dyDescent="0.25">
      <c r="A443" s="45"/>
      <c r="B443" s="119"/>
      <c r="C443" s="73"/>
      <c r="D443" s="73"/>
      <c r="E443" s="122"/>
      <c r="F443" s="125"/>
      <c r="G443" s="73"/>
      <c r="H443" s="73"/>
      <c r="I443" s="126"/>
      <c r="J443" s="73"/>
      <c r="K443" s="119"/>
      <c r="L443" s="97"/>
      <c r="M443" s="97"/>
      <c r="N443" s="124"/>
      <c r="O443" s="124"/>
      <c r="P443" s="78"/>
    </row>
    <row r="444" spans="1:16" ht="15" hidden="1" customHeight="1" x14ac:dyDescent="0.25">
      <c r="A444" s="45"/>
      <c r="B444" s="119"/>
      <c r="C444" s="73"/>
      <c r="D444" s="73"/>
      <c r="E444" s="122"/>
      <c r="F444" s="125"/>
      <c r="G444" s="73"/>
      <c r="H444" s="73"/>
      <c r="I444" s="73"/>
      <c r="J444" s="73"/>
      <c r="K444" s="119"/>
      <c r="L444" s="97"/>
      <c r="M444" s="97"/>
      <c r="N444" s="124"/>
      <c r="O444" s="124"/>
      <c r="P444" s="78"/>
    </row>
    <row r="445" spans="1:16" ht="15" hidden="1" customHeight="1" x14ac:dyDescent="0.2">
      <c r="A445" s="103"/>
      <c r="B445" s="103"/>
      <c r="C445" s="103"/>
      <c r="D445" s="103"/>
      <c r="E445" s="103"/>
      <c r="F445" s="103"/>
      <c r="G445" s="103"/>
      <c r="H445" s="103"/>
      <c r="I445" s="103"/>
      <c r="J445" s="103"/>
      <c r="K445" s="103"/>
      <c r="L445" s="97"/>
      <c r="M445" s="97"/>
      <c r="N445" s="124"/>
      <c r="O445" s="124"/>
      <c r="P445" s="78"/>
    </row>
    <row r="446" spans="1:16" ht="15" hidden="1" customHeight="1" x14ac:dyDescent="0.2">
      <c r="A446" s="103"/>
      <c r="B446" s="119"/>
      <c r="C446" s="73"/>
      <c r="D446" s="73"/>
      <c r="E446" s="122"/>
      <c r="F446" s="73"/>
      <c r="G446" s="73"/>
      <c r="H446" s="73"/>
      <c r="I446" s="73"/>
      <c r="J446" s="73"/>
      <c r="K446" s="119"/>
      <c r="L446" s="97"/>
      <c r="M446" s="97"/>
      <c r="N446" s="124"/>
      <c r="O446" s="124"/>
      <c r="P446" s="78"/>
    </row>
    <row r="447" spans="1:16" ht="15" hidden="1" customHeight="1" x14ac:dyDescent="0.2">
      <c r="A447" s="103"/>
      <c r="B447" s="119"/>
      <c r="C447" s="73"/>
      <c r="D447" s="73"/>
      <c r="E447" s="73"/>
      <c r="F447" s="73"/>
      <c r="G447" s="73"/>
      <c r="H447" s="73"/>
      <c r="I447" s="73"/>
      <c r="J447" s="73"/>
      <c r="K447" s="119"/>
      <c r="L447" s="97"/>
      <c r="M447" s="97"/>
      <c r="N447" s="124"/>
      <c r="O447" s="124"/>
      <c r="P447" s="78"/>
    </row>
    <row r="448" spans="1:16" ht="15" hidden="1" customHeight="1" x14ac:dyDescent="0.2">
      <c r="A448" s="103"/>
      <c r="B448" s="119"/>
      <c r="C448" s="73"/>
      <c r="D448" s="73"/>
      <c r="E448" s="73"/>
      <c r="F448" s="73"/>
      <c r="G448" s="73"/>
      <c r="H448" s="73"/>
      <c r="I448" s="73"/>
      <c r="J448" s="73"/>
      <c r="K448" s="119"/>
      <c r="L448" s="97"/>
      <c r="M448" s="97"/>
      <c r="N448" s="124"/>
      <c r="O448" s="124"/>
      <c r="P448" s="78"/>
    </row>
    <row r="449" spans="1:16" ht="15" hidden="1" customHeight="1" x14ac:dyDescent="0.2">
      <c r="A449" s="103"/>
      <c r="B449" s="119"/>
      <c r="C449" s="73"/>
      <c r="D449" s="73"/>
      <c r="E449" s="73"/>
      <c r="F449" s="73"/>
      <c r="G449" s="73"/>
      <c r="H449" s="73"/>
      <c r="I449" s="73"/>
      <c r="J449" s="73"/>
      <c r="K449" s="119"/>
      <c r="L449" s="97"/>
      <c r="M449" s="97"/>
      <c r="N449" s="124"/>
      <c r="O449" s="124"/>
      <c r="P449" s="78"/>
    </row>
    <row r="450" spans="1:16" ht="15" hidden="1" customHeight="1" x14ac:dyDescent="0.2">
      <c r="A450" s="103"/>
      <c r="B450" s="119"/>
      <c r="C450" s="73"/>
      <c r="D450" s="73"/>
      <c r="E450" s="73"/>
      <c r="F450" s="73"/>
      <c r="G450" s="73"/>
      <c r="H450" s="73"/>
      <c r="I450" s="73"/>
      <c r="J450" s="73"/>
      <c r="K450" s="119"/>
      <c r="L450" s="97"/>
      <c r="M450" s="97"/>
      <c r="N450" s="124"/>
      <c r="O450" s="124"/>
      <c r="P450" s="78"/>
    </row>
    <row r="451" spans="1:16" ht="15" hidden="1" customHeight="1" x14ac:dyDescent="0.2">
      <c r="A451" s="103"/>
      <c r="B451" s="98"/>
      <c r="C451" s="97"/>
      <c r="D451" s="97"/>
      <c r="E451" s="97"/>
      <c r="F451" s="97"/>
      <c r="G451" s="97"/>
      <c r="H451" s="97"/>
      <c r="I451" s="97"/>
      <c r="J451" s="73"/>
      <c r="K451" s="98"/>
      <c r="L451" s="97"/>
      <c r="M451" s="97"/>
      <c r="N451" s="124"/>
      <c r="O451" s="124"/>
      <c r="P451" s="78"/>
    </row>
    <row r="452" spans="1:16" ht="15" hidden="1" customHeight="1" x14ac:dyDescent="0.2">
      <c r="A452" s="103"/>
      <c r="B452" s="98"/>
      <c r="C452" s="97"/>
      <c r="D452" s="98"/>
      <c r="E452" s="98"/>
      <c r="F452" s="98"/>
      <c r="G452" s="98"/>
      <c r="H452" s="98"/>
      <c r="I452" s="97"/>
      <c r="J452" s="73"/>
      <c r="K452" s="98"/>
      <c r="L452" s="124"/>
      <c r="M452" s="124"/>
      <c r="N452" s="124"/>
      <c r="O452" s="124"/>
      <c r="P452" s="78"/>
    </row>
    <row r="453" spans="1:16" hidden="1" x14ac:dyDescent="0.2">
      <c r="A453" s="103"/>
      <c r="B453" s="64"/>
      <c r="C453" s="65"/>
      <c r="D453" s="46"/>
      <c r="E453" s="46"/>
      <c r="F453" s="46"/>
      <c r="G453" s="46"/>
      <c r="H453" s="102"/>
      <c r="I453" s="127"/>
      <c r="J453" s="46"/>
      <c r="K453" s="320"/>
      <c r="L453" s="46"/>
      <c r="M453" s="102"/>
      <c r="N453" s="46"/>
      <c r="O453" s="65"/>
      <c r="P453" s="78"/>
    </row>
    <row r="454" spans="1:16" hidden="1" x14ac:dyDescent="0.2">
      <c r="A454" s="100"/>
      <c r="B454" s="64"/>
      <c r="C454" s="65"/>
      <c r="D454" s="46"/>
      <c r="E454" s="46"/>
      <c r="F454" s="46"/>
      <c r="G454" s="46"/>
      <c r="H454" s="102"/>
      <c r="I454" s="127"/>
      <c r="J454" s="46"/>
      <c r="K454" s="320"/>
      <c r="L454" s="46"/>
      <c r="M454" s="102"/>
      <c r="N454" s="129"/>
      <c r="O454" s="65"/>
      <c r="P454" s="78"/>
    </row>
    <row r="455" spans="1:16" hidden="1" x14ac:dyDescent="0.2">
      <c r="A455" s="103"/>
      <c r="B455" s="64"/>
      <c r="C455" s="65"/>
      <c r="D455" s="46"/>
      <c r="E455" s="46"/>
      <c r="F455" s="46"/>
      <c r="G455" s="46"/>
      <c r="H455" s="102"/>
      <c r="I455" s="127"/>
      <c r="J455" s="46"/>
      <c r="K455" s="320"/>
      <c r="L455" s="46"/>
      <c r="M455" s="102"/>
      <c r="N455" s="129"/>
      <c r="O455" s="65"/>
      <c r="P455" s="78"/>
    </row>
    <row r="456" spans="1:16" hidden="1" x14ac:dyDescent="0.2">
      <c r="A456" s="103"/>
      <c r="B456" s="64"/>
      <c r="C456" s="65"/>
      <c r="D456" s="46"/>
      <c r="E456" s="46"/>
      <c r="F456" s="46"/>
      <c r="G456" s="46"/>
      <c r="H456" s="102"/>
      <c r="I456" s="127"/>
      <c r="J456" s="46"/>
      <c r="K456" s="320"/>
      <c r="L456" s="46"/>
      <c r="M456" s="102"/>
      <c r="N456" s="129"/>
      <c r="O456" s="65"/>
      <c r="P456" s="78"/>
    </row>
    <row r="457" spans="1:16" hidden="1" x14ac:dyDescent="0.2">
      <c r="A457" s="103"/>
      <c r="B457" s="130"/>
      <c r="C457" s="46"/>
      <c r="D457" s="46"/>
      <c r="E457" s="101"/>
      <c r="F457" s="46"/>
      <c r="G457" s="46"/>
      <c r="H457" s="46"/>
      <c r="I457" s="128"/>
      <c r="J457" s="46"/>
      <c r="K457" s="320"/>
      <c r="L457" s="46"/>
      <c r="M457" s="101"/>
      <c r="N457" s="124"/>
      <c r="O457" s="124"/>
      <c r="P457" s="78"/>
    </row>
    <row r="458" spans="1:16" hidden="1" x14ac:dyDescent="0.2">
      <c r="A458" s="103"/>
      <c r="B458" s="130"/>
      <c r="C458" s="97"/>
      <c r="D458" s="46"/>
      <c r="E458" s="131"/>
      <c r="F458" s="124"/>
      <c r="G458" s="46"/>
      <c r="H458" s="46"/>
      <c r="I458" s="128"/>
      <c r="J458" s="46"/>
      <c r="K458" s="320"/>
      <c r="L458" s="46"/>
      <c r="M458" s="101"/>
      <c r="N458" s="124"/>
      <c r="O458" s="124"/>
      <c r="P458" s="78"/>
    </row>
    <row r="459" spans="1:16" hidden="1" x14ac:dyDescent="0.2">
      <c r="A459" s="103"/>
      <c r="B459" s="130"/>
      <c r="C459" s="46"/>
      <c r="D459" s="46"/>
      <c r="E459" s="101"/>
      <c r="F459" s="46"/>
      <c r="G459" s="46"/>
      <c r="H459" s="46"/>
      <c r="I459" s="128"/>
      <c r="J459" s="46"/>
      <c r="K459" s="320"/>
      <c r="L459" s="46"/>
      <c r="M459" s="101"/>
      <c r="N459" s="103"/>
      <c r="O459" s="103"/>
    </row>
    <row r="460" spans="1:16" hidden="1" x14ac:dyDescent="0.2">
      <c r="A460" s="64"/>
      <c r="B460" s="130"/>
      <c r="C460" s="46"/>
      <c r="D460" s="46"/>
      <c r="E460" s="101"/>
      <c r="F460" s="46"/>
      <c r="G460" s="46"/>
      <c r="H460" s="46"/>
      <c r="I460" s="46"/>
      <c r="J460" s="46"/>
      <c r="K460" s="45"/>
      <c r="L460" s="128"/>
      <c r="M460" s="128"/>
      <c r="N460" s="103"/>
      <c r="O460" s="103"/>
    </row>
    <row r="461" spans="1:16" hidden="1" x14ac:dyDescent="0.2">
      <c r="A461" s="64"/>
      <c r="B461" s="64"/>
      <c r="C461" s="46"/>
      <c r="D461" s="65"/>
      <c r="E461" s="101"/>
      <c r="F461" s="128"/>
      <c r="G461" s="128"/>
      <c r="H461" s="46"/>
      <c r="I461" s="128"/>
      <c r="J461" s="128"/>
      <c r="K461" s="320"/>
      <c r="L461" s="128"/>
      <c r="M461" s="128"/>
      <c r="N461" s="103"/>
      <c r="O461" s="103"/>
    </row>
    <row r="462" spans="1:16" hidden="1" x14ac:dyDescent="0.2">
      <c r="A462" s="64"/>
      <c r="B462" s="64"/>
      <c r="C462" s="46"/>
      <c r="D462" s="65"/>
      <c r="E462" s="101"/>
      <c r="F462" s="101"/>
      <c r="G462" s="101"/>
      <c r="H462" s="46"/>
      <c r="I462" s="101"/>
      <c r="J462" s="101"/>
      <c r="K462" s="321"/>
      <c r="L462" s="128"/>
      <c r="M462" s="128"/>
      <c r="N462" s="103"/>
      <c r="O462" s="103"/>
    </row>
    <row r="463" spans="1:16" hidden="1" x14ac:dyDescent="0.2">
      <c r="A463" s="64"/>
      <c r="B463" s="64"/>
      <c r="C463" s="46"/>
      <c r="D463" s="65"/>
      <c r="E463" s="101"/>
      <c r="F463" s="128"/>
      <c r="G463" s="65"/>
      <c r="H463" s="97"/>
      <c r="I463" s="128"/>
      <c r="J463" s="65"/>
      <c r="K463" s="64"/>
      <c r="L463" s="128"/>
      <c r="M463" s="128"/>
      <c r="N463" s="103"/>
      <c r="O463" s="103"/>
    </row>
    <row r="464" spans="1:16" hidden="1" x14ac:dyDescent="0.2">
      <c r="A464" s="64"/>
      <c r="B464" s="64"/>
      <c r="C464" s="46"/>
      <c r="D464" s="65"/>
      <c r="E464" s="101"/>
      <c r="F464" s="128"/>
      <c r="G464" s="65"/>
      <c r="H464" s="46"/>
      <c r="I464" s="128"/>
      <c r="J464" s="65"/>
      <c r="K464" s="64"/>
      <c r="L464" s="46"/>
      <c r="M464" s="128"/>
      <c r="N464" s="103"/>
      <c r="O464" s="103"/>
    </row>
    <row r="465" spans="1:15" hidden="1" x14ac:dyDescent="0.2">
      <c r="A465" s="64"/>
      <c r="B465" s="64"/>
      <c r="C465" s="46"/>
      <c r="D465" s="65"/>
      <c r="E465" s="101"/>
      <c r="F465" s="128"/>
      <c r="G465" s="65"/>
      <c r="H465" s="46"/>
      <c r="I465" s="128"/>
      <c r="J465" s="65"/>
      <c r="K465" s="64"/>
      <c r="L465" s="101"/>
      <c r="M465" s="101"/>
      <c r="N465" s="103"/>
      <c r="O465" s="103"/>
    </row>
    <row r="466" spans="1:15" hidden="1" x14ac:dyDescent="0.2">
      <c r="A466" s="64"/>
      <c r="B466" s="45"/>
      <c r="C466" s="46"/>
      <c r="D466" s="46"/>
      <c r="E466" s="101"/>
      <c r="F466" s="102"/>
      <c r="G466" s="46"/>
      <c r="H466" s="97"/>
      <c r="I466" s="102"/>
      <c r="J466" s="46"/>
      <c r="K466" s="322"/>
      <c r="L466" s="46"/>
      <c r="M466" s="101"/>
      <c r="N466" s="103"/>
      <c r="O466" s="103"/>
    </row>
    <row r="467" spans="1:15" hidden="1" x14ac:dyDescent="0.2">
      <c r="A467" s="64"/>
      <c r="B467" s="45"/>
      <c r="C467" s="46"/>
      <c r="D467" s="46"/>
      <c r="E467" s="101"/>
      <c r="F467" s="102"/>
      <c r="G467" s="46"/>
      <c r="H467" s="97"/>
      <c r="I467" s="102"/>
      <c r="J467" s="46"/>
      <c r="K467" s="322"/>
      <c r="L467" s="46"/>
      <c r="M467" s="101"/>
      <c r="N467" s="103"/>
      <c r="O467" s="103"/>
    </row>
    <row r="468" spans="1:15" hidden="1" x14ac:dyDescent="0.2">
      <c r="A468" s="64"/>
      <c r="B468" s="103"/>
      <c r="C468" s="103"/>
      <c r="D468" s="103"/>
      <c r="E468" s="103"/>
      <c r="F468" s="103"/>
      <c r="G468" s="103"/>
      <c r="H468" s="103"/>
      <c r="I468" s="103"/>
      <c r="J468" s="103"/>
      <c r="K468" s="103"/>
      <c r="L468" s="46"/>
      <c r="M468" s="101"/>
      <c r="N468" s="103"/>
      <c r="O468" s="103"/>
    </row>
    <row r="469" spans="1:15" hidden="1" x14ac:dyDescent="0.2">
      <c r="A469" s="64"/>
      <c r="B469" s="98"/>
      <c r="C469" s="97"/>
      <c r="D469" s="97"/>
      <c r="E469" s="99"/>
      <c r="F469" s="97"/>
      <c r="G469" s="97"/>
      <c r="H469" s="46"/>
      <c r="I469" s="97"/>
      <c r="J469" s="97"/>
      <c r="K469" s="98"/>
      <c r="L469" s="46"/>
      <c r="M469" s="103"/>
      <c r="N469" s="103"/>
      <c r="O469" s="103"/>
    </row>
    <row r="470" spans="1:15" hidden="1" x14ac:dyDescent="0.2">
      <c r="A470" s="103"/>
      <c r="B470" s="98"/>
      <c r="C470" s="97"/>
      <c r="D470" s="97"/>
      <c r="E470" s="99"/>
      <c r="F470" s="97"/>
      <c r="G470" s="97"/>
      <c r="H470" s="97"/>
      <c r="I470" s="97"/>
      <c r="J470" s="97"/>
      <c r="K470" s="98"/>
      <c r="L470" s="46"/>
      <c r="M470" s="103"/>
      <c r="N470" s="103"/>
      <c r="O470" s="103"/>
    </row>
    <row r="471" spans="1:15" hidden="1" x14ac:dyDescent="0.2">
      <c r="A471" s="64"/>
      <c r="B471" s="104"/>
      <c r="C471" s="97"/>
      <c r="D471" s="97"/>
      <c r="E471" s="99"/>
      <c r="F471" s="97"/>
      <c r="G471" s="105"/>
      <c r="H471" s="97"/>
      <c r="I471" s="97"/>
      <c r="J471" s="97"/>
      <c r="K471" s="98"/>
      <c r="L471" s="103"/>
      <c r="M471" s="103"/>
      <c r="N471" s="103"/>
      <c r="O471" s="103"/>
    </row>
    <row r="472" spans="1:15" hidden="1" x14ac:dyDescent="0.2">
      <c r="A472" s="64"/>
      <c r="B472" s="98"/>
      <c r="C472" s="97"/>
      <c r="D472" s="97"/>
      <c r="E472" s="99"/>
      <c r="F472" s="97"/>
      <c r="G472" s="97"/>
      <c r="H472" s="97"/>
      <c r="I472" s="97"/>
      <c r="J472" s="97"/>
      <c r="K472" s="98"/>
      <c r="L472" s="97"/>
      <c r="M472" s="103"/>
      <c r="N472" s="103"/>
      <c r="O472" s="103"/>
    </row>
    <row r="473" spans="1:15" hidden="1" x14ac:dyDescent="0.2">
      <c r="A473" s="45"/>
      <c r="B473" s="106"/>
      <c r="C473" s="107"/>
      <c r="D473" s="107"/>
      <c r="E473" s="108"/>
      <c r="F473" s="107"/>
      <c r="G473" s="107"/>
      <c r="H473" s="97"/>
      <c r="I473" s="107"/>
      <c r="J473" s="107"/>
      <c r="K473" s="106"/>
      <c r="L473" s="97"/>
      <c r="M473" s="98"/>
      <c r="N473" s="103"/>
      <c r="O473" s="103"/>
    </row>
    <row r="474" spans="1:15" hidden="1" x14ac:dyDescent="0.2">
      <c r="A474" s="45"/>
      <c r="B474" s="106"/>
      <c r="C474" s="107"/>
      <c r="D474" s="107"/>
      <c r="E474" s="108"/>
      <c r="F474" s="107"/>
      <c r="G474" s="107"/>
      <c r="H474" s="97"/>
      <c r="I474" s="107"/>
      <c r="J474" s="107"/>
      <c r="K474" s="106"/>
      <c r="L474" s="97"/>
      <c r="M474" s="98"/>
      <c r="N474" s="103"/>
      <c r="O474" s="103"/>
    </row>
    <row r="475" spans="1:15" hidden="1" x14ac:dyDescent="0.2">
      <c r="A475" s="103"/>
      <c r="B475" s="106"/>
      <c r="C475" s="97"/>
      <c r="D475" s="107"/>
      <c r="E475" s="108"/>
      <c r="F475" s="107"/>
      <c r="G475" s="107"/>
      <c r="H475" s="97"/>
      <c r="I475" s="107"/>
      <c r="J475" s="107"/>
      <c r="K475" s="106"/>
      <c r="L475" s="97"/>
      <c r="M475" s="98"/>
      <c r="N475" s="103"/>
      <c r="O475" s="103"/>
    </row>
    <row r="476" spans="1:15" hidden="1" x14ac:dyDescent="0.2">
      <c r="A476" s="98"/>
      <c r="B476" s="98"/>
      <c r="C476" s="97"/>
      <c r="D476" s="97"/>
      <c r="E476" s="99"/>
      <c r="F476" s="97"/>
      <c r="G476" s="97"/>
      <c r="H476" s="97"/>
      <c r="I476" s="97"/>
      <c r="J476" s="97"/>
      <c r="K476" s="98"/>
      <c r="L476" s="97"/>
      <c r="M476" s="98"/>
      <c r="N476" s="103"/>
      <c r="O476" s="103"/>
    </row>
    <row r="477" spans="1:15" hidden="1" x14ac:dyDescent="0.2">
      <c r="A477" s="98"/>
      <c r="B477" s="98"/>
      <c r="C477" s="97"/>
      <c r="D477" s="97"/>
      <c r="E477" s="99"/>
      <c r="F477" s="97"/>
      <c r="G477" s="97"/>
      <c r="H477" s="97"/>
      <c r="I477" s="97"/>
      <c r="J477" s="97"/>
      <c r="K477" s="98"/>
      <c r="L477" s="97"/>
      <c r="M477" s="98"/>
      <c r="N477" s="103"/>
      <c r="O477" s="103"/>
    </row>
    <row r="478" spans="1:15" hidden="1" x14ac:dyDescent="0.2">
      <c r="A478" s="98"/>
      <c r="B478" s="103"/>
      <c r="C478" s="103"/>
      <c r="D478" s="103"/>
      <c r="E478" s="103"/>
      <c r="F478" s="103"/>
      <c r="G478" s="103"/>
      <c r="H478" s="103"/>
      <c r="I478" s="103"/>
      <c r="J478" s="103"/>
      <c r="K478" s="103"/>
      <c r="L478" s="97"/>
      <c r="M478" s="98"/>
      <c r="N478" s="103"/>
      <c r="O478" s="103"/>
    </row>
    <row r="479" spans="1:15" hidden="1" x14ac:dyDescent="0.2">
      <c r="A479" s="98"/>
      <c r="B479" s="103"/>
      <c r="C479" s="103"/>
      <c r="D479" s="103"/>
      <c r="E479" s="103"/>
      <c r="F479" s="103"/>
      <c r="G479" s="103"/>
      <c r="H479" s="103"/>
      <c r="I479" s="103"/>
      <c r="J479" s="103"/>
      <c r="K479" s="103"/>
      <c r="L479" s="97"/>
      <c r="M479" s="98"/>
      <c r="N479" s="103"/>
      <c r="O479" s="103"/>
    </row>
    <row r="480" spans="1:15" hidden="1" x14ac:dyDescent="0.2">
      <c r="A480" s="106"/>
      <c r="B480" s="103"/>
      <c r="C480" s="103"/>
      <c r="D480" s="103"/>
      <c r="E480" s="103"/>
      <c r="F480" s="103"/>
      <c r="G480" s="103"/>
      <c r="H480" s="103"/>
      <c r="I480" s="103"/>
      <c r="J480" s="103"/>
      <c r="K480" s="103"/>
      <c r="L480" s="97"/>
      <c r="M480" s="98"/>
      <c r="N480" s="103"/>
      <c r="O480" s="103"/>
    </row>
    <row r="481" spans="1:15" hidden="1" x14ac:dyDescent="0.2">
      <c r="A481" s="106"/>
      <c r="B481" s="103"/>
      <c r="C481" s="103"/>
      <c r="D481" s="103"/>
      <c r="E481" s="103"/>
      <c r="F481" s="103"/>
      <c r="G481" s="103"/>
      <c r="H481" s="103"/>
      <c r="I481" s="103"/>
      <c r="J481" s="103"/>
      <c r="K481" s="103"/>
      <c r="L481" s="103"/>
      <c r="M481" s="103"/>
      <c r="N481" s="103"/>
      <c r="O481" s="103"/>
    </row>
    <row r="482" spans="1:15" hidden="1" x14ac:dyDescent="0.2">
      <c r="A482" s="106"/>
      <c r="B482" s="103"/>
      <c r="C482" s="103"/>
      <c r="D482" s="103"/>
      <c r="E482" s="103"/>
      <c r="F482" s="103"/>
      <c r="G482" s="103"/>
      <c r="H482" s="103"/>
      <c r="I482" s="103"/>
      <c r="J482" s="103"/>
      <c r="K482" s="103"/>
      <c r="L482" s="103"/>
      <c r="M482" s="103"/>
      <c r="N482" s="103"/>
      <c r="O482" s="103"/>
    </row>
    <row r="483" spans="1:15" hidden="1" x14ac:dyDescent="0.2">
      <c r="A483" s="98"/>
      <c r="B483" s="103"/>
      <c r="C483" s="103"/>
      <c r="D483" s="103"/>
      <c r="E483" s="103"/>
      <c r="F483" s="103"/>
      <c r="G483" s="103"/>
      <c r="H483" s="103"/>
      <c r="I483" s="103"/>
      <c r="J483" s="103"/>
      <c r="K483" s="103"/>
      <c r="L483" s="103"/>
      <c r="M483" s="103"/>
      <c r="N483" s="103"/>
      <c r="O483" s="103"/>
    </row>
    <row r="484" spans="1:15" hidden="1" x14ac:dyDescent="0.2">
      <c r="A484" s="98"/>
      <c r="B484" s="103"/>
      <c r="C484" s="103"/>
      <c r="D484" s="103"/>
      <c r="E484" s="103"/>
      <c r="F484" s="103"/>
      <c r="G484" s="103"/>
      <c r="H484" s="103"/>
      <c r="I484" s="103"/>
      <c r="J484" s="103"/>
      <c r="K484" s="103"/>
      <c r="L484" s="103"/>
      <c r="M484" s="103"/>
      <c r="N484" s="103"/>
      <c r="O484" s="103"/>
    </row>
    <row r="485" spans="1:15" hidden="1" x14ac:dyDescent="0.2">
      <c r="A485" s="103"/>
      <c r="B485" s="103"/>
      <c r="C485" s="103"/>
      <c r="D485" s="103"/>
      <c r="E485" s="103"/>
      <c r="F485" s="103"/>
      <c r="G485" s="103"/>
      <c r="H485" s="103"/>
      <c r="I485" s="103"/>
      <c r="J485" s="103"/>
      <c r="K485" s="103"/>
      <c r="L485" s="103"/>
      <c r="M485" s="103"/>
      <c r="N485" s="103"/>
      <c r="O485" s="103"/>
    </row>
    <row r="486" spans="1:15" hidden="1" x14ac:dyDescent="0.2">
      <c r="A486" s="103"/>
      <c r="B486" s="103"/>
      <c r="C486" s="103"/>
      <c r="D486" s="103"/>
      <c r="E486" s="103"/>
      <c r="F486" s="103"/>
      <c r="G486" s="103"/>
      <c r="H486" s="103"/>
      <c r="I486" s="103"/>
      <c r="J486" s="103"/>
      <c r="K486" s="103"/>
      <c r="L486" s="103"/>
      <c r="M486" s="103"/>
      <c r="N486" s="103"/>
      <c r="O486" s="103"/>
    </row>
    <row r="487" spans="1:15" hidden="1" x14ac:dyDescent="0.2">
      <c r="A487" s="103"/>
      <c r="B487" s="103"/>
      <c r="C487" s="103"/>
      <c r="D487" s="103"/>
      <c r="E487" s="103"/>
      <c r="F487" s="103"/>
      <c r="G487" s="103"/>
      <c r="H487" s="103"/>
      <c r="I487" s="103"/>
      <c r="J487" s="103"/>
      <c r="K487" s="103"/>
      <c r="L487" s="103"/>
      <c r="M487" s="103"/>
      <c r="N487" s="103"/>
      <c r="O487" s="103"/>
    </row>
    <row r="488" spans="1:15" hidden="1" x14ac:dyDescent="0.2">
      <c r="A488" s="103"/>
      <c r="B488" s="103"/>
      <c r="C488" s="103"/>
      <c r="D488" s="103"/>
      <c r="E488" s="103"/>
      <c r="F488" s="103"/>
      <c r="G488" s="103"/>
      <c r="H488" s="103"/>
      <c r="I488" s="103"/>
      <c r="J488" s="103"/>
      <c r="K488" s="103"/>
      <c r="L488" s="103"/>
      <c r="M488" s="103"/>
      <c r="N488" s="103"/>
      <c r="O488" s="103"/>
    </row>
    <row r="489" spans="1:15" hidden="1" x14ac:dyDescent="0.2">
      <c r="A489" s="103"/>
      <c r="B489" s="103"/>
      <c r="C489" s="103"/>
      <c r="D489" s="103"/>
      <c r="E489" s="103"/>
      <c r="F489" s="103"/>
      <c r="G489" s="103"/>
      <c r="H489" s="103"/>
      <c r="I489" s="103"/>
      <c r="J489" s="103"/>
      <c r="K489" s="103"/>
      <c r="L489" s="103"/>
      <c r="M489" s="103"/>
      <c r="N489" s="103"/>
      <c r="O489" s="103"/>
    </row>
    <row r="490" spans="1:15" hidden="1" x14ac:dyDescent="0.2">
      <c r="A490" s="103"/>
      <c r="B490" s="103"/>
      <c r="C490" s="103"/>
      <c r="D490" s="103"/>
      <c r="E490" s="103"/>
      <c r="F490" s="103"/>
      <c r="G490" s="103"/>
      <c r="H490" s="103"/>
      <c r="I490" s="103"/>
      <c r="J490" s="103"/>
      <c r="K490" s="103"/>
      <c r="L490" s="103"/>
      <c r="M490" s="103"/>
      <c r="N490" s="103"/>
      <c r="O490" s="103"/>
    </row>
    <row r="491" spans="1:15" hidden="1" x14ac:dyDescent="0.2">
      <c r="A491" s="103"/>
      <c r="B491" s="103"/>
      <c r="C491" s="103"/>
      <c r="D491" s="103"/>
      <c r="E491" s="103"/>
      <c r="F491" s="103"/>
      <c r="G491" s="103"/>
      <c r="H491" s="103"/>
      <c r="I491" s="103"/>
      <c r="J491" s="103"/>
      <c r="K491" s="103"/>
      <c r="L491" s="103"/>
      <c r="M491" s="103"/>
      <c r="N491" s="103"/>
      <c r="O491" s="103"/>
    </row>
    <row r="492" spans="1:15" hidden="1" x14ac:dyDescent="0.2">
      <c r="A492" s="103"/>
      <c r="B492" s="103"/>
      <c r="C492" s="103"/>
      <c r="D492" s="103"/>
      <c r="E492" s="103"/>
      <c r="F492" s="103"/>
      <c r="G492" s="103"/>
      <c r="H492" s="103"/>
      <c r="I492" s="103"/>
      <c r="J492" s="103"/>
      <c r="K492" s="103"/>
      <c r="L492" s="103"/>
      <c r="M492" s="103"/>
      <c r="N492" s="103"/>
      <c r="O492" s="103"/>
    </row>
    <row r="493" spans="1:15" hidden="1" x14ac:dyDescent="0.2">
      <c r="A493" s="103"/>
      <c r="B493" s="103"/>
      <c r="C493" s="103"/>
      <c r="D493" s="103"/>
      <c r="E493" s="103"/>
      <c r="F493" s="103"/>
      <c r="G493" s="103"/>
      <c r="H493" s="103"/>
      <c r="I493" s="103"/>
      <c r="J493" s="103"/>
      <c r="K493" s="103"/>
      <c r="L493" s="103"/>
      <c r="M493" s="103"/>
      <c r="N493" s="103"/>
      <c r="O493" s="103"/>
    </row>
    <row r="494" spans="1:15" hidden="1" x14ac:dyDescent="0.2">
      <c r="A494" s="103"/>
      <c r="B494" s="103"/>
      <c r="C494" s="103"/>
      <c r="D494" s="103"/>
      <c r="E494" s="103"/>
      <c r="F494" s="103"/>
      <c r="G494" s="103"/>
      <c r="H494" s="103"/>
      <c r="I494" s="103"/>
      <c r="J494" s="103"/>
      <c r="K494" s="103"/>
      <c r="L494" s="103"/>
      <c r="M494" s="103"/>
      <c r="N494" s="103"/>
      <c r="O494" s="103"/>
    </row>
    <row r="495" spans="1:15" hidden="1" x14ac:dyDescent="0.2">
      <c r="A495" s="103"/>
      <c r="B495" s="103"/>
      <c r="C495" s="103"/>
      <c r="D495" s="103"/>
      <c r="E495" s="103"/>
      <c r="F495" s="103"/>
      <c r="G495" s="103"/>
      <c r="H495" s="103"/>
      <c r="I495" s="103"/>
      <c r="J495" s="103"/>
      <c r="K495" s="103"/>
      <c r="L495" s="103"/>
      <c r="M495" s="103"/>
      <c r="N495" s="103"/>
      <c r="O495" s="103"/>
    </row>
    <row r="496" spans="1:15" hidden="1" x14ac:dyDescent="0.2">
      <c r="A496" s="103"/>
      <c r="B496" s="103"/>
      <c r="C496" s="103"/>
      <c r="D496" s="103"/>
      <c r="E496" s="103"/>
      <c r="F496" s="103"/>
      <c r="G496" s="103"/>
      <c r="H496" s="103"/>
      <c r="I496" s="103"/>
      <c r="J496" s="103"/>
      <c r="K496" s="103"/>
      <c r="L496" s="103"/>
      <c r="M496" s="103"/>
      <c r="N496" s="103"/>
      <c r="O496" s="103"/>
    </row>
    <row r="497" spans="1:15" hidden="1" x14ac:dyDescent="0.2">
      <c r="A497" s="103"/>
      <c r="B497" s="103"/>
      <c r="C497" s="103"/>
      <c r="D497" s="103"/>
      <c r="E497" s="103"/>
      <c r="F497" s="103"/>
      <c r="G497" s="103"/>
      <c r="H497" s="103"/>
      <c r="I497" s="103"/>
      <c r="J497" s="103"/>
      <c r="K497" s="103"/>
      <c r="L497" s="103"/>
      <c r="M497" s="103"/>
      <c r="N497" s="103"/>
      <c r="O497" s="103"/>
    </row>
    <row r="498" spans="1:15" hidden="1" x14ac:dyDescent="0.2">
      <c r="A498" s="103"/>
      <c r="B498" s="103"/>
      <c r="C498" s="103"/>
      <c r="D498" s="103"/>
      <c r="E498" s="103"/>
      <c r="F498" s="103"/>
      <c r="G498" s="103"/>
      <c r="H498" s="103"/>
      <c r="I498" s="103"/>
      <c r="J498" s="103"/>
      <c r="K498" s="103"/>
      <c r="L498" s="103"/>
      <c r="M498" s="103"/>
      <c r="N498" s="103"/>
      <c r="O498" s="103"/>
    </row>
    <row r="499" spans="1:15" hidden="1" x14ac:dyDescent="0.2">
      <c r="A499" s="103"/>
      <c r="B499" s="103"/>
      <c r="C499" s="103"/>
      <c r="D499" s="103"/>
      <c r="E499" s="103"/>
      <c r="F499" s="103"/>
      <c r="G499" s="103"/>
      <c r="H499" s="103"/>
      <c r="I499" s="103"/>
      <c r="J499" s="103"/>
      <c r="K499" s="103"/>
      <c r="L499" s="103"/>
      <c r="M499" s="103"/>
      <c r="N499" s="103"/>
      <c r="O499" s="103"/>
    </row>
    <row r="500" spans="1:15" hidden="1" x14ac:dyDescent="0.2">
      <c r="A500" s="103"/>
      <c r="B500" s="103"/>
      <c r="C500" s="103"/>
      <c r="D500" s="103"/>
      <c r="E500" s="103"/>
      <c r="F500" s="103"/>
      <c r="G500" s="103"/>
      <c r="H500" s="103"/>
      <c r="I500" s="103"/>
      <c r="J500" s="103"/>
      <c r="K500" s="103"/>
      <c r="L500" s="103"/>
      <c r="M500" s="103"/>
      <c r="N500" s="103"/>
      <c r="O500" s="103"/>
    </row>
    <row r="501" spans="1:15" hidden="1" x14ac:dyDescent="0.2">
      <c r="A501" s="103"/>
      <c r="B501" s="103"/>
      <c r="C501" s="103"/>
      <c r="D501" s="103"/>
      <c r="E501" s="103"/>
      <c r="F501" s="103"/>
      <c r="G501" s="103"/>
      <c r="H501" s="103"/>
      <c r="I501" s="103"/>
      <c r="J501" s="103"/>
      <c r="K501" s="103"/>
      <c r="L501" s="103"/>
      <c r="M501" s="103"/>
      <c r="N501" s="103"/>
      <c r="O501" s="103"/>
    </row>
    <row r="502" spans="1:15" hidden="1" x14ac:dyDescent="0.2">
      <c r="A502" s="103"/>
      <c r="B502" s="103"/>
      <c r="C502" s="103"/>
      <c r="D502" s="103"/>
      <c r="E502" s="103"/>
      <c r="F502" s="103"/>
      <c r="G502" s="103"/>
      <c r="H502" s="103"/>
      <c r="I502" s="103"/>
      <c r="J502" s="103"/>
      <c r="K502" s="103"/>
      <c r="L502" s="103"/>
      <c r="M502" s="103"/>
      <c r="N502" s="103"/>
      <c r="O502" s="103"/>
    </row>
    <row r="503" spans="1:15" hidden="1" x14ac:dyDescent="0.2">
      <c r="A503" s="103"/>
      <c r="B503" s="103"/>
      <c r="C503" s="103"/>
      <c r="D503" s="103"/>
      <c r="E503" s="103"/>
      <c r="F503" s="103"/>
      <c r="G503" s="103"/>
      <c r="H503" s="103"/>
      <c r="I503" s="103"/>
      <c r="J503" s="103"/>
      <c r="K503" s="103"/>
      <c r="L503" s="103"/>
      <c r="M503" s="103"/>
      <c r="N503" s="103"/>
      <c r="O503" s="103"/>
    </row>
    <row r="504" spans="1:15" hidden="1" x14ac:dyDescent="0.2">
      <c r="A504" s="103"/>
      <c r="B504" s="103"/>
      <c r="C504" s="103"/>
      <c r="D504" s="103"/>
      <c r="E504" s="103"/>
      <c r="F504" s="103"/>
      <c r="G504" s="103"/>
      <c r="H504" s="103"/>
      <c r="I504" s="103"/>
      <c r="J504" s="103"/>
      <c r="K504" s="103"/>
      <c r="L504" s="103"/>
      <c r="M504" s="103"/>
      <c r="N504" s="103"/>
      <c r="O504" s="103"/>
    </row>
    <row r="505" spans="1:15" hidden="1" x14ac:dyDescent="0.2">
      <c r="A505" s="103"/>
      <c r="B505" s="132"/>
      <c r="C505" s="65"/>
      <c r="D505" s="65"/>
      <c r="E505" s="101"/>
      <c r="F505" s="133"/>
      <c r="G505" s="65"/>
      <c r="H505" s="65"/>
      <c r="I505" s="102"/>
      <c r="J505" s="46"/>
      <c r="K505" s="45"/>
      <c r="L505" s="103"/>
      <c r="M505" s="103"/>
      <c r="N505" s="103"/>
      <c r="O505" s="103"/>
    </row>
    <row r="506" spans="1:15" hidden="1" x14ac:dyDescent="0.2">
      <c r="A506" s="103"/>
      <c r="B506" s="132"/>
      <c r="C506" s="65"/>
      <c r="D506" s="65"/>
      <c r="E506" s="101"/>
      <c r="F506" s="133"/>
      <c r="G506" s="65"/>
      <c r="H506" s="65"/>
      <c r="I506" s="102"/>
      <c r="J506" s="46"/>
      <c r="K506" s="45"/>
      <c r="L506" s="103"/>
      <c r="M506" s="103"/>
      <c r="N506" s="103"/>
      <c r="O506" s="103"/>
    </row>
    <row r="507" spans="1:15" hidden="1" x14ac:dyDescent="0.2">
      <c r="A507" s="103"/>
      <c r="B507" s="132"/>
      <c r="C507" s="65"/>
      <c r="D507" s="65"/>
      <c r="E507" s="101"/>
      <c r="F507" s="133"/>
      <c r="G507" s="65"/>
      <c r="H507" s="65"/>
      <c r="I507" s="102"/>
      <c r="J507" s="46"/>
      <c r="K507" s="45"/>
      <c r="L507" s="103"/>
      <c r="M507" s="103"/>
      <c r="N507" s="103"/>
      <c r="O507" s="103"/>
    </row>
    <row r="508" spans="1:15" hidden="1" x14ac:dyDescent="0.2">
      <c r="A508" s="103"/>
      <c r="B508" s="98"/>
      <c r="C508" s="46"/>
      <c r="D508" s="46"/>
      <c r="E508" s="101"/>
      <c r="F508" s="46"/>
      <c r="G508" s="102"/>
      <c r="H508" s="65"/>
      <c r="I508" s="102"/>
      <c r="J508" s="97"/>
      <c r="K508" s="98"/>
      <c r="L508" s="46"/>
      <c r="M508" s="101"/>
      <c r="N508" s="103"/>
      <c r="O508" s="103"/>
    </row>
    <row r="509" spans="1:15" hidden="1" x14ac:dyDescent="0.2">
      <c r="A509" s="103"/>
      <c r="B509" s="45"/>
      <c r="C509" s="46"/>
      <c r="D509" s="46"/>
      <c r="E509" s="46"/>
      <c r="F509" s="102"/>
      <c r="G509" s="46"/>
      <c r="H509" s="97"/>
      <c r="I509" s="102"/>
      <c r="J509" s="46"/>
      <c r="K509" s="322"/>
      <c r="L509" s="46"/>
      <c r="M509" s="101"/>
      <c r="N509" s="103"/>
      <c r="O509" s="103"/>
    </row>
    <row r="510" spans="1:15" hidden="1" x14ac:dyDescent="0.2">
      <c r="A510" s="103"/>
      <c r="B510" s="45"/>
      <c r="C510" s="46"/>
      <c r="D510" s="46"/>
      <c r="E510" s="101"/>
      <c r="F510" s="103"/>
      <c r="G510" s="46"/>
      <c r="H510" s="97"/>
      <c r="I510" s="102"/>
      <c r="J510" s="46"/>
      <c r="K510" s="322"/>
      <c r="L510" s="46"/>
      <c r="M510" s="101"/>
      <c r="N510" s="103"/>
      <c r="O510" s="103"/>
    </row>
    <row r="511" spans="1:15" hidden="1" x14ac:dyDescent="0.2">
      <c r="A511" s="103"/>
      <c r="B511" s="45"/>
      <c r="C511" s="46"/>
      <c r="D511" s="46"/>
      <c r="E511" s="46"/>
      <c r="F511" s="102"/>
      <c r="G511" s="46"/>
      <c r="H511" s="97"/>
      <c r="I511" s="102"/>
      <c r="J511" s="46"/>
      <c r="K511" s="322"/>
      <c r="L511" s="46"/>
      <c r="M511" s="101"/>
      <c r="N511" s="103"/>
      <c r="O511" s="103"/>
    </row>
    <row r="512" spans="1:15" hidden="1" x14ac:dyDescent="0.2">
      <c r="A512" s="45"/>
      <c r="B512" s="45"/>
      <c r="C512" s="46"/>
      <c r="D512" s="46"/>
      <c r="E512" s="46"/>
      <c r="F512" s="102"/>
      <c r="G512" s="46"/>
      <c r="H512" s="97"/>
      <c r="I512" s="102"/>
      <c r="J512" s="46"/>
      <c r="K512" s="322"/>
      <c r="L512" s="46"/>
      <c r="M512" s="103"/>
      <c r="N512" s="103"/>
      <c r="O512" s="103"/>
    </row>
    <row r="513" spans="1:15" hidden="1" x14ac:dyDescent="0.2">
      <c r="A513" s="45"/>
      <c r="B513" s="45"/>
      <c r="C513" s="46"/>
      <c r="D513" s="46"/>
      <c r="E513" s="46"/>
      <c r="F513" s="103"/>
      <c r="G513" s="102"/>
      <c r="H513" s="46"/>
      <c r="I513" s="102"/>
      <c r="J513" s="46"/>
      <c r="K513" s="322"/>
      <c r="L513" s="46"/>
      <c r="M513" s="103"/>
      <c r="N513" s="103"/>
      <c r="O513" s="103"/>
    </row>
    <row r="514" spans="1:15" hidden="1" x14ac:dyDescent="0.2">
      <c r="A514" s="45"/>
      <c r="B514" s="103"/>
      <c r="C514" s="103"/>
      <c r="D514" s="97"/>
      <c r="E514" s="97"/>
      <c r="F514" s="97"/>
      <c r="G514" s="97"/>
      <c r="H514" s="97"/>
      <c r="I514" s="97"/>
      <c r="J514" s="97"/>
      <c r="K514" s="98"/>
      <c r="L514" s="46"/>
      <c r="M514" s="103"/>
      <c r="N514" s="103"/>
      <c r="O514" s="103"/>
    </row>
    <row r="515" spans="1:15" hidden="1" x14ac:dyDescent="0.2">
      <c r="A515" s="45"/>
      <c r="B515" s="98"/>
      <c r="C515" s="97"/>
      <c r="D515" s="97"/>
      <c r="E515" s="97"/>
      <c r="F515" s="97"/>
      <c r="G515" s="97"/>
      <c r="H515" s="46"/>
      <c r="I515" s="97"/>
      <c r="J515" s="97"/>
      <c r="K515" s="98"/>
      <c r="L515" s="46"/>
      <c r="M515" s="103"/>
      <c r="N515" s="103"/>
      <c r="O515" s="103"/>
    </row>
    <row r="516" spans="1:15" hidden="1" x14ac:dyDescent="0.2">
      <c r="A516" s="45"/>
      <c r="B516" s="98"/>
      <c r="C516" s="97"/>
      <c r="D516" s="97"/>
      <c r="E516" s="97"/>
      <c r="F516" s="97"/>
      <c r="G516" s="97"/>
      <c r="H516" s="97"/>
      <c r="I516" s="97"/>
      <c r="J516" s="97"/>
      <c r="K516" s="98"/>
      <c r="L516" s="46"/>
      <c r="M516" s="103"/>
      <c r="N516" s="103"/>
      <c r="O516" s="103"/>
    </row>
    <row r="517" spans="1:15" hidden="1" x14ac:dyDescent="0.2">
      <c r="A517" s="45"/>
      <c r="B517" s="104"/>
      <c r="C517" s="97"/>
      <c r="D517" s="97"/>
      <c r="E517" s="97"/>
      <c r="F517" s="97"/>
      <c r="G517" s="105"/>
      <c r="H517" s="97"/>
      <c r="I517" s="97"/>
      <c r="J517" s="97"/>
      <c r="K517" s="98"/>
      <c r="L517" s="97"/>
      <c r="M517" s="97"/>
      <c r="N517" s="103"/>
      <c r="O517" s="103"/>
    </row>
    <row r="518" spans="1:15" s="80" customFormat="1" hidden="1" x14ac:dyDescent="0.2">
      <c r="A518" s="45"/>
      <c r="B518" s="98"/>
      <c r="C518" s="97"/>
      <c r="D518" s="97"/>
      <c r="E518" s="97"/>
      <c r="F518" s="97"/>
      <c r="G518" s="97"/>
      <c r="H518" s="97"/>
      <c r="I518" s="97"/>
      <c r="J518" s="97"/>
      <c r="K518" s="98"/>
      <c r="L518" s="97"/>
      <c r="M518" s="103"/>
      <c r="N518" s="103"/>
      <c r="O518" s="103"/>
    </row>
    <row r="519" spans="1:15" s="80" customFormat="1" hidden="1" x14ac:dyDescent="0.2">
      <c r="A519" s="45"/>
      <c r="B519" s="106"/>
      <c r="C519" s="107"/>
      <c r="D519" s="107"/>
      <c r="E519" s="107"/>
      <c r="F519" s="107"/>
      <c r="G519" s="107"/>
      <c r="H519" s="97"/>
      <c r="I519" s="107"/>
      <c r="J519" s="107"/>
      <c r="K519" s="106"/>
      <c r="L519" s="97"/>
      <c r="M519" s="98"/>
      <c r="N519" s="103"/>
      <c r="O519" s="103"/>
    </row>
    <row r="520" spans="1:15" s="80" customFormat="1" hidden="1" x14ac:dyDescent="0.2">
      <c r="A520" s="45"/>
      <c r="B520" s="98"/>
      <c r="C520" s="97"/>
      <c r="D520" s="97"/>
      <c r="E520" s="97"/>
      <c r="F520" s="97"/>
      <c r="G520" s="97"/>
      <c r="H520" s="97"/>
      <c r="I520" s="97"/>
      <c r="J520" s="97"/>
      <c r="K520" s="98"/>
      <c r="L520" s="97"/>
      <c r="M520" s="98"/>
      <c r="N520" s="103"/>
      <c r="O520" s="103"/>
    </row>
    <row r="521" spans="1:15" s="80" customFormat="1" hidden="1" x14ac:dyDescent="0.2">
      <c r="A521" s="103"/>
      <c r="B521" s="98"/>
      <c r="C521" s="97"/>
      <c r="D521" s="97"/>
      <c r="E521" s="97"/>
      <c r="F521" s="97"/>
      <c r="G521" s="97"/>
      <c r="H521" s="97"/>
      <c r="I521" s="97"/>
      <c r="J521" s="97"/>
      <c r="K521" s="98"/>
      <c r="L521" s="97"/>
      <c r="M521" s="98"/>
      <c r="N521" s="103"/>
      <c r="O521" s="103"/>
    </row>
    <row r="522" spans="1:15" s="80" customFormat="1" hidden="1" x14ac:dyDescent="0.2">
      <c r="A522" s="98"/>
      <c r="B522" s="98"/>
      <c r="C522" s="97"/>
      <c r="D522" s="97"/>
      <c r="E522" s="97"/>
      <c r="F522" s="97"/>
      <c r="G522" s="97"/>
      <c r="H522" s="97"/>
      <c r="I522" s="97"/>
      <c r="J522" s="97"/>
      <c r="K522" s="98"/>
      <c r="L522" s="97"/>
      <c r="M522" s="98"/>
      <c r="N522" s="103"/>
      <c r="O522" s="103"/>
    </row>
    <row r="523" spans="1:15" s="80" customFormat="1" hidden="1" x14ac:dyDescent="0.2">
      <c r="A523" s="75"/>
      <c r="C523" s="82"/>
      <c r="H523" s="76"/>
      <c r="I523" s="82"/>
      <c r="L523" s="76"/>
      <c r="M523" s="75"/>
    </row>
    <row r="524" spans="1:15" s="80" customFormat="1" hidden="1" x14ac:dyDescent="0.2">
      <c r="A524" s="75"/>
      <c r="B524" s="75"/>
      <c r="C524" s="75"/>
      <c r="D524" s="75"/>
      <c r="E524" s="75"/>
      <c r="F524" s="75"/>
      <c r="G524" s="75"/>
      <c r="H524" s="76"/>
      <c r="I524" s="76"/>
      <c r="J524" s="75"/>
      <c r="K524" s="75"/>
      <c r="L524" s="76"/>
      <c r="M524" s="75"/>
    </row>
    <row r="525" spans="1:15" s="80" customFormat="1" hidden="1" x14ac:dyDescent="0.2">
      <c r="A525" s="75"/>
      <c r="B525" s="75"/>
      <c r="C525" s="75"/>
      <c r="D525" s="75"/>
      <c r="E525" s="75"/>
      <c r="F525" s="75"/>
      <c r="G525" s="75"/>
      <c r="H525" s="75"/>
      <c r="I525" s="75"/>
      <c r="J525" s="75"/>
      <c r="K525" s="75"/>
      <c r="L525" s="76"/>
      <c r="M525" s="75"/>
      <c r="N525" s="75"/>
    </row>
    <row r="526" spans="1:15" s="80" customFormat="1" hidden="1" x14ac:dyDescent="0.2">
      <c r="A526" s="81"/>
      <c r="B526" s="75"/>
      <c r="C526" s="75"/>
      <c r="D526" s="75"/>
      <c r="E526" s="75"/>
      <c r="F526" s="75"/>
      <c r="G526" s="75"/>
      <c r="H526" s="75"/>
      <c r="I526" s="75"/>
      <c r="J526" s="75"/>
      <c r="K526" s="75"/>
      <c r="L526" s="69"/>
      <c r="N526" s="75"/>
    </row>
    <row r="527" spans="1:15" s="80" customFormat="1" hidden="1" x14ac:dyDescent="0.2">
      <c r="A527" s="75"/>
      <c r="B527" s="75"/>
      <c r="C527" s="75"/>
      <c r="D527" s="75"/>
      <c r="E527" s="75"/>
      <c r="F527" s="75"/>
      <c r="G527" s="75"/>
      <c r="H527" s="75"/>
      <c r="I527" s="75"/>
      <c r="J527" s="75"/>
      <c r="K527" s="75"/>
      <c r="L527" s="75"/>
      <c r="M527" s="75"/>
      <c r="N527" s="75"/>
    </row>
    <row r="528" spans="1:15" s="80" customFormat="1" hidden="1" x14ac:dyDescent="0.2">
      <c r="A528" s="75"/>
      <c r="B528" s="75"/>
      <c r="C528" s="75"/>
      <c r="D528" s="75"/>
      <c r="E528" s="75"/>
      <c r="F528" s="75"/>
      <c r="G528" s="75"/>
      <c r="H528" s="75"/>
      <c r="I528" s="75"/>
      <c r="J528" s="75"/>
      <c r="K528" s="75"/>
      <c r="L528" s="75"/>
      <c r="M528" s="75"/>
      <c r="N528" s="75"/>
    </row>
    <row r="529" spans="1:14" s="80" customFormat="1" hidden="1" x14ac:dyDescent="0.2">
      <c r="A529" s="79"/>
      <c r="L529" s="75"/>
      <c r="M529" s="75"/>
      <c r="N529" s="75"/>
    </row>
    <row r="530" spans="1:14" s="80" customFormat="1" hidden="1" x14ac:dyDescent="0.2">
      <c r="L530" s="75"/>
      <c r="M530" s="75"/>
      <c r="N530" s="75"/>
    </row>
    <row r="531" spans="1:14" s="80" customFormat="1" hidden="1" x14ac:dyDescent="0.2">
      <c r="L531" s="75"/>
      <c r="M531" s="75"/>
      <c r="N531" s="75"/>
    </row>
    <row r="532" spans="1:14" s="80" customFormat="1" hidden="1" x14ac:dyDescent="0.2">
      <c r="A532" s="75"/>
      <c r="N532" s="75"/>
    </row>
    <row r="533" spans="1:14" s="80" customFormat="1" hidden="1" x14ac:dyDescent="0.2">
      <c r="A533" s="75"/>
      <c r="N533" s="75"/>
    </row>
    <row r="534" spans="1:14" s="80" customFormat="1" hidden="1" x14ac:dyDescent="0.2">
      <c r="A534" s="75"/>
      <c r="N534" s="75"/>
    </row>
    <row r="535" spans="1:14" s="80" customFormat="1" hidden="1" x14ac:dyDescent="0.2">
      <c r="A535" s="75"/>
      <c r="N535" s="75"/>
    </row>
    <row r="536" spans="1:14" s="80" customFormat="1" hidden="1" x14ac:dyDescent="0.2">
      <c r="N536" s="75"/>
    </row>
    <row r="537" spans="1:14" s="80" customFormat="1" hidden="1" x14ac:dyDescent="0.2">
      <c r="N537" s="75"/>
    </row>
    <row r="538" spans="1:14" s="80" customFormat="1" hidden="1" x14ac:dyDescent="0.2"/>
    <row r="539" spans="1:14" s="80" customFormat="1" hidden="1" x14ac:dyDescent="0.2"/>
    <row r="540" spans="1:14" s="80" customFormat="1" hidden="1" x14ac:dyDescent="0.2"/>
    <row r="541" spans="1:14" s="80" customFormat="1" hidden="1" x14ac:dyDescent="0.2"/>
    <row r="542" spans="1:14" s="80" customFormat="1" hidden="1" x14ac:dyDescent="0.2"/>
    <row r="543" spans="1:14" s="80" customFormat="1" hidden="1" x14ac:dyDescent="0.2"/>
    <row r="544" spans="1:14" s="80" customFormat="1" hidden="1" x14ac:dyDescent="0.2"/>
    <row r="545" spans="14:16383" s="80" customFormat="1" hidden="1" x14ac:dyDescent="0.2"/>
    <row r="546" spans="14:16383" s="80" customFormat="1" hidden="1" x14ac:dyDescent="0.2"/>
    <row r="547" spans="14:16383" s="80" customFormat="1" hidden="1" x14ac:dyDescent="0.2"/>
    <row r="548" spans="14:16383" s="80" customFormat="1" hidden="1" x14ac:dyDescent="0.2"/>
    <row r="549" spans="14:16383" s="80" customFormat="1" hidden="1" x14ac:dyDescent="0.2"/>
    <row r="550" spans="14:16383" s="80" customFormat="1" hidden="1" x14ac:dyDescent="0.2">
      <c r="N550" s="83" t="s">
        <v>151</v>
      </c>
      <c r="O550" s="83"/>
      <c r="P550" s="83" t="s">
        <v>151</v>
      </c>
      <c r="Q550" s="83" t="s">
        <v>151</v>
      </c>
      <c r="R550" s="83" t="s">
        <v>151</v>
      </c>
      <c r="S550" s="83" t="s">
        <v>151</v>
      </c>
      <c r="T550" s="83" t="s">
        <v>151</v>
      </c>
      <c r="U550" s="83" t="s">
        <v>151</v>
      </c>
      <c r="V550" s="83" t="s">
        <v>151</v>
      </c>
      <c r="W550" s="83" t="s">
        <v>151</v>
      </c>
      <c r="X550" s="83" t="s">
        <v>151</v>
      </c>
      <c r="Y550" s="83" t="s">
        <v>151</v>
      </c>
      <c r="Z550" s="83" t="s">
        <v>151</v>
      </c>
      <c r="AA550" s="83" t="s">
        <v>151</v>
      </c>
      <c r="AB550" s="83" t="s">
        <v>151</v>
      </c>
      <c r="AC550" s="83" t="s">
        <v>151</v>
      </c>
      <c r="AD550" s="83" t="s">
        <v>151</v>
      </c>
      <c r="AE550" s="83" t="s">
        <v>151</v>
      </c>
      <c r="AF550" s="83" t="s">
        <v>151</v>
      </c>
      <c r="AG550" s="83" t="s">
        <v>151</v>
      </c>
      <c r="AH550" s="83" t="s">
        <v>151</v>
      </c>
      <c r="AI550" s="83" t="s">
        <v>151</v>
      </c>
      <c r="AJ550" s="83" t="s">
        <v>151</v>
      </c>
      <c r="AK550" s="83" t="s">
        <v>151</v>
      </c>
      <c r="AL550" s="83" t="s">
        <v>151</v>
      </c>
      <c r="AM550" s="83" t="s">
        <v>151</v>
      </c>
      <c r="AN550" s="83" t="s">
        <v>151</v>
      </c>
      <c r="AO550" s="83" t="s">
        <v>151</v>
      </c>
      <c r="AP550" s="83" t="s">
        <v>151</v>
      </c>
      <c r="AQ550" s="83" t="s">
        <v>151</v>
      </c>
      <c r="AR550" s="83" t="s">
        <v>151</v>
      </c>
      <c r="AS550" s="83" t="s">
        <v>151</v>
      </c>
      <c r="AT550" s="83" t="s">
        <v>151</v>
      </c>
      <c r="AU550" s="83" t="s">
        <v>151</v>
      </c>
      <c r="AV550" s="83" t="s">
        <v>151</v>
      </c>
      <c r="AW550" s="83" t="s">
        <v>151</v>
      </c>
      <c r="AX550" s="83" t="s">
        <v>151</v>
      </c>
      <c r="AY550" s="83" t="s">
        <v>151</v>
      </c>
      <c r="AZ550" s="83" t="s">
        <v>151</v>
      </c>
      <c r="BA550" s="83" t="s">
        <v>151</v>
      </c>
      <c r="BB550" s="83" t="s">
        <v>151</v>
      </c>
      <c r="BC550" s="83" t="s">
        <v>151</v>
      </c>
      <c r="BD550" s="83" t="s">
        <v>151</v>
      </c>
      <c r="BE550" s="83" t="s">
        <v>151</v>
      </c>
      <c r="BF550" s="83" t="s">
        <v>151</v>
      </c>
      <c r="BG550" s="83" t="s">
        <v>151</v>
      </c>
      <c r="BH550" s="83" t="s">
        <v>151</v>
      </c>
      <c r="BI550" s="83" t="s">
        <v>151</v>
      </c>
      <c r="BJ550" s="83" t="s">
        <v>151</v>
      </c>
      <c r="BK550" s="83" t="s">
        <v>151</v>
      </c>
      <c r="BL550" s="83" t="s">
        <v>151</v>
      </c>
      <c r="BM550" s="83" t="s">
        <v>151</v>
      </c>
      <c r="BN550" s="83" t="s">
        <v>151</v>
      </c>
      <c r="BO550" s="83" t="s">
        <v>151</v>
      </c>
      <c r="BP550" s="83" t="s">
        <v>151</v>
      </c>
      <c r="BQ550" s="83" t="s">
        <v>151</v>
      </c>
      <c r="BR550" s="83" t="s">
        <v>151</v>
      </c>
      <c r="BS550" s="83" t="s">
        <v>151</v>
      </c>
      <c r="BT550" s="83" t="s">
        <v>151</v>
      </c>
      <c r="BU550" s="83" t="s">
        <v>151</v>
      </c>
      <c r="BV550" s="83" t="s">
        <v>151</v>
      </c>
      <c r="BW550" s="83" t="s">
        <v>151</v>
      </c>
      <c r="BX550" s="83" t="s">
        <v>151</v>
      </c>
      <c r="BY550" s="83" t="s">
        <v>151</v>
      </c>
      <c r="BZ550" s="83" t="s">
        <v>151</v>
      </c>
      <c r="CA550" s="83" t="s">
        <v>151</v>
      </c>
      <c r="CB550" s="83" t="s">
        <v>151</v>
      </c>
      <c r="CC550" s="83" t="s">
        <v>151</v>
      </c>
      <c r="CD550" s="83" t="s">
        <v>151</v>
      </c>
      <c r="CE550" s="83" t="s">
        <v>151</v>
      </c>
      <c r="CF550" s="83" t="s">
        <v>151</v>
      </c>
      <c r="CG550" s="83" t="s">
        <v>151</v>
      </c>
      <c r="CH550" s="83" t="s">
        <v>151</v>
      </c>
      <c r="CI550" s="83" t="s">
        <v>151</v>
      </c>
      <c r="CJ550" s="83" t="s">
        <v>151</v>
      </c>
      <c r="CK550" s="83" t="s">
        <v>151</v>
      </c>
      <c r="CL550" s="83" t="s">
        <v>151</v>
      </c>
      <c r="CM550" s="83" t="s">
        <v>151</v>
      </c>
      <c r="CN550" s="83" t="s">
        <v>151</v>
      </c>
      <c r="CO550" s="83" t="s">
        <v>151</v>
      </c>
      <c r="CP550" s="83" t="s">
        <v>151</v>
      </c>
      <c r="CQ550" s="83" t="s">
        <v>151</v>
      </c>
      <c r="CR550" s="83" t="s">
        <v>151</v>
      </c>
      <c r="CS550" s="83" t="s">
        <v>151</v>
      </c>
      <c r="CT550" s="83" t="s">
        <v>151</v>
      </c>
      <c r="CU550" s="83" t="s">
        <v>151</v>
      </c>
      <c r="CV550" s="83" t="s">
        <v>151</v>
      </c>
      <c r="CW550" s="83" t="s">
        <v>151</v>
      </c>
      <c r="CX550" s="83" t="s">
        <v>151</v>
      </c>
      <c r="CY550" s="83" t="s">
        <v>151</v>
      </c>
      <c r="CZ550" s="83" t="s">
        <v>151</v>
      </c>
      <c r="DA550" s="83" t="s">
        <v>151</v>
      </c>
      <c r="DB550" s="83" t="s">
        <v>151</v>
      </c>
      <c r="DC550" s="83" t="s">
        <v>151</v>
      </c>
      <c r="DD550" s="83" t="s">
        <v>151</v>
      </c>
      <c r="DE550" s="83" t="s">
        <v>151</v>
      </c>
      <c r="DF550" s="83" t="s">
        <v>151</v>
      </c>
      <c r="DG550" s="83" t="s">
        <v>151</v>
      </c>
      <c r="DH550" s="83" t="s">
        <v>151</v>
      </c>
      <c r="DI550" s="83" t="s">
        <v>151</v>
      </c>
      <c r="DJ550" s="83" t="s">
        <v>151</v>
      </c>
      <c r="DK550" s="83" t="s">
        <v>151</v>
      </c>
      <c r="DL550" s="83" t="s">
        <v>151</v>
      </c>
      <c r="DM550" s="83" t="s">
        <v>151</v>
      </c>
      <c r="DN550" s="83" t="s">
        <v>151</v>
      </c>
      <c r="DO550" s="83" t="s">
        <v>151</v>
      </c>
      <c r="DP550" s="83" t="s">
        <v>151</v>
      </c>
      <c r="DQ550" s="83" t="s">
        <v>151</v>
      </c>
      <c r="DR550" s="83" t="s">
        <v>151</v>
      </c>
      <c r="DS550" s="83" t="s">
        <v>151</v>
      </c>
      <c r="DT550" s="83" t="s">
        <v>151</v>
      </c>
      <c r="DU550" s="83" t="s">
        <v>151</v>
      </c>
      <c r="DV550" s="83" t="s">
        <v>151</v>
      </c>
      <c r="DW550" s="83" t="s">
        <v>151</v>
      </c>
      <c r="DX550" s="83" t="s">
        <v>151</v>
      </c>
      <c r="DY550" s="83" t="s">
        <v>151</v>
      </c>
      <c r="DZ550" s="83" t="s">
        <v>151</v>
      </c>
      <c r="EA550" s="83" t="s">
        <v>151</v>
      </c>
      <c r="EB550" s="83" t="s">
        <v>151</v>
      </c>
      <c r="EC550" s="83" t="s">
        <v>151</v>
      </c>
      <c r="ED550" s="83" t="s">
        <v>151</v>
      </c>
      <c r="EE550" s="83" t="s">
        <v>151</v>
      </c>
      <c r="EF550" s="83" t="s">
        <v>151</v>
      </c>
      <c r="EG550" s="83" t="s">
        <v>151</v>
      </c>
      <c r="EH550" s="83" t="s">
        <v>151</v>
      </c>
      <c r="EI550" s="83" t="s">
        <v>151</v>
      </c>
      <c r="EJ550" s="83" t="s">
        <v>151</v>
      </c>
      <c r="EK550" s="83" t="s">
        <v>151</v>
      </c>
      <c r="EL550" s="83" t="s">
        <v>151</v>
      </c>
      <c r="EM550" s="83" t="s">
        <v>151</v>
      </c>
      <c r="EN550" s="83" t="s">
        <v>151</v>
      </c>
      <c r="EO550" s="83" t="s">
        <v>151</v>
      </c>
      <c r="EP550" s="83" t="s">
        <v>151</v>
      </c>
      <c r="EQ550" s="83" t="s">
        <v>151</v>
      </c>
      <c r="ER550" s="83" t="s">
        <v>151</v>
      </c>
      <c r="ES550" s="83" t="s">
        <v>151</v>
      </c>
      <c r="ET550" s="83" t="s">
        <v>151</v>
      </c>
      <c r="EU550" s="83" t="s">
        <v>151</v>
      </c>
      <c r="EV550" s="83" t="s">
        <v>151</v>
      </c>
      <c r="EW550" s="83" t="s">
        <v>151</v>
      </c>
      <c r="EX550" s="83" t="s">
        <v>151</v>
      </c>
      <c r="EY550" s="83" t="s">
        <v>151</v>
      </c>
      <c r="EZ550" s="83" t="s">
        <v>151</v>
      </c>
      <c r="FA550" s="83" t="s">
        <v>151</v>
      </c>
      <c r="FB550" s="83" t="s">
        <v>151</v>
      </c>
      <c r="FC550" s="83" t="s">
        <v>151</v>
      </c>
      <c r="FD550" s="83" t="s">
        <v>151</v>
      </c>
      <c r="FE550" s="83" t="s">
        <v>151</v>
      </c>
      <c r="FF550" s="83" t="s">
        <v>151</v>
      </c>
      <c r="FG550" s="83" t="s">
        <v>151</v>
      </c>
      <c r="FH550" s="83" t="s">
        <v>151</v>
      </c>
      <c r="FI550" s="83" t="s">
        <v>151</v>
      </c>
      <c r="FJ550" s="83" t="s">
        <v>151</v>
      </c>
      <c r="FK550" s="83" t="s">
        <v>151</v>
      </c>
      <c r="FL550" s="83" t="s">
        <v>151</v>
      </c>
      <c r="FM550" s="83" t="s">
        <v>151</v>
      </c>
      <c r="FN550" s="83" t="s">
        <v>151</v>
      </c>
      <c r="FO550" s="83" t="s">
        <v>151</v>
      </c>
      <c r="FP550" s="83" t="s">
        <v>151</v>
      </c>
      <c r="FQ550" s="83" t="s">
        <v>151</v>
      </c>
      <c r="FR550" s="83" t="s">
        <v>151</v>
      </c>
      <c r="FS550" s="83" t="s">
        <v>151</v>
      </c>
      <c r="FT550" s="83" t="s">
        <v>151</v>
      </c>
      <c r="FU550" s="83" t="s">
        <v>151</v>
      </c>
      <c r="FV550" s="83" t="s">
        <v>151</v>
      </c>
      <c r="FW550" s="83" t="s">
        <v>151</v>
      </c>
      <c r="FX550" s="83" t="s">
        <v>151</v>
      </c>
      <c r="FY550" s="83" t="s">
        <v>151</v>
      </c>
      <c r="FZ550" s="83" t="s">
        <v>151</v>
      </c>
      <c r="GA550" s="83" t="s">
        <v>151</v>
      </c>
      <c r="GB550" s="83" t="s">
        <v>151</v>
      </c>
      <c r="GC550" s="83" t="s">
        <v>151</v>
      </c>
      <c r="GD550" s="83" t="s">
        <v>151</v>
      </c>
      <c r="GE550" s="83" t="s">
        <v>151</v>
      </c>
      <c r="GF550" s="83" t="s">
        <v>151</v>
      </c>
      <c r="GG550" s="83" t="s">
        <v>151</v>
      </c>
      <c r="GH550" s="83" t="s">
        <v>151</v>
      </c>
      <c r="GI550" s="83" t="s">
        <v>151</v>
      </c>
      <c r="GJ550" s="83" t="s">
        <v>151</v>
      </c>
      <c r="GK550" s="83" t="s">
        <v>151</v>
      </c>
      <c r="GL550" s="83" t="s">
        <v>151</v>
      </c>
      <c r="GM550" s="83" t="s">
        <v>151</v>
      </c>
      <c r="GN550" s="83" t="s">
        <v>151</v>
      </c>
      <c r="GO550" s="83" t="s">
        <v>151</v>
      </c>
      <c r="GP550" s="83" t="s">
        <v>151</v>
      </c>
      <c r="GQ550" s="83" t="s">
        <v>151</v>
      </c>
      <c r="GR550" s="83" t="s">
        <v>151</v>
      </c>
      <c r="GS550" s="83" t="s">
        <v>151</v>
      </c>
      <c r="GT550" s="83" t="s">
        <v>151</v>
      </c>
      <c r="GU550" s="83" t="s">
        <v>151</v>
      </c>
      <c r="GV550" s="83" t="s">
        <v>151</v>
      </c>
      <c r="GW550" s="83" t="s">
        <v>151</v>
      </c>
      <c r="GX550" s="83" t="s">
        <v>151</v>
      </c>
      <c r="GY550" s="83" t="s">
        <v>151</v>
      </c>
      <c r="GZ550" s="83" t="s">
        <v>151</v>
      </c>
      <c r="HA550" s="83" t="s">
        <v>151</v>
      </c>
      <c r="HB550" s="83" t="s">
        <v>151</v>
      </c>
      <c r="HC550" s="83" t="s">
        <v>151</v>
      </c>
      <c r="HD550" s="83" t="s">
        <v>151</v>
      </c>
      <c r="HE550" s="83" t="s">
        <v>151</v>
      </c>
      <c r="HF550" s="83" t="s">
        <v>151</v>
      </c>
      <c r="HG550" s="83" t="s">
        <v>151</v>
      </c>
      <c r="HH550" s="83" t="s">
        <v>151</v>
      </c>
      <c r="HI550" s="83" t="s">
        <v>151</v>
      </c>
      <c r="HJ550" s="83" t="s">
        <v>151</v>
      </c>
      <c r="HK550" s="83" t="s">
        <v>151</v>
      </c>
      <c r="HL550" s="83" t="s">
        <v>151</v>
      </c>
      <c r="HM550" s="83" t="s">
        <v>151</v>
      </c>
      <c r="HN550" s="83" t="s">
        <v>151</v>
      </c>
      <c r="HO550" s="83" t="s">
        <v>151</v>
      </c>
      <c r="HP550" s="83" t="s">
        <v>151</v>
      </c>
      <c r="HQ550" s="83" t="s">
        <v>151</v>
      </c>
      <c r="HR550" s="83" t="s">
        <v>151</v>
      </c>
      <c r="HS550" s="83" t="s">
        <v>151</v>
      </c>
      <c r="HT550" s="83" t="s">
        <v>151</v>
      </c>
      <c r="HU550" s="83" t="s">
        <v>151</v>
      </c>
      <c r="HV550" s="83" t="s">
        <v>151</v>
      </c>
      <c r="HW550" s="83" t="s">
        <v>151</v>
      </c>
      <c r="HX550" s="83" t="s">
        <v>151</v>
      </c>
      <c r="HY550" s="83" t="s">
        <v>151</v>
      </c>
      <c r="HZ550" s="83" t="s">
        <v>151</v>
      </c>
      <c r="IA550" s="83" t="s">
        <v>151</v>
      </c>
      <c r="IB550" s="83" t="s">
        <v>151</v>
      </c>
      <c r="IC550" s="83" t="s">
        <v>151</v>
      </c>
      <c r="ID550" s="83" t="s">
        <v>151</v>
      </c>
      <c r="IE550" s="83" t="s">
        <v>151</v>
      </c>
      <c r="IF550" s="83" t="s">
        <v>151</v>
      </c>
      <c r="IG550" s="83" t="s">
        <v>151</v>
      </c>
      <c r="IH550" s="83" t="s">
        <v>151</v>
      </c>
      <c r="II550" s="83" t="s">
        <v>151</v>
      </c>
      <c r="IJ550" s="83" t="s">
        <v>151</v>
      </c>
      <c r="IK550" s="83" t="s">
        <v>151</v>
      </c>
      <c r="IL550" s="83" t="s">
        <v>151</v>
      </c>
      <c r="IM550" s="83" t="s">
        <v>151</v>
      </c>
      <c r="IN550" s="83" t="s">
        <v>151</v>
      </c>
      <c r="IO550" s="83" t="s">
        <v>151</v>
      </c>
      <c r="IP550" s="83" t="s">
        <v>151</v>
      </c>
      <c r="IQ550" s="83" t="s">
        <v>151</v>
      </c>
      <c r="IR550" s="83" t="s">
        <v>151</v>
      </c>
      <c r="IS550" s="83" t="s">
        <v>151</v>
      </c>
      <c r="IT550" s="83" t="s">
        <v>151</v>
      </c>
      <c r="IU550" s="83" t="s">
        <v>151</v>
      </c>
      <c r="IV550" s="83" t="s">
        <v>151</v>
      </c>
      <c r="IW550" s="83" t="s">
        <v>151</v>
      </c>
      <c r="IX550" s="83" t="s">
        <v>151</v>
      </c>
      <c r="IY550" s="83" t="s">
        <v>151</v>
      </c>
      <c r="IZ550" s="83" t="s">
        <v>151</v>
      </c>
      <c r="JA550" s="83" t="s">
        <v>151</v>
      </c>
      <c r="JB550" s="83" t="s">
        <v>151</v>
      </c>
      <c r="JC550" s="83" t="s">
        <v>151</v>
      </c>
      <c r="JD550" s="83" t="s">
        <v>151</v>
      </c>
      <c r="JE550" s="83" t="s">
        <v>151</v>
      </c>
      <c r="JF550" s="83" t="s">
        <v>151</v>
      </c>
      <c r="JG550" s="83" t="s">
        <v>151</v>
      </c>
      <c r="JH550" s="83" t="s">
        <v>151</v>
      </c>
      <c r="JI550" s="83" t="s">
        <v>151</v>
      </c>
      <c r="JJ550" s="83" t="s">
        <v>151</v>
      </c>
      <c r="JK550" s="83" t="s">
        <v>151</v>
      </c>
      <c r="JL550" s="83" t="s">
        <v>151</v>
      </c>
      <c r="JM550" s="83" t="s">
        <v>151</v>
      </c>
      <c r="JN550" s="83" t="s">
        <v>151</v>
      </c>
      <c r="JO550" s="83" t="s">
        <v>151</v>
      </c>
      <c r="JP550" s="83" t="s">
        <v>151</v>
      </c>
      <c r="JQ550" s="83" t="s">
        <v>151</v>
      </c>
      <c r="JR550" s="83" t="s">
        <v>151</v>
      </c>
      <c r="JS550" s="83" t="s">
        <v>151</v>
      </c>
      <c r="JT550" s="83" t="s">
        <v>151</v>
      </c>
      <c r="JU550" s="83" t="s">
        <v>151</v>
      </c>
      <c r="JV550" s="83" t="s">
        <v>151</v>
      </c>
      <c r="JW550" s="83" t="s">
        <v>151</v>
      </c>
      <c r="JX550" s="83" t="s">
        <v>151</v>
      </c>
      <c r="JY550" s="83" t="s">
        <v>151</v>
      </c>
      <c r="JZ550" s="83" t="s">
        <v>151</v>
      </c>
      <c r="KA550" s="83" t="s">
        <v>151</v>
      </c>
      <c r="KB550" s="83" t="s">
        <v>151</v>
      </c>
      <c r="KC550" s="83" t="s">
        <v>151</v>
      </c>
      <c r="KD550" s="83" t="s">
        <v>151</v>
      </c>
      <c r="KE550" s="83" t="s">
        <v>151</v>
      </c>
      <c r="KF550" s="83" t="s">
        <v>151</v>
      </c>
      <c r="KG550" s="83" t="s">
        <v>151</v>
      </c>
      <c r="KH550" s="83" t="s">
        <v>151</v>
      </c>
      <c r="KI550" s="83" t="s">
        <v>151</v>
      </c>
      <c r="KJ550" s="83" t="s">
        <v>151</v>
      </c>
      <c r="KK550" s="83" t="s">
        <v>151</v>
      </c>
      <c r="KL550" s="83" t="s">
        <v>151</v>
      </c>
      <c r="KM550" s="83" t="s">
        <v>151</v>
      </c>
      <c r="KN550" s="83" t="s">
        <v>151</v>
      </c>
      <c r="KO550" s="83" t="s">
        <v>151</v>
      </c>
      <c r="KP550" s="83" t="s">
        <v>151</v>
      </c>
      <c r="KQ550" s="83" t="s">
        <v>151</v>
      </c>
      <c r="KR550" s="83" t="s">
        <v>151</v>
      </c>
      <c r="KS550" s="83" t="s">
        <v>151</v>
      </c>
      <c r="KT550" s="83" t="s">
        <v>151</v>
      </c>
      <c r="KU550" s="83" t="s">
        <v>151</v>
      </c>
      <c r="KV550" s="83" t="s">
        <v>151</v>
      </c>
      <c r="KW550" s="83" t="s">
        <v>151</v>
      </c>
      <c r="KX550" s="83" t="s">
        <v>151</v>
      </c>
      <c r="KY550" s="83" t="s">
        <v>151</v>
      </c>
      <c r="KZ550" s="83" t="s">
        <v>151</v>
      </c>
      <c r="LA550" s="83" t="s">
        <v>151</v>
      </c>
      <c r="LB550" s="83" t="s">
        <v>151</v>
      </c>
      <c r="LC550" s="83" t="s">
        <v>151</v>
      </c>
      <c r="LD550" s="83" t="s">
        <v>151</v>
      </c>
      <c r="LE550" s="83" t="s">
        <v>151</v>
      </c>
      <c r="LF550" s="83" t="s">
        <v>151</v>
      </c>
      <c r="LG550" s="83" t="s">
        <v>151</v>
      </c>
      <c r="LH550" s="83" t="s">
        <v>151</v>
      </c>
      <c r="LI550" s="83" t="s">
        <v>151</v>
      </c>
      <c r="LJ550" s="83" t="s">
        <v>151</v>
      </c>
      <c r="LK550" s="83" t="s">
        <v>151</v>
      </c>
      <c r="LL550" s="83" t="s">
        <v>151</v>
      </c>
      <c r="LM550" s="83" t="s">
        <v>151</v>
      </c>
      <c r="LN550" s="83" t="s">
        <v>151</v>
      </c>
      <c r="LO550" s="83" t="s">
        <v>151</v>
      </c>
      <c r="LP550" s="83" t="s">
        <v>151</v>
      </c>
      <c r="LQ550" s="83" t="s">
        <v>151</v>
      </c>
      <c r="LR550" s="83" t="s">
        <v>151</v>
      </c>
      <c r="LS550" s="83" t="s">
        <v>151</v>
      </c>
      <c r="LT550" s="83" t="s">
        <v>151</v>
      </c>
      <c r="LU550" s="83" t="s">
        <v>151</v>
      </c>
      <c r="LV550" s="83" t="s">
        <v>151</v>
      </c>
      <c r="LW550" s="83" t="s">
        <v>151</v>
      </c>
      <c r="LX550" s="83" t="s">
        <v>151</v>
      </c>
      <c r="LY550" s="83" t="s">
        <v>151</v>
      </c>
      <c r="LZ550" s="83" t="s">
        <v>151</v>
      </c>
      <c r="MA550" s="83" t="s">
        <v>151</v>
      </c>
      <c r="MB550" s="83" t="s">
        <v>151</v>
      </c>
      <c r="MC550" s="83" t="s">
        <v>151</v>
      </c>
      <c r="MD550" s="83" t="s">
        <v>151</v>
      </c>
      <c r="ME550" s="83" t="s">
        <v>151</v>
      </c>
      <c r="MF550" s="83" t="s">
        <v>151</v>
      </c>
      <c r="MG550" s="83" t="s">
        <v>151</v>
      </c>
      <c r="MH550" s="83" t="s">
        <v>151</v>
      </c>
      <c r="MI550" s="83" t="s">
        <v>151</v>
      </c>
      <c r="MJ550" s="83" t="s">
        <v>151</v>
      </c>
      <c r="MK550" s="83" t="s">
        <v>151</v>
      </c>
      <c r="ML550" s="83" t="s">
        <v>151</v>
      </c>
      <c r="MM550" s="83" t="s">
        <v>151</v>
      </c>
      <c r="MN550" s="83" t="s">
        <v>151</v>
      </c>
      <c r="MO550" s="83" t="s">
        <v>151</v>
      </c>
      <c r="MP550" s="83" t="s">
        <v>151</v>
      </c>
      <c r="MQ550" s="83" t="s">
        <v>151</v>
      </c>
      <c r="MR550" s="83" t="s">
        <v>151</v>
      </c>
      <c r="MS550" s="83" t="s">
        <v>151</v>
      </c>
      <c r="MT550" s="83" t="s">
        <v>151</v>
      </c>
      <c r="MU550" s="83" t="s">
        <v>151</v>
      </c>
      <c r="MV550" s="83" t="s">
        <v>151</v>
      </c>
      <c r="MW550" s="83" t="s">
        <v>151</v>
      </c>
      <c r="MX550" s="83" t="s">
        <v>151</v>
      </c>
      <c r="MY550" s="83" t="s">
        <v>151</v>
      </c>
      <c r="MZ550" s="83" t="s">
        <v>151</v>
      </c>
      <c r="NA550" s="83" t="s">
        <v>151</v>
      </c>
      <c r="NB550" s="83" t="s">
        <v>151</v>
      </c>
      <c r="NC550" s="83" t="s">
        <v>151</v>
      </c>
      <c r="ND550" s="83" t="s">
        <v>151</v>
      </c>
      <c r="NE550" s="83" t="s">
        <v>151</v>
      </c>
      <c r="NF550" s="83" t="s">
        <v>151</v>
      </c>
      <c r="NG550" s="83" t="s">
        <v>151</v>
      </c>
      <c r="NH550" s="83" t="s">
        <v>151</v>
      </c>
      <c r="NI550" s="83" t="s">
        <v>151</v>
      </c>
      <c r="NJ550" s="83" t="s">
        <v>151</v>
      </c>
      <c r="NK550" s="83" t="s">
        <v>151</v>
      </c>
      <c r="NL550" s="83" t="s">
        <v>151</v>
      </c>
      <c r="NM550" s="83" t="s">
        <v>151</v>
      </c>
      <c r="NN550" s="83" t="s">
        <v>151</v>
      </c>
      <c r="NO550" s="83" t="s">
        <v>151</v>
      </c>
      <c r="NP550" s="83" t="s">
        <v>151</v>
      </c>
      <c r="NQ550" s="83" t="s">
        <v>151</v>
      </c>
      <c r="NR550" s="83" t="s">
        <v>151</v>
      </c>
      <c r="NS550" s="83" t="s">
        <v>151</v>
      </c>
      <c r="NT550" s="83" t="s">
        <v>151</v>
      </c>
      <c r="NU550" s="83" t="s">
        <v>151</v>
      </c>
      <c r="NV550" s="83" t="s">
        <v>151</v>
      </c>
      <c r="NW550" s="83" t="s">
        <v>151</v>
      </c>
      <c r="NX550" s="83" t="s">
        <v>151</v>
      </c>
      <c r="NY550" s="83" t="s">
        <v>151</v>
      </c>
      <c r="NZ550" s="83" t="s">
        <v>151</v>
      </c>
      <c r="OA550" s="83" t="s">
        <v>151</v>
      </c>
      <c r="OB550" s="83" t="s">
        <v>151</v>
      </c>
      <c r="OC550" s="83" t="s">
        <v>151</v>
      </c>
      <c r="OD550" s="83" t="s">
        <v>151</v>
      </c>
      <c r="OE550" s="83" t="s">
        <v>151</v>
      </c>
      <c r="OF550" s="83" t="s">
        <v>151</v>
      </c>
      <c r="OG550" s="83" t="s">
        <v>151</v>
      </c>
      <c r="OH550" s="83" t="s">
        <v>151</v>
      </c>
      <c r="OI550" s="83" t="s">
        <v>151</v>
      </c>
      <c r="OJ550" s="83" t="s">
        <v>151</v>
      </c>
      <c r="OK550" s="83" t="s">
        <v>151</v>
      </c>
      <c r="OL550" s="83" t="s">
        <v>151</v>
      </c>
      <c r="OM550" s="83" t="s">
        <v>151</v>
      </c>
      <c r="ON550" s="83" t="s">
        <v>151</v>
      </c>
      <c r="OO550" s="83" t="s">
        <v>151</v>
      </c>
      <c r="OP550" s="83" t="s">
        <v>151</v>
      </c>
      <c r="OQ550" s="83" t="s">
        <v>151</v>
      </c>
      <c r="OR550" s="83" t="s">
        <v>151</v>
      </c>
      <c r="OS550" s="83" t="s">
        <v>151</v>
      </c>
      <c r="OT550" s="83" t="s">
        <v>151</v>
      </c>
      <c r="OU550" s="83" t="s">
        <v>151</v>
      </c>
      <c r="OV550" s="83" t="s">
        <v>151</v>
      </c>
      <c r="OW550" s="83" t="s">
        <v>151</v>
      </c>
      <c r="OX550" s="83" t="s">
        <v>151</v>
      </c>
      <c r="OY550" s="83" t="s">
        <v>151</v>
      </c>
      <c r="OZ550" s="83" t="s">
        <v>151</v>
      </c>
      <c r="PA550" s="83" t="s">
        <v>151</v>
      </c>
      <c r="PB550" s="83" t="s">
        <v>151</v>
      </c>
      <c r="PC550" s="83" t="s">
        <v>151</v>
      </c>
      <c r="PD550" s="83" t="s">
        <v>151</v>
      </c>
      <c r="PE550" s="83" t="s">
        <v>151</v>
      </c>
      <c r="PF550" s="83" t="s">
        <v>151</v>
      </c>
      <c r="PG550" s="83" t="s">
        <v>151</v>
      </c>
      <c r="PH550" s="83" t="s">
        <v>151</v>
      </c>
      <c r="PI550" s="83" t="s">
        <v>151</v>
      </c>
      <c r="PJ550" s="83" t="s">
        <v>151</v>
      </c>
      <c r="PK550" s="83" t="s">
        <v>151</v>
      </c>
      <c r="PL550" s="83" t="s">
        <v>151</v>
      </c>
      <c r="PM550" s="83" t="s">
        <v>151</v>
      </c>
      <c r="PN550" s="83" t="s">
        <v>151</v>
      </c>
      <c r="PO550" s="83" t="s">
        <v>151</v>
      </c>
      <c r="PP550" s="83" t="s">
        <v>151</v>
      </c>
      <c r="PQ550" s="83" t="s">
        <v>151</v>
      </c>
      <c r="PR550" s="83" t="s">
        <v>151</v>
      </c>
      <c r="PS550" s="83" t="s">
        <v>151</v>
      </c>
      <c r="PT550" s="83" t="s">
        <v>151</v>
      </c>
      <c r="PU550" s="83" t="s">
        <v>151</v>
      </c>
      <c r="PV550" s="83" t="s">
        <v>151</v>
      </c>
      <c r="PW550" s="83" t="s">
        <v>151</v>
      </c>
      <c r="PX550" s="83" t="s">
        <v>151</v>
      </c>
      <c r="PY550" s="83" t="s">
        <v>151</v>
      </c>
      <c r="PZ550" s="83" t="s">
        <v>151</v>
      </c>
      <c r="QA550" s="83" t="s">
        <v>151</v>
      </c>
      <c r="QB550" s="83" t="s">
        <v>151</v>
      </c>
      <c r="QC550" s="83" t="s">
        <v>151</v>
      </c>
      <c r="QD550" s="83" t="s">
        <v>151</v>
      </c>
      <c r="QE550" s="83" t="s">
        <v>151</v>
      </c>
      <c r="QF550" s="83" t="s">
        <v>151</v>
      </c>
      <c r="QG550" s="83" t="s">
        <v>151</v>
      </c>
      <c r="QH550" s="83" t="s">
        <v>151</v>
      </c>
      <c r="QI550" s="83" t="s">
        <v>151</v>
      </c>
      <c r="QJ550" s="83" t="s">
        <v>151</v>
      </c>
      <c r="QK550" s="83" t="s">
        <v>151</v>
      </c>
      <c r="QL550" s="83" t="s">
        <v>151</v>
      </c>
      <c r="QM550" s="83" t="s">
        <v>151</v>
      </c>
      <c r="QN550" s="83" t="s">
        <v>151</v>
      </c>
      <c r="QO550" s="83" t="s">
        <v>151</v>
      </c>
      <c r="QP550" s="83" t="s">
        <v>151</v>
      </c>
      <c r="QQ550" s="83" t="s">
        <v>151</v>
      </c>
      <c r="QR550" s="83" t="s">
        <v>151</v>
      </c>
      <c r="QS550" s="83" t="s">
        <v>151</v>
      </c>
      <c r="QT550" s="83" t="s">
        <v>151</v>
      </c>
      <c r="QU550" s="83" t="s">
        <v>151</v>
      </c>
      <c r="QV550" s="83" t="s">
        <v>151</v>
      </c>
      <c r="QW550" s="83" t="s">
        <v>151</v>
      </c>
      <c r="QX550" s="83" t="s">
        <v>151</v>
      </c>
      <c r="QY550" s="83" t="s">
        <v>151</v>
      </c>
      <c r="QZ550" s="83" t="s">
        <v>151</v>
      </c>
      <c r="RA550" s="83" t="s">
        <v>151</v>
      </c>
      <c r="RB550" s="83" t="s">
        <v>151</v>
      </c>
      <c r="RC550" s="83" t="s">
        <v>151</v>
      </c>
      <c r="RD550" s="83" t="s">
        <v>151</v>
      </c>
      <c r="RE550" s="83" t="s">
        <v>151</v>
      </c>
      <c r="RF550" s="83" t="s">
        <v>151</v>
      </c>
      <c r="RG550" s="83" t="s">
        <v>151</v>
      </c>
      <c r="RH550" s="83" t="s">
        <v>151</v>
      </c>
      <c r="RI550" s="83" t="s">
        <v>151</v>
      </c>
      <c r="RJ550" s="83" t="s">
        <v>151</v>
      </c>
      <c r="RK550" s="83" t="s">
        <v>151</v>
      </c>
      <c r="RL550" s="83" t="s">
        <v>151</v>
      </c>
      <c r="RM550" s="83" t="s">
        <v>151</v>
      </c>
      <c r="RN550" s="83" t="s">
        <v>151</v>
      </c>
      <c r="RO550" s="83" t="s">
        <v>151</v>
      </c>
      <c r="RP550" s="83" t="s">
        <v>151</v>
      </c>
      <c r="RQ550" s="83" t="s">
        <v>151</v>
      </c>
      <c r="RR550" s="83" t="s">
        <v>151</v>
      </c>
      <c r="RS550" s="83" t="s">
        <v>151</v>
      </c>
      <c r="RT550" s="83" t="s">
        <v>151</v>
      </c>
      <c r="RU550" s="83" t="s">
        <v>151</v>
      </c>
      <c r="RV550" s="83" t="s">
        <v>151</v>
      </c>
      <c r="RW550" s="83" t="s">
        <v>151</v>
      </c>
      <c r="RX550" s="83" t="s">
        <v>151</v>
      </c>
      <c r="RY550" s="83" t="s">
        <v>151</v>
      </c>
      <c r="RZ550" s="83" t="s">
        <v>151</v>
      </c>
      <c r="SA550" s="83" t="s">
        <v>151</v>
      </c>
      <c r="SB550" s="83" t="s">
        <v>151</v>
      </c>
      <c r="SC550" s="83" t="s">
        <v>151</v>
      </c>
      <c r="SD550" s="83" t="s">
        <v>151</v>
      </c>
      <c r="SE550" s="83" t="s">
        <v>151</v>
      </c>
      <c r="SF550" s="83" t="s">
        <v>151</v>
      </c>
      <c r="SG550" s="83" t="s">
        <v>151</v>
      </c>
      <c r="SH550" s="83" t="s">
        <v>151</v>
      </c>
      <c r="SI550" s="83" t="s">
        <v>151</v>
      </c>
      <c r="SJ550" s="83" t="s">
        <v>151</v>
      </c>
      <c r="SK550" s="83" t="s">
        <v>151</v>
      </c>
      <c r="SL550" s="83" t="s">
        <v>151</v>
      </c>
      <c r="SM550" s="83" t="s">
        <v>151</v>
      </c>
      <c r="SN550" s="83" t="s">
        <v>151</v>
      </c>
      <c r="SO550" s="83" t="s">
        <v>151</v>
      </c>
      <c r="SP550" s="83" t="s">
        <v>151</v>
      </c>
      <c r="SQ550" s="83" t="s">
        <v>151</v>
      </c>
      <c r="SR550" s="83" t="s">
        <v>151</v>
      </c>
      <c r="SS550" s="83" t="s">
        <v>151</v>
      </c>
      <c r="ST550" s="83" t="s">
        <v>151</v>
      </c>
      <c r="SU550" s="83" t="s">
        <v>151</v>
      </c>
      <c r="SV550" s="83" t="s">
        <v>151</v>
      </c>
      <c r="SW550" s="83" t="s">
        <v>151</v>
      </c>
      <c r="SX550" s="83" t="s">
        <v>151</v>
      </c>
      <c r="SY550" s="83" t="s">
        <v>151</v>
      </c>
      <c r="SZ550" s="83" t="s">
        <v>151</v>
      </c>
      <c r="TA550" s="83" t="s">
        <v>151</v>
      </c>
      <c r="TB550" s="83" t="s">
        <v>151</v>
      </c>
      <c r="TC550" s="83" t="s">
        <v>151</v>
      </c>
      <c r="TD550" s="83" t="s">
        <v>151</v>
      </c>
      <c r="TE550" s="83" t="s">
        <v>151</v>
      </c>
      <c r="TF550" s="83" t="s">
        <v>151</v>
      </c>
      <c r="TG550" s="83" t="s">
        <v>151</v>
      </c>
      <c r="TH550" s="83" t="s">
        <v>151</v>
      </c>
      <c r="TI550" s="83" t="s">
        <v>151</v>
      </c>
      <c r="TJ550" s="83" t="s">
        <v>151</v>
      </c>
      <c r="TK550" s="83" t="s">
        <v>151</v>
      </c>
      <c r="TL550" s="83" t="s">
        <v>151</v>
      </c>
      <c r="TM550" s="83" t="s">
        <v>151</v>
      </c>
      <c r="TN550" s="83" t="s">
        <v>151</v>
      </c>
      <c r="TO550" s="83" t="s">
        <v>151</v>
      </c>
      <c r="TP550" s="83" t="s">
        <v>151</v>
      </c>
      <c r="TQ550" s="83" t="s">
        <v>151</v>
      </c>
      <c r="TR550" s="83" t="s">
        <v>151</v>
      </c>
      <c r="TS550" s="83" t="s">
        <v>151</v>
      </c>
      <c r="TT550" s="83" t="s">
        <v>151</v>
      </c>
      <c r="TU550" s="83" t="s">
        <v>151</v>
      </c>
      <c r="TV550" s="83" t="s">
        <v>151</v>
      </c>
      <c r="TW550" s="83" t="s">
        <v>151</v>
      </c>
      <c r="TX550" s="83" t="s">
        <v>151</v>
      </c>
      <c r="TY550" s="83" t="s">
        <v>151</v>
      </c>
      <c r="TZ550" s="83" t="s">
        <v>151</v>
      </c>
      <c r="UA550" s="83" t="s">
        <v>151</v>
      </c>
      <c r="UB550" s="83" t="s">
        <v>151</v>
      </c>
      <c r="UC550" s="83" t="s">
        <v>151</v>
      </c>
      <c r="UD550" s="83" t="s">
        <v>151</v>
      </c>
      <c r="UE550" s="83" t="s">
        <v>151</v>
      </c>
      <c r="UF550" s="83" t="s">
        <v>151</v>
      </c>
      <c r="UG550" s="83" t="s">
        <v>151</v>
      </c>
      <c r="UH550" s="83" t="s">
        <v>151</v>
      </c>
      <c r="UI550" s="83" t="s">
        <v>151</v>
      </c>
      <c r="UJ550" s="83" t="s">
        <v>151</v>
      </c>
      <c r="UK550" s="83" t="s">
        <v>151</v>
      </c>
      <c r="UL550" s="83" t="s">
        <v>151</v>
      </c>
      <c r="UM550" s="83" t="s">
        <v>151</v>
      </c>
      <c r="UN550" s="83" t="s">
        <v>151</v>
      </c>
      <c r="UO550" s="83" t="s">
        <v>151</v>
      </c>
      <c r="UP550" s="83" t="s">
        <v>151</v>
      </c>
      <c r="UQ550" s="83" t="s">
        <v>151</v>
      </c>
      <c r="UR550" s="83" t="s">
        <v>151</v>
      </c>
      <c r="US550" s="83" t="s">
        <v>151</v>
      </c>
      <c r="UT550" s="83" t="s">
        <v>151</v>
      </c>
      <c r="UU550" s="83" t="s">
        <v>151</v>
      </c>
      <c r="UV550" s="83" t="s">
        <v>151</v>
      </c>
      <c r="UW550" s="83" t="s">
        <v>151</v>
      </c>
      <c r="UX550" s="83" t="s">
        <v>151</v>
      </c>
      <c r="UY550" s="83" t="s">
        <v>151</v>
      </c>
      <c r="UZ550" s="83" t="s">
        <v>151</v>
      </c>
      <c r="VA550" s="83" t="s">
        <v>151</v>
      </c>
      <c r="VB550" s="83" t="s">
        <v>151</v>
      </c>
      <c r="VC550" s="83" t="s">
        <v>151</v>
      </c>
      <c r="VD550" s="83" t="s">
        <v>151</v>
      </c>
      <c r="VE550" s="83" t="s">
        <v>151</v>
      </c>
      <c r="VF550" s="83" t="s">
        <v>151</v>
      </c>
      <c r="VG550" s="83" t="s">
        <v>151</v>
      </c>
      <c r="VH550" s="83" t="s">
        <v>151</v>
      </c>
      <c r="VI550" s="83" t="s">
        <v>151</v>
      </c>
      <c r="VJ550" s="83" t="s">
        <v>151</v>
      </c>
      <c r="VK550" s="83" t="s">
        <v>151</v>
      </c>
      <c r="VL550" s="83" t="s">
        <v>151</v>
      </c>
      <c r="VM550" s="83" t="s">
        <v>151</v>
      </c>
      <c r="VN550" s="83" t="s">
        <v>151</v>
      </c>
      <c r="VO550" s="83" t="s">
        <v>151</v>
      </c>
      <c r="VP550" s="83" t="s">
        <v>151</v>
      </c>
      <c r="VQ550" s="83" t="s">
        <v>151</v>
      </c>
      <c r="VR550" s="83" t="s">
        <v>151</v>
      </c>
      <c r="VS550" s="83" t="s">
        <v>151</v>
      </c>
      <c r="VT550" s="83" t="s">
        <v>151</v>
      </c>
      <c r="VU550" s="83" t="s">
        <v>151</v>
      </c>
      <c r="VV550" s="83" t="s">
        <v>151</v>
      </c>
      <c r="VW550" s="83" t="s">
        <v>151</v>
      </c>
      <c r="VX550" s="83" t="s">
        <v>151</v>
      </c>
      <c r="VY550" s="83" t="s">
        <v>151</v>
      </c>
      <c r="VZ550" s="83" t="s">
        <v>151</v>
      </c>
      <c r="WA550" s="83" t="s">
        <v>151</v>
      </c>
      <c r="WB550" s="83" t="s">
        <v>151</v>
      </c>
      <c r="WC550" s="83" t="s">
        <v>151</v>
      </c>
      <c r="WD550" s="83" t="s">
        <v>151</v>
      </c>
      <c r="WE550" s="83" t="s">
        <v>151</v>
      </c>
      <c r="WF550" s="83" t="s">
        <v>151</v>
      </c>
      <c r="WG550" s="83" t="s">
        <v>151</v>
      </c>
      <c r="WH550" s="83" t="s">
        <v>151</v>
      </c>
      <c r="WI550" s="83" t="s">
        <v>151</v>
      </c>
      <c r="WJ550" s="83" t="s">
        <v>151</v>
      </c>
      <c r="WK550" s="83" t="s">
        <v>151</v>
      </c>
      <c r="WL550" s="83" t="s">
        <v>151</v>
      </c>
      <c r="WM550" s="83" t="s">
        <v>151</v>
      </c>
      <c r="WN550" s="83" t="s">
        <v>151</v>
      </c>
      <c r="WO550" s="83" t="s">
        <v>151</v>
      </c>
      <c r="WP550" s="83" t="s">
        <v>151</v>
      </c>
      <c r="WQ550" s="83" t="s">
        <v>151</v>
      </c>
      <c r="WR550" s="83" t="s">
        <v>151</v>
      </c>
      <c r="WS550" s="83" t="s">
        <v>151</v>
      </c>
      <c r="WT550" s="83" t="s">
        <v>151</v>
      </c>
      <c r="WU550" s="83" t="s">
        <v>151</v>
      </c>
      <c r="WV550" s="83" t="s">
        <v>151</v>
      </c>
      <c r="WW550" s="83" t="s">
        <v>151</v>
      </c>
      <c r="WX550" s="83" t="s">
        <v>151</v>
      </c>
      <c r="WY550" s="83" t="s">
        <v>151</v>
      </c>
      <c r="WZ550" s="83" t="s">
        <v>151</v>
      </c>
      <c r="XA550" s="83" t="s">
        <v>151</v>
      </c>
      <c r="XB550" s="83" t="s">
        <v>151</v>
      </c>
      <c r="XC550" s="83" t="s">
        <v>151</v>
      </c>
      <c r="XD550" s="83" t="s">
        <v>151</v>
      </c>
      <c r="XE550" s="83" t="s">
        <v>151</v>
      </c>
      <c r="XF550" s="83" t="s">
        <v>151</v>
      </c>
      <c r="XG550" s="83" t="s">
        <v>151</v>
      </c>
      <c r="XH550" s="83" t="s">
        <v>151</v>
      </c>
      <c r="XI550" s="83" t="s">
        <v>151</v>
      </c>
      <c r="XJ550" s="83" t="s">
        <v>151</v>
      </c>
      <c r="XK550" s="83" t="s">
        <v>151</v>
      </c>
      <c r="XL550" s="83" t="s">
        <v>151</v>
      </c>
      <c r="XM550" s="83" t="s">
        <v>151</v>
      </c>
      <c r="XN550" s="83" t="s">
        <v>151</v>
      </c>
      <c r="XO550" s="83" t="s">
        <v>151</v>
      </c>
      <c r="XP550" s="83" t="s">
        <v>151</v>
      </c>
      <c r="XQ550" s="83" t="s">
        <v>151</v>
      </c>
      <c r="XR550" s="83" t="s">
        <v>151</v>
      </c>
      <c r="XS550" s="83" t="s">
        <v>151</v>
      </c>
      <c r="XT550" s="83" t="s">
        <v>151</v>
      </c>
      <c r="XU550" s="83" t="s">
        <v>151</v>
      </c>
      <c r="XV550" s="83" t="s">
        <v>151</v>
      </c>
      <c r="XW550" s="83" t="s">
        <v>151</v>
      </c>
      <c r="XX550" s="83" t="s">
        <v>151</v>
      </c>
      <c r="XY550" s="83" t="s">
        <v>151</v>
      </c>
      <c r="XZ550" s="83" t="s">
        <v>151</v>
      </c>
      <c r="YA550" s="83" t="s">
        <v>151</v>
      </c>
      <c r="YB550" s="83" t="s">
        <v>151</v>
      </c>
      <c r="YC550" s="83" t="s">
        <v>151</v>
      </c>
      <c r="YD550" s="83" t="s">
        <v>151</v>
      </c>
      <c r="YE550" s="83" t="s">
        <v>151</v>
      </c>
      <c r="YF550" s="83" t="s">
        <v>151</v>
      </c>
      <c r="YG550" s="83" t="s">
        <v>151</v>
      </c>
      <c r="YH550" s="83" t="s">
        <v>151</v>
      </c>
      <c r="YI550" s="83" t="s">
        <v>151</v>
      </c>
      <c r="YJ550" s="83" t="s">
        <v>151</v>
      </c>
      <c r="YK550" s="83" t="s">
        <v>151</v>
      </c>
      <c r="YL550" s="83" t="s">
        <v>151</v>
      </c>
      <c r="YM550" s="83" t="s">
        <v>151</v>
      </c>
      <c r="YN550" s="83" t="s">
        <v>151</v>
      </c>
      <c r="YO550" s="83" t="s">
        <v>151</v>
      </c>
      <c r="YP550" s="83" t="s">
        <v>151</v>
      </c>
      <c r="YQ550" s="83" t="s">
        <v>151</v>
      </c>
      <c r="YR550" s="83" t="s">
        <v>151</v>
      </c>
      <c r="YS550" s="83" t="s">
        <v>151</v>
      </c>
      <c r="YT550" s="83" t="s">
        <v>151</v>
      </c>
      <c r="YU550" s="83" t="s">
        <v>151</v>
      </c>
      <c r="YV550" s="83" t="s">
        <v>151</v>
      </c>
      <c r="YW550" s="83" t="s">
        <v>151</v>
      </c>
      <c r="YX550" s="83" t="s">
        <v>151</v>
      </c>
      <c r="YY550" s="83" t="s">
        <v>151</v>
      </c>
      <c r="YZ550" s="83" t="s">
        <v>151</v>
      </c>
      <c r="ZA550" s="83" t="s">
        <v>151</v>
      </c>
      <c r="ZB550" s="83" t="s">
        <v>151</v>
      </c>
      <c r="ZC550" s="83" t="s">
        <v>151</v>
      </c>
      <c r="ZD550" s="83" t="s">
        <v>151</v>
      </c>
      <c r="ZE550" s="83" t="s">
        <v>151</v>
      </c>
      <c r="ZF550" s="83" t="s">
        <v>151</v>
      </c>
      <c r="ZG550" s="83" t="s">
        <v>151</v>
      </c>
      <c r="ZH550" s="83" t="s">
        <v>151</v>
      </c>
      <c r="ZI550" s="83" t="s">
        <v>151</v>
      </c>
      <c r="ZJ550" s="83" t="s">
        <v>151</v>
      </c>
      <c r="ZK550" s="83" t="s">
        <v>151</v>
      </c>
      <c r="ZL550" s="83" t="s">
        <v>151</v>
      </c>
      <c r="ZM550" s="83" t="s">
        <v>151</v>
      </c>
      <c r="ZN550" s="83" t="s">
        <v>151</v>
      </c>
      <c r="ZO550" s="83" t="s">
        <v>151</v>
      </c>
      <c r="ZP550" s="83" t="s">
        <v>151</v>
      </c>
      <c r="ZQ550" s="83" t="s">
        <v>151</v>
      </c>
      <c r="ZR550" s="83" t="s">
        <v>151</v>
      </c>
      <c r="ZS550" s="83" t="s">
        <v>151</v>
      </c>
      <c r="ZT550" s="83" t="s">
        <v>151</v>
      </c>
      <c r="ZU550" s="83" t="s">
        <v>151</v>
      </c>
      <c r="ZV550" s="83" t="s">
        <v>151</v>
      </c>
      <c r="ZW550" s="83" t="s">
        <v>151</v>
      </c>
      <c r="ZX550" s="83" t="s">
        <v>151</v>
      </c>
      <c r="ZY550" s="83" t="s">
        <v>151</v>
      </c>
      <c r="ZZ550" s="83" t="s">
        <v>151</v>
      </c>
      <c r="AAA550" s="83" t="s">
        <v>151</v>
      </c>
      <c r="AAB550" s="83" t="s">
        <v>151</v>
      </c>
      <c r="AAC550" s="83" t="s">
        <v>151</v>
      </c>
      <c r="AAD550" s="83" t="s">
        <v>151</v>
      </c>
      <c r="AAE550" s="83" t="s">
        <v>151</v>
      </c>
      <c r="AAF550" s="83" t="s">
        <v>151</v>
      </c>
      <c r="AAG550" s="83" t="s">
        <v>151</v>
      </c>
      <c r="AAH550" s="83" t="s">
        <v>151</v>
      </c>
      <c r="AAI550" s="83" t="s">
        <v>151</v>
      </c>
      <c r="AAJ550" s="83" t="s">
        <v>151</v>
      </c>
      <c r="AAK550" s="83" t="s">
        <v>151</v>
      </c>
      <c r="AAL550" s="83" t="s">
        <v>151</v>
      </c>
      <c r="AAM550" s="83" t="s">
        <v>151</v>
      </c>
      <c r="AAN550" s="83" t="s">
        <v>151</v>
      </c>
      <c r="AAO550" s="83" t="s">
        <v>151</v>
      </c>
      <c r="AAP550" s="83" t="s">
        <v>151</v>
      </c>
      <c r="AAQ550" s="83" t="s">
        <v>151</v>
      </c>
      <c r="AAR550" s="83" t="s">
        <v>151</v>
      </c>
      <c r="AAS550" s="83" t="s">
        <v>151</v>
      </c>
      <c r="AAT550" s="83" t="s">
        <v>151</v>
      </c>
      <c r="AAU550" s="83" t="s">
        <v>151</v>
      </c>
      <c r="AAV550" s="83" t="s">
        <v>151</v>
      </c>
      <c r="AAW550" s="83" t="s">
        <v>151</v>
      </c>
      <c r="AAX550" s="83" t="s">
        <v>151</v>
      </c>
      <c r="AAY550" s="83" t="s">
        <v>151</v>
      </c>
      <c r="AAZ550" s="83" t="s">
        <v>151</v>
      </c>
      <c r="ABA550" s="83" t="s">
        <v>151</v>
      </c>
      <c r="ABB550" s="83" t="s">
        <v>151</v>
      </c>
      <c r="ABC550" s="83" t="s">
        <v>151</v>
      </c>
      <c r="ABD550" s="83" t="s">
        <v>151</v>
      </c>
      <c r="ABE550" s="83" t="s">
        <v>151</v>
      </c>
      <c r="ABF550" s="83" t="s">
        <v>151</v>
      </c>
      <c r="ABG550" s="83" t="s">
        <v>151</v>
      </c>
      <c r="ABH550" s="83" t="s">
        <v>151</v>
      </c>
      <c r="ABI550" s="83" t="s">
        <v>151</v>
      </c>
      <c r="ABJ550" s="83" t="s">
        <v>151</v>
      </c>
      <c r="ABK550" s="83" t="s">
        <v>151</v>
      </c>
      <c r="ABL550" s="83" t="s">
        <v>151</v>
      </c>
      <c r="ABM550" s="83" t="s">
        <v>151</v>
      </c>
      <c r="ABN550" s="83" t="s">
        <v>151</v>
      </c>
      <c r="ABO550" s="83" t="s">
        <v>151</v>
      </c>
      <c r="ABP550" s="83" t="s">
        <v>151</v>
      </c>
      <c r="ABQ550" s="83" t="s">
        <v>151</v>
      </c>
      <c r="ABR550" s="83" t="s">
        <v>151</v>
      </c>
      <c r="ABS550" s="83" t="s">
        <v>151</v>
      </c>
      <c r="ABT550" s="83" t="s">
        <v>151</v>
      </c>
      <c r="ABU550" s="83" t="s">
        <v>151</v>
      </c>
      <c r="ABV550" s="83" t="s">
        <v>151</v>
      </c>
      <c r="ABW550" s="83" t="s">
        <v>151</v>
      </c>
      <c r="ABX550" s="83" t="s">
        <v>151</v>
      </c>
      <c r="ABY550" s="83" t="s">
        <v>151</v>
      </c>
      <c r="ABZ550" s="83" t="s">
        <v>151</v>
      </c>
      <c r="ACA550" s="83" t="s">
        <v>151</v>
      </c>
      <c r="ACB550" s="83" t="s">
        <v>151</v>
      </c>
      <c r="ACC550" s="83" t="s">
        <v>151</v>
      </c>
      <c r="ACD550" s="83" t="s">
        <v>151</v>
      </c>
      <c r="ACE550" s="83" t="s">
        <v>151</v>
      </c>
      <c r="ACF550" s="83" t="s">
        <v>151</v>
      </c>
      <c r="ACG550" s="83" t="s">
        <v>151</v>
      </c>
      <c r="ACH550" s="83" t="s">
        <v>151</v>
      </c>
      <c r="ACI550" s="83" t="s">
        <v>151</v>
      </c>
      <c r="ACJ550" s="83" t="s">
        <v>151</v>
      </c>
      <c r="ACK550" s="83" t="s">
        <v>151</v>
      </c>
      <c r="ACL550" s="83" t="s">
        <v>151</v>
      </c>
      <c r="ACM550" s="83" t="s">
        <v>151</v>
      </c>
      <c r="ACN550" s="83" t="s">
        <v>151</v>
      </c>
      <c r="ACO550" s="83" t="s">
        <v>151</v>
      </c>
      <c r="ACP550" s="83" t="s">
        <v>151</v>
      </c>
      <c r="ACQ550" s="83" t="s">
        <v>151</v>
      </c>
      <c r="ACR550" s="83" t="s">
        <v>151</v>
      </c>
      <c r="ACS550" s="83" t="s">
        <v>151</v>
      </c>
      <c r="ACT550" s="83" t="s">
        <v>151</v>
      </c>
      <c r="ACU550" s="83" t="s">
        <v>151</v>
      </c>
      <c r="ACV550" s="83" t="s">
        <v>151</v>
      </c>
      <c r="ACW550" s="83" t="s">
        <v>151</v>
      </c>
      <c r="ACX550" s="83" t="s">
        <v>151</v>
      </c>
      <c r="ACY550" s="83" t="s">
        <v>151</v>
      </c>
      <c r="ACZ550" s="83" t="s">
        <v>151</v>
      </c>
      <c r="ADA550" s="83" t="s">
        <v>151</v>
      </c>
      <c r="ADB550" s="83" t="s">
        <v>151</v>
      </c>
      <c r="ADC550" s="83" t="s">
        <v>151</v>
      </c>
      <c r="ADD550" s="83" t="s">
        <v>151</v>
      </c>
      <c r="ADE550" s="83" t="s">
        <v>151</v>
      </c>
      <c r="ADF550" s="83" t="s">
        <v>151</v>
      </c>
      <c r="ADG550" s="83" t="s">
        <v>151</v>
      </c>
      <c r="ADH550" s="83" t="s">
        <v>151</v>
      </c>
      <c r="ADI550" s="83" t="s">
        <v>151</v>
      </c>
      <c r="ADJ550" s="83" t="s">
        <v>151</v>
      </c>
      <c r="ADK550" s="83" t="s">
        <v>151</v>
      </c>
      <c r="ADL550" s="83" t="s">
        <v>151</v>
      </c>
      <c r="ADM550" s="83" t="s">
        <v>151</v>
      </c>
      <c r="ADN550" s="83" t="s">
        <v>151</v>
      </c>
      <c r="ADO550" s="83" t="s">
        <v>151</v>
      </c>
      <c r="ADP550" s="83" t="s">
        <v>151</v>
      </c>
      <c r="ADQ550" s="83" t="s">
        <v>151</v>
      </c>
      <c r="ADR550" s="83" t="s">
        <v>151</v>
      </c>
      <c r="ADS550" s="83" t="s">
        <v>151</v>
      </c>
      <c r="ADT550" s="83" t="s">
        <v>151</v>
      </c>
      <c r="ADU550" s="83" t="s">
        <v>151</v>
      </c>
      <c r="ADV550" s="83" t="s">
        <v>151</v>
      </c>
      <c r="ADW550" s="83" t="s">
        <v>151</v>
      </c>
      <c r="ADX550" s="83" t="s">
        <v>151</v>
      </c>
      <c r="ADY550" s="83" t="s">
        <v>151</v>
      </c>
      <c r="ADZ550" s="83" t="s">
        <v>151</v>
      </c>
      <c r="AEA550" s="83" t="s">
        <v>151</v>
      </c>
      <c r="AEB550" s="83" t="s">
        <v>151</v>
      </c>
      <c r="AEC550" s="83" t="s">
        <v>151</v>
      </c>
      <c r="AED550" s="83" t="s">
        <v>151</v>
      </c>
      <c r="AEE550" s="83" t="s">
        <v>151</v>
      </c>
      <c r="AEF550" s="83" t="s">
        <v>151</v>
      </c>
      <c r="AEG550" s="83" t="s">
        <v>151</v>
      </c>
      <c r="AEH550" s="83" t="s">
        <v>151</v>
      </c>
      <c r="AEI550" s="83" t="s">
        <v>151</v>
      </c>
      <c r="AEJ550" s="83" t="s">
        <v>151</v>
      </c>
      <c r="AEK550" s="83" t="s">
        <v>151</v>
      </c>
      <c r="AEL550" s="83" t="s">
        <v>151</v>
      </c>
      <c r="AEM550" s="83" t="s">
        <v>151</v>
      </c>
      <c r="AEN550" s="83" t="s">
        <v>151</v>
      </c>
      <c r="AEO550" s="83" t="s">
        <v>151</v>
      </c>
      <c r="AEP550" s="83" t="s">
        <v>151</v>
      </c>
      <c r="AEQ550" s="83" t="s">
        <v>151</v>
      </c>
      <c r="AER550" s="83" t="s">
        <v>151</v>
      </c>
      <c r="AES550" s="83" t="s">
        <v>151</v>
      </c>
      <c r="AET550" s="83" t="s">
        <v>151</v>
      </c>
      <c r="AEU550" s="83" t="s">
        <v>151</v>
      </c>
      <c r="AEV550" s="83" t="s">
        <v>151</v>
      </c>
      <c r="AEW550" s="83" t="s">
        <v>151</v>
      </c>
      <c r="AEX550" s="83" t="s">
        <v>151</v>
      </c>
      <c r="AEY550" s="83" t="s">
        <v>151</v>
      </c>
      <c r="AEZ550" s="83" t="s">
        <v>151</v>
      </c>
      <c r="AFA550" s="83" t="s">
        <v>151</v>
      </c>
      <c r="AFB550" s="83" t="s">
        <v>151</v>
      </c>
      <c r="AFC550" s="83" t="s">
        <v>151</v>
      </c>
      <c r="AFD550" s="83" t="s">
        <v>151</v>
      </c>
      <c r="AFE550" s="83" t="s">
        <v>151</v>
      </c>
      <c r="AFF550" s="83" t="s">
        <v>151</v>
      </c>
      <c r="AFG550" s="83" t="s">
        <v>151</v>
      </c>
      <c r="AFH550" s="83" t="s">
        <v>151</v>
      </c>
      <c r="AFI550" s="83" t="s">
        <v>151</v>
      </c>
      <c r="AFJ550" s="83" t="s">
        <v>151</v>
      </c>
      <c r="AFK550" s="83" t="s">
        <v>151</v>
      </c>
      <c r="AFL550" s="83" t="s">
        <v>151</v>
      </c>
      <c r="AFM550" s="83" t="s">
        <v>151</v>
      </c>
      <c r="AFN550" s="83" t="s">
        <v>151</v>
      </c>
      <c r="AFO550" s="83" t="s">
        <v>151</v>
      </c>
      <c r="AFP550" s="83" t="s">
        <v>151</v>
      </c>
      <c r="AFQ550" s="83" t="s">
        <v>151</v>
      </c>
      <c r="AFR550" s="83" t="s">
        <v>151</v>
      </c>
      <c r="AFS550" s="83" t="s">
        <v>151</v>
      </c>
      <c r="AFT550" s="83" t="s">
        <v>151</v>
      </c>
      <c r="AFU550" s="83" t="s">
        <v>151</v>
      </c>
      <c r="AFV550" s="83" t="s">
        <v>151</v>
      </c>
      <c r="AFW550" s="83" t="s">
        <v>151</v>
      </c>
      <c r="AFX550" s="83" t="s">
        <v>151</v>
      </c>
      <c r="AFY550" s="83" t="s">
        <v>151</v>
      </c>
      <c r="AFZ550" s="83" t="s">
        <v>151</v>
      </c>
      <c r="AGA550" s="83" t="s">
        <v>151</v>
      </c>
      <c r="AGB550" s="83" t="s">
        <v>151</v>
      </c>
      <c r="AGC550" s="83" t="s">
        <v>151</v>
      </c>
      <c r="AGD550" s="83" t="s">
        <v>151</v>
      </c>
      <c r="AGE550" s="83" t="s">
        <v>151</v>
      </c>
      <c r="AGF550" s="83" t="s">
        <v>151</v>
      </c>
      <c r="AGG550" s="83" t="s">
        <v>151</v>
      </c>
      <c r="AGH550" s="83" t="s">
        <v>151</v>
      </c>
      <c r="AGI550" s="83" t="s">
        <v>151</v>
      </c>
      <c r="AGJ550" s="83" t="s">
        <v>151</v>
      </c>
      <c r="AGK550" s="83" t="s">
        <v>151</v>
      </c>
      <c r="AGL550" s="83" t="s">
        <v>151</v>
      </c>
      <c r="AGM550" s="83" t="s">
        <v>151</v>
      </c>
      <c r="AGN550" s="83" t="s">
        <v>151</v>
      </c>
      <c r="AGO550" s="83" t="s">
        <v>151</v>
      </c>
      <c r="AGP550" s="83" t="s">
        <v>151</v>
      </c>
      <c r="AGQ550" s="83" t="s">
        <v>151</v>
      </c>
      <c r="AGR550" s="83" t="s">
        <v>151</v>
      </c>
      <c r="AGS550" s="83" t="s">
        <v>151</v>
      </c>
      <c r="AGT550" s="83" t="s">
        <v>151</v>
      </c>
      <c r="AGU550" s="83" t="s">
        <v>151</v>
      </c>
      <c r="AGV550" s="83" t="s">
        <v>151</v>
      </c>
      <c r="AGW550" s="83" t="s">
        <v>151</v>
      </c>
      <c r="AGX550" s="83" t="s">
        <v>151</v>
      </c>
      <c r="AGY550" s="83" t="s">
        <v>151</v>
      </c>
      <c r="AGZ550" s="83" t="s">
        <v>151</v>
      </c>
      <c r="AHA550" s="83" t="s">
        <v>151</v>
      </c>
      <c r="AHB550" s="83" t="s">
        <v>151</v>
      </c>
      <c r="AHC550" s="83" t="s">
        <v>151</v>
      </c>
      <c r="AHD550" s="83" t="s">
        <v>151</v>
      </c>
      <c r="AHE550" s="83" t="s">
        <v>151</v>
      </c>
      <c r="AHF550" s="83" t="s">
        <v>151</v>
      </c>
      <c r="AHG550" s="83" t="s">
        <v>151</v>
      </c>
      <c r="AHH550" s="83" t="s">
        <v>151</v>
      </c>
      <c r="AHI550" s="83" t="s">
        <v>151</v>
      </c>
      <c r="AHJ550" s="83" t="s">
        <v>151</v>
      </c>
      <c r="AHK550" s="83" t="s">
        <v>151</v>
      </c>
      <c r="AHL550" s="83" t="s">
        <v>151</v>
      </c>
      <c r="AHM550" s="83" t="s">
        <v>151</v>
      </c>
      <c r="AHN550" s="83" t="s">
        <v>151</v>
      </c>
      <c r="AHO550" s="83" t="s">
        <v>151</v>
      </c>
      <c r="AHP550" s="83" t="s">
        <v>151</v>
      </c>
      <c r="AHQ550" s="83" t="s">
        <v>151</v>
      </c>
      <c r="AHR550" s="83" t="s">
        <v>151</v>
      </c>
      <c r="AHS550" s="83" t="s">
        <v>151</v>
      </c>
      <c r="AHT550" s="83" t="s">
        <v>151</v>
      </c>
      <c r="AHU550" s="83" t="s">
        <v>151</v>
      </c>
      <c r="AHV550" s="83" t="s">
        <v>151</v>
      </c>
      <c r="AHW550" s="83" t="s">
        <v>151</v>
      </c>
      <c r="AHX550" s="83" t="s">
        <v>151</v>
      </c>
      <c r="AHY550" s="83" t="s">
        <v>151</v>
      </c>
      <c r="AHZ550" s="83" t="s">
        <v>151</v>
      </c>
      <c r="AIA550" s="83" t="s">
        <v>151</v>
      </c>
      <c r="AIB550" s="83" t="s">
        <v>151</v>
      </c>
      <c r="AIC550" s="83" t="s">
        <v>151</v>
      </c>
      <c r="AID550" s="83" t="s">
        <v>151</v>
      </c>
      <c r="AIE550" s="83" t="s">
        <v>151</v>
      </c>
      <c r="AIF550" s="83" t="s">
        <v>151</v>
      </c>
      <c r="AIG550" s="83" t="s">
        <v>151</v>
      </c>
      <c r="AIH550" s="83" t="s">
        <v>151</v>
      </c>
      <c r="AII550" s="83" t="s">
        <v>151</v>
      </c>
      <c r="AIJ550" s="83" t="s">
        <v>151</v>
      </c>
      <c r="AIK550" s="83" t="s">
        <v>151</v>
      </c>
      <c r="AIL550" s="83" t="s">
        <v>151</v>
      </c>
      <c r="AIM550" s="83" t="s">
        <v>151</v>
      </c>
      <c r="AIN550" s="83" t="s">
        <v>151</v>
      </c>
      <c r="AIO550" s="83" t="s">
        <v>151</v>
      </c>
      <c r="AIP550" s="83" t="s">
        <v>151</v>
      </c>
      <c r="AIQ550" s="83" t="s">
        <v>151</v>
      </c>
      <c r="AIR550" s="83" t="s">
        <v>151</v>
      </c>
      <c r="AIS550" s="83" t="s">
        <v>151</v>
      </c>
      <c r="AIT550" s="83" t="s">
        <v>151</v>
      </c>
      <c r="AIU550" s="83" t="s">
        <v>151</v>
      </c>
      <c r="AIV550" s="83" t="s">
        <v>151</v>
      </c>
      <c r="AIW550" s="83" t="s">
        <v>151</v>
      </c>
      <c r="AIX550" s="83" t="s">
        <v>151</v>
      </c>
      <c r="AIY550" s="83" t="s">
        <v>151</v>
      </c>
      <c r="AIZ550" s="83" t="s">
        <v>151</v>
      </c>
      <c r="AJA550" s="83" t="s">
        <v>151</v>
      </c>
      <c r="AJB550" s="83" t="s">
        <v>151</v>
      </c>
      <c r="AJC550" s="83" t="s">
        <v>151</v>
      </c>
      <c r="AJD550" s="83" t="s">
        <v>151</v>
      </c>
      <c r="AJE550" s="83" t="s">
        <v>151</v>
      </c>
      <c r="AJF550" s="83" t="s">
        <v>151</v>
      </c>
      <c r="AJG550" s="83" t="s">
        <v>151</v>
      </c>
      <c r="AJH550" s="83" t="s">
        <v>151</v>
      </c>
      <c r="AJI550" s="83" t="s">
        <v>151</v>
      </c>
      <c r="AJJ550" s="83" t="s">
        <v>151</v>
      </c>
      <c r="AJK550" s="83" t="s">
        <v>151</v>
      </c>
      <c r="AJL550" s="83" t="s">
        <v>151</v>
      </c>
      <c r="AJM550" s="83" t="s">
        <v>151</v>
      </c>
      <c r="AJN550" s="83" t="s">
        <v>151</v>
      </c>
      <c r="AJO550" s="83" t="s">
        <v>151</v>
      </c>
      <c r="AJP550" s="83" t="s">
        <v>151</v>
      </c>
      <c r="AJQ550" s="83" t="s">
        <v>151</v>
      </c>
      <c r="AJR550" s="83" t="s">
        <v>151</v>
      </c>
      <c r="AJS550" s="83" t="s">
        <v>151</v>
      </c>
      <c r="AJT550" s="83" t="s">
        <v>151</v>
      </c>
      <c r="AJU550" s="83" t="s">
        <v>151</v>
      </c>
      <c r="AJV550" s="83" t="s">
        <v>151</v>
      </c>
      <c r="AJW550" s="83" t="s">
        <v>151</v>
      </c>
      <c r="AJX550" s="83" t="s">
        <v>151</v>
      </c>
      <c r="AJY550" s="83" t="s">
        <v>151</v>
      </c>
      <c r="AJZ550" s="83" t="s">
        <v>151</v>
      </c>
      <c r="AKA550" s="83" t="s">
        <v>151</v>
      </c>
      <c r="AKB550" s="83" t="s">
        <v>151</v>
      </c>
      <c r="AKC550" s="83" t="s">
        <v>151</v>
      </c>
      <c r="AKD550" s="83" t="s">
        <v>151</v>
      </c>
      <c r="AKE550" s="83" t="s">
        <v>151</v>
      </c>
      <c r="AKF550" s="83" t="s">
        <v>151</v>
      </c>
      <c r="AKG550" s="83" t="s">
        <v>151</v>
      </c>
      <c r="AKH550" s="83" t="s">
        <v>151</v>
      </c>
      <c r="AKI550" s="83" t="s">
        <v>151</v>
      </c>
      <c r="AKJ550" s="83" t="s">
        <v>151</v>
      </c>
      <c r="AKK550" s="83" t="s">
        <v>151</v>
      </c>
      <c r="AKL550" s="83" t="s">
        <v>151</v>
      </c>
      <c r="AKM550" s="83" t="s">
        <v>151</v>
      </c>
      <c r="AKN550" s="83" t="s">
        <v>151</v>
      </c>
      <c r="AKO550" s="83" t="s">
        <v>151</v>
      </c>
      <c r="AKP550" s="83" t="s">
        <v>151</v>
      </c>
      <c r="AKQ550" s="83" t="s">
        <v>151</v>
      </c>
      <c r="AKR550" s="83" t="s">
        <v>151</v>
      </c>
      <c r="AKS550" s="83" t="s">
        <v>151</v>
      </c>
      <c r="AKT550" s="83" t="s">
        <v>151</v>
      </c>
      <c r="AKU550" s="83" t="s">
        <v>151</v>
      </c>
      <c r="AKV550" s="83" t="s">
        <v>151</v>
      </c>
      <c r="AKW550" s="83" t="s">
        <v>151</v>
      </c>
      <c r="AKX550" s="83" t="s">
        <v>151</v>
      </c>
      <c r="AKY550" s="83" t="s">
        <v>151</v>
      </c>
      <c r="AKZ550" s="83" t="s">
        <v>151</v>
      </c>
      <c r="ALA550" s="83" t="s">
        <v>151</v>
      </c>
      <c r="ALB550" s="83" t="s">
        <v>151</v>
      </c>
      <c r="ALC550" s="83" t="s">
        <v>151</v>
      </c>
      <c r="ALD550" s="83" t="s">
        <v>151</v>
      </c>
      <c r="ALE550" s="83" t="s">
        <v>151</v>
      </c>
      <c r="ALF550" s="83" t="s">
        <v>151</v>
      </c>
      <c r="ALG550" s="83" t="s">
        <v>151</v>
      </c>
      <c r="ALH550" s="83" t="s">
        <v>151</v>
      </c>
      <c r="ALI550" s="83" t="s">
        <v>151</v>
      </c>
      <c r="ALJ550" s="83" t="s">
        <v>151</v>
      </c>
      <c r="ALK550" s="83" t="s">
        <v>151</v>
      </c>
      <c r="ALL550" s="83" t="s">
        <v>151</v>
      </c>
      <c r="ALM550" s="83" t="s">
        <v>151</v>
      </c>
      <c r="ALN550" s="83" t="s">
        <v>151</v>
      </c>
      <c r="ALO550" s="83" t="s">
        <v>151</v>
      </c>
      <c r="ALP550" s="83" t="s">
        <v>151</v>
      </c>
      <c r="ALQ550" s="83" t="s">
        <v>151</v>
      </c>
      <c r="ALR550" s="83" t="s">
        <v>151</v>
      </c>
      <c r="ALS550" s="83" t="s">
        <v>151</v>
      </c>
      <c r="ALT550" s="83" t="s">
        <v>151</v>
      </c>
      <c r="ALU550" s="83" t="s">
        <v>151</v>
      </c>
      <c r="ALV550" s="83" t="s">
        <v>151</v>
      </c>
      <c r="ALW550" s="83" t="s">
        <v>151</v>
      </c>
      <c r="ALX550" s="83" t="s">
        <v>151</v>
      </c>
      <c r="ALY550" s="83" t="s">
        <v>151</v>
      </c>
      <c r="ALZ550" s="83" t="s">
        <v>151</v>
      </c>
      <c r="AMA550" s="83" t="s">
        <v>151</v>
      </c>
      <c r="AMB550" s="83" t="s">
        <v>151</v>
      </c>
      <c r="AMC550" s="83" t="s">
        <v>151</v>
      </c>
      <c r="AMD550" s="83" t="s">
        <v>151</v>
      </c>
      <c r="AME550" s="83" t="s">
        <v>151</v>
      </c>
      <c r="AMF550" s="83" t="s">
        <v>151</v>
      </c>
      <c r="AMG550" s="83" t="s">
        <v>151</v>
      </c>
      <c r="AMH550" s="83" t="s">
        <v>151</v>
      </c>
      <c r="AMI550" s="83" t="s">
        <v>151</v>
      </c>
      <c r="AMJ550" s="83" t="s">
        <v>151</v>
      </c>
      <c r="AMK550" s="83" t="s">
        <v>151</v>
      </c>
      <c r="AML550" s="83" t="s">
        <v>151</v>
      </c>
      <c r="AMM550" s="83" t="s">
        <v>151</v>
      </c>
      <c r="AMN550" s="83" t="s">
        <v>151</v>
      </c>
      <c r="AMO550" s="83" t="s">
        <v>151</v>
      </c>
      <c r="AMP550" s="83" t="s">
        <v>151</v>
      </c>
      <c r="AMQ550" s="83" t="s">
        <v>151</v>
      </c>
      <c r="AMR550" s="83" t="s">
        <v>151</v>
      </c>
      <c r="AMS550" s="83" t="s">
        <v>151</v>
      </c>
      <c r="AMT550" s="83" t="s">
        <v>151</v>
      </c>
      <c r="AMU550" s="83" t="s">
        <v>151</v>
      </c>
      <c r="AMV550" s="83" t="s">
        <v>151</v>
      </c>
      <c r="AMW550" s="83" t="s">
        <v>151</v>
      </c>
      <c r="AMX550" s="83" t="s">
        <v>151</v>
      </c>
      <c r="AMY550" s="83" t="s">
        <v>151</v>
      </c>
      <c r="AMZ550" s="83" t="s">
        <v>151</v>
      </c>
      <c r="ANA550" s="83" t="s">
        <v>151</v>
      </c>
      <c r="ANB550" s="83" t="s">
        <v>151</v>
      </c>
      <c r="ANC550" s="83" t="s">
        <v>151</v>
      </c>
      <c r="AND550" s="83" t="s">
        <v>151</v>
      </c>
      <c r="ANE550" s="83" t="s">
        <v>151</v>
      </c>
      <c r="ANF550" s="83" t="s">
        <v>151</v>
      </c>
      <c r="ANG550" s="83" t="s">
        <v>151</v>
      </c>
      <c r="ANH550" s="83" t="s">
        <v>151</v>
      </c>
      <c r="ANI550" s="83" t="s">
        <v>151</v>
      </c>
      <c r="ANJ550" s="83" t="s">
        <v>151</v>
      </c>
      <c r="ANK550" s="83" t="s">
        <v>151</v>
      </c>
      <c r="ANL550" s="83" t="s">
        <v>151</v>
      </c>
      <c r="ANM550" s="83" t="s">
        <v>151</v>
      </c>
      <c r="ANN550" s="83" t="s">
        <v>151</v>
      </c>
      <c r="ANO550" s="83" t="s">
        <v>151</v>
      </c>
      <c r="ANP550" s="83" t="s">
        <v>151</v>
      </c>
      <c r="ANQ550" s="83" t="s">
        <v>151</v>
      </c>
      <c r="ANR550" s="83" t="s">
        <v>151</v>
      </c>
      <c r="ANS550" s="83" t="s">
        <v>151</v>
      </c>
      <c r="ANT550" s="83" t="s">
        <v>151</v>
      </c>
      <c r="ANU550" s="83" t="s">
        <v>151</v>
      </c>
      <c r="ANV550" s="83" t="s">
        <v>151</v>
      </c>
      <c r="ANW550" s="83" t="s">
        <v>151</v>
      </c>
      <c r="ANX550" s="83" t="s">
        <v>151</v>
      </c>
      <c r="ANY550" s="83" t="s">
        <v>151</v>
      </c>
      <c r="ANZ550" s="83" t="s">
        <v>151</v>
      </c>
      <c r="AOA550" s="83" t="s">
        <v>151</v>
      </c>
      <c r="AOB550" s="83" t="s">
        <v>151</v>
      </c>
      <c r="AOC550" s="83" t="s">
        <v>151</v>
      </c>
      <c r="AOD550" s="83" t="s">
        <v>151</v>
      </c>
      <c r="AOE550" s="83" t="s">
        <v>151</v>
      </c>
      <c r="AOF550" s="83" t="s">
        <v>151</v>
      </c>
      <c r="AOG550" s="83" t="s">
        <v>151</v>
      </c>
      <c r="AOH550" s="83" t="s">
        <v>151</v>
      </c>
      <c r="AOI550" s="83" t="s">
        <v>151</v>
      </c>
      <c r="AOJ550" s="83" t="s">
        <v>151</v>
      </c>
      <c r="AOK550" s="83" t="s">
        <v>151</v>
      </c>
      <c r="AOL550" s="83" t="s">
        <v>151</v>
      </c>
      <c r="AOM550" s="83" t="s">
        <v>151</v>
      </c>
      <c r="AON550" s="83" t="s">
        <v>151</v>
      </c>
      <c r="AOO550" s="83" t="s">
        <v>151</v>
      </c>
      <c r="AOP550" s="83" t="s">
        <v>151</v>
      </c>
      <c r="AOQ550" s="83" t="s">
        <v>151</v>
      </c>
      <c r="AOR550" s="83" t="s">
        <v>151</v>
      </c>
      <c r="AOS550" s="83" t="s">
        <v>151</v>
      </c>
      <c r="AOT550" s="83" t="s">
        <v>151</v>
      </c>
      <c r="AOU550" s="83" t="s">
        <v>151</v>
      </c>
      <c r="AOV550" s="83" t="s">
        <v>151</v>
      </c>
      <c r="AOW550" s="83" t="s">
        <v>151</v>
      </c>
      <c r="AOX550" s="83" t="s">
        <v>151</v>
      </c>
      <c r="AOY550" s="83" t="s">
        <v>151</v>
      </c>
      <c r="AOZ550" s="83" t="s">
        <v>151</v>
      </c>
      <c r="APA550" s="83" t="s">
        <v>151</v>
      </c>
      <c r="APB550" s="83" t="s">
        <v>151</v>
      </c>
      <c r="APC550" s="83" t="s">
        <v>151</v>
      </c>
      <c r="APD550" s="83" t="s">
        <v>151</v>
      </c>
      <c r="APE550" s="83" t="s">
        <v>151</v>
      </c>
      <c r="APF550" s="83" t="s">
        <v>151</v>
      </c>
      <c r="APG550" s="83" t="s">
        <v>151</v>
      </c>
      <c r="APH550" s="83" t="s">
        <v>151</v>
      </c>
      <c r="API550" s="83" t="s">
        <v>151</v>
      </c>
      <c r="APJ550" s="83" t="s">
        <v>151</v>
      </c>
      <c r="APK550" s="83" t="s">
        <v>151</v>
      </c>
      <c r="APL550" s="83" t="s">
        <v>151</v>
      </c>
      <c r="APM550" s="83" t="s">
        <v>151</v>
      </c>
      <c r="APN550" s="83" t="s">
        <v>151</v>
      </c>
      <c r="APO550" s="83" t="s">
        <v>151</v>
      </c>
      <c r="APP550" s="83" t="s">
        <v>151</v>
      </c>
      <c r="APQ550" s="83" t="s">
        <v>151</v>
      </c>
      <c r="APR550" s="83" t="s">
        <v>151</v>
      </c>
      <c r="APS550" s="83" t="s">
        <v>151</v>
      </c>
      <c r="APT550" s="83" t="s">
        <v>151</v>
      </c>
      <c r="APU550" s="83" t="s">
        <v>151</v>
      </c>
      <c r="APV550" s="83" t="s">
        <v>151</v>
      </c>
      <c r="APW550" s="83" t="s">
        <v>151</v>
      </c>
      <c r="APX550" s="83" t="s">
        <v>151</v>
      </c>
      <c r="APY550" s="83" t="s">
        <v>151</v>
      </c>
      <c r="APZ550" s="83" t="s">
        <v>151</v>
      </c>
      <c r="AQA550" s="83" t="s">
        <v>151</v>
      </c>
      <c r="AQB550" s="83" t="s">
        <v>151</v>
      </c>
      <c r="AQC550" s="83" t="s">
        <v>151</v>
      </c>
      <c r="AQD550" s="83" t="s">
        <v>151</v>
      </c>
      <c r="AQE550" s="83" t="s">
        <v>151</v>
      </c>
      <c r="AQF550" s="83" t="s">
        <v>151</v>
      </c>
      <c r="AQG550" s="83" t="s">
        <v>151</v>
      </c>
      <c r="AQH550" s="83" t="s">
        <v>151</v>
      </c>
      <c r="AQI550" s="83" t="s">
        <v>151</v>
      </c>
      <c r="AQJ550" s="83" t="s">
        <v>151</v>
      </c>
      <c r="AQK550" s="83" t="s">
        <v>151</v>
      </c>
      <c r="AQL550" s="83" t="s">
        <v>151</v>
      </c>
      <c r="AQM550" s="83" t="s">
        <v>151</v>
      </c>
      <c r="AQN550" s="83" t="s">
        <v>151</v>
      </c>
      <c r="AQO550" s="83" t="s">
        <v>151</v>
      </c>
      <c r="AQP550" s="83" t="s">
        <v>151</v>
      </c>
      <c r="AQQ550" s="83" t="s">
        <v>151</v>
      </c>
      <c r="AQR550" s="83" t="s">
        <v>151</v>
      </c>
      <c r="AQS550" s="83" t="s">
        <v>151</v>
      </c>
      <c r="AQT550" s="83" t="s">
        <v>151</v>
      </c>
      <c r="AQU550" s="83" t="s">
        <v>151</v>
      </c>
      <c r="AQV550" s="83" t="s">
        <v>151</v>
      </c>
      <c r="AQW550" s="83" t="s">
        <v>151</v>
      </c>
      <c r="AQX550" s="83" t="s">
        <v>151</v>
      </c>
      <c r="AQY550" s="83" t="s">
        <v>151</v>
      </c>
      <c r="AQZ550" s="83" t="s">
        <v>151</v>
      </c>
      <c r="ARA550" s="83" t="s">
        <v>151</v>
      </c>
      <c r="ARB550" s="83" t="s">
        <v>151</v>
      </c>
      <c r="ARC550" s="83" t="s">
        <v>151</v>
      </c>
      <c r="ARD550" s="83" t="s">
        <v>151</v>
      </c>
      <c r="ARE550" s="83" t="s">
        <v>151</v>
      </c>
      <c r="ARF550" s="83" t="s">
        <v>151</v>
      </c>
      <c r="ARG550" s="83" t="s">
        <v>151</v>
      </c>
      <c r="ARH550" s="83" t="s">
        <v>151</v>
      </c>
      <c r="ARI550" s="83" t="s">
        <v>151</v>
      </c>
      <c r="ARJ550" s="83" t="s">
        <v>151</v>
      </c>
      <c r="ARK550" s="83" t="s">
        <v>151</v>
      </c>
      <c r="ARL550" s="83" t="s">
        <v>151</v>
      </c>
      <c r="ARM550" s="83" t="s">
        <v>151</v>
      </c>
      <c r="ARN550" s="83" t="s">
        <v>151</v>
      </c>
      <c r="ARO550" s="83" t="s">
        <v>151</v>
      </c>
      <c r="ARP550" s="83" t="s">
        <v>151</v>
      </c>
      <c r="ARQ550" s="83" t="s">
        <v>151</v>
      </c>
      <c r="ARR550" s="83" t="s">
        <v>151</v>
      </c>
      <c r="ARS550" s="83" t="s">
        <v>151</v>
      </c>
      <c r="ART550" s="83" t="s">
        <v>151</v>
      </c>
      <c r="ARU550" s="83" t="s">
        <v>151</v>
      </c>
      <c r="ARV550" s="83" t="s">
        <v>151</v>
      </c>
      <c r="ARW550" s="83" t="s">
        <v>151</v>
      </c>
      <c r="ARX550" s="83" t="s">
        <v>151</v>
      </c>
      <c r="ARY550" s="83" t="s">
        <v>151</v>
      </c>
      <c r="ARZ550" s="83" t="s">
        <v>151</v>
      </c>
      <c r="ASA550" s="83" t="s">
        <v>151</v>
      </c>
      <c r="ASB550" s="83" t="s">
        <v>151</v>
      </c>
      <c r="ASC550" s="83" t="s">
        <v>151</v>
      </c>
      <c r="ASD550" s="83" t="s">
        <v>151</v>
      </c>
      <c r="ASE550" s="83" t="s">
        <v>151</v>
      </c>
      <c r="ASF550" s="83" t="s">
        <v>151</v>
      </c>
      <c r="ASG550" s="83" t="s">
        <v>151</v>
      </c>
      <c r="ASH550" s="83" t="s">
        <v>151</v>
      </c>
      <c r="ASI550" s="83" t="s">
        <v>151</v>
      </c>
      <c r="ASJ550" s="83" t="s">
        <v>151</v>
      </c>
      <c r="ASK550" s="83" t="s">
        <v>151</v>
      </c>
      <c r="ASL550" s="83" t="s">
        <v>151</v>
      </c>
      <c r="ASM550" s="83" t="s">
        <v>151</v>
      </c>
      <c r="ASN550" s="83" t="s">
        <v>151</v>
      </c>
      <c r="ASO550" s="83" t="s">
        <v>151</v>
      </c>
      <c r="ASP550" s="83" t="s">
        <v>151</v>
      </c>
      <c r="ASQ550" s="83" t="s">
        <v>151</v>
      </c>
      <c r="ASR550" s="83" t="s">
        <v>151</v>
      </c>
      <c r="ASS550" s="83" t="s">
        <v>151</v>
      </c>
      <c r="AST550" s="83" t="s">
        <v>151</v>
      </c>
      <c r="ASU550" s="83" t="s">
        <v>151</v>
      </c>
      <c r="ASV550" s="83" t="s">
        <v>151</v>
      </c>
      <c r="ASW550" s="83" t="s">
        <v>151</v>
      </c>
      <c r="ASX550" s="83" t="s">
        <v>151</v>
      </c>
      <c r="ASY550" s="83" t="s">
        <v>151</v>
      </c>
      <c r="ASZ550" s="83" t="s">
        <v>151</v>
      </c>
      <c r="ATA550" s="83" t="s">
        <v>151</v>
      </c>
      <c r="ATB550" s="83" t="s">
        <v>151</v>
      </c>
      <c r="ATC550" s="83" t="s">
        <v>151</v>
      </c>
      <c r="ATD550" s="83" t="s">
        <v>151</v>
      </c>
      <c r="ATE550" s="83" t="s">
        <v>151</v>
      </c>
      <c r="ATF550" s="83" t="s">
        <v>151</v>
      </c>
      <c r="ATG550" s="83" t="s">
        <v>151</v>
      </c>
      <c r="ATH550" s="83" t="s">
        <v>151</v>
      </c>
      <c r="ATI550" s="83" t="s">
        <v>151</v>
      </c>
      <c r="ATJ550" s="83" t="s">
        <v>151</v>
      </c>
      <c r="ATK550" s="83" t="s">
        <v>151</v>
      </c>
      <c r="ATL550" s="83" t="s">
        <v>151</v>
      </c>
      <c r="ATM550" s="83" t="s">
        <v>151</v>
      </c>
      <c r="ATN550" s="83" t="s">
        <v>151</v>
      </c>
      <c r="ATO550" s="83" t="s">
        <v>151</v>
      </c>
      <c r="ATP550" s="83" t="s">
        <v>151</v>
      </c>
      <c r="ATQ550" s="83" t="s">
        <v>151</v>
      </c>
      <c r="ATR550" s="83" t="s">
        <v>151</v>
      </c>
      <c r="ATS550" s="83" t="s">
        <v>151</v>
      </c>
      <c r="ATT550" s="83" t="s">
        <v>151</v>
      </c>
      <c r="ATU550" s="83" t="s">
        <v>151</v>
      </c>
      <c r="ATV550" s="83" t="s">
        <v>151</v>
      </c>
      <c r="ATW550" s="83" t="s">
        <v>151</v>
      </c>
      <c r="ATX550" s="83" t="s">
        <v>151</v>
      </c>
      <c r="ATY550" s="83" t="s">
        <v>151</v>
      </c>
      <c r="ATZ550" s="83" t="s">
        <v>151</v>
      </c>
      <c r="AUA550" s="83" t="s">
        <v>151</v>
      </c>
      <c r="AUB550" s="83" t="s">
        <v>151</v>
      </c>
      <c r="AUC550" s="83" t="s">
        <v>151</v>
      </c>
      <c r="AUD550" s="83" t="s">
        <v>151</v>
      </c>
      <c r="AUE550" s="83" t="s">
        <v>151</v>
      </c>
      <c r="AUF550" s="83" t="s">
        <v>151</v>
      </c>
      <c r="AUG550" s="83" t="s">
        <v>151</v>
      </c>
      <c r="AUH550" s="83" t="s">
        <v>151</v>
      </c>
      <c r="AUI550" s="83" t="s">
        <v>151</v>
      </c>
      <c r="AUJ550" s="83" t="s">
        <v>151</v>
      </c>
      <c r="AUK550" s="83" t="s">
        <v>151</v>
      </c>
      <c r="AUL550" s="83" t="s">
        <v>151</v>
      </c>
      <c r="AUM550" s="83" t="s">
        <v>151</v>
      </c>
      <c r="AUN550" s="83" t="s">
        <v>151</v>
      </c>
      <c r="AUO550" s="83" t="s">
        <v>151</v>
      </c>
      <c r="AUP550" s="83" t="s">
        <v>151</v>
      </c>
      <c r="AUQ550" s="83" t="s">
        <v>151</v>
      </c>
      <c r="AUR550" s="83" t="s">
        <v>151</v>
      </c>
      <c r="AUS550" s="83" t="s">
        <v>151</v>
      </c>
      <c r="AUT550" s="83" t="s">
        <v>151</v>
      </c>
      <c r="AUU550" s="83" t="s">
        <v>151</v>
      </c>
      <c r="AUV550" s="83" t="s">
        <v>151</v>
      </c>
      <c r="AUW550" s="83" t="s">
        <v>151</v>
      </c>
      <c r="AUX550" s="83" t="s">
        <v>151</v>
      </c>
      <c r="AUY550" s="83" t="s">
        <v>151</v>
      </c>
      <c r="AUZ550" s="83" t="s">
        <v>151</v>
      </c>
      <c r="AVA550" s="83" t="s">
        <v>151</v>
      </c>
      <c r="AVB550" s="83" t="s">
        <v>151</v>
      </c>
      <c r="AVC550" s="83" t="s">
        <v>151</v>
      </c>
      <c r="AVD550" s="83" t="s">
        <v>151</v>
      </c>
      <c r="AVE550" s="83" t="s">
        <v>151</v>
      </c>
      <c r="AVF550" s="83" t="s">
        <v>151</v>
      </c>
      <c r="AVG550" s="83" t="s">
        <v>151</v>
      </c>
      <c r="AVH550" s="83" t="s">
        <v>151</v>
      </c>
      <c r="AVI550" s="83" t="s">
        <v>151</v>
      </c>
      <c r="AVJ550" s="83" t="s">
        <v>151</v>
      </c>
      <c r="AVK550" s="83" t="s">
        <v>151</v>
      </c>
      <c r="AVL550" s="83" t="s">
        <v>151</v>
      </c>
      <c r="AVM550" s="83" t="s">
        <v>151</v>
      </c>
      <c r="AVN550" s="83" t="s">
        <v>151</v>
      </c>
      <c r="AVO550" s="83" t="s">
        <v>151</v>
      </c>
      <c r="AVP550" s="83" t="s">
        <v>151</v>
      </c>
      <c r="AVQ550" s="83" t="s">
        <v>151</v>
      </c>
      <c r="AVR550" s="83" t="s">
        <v>151</v>
      </c>
      <c r="AVS550" s="83" t="s">
        <v>151</v>
      </c>
      <c r="AVT550" s="83" t="s">
        <v>151</v>
      </c>
      <c r="AVU550" s="83" t="s">
        <v>151</v>
      </c>
      <c r="AVV550" s="83" t="s">
        <v>151</v>
      </c>
      <c r="AVW550" s="83" t="s">
        <v>151</v>
      </c>
      <c r="AVX550" s="83" t="s">
        <v>151</v>
      </c>
      <c r="AVY550" s="83" t="s">
        <v>151</v>
      </c>
      <c r="AVZ550" s="83" t="s">
        <v>151</v>
      </c>
      <c r="AWA550" s="83" t="s">
        <v>151</v>
      </c>
      <c r="AWB550" s="83" t="s">
        <v>151</v>
      </c>
      <c r="AWC550" s="83" t="s">
        <v>151</v>
      </c>
      <c r="AWD550" s="83" t="s">
        <v>151</v>
      </c>
      <c r="AWE550" s="83" t="s">
        <v>151</v>
      </c>
      <c r="AWF550" s="83" t="s">
        <v>151</v>
      </c>
      <c r="AWG550" s="83" t="s">
        <v>151</v>
      </c>
      <c r="AWH550" s="83" t="s">
        <v>151</v>
      </c>
      <c r="AWI550" s="83" t="s">
        <v>151</v>
      </c>
      <c r="AWJ550" s="83" t="s">
        <v>151</v>
      </c>
      <c r="AWK550" s="83" t="s">
        <v>151</v>
      </c>
      <c r="AWL550" s="83" t="s">
        <v>151</v>
      </c>
      <c r="AWM550" s="83" t="s">
        <v>151</v>
      </c>
      <c r="AWN550" s="83" t="s">
        <v>151</v>
      </c>
      <c r="AWO550" s="83" t="s">
        <v>151</v>
      </c>
      <c r="AWP550" s="83" t="s">
        <v>151</v>
      </c>
      <c r="AWQ550" s="83" t="s">
        <v>151</v>
      </c>
      <c r="AWR550" s="83" t="s">
        <v>151</v>
      </c>
      <c r="AWS550" s="83" t="s">
        <v>151</v>
      </c>
      <c r="AWT550" s="83" t="s">
        <v>151</v>
      </c>
      <c r="AWU550" s="83" t="s">
        <v>151</v>
      </c>
      <c r="AWV550" s="83" t="s">
        <v>151</v>
      </c>
      <c r="AWW550" s="83" t="s">
        <v>151</v>
      </c>
      <c r="AWX550" s="83" t="s">
        <v>151</v>
      </c>
      <c r="AWY550" s="83" t="s">
        <v>151</v>
      </c>
      <c r="AWZ550" s="83" t="s">
        <v>151</v>
      </c>
      <c r="AXA550" s="83" t="s">
        <v>151</v>
      </c>
      <c r="AXB550" s="83" t="s">
        <v>151</v>
      </c>
      <c r="AXC550" s="83" t="s">
        <v>151</v>
      </c>
      <c r="AXD550" s="83" t="s">
        <v>151</v>
      </c>
      <c r="AXE550" s="83" t="s">
        <v>151</v>
      </c>
      <c r="AXF550" s="83" t="s">
        <v>151</v>
      </c>
      <c r="AXG550" s="83" t="s">
        <v>151</v>
      </c>
      <c r="AXH550" s="83" t="s">
        <v>151</v>
      </c>
      <c r="AXI550" s="83" t="s">
        <v>151</v>
      </c>
      <c r="AXJ550" s="83" t="s">
        <v>151</v>
      </c>
      <c r="AXK550" s="83" t="s">
        <v>151</v>
      </c>
      <c r="AXL550" s="83" t="s">
        <v>151</v>
      </c>
      <c r="AXM550" s="83" t="s">
        <v>151</v>
      </c>
      <c r="AXN550" s="83" t="s">
        <v>151</v>
      </c>
      <c r="AXO550" s="83" t="s">
        <v>151</v>
      </c>
      <c r="AXP550" s="83" t="s">
        <v>151</v>
      </c>
      <c r="AXQ550" s="83" t="s">
        <v>151</v>
      </c>
      <c r="AXR550" s="83" t="s">
        <v>151</v>
      </c>
      <c r="AXS550" s="83" t="s">
        <v>151</v>
      </c>
      <c r="AXT550" s="83" t="s">
        <v>151</v>
      </c>
      <c r="AXU550" s="83" t="s">
        <v>151</v>
      </c>
      <c r="AXV550" s="83" t="s">
        <v>151</v>
      </c>
      <c r="AXW550" s="83" t="s">
        <v>151</v>
      </c>
      <c r="AXX550" s="83" t="s">
        <v>151</v>
      </c>
      <c r="AXY550" s="83" t="s">
        <v>151</v>
      </c>
      <c r="AXZ550" s="83" t="s">
        <v>151</v>
      </c>
      <c r="AYA550" s="83" t="s">
        <v>151</v>
      </c>
      <c r="AYB550" s="83" t="s">
        <v>151</v>
      </c>
      <c r="AYC550" s="83" t="s">
        <v>151</v>
      </c>
      <c r="AYD550" s="83" t="s">
        <v>151</v>
      </c>
      <c r="AYE550" s="83" t="s">
        <v>151</v>
      </c>
      <c r="AYF550" s="83" t="s">
        <v>151</v>
      </c>
      <c r="AYG550" s="83" t="s">
        <v>151</v>
      </c>
      <c r="AYH550" s="83" t="s">
        <v>151</v>
      </c>
      <c r="AYI550" s="83" t="s">
        <v>151</v>
      </c>
      <c r="AYJ550" s="83" t="s">
        <v>151</v>
      </c>
      <c r="AYK550" s="83" t="s">
        <v>151</v>
      </c>
      <c r="AYL550" s="83" t="s">
        <v>151</v>
      </c>
      <c r="AYM550" s="83" t="s">
        <v>151</v>
      </c>
      <c r="AYN550" s="83" t="s">
        <v>151</v>
      </c>
      <c r="AYO550" s="83" t="s">
        <v>151</v>
      </c>
      <c r="AYP550" s="83" t="s">
        <v>151</v>
      </c>
      <c r="AYQ550" s="83" t="s">
        <v>151</v>
      </c>
      <c r="AYR550" s="83" t="s">
        <v>151</v>
      </c>
      <c r="AYS550" s="83" t="s">
        <v>151</v>
      </c>
      <c r="AYT550" s="83" t="s">
        <v>151</v>
      </c>
      <c r="AYU550" s="83" t="s">
        <v>151</v>
      </c>
      <c r="AYV550" s="83" t="s">
        <v>151</v>
      </c>
      <c r="AYW550" s="83" t="s">
        <v>151</v>
      </c>
      <c r="AYX550" s="83" t="s">
        <v>151</v>
      </c>
      <c r="AYY550" s="83" t="s">
        <v>151</v>
      </c>
      <c r="AYZ550" s="83" t="s">
        <v>151</v>
      </c>
      <c r="AZA550" s="83" t="s">
        <v>151</v>
      </c>
      <c r="AZB550" s="83" t="s">
        <v>151</v>
      </c>
      <c r="AZC550" s="83" t="s">
        <v>151</v>
      </c>
      <c r="AZD550" s="83" t="s">
        <v>151</v>
      </c>
      <c r="AZE550" s="83" t="s">
        <v>151</v>
      </c>
      <c r="AZF550" s="83" t="s">
        <v>151</v>
      </c>
      <c r="AZG550" s="83" t="s">
        <v>151</v>
      </c>
      <c r="AZH550" s="83" t="s">
        <v>151</v>
      </c>
      <c r="AZI550" s="83" t="s">
        <v>151</v>
      </c>
      <c r="AZJ550" s="83" t="s">
        <v>151</v>
      </c>
      <c r="AZK550" s="83" t="s">
        <v>151</v>
      </c>
      <c r="AZL550" s="83" t="s">
        <v>151</v>
      </c>
      <c r="AZM550" s="83" t="s">
        <v>151</v>
      </c>
      <c r="AZN550" s="83" t="s">
        <v>151</v>
      </c>
      <c r="AZO550" s="83" t="s">
        <v>151</v>
      </c>
      <c r="AZP550" s="83" t="s">
        <v>151</v>
      </c>
      <c r="AZQ550" s="83" t="s">
        <v>151</v>
      </c>
      <c r="AZR550" s="83" t="s">
        <v>151</v>
      </c>
      <c r="AZS550" s="83" t="s">
        <v>151</v>
      </c>
      <c r="AZT550" s="83" t="s">
        <v>151</v>
      </c>
      <c r="AZU550" s="83" t="s">
        <v>151</v>
      </c>
      <c r="AZV550" s="83" t="s">
        <v>151</v>
      </c>
      <c r="AZW550" s="83" t="s">
        <v>151</v>
      </c>
      <c r="AZX550" s="83" t="s">
        <v>151</v>
      </c>
      <c r="AZY550" s="83" t="s">
        <v>151</v>
      </c>
      <c r="AZZ550" s="83" t="s">
        <v>151</v>
      </c>
      <c r="BAA550" s="83" t="s">
        <v>151</v>
      </c>
      <c r="BAB550" s="83" t="s">
        <v>151</v>
      </c>
      <c r="BAC550" s="83" t="s">
        <v>151</v>
      </c>
      <c r="BAD550" s="83" t="s">
        <v>151</v>
      </c>
      <c r="BAE550" s="83" t="s">
        <v>151</v>
      </c>
      <c r="BAF550" s="83" t="s">
        <v>151</v>
      </c>
      <c r="BAG550" s="83" t="s">
        <v>151</v>
      </c>
      <c r="BAH550" s="83" t="s">
        <v>151</v>
      </c>
      <c r="BAI550" s="83" t="s">
        <v>151</v>
      </c>
      <c r="BAJ550" s="83" t="s">
        <v>151</v>
      </c>
      <c r="BAK550" s="83" t="s">
        <v>151</v>
      </c>
      <c r="BAL550" s="83" t="s">
        <v>151</v>
      </c>
      <c r="BAM550" s="83" t="s">
        <v>151</v>
      </c>
      <c r="BAN550" s="83" t="s">
        <v>151</v>
      </c>
      <c r="BAO550" s="83" t="s">
        <v>151</v>
      </c>
      <c r="BAP550" s="83" t="s">
        <v>151</v>
      </c>
      <c r="BAQ550" s="83" t="s">
        <v>151</v>
      </c>
      <c r="BAR550" s="83" t="s">
        <v>151</v>
      </c>
      <c r="BAS550" s="83" t="s">
        <v>151</v>
      </c>
      <c r="BAT550" s="83" t="s">
        <v>151</v>
      </c>
      <c r="BAU550" s="83" t="s">
        <v>151</v>
      </c>
      <c r="BAV550" s="83" t="s">
        <v>151</v>
      </c>
      <c r="BAW550" s="83" t="s">
        <v>151</v>
      </c>
      <c r="BAX550" s="83" t="s">
        <v>151</v>
      </c>
      <c r="BAY550" s="83" t="s">
        <v>151</v>
      </c>
      <c r="BAZ550" s="83" t="s">
        <v>151</v>
      </c>
      <c r="BBA550" s="83" t="s">
        <v>151</v>
      </c>
      <c r="BBB550" s="83" t="s">
        <v>151</v>
      </c>
      <c r="BBC550" s="83" t="s">
        <v>151</v>
      </c>
      <c r="BBD550" s="83" t="s">
        <v>151</v>
      </c>
      <c r="BBE550" s="83" t="s">
        <v>151</v>
      </c>
      <c r="BBF550" s="83" t="s">
        <v>151</v>
      </c>
      <c r="BBG550" s="83" t="s">
        <v>151</v>
      </c>
      <c r="BBH550" s="83" t="s">
        <v>151</v>
      </c>
      <c r="BBI550" s="83" t="s">
        <v>151</v>
      </c>
      <c r="BBJ550" s="83" t="s">
        <v>151</v>
      </c>
      <c r="BBK550" s="83" t="s">
        <v>151</v>
      </c>
      <c r="BBL550" s="83" t="s">
        <v>151</v>
      </c>
      <c r="BBM550" s="83" t="s">
        <v>151</v>
      </c>
      <c r="BBN550" s="83" t="s">
        <v>151</v>
      </c>
      <c r="BBO550" s="83" t="s">
        <v>151</v>
      </c>
      <c r="BBP550" s="83" t="s">
        <v>151</v>
      </c>
      <c r="BBQ550" s="83" t="s">
        <v>151</v>
      </c>
      <c r="BBR550" s="83" t="s">
        <v>151</v>
      </c>
      <c r="BBS550" s="83" t="s">
        <v>151</v>
      </c>
      <c r="BBT550" s="83" t="s">
        <v>151</v>
      </c>
      <c r="BBU550" s="83" t="s">
        <v>151</v>
      </c>
      <c r="BBV550" s="83" t="s">
        <v>151</v>
      </c>
      <c r="BBW550" s="83" t="s">
        <v>151</v>
      </c>
      <c r="BBX550" s="83" t="s">
        <v>151</v>
      </c>
      <c r="BBY550" s="83" t="s">
        <v>151</v>
      </c>
      <c r="BBZ550" s="83" t="s">
        <v>151</v>
      </c>
      <c r="BCA550" s="83" t="s">
        <v>151</v>
      </c>
      <c r="BCB550" s="83" t="s">
        <v>151</v>
      </c>
      <c r="BCC550" s="83" t="s">
        <v>151</v>
      </c>
      <c r="BCD550" s="83" t="s">
        <v>151</v>
      </c>
      <c r="BCE550" s="83" t="s">
        <v>151</v>
      </c>
      <c r="BCF550" s="83" t="s">
        <v>151</v>
      </c>
      <c r="BCG550" s="83" t="s">
        <v>151</v>
      </c>
      <c r="BCH550" s="83" t="s">
        <v>151</v>
      </c>
      <c r="BCI550" s="83" t="s">
        <v>151</v>
      </c>
      <c r="BCJ550" s="83" t="s">
        <v>151</v>
      </c>
      <c r="BCK550" s="83" t="s">
        <v>151</v>
      </c>
      <c r="BCL550" s="83" t="s">
        <v>151</v>
      </c>
      <c r="BCM550" s="83" t="s">
        <v>151</v>
      </c>
      <c r="BCN550" s="83" t="s">
        <v>151</v>
      </c>
      <c r="BCO550" s="83" t="s">
        <v>151</v>
      </c>
      <c r="BCP550" s="83" t="s">
        <v>151</v>
      </c>
      <c r="BCQ550" s="83" t="s">
        <v>151</v>
      </c>
      <c r="BCR550" s="83" t="s">
        <v>151</v>
      </c>
      <c r="BCS550" s="83" t="s">
        <v>151</v>
      </c>
      <c r="BCT550" s="83" t="s">
        <v>151</v>
      </c>
      <c r="BCU550" s="83" t="s">
        <v>151</v>
      </c>
      <c r="BCV550" s="83" t="s">
        <v>151</v>
      </c>
      <c r="BCW550" s="83" t="s">
        <v>151</v>
      </c>
      <c r="BCX550" s="83" t="s">
        <v>151</v>
      </c>
      <c r="BCY550" s="83" t="s">
        <v>151</v>
      </c>
      <c r="BCZ550" s="83" t="s">
        <v>151</v>
      </c>
      <c r="BDA550" s="83" t="s">
        <v>151</v>
      </c>
      <c r="BDB550" s="83" t="s">
        <v>151</v>
      </c>
      <c r="BDC550" s="83" t="s">
        <v>151</v>
      </c>
      <c r="BDD550" s="83" t="s">
        <v>151</v>
      </c>
      <c r="BDE550" s="83" t="s">
        <v>151</v>
      </c>
      <c r="BDF550" s="83" t="s">
        <v>151</v>
      </c>
      <c r="BDG550" s="83" t="s">
        <v>151</v>
      </c>
      <c r="BDH550" s="83" t="s">
        <v>151</v>
      </c>
      <c r="BDI550" s="83" t="s">
        <v>151</v>
      </c>
      <c r="BDJ550" s="83" t="s">
        <v>151</v>
      </c>
      <c r="BDK550" s="83" t="s">
        <v>151</v>
      </c>
      <c r="BDL550" s="83" t="s">
        <v>151</v>
      </c>
      <c r="BDM550" s="83" t="s">
        <v>151</v>
      </c>
      <c r="BDN550" s="83" t="s">
        <v>151</v>
      </c>
      <c r="BDO550" s="83" t="s">
        <v>151</v>
      </c>
      <c r="BDP550" s="83" t="s">
        <v>151</v>
      </c>
      <c r="BDQ550" s="83" t="s">
        <v>151</v>
      </c>
      <c r="BDR550" s="83" t="s">
        <v>151</v>
      </c>
      <c r="BDS550" s="83" t="s">
        <v>151</v>
      </c>
      <c r="BDT550" s="83" t="s">
        <v>151</v>
      </c>
      <c r="BDU550" s="83" t="s">
        <v>151</v>
      </c>
      <c r="BDV550" s="83" t="s">
        <v>151</v>
      </c>
      <c r="BDW550" s="83" t="s">
        <v>151</v>
      </c>
      <c r="BDX550" s="83" t="s">
        <v>151</v>
      </c>
      <c r="BDY550" s="83" t="s">
        <v>151</v>
      </c>
      <c r="BDZ550" s="83" t="s">
        <v>151</v>
      </c>
      <c r="BEA550" s="83" t="s">
        <v>151</v>
      </c>
      <c r="BEB550" s="83" t="s">
        <v>151</v>
      </c>
      <c r="BEC550" s="83" t="s">
        <v>151</v>
      </c>
      <c r="BED550" s="83" t="s">
        <v>151</v>
      </c>
      <c r="BEE550" s="83" t="s">
        <v>151</v>
      </c>
      <c r="BEF550" s="83" t="s">
        <v>151</v>
      </c>
      <c r="BEG550" s="83" t="s">
        <v>151</v>
      </c>
      <c r="BEH550" s="83" t="s">
        <v>151</v>
      </c>
      <c r="BEI550" s="83" t="s">
        <v>151</v>
      </c>
      <c r="BEJ550" s="83" t="s">
        <v>151</v>
      </c>
      <c r="BEK550" s="83" t="s">
        <v>151</v>
      </c>
      <c r="BEL550" s="83" t="s">
        <v>151</v>
      </c>
      <c r="BEM550" s="83" t="s">
        <v>151</v>
      </c>
      <c r="BEN550" s="83" t="s">
        <v>151</v>
      </c>
      <c r="BEO550" s="83" t="s">
        <v>151</v>
      </c>
      <c r="BEP550" s="83" t="s">
        <v>151</v>
      </c>
      <c r="BEQ550" s="83" t="s">
        <v>151</v>
      </c>
      <c r="BER550" s="83" t="s">
        <v>151</v>
      </c>
      <c r="BES550" s="83" t="s">
        <v>151</v>
      </c>
      <c r="BET550" s="83" t="s">
        <v>151</v>
      </c>
      <c r="BEU550" s="83" t="s">
        <v>151</v>
      </c>
      <c r="BEV550" s="83" t="s">
        <v>151</v>
      </c>
      <c r="BEW550" s="83" t="s">
        <v>151</v>
      </c>
      <c r="BEX550" s="83" t="s">
        <v>151</v>
      </c>
      <c r="BEY550" s="83" t="s">
        <v>151</v>
      </c>
      <c r="BEZ550" s="83" t="s">
        <v>151</v>
      </c>
      <c r="BFA550" s="83" t="s">
        <v>151</v>
      </c>
      <c r="BFB550" s="83" t="s">
        <v>151</v>
      </c>
      <c r="BFC550" s="83" t="s">
        <v>151</v>
      </c>
      <c r="BFD550" s="83" t="s">
        <v>151</v>
      </c>
      <c r="BFE550" s="83" t="s">
        <v>151</v>
      </c>
      <c r="BFF550" s="83" t="s">
        <v>151</v>
      </c>
      <c r="BFG550" s="83" t="s">
        <v>151</v>
      </c>
      <c r="BFH550" s="83" t="s">
        <v>151</v>
      </c>
      <c r="BFI550" s="83" t="s">
        <v>151</v>
      </c>
      <c r="BFJ550" s="83" t="s">
        <v>151</v>
      </c>
      <c r="BFK550" s="83" t="s">
        <v>151</v>
      </c>
      <c r="BFL550" s="83" t="s">
        <v>151</v>
      </c>
      <c r="BFM550" s="83" t="s">
        <v>151</v>
      </c>
      <c r="BFN550" s="83" t="s">
        <v>151</v>
      </c>
      <c r="BFO550" s="83" t="s">
        <v>151</v>
      </c>
      <c r="BFP550" s="83" t="s">
        <v>151</v>
      </c>
      <c r="BFQ550" s="83" t="s">
        <v>151</v>
      </c>
      <c r="BFR550" s="83" t="s">
        <v>151</v>
      </c>
      <c r="BFS550" s="83" t="s">
        <v>151</v>
      </c>
      <c r="BFT550" s="83" t="s">
        <v>151</v>
      </c>
      <c r="BFU550" s="83" t="s">
        <v>151</v>
      </c>
      <c r="BFV550" s="83" t="s">
        <v>151</v>
      </c>
      <c r="BFW550" s="83" t="s">
        <v>151</v>
      </c>
      <c r="BFX550" s="83" t="s">
        <v>151</v>
      </c>
      <c r="BFY550" s="83" t="s">
        <v>151</v>
      </c>
      <c r="BFZ550" s="83" t="s">
        <v>151</v>
      </c>
      <c r="BGA550" s="83" t="s">
        <v>151</v>
      </c>
      <c r="BGB550" s="83" t="s">
        <v>151</v>
      </c>
      <c r="BGC550" s="83" t="s">
        <v>151</v>
      </c>
      <c r="BGD550" s="83" t="s">
        <v>151</v>
      </c>
      <c r="BGE550" s="83" t="s">
        <v>151</v>
      </c>
      <c r="BGF550" s="83" t="s">
        <v>151</v>
      </c>
      <c r="BGG550" s="83" t="s">
        <v>151</v>
      </c>
      <c r="BGH550" s="83" t="s">
        <v>151</v>
      </c>
      <c r="BGI550" s="83" t="s">
        <v>151</v>
      </c>
      <c r="BGJ550" s="83" t="s">
        <v>151</v>
      </c>
      <c r="BGK550" s="83" t="s">
        <v>151</v>
      </c>
      <c r="BGL550" s="83" t="s">
        <v>151</v>
      </c>
      <c r="BGM550" s="83" t="s">
        <v>151</v>
      </c>
      <c r="BGN550" s="83" t="s">
        <v>151</v>
      </c>
      <c r="BGO550" s="83" t="s">
        <v>151</v>
      </c>
      <c r="BGP550" s="83" t="s">
        <v>151</v>
      </c>
      <c r="BGQ550" s="83" t="s">
        <v>151</v>
      </c>
      <c r="BGR550" s="83" t="s">
        <v>151</v>
      </c>
      <c r="BGS550" s="83" t="s">
        <v>151</v>
      </c>
      <c r="BGT550" s="83" t="s">
        <v>151</v>
      </c>
      <c r="BGU550" s="83" t="s">
        <v>151</v>
      </c>
      <c r="BGV550" s="83" t="s">
        <v>151</v>
      </c>
      <c r="BGW550" s="83" t="s">
        <v>151</v>
      </c>
      <c r="BGX550" s="83" t="s">
        <v>151</v>
      </c>
      <c r="BGY550" s="83" t="s">
        <v>151</v>
      </c>
      <c r="BGZ550" s="83" t="s">
        <v>151</v>
      </c>
      <c r="BHA550" s="83" t="s">
        <v>151</v>
      </c>
      <c r="BHB550" s="83" t="s">
        <v>151</v>
      </c>
      <c r="BHC550" s="83" t="s">
        <v>151</v>
      </c>
      <c r="BHD550" s="83" t="s">
        <v>151</v>
      </c>
      <c r="BHE550" s="83" t="s">
        <v>151</v>
      </c>
      <c r="BHF550" s="83" t="s">
        <v>151</v>
      </c>
      <c r="BHG550" s="83" t="s">
        <v>151</v>
      </c>
      <c r="BHH550" s="83" t="s">
        <v>151</v>
      </c>
      <c r="BHI550" s="83" t="s">
        <v>151</v>
      </c>
      <c r="BHJ550" s="83" t="s">
        <v>151</v>
      </c>
      <c r="BHK550" s="83" t="s">
        <v>151</v>
      </c>
      <c r="BHL550" s="83" t="s">
        <v>151</v>
      </c>
      <c r="BHM550" s="83" t="s">
        <v>151</v>
      </c>
      <c r="BHN550" s="83" t="s">
        <v>151</v>
      </c>
      <c r="BHO550" s="83" t="s">
        <v>151</v>
      </c>
      <c r="BHP550" s="83" t="s">
        <v>151</v>
      </c>
      <c r="BHQ550" s="83" t="s">
        <v>151</v>
      </c>
      <c r="BHR550" s="83" t="s">
        <v>151</v>
      </c>
      <c r="BHS550" s="83" t="s">
        <v>151</v>
      </c>
      <c r="BHT550" s="83" t="s">
        <v>151</v>
      </c>
      <c r="BHU550" s="83" t="s">
        <v>151</v>
      </c>
      <c r="BHV550" s="83" t="s">
        <v>151</v>
      </c>
      <c r="BHW550" s="83" t="s">
        <v>151</v>
      </c>
      <c r="BHX550" s="83" t="s">
        <v>151</v>
      </c>
      <c r="BHY550" s="83" t="s">
        <v>151</v>
      </c>
      <c r="BHZ550" s="83" t="s">
        <v>151</v>
      </c>
      <c r="BIA550" s="83" t="s">
        <v>151</v>
      </c>
      <c r="BIB550" s="83" t="s">
        <v>151</v>
      </c>
      <c r="BIC550" s="83" t="s">
        <v>151</v>
      </c>
      <c r="BID550" s="83" t="s">
        <v>151</v>
      </c>
      <c r="BIE550" s="83" t="s">
        <v>151</v>
      </c>
      <c r="BIF550" s="83" t="s">
        <v>151</v>
      </c>
      <c r="BIG550" s="83" t="s">
        <v>151</v>
      </c>
      <c r="BIH550" s="83" t="s">
        <v>151</v>
      </c>
      <c r="BII550" s="83" t="s">
        <v>151</v>
      </c>
      <c r="BIJ550" s="83" t="s">
        <v>151</v>
      </c>
      <c r="BIK550" s="83" t="s">
        <v>151</v>
      </c>
      <c r="BIL550" s="83" t="s">
        <v>151</v>
      </c>
      <c r="BIM550" s="83" t="s">
        <v>151</v>
      </c>
      <c r="BIN550" s="83" t="s">
        <v>151</v>
      </c>
      <c r="BIO550" s="83" t="s">
        <v>151</v>
      </c>
      <c r="BIP550" s="83" t="s">
        <v>151</v>
      </c>
      <c r="BIQ550" s="83" t="s">
        <v>151</v>
      </c>
      <c r="BIR550" s="83" t="s">
        <v>151</v>
      </c>
      <c r="BIS550" s="83" t="s">
        <v>151</v>
      </c>
      <c r="BIT550" s="83" t="s">
        <v>151</v>
      </c>
      <c r="BIU550" s="83" t="s">
        <v>151</v>
      </c>
      <c r="BIV550" s="83" t="s">
        <v>151</v>
      </c>
      <c r="BIW550" s="83" t="s">
        <v>151</v>
      </c>
      <c r="BIX550" s="83" t="s">
        <v>151</v>
      </c>
      <c r="BIY550" s="83" t="s">
        <v>151</v>
      </c>
      <c r="BIZ550" s="83" t="s">
        <v>151</v>
      </c>
      <c r="BJA550" s="83" t="s">
        <v>151</v>
      </c>
      <c r="BJB550" s="83" t="s">
        <v>151</v>
      </c>
      <c r="BJC550" s="83" t="s">
        <v>151</v>
      </c>
      <c r="BJD550" s="83" t="s">
        <v>151</v>
      </c>
      <c r="BJE550" s="83" t="s">
        <v>151</v>
      </c>
      <c r="BJF550" s="83" t="s">
        <v>151</v>
      </c>
      <c r="BJG550" s="83" t="s">
        <v>151</v>
      </c>
      <c r="BJH550" s="83" t="s">
        <v>151</v>
      </c>
      <c r="BJI550" s="83" t="s">
        <v>151</v>
      </c>
      <c r="BJJ550" s="83" t="s">
        <v>151</v>
      </c>
      <c r="BJK550" s="83" t="s">
        <v>151</v>
      </c>
      <c r="BJL550" s="83" t="s">
        <v>151</v>
      </c>
      <c r="BJM550" s="83" t="s">
        <v>151</v>
      </c>
      <c r="BJN550" s="83" t="s">
        <v>151</v>
      </c>
      <c r="BJO550" s="83" t="s">
        <v>151</v>
      </c>
      <c r="BJP550" s="83" t="s">
        <v>151</v>
      </c>
      <c r="BJQ550" s="83" t="s">
        <v>151</v>
      </c>
      <c r="BJR550" s="83" t="s">
        <v>151</v>
      </c>
      <c r="BJS550" s="83" t="s">
        <v>151</v>
      </c>
      <c r="BJT550" s="83" t="s">
        <v>151</v>
      </c>
      <c r="BJU550" s="83" t="s">
        <v>151</v>
      </c>
      <c r="BJV550" s="83" t="s">
        <v>151</v>
      </c>
      <c r="BJW550" s="83" t="s">
        <v>151</v>
      </c>
      <c r="BJX550" s="83" t="s">
        <v>151</v>
      </c>
      <c r="BJY550" s="83" t="s">
        <v>151</v>
      </c>
      <c r="BJZ550" s="83" t="s">
        <v>151</v>
      </c>
      <c r="BKA550" s="83" t="s">
        <v>151</v>
      </c>
      <c r="BKB550" s="83" t="s">
        <v>151</v>
      </c>
      <c r="BKC550" s="83" t="s">
        <v>151</v>
      </c>
      <c r="BKD550" s="83" t="s">
        <v>151</v>
      </c>
      <c r="BKE550" s="83" t="s">
        <v>151</v>
      </c>
      <c r="BKF550" s="83" t="s">
        <v>151</v>
      </c>
      <c r="BKG550" s="83" t="s">
        <v>151</v>
      </c>
      <c r="BKH550" s="83" t="s">
        <v>151</v>
      </c>
      <c r="BKI550" s="83" t="s">
        <v>151</v>
      </c>
      <c r="BKJ550" s="83" t="s">
        <v>151</v>
      </c>
      <c r="BKK550" s="83" t="s">
        <v>151</v>
      </c>
      <c r="BKL550" s="83" t="s">
        <v>151</v>
      </c>
      <c r="BKM550" s="83" t="s">
        <v>151</v>
      </c>
      <c r="BKN550" s="83" t="s">
        <v>151</v>
      </c>
      <c r="BKO550" s="83" t="s">
        <v>151</v>
      </c>
      <c r="BKP550" s="83" t="s">
        <v>151</v>
      </c>
      <c r="BKQ550" s="83" t="s">
        <v>151</v>
      </c>
      <c r="BKR550" s="83" t="s">
        <v>151</v>
      </c>
      <c r="BKS550" s="83" t="s">
        <v>151</v>
      </c>
      <c r="BKT550" s="83" t="s">
        <v>151</v>
      </c>
      <c r="BKU550" s="83" t="s">
        <v>151</v>
      </c>
      <c r="BKV550" s="83" t="s">
        <v>151</v>
      </c>
      <c r="BKW550" s="83" t="s">
        <v>151</v>
      </c>
      <c r="BKX550" s="83" t="s">
        <v>151</v>
      </c>
      <c r="BKY550" s="83" t="s">
        <v>151</v>
      </c>
      <c r="BKZ550" s="83" t="s">
        <v>151</v>
      </c>
      <c r="BLA550" s="83" t="s">
        <v>151</v>
      </c>
      <c r="BLB550" s="83" t="s">
        <v>151</v>
      </c>
      <c r="BLC550" s="83" t="s">
        <v>151</v>
      </c>
      <c r="BLD550" s="83" t="s">
        <v>151</v>
      </c>
      <c r="BLE550" s="83" t="s">
        <v>151</v>
      </c>
      <c r="BLF550" s="83" t="s">
        <v>151</v>
      </c>
      <c r="BLG550" s="83" t="s">
        <v>151</v>
      </c>
      <c r="BLH550" s="83" t="s">
        <v>151</v>
      </c>
      <c r="BLI550" s="83" t="s">
        <v>151</v>
      </c>
      <c r="BLJ550" s="83" t="s">
        <v>151</v>
      </c>
      <c r="BLK550" s="83" t="s">
        <v>151</v>
      </c>
      <c r="BLL550" s="83" t="s">
        <v>151</v>
      </c>
      <c r="BLM550" s="83" t="s">
        <v>151</v>
      </c>
      <c r="BLN550" s="83" t="s">
        <v>151</v>
      </c>
      <c r="BLO550" s="83" t="s">
        <v>151</v>
      </c>
      <c r="BLP550" s="83" t="s">
        <v>151</v>
      </c>
      <c r="BLQ550" s="83" t="s">
        <v>151</v>
      </c>
      <c r="BLR550" s="83" t="s">
        <v>151</v>
      </c>
      <c r="BLS550" s="83" t="s">
        <v>151</v>
      </c>
      <c r="BLT550" s="83" t="s">
        <v>151</v>
      </c>
      <c r="BLU550" s="83" t="s">
        <v>151</v>
      </c>
      <c r="BLV550" s="83" t="s">
        <v>151</v>
      </c>
      <c r="BLW550" s="83" t="s">
        <v>151</v>
      </c>
      <c r="BLX550" s="83" t="s">
        <v>151</v>
      </c>
      <c r="BLY550" s="83" t="s">
        <v>151</v>
      </c>
      <c r="BLZ550" s="83" t="s">
        <v>151</v>
      </c>
      <c r="BMA550" s="83" t="s">
        <v>151</v>
      </c>
      <c r="BMB550" s="83" t="s">
        <v>151</v>
      </c>
      <c r="BMC550" s="83" t="s">
        <v>151</v>
      </c>
      <c r="BMD550" s="83" t="s">
        <v>151</v>
      </c>
      <c r="BME550" s="83" t="s">
        <v>151</v>
      </c>
      <c r="BMF550" s="83" t="s">
        <v>151</v>
      </c>
      <c r="BMG550" s="83" t="s">
        <v>151</v>
      </c>
      <c r="BMH550" s="83" t="s">
        <v>151</v>
      </c>
      <c r="BMI550" s="83" t="s">
        <v>151</v>
      </c>
      <c r="BMJ550" s="83" t="s">
        <v>151</v>
      </c>
      <c r="BMK550" s="83" t="s">
        <v>151</v>
      </c>
      <c r="BML550" s="83" t="s">
        <v>151</v>
      </c>
      <c r="BMM550" s="83" t="s">
        <v>151</v>
      </c>
      <c r="BMN550" s="83" t="s">
        <v>151</v>
      </c>
      <c r="BMO550" s="83" t="s">
        <v>151</v>
      </c>
      <c r="BMP550" s="83" t="s">
        <v>151</v>
      </c>
      <c r="BMQ550" s="83" t="s">
        <v>151</v>
      </c>
      <c r="BMR550" s="83" t="s">
        <v>151</v>
      </c>
      <c r="BMS550" s="83" t="s">
        <v>151</v>
      </c>
      <c r="BMT550" s="83" t="s">
        <v>151</v>
      </c>
      <c r="BMU550" s="83" t="s">
        <v>151</v>
      </c>
      <c r="BMV550" s="83" t="s">
        <v>151</v>
      </c>
      <c r="BMW550" s="83" t="s">
        <v>151</v>
      </c>
      <c r="BMX550" s="83" t="s">
        <v>151</v>
      </c>
      <c r="BMY550" s="83" t="s">
        <v>151</v>
      </c>
      <c r="BMZ550" s="83" t="s">
        <v>151</v>
      </c>
      <c r="BNA550" s="83" t="s">
        <v>151</v>
      </c>
      <c r="BNB550" s="83" t="s">
        <v>151</v>
      </c>
      <c r="BNC550" s="83" t="s">
        <v>151</v>
      </c>
      <c r="BND550" s="83" t="s">
        <v>151</v>
      </c>
      <c r="BNE550" s="83" t="s">
        <v>151</v>
      </c>
      <c r="BNF550" s="83" t="s">
        <v>151</v>
      </c>
      <c r="BNG550" s="83" t="s">
        <v>151</v>
      </c>
      <c r="BNH550" s="83" t="s">
        <v>151</v>
      </c>
      <c r="BNI550" s="83" t="s">
        <v>151</v>
      </c>
      <c r="BNJ550" s="83" t="s">
        <v>151</v>
      </c>
      <c r="BNK550" s="83" t="s">
        <v>151</v>
      </c>
      <c r="BNL550" s="83" t="s">
        <v>151</v>
      </c>
      <c r="BNM550" s="83" t="s">
        <v>151</v>
      </c>
      <c r="BNN550" s="83" t="s">
        <v>151</v>
      </c>
      <c r="BNO550" s="83" t="s">
        <v>151</v>
      </c>
      <c r="BNP550" s="83" t="s">
        <v>151</v>
      </c>
      <c r="BNQ550" s="83" t="s">
        <v>151</v>
      </c>
      <c r="BNR550" s="83" t="s">
        <v>151</v>
      </c>
      <c r="BNS550" s="83" t="s">
        <v>151</v>
      </c>
      <c r="BNT550" s="83" t="s">
        <v>151</v>
      </c>
      <c r="BNU550" s="83" t="s">
        <v>151</v>
      </c>
      <c r="BNV550" s="83" t="s">
        <v>151</v>
      </c>
      <c r="BNW550" s="83" t="s">
        <v>151</v>
      </c>
      <c r="BNX550" s="83" t="s">
        <v>151</v>
      </c>
      <c r="BNY550" s="83" t="s">
        <v>151</v>
      </c>
      <c r="BNZ550" s="83" t="s">
        <v>151</v>
      </c>
      <c r="BOA550" s="83" t="s">
        <v>151</v>
      </c>
      <c r="BOB550" s="83" t="s">
        <v>151</v>
      </c>
      <c r="BOC550" s="83" t="s">
        <v>151</v>
      </c>
      <c r="BOD550" s="83" t="s">
        <v>151</v>
      </c>
      <c r="BOE550" s="83" t="s">
        <v>151</v>
      </c>
      <c r="BOF550" s="83" t="s">
        <v>151</v>
      </c>
      <c r="BOG550" s="83" t="s">
        <v>151</v>
      </c>
      <c r="BOH550" s="83" t="s">
        <v>151</v>
      </c>
      <c r="BOI550" s="83" t="s">
        <v>151</v>
      </c>
      <c r="BOJ550" s="83" t="s">
        <v>151</v>
      </c>
      <c r="BOK550" s="83" t="s">
        <v>151</v>
      </c>
      <c r="BOL550" s="83" t="s">
        <v>151</v>
      </c>
      <c r="BOM550" s="83" t="s">
        <v>151</v>
      </c>
      <c r="BON550" s="83" t="s">
        <v>151</v>
      </c>
      <c r="BOO550" s="83" t="s">
        <v>151</v>
      </c>
      <c r="BOP550" s="83" t="s">
        <v>151</v>
      </c>
      <c r="BOQ550" s="83" t="s">
        <v>151</v>
      </c>
      <c r="BOR550" s="83" t="s">
        <v>151</v>
      </c>
      <c r="BOS550" s="83" t="s">
        <v>151</v>
      </c>
      <c r="BOT550" s="83" t="s">
        <v>151</v>
      </c>
      <c r="BOU550" s="83" t="s">
        <v>151</v>
      </c>
      <c r="BOV550" s="83" t="s">
        <v>151</v>
      </c>
      <c r="BOW550" s="83" t="s">
        <v>151</v>
      </c>
      <c r="BOX550" s="83" t="s">
        <v>151</v>
      </c>
      <c r="BOY550" s="83" t="s">
        <v>151</v>
      </c>
      <c r="BOZ550" s="83" t="s">
        <v>151</v>
      </c>
      <c r="BPA550" s="83" t="s">
        <v>151</v>
      </c>
      <c r="BPB550" s="83" t="s">
        <v>151</v>
      </c>
      <c r="BPC550" s="83" t="s">
        <v>151</v>
      </c>
      <c r="BPD550" s="83" t="s">
        <v>151</v>
      </c>
      <c r="BPE550" s="83" t="s">
        <v>151</v>
      </c>
      <c r="BPF550" s="83" t="s">
        <v>151</v>
      </c>
      <c r="BPG550" s="83" t="s">
        <v>151</v>
      </c>
      <c r="BPH550" s="83" t="s">
        <v>151</v>
      </c>
      <c r="BPI550" s="83" t="s">
        <v>151</v>
      </c>
      <c r="BPJ550" s="83" t="s">
        <v>151</v>
      </c>
      <c r="BPK550" s="83" t="s">
        <v>151</v>
      </c>
      <c r="BPL550" s="83" t="s">
        <v>151</v>
      </c>
      <c r="BPM550" s="83" t="s">
        <v>151</v>
      </c>
      <c r="BPN550" s="83" t="s">
        <v>151</v>
      </c>
      <c r="BPO550" s="83" t="s">
        <v>151</v>
      </c>
      <c r="BPP550" s="83" t="s">
        <v>151</v>
      </c>
      <c r="BPQ550" s="83" t="s">
        <v>151</v>
      </c>
      <c r="BPR550" s="83" t="s">
        <v>151</v>
      </c>
      <c r="BPS550" s="83" t="s">
        <v>151</v>
      </c>
      <c r="BPT550" s="83" t="s">
        <v>151</v>
      </c>
      <c r="BPU550" s="83" t="s">
        <v>151</v>
      </c>
      <c r="BPV550" s="83" t="s">
        <v>151</v>
      </c>
      <c r="BPW550" s="83" t="s">
        <v>151</v>
      </c>
      <c r="BPX550" s="83" t="s">
        <v>151</v>
      </c>
      <c r="BPY550" s="83" t="s">
        <v>151</v>
      </c>
      <c r="BPZ550" s="83" t="s">
        <v>151</v>
      </c>
      <c r="BQA550" s="83" t="s">
        <v>151</v>
      </c>
      <c r="BQB550" s="83" t="s">
        <v>151</v>
      </c>
      <c r="BQC550" s="83" t="s">
        <v>151</v>
      </c>
      <c r="BQD550" s="83" t="s">
        <v>151</v>
      </c>
      <c r="BQE550" s="83" t="s">
        <v>151</v>
      </c>
      <c r="BQF550" s="83" t="s">
        <v>151</v>
      </c>
      <c r="BQG550" s="83" t="s">
        <v>151</v>
      </c>
      <c r="BQH550" s="83" t="s">
        <v>151</v>
      </c>
      <c r="BQI550" s="83" t="s">
        <v>151</v>
      </c>
      <c r="BQJ550" s="83" t="s">
        <v>151</v>
      </c>
      <c r="BQK550" s="83" t="s">
        <v>151</v>
      </c>
      <c r="BQL550" s="83" t="s">
        <v>151</v>
      </c>
      <c r="BQM550" s="83" t="s">
        <v>151</v>
      </c>
      <c r="BQN550" s="83" t="s">
        <v>151</v>
      </c>
      <c r="BQO550" s="83" t="s">
        <v>151</v>
      </c>
      <c r="BQP550" s="83" t="s">
        <v>151</v>
      </c>
      <c r="BQQ550" s="83" t="s">
        <v>151</v>
      </c>
      <c r="BQR550" s="83" t="s">
        <v>151</v>
      </c>
      <c r="BQS550" s="83" t="s">
        <v>151</v>
      </c>
      <c r="BQT550" s="83" t="s">
        <v>151</v>
      </c>
      <c r="BQU550" s="83" t="s">
        <v>151</v>
      </c>
      <c r="BQV550" s="83" t="s">
        <v>151</v>
      </c>
      <c r="BQW550" s="83" t="s">
        <v>151</v>
      </c>
      <c r="BQX550" s="83" t="s">
        <v>151</v>
      </c>
      <c r="BQY550" s="83" t="s">
        <v>151</v>
      </c>
      <c r="BQZ550" s="83" t="s">
        <v>151</v>
      </c>
      <c r="BRA550" s="83" t="s">
        <v>151</v>
      </c>
      <c r="BRB550" s="83" t="s">
        <v>151</v>
      </c>
      <c r="BRC550" s="83" t="s">
        <v>151</v>
      </c>
      <c r="BRD550" s="83" t="s">
        <v>151</v>
      </c>
      <c r="BRE550" s="83" t="s">
        <v>151</v>
      </c>
      <c r="BRF550" s="83" t="s">
        <v>151</v>
      </c>
      <c r="BRG550" s="83" t="s">
        <v>151</v>
      </c>
      <c r="BRH550" s="83" t="s">
        <v>151</v>
      </c>
      <c r="BRI550" s="83" t="s">
        <v>151</v>
      </c>
      <c r="BRJ550" s="83" t="s">
        <v>151</v>
      </c>
      <c r="BRK550" s="83" t="s">
        <v>151</v>
      </c>
      <c r="BRL550" s="83" t="s">
        <v>151</v>
      </c>
      <c r="BRM550" s="83" t="s">
        <v>151</v>
      </c>
      <c r="BRN550" s="83" t="s">
        <v>151</v>
      </c>
      <c r="BRO550" s="83" t="s">
        <v>151</v>
      </c>
      <c r="BRP550" s="83" t="s">
        <v>151</v>
      </c>
      <c r="BRQ550" s="83" t="s">
        <v>151</v>
      </c>
      <c r="BRR550" s="83" t="s">
        <v>151</v>
      </c>
      <c r="BRS550" s="83" t="s">
        <v>151</v>
      </c>
      <c r="BRT550" s="83" t="s">
        <v>151</v>
      </c>
      <c r="BRU550" s="83" t="s">
        <v>151</v>
      </c>
      <c r="BRV550" s="83" t="s">
        <v>151</v>
      </c>
      <c r="BRW550" s="83" t="s">
        <v>151</v>
      </c>
      <c r="BRX550" s="83" t="s">
        <v>151</v>
      </c>
      <c r="BRY550" s="83" t="s">
        <v>151</v>
      </c>
      <c r="BRZ550" s="83" t="s">
        <v>151</v>
      </c>
      <c r="BSA550" s="83" t="s">
        <v>151</v>
      </c>
      <c r="BSB550" s="83" t="s">
        <v>151</v>
      </c>
      <c r="BSC550" s="83" t="s">
        <v>151</v>
      </c>
      <c r="BSD550" s="83" t="s">
        <v>151</v>
      </c>
      <c r="BSE550" s="83" t="s">
        <v>151</v>
      </c>
      <c r="BSF550" s="83" t="s">
        <v>151</v>
      </c>
      <c r="BSG550" s="83" t="s">
        <v>151</v>
      </c>
      <c r="BSH550" s="83" t="s">
        <v>151</v>
      </c>
      <c r="BSI550" s="83" t="s">
        <v>151</v>
      </c>
      <c r="BSJ550" s="83" t="s">
        <v>151</v>
      </c>
      <c r="BSK550" s="83" t="s">
        <v>151</v>
      </c>
      <c r="BSL550" s="83" t="s">
        <v>151</v>
      </c>
      <c r="BSM550" s="83" t="s">
        <v>151</v>
      </c>
      <c r="BSN550" s="83" t="s">
        <v>151</v>
      </c>
      <c r="BSO550" s="83" t="s">
        <v>151</v>
      </c>
      <c r="BSP550" s="83" t="s">
        <v>151</v>
      </c>
      <c r="BSQ550" s="83" t="s">
        <v>151</v>
      </c>
      <c r="BSR550" s="83" t="s">
        <v>151</v>
      </c>
      <c r="BSS550" s="83" t="s">
        <v>151</v>
      </c>
      <c r="BST550" s="83" t="s">
        <v>151</v>
      </c>
      <c r="BSU550" s="83" t="s">
        <v>151</v>
      </c>
      <c r="BSV550" s="83" t="s">
        <v>151</v>
      </c>
      <c r="BSW550" s="83" t="s">
        <v>151</v>
      </c>
      <c r="BSX550" s="83" t="s">
        <v>151</v>
      </c>
      <c r="BSY550" s="83" t="s">
        <v>151</v>
      </c>
      <c r="BSZ550" s="83" t="s">
        <v>151</v>
      </c>
      <c r="BTA550" s="83" t="s">
        <v>151</v>
      </c>
      <c r="BTB550" s="83" t="s">
        <v>151</v>
      </c>
      <c r="BTC550" s="83" t="s">
        <v>151</v>
      </c>
      <c r="BTD550" s="83" t="s">
        <v>151</v>
      </c>
      <c r="BTE550" s="83" t="s">
        <v>151</v>
      </c>
      <c r="BTF550" s="83" t="s">
        <v>151</v>
      </c>
      <c r="BTG550" s="83" t="s">
        <v>151</v>
      </c>
      <c r="BTH550" s="83" t="s">
        <v>151</v>
      </c>
      <c r="BTI550" s="83" t="s">
        <v>151</v>
      </c>
      <c r="BTJ550" s="83" t="s">
        <v>151</v>
      </c>
      <c r="BTK550" s="83" t="s">
        <v>151</v>
      </c>
      <c r="BTL550" s="83" t="s">
        <v>151</v>
      </c>
      <c r="BTM550" s="83" t="s">
        <v>151</v>
      </c>
      <c r="BTN550" s="83" t="s">
        <v>151</v>
      </c>
      <c r="BTO550" s="83" t="s">
        <v>151</v>
      </c>
      <c r="BTP550" s="83" t="s">
        <v>151</v>
      </c>
      <c r="BTQ550" s="83" t="s">
        <v>151</v>
      </c>
      <c r="BTR550" s="83" t="s">
        <v>151</v>
      </c>
      <c r="BTS550" s="83" t="s">
        <v>151</v>
      </c>
      <c r="BTT550" s="83" t="s">
        <v>151</v>
      </c>
      <c r="BTU550" s="83" t="s">
        <v>151</v>
      </c>
      <c r="BTV550" s="83" t="s">
        <v>151</v>
      </c>
      <c r="BTW550" s="83" t="s">
        <v>151</v>
      </c>
      <c r="BTX550" s="83" t="s">
        <v>151</v>
      </c>
      <c r="BTY550" s="83" t="s">
        <v>151</v>
      </c>
      <c r="BTZ550" s="83" t="s">
        <v>151</v>
      </c>
      <c r="BUA550" s="83" t="s">
        <v>151</v>
      </c>
      <c r="BUB550" s="83" t="s">
        <v>151</v>
      </c>
      <c r="BUC550" s="83" t="s">
        <v>151</v>
      </c>
      <c r="BUD550" s="83" t="s">
        <v>151</v>
      </c>
      <c r="BUE550" s="83" t="s">
        <v>151</v>
      </c>
      <c r="BUF550" s="83" t="s">
        <v>151</v>
      </c>
      <c r="BUG550" s="83" t="s">
        <v>151</v>
      </c>
      <c r="BUH550" s="83" t="s">
        <v>151</v>
      </c>
      <c r="BUI550" s="83" t="s">
        <v>151</v>
      </c>
      <c r="BUJ550" s="83" t="s">
        <v>151</v>
      </c>
      <c r="BUK550" s="83" t="s">
        <v>151</v>
      </c>
      <c r="BUL550" s="83" t="s">
        <v>151</v>
      </c>
      <c r="BUM550" s="83" t="s">
        <v>151</v>
      </c>
      <c r="BUN550" s="83" t="s">
        <v>151</v>
      </c>
      <c r="BUO550" s="83" t="s">
        <v>151</v>
      </c>
      <c r="BUP550" s="83" t="s">
        <v>151</v>
      </c>
      <c r="BUQ550" s="83" t="s">
        <v>151</v>
      </c>
      <c r="BUR550" s="83" t="s">
        <v>151</v>
      </c>
      <c r="BUS550" s="83" t="s">
        <v>151</v>
      </c>
      <c r="BUT550" s="83" t="s">
        <v>151</v>
      </c>
      <c r="BUU550" s="83" t="s">
        <v>151</v>
      </c>
      <c r="BUV550" s="83" t="s">
        <v>151</v>
      </c>
      <c r="BUW550" s="83" t="s">
        <v>151</v>
      </c>
      <c r="BUX550" s="83" t="s">
        <v>151</v>
      </c>
      <c r="BUY550" s="83" t="s">
        <v>151</v>
      </c>
      <c r="BUZ550" s="83" t="s">
        <v>151</v>
      </c>
      <c r="BVA550" s="83" t="s">
        <v>151</v>
      </c>
      <c r="BVB550" s="83" t="s">
        <v>151</v>
      </c>
      <c r="BVC550" s="83" t="s">
        <v>151</v>
      </c>
      <c r="BVD550" s="83" t="s">
        <v>151</v>
      </c>
      <c r="BVE550" s="83" t="s">
        <v>151</v>
      </c>
      <c r="BVF550" s="83" t="s">
        <v>151</v>
      </c>
      <c r="BVG550" s="83" t="s">
        <v>151</v>
      </c>
      <c r="BVH550" s="83" t="s">
        <v>151</v>
      </c>
      <c r="BVI550" s="83" t="s">
        <v>151</v>
      </c>
      <c r="BVJ550" s="83" t="s">
        <v>151</v>
      </c>
      <c r="BVK550" s="83" t="s">
        <v>151</v>
      </c>
      <c r="BVL550" s="83" t="s">
        <v>151</v>
      </c>
      <c r="BVM550" s="83" t="s">
        <v>151</v>
      </c>
      <c r="BVN550" s="83" t="s">
        <v>151</v>
      </c>
      <c r="BVO550" s="83" t="s">
        <v>151</v>
      </c>
      <c r="BVP550" s="83" t="s">
        <v>151</v>
      </c>
      <c r="BVQ550" s="83" t="s">
        <v>151</v>
      </c>
      <c r="BVR550" s="83" t="s">
        <v>151</v>
      </c>
      <c r="BVS550" s="83" t="s">
        <v>151</v>
      </c>
      <c r="BVT550" s="83" t="s">
        <v>151</v>
      </c>
      <c r="BVU550" s="83" t="s">
        <v>151</v>
      </c>
      <c r="BVV550" s="83" t="s">
        <v>151</v>
      </c>
      <c r="BVW550" s="83" t="s">
        <v>151</v>
      </c>
      <c r="BVX550" s="83" t="s">
        <v>151</v>
      </c>
      <c r="BVY550" s="83" t="s">
        <v>151</v>
      </c>
      <c r="BVZ550" s="83" t="s">
        <v>151</v>
      </c>
      <c r="BWA550" s="83" t="s">
        <v>151</v>
      </c>
      <c r="BWB550" s="83" t="s">
        <v>151</v>
      </c>
      <c r="BWC550" s="83" t="s">
        <v>151</v>
      </c>
      <c r="BWD550" s="83" t="s">
        <v>151</v>
      </c>
      <c r="BWE550" s="83" t="s">
        <v>151</v>
      </c>
      <c r="BWF550" s="83" t="s">
        <v>151</v>
      </c>
      <c r="BWG550" s="83" t="s">
        <v>151</v>
      </c>
      <c r="BWH550" s="83" t="s">
        <v>151</v>
      </c>
      <c r="BWI550" s="83" t="s">
        <v>151</v>
      </c>
      <c r="BWJ550" s="83" t="s">
        <v>151</v>
      </c>
      <c r="BWK550" s="83" t="s">
        <v>151</v>
      </c>
      <c r="BWL550" s="83" t="s">
        <v>151</v>
      </c>
      <c r="BWM550" s="83" t="s">
        <v>151</v>
      </c>
      <c r="BWN550" s="83" t="s">
        <v>151</v>
      </c>
      <c r="BWO550" s="83" t="s">
        <v>151</v>
      </c>
      <c r="BWP550" s="83" t="s">
        <v>151</v>
      </c>
      <c r="BWQ550" s="83" t="s">
        <v>151</v>
      </c>
      <c r="BWR550" s="83" t="s">
        <v>151</v>
      </c>
      <c r="BWS550" s="83" t="s">
        <v>151</v>
      </c>
      <c r="BWT550" s="83" t="s">
        <v>151</v>
      </c>
      <c r="BWU550" s="83" t="s">
        <v>151</v>
      </c>
      <c r="BWV550" s="83" t="s">
        <v>151</v>
      </c>
      <c r="BWW550" s="83" t="s">
        <v>151</v>
      </c>
      <c r="BWX550" s="83" t="s">
        <v>151</v>
      </c>
      <c r="BWY550" s="83" t="s">
        <v>151</v>
      </c>
      <c r="BWZ550" s="83" t="s">
        <v>151</v>
      </c>
      <c r="BXA550" s="83" t="s">
        <v>151</v>
      </c>
      <c r="BXB550" s="83" t="s">
        <v>151</v>
      </c>
      <c r="BXC550" s="83" t="s">
        <v>151</v>
      </c>
      <c r="BXD550" s="83" t="s">
        <v>151</v>
      </c>
      <c r="BXE550" s="83" t="s">
        <v>151</v>
      </c>
      <c r="BXF550" s="83" t="s">
        <v>151</v>
      </c>
      <c r="BXG550" s="83" t="s">
        <v>151</v>
      </c>
      <c r="BXH550" s="83" t="s">
        <v>151</v>
      </c>
      <c r="BXI550" s="83" t="s">
        <v>151</v>
      </c>
      <c r="BXJ550" s="83" t="s">
        <v>151</v>
      </c>
      <c r="BXK550" s="83" t="s">
        <v>151</v>
      </c>
      <c r="BXL550" s="83" t="s">
        <v>151</v>
      </c>
      <c r="BXM550" s="83" t="s">
        <v>151</v>
      </c>
      <c r="BXN550" s="83" t="s">
        <v>151</v>
      </c>
      <c r="BXO550" s="83" t="s">
        <v>151</v>
      </c>
      <c r="BXP550" s="83" t="s">
        <v>151</v>
      </c>
      <c r="BXQ550" s="83" t="s">
        <v>151</v>
      </c>
      <c r="BXR550" s="83" t="s">
        <v>151</v>
      </c>
      <c r="BXS550" s="83" t="s">
        <v>151</v>
      </c>
      <c r="BXT550" s="83" t="s">
        <v>151</v>
      </c>
      <c r="BXU550" s="83" t="s">
        <v>151</v>
      </c>
      <c r="BXV550" s="83" t="s">
        <v>151</v>
      </c>
      <c r="BXW550" s="83" t="s">
        <v>151</v>
      </c>
      <c r="BXX550" s="83" t="s">
        <v>151</v>
      </c>
      <c r="BXY550" s="83" t="s">
        <v>151</v>
      </c>
      <c r="BXZ550" s="83" t="s">
        <v>151</v>
      </c>
      <c r="BYA550" s="83" t="s">
        <v>151</v>
      </c>
      <c r="BYB550" s="83" t="s">
        <v>151</v>
      </c>
      <c r="BYC550" s="83" t="s">
        <v>151</v>
      </c>
      <c r="BYD550" s="83" t="s">
        <v>151</v>
      </c>
      <c r="BYE550" s="83" t="s">
        <v>151</v>
      </c>
      <c r="BYF550" s="83" t="s">
        <v>151</v>
      </c>
      <c r="BYG550" s="83" t="s">
        <v>151</v>
      </c>
      <c r="BYH550" s="83" t="s">
        <v>151</v>
      </c>
      <c r="BYI550" s="83" t="s">
        <v>151</v>
      </c>
      <c r="BYJ550" s="83" t="s">
        <v>151</v>
      </c>
      <c r="BYK550" s="83" t="s">
        <v>151</v>
      </c>
      <c r="BYL550" s="83" t="s">
        <v>151</v>
      </c>
      <c r="BYM550" s="83" t="s">
        <v>151</v>
      </c>
      <c r="BYN550" s="83" t="s">
        <v>151</v>
      </c>
      <c r="BYO550" s="83" t="s">
        <v>151</v>
      </c>
      <c r="BYP550" s="83" t="s">
        <v>151</v>
      </c>
      <c r="BYQ550" s="83" t="s">
        <v>151</v>
      </c>
      <c r="BYR550" s="83" t="s">
        <v>151</v>
      </c>
      <c r="BYS550" s="83" t="s">
        <v>151</v>
      </c>
      <c r="BYT550" s="83" t="s">
        <v>151</v>
      </c>
      <c r="BYU550" s="83" t="s">
        <v>151</v>
      </c>
      <c r="BYV550" s="83" t="s">
        <v>151</v>
      </c>
      <c r="BYW550" s="83" t="s">
        <v>151</v>
      </c>
      <c r="BYX550" s="83" t="s">
        <v>151</v>
      </c>
      <c r="BYY550" s="83" t="s">
        <v>151</v>
      </c>
      <c r="BYZ550" s="83" t="s">
        <v>151</v>
      </c>
      <c r="BZA550" s="83" t="s">
        <v>151</v>
      </c>
      <c r="BZB550" s="83" t="s">
        <v>151</v>
      </c>
      <c r="BZC550" s="83" t="s">
        <v>151</v>
      </c>
      <c r="BZD550" s="83" t="s">
        <v>151</v>
      </c>
      <c r="BZE550" s="83" t="s">
        <v>151</v>
      </c>
      <c r="BZF550" s="83" t="s">
        <v>151</v>
      </c>
      <c r="BZG550" s="83" t="s">
        <v>151</v>
      </c>
      <c r="BZH550" s="83" t="s">
        <v>151</v>
      </c>
      <c r="BZI550" s="83" t="s">
        <v>151</v>
      </c>
      <c r="BZJ550" s="83" t="s">
        <v>151</v>
      </c>
      <c r="BZK550" s="83" t="s">
        <v>151</v>
      </c>
      <c r="BZL550" s="83" t="s">
        <v>151</v>
      </c>
      <c r="BZM550" s="83" t="s">
        <v>151</v>
      </c>
      <c r="BZN550" s="83" t="s">
        <v>151</v>
      </c>
      <c r="BZO550" s="83" t="s">
        <v>151</v>
      </c>
      <c r="BZP550" s="83" t="s">
        <v>151</v>
      </c>
      <c r="BZQ550" s="83" t="s">
        <v>151</v>
      </c>
      <c r="BZR550" s="83" t="s">
        <v>151</v>
      </c>
      <c r="BZS550" s="83" t="s">
        <v>151</v>
      </c>
      <c r="BZT550" s="83" t="s">
        <v>151</v>
      </c>
      <c r="BZU550" s="83" t="s">
        <v>151</v>
      </c>
      <c r="BZV550" s="83" t="s">
        <v>151</v>
      </c>
      <c r="BZW550" s="83" t="s">
        <v>151</v>
      </c>
      <c r="BZX550" s="83" t="s">
        <v>151</v>
      </c>
      <c r="BZY550" s="83" t="s">
        <v>151</v>
      </c>
      <c r="BZZ550" s="83" t="s">
        <v>151</v>
      </c>
      <c r="CAA550" s="83" t="s">
        <v>151</v>
      </c>
      <c r="CAB550" s="83" t="s">
        <v>151</v>
      </c>
      <c r="CAC550" s="83" t="s">
        <v>151</v>
      </c>
      <c r="CAD550" s="83" t="s">
        <v>151</v>
      </c>
      <c r="CAE550" s="83" t="s">
        <v>151</v>
      </c>
      <c r="CAF550" s="83" t="s">
        <v>151</v>
      </c>
      <c r="CAG550" s="83" t="s">
        <v>151</v>
      </c>
      <c r="CAH550" s="83" t="s">
        <v>151</v>
      </c>
      <c r="CAI550" s="83" t="s">
        <v>151</v>
      </c>
      <c r="CAJ550" s="83" t="s">
        <v>151</v>
      </c>
      <c r="CAK550" s="83" t="s">
        <v>151</v>
      </c>
      <c r="CAL550" s="83" t="s">
        <v>151</v>
      </c>
      <c r="CAM550" s="83" t="s">
        <v>151</v>
      </c>
      <c r="CAN550" s="83" t="s">
        <v>151</v>
      </c>
      <c r="CAO550" s="83" t="s">
        <v>151</v>
      </c>
      <c r="CAP550" s="83" t="s">
        <v>151</v>
      </c>
      <c r="CAQ550" s="83" t="s">
        <v>151</v>
      </c>
      <c r="CAR550" s="83" t="s">
        <v>151</v>
      </c>
      <c r="CAS550" s="83" t="s">
        <v>151</v>
      </c>
      <c r="CAT550" s="83" t="s">
        <v>151</v>
      </c>
      <c r="CAU550" s="83" t="s">
        <v>151</v>
      </c>
      <c r="CAV550" s="83" t="s">
        <v>151</v>
      </c>
      <c r="CAW550" s="83" t="s">
        <v>151</v>
      </c>
      <c r="CAX550" s="83" t="s">
        <v>151</v>
      </c>
      <c r="CAY550" s="83" t="s">
        <v>151</v>
      </c>
      <c r="CAZ550" s="83" t="s">
        <v>151</v>
      </c>
      <c r="CBA550" s="83" t="s">
        <v>151</v>
      </c>
      <c r="CBB550" s="83" t="s">
        <v>151</v>
      </c>
      <c r="CBC550" s="83" t="s">
        <v>151</v>
      </c>
      <c r="CBD550" s="83" t="s">
        <v>151</v>
      </c>
      <c r="CBE550" s="83" t="s">
        <v>151</v>
      </c>
      <c r="CBF550" s="83" t="s">
        <v>151</v>
      </c>
      <c r="CBG550" s="83" t="s">
        <v>151</v>
      </c>
      <c r="CBH550" s="83" t="s">
        <v>151</v>
      </c>
      <c r="CBI550" s="83" t="s">
        <v>151</v>
      </c>
      <c r="CBJ550" s="83" t="s">
        <v>151</v>
      </c>
      <c r="CBK550" s="83" t="s">
        <v>151</v>
      </c>
      <c r="CBL550" s="83" t="s">
        <v>151</v>
      </c>
      <c r="CBM550" s="83" t="s">
        <v>151</v>
      </c>
      <c r="CBN550" s="83" t="s">
        <v>151</v>
      </c>
      <c r="CBO550" s="83" t="s">
        <v>151</v>
      </c>
      <c r="CBP550" s="83" t="s">
        <v>151</v>
      </c>
      <c r="CBQ550" s="83" t="s">
        <v>151</v>
      </c>
      <c r="CBR550" s="83" t="s">
        <v>151</v>
      </c>
      <c r="CBS550" s="83" t="s">
        <v>151</v>
      </c>
      <c r="CBT550" s="83" t="s">
        <v>151</v>
      </c>
      <c r="CBU550" s="83" t="s">
        <v>151</v>
      </c>
      <c r="CBV550" s="83" t="s">
        <v>151</v>
      </c>
      <c r="CBW550" s="83" t="s">
        <v>151</v>
      </c>
      <c r="CBX550" s="83" t="s">
        <v>151</v>
      </c>
      <c r="CBY550" s="83" t="s">
        <v>151</v>
      </c>
      <c r="CBZ550" s="83" t="s">
        <v>151</v>
      </c>
      <c r="CCA550" s="83" t="s">
        <v>151</v>
      </c>
      <c r="CCB550" s="83" t="s">
        <v>151</v>
      </c>
      <c r="CCC550" s="83" t="s">
        <v>151</v>
      </c>
      <c r="CCD550" s="83" t="s">
        <v>151</v>
      </c>
      <c r="CCE550" s="83" t="s">
        <v>151</v>
      </c>
      <c r="CCF550" s="83" t="s">
        <v>151</v>
      </c>
      <c r="CCG550" s="83" t="s">
        <v>151</v>
      </c>
      <c r="CCH550" s="83" t="s">
        <v>151</v>
      </c>
      <c r="CCI550" s="83" t="s">
        <v>151</v>
      </c>
      <c r="CCJ550" s="83" t="s">
        <v>151</v>
      </c>
      <c r="CCK550" s="83" t="s">
        <v>151</v>
      </c>
      <c r="CCL550" s="83" t="s">
        <v>151</v>
      </c>
      <c r="CCM550" s="83" t="s">
        <v>151</v>
      </c>
      <c r="CCN550" s="83" t="s">
        <v>151</v>
      </c>
      <c r="CCO550" s="83" t="s">
        <v>151</v>
      </c>
      <c r="CCP550" s="83" t="s">
        <v>151</v>
      </c>
      <c r="CCQ550" s="83" t="s">
        <v>151</v>
      </c>
      <c r="CCR550" s="83" t="s">
        <v>151</v>
      </c>
      <c r="CCS550" s="83" t="s">
        <v>151</v>
      </c>
      <c r="CCT550" s="83" t="s">
        <v>151</v>
      </c>
      <c r="CCU550" s="83" t="s">
        <v>151</v>
      </c>
      <c r="CCV550" s="83" t="s">
        <v>151</v>
      </c>
      <c r="CCW550" s="83" t="s">
        <v>151</v>
      </c>
      <c r="CCX550" s="83" t="s">
        <v>151</v>
      </c>
      <c r="CCY550" s="83" t="s">
        <v>151</v>
      </c>
      <c r="CCZ550" s="83" t="s">
        <v>151</v>
      </c>
      <c r="CDA550" s="83" t="s">
        <v>151</v>
      </c>
      <c r="CDB550" s="83" t="s">
        <v>151</v>
      </c>
      <c r="CDC550" s="83" t="s">
        <v>151</v>
      </c>
      <c r="CDD550" s="83" t="s">
        <v>151</v>
      </c>
      <c r="CDE550" s="83" t="s">
        <v>151</v>
      </c>
      <c r="CDF550" s="83" t="s">
        <v>151</v>
      </c>
      <c r="CDG550" s="83" t="s">
        <v>151</v>
      </c>
      <c r="CDH550" s="83" t="s">
        <v>151</v>
      </c>
      <c r="CDI550" s="83" t="s">
        <v>151</v>
      </c>
      <c r="CDJ550" s="83" t="s">
        <v>151</v>
      </c>
      <c r="CDK550" s="83" t="s">
        <v>151</v>
      </c>
      <c r="CDL550" s="83" t="s">
        <v>151</v>
      </c>
      <c r="CDM550" s="83" t="s">
        <v>151</v>
      </c>
      <c r="CDN550" s="83" t="s">
        <v>151</v>
      </c>
      <c r="CDO550" s="83" t="s">
        <v>151</v>
      </c>
      <c r="CDP550" s="83" t="s">
        <v>151</v>
      </c>
      <c r="CDQ550" s="83" t="s">
        <v>151</v>
      </c>
      <c r="CDR550" s="83" t="s">
        <v>151</v>
      </c>
      <c r="CDS550" s="83" t="s">
        <v>151</v>
      </c>
      <c r="CDT550" s="83" t="s">
        <v>151</v>
      </c>
      <c r="CDU550" s="83" t="s">
        <v>151</v>
      </c>
      <c r="CDV550" s="83" t="s">
        <v>151</v>
      </c>
      <c r="CDW550" s="83" t="s">
        <v>151</v>
      </c>
      <c r="CDX550" s="83" t="s">
        <v>151</v>
      </c>
      <c r="CDY550" s="83" t="s">
        <v>151</v>
      </c>
      <c r="CDZ550" s="83" t="s">
        <v>151</v>
      </c>
      <c r="CEA550" s="83" t="s">
        <v>151</v>
      </c>
      <c r="CEB550" s="83" t="s">
        <v>151</v>
      </c>
      <c r="CEC550" s="83" t="s">
        <v>151</v>
      </c>
      <c r="CED550" s="83" t="s">
        <v>151</v>
      </c>
      <c r="CEE550" s="83" t="s">
        <v>151</v>
      </c>
      <c r="CEF550" s="83" t="s">
        <v>151</v>
      </c>
      <c r="CEG550" s="83" t="s">
        <v>151</v>
      </c>
      <c r="CEH550" s="83" t="s">
        <v>151</v>
      </c>
      <c r="CEI550" s="83" t="s">
        <v>151</v>
      </c>
      <c r="CEJ550" s="83" t="s">
        <v>151</v>
      </c>
      <c r="CEK550" s="83" t="s">
        <v>151</v>
      </c>
      <c r="CEL550" s="83" t="s">
        <v>151</v>
      </c>
      <c r="CEM550" s="83" t="s">
        <v>151</v>
      </c>
      <c r="CEN550" s="83" t="s">
        <v>151</v>
      </c>
      <c r="CEO550" s="83" t="s">
        <v>151</v>
      </c>
      <c r="CEP550" s="83" t="s">
        <v>151</v>
      </c>
      <c r="CEQ550" s="83" t="s">
        <v>151</v>
      </c>
      <c r="CER550" s="83" t="s">
        <v>151</v>
      </c>
      <c r="CES550" s="83" t="s">
        <v>151</v>
      </c>
      <c r="CET550" s="83" t="s">
        <v>151</v>
      </c>
      <c r="CEU550" s="83" t="s">
        <v>151</v>
      </c>
      <c r="CEV550" s="83" t="s">
        <v>151</v>
      </c>
      <c r="CEW550" s="83" t="s">
        <v>151</v>
      </c>
      <c r="CEX550" s="83" t="s">
        <v>151</v>
      </c>
      <c r="CEY550" s="83" t="s">
        <v>151</v>
      </c>
      <c r="CEZ550" s="83" t="s">
        <v>151</v>
      </c>
      <c r="CFA550" s="83" t="s">
        <v>151</v>
      </c>
      <c r="CFB550" s="83" t="s">
        <v>151</v>
      </c>
      <c r="CFC550" s="83" t="s">
        <v>151</v>
      </c>
      <c r="CFD550" s="83" t="s">
        <v>151</v>
      </c>
      <c r="CFE550" s="83" t="s">
        <v>151</v>
      </c>
      <c r="CFF550" s="83" t="s">
        <v>151</v>
      </c>
      <c r="CFG550" s="83" t="s">
        <v>151</v>
      </c>
      <c r="CFH550" s="83" t="s">
        <v>151</v>
      </c>
      <c r="CFI550" s="83" t="s">
        <v>151</v>
      </c>
      <c r="CFJ550" s="83" t="s">
        <v>151</v>
      </c>
      <c r="CFK550" s="83" t="s">
        <v>151</v>
      </c>
      <c r="CFL550" s="83" t="s">
        <v>151</v>
      </c>
      <c r="CFM550" s="83" t="s">
        <v>151</v>
      </c>
      <c r="CFN550" s="83" t="s">
        <v>151</v>
      </c>
      <c r="CFO550" s="83" t="s">
        <v>151</v>
      </c>
      <c r="CFP550" s="83" t="s">
        <v>151</v>
      </c>
      <c r="CFQ550" s="83" t="s">
        <v>151</v>
      </c>
      <c r="CFR550" s="83" t="s">
        <v>151</v>
      </c>
      <c r="CFS550" s="83" t="s">
        <v>151</v>
      </c>
      <c r="CFT550" s="83" t="s">
        <v>151</v>
      </c>
      <c r="CFU550" s="83" t="s">
        <v>151</v>
      </c>
      <c r="CFV550" s="83" t="s">
        <v>151</v>
      </c>
      <c r="CFW550" s="83" t="s">
        <v>151</v>
      </c>
      <c r="CFX550" s="83" t="s">
        <v>151</v>
      </c>
      <c r="CFY550" s="83" t="s">
        <v>151</v>
      </c>
      <c r="CFZ550" s="83" t="s">
        <v>151</v>
      </c>
      <c r="CGA550" s="83" t="s">
        <v>151</v>
      </c>
      <c r="CGB550" s="83" t="s">
        <v>151</v>
      </c>
      <c r="CGC550" s="83" t="s">
        <v>151</v>
      </c>
      <c r="CGD550" s="83" t="s">
        <v>151</v>
      </c>
      <c r="CGE550" s="83" t="s">
        <v>151</v>
      </c>
      <c r="CGF550" s="83" t="s">
        <v>151</v>
      </c>
      <c r="CGG550" s="83" t="s">
        <v>151</v>
      </c>
      <c r="CGH550" s="83" t="s">
        <v>151</v>
      </c>
      <c r="CGI550" s="83" t="s">
        <v>151</v>
      </c>
      <c r="CGJ550" s="83" t="s">
        <v>151</v>
      </c>
      <c r="CGK550" s="83" t="s">
        <v>151</v>
      </c>
      <c r="CGL550" s="83" t="s">
        <v>151</v>
      </c>
      <c r="CGM550" s="83" t="s">
        <v>151</v>
      </c>
      <c r="CGN550" s="83" t="s">
        <v>151</v>
      </c>
      <c r="CGO550" s="83" t="s">
        <v>151</v>
      </c>
      <c r="CGP550" s="83" t="s">
        <v>151</v>
      </c>
      <c r="CGQ550" s="83" t="s">
        <v>151</v>
      </c>
      <c r="CGR550" s="83" t="s">
        <v>151</v>
      </c>
      <c r="CGS550" s="83" t="s">
        <v>151</v>
      </c>
      <c r="CGT550" s="83" t="s">
        <v>151</v>
      </c>
      <c r="CGU550" s="83" t="s">
        <v>151</v>
      </c>
      <c r="CGV550" s="83" t="s">
        <v>151</v>
      </c>
      <c r="CGW550" s="83" t="s">
        <v>151</v>
      </c>
      <c r="CGX550" s="83" t="s">
        <v>151</v>
      </c>
      <c r="CGY550" s="83" t="s">
        <v>151</v>
      </c>
      <c r="CGZ550" s="83" t="s">
        <v>151</v>
      </c>
      <c r="CHA550" s="83" t="s">
        <v>151</v>
      </c>
      <c r="CHB550" s="83" t="s">
        <v>151</v>
      </c>
      <c r="CHC550" s="83" t="s">
        <v>151</v>
      </c>
      <c r="CHD550" s="83" t="s">
        <v>151</v>
      </c>
      <c r="CHE550" s="83" t="s">
        <v>151</v>
      </c>
      <c r="CHF550" s="83" t="s">
        <v>151</v>
      </c>
      <c r="CHG550" s="83" t="s">
        <v>151</v>
      </c>
      <c r="CHH550" s="83" t="s">
        <v>151</v>
      </c>
      <c r="CHI550" s="83" t="s">
        <v>151</v>
      </c>
      <c r="CHJ550" s="83" t="s">
        <v>151</v>
      </c>
      <c r="CHK550" s="83" t="s">
        <v>151</v>
      </c>
      <c r="CHL550" s="83" t="s">
        <v>151</v>
      </c>
      <c r="CHM550" s="83" t="s">
        <v>151</v>
      </c>
      <c r="CHN550" s="83" t="s">
        <v>151</v>
      </c>
      <c r="CHO550" s="83" t="s">
        <v>151</v>
      </c>
      <c r="CHP550" s="83" t="s">
        <v>151</v>
      </c>
      <c r="CHQ550" s="83" t="s">
        <v>151</v>
      </c>
      <c r="CHR550" s="83" t="s">
        <v>151</v>
      </c>
      <c r="CHS550" s="83" t="s">
        <v>151</v>
      </c>
      <c r="CHT550" s="83" t="s">
        <v>151</v>
      </c>
      <c r="CHU550" s="83" t="s">
        <v>151</v>
      </c>
      <c r="CHV550" s="83" t="s">
        <v>151</v>
      </c>
      <c r="CHW550" s="83" t="s">
        <v>151</v>
      </c>
      <c r="CHX550" s="83" t="s">
        <v>151</v>
      </c>
      <c r="CHY550" s="83" t="s">
        <v>151</v>
      </c>
      <c r="CHZ550" s="83" t="s">
        <v>151</v>
      </c>
      <c r="CIA550" s="83" t="s">
        <v>151</v>
      </c>
      <c r="CIB550" s="83" t="s">
        <v>151</v>
      </c>
      <c r="CIC550" s="83" t="s">
        <v>151</v>
      </c>
      <c r="CID550" s="83" t="s">
        <v>151</v>
      </c>
      <c r="CIE550" s="83" t="s">
        <v>151</v>
      </c>
      <c r="CIF550" s="83" t="s">
        <v>151</v>
      </c>
      <c r="CIG550" s="83" t="s">
        <v>151</v>
      </c>
      <c r="CIH550" s="83" t="s">
        <v>151</v>
      </c>
      <c r="CII550" s="83" t="s">
        <v>151</v>
      </c>
      <c r="CIJ550" s="83" t="s">
        <v>151</v>
      </c>
      <c r="CIK550" s="83" t="s">
        <v>151</v>
      </c>
      <c r="CIL550" s="83" t="s">
        <v>151</v>
      </c>
      <c r="CIM550" s="83" t="s">
        <v>151</v>
      </c>
      <c r="CIN550" s="83" t="s">
        <v>151</v>
      </c>
      <c r="CIO550" s="83" t="s">
        <v>151</v>
      </c>
      <c r="CIP550" s="83" t="s">
        <v>151</v>
      </c>
      <c r="CIQ550" s="83" t="s">
        <v>151</v>
      </c>
      <c r="CIR550" s="83" t="s">
        <v>151</v>
      </c>
      <c r="CIS550" s="83" t="s">
        <v>151</v>
      </c>
      <c r="CIT550" s="83" t="s">
        <v>151</v>
      </c>
      <c r="CIU550" s="83" t="s">
        <v>151</v>
      </c>
      <c r="CIV550" s="83" t="s">
        <v>151</v>
      </c>
      <c r="CIW550" s="83" t="s">
        <v>151</v>
      </c>
      <c r="CIX550" s="83" t="s">
        <v>151</v>
      </c>
      <c r="CIY550" s="83" t="s">
        <v>151</v>
      </c>
      <c r="CIZ550" s="83" t="s">
        <v>151</v>
      </c>
      <c r="CJA550" s="83" t="s">
        <v>151</v>
      </c>
      <c r="CJB550" s="83" t="s">
        <v>151</v>
      </c>
      <c r="CJC550" s="83" t="s">
        <v>151</v>
      </c>
      <c r="CJD550" s="83" t="s">
        <v>151</v>
      </c>
      <c r="CJE550" s="83" t="s">
        <v>151</v>
      </c>
      <c r="CJF550" s="83" t="s">
        <v>151</v>
      </c>
      <c r="CJG550" s="83" t="s">
        <v>151</v>
      </c>
      <c r="CJH550" s="83" t="s">
        <v>151</v>
      </c>
      <c r="CJI550" s="83" t="s">
        <v>151</v>
      </c>
      <c r="CJJ550" s="83" t="s">
        <v>151</v>
      </c>
      <c r="CJK550" s="83" t="s">
        <v>151</v>
      </c>
      <c r="CJL550" s="83" t="s">
        <v>151</v>
      </c>
      <c r="CJM550" s="83" t="s">
        <v>151</v>
      </c>
      <c r="CJN550" s="83" t="s">
        <v>151</v>
      </c>
      <c r="CJO550" s="83" t="s">
        <v>151</v>
      </c>
      <c r="CJP550" s="83" t="s">
        <v>151</v>
      </c>
      <c r="CJQ550" s="83" t="s">
        <v>151</v>
      </c>
      <c r="CJR550" s="83" t="s">
        <v>151</v>
      </c>
      <c r="CJS550" s="83" t="s">
        <v>151</v>
      </c>
      <c r="CJT550" s="83" t="s">
        <v>151</v>
      </c>
      <c r="CJU550" s="83" t="s">
        <v>151</v>
      </c>
      <c r="CJV550" s="83" t="s">
        <v>151</v>
      </c>
      <c r="CJW550" s="83" t="s">
        <v>151</v>
      </c>
      <c r="CJX550" s="83" t="s">
        <v>151</v>
      </c>
      <c r="CJY550" s="83" t="s">
        <v>151</v>
      </c>
      <c r="CJZ550" s="83" t="s">
        <v>151</v>
      </c>
      <c r="CKA550" s="83" t="s">
        <v>151</v>
      </c>
      <c r="CKB550" s="83" t="s">
        <v>151</v>
      </c>
      <c r="CKC550" s="83" t="s">
        <v>151</v>
      </c>
      <c r="CKD550" s="83" t="s">
        <v>151</v>
      </c>
      <c r="CKE550" s="83" t="s">
        <v>151</v>
      </c>
      <c r="CKF550" s="83" t="s">
        <v>151</v>
      </c>
      <c r="CKG550" s="83" t="s">
        <v>151</v>
      </c>
      <c r="CKH550" s="83" t="s">
        <v>151</v>
      </c>
      <c r="CKI550" s="83" t="s">
        <v>151</v>
      </c>
      <c r="CKJ550" s="83" t="s">
        <v>151</v>
      </c>
      <c r="CKK550" s="83" t="s">
        <v>151</v>
      </c>
      <c r="CKL550" s="83" t="s">
        <v>151</v>
      </c>
      <c r="CKM550" s="83" t="s">
        <v>151</v>
      </c>
      <c r="CKN550" s="83" t="s">
        <v>151</v>
      </c>
      <c r="CKO550" s="83" t="s">
        <v>151</v>
      </c>
      <c r="CKP550" s="83" t="s">
        <v>151</v>
      </c>
      <c r="CKQ550" s="83" t="s">
        <v>151</v>
      </c>
      <c r="CKR550" s="83" t="s">
        <v>151</v>
      </c>
      <c r="CKS550" s="83" t="s">
        <v>151</v>
      </c>
      <c r="CKT550" s="83" t="s">
        <v>151</v>
      </c>
      <c r="CKU550" s="83" t="s">
        <v>151</v>
      </c>
      <c r="CKV550" s="83" t="s">
        <v>151</v>
      </c>
      <c r="CKW550" s="83" t="s">
        <v>151</v>
      </c>
      <c r="CKX550" s="83" t="s">
        <v>151</v>
      </c>
      <c r="CKY550" s="83" t="s">
        <v>151</v>
      </c>
      <c r="CKZ550" s="83" t="s">
        <v>151</v>
      </c>
      <c r="CLA550" s="83" t="s">
        <v>151</v>
      </c>
      <c r="CLB550" s="83" t="s">
        <v>151</v>
      </c>
      <c r="CLC550" s="83" t="s">
        <v>151</v>
      </c>
      <c r="CLD550" s="83" t="s">
        <v>151</v>
      </c>
      <c r="CLE550" s="83" t="s">
        <v>151</v>
      </c>
      <c r="CLF550" s="83" t="s">
        <v>151</v>
      </c>
      <c r="CLG550" s="83" t="s">
        <v>151</v>
      </c>
      <c r="CLH550" s="83" t="s">
        <v>151</v>
      </c>
      <c r="CLI550" s="83" t="s">
        <v>151</v>
      </c>
      <c r="CLJ550" s="83" t="s">
        <v>151</v>
      </c>
      <c r="CLK550" s="83" t="s">
        <v>151</v>
      </c>
      <c r="CLL550" s="83" t="s">
        <v>151</v>
      </c>
      <c r="CLM550" s="83" t="s">
        <v>151</v>
      </c>
      <c r="CLN550" s="83" t="s">
        <v>151</v>
      </c>
      <c r="CLO550" s="83" t="s">
        <v>151</v>
      </c>
      <c r="CLP550" s="83" t="s">
        <v>151</v>
      </c>
      <c r="CLQ550" s="83" t="s">
        <v>151</v>
      </c>
      <c r="CLR550" s="83" t="s">
        <v>151</v>
      </c>
      <c r="CLS550" s="83" t="s">
        <v>151</v>
      </c>
      <c r="CLT550" s="83" t="s">
        <v>151</v>
      </c>
      <c r="CLU550" s="83" t="s">
        <v>151</v>
      </c>
      <c r="CLV550" s="83" t="s">
        <v>151</v>
      </c>
      <c r="CLW550" s="83" t="s">
        <v>151</v>
      </c>
      <c r="CLX550" s="83" t="s">
        <v>151</v>
      </c>
      <c r="CLY550" s="83" t="s">
        <v>151</v>
      </c>
      <c r="CLZ550" s="83" t="s">
        <v>151</v>
      </c>
      <c r="CMA550" s="83" t="s">
        <v>151</v>
      </c>
      <c r="CMB550" s="83" t="s">
        <v>151</v>
      </c>
      <c r="CMC550" s="83" t="s">
        <v>151</v>
      </c>
      <c r="CMD550" s="83" t="s">
        <v>151</v>
      </c>
      <c r="CME550" s="83" t="s">
        <v>151</v>
      </c>
      <c r="CMF550" s="83" t="s">
        <v>151</v>
      </c>
      <c r="CMG550" s="83" t="s">
        <v>151</v>
      </c>
      <c r="CMH550" s="83" t="s">
        <v>151</v>
      </c>
      <c r="CMI550" s="83" t="s">
        <v>151</v>
      </c>
      <c r="CMJ550" s="83" t="s">
        <v>151</v>
      </c>
      <c r="CMK550" s="83" t="s">
        <v>151</v>
      </c>
      <c r="CML550" s="83" t="s">
        <v>151</v>
      </c>
      <c r="CMM550" s="83" t="s">
        <v>151</v>
      </c>
      <c r="CMN550" s="83" t="s">
        <v>151</v>
      </c>
      <c r="CMO550" s="83" t="s">
        <v>151</v>
      </c>
      <c r="CMP550" s="83" t="s">
        <v>151</v>
      </c>
      <c r="CMQ550" s="83" t="s">
        <v>151</v>
      </c>
      <c r="CMR550" s="83" t="s">
        <v>151</v>
      </c>
      <c r="CMS550" s="83" t="s">
        <v>151</v>
      </c>
      <c r="CMT550" s="83" t="s">
        <v>151</v>
      </c>
      <c r="CMU550" s="83" t="s">
        <v>151</v>
      </c>
      <c r="CMV550" s="83" t="s">
        <v>151</v>
      </c>
      <c r="CMW550" s="83" t="s">
        <v>151</v>
      </c>
      <c r="CMX550" s="83" t="s">
        <v>151</v>
      </c>
      <c r="CMY550" s="83" t="s">
        <v>151</v>
      </c>
      <c r="CMZ550" s="83" t="s">
        <v>151</v>
      </c>
      <c r="CNA550" s="83" t="s">
        <v>151</v>
      </c>
      <c r="CNB550" s="83" t="s">
        <v>151</v>
      </c>
      <c r="CNC550" s="83" t="s">
        <v>151</v>
      </c>
      <c r="CND550" s="83" t="s">
        <v>151</v>
      </c>
      <c r="CNE550" s="83" t="s">
        <v>151</v>
      </c>
      <c r="CNF550" s="83" t="s">
        <v>151</v>
      </c>
      <c r="CNG550" s="83" t="s">
        <v>151</v>
      </c>
      <c r="CNH550" s="83" t="s">
        <v>151</v>
      </c>
      <c r="CNI550" s="83" t="s">
        <v>151</v>
      </c>
      <c r="CNJ550" s="83" t="s">
        <v>151</v>
      </c>
      <c r="CNK550" s="83" t="s">
        <v>151</v>
      </c>
      <c r="CNL550" s="83" t="s">
        <v>151</v>
      </c>
      <c r="CNM550" s="83" t="s">
        <v>151</v>
      </c>
      <c r="CNN550" s="83" t="s">
        <v>151</v>
      </c>
      <c r="CNO550" s="83" t="s">
        <v>151</v>
      </c>
      <c r="CNP550" s="83" t="s">
        <v>151</v>
      </c>
      <c r="CNQ550" s="83" t="s">
        <v>151</v>
      </c>
      <c r="CNR550" s="83" t="s">
        <v>151</v>
      </c>
      <c r="CNS550" s="83" t="s">
        <v>151</v>
      </c>
      <c r="CNT550" s="83" t="s">
        <v>151</v>
      </c>
      <c r="CNU550" s="83" t="s">
        <v>151</v>
      </c>
      <c r="CNV550" s="83" t="s">
        <v>151</v>
      </c>
      <c r="CNW550" s="83" t="s">
        <v>151</v>
      </c>
      <c r="CNX550" s="83" t="s">
        <v>151</v>
      </c>
      <c r="CNY550" s="83" t="s">
        <v>151</v>
      </c>
      <c r="CNZ550" s="83" t="s">
        <v>151</v>
      </c>
      <c r="COA550" s="83" t="s">
        <v>151</v>
      </c>
      <c r="COB550" s="83" t="s">
        <v>151</v>
      </c>
      <c r="COC550" s="83" t="s">
        <v>151</v>
      </c>
      <c r="COD550" s="83" t="s">
        <v>151</v>
      </c>
      <c r="COE550" s="83" t="s">
        <v>151</v>
      </c>
      <c r="COF550" s="83" t="s">
        <v>151</v>
      </c>
      <c r="COG550" s="83" t="s">
        <v>151</v>
      </c>
      <c r="COH550" s="83" t="s">
        <v>151</v>
      </c>
      <c r="COI550" s="83" t="s">
        <v>151</v>
      </c>
      <c r="COJ550" s="83" t="s">
        <v>151</v>
      </c>
      <c r="COK550" s="83" t="s">
        <v>151</v>
      </c>
      <c r="COL550" s="83" t="s">
        <v>151</v>
      </c>
      <c r="COM550" s="83" t="s">
        <v>151</v>
      </c>
      <c r="CON550" s="83" t="s">
        <v>151</v>
      </c>
      <c r="COO550" s="83" t="s">
        <v>151</v>
      </c>
      <c r="COP550" s="83" t="s">
        <v>151</v>
      </c>
      <c r="COQ550" s="83" t="s">
        <v>151</v>
      </c>
      <c r="COR550" s="83" t="s">
        <v>151</v>
      </c>
      <c r="COS550" s="83" t="s">
        <v>151</v>
      </c>
      <c r="COT550" s="83" t="s">
        <v>151</v>
      </c>
      <c r="COU550" s="83" t="s">
        <v>151</v>
      </c>
      <c r="COV550" s="83" t="s">
        <v>151</v>
      </c>
      <c r="COW550" s="83" t="s">
        <v>151</v>
      </c>
      <c r="COX550" s="83" t="s">
        <v>151</v>
      </c>
      <c r="COY550" s="83" t="s">
        <v>151</v>
      </c>
      <c r="COZ550" s="83" t="s">
        <v>151</v>
      </c>
      <c r="CPA550" s="83" t="s">
        <v>151</v>
      </c>
      <c r="CPB550" s="83" t="s">
        <v>151</v>
      </c>
      <c r="CPC550" s="83" t="s">
        <v>151</v>
      </c>
      <c r="CPD550" s="83" t="s">
        <v>151</v>
      </c>
      <c r="CPE550" s="83" t="s">
        <v>151</v>
      </c>
      <c r="CPF550" s="83" t="s">
        <v>151</v>
      </c>
      <c r="CPG550" s="83" t="s">
        <v>151</v>
      </c>
      <c r="CPH550" s="83" t="s">
        <v>151</v>
      </c>
      <c r="CPI550" s="83" t="s">
        <v>151</v>
      </c>
      <c r="CPJ550" s="83" t="s">
        <v>151</v>
      </c>
      <c r="CPK550" s="83" t="s">
        <v>151</v>
      </c>
      <c r="CPL550" s="83" t="s">
        <v>151</v>
      </c>
      <c r="CPM550" s="83" t="s">
        <v>151</v>
      </c>
      <c r="CPN550" s="83" t="s">
        <v>151</v>
      </c>
      <c r="CPO550" s="83" t="s">
        <v>151</v>
      </c>
      <c r="CPP550" s="83" t="s">
        <v>151</v>
      </c>
      <c r="CPQ550" s="83" t="s">
        <v>151</v>
      </c>
      <c r="CPR550" s="83" t="s">
        <v>151</v>
      </c>
      <c r="CPS550" s="83" t="s">
        <v>151</v>
      </c>
      <c r="CPT550" s="83" t="s">
        <v>151</v>
      </c>
      <c r="CPU550" s="83" t="s">
        <v>151</v>
      </c>
      <c r="CPV550" s="83" t="s">
        <v>151</v>
      </c>
      <c r="CPW550" s="83" t="s">
        <v>151</v>
      </c>
      <c r="CPX550" s="83" t="s">
        <v>151</v>
      </c>
      <c r="CPY550" s="83" t="s">
        <v>151</v>
      </c>
      <c r="CPZ550" s="83" t="s">
        <v>151</v>
      </c>
      <c r="CQA550" s="83" t="s">
        <v>151</v>
      </c>
      <c r="CQB550" s="83" t="s">
        <v>151</v>
      </c>
      <c r="CQC550" s="83" t="s">
        <v>151</v>
      </c>
      <c r="CQD550" s="83" t="s">
        <v>151</v>
      </c>
      <c r="CQE550" s="83" t="s">
        <v>151</v>
      </c>
      <c r="CQF550" s="83" t="s">
        <v>151</v>
      </c>
      <c r="CQG550" s="83" t="s">
        <v>151</v>
      </c>
      <c r="CQH550" s="83" t="s">
        <v>151</v>
      </c>
      <c r="CQI550" s="83" t="s">
        <v>151</v>
      </c>
      <c r="CQJ550" s="83" t="s">
        <v>151</v>
      </c>
      <c r="CQK550" s="83" t="s">
        <v>151</v>
      </c>
      <c r="CQL550" s="83" t="s">
        <v>151</v>
      </c>
      <c r="CQM550" s="83" t="s">
        <v>151</v>
      </c>
      <c r="CQN550" s="83" t="s">
        <v>151</v>
      </c>
      <c r="CQO550" s="83" t="s">
        <v>151</v>
      </c>
      <c r="CQP550" s="83" t="s">
        <v>151</v>
      </c>
      <c r="CQQ550" s="83" t="s">
        <v>151</v>
      </c>
      <c r="CQR550" s="83" t="s">
        <v>151</v>
      </c>
      <c r="CQS550" s="83" t="s">
        <v>151</v>
      </c>
      <c r="CQT550" s="83" t="s">
        <v>151</v>
      </c>
      <c r="CQU550" s="83" t="s">
        <v>151</v>
      </c>
      <c r="CQV550" s="83" t="s">
        <v>151</v>
      </c>
      <c r="CQW550" s="83" t="s">
        <v>151</v>
      </c>
      <c r="CQX550" s="83" t="s">
        <v>151</v>
      </c>
      <c r="CQY550" s="83" t="s">
        <v>151</v>
      </c>
      <c r="CQZ550" s="83" t="s">
        <v>151</v>
      </c>
      <c r="CRA550" s="83" t="s">
        <v>151</v>
      </c>
      <c r="CRB550" s="83" t="s">
        <v>151</v>
      </c>
      <c r="CRC550" s="83" t="s">
        <v>151</v>
      </c>
      <c r="CRD550" s="83" t="s">
        <v>151</v>
      </c>
      <c r="CRE550" s="83" t="s">
        <v>151</v>
      </c>
      <c r="CRF550" s="83" t="s">
        <v>151</v>
      </c>
      <c r="CRG550" s="83" t="s">
        <v>151</v>
      </c>
      <c r="CRH550" s="83" t="s">
        <v>151</v>
      </c>
      <c r="CRI550" s="83" t="s">
        <v>151</v>
      </c>
      <c r="CRJ550" s="83" t="s">
        <v>151</v>
      </c>
      <c r="CRK550" s="83" t="s">
        <v>151</v>
      </c>
      <c r="CRL550" s="83" t="s">
        <v>151</v>
      </c>
      <c r="CRM550" s="83" t="s">
        <v>151</v>
      </c>
      <c r="CRN550" s="83" t="s">
        <v>151</v>
      </c>
      <c r="CRO550" s="83" t="s">
        <v>151</v>
      </c>
      <c r="CRP550" s="83" t="s">
        <v>151</v>
      </c>
      <c r="CRQ550" s="83" t="s">
        <v>151</v>
      </c>
      <c r="CRR550" s="83" t="s">
        <v>151</v>
      </c>
      <c r="CRS550" s="83" t="s">
        <v>151</v>
      </c>
      <c r="CRT550" s="83" t="s">
        <v>151</v>
      </c>
      <c r="CRU550" s="83" t="s">
        <v>151</v>
      </c>
      <c r="CRV550" s="83" t="s">
        <v>151</v>
      </c>
      <c r="CRW550" s="83" t="s">
        <v>151</v>
      </c>
      <c r="CRX550" s="83" t="s">
        <v>151</v>
      </c>
      <c r="CRY550" s="83" t="s">
        <v>151</v>
      </c>
      <c r="CRZ550" s="83" t="s">
        <v>151</v>
      </c>
      <c r="CSA550" s="83" t="s">
        <v>151</v>
      </c>
      <c r="CSB550" s="83" t="s">
        <v>151</v>
      </c>
      <c r="CSC550" s="83" t="s">
        <v>151</v>
      </c>
      <c r="CSD550" s="83" t="s">
        <v>151</v>
      </c>
      <c r="CSE550" s="83" t="s">
        <v>151</v>
      </c>
      <c r="CSF550" s="83" t="s">
        <v>151</v>
      </c>
      <c r="CSG550" s="83" t="s">
        <v>151</v>
      </c>
      <c r="CSH550" s="83" t="s">
        <v>151</v>
      </c>
      <c r="CSI550" s="83" t="s">
        <v>151</v>
      </c>
      <c r="CSJ550" s="83" t="s">
        <v>151</v>
      </c>
      <c r="CSK550" s="83" t="s">
        <v>151</v>
      </c>
      <c r="CSL550" s="83" t="s">
        <v>151</v>
      </c>
      <c r="CSM550" s="83" t="s">
        <v>151</v>
      </c>
      <c r="CSN550" s="83" t="s">
        <v>151</v>
      </c>
      <c r="CSO550" s="83" t="s">
        <v>151</v>
      </c>
      <c r="CSP550" s="83" t="s">
        <v>151</v>
      </c>
      <c r="CSQ550" s="83" t="s">
        <v>151</v>
      </c>
      <c r="CSR550" s="83" t="s">
        <v>151</v>
      </c>
      <c r="CSS550" s="83" t="s">
        <v>151</v>
      </c>
      <c r="CST550" s="83" t="s">
        <v>151</v>
      </c>
      <c r="CSU550" s="83" t="s">
        <v>151</v>
      </c>
      <c r="CSV550" s="83" t="s">
        <v>151</v>
      </c>
      <c r="CSW550" s="83" t="s">
        <v>151</v>
      </c>
      <c r="CSX550" s="83" t="s">
        <v>151</v>
      </c>
      <c r="CSY550" s="83" t="s">
        <v>151</v>
      </c>
      <c r="CSZ550" s="83" t="s">
        <v>151</v>
      </c>
      <c r="CTA550" s="83" t="s">
        <v>151</v>
      </c>
      <c r="CTB550" s="83" t="s">
        <v>151</v>
      </c>
      <c r="CTC550" s="83" t="s">
        <v>151</v>
      </c>
      <c r="CTD550" s="83" t="s">
        <v>151</v>
      </c>
      <c r="CTE550" s="83" t="s">
        <v>151</v>
      </c>
      <c r="CTF550" s="83" t="s">
        <v>151</v>
      </c>
      <c r="CTG550" s="83" t="s">
        <v>151</v>
      </c>
      <c r="CTH550" s="83" t="s">
        <v>151</v>
      </c>
      <c r="CTI550" s="83" t="s">
        <v>151</v>
      </c>
      <c r="CTJ550" s="83" t="s">
        <v>151</v>
      </c>
      <c r="CTK550" s="83" t="s">
        <v>151</v>
      </c>
      <c r="CTL550" s="83" t="s">
        <v>151</v>
      </c>
      <c r="CTM550" s="83" t="s">
        <v>151</v>
      </c>
      <c r="CTN550" s="83" t="s">
        <v>151</v>
      </c>
      <c r="CTO550" s="83" t="s">
        <v>151</v>
      </c>
      <c r="CTP550" s="83" t="s">
        <v>151</v>
      </c>
      <c r="CTQ550" s="83" t="s">
        <v>151</v>
      </c>
      <c r="CTR550" s="83" t="s">
        <v>151</v>
      </c>
      <c r="CTS550" s="83" t="s">
        <v>151</v>
      </c>
      <c r="CTT550" s="83" t="s">
        <v>151</v>
      </c>
      <c r="CTU550" s="83" t="s">
        <v>151</v>
      </c>
      <c r="CTV550" s="83" t="s">
        <v>151</v>
      </c>
      <c r="CTW550" s="83" t="s">
        <v>151</v>
      </c>
      <c r="CTX550" s="83" t="s">
        <v>151</v>
      </c>
      <c r="CTY550" s="83" t="s">
        <v>151</v>
      </c>
      <c r="CTZ550" s="83" t="s">
        <v>151</v>
      </c>
      <c r="CUA550" s="83" t="s">
        <v>151</v>
      </c>
      <c r="CUB550" s="83" t="s">
        <v>151</v>
      </c>
      <c r="CUC550" s="83" t="s">
        <v>151</v>
      </c>
      <c r="CUD550" s="83" t="s">
        <v>151</v>
      </c>
      <c r="CUE550" s="83" t="s">
        <v>151</v>
      </c>
      <c r="CUF550" s="83" t="s">
        <v>151</v>
      </c>
      <c r="CUG550" s="83" t="s">
        <v>151</v>
      </c>
      <c r="CUH550" s="83" t="s">
        <v>151</v>
      </c>
      <c r="CUI550" s="83" t="s">
        <v>151</v>
      </c>
      <c r="CUJ550" s="83" t="s">
        <v>151</v>
      </c>
      <c r="CUK550" s="83" t="s">
        <v>151</v>
      </c>
      <c r="CUL550" s="83" t="s">
        <v>151</v>
      </c>
      <c r="CUM550" s="83" t="s">
        <v>151</v>
      </c>
      <c r="CUN550" s="83" t="s">
        <v>151</v>
      </c>
      <c r="CUO550" s="83" t="s">
        <v>151</v>
      </c>
      <c r="CUP550" s="83" t="s">
        <v>151</v>
      </c>
      <c r="CUQ550" s="83" t="s">
        <v>151</v>
      </c>
      <c r="CUR550" s="83" t="s">
        <v>151</v>
      </c>
      <c r="CUS550" s="83" t="s">
        <v>151</v>
      </c>
      <c r="CUT550" s="83" t="s">
        <v>151</v>
      </c>
      <c r="CUU550" s="83" t="s">
        <v>151</v>
      </c>
      <c r="CUV550" s="83" t="s">
        <v>151</v>
      </c>
      <c r="CUW550" s="83" t="s">
        <v>151</v>
      </c>
      <c r="CUX550" s="83" t="s">
        <v>151</v>
      </c>
      <c r="CUY550" s="83" t="s">
        <v>151</v>
      </c>
      <c r="CUZ550" s="83" t="s">
        <v>151</v>
      </c>
      <c r="CVA550" s="83" t="s">
        <v>151</v>
      </c>
      <c r="CVB550" s="83" t="s">
        <v>151</v>
      </c>
      <c r="CVC550" s="83" t="s">
        <v>151</v>
      </c>
      <c r="CVD550" s="83" t="s">
        <v>151</v>
      </c>
      <c r="CVE550" s="83" t="s">
        <v>151</v>
      </c>
      <c r="CVF550" s="83" t="s">
        <v>151</v>
      </c>
      <c r="CVG550" s="83" t="s">
        <v>151</v>
      </c>
      <c r="CVH550" s="83" t="s">
        <v>151</v>
      </c>
      <c r="CVI550" s="83" t="s">
        <v>151</v>
      </c>
      <c r="CVJ550" s="83" t="s">
        <v>151</v>
      </c>
      <c r="CVK550" s="83" t="s">
        <v>151</v>
      </c>
      <c r="CVL550" s="83" t="s">
        <v>151</v>
      </c>
      <c r="CVM550" s="83" t="s">
        <v>151</v>
      </c>
      <c r="CVN550" s="83" t="s">
        <v>151</v>
      </c>
      <c r="CVO550" s="83" t="s">
        <v>151</v>
      </c>
      <c r="CVP550" s="83" t="s">
        <v>151</v>
      </c>
      <c r="CVQ550" s="83" t="s">
        <v>151</v>
      </c>
      <c r="CVR550" s="83" t="s">
        <v>151</v>
      </c>
      <c r="CVS550" s="83" t="s">
        <v>151</v>
      </c>
      <c r="CVT550" s="83" t="s">
        <v>151</v>
      </c>
      <c r="CVU550" s="83" t="s">
        <v>151</v>
      </c>
      <c r="CVV550" s="83" t="s">
        <v>151</v>
      </c>
      <c r="CVW550" s="83" t="s">
        <v>151</v>
      </c>
      <c r="CVX550" s="83" t="s">
        <v>151</v>
      </c>
      <c r="CVY550" s="83" t="s">
        <v>151</v>
      </c>
      <c r="CVZ550" s="83" t="s">
        <v>151</v>
      </c>
      <c r="CWA550" s="83" t="s">
        <v>151</v>
      </c>
      <c r="CWB550" s="83" t="s">
        <v>151</v>
      </c>
      <c r="CWC550" s="83" t="s">
        <v>151</v>
      </c>
      <c r="CWD550" s="83" t="s">
        <v>151</v>
      </c>
      <c r="CWE550" s="83" t="s">
        <v>151</v>
      </c>
      <c r="CWF550" s="83" t="s">
        <v>151</v>
      </c>
      <c r="CWG550" s="83" t="s">
        <v>151</v>
      </c>
      <c r="CWH550" s="83" t="s">
        <v>151</v>
      </c>
      <c r="CWI550" s="83" t="s">
        <v>151</v>
      </c>
      <c r="CWJ550" s="83" t="s">
        <v>151</v>
      </c>
      <c r="CWK550" s="83" t="s">
        <v>151</v>
      </c>
      <c r="CWL550" s="83" t="s">
        <v>151</v>
      </c>
      <c r="CWM550" s="83" t="s">
        <v>151</v>
      </c>
      <c r="CWN550" s="83" t="s">
        <v>151</v>
      </c>
      <c r="CWO550" s="83" t="s">
        <v>151</v>
      </c>
      <c r="CWP550" s="83" t="s">
        <v>151</v>
      </c>
      <c r="CWQ550" s="83" t="s">
        <v>151</v>
      </c>
      <c r="CWR550" s="83" t="s">
        <v>151</v>
      </c>
      <c r="CWS550" s="83" t="s">
        <v>151</v>
      </c>
      <c r="CWT550" s="83" t="s">
        <v>151</v>
      </c>
      <c r="CWU550" s="83" t="s">
        <v>151</v>
      </c>
      <c r="CWV550" s="83" t="s">
        <v>151</v>
      </c>
      <c r="CWW550" s="83" t="s">
        <v>151</v>
      </c>
      <c r="CWX550" s="83" t="s">
        <v>151</v>
      </c>
      <c r="CWY550" s="83" t="s">
        <v>151</v>
      </c>
      <c r="CWZ550" s="83" t="s">
        <v>151</v>
      </c>
      <c r="CXA550" s="83" t="s">
        <v>151</v>
      </c>
      <c r="CXB550" s="83" t="s">
        <v>151</v>
      </c>
      <c r="CXC550" s="83" t="s">
        <v>151</v>
      </c>
      <c r="CXD550" s="83" t="s">
        <v>151</v>
      </c>
      <c r="CXE550" s="83" t="s">
        <v>151</v>
      </c>
      <c r="CXF550" s="83" t="s">
        <v>151</v>
      </c>
      <c r="CXG550" s="83" t="s">
        <v>151</v>
      </c>
      <c r="CXH550" s="83" t="s">
        <v>151</v>
      </c>
      <c r="CXI550" s="83" t="s">
        <v>151</v>
      </c>
      <c r="CXJ550" s="83" t="s">
        <v>151</v>
      </c>
      <c r="CXK550" s="83" t="s">
        <v>151</v>
      </c>
      <c r="CXL550" s="83" t="s">
        <v>151</v>
      </c>
      <c r="CXM550" s="83" t="s">
        <v>151</v>
      </c>
      <c r="CXN550" s="83" t="s">
        <v>151</v>
      </c>
      <c r="CXO550" s="83" t="s">
        <v>151</v>
      </c>
      <c r="CXP550" s="83" t="s">
        <v>151</v>
      </c>
      <c r="CXQ550" s="83" t="s">
        <v>151</v>
      </c>
      <c r="CXR550" s="83" t="s">
        <v>151</v>
      </c>
      <c r="CXS550" s="83" t="s">
        <v>151</v>
      </c>
      <c r="CXT550" s="83" t="s">
        <v>151</v>
      </c>
      <c r="CXU550" s="83" t="s">
        <v>151</v>
      </c>
      <c r="CXV550" s="83" t="s">
        <v>151</v>
      </c>
      <c r="CXW550" s="83" t="s">
        <v>151</v>
      </c>
      <c r="CXX550" s="83" t="s">
        <v>151</v>
      </c>
      <c r="CXY550" s="83" t="s">
        <v>151</v>
      </c>
      <c r="CXZ550" s="83" t="s">
        <v>151</v>
      </c>
      <c r="CYA550" s="83" t="s">
        <v>151</v>
      </c>
      <c r="CYB550" s="83" t="s">
        <v>151</v>
      </c>
      <c r="CYC550" s="83" t="s">
        <v>151</v>
      </c>
      <c r="CYD550" s="83" t="s">
        <v>151</v>
      </c>
      <c r="CYE550" s="83" t="s">
        <v>151</v>
      </c>
      <c r="CYF550" s="83" t="s">
        <v>151</v>
      </c>
      <c r="CYG550" s="83" t="s">
        <v>151</v>
      </c>
      <c r="CYH550" s="83" t="s">
        <v>151</v>
      </c>
      <c r="CYI550" s="83" t="s">
        <v>151</v>
      </c>
      <c r="CYJ550" s="83" t="s">
        <v>151</v>
      </c>
      <c r="CYK550" s="83" t="s">
        <v>151</v>
      </c>
      <c r="CYL550" s="83" t="s">
        <v>151</v>
      </c>
      <c r="CYM550" s="83" t="s">
        <v>151</v>
      </c>
      <c r="CYN550" s="83" t="s">
        <v>151</v>
      </c>
      <c r="CYO550" s="83" t="s">
        <v>151</v>
      </c>
      <c r="CYP550" s="83" t="s">
        <v>151</v>
      </c>
      <c r="CYQ550" s="83" t="s">
        <v>151</v>
      </c>
      <c r="CYR550" s="83" t="s">
        <v>151</v>
      </c>
      <c r="CYS550" s="83" t="s">
        <v>151</v>
      </c>
      <c r="CYT550" s="83" t="s">
        <v>151</v>
      </c>
      <c r="CYU550" s="83" t="s">
        <v>151</v>
      </c>
      <c r="CYV550" s="83" t="s">
        <v>151</v>
      </c>
      <c r="CYW550" s="83" t="s">
        <v>151</v>
      </c>
      <c r="CYX550" s="83" t="s">
        <v>151</v>
      </c>
      <c r="CYY550" s="83" t="s">
        <v>151</v>
      </c>
      <c r="CYZ550" s="83" t="s">
        <v>151</v>
      </c>
      <c r="CZA550" s="83" t="s">
        <v>151</v>
      </c>
      <c r="CZB550" s="83" t="s">
        <v>151</v>
      </c>
      <c r="CZC550" s="83" t="s">
        <v>151</v>
      </c>
      <c r="CZD550" s="83" t="s">
        <v>151</v>
      </c>
      <c r="CZE550" s="83" t="s">
        <v>151</v>
      </c>
      <c r="CZF550" s="83" t="s">
        <v>151</v>
      </c>
      <c r="CZG550" s="83" t="s">
        <v>151</v>
      </c>
      <c r="CZH550" s="83" t="s">
        <v>151</v>
      </c>
      <c r="CZI550" s="83" t="s">
        <v>151</v>
      </c>
      <c r="CZJ550" s="83" t="s">
        <v>151</v>
      </c>
      <c r="CZK550" s="83" t="s">
        <v>151</v>
      </c>
      <c r="CZL550" s="83" t="s">
        <v>151</v>
      </c>
      <c r="CZM550" s="83" t="s">
        <v>151</v>
      </c>
      <c r="CZN550" s="83" t="s">
        <v>151</v>
      </c>
      <c r="CZO550" s="83" t="s">
        <v>151</v>
      </c>
      <c r="CZP550" s="83" t="s">
        <v>151</v>
      </c>
      <c r="CZQ550" s="83" t="s">
        <v>151</v>
      </c>
      <c r="CZR550" s="83" t="s">
        <v>151</v>
      </c>
      <c r="CZS550" s="83" t="s">
        <v>151</v>
      </c>
      <c r="CZT550" s="83" t="s">
        <v>151</v>
      </c>
      <c r="CZU550" s="83" t="s">
        <v>151</v>
      </c>
      <c r="CZV550" s="83" t="s">
        <v>151</v>
      </c>
      <c r="CZW550" s="83" t="s">
        <v>151</v>
      </c>
      <c r="CZX550" s="83" t="s">
        <v>151</v>
      </c>
      <c r="CZY550" s="83" t="s">
        <v>151</v>
      </c>
      <c r="CZZ550" s="83" t="s">
        <v>151</v>
      </c>
      <c r="DAA550" s="83" t="s">
        <v>151</v>
      </c>
      <c r="DAB550" s="83" t="s">
        <v>151</v>
      </c>
      <c r="DAC550" s="83" t="s">
        <v>151</v>
      </c>
      <c r="DAD550" s="83" t="s">
        <v>151</v>
      </c>
      <c r="DAE550" s="83" t="s">
        <v>151</v>
      </c>
      <c r="DAF550" s="83" t="s">
        <v>151</v>
      </c>
      <c r="DAG550" s="83" t="s">
        <v>151</v>
      </c>
      <c r="DAH550" s="83" t="s">
        <v>151</v>
      </c>
      <c r="DAI550" s="83" t="s">
        <v>151</v>
      </c>
      <c r="DAJ550" s="83" t="s">
        <v>151</v>
      </c>
      <c r="DAK550" s="83" t="s">
        <v>151</v>
      </c>
      <c r="DAL550" s="83" t="s">
        <v>151</v>
      </c>
      <c r="DAM550" s="83" t="s">
        <v>151</v>
      </c>
      <c r="DAN550" s="83" t="s">
        <v>151</v>
      </c>
      <c r="DAO550" s="83" t="s">
        <v>151</v>
      </c>
      <c r="DAP550" s="83" t="s">
        <v>151</v>
      </c>
      <c r="DAQ550" s="83" t="s">
        <v>151</v>
      </c>
      <c r="DAR550" s="83" t="s">
        <v>151</v>
      </c>
      <c r="DAS550" s="83" t="s">
        <v>151</v>
      </c>
      <c r="DAT550" s="83" t="s">
        <v>151</v>
      </c>
      <c r="DAU550" s="83" t="s">
        <v>151</v>
      </c>
      <c r="DAV550" s="83" t="s">
        <v>151</v>
      </c>
      <c r="DAW550" s="83" t="s">
        <v>151</v>
      </c>
      <c r="DAX550" s="83" t="s">
        <v>151</v>
      </c>
      <c r="DAY550" s="83" t="s">
        <v>151</v>
      </c>
      <c r="DAZ550" s="83" t="s">
        <v>151</v>
      </c>
      <c r="DBA550" s="83" t="s">
        <v>151</v>
      </c>
      <c r="DBB550" s="83" t="s">
        <v>151</v>
      </c>
      <c r="DBC550" s="83" t="s">
        <v>151</v>
      </c>
      <c r="DBD550" s="83" t="s">
        <v>151</v>
      </c>
      <c r="DBE550" s="83" t="s">
        <v>151</v>
      </c>
      <c r="DBF550" s="83" t="s">
        <v>151</v>
      </c>
      <c r="DBG550" s="83" t="s">
        <v>151</v>
      </c>
      <c r="DBH550" s="83" t="s">
        <v>151</v>
      </c>
      <c r="DBI550" s="83" t="s">
        <v>151</v>
      </c>
      <c r="DBJ550" s="83" t="s">
        <v>151</v>
      </c>
      <c r="DBK550" s="83" t="s">
        <v>151</v>
      </c>
      <c r="DBL550" s="83" t="s">
        <v>151</v>
      </c>
      <c r="DBM550" s="83" t="s">
        <v>151</v>
      </c>
      <c r="DBN550" s="83" t="s">
        <v>151</v>
      </c>
      <c r="DBO550" s="83" t="s">
        <v>151</v>
      </c>
      <c r="DBP550" s="83" t="s">
        <v>151</v>
      </c>
      <c r="DBQ550" s="83" t="s">
        <v>151</v>
      </c>
      <c r="DBR550" s="83" t="s">
        <v>151</v>
      </c>
      <c r="DBS550" s="83" t="s">
        <v>151</v>
      </c>
      <c r="DBT550" s="83" t="s">
        <v>151</v>
      </c>
      <c r="DBU550" s="83" t="s">
        <v>151</v>
      </c>
      <c r="DBV550" s="83" t="s">
        <v>151</v>
      </c>
      <c r="DBW550" s="83" t="s">
        <v>151</v>
      </c>
      <c r="DBX550" s="83" t="s">
        <v>151</v>
      </c>
      <c r="DBY550" s="83" t="s">
        <v>151</v>
      </c>
      <c r="DBZ550" s="83" t="s">
        <v>151</v>
      </c>
      <c r="DCA550" s="83" t="s">
        <v>151</v>
      </c>
      <c r="DCB550" s="83" t="s">
        <v>151</v>
      </c>
      <c r="DCC550" s="83" t="s">
        <v>151</v>
      </c>
      <c r="DCD550" s="83" t="s">
        <v>151</v>
      </c>
      <c r="DCE550" s="83" t="s">
        <v>151</v>
      </c>
      <c r="DCF550" s="83" t="s">
        <v>151</v>
      </c>
      <c r="DCG550" s="83" t="s">
        <v>151</v>
      </c>
      <c r="DCH550" s="83" t="s">
        <v>151</v>
      </c>
      <c r="DCI550" s="83" t="s">
        <v>151</v>
      </c>
      <c r="DCJ550" s="83" t="s">
        <v>151</v>
      </c>
      <c r="DCK550" s="83" t="s">
        <v>151</v>
      </c>
      <c r="DCL550" s="83" t="s">
        <v>151</v>
      </c>
      <c r="DCM550" s="83" t="s">
        <v>151</v>
      </c>
      <c r="DCN550" s="83" t="s">
        <v>151</v>
      </c>
      <c r="DCO550" s="83" t="s">
        <v>151</v>
      </c>
      <c r="DCP550" s="83" t="s">
        <v>151</v>
      </c>
      <c r="DCQ550" s="83" t="s">
        <v>151</v>
      </c>
      <c r="DCR550" s="83" t="s">
        <v>151</v>
      </c>
      <c r="DCS550" s="83" t="s">
        <v>151</v>
      </c>
      <c r="DCT550" s="83" t="s">
        <v>151</v>
      </c>
      <c r="DCU550" s="83" t="s">
        <v>151</v>
      </c>
      <c r="DCV550" s="83" t="s">
        <v>151</v>
      </c>
      <c r="DCW550" s="83" t="s">
        <v>151</v>
      </c>
      <c r="DCX550" s="83" t="s">
        <v>151</v>
      </c>
      <c r="DCY550" s="83" t="s">
        <v>151</v>
      </c>
      <c r="DCZ550" s="83" t="s">
        <v>151</v>
      </c>
      <c r="DDA550" s="83" t="s">
        <v>151</v>
      </c>
      <c r="DDB550" s="83" t="s">
        <v>151</v>
      </c>
      <c r="DDC550" s="83" t="s">
        <v>151</v>
      </c>
      <c r="DDD550" s="83" t="s">
        <v>151</v>
      </c>
      <c r="DDE550" s="83" t="s">
        <v>151</v>
      </c>
      <c r="DDF550" s="83" t="s">
        <v>151</v>
      </c>
      <c r="DDG550" s="83" t="s">
        <v>151</v>
      </c>
      <c r="DDH550" s="83" t="s">
        <v>151</v>
      </c>
      <c r="DDI550" s="83" t="s">
        <v>151</v>
      </c>
      <c r="DDJ550" s="83" t="s">
        <v>151</v>
      </c>
      <c r="DDK550" s="83" t="s">
        <v>151</v>
      </c>
      <c r="DDL550" s="83" t="s">
        <v>151</v>
      </c>
      <c r="DDM550" s="83" t="s">
        <v>151</v>
      </c>
      <c r="DDN550" s="83" t="s">
        <v>151</v>
      </c>
      <c r="DDO550" s="83" t="s">
        <v>151</v>
      </c>
      <c r="DDP550" s="83" t="s">
        <v>151</v>
      </c>
      <c r="DDQ550" s="83" t="s">
        <v>151</v>
      </c>
      <c r="DDR550" s="83" t="s">
        <v>151</v>
      </c>
      <c r="DDS550" s="83" t="s">
        <v>151</v>
      </c>
      <c r="DDT550" s="83" t="s">
        <v>151</v>
      </c>
      <c r="DDU550" s="83" t="s">
        <v>151</v>
      </c>
      <c r="DDV550" s="83" t="s">
        <v>151</v>
      </c>
      <c r="DDW550" s="83" t="s">
        <v>151</v>
      </c>
      <c r="DDX550" s="83" t="s">
        <v>151</v>
      </c>
      <c r="DDY550" s="83" t="s">
        <v>151</v>
      </c>
      <c r="DDZ550" s="83" t="s">
        <v>151</v>
      </c>
      <c r="DEA550" s="83" t="s">
        <v>151</v>
      </c>
      <c r="DEB550" s="83" t="s">
        <v>151</v>
      </c>
      <c r="DEC550" s="83" t="s">
        <v>151</v>
      </c>
      <c r="DED550" s="83" t="s">
        <v>151</v>
      </c>
      <c r="DEE550" s="83" t="s">
        <v>151</v>
      </c>
      <c r="DEF550" s="83" t="s">
        <v>151</v>
      </c>
      <c r="DEG550" s="83" t="s">
        <v>151</v>
      </c>
      <c r="DEH550" s="83" t="s">
        <v>151</v>
      </c>
      <c r="DEI550" s="83" t="s">
        <v>151</v>
      </c>
      <c r="DEJ550" s="83" t="s">
        <v>151</v>
      </c>
      <c r="DEK550" s="83" t="s">
        <v>151</v>
      </c>
      <c r="DEL550" s="83" t="s">
        <v>151</v>
      </c>
      <c r="DEM550" s="83" t="s">
        <v>151</v>
      </c>
      <c r="DEN550" s="83" t="s">
        <v>151</v>
      </c>
      <c r="DEO550" s="83" t="s">
        <v>151</v>
      </c>
      <c r="DEP550" s="83" t="s">
        <v>151</v>
      </c>
      <c r="DEQ550" s="83" t="s">
        <v>151</v>
      </c>
      <c r="DER550" s="83" t="s">
        <v>151</v>
      </c>
      <c r="DES550" s="83" t="s">
        <v>151</v>
      </c>
      <c r="DET550" s="83" t="s">
        <v>151</v>
      </c>
      <c r="DEU550" s="83" t="s">
        <v>151</v>
      </c>
      <c r="DEV550" s="83" t="s">
        <v>151</v>
      </c>
      <c r="DEW550" s="83" t="s">
        <v>151</v>
      </c>
      <c r="DEX550" s="83" t="s">
        <v>151</v>
      </c>
      <c r="DEY550" s="83" t="s">
        <v>151</v>
      </c>
      <c r="DEZ550" s="83" t="s">
        <v>151</v>
      </c>
      <c r="DFA550" s="83" t="s">
        <v>151</v>
      </c>
      <c r="DFB550" s="83" t="s">
        <v>151</v>
      </c>
      <c r="DFC550" s="83" t="s">
        <v>151</v>
      </c>
      <c r="DFD550" s="83" t="s">
        <v>151</v>
      </c>
      <c r="DFE550" s="83" t="s">
        <v>151</v>
      </c>
      <c r="DFF550" s="83" t="s">
        <v>151</v>
      </c>
      <c r="DFG550" s="83" t="s">
        <v>151</v>
      </c>
      <c r="DFH550" s="83" t="s">
        <v>151</v>
      </c>
      <c r="DFI550" s="83" t="s">
        <v>151</v>
      </c>
      <c r="DFJ550" s="83" t="s">
        <v>151</v>
      </c>
      <c r="DFK550" s="83" t="s">
        <v>151</v>
      </c>
      <c r="DFL550" s="83" t="s">
        <v>151</v>
      </c>
      <c r="DFM550" s="83" t="s">
        <v>151</v>
      </c>
      <c r="DFN550" s="83" t="s">
        <v>151</v>
      </c>
      <c r="DFO550" s="83" t="s">
        <v>151</v>
      </c>
      <c r="DFP550" s="83" t="s">
        <v>151</v>
      </c>
      <c r="DFQ550" s="83" t="s">
        <v>151</v>
      </c>
      <c r="DFR550" s="83" t="s">
        <v>151</v>
      </c>
      <c r="DFS550" s="83" t="s">
        <v>151</v>
      </c>
      <c r="DFT550" s="83" t="s">
        <v>151</v>
      </c>
      <c r="DFU550" s="83" t="s">
        <v>151</v>
      </c>
      <c r="DFV550" s="83" t="s">
        <v>151</v>
      </c>
      <c r="DFW550" s="83" t="s">
        <v>151</v>
      </c>
      <c r="DFX550" s="83" t="s">
        <v>151</v>
      </c>
      <c r="DFY550" s="83" t="s">
        <v>151</v>
      </c>
      <c r="DFZ550" s="83" t="s">
        <v>151</v>
      </c>
      <c r="DGA550" s="83" t="s">
        <v>151</v>
      </c>
      <c r="DGB550" s="83" t="s">
        <v>151</v>
      </c>
      <c r="DGC550" s="83" t="s">
        <v>151</v>
      </c>
      <c r="DGD550" s="83" t="s">
        <v>151</v>
      </c>
      <c r="DGE550" s="83" t="s">
        <v>151</v>
      </c>
      <c r="DGF550" s="83" t="s">
        <v>151</v>
      </c>
      <c r="DGG550" s="83" t="s">
        <v>151</v>
      </c>
      <c r="DGH550" s="83" t="s">
        <v>151</v>
      </c>
      <c r="DGI550" s="83" t="s">
        <v>151</v>
      </c>
      <c r="DGJ550" s="83" t="s">
        <v>151</v>
      </c>
      <c r="DGK550" s="83" t="s">
        <v>151</v>
      </c>
      <c r="DGL550" s="83" t="s">
        <v>151</v>
      </c>
      <c r="DGM550" s="83" t="s">
        <v>151</v>
      </c>
      <c r="DGN550" s="83" t="s">
        <v>151</v>
      </c>
      <c r="DGO550" s="83" t="s">
        <v>151</v>
      </c>
      <c r="DGP550" s="83" t="s">
        <v>151</v>
      </c>
      <c r="DGQ550" s="83" t="s">
        <v>151</v>
      </c>
      <c r="DGR550" s="83" t="s">
        <v>151</v>
      </c>
      <c r="DGS550" s="83" t="s">
        <v>151</v>
      </c>
      <c r="DGT550" s="83" t="s">
        <v>151</v>
      </c>
      <c r="DGU550" s="83" t="s">
        <v>151</v>
      </c>
      <c r="DGV550" s="83" t="s">
        <v>151</v>
      </c>
      <c r="DGW550" s="83" t="s">
        <v>151</v>
      </c>
      <c r="DGX550" s="83" t="s">
        <v>151</v>
      </c>
      <c r="DGY550" s="83" t="s">
        <v>151</v>
      </c>
      <c r="DGZ550" s="83" t="s">
        <v>151</v>
      </c>
      <c r="DHA550" s="83" t="s">
        <v>151</v>
      </c>
      <c r="DHB550" s="83" t="s">
        <v>151</v>
      </c>
      <c r="DHC550" s="83" t="s">
        <v>151</v>
      </c>
      <c r="DHD550" s="83" t="s">
        <v>151</v>
      </c>
      <c r="DHE550" s="83" t="s">
        <v>151</v>
      </c>
      <c r="DHF550" s="83" t="s">
        <v>151</v>
      </c>
      <c r="DHG550" s="83" t="s">
        <v>151</v>
      </c>
      <c r="DHH550" s="83" t="s">
        <v>151</v>
      </c>
      <c r="DHI550" s="83" t="s">
        <v>151</v>
      </c>
      <c r="DHJ550" s="83" t="s">
        <v>151</v>
      </c>
      <c r="DHK550" s="83" t="s">
        <v>151</v>
      </c>
      <c r="DHL550" s="83" t="s">
        <v>151</v>
      </c>
      <c r="DHM550" s="83" t="s">
        <v>151</v>
      </c>
      <c r="DHN550" s="83" t="s">
        <v>151</v>
      </c>
      <c r="DHO550" s="83" t="s">
        <v>151</v>
      </c>
      <c r="DHP550" s="83" t="s">
        <v>151</v>
      </c>
      <c r="DHQ550" s="83" t="s">
        <v>151</v>
      </c>
      <c r="DHR550" s="83" t="s">
        <v>151</v>
      </c>
      <c r="DHS550" s="83" t="s">
        <v>151</v>
      </c>
      <c r="DHT550" s="83" t="s">
        <v>151</v>
      </c>
      <c r="DHU550" s="83" t="s">
        <v>151</v>
      </c>
      <c r="DHV550" s="83" t="s">
        <v>151</v>
      </c>
      <c r="DHW550" s="83" t="s">
        <v>151</v>
      </c>
      <c r="DHX550" s="83" t="s">
        <v>151</v>
      </c>
      <c r="DHY550" s="83" t="s">
        <v>151</v>
      </c>
      <c r="DHZ550" s="83" t="s">
        <v>151</v>
      </c>
      <c r="DIA550" s="83" t="s">
        <v>151</v>
      </c>
      <c r="DIB550" s="83" t="s">
        <v>151</v>
      </c>
      <c r="DIC550" s="83" t="s">
        <v>151</v>
      </c>
      <c r="DID550" s="83" t="s">
        <v>151</v>
      </c>
      <c r="DIE550" s="83" t="s">
        <v>151</v>
      </c>
      <c r="DIF550" s="83" t="s">
        <v>151</v>
      </c>
      <c r="DIG550" s="83" t="s">
        <v>151</v>
      </c>
      <c r="DIH550" s="83" t="s">
        <v>151</v>
      </c>
      <c r="DII550" s="83" t="s">
        <v>151</v>
      </c>
      <c r="DIJ550" s="83" t="s">
        <v>151</v>
      </c>
      <c r="DIK550" s="83" t="s">
        <v>151</v>
      </c>
      <c r="DIL550" s="83" t="s">
        <v>151</v>
      </c>
      <c r="DIM550" s="83" t="s">
        <v>151</v>
      </c>
      <c r="DIN550" s="83" t="s">
        <v>151</v>
      </c>
      <c r="DIO550" s="83" t="s">
        <v>151</v>
      </c>
      <c r="DIP550" s="83" t="s">
        <v>151</v>
      </c>
      <c r="DIQ550" s="83" t="s">
        <v>151</v>
      </c>
      <c r="DIR550" s="83" t="s">
        <v>151</v>
      </c>
      <c r="DIS550" s="83" t="s">
        <v>151</v>
      </c>
      <c r="DIT550" s="83" t="s">
        <v>151</v>
      </c>
      <c r="DIU550" s="83" t="s">
        <v>151</v>
      </c>
      <c r="DIV550" s="83" t="s">
        <v>151</v>
      </c>
      <c r="DIW550" s="83" t="s">
        <v>151</v>
      </c>
      <c r="DIX550" s="83" t="s">
        <v>151</v>
      </c>
      <c r="DIY550" s="83" t="s">
        <v>151</v>
      </c>
      <c r="DIZ550" s="83" t="s">
        <v>151</v>
      </c>
      <c r="DJA550" s="83" t="s">
        <v>151</v>
      </c>
      <c r="DJB550" s="83" t="s">
        <v>151</v>
      </c>
      <c r="DJC550" s="83" t="s">
        <v>151</v>
      </c>
      <c r="DJD550" s="83" t="s">
        <v>151</v>
      </c>
      <c r="DJE550" s="83" t="s">
        <v>151</v>
      </c>
      <c r="DJF550" s="83" t="s">
        <v>151</v>
      </c>
      <c r="DJG550" s="83" t="s">
        <v>151</v>
      </c>
      <c r="DJH550" s="83" t="s">
        <v>151</v>
      </c>
      <c r="DJI550" s="83" t="s">
        <v>151</v>
      </c>
      <c r="DJJ550" s="83" t="s">
        <v>151</v>
      </c>
      <c r="DJK550" s="83" t="s">
        <v>151</v>
      </c>
      <c r="DJL550" s="83" t="s">
        <v>151</v>
      </c>
      <c r="DJM550" s="83" t="s">
        <v>151</v>
      </c>
      <c r="DJN550" s="83" t="s">
        <v>151</v>
      </c>
      <c r="DJO550" s="83" t="s">
        <v>151</v>
      </c>
      <c r="DJP550" s="83" t="s">
        <v>151</v>
      </c>
      <c r="DJQ550" s="83" t="s">
        <v>151</v>
      </c>
      <c r="DJR550" s="83" t="s">
        <v>151</v>
      </c>
      <c r="DJS550" s="83" t="s">
        <v>151</v>
      </c>
      <c r="DJT550" s="83" t="s">
        <v>151</v>
      </c>
      <c r="DJU550" s="83" t="s">
        <v>151</v>
      </c>
      <c r="DJV550" s="83" t="s">
        <v>151</v>
      </c>
      <c r="DJW550" s="83" t="s">
        <v>151</v>
      </c>
      <c r="DJX550" s="83" t="s">
        <v>151</v>
      </c>
      <c r="DJY550" s="83" t="s">
        <v>151</v>
      </c>
      <c r="DJZ550" s="83" t="s">
        <v>151</v>
      </c>
      <c r="DKA550" s="83" t="s">
        <v>151</v>
      </c>
      <c r="DKB550" s="83" t="s">
        <v>151</v>
      </c>
      <c r="DKC550" s="83" t="s">
        <v>151</v>
      </c>
      <c r="DKD550" s="83" t="s">
        <v>151</v>
      </c>
      <c r="DKE550" s="83" t="s">
        <v>151</v>
      </c>
      <c r="DKF550" s="83" t="s">
        <v>151</v>
      </c>
      <c r="DKG550" s="83" t="s">
        <v>151</v>
      </c>
      <c r="DKH550" s="83" t="s">
        <v>151</v>
      </c>
      <c r="DKI550" s="83" t="s">
        <v>151</v>
      </c>
      <c r="DKJ550" s="83" t="s">
        <v>151</v>
      </c>
      <c r="DKK550" s="83" t="s">
        <v>151</v>
      </c>
      <c r="DKL550" s="83" t="s">
        <v>151</v>
      </c>
      <c r="DKM550" s="83" t="s">
        <v>151</v>
      </c>
      <c r="DKN550" s="83" t="s">
        <v>151</v>
      </c>
      <c r="DKO550" s="83" t="s">
        <v>151</v>
      </c>
      <c r="DKP550" s="83" t="s">
        <v>151</v>
      </c>
      <c r="DKQ550" s="83" t="s">
        <v>151</v>
      </c>
      <c r="DKR550" s="83" t="s">
        <v>151</v>
      </c>
      <c r="DKS550" s="83" t="s">
        <v>151</v>
      </c>
      <c r="DKT550" s="83" t="s">
        <v>151</v>
      </c>
      <c r="DKU550" s="83" t="s">
        <v>151</v>
      </c>
      <c r="DKV550" s="83" t="s">
        <v>151</v>
      </c>
      <c r="DKW550" s="83" t="s">
        <v>151</v>
      </c>
      <c r="DKX550" s="83" t="s">
        <v>151</v>
      </c>
      <c r="DKY550" s="83" t="s">
        <v>151</v>
      </c>
      <c r="DKZ550" s="83" t="s">
        <v>151</v>
      </c>
      <c r="DLA550" s="83" t="s">
        <v>151</v>
      </c>
      <c r="DLB550" s="83" t="s">
        <v>151</v>
      </c>
      <c r="DLC550" s="83" t="s">
        <v>151</v>
      </c>
      <c r="DLD550" s="83" t="s">
        <v>151</v>
      </c>
      <c r="DLE550" s="83" t="s">
        <v>151</v>
      </c>
      <c r="DLF550" s="83" t="s">
        <v>151</v>
      </c>
      <c r="DLG550" s="83" t="s">
        <v>151</v>
      </c>
      <c r="DLH550" s="83" t="s">
        <v>151</v>
      </c>
      <c r="DLI550" s="83" t="s">
        <v>151</v>
      </c>
      <c r="DLJ550" s="83" t="s">
        <v>151</v>
      </c>
      <c r="DLK550" s="83" t="s">
        <v>151</v>
      </c>
      <c r="DLL550" s="83" t="s">
        <v>151</v>
      </c>
      <c r="DLM550" s="83" t="s">
        <v>151</v>
      </c>
      <c r="DLN550" s="83" t="s">
        <v>151</v>
      </c>
      <c r="DLO550" s="83" t="s">
        <v>151</v>
      </c>
      <c r="DLP550" s="83" t="s">
        <v>151</v>
      </c>
      <c r="DLQ550" s="83" t="s">
        <v>151</v>
      </c>
      <c r="DLR550" s="83" t="s">
        <v>151</v>
      </c>
      <c r="DLS550" s="83" t="s">
        <v>151</v>
      </c>
      <c r="DLT550" s="83" t="s">
        <v>151</v>
      </c>
      <c r="DLU550" s="83" t="s">
        <v>151</v>
      </c>
      <c r="DLV550" s="83" t="s">
        <v>151</v>
      </c>
      <c r="DLW550" s="83" t="s">
        <v>151</v>
      </c>
      <c r="DLX550" s="83" t="s">
        <v>151</v>
      </c>
      <c r="DLY550" s="83" t="s">
        <v>151</v>
      </c>
      <c r="DLZ550" s="83" t="s">
        <v>151</v>
      </c>
      <c r="DMA550" s="83" t="s">
        <v>151</v>
      </c>
      <c r="DMB550" s="83" t="s">
        <v>151</v>
      </c>
      <c r="DMC550" s="83" t="s">
        <v>151</v>
      </c>
      <c r="DMD550" s="83" t="s">
        <v>151</v>
      </c>
      <c r="DME550" s="83" t="s">
        <v>151</v>
      </c>
      <c r="DMF550" s="83" t="s">
        <v>151</v>
      </c>
      <c r="DMG550" s="83" t="s">
        <v>151</v>
      </c>
      <c r="DMH550" s="83" t="s">
        <v>151</v>
      </c>
      <c r="DMI550" s="83" t="s">
        <v>151</v>
      </c>
      <c r="DMJ550" s="83" t="s">
        <v>151</v>
      </c>
      <c r="DMK550" s="83" t="s">
        <v>151</v>
      </c>
      <c r="DML550" s="83" t="s">
        <v>151</v>
      </c>
      <c r="DMM550" s="83" t="s">
        <v>151</v>
      </c>
      <c r="DMN550" s="83" t="s">
        <v>151</v>
      </c>
      <c r="DMO550" s="83" t="s">
        <v>151</v>
      </c>
      <c r="DMP550" s="83" t="s">
        <v>151</v>
      </c>
      <c r="DMQ550" s="83" t="s">
        <v>151</v>
      </c>
      <c r="DMR550" s="83" t="s">
        <v>151</v>
      </c>
      <c r="DMS550" s="83" t="s">
        <v>151</v>
      </c>
      <c r="DMT550" s="83" t="s">
        <v>151</v>
      </c>
      <c r="DMU550" s="83" t="s">
        <v>151</v>
      </c>
      <c r="DMV550" s="83" t="s">
        <v>151</v>
      </c>
      <c r="DMW550" s="83" t="s">
        <v>151</v>
      </c>
      <c r="DMX550" s="83" t="s">
        <v>151</v>
      </c>
      <c r="DMY550" s="83" t="s">
        <v>151</v>
      </c>
      <c r="DMZ550" s="83" t="s">
        <v>151</v>
      </c>
      <c r="DNA550" s="83" t="s">
        <v>151</v>
      </c>
      <c r="DNB550" s="83" t="s">
        <v>151</v>
      </c>
      <c r="DNC550" s="83" t="s">
        <v>151</v>
      </c>
      <c r="DND550" s="83" t="s">
        <v>151</v>
      </c>
      <c r="DNE550" s="83" t="s">
        <v>151</v>
      </c>
      <c r="DNF550" s="83" t="s">
        <v>151</v>
      </c>
      <c r="DNG550" s="83" t="s">
        <v>151</v>
      </c>
      <c r="DNH550" s="83" t="s">
        <v>151</v>
      </c>
      <c r="DNI550" s="83" t="s">
        <v>151</v>
      </c>
      <c r="DNJ550" s="83" t="s">
        <v>151</v>
      </c>
      <c r="DNK550" s="83" t="s">
        <v>151</v>
      </c>
      <c r="DNL550" s="83" t="s">
        <v>151</v>
      </c>
      <c r="DNM550" s="83" t="s">
        <v>151</v>
      </c>
      <c r="DNN550" s="83" t="s">
        <v>151</v>
      </c>
      <c r="DNO550" s="83" t="s">
        <v>151</v>
      </c>
      <c r="DNP550" s="83" t="s">
        <v>151</v>
      </c>
      <c r="DNQ550" s="83" t="s">
        <v>151</v>
      </c>
      <c r="DNR550" s="83" t="s">
        <v>151</v>
      </c>
      <c r="DNS550" s="83" t="s">
        <v>151</v>
      </c>
      <c r="DNT550" s="83" t="s">
        <v>151</v>
      </c>
      <c r="DNU550" s="83" t="s">
        <v>151</v>
      </c>
      <c r="DNV550" s="83" t="s">
        <v>151</v>
      </c>
      <c r="DNW550" s="83" t="s">
        <v>151</v>
      </c>
      <c r="DNX550" s="83" t="s">
        <v>151</v>
      </c>
      <c r="DNY550" s="83" t="s">
        <v>151</v>
      </c>
      <c r="DNZ550" s="83" t="s">
        <v>151</v>
      </c>
      <c r="DOA550" s="83" t="s">
        <v>151</v>
      </c>
      <c r="DOB550" s="83" t="s">
        <v>151</v>
      </c>
      <c r="DOC550" s="83" t="s">
        <v>151</v>
      </c>
      <c r="DOD550" s="83" t="s">
        <v>151</v>
      </c>
      <c r="DOE550" s="83" t="s">
        <v>151</v>
      </c>
      <c r="DOF550" s="83" t="s">
        <v>151</v>
      </c>
      <c r="DOG550" s="83" t="s">
        <v>151</v>
      </c>
      <c r="DOH550" s="83" t="s">
        <v>151</v>
      </c>
      <c r="DOI550" s="83" t="s">
        <v>151</v>
      </c>
      <c r="DOJ550" s="83" t="s">
        <v>151</v>
      </c>
      <c r="DOK550" s="83" t="s">
        <v>151</v>
      </c>
      <c r="DOL550" s="83" t="s">
        <v>151</v>
      </c>
      <c r="DOM550" s="83" t="s">
        <v>151</v>
      </c>
      <c r="DON550" s="83" t="s">
        <v>151</v>
      </c>
      <c r="DOO550" s="83" t="s">
        <v>151</v>
      </c>
      <c r="DOP550" s="83" t="s">
        <v>151</v>
      </c>
      <c r="DOQ550" s="83" t="s">
        <v>151</v>
      </c>
      <c r="DOR550" s="83" t="s">
        <v>151</v>
      </c>
      <c r="DOS550" s="83" t="s">
        <v>151</v>
      </c>
      <c r="DOT550" s="83" t="s">
        <v>151</v>
      </c>
      <c r="DOU550" s="83" t="s">
        <v>151</v>
      </c>
      <c r="DOV550" s="83" t="s">
        <v>151</v>
      </c>
      <c r="DOW550" s="83" t="s">
        <v>151</v>
      </c>
      <c r="DOX550" s="83" t="s">
        <v>151</v>
      </c>
      <c r="DOY550" s="83" t="s">
        <v>151</v>
      </c>
      <c r="DOZ550" s="83" t="s">
        <v>151</v>
      </c>
      <c r="DPA550" s="83" t="s">
        <v>151</v>
      </c>
      <c r="DPB550" s="83" t="s">
        <v>151</v>
      </c>
      <c r="DPC550" s="83" t="s">
        <v>151</v>
      </c>
      <c r="DPD550" s="83" t="s">
        <v>151</v>
      </c>
      <c r="DPE550" s="83" t="s">
        <v>151</v>
      </c>
      <c r="DPF550" s="83" t="s">
        <v>151</v>
      </c>
      <c r="DPG550" s="83" t="s">
        <v>151</v>
      </c>
      <c r="DPH550" s="83" t="s">
        <v>151</v>
      </c>
      <c r="DPI550" s="83" t="s">
        <v>151</v>
      </c>
      <c r="DPJ550" s="83" t="s">
        <v>151</v>
      </c>
      <c r="DPK550" s="83" t="s">
        <v>151</v>
      </c>
      <c r="DPL550" s="83" t="s">
        <v>151</v>
      </c>
      <c r="DPM550" s="83" t="s">
        <v>151</v>
      </c>
      <c r="DPN550" s="83" t="s">
        <v>151</v>
      </c>
      <c r="DPO550" s="83" t="s">
        <v>151</v>
      </c>
      <c r="DPP550" s="83" t="s">
        <v>151</v>
      </c>
      <c r="DPQ550" s="83" t="s">
        <v>151</v>
      </c>
      <c r="DPR550" s="83" t="s">
        <v>151</v>
      </c>
      <c r="DPS550" s="83" t="s">
        <v>151</v>
      </c>
      <c r="DPT550" s="83" t="s">
        <v>151</v>
      </c>
      <c r="DPU550" s="83" t="s">
        <v>151</v>
      </c>
      <c r="DPV550" s="83" t="s">
        <v>151</v>
      </c>
      <c r="DPW550" s="83" t="s">
        <v>151</v>
      </c>
      <c r="DPX550" s="83" t="s">
        <v>151</v>
      </c>
      <c r="DPY550" s="83" t="s">
        <v>151</v>
      </c>
      <c r="DPZ550" s="83" t="s">
        <v>151</v>
      </c>
      <c r="DQA550" s="83" t="s">
        <v>151</v>
      </c>
      <c r="DQB550" s="83" t="s">
        <v>151</v>
      </c>
      <c r="DQC550" s="83" t="s">
        <v>151</v>
      </c>
      <c r="DQD550" s="83" t="s">
        <v>151</v>
      </c>
      <c r="DQE550" s="83" t="s">
        <v>151</v>
      </c>
      <c r="DQF550" s="83" t="s">
        <v>151</v>
      </c>
      <c r="DQG550" s="83" t="s">
        <v>151</v>
      </c>
      <c r="DQH550" s="83" t="s">
        <v>151</v>
      </c>
      <c r="DQI550" s="83" t="s">
        <v>151</v>
      </c>
      <c r="DQJ550" s="83" t="s">
        <v>151</v>
      </c>
      <c r="DQK550" s="83" t="s">
        <v>151</v>
      </c>
      <c r="DQL550" s="83" t="s">
        <v>151</v>
      </c>
      <c r="DQM550" s="83" t="s">
        <v>151</v>
      </c>
      <c r="DQN550" s="83" t="s">
        <v>151</v>
      </c>
      <c r="DQO550" s="83" t="s">
        <v>151</v>
      </c>
      <c r="DQP550" s="83" t="s">
        <v>151</v>
      </c>
      <c r="DQQ550" s="83" t="s">
        <v>151</v>
      </c>
      <c r="DQR550" s="83" t="s">
        <v>151</v>
      </c>
      <c r="DQS550" s="83" t="s">
        <v>151</v>
      </c>
      <c r="DQT550" s="83" t="s">
        <v>151</v>
      </c>
      <c r="DQU550" s="83" t="s">
        <v>151</v>
      </c>
      <c r="DQV550" s="83" t="s">
        <v>151</v>
      </c>
      <c r="DQW550" s="83" t="s">
        <v>151</v>
      </c>
      <c r="DQX550" s="83" t="s">
        <v>151</v>
      </c>
      <c r="DQY550" s="83" t="s">
        <v>151</v>
      </c>
      <c r="DQZ550" s="83" t="s">
        <v>151</v>
      </c>
      <c r="DRA550" s="83" t="s">
        <v>151</v>
      </c>
      <c r="DRB550" s="83" t="s">
        <v>151</v>
      </c>
      <c r="DRC550" s="83" t="s">
        <v>151</v>
      </c>
      <c r="DRD550" s="83" t="s">
        <v>151</v>
      </c>
      <c r="DRE550" s="83" t="s">
        <v>151</v>
      </c>
      <c r="DRF550" s="83" t="s">
        <v>151</v>
      </c>
      <c r="DRG550" s="83" t="s">
        <v>151</v>
      </c>
      <c r="DRH550" s="83" t="s">
        <v>151</v>
      </c>
      <c r="DRI550" s="83" t="s">
        <v>151</v>
      </c>
      <c r="DRJ550" s="83" t="s">
        <v>151</v>
      </c>
      <c r="DRK550" s="83" t="s">
        <v>151</v>
      </c>
      <c r="DRL550" s="83" t="s">
        <v>151</v>
      </c>
      <c r="DRM550" s="83" t="s">
        <v>151</v>
      </c>
      <c r="DRN550" s="83" t="s">
        <v>151</v>
      </c>
      <c r="DRO550" s="83" t="s">
        <v>151</v>
      </c>
      <c r="DRP550" s="83" t="s">
        <v>151</v>
      </c>
      <c r="DRQ550" s="83" t="s">
        <v>151</v>
      </c>
      <c r="DRR550" s="83" t="s">
        <v>151</v>
      </c>
      <c r="DRS550" s="83" t="s">
        <v>151</v>
      </c>
      <c r="DRT550" s="83" t="s">
        <v>151</v>
      </c>
      <c r="DRU550" s="83" t="s">
        <v>151</v>
      </c>
      <c r="DRV550" s="83" t="s">
        <v>151</v>
      </c>
      <c r="DRW550" s="83" t="s">
        <v>151</v>
      </c>
      <c r="DRX550" s="83" t="s">
        <v>151</v>
      </c>
      <c r="DRY550" s="83" t="s">
        <v>151</v>
      </c>
      <c r="DRZ550" s="83" t="s">
        <v>151</v>
      </c>
      <c r="DSA550" s="83" t="s">
        <v>151</v>
      </c>
      <c r="DSB550" s="83" t="s">
        <v>151</v>
      </c>
      <c r="DSC550" s="83" t="s">
        <v>151</v>
      </c>
      <c r="DSD550" s="83" t="s">
        <v>151</v>
      </c>
      <c r="DSE550" s="83" t="s">
        <v>151</v>
      </c>
      <c r="DSF550" s="83" t="s">
        <v>151</v>
      </c>
      <c r="DSG550" s="83" t="s">
        <v>151</v>
      </c>
      <c r="DSH550" s="83" t="s">
        <v>151</v>
      </c>
      <c r="DSI550" s="83" t="s">
        <v>151</v>
      </c>
      <c r="DSJ550" s="83" t="s">
        <v>151</v>
      </c>
      <c r="DSK550" s="83" t="s">
        <v>151</v>
      </c>
      <c r="DSL550" s="83" t="s">
        <v>151</v>
      </c>
      <c r="DSM550" s="83" t="s">
        <v>151</v>
      </c>
      <c r="DSN550" s="83" t="s">
        <v>151</v>
      </c>
      <c r="DSO550" s="83" t="s">
        <v>151</v>
      </c>
      <c r="DSP550" s="83" t="s">
        <v>151</v>
      </c>
      <c r="DSQ550" s="83" t="s">
        <v>151</v>
      </c>
      <c r="DSR550" s="83" t="s">
        <v>151</v>
      </c>
      <c r="DSS550" s="83" t="s">
        <v>151</v>
      </c>
      <c r="DST550" s="83" t="s">
        <v>151</v>
      </c>
      <c r="DSU550" s="83" t="s">
        <v>151</v>
      </c>
      <c r="DSV550" s="83" t="s">
        <v>151</v>
      </c>
      <c r="DSW550" s="83" t="s">
        <v>151</v>
      </c>
      <c r="DSX550" s="83" t="s">
        <v>151</v>
      </c>
      <c r="DSY550" s="83" t="s">
        <v>151</v>
      </c>
      <c r="DSZ550" s="83" t="s">
        <v>151</v>
      </c>
      <c r="DTA550" s="83" t="s">
        <v>151</v>
      </c>
      <c r="DTB550" s="83" t="s">
        <v>151</v>
      </c>
      <c r="DTC550" s="83" t="s">
        <v>151</v>
      </c>
      <c r="DTD550" s="83" t="s">
        <v>151</v>
      </c>
      <c r="DTE550" s="83" t="s">
        <v>151</v>
      </c>
      <c r="DTF550" s="83" t="s">
        <v>151</v>
      </c>
      <c r="DTG550" s="83" t="s">
        <v>151</v>
      </c>
      <c r="DTH550" s="83" t="s">
        <v>151</v>
      </c>
      <c r="DTI550" s="83" t="s">
        <v>151</v>
      </c>
      <c r="DTJ550" s="83" t="s">
        <v>151</v>
      </c>
      <c r="DTK550" s="83" t="s">
        <v>151</v>
      </c>
      <c r="DTL550" s="83" t="s">
        <v>151</v>
      </c>
      <c r="DTM550" s="83" t="s">
        <v>151</v>
      </c>
      <c r="DTN550" s="83" t="s">
        <v>151</v>
      </c>
      <c r="DTO550" s="83" t="s">
        <v>151</v>
      </c>
      <c r="DTP550" s="83" t="s">
        <v>151</v>
      </c>
      <c r="DTQ550" s="83" t="s">
        <v>151</v>
      </c>
      <c r="DTR550" s="83" t="s">
        <v>151</v>
      </c>
      <c r="DTS550" s="83" t="s">
        <v>151</v>
      </c>
      <c r="DTT550" s="83" t="s">
        <v>151</v>
      </c>
      <c r="DTU550" s="83" t="s">
        <v>151</v>
      </c>
      <c r="DTV550" s="83" t="s">
        <v>151</v>
      </c>
      <c r="DTW550" s="83" t="s">
        <v>151</v>
      </c>
      <c r="DTX550" s="83" t="s">
        <v>151</v>
      </c>
      <c r="DTY550" s="83" t="s">
        <v>151</v>
      </c>
      <c r="DTZ550" s="83" t="s">
        <v>151</v>
      </c>
      <c r="DUA550" s="83" t="s">
        <v>151</v>
      </c>
      <c r="DUB550" s="83" t="s">
        <v>151</v>
      </c>
      <c r="DUC550" s="83" t="s">
        <v>151</v>
      </c>
      <c r="DUD550" s="83" t="s">
        <v>151</v>
      </c>
      <c r="DUE550" s="83" t="s">
        <v>151</v>
      </c>
      <c r="DUF550" s="83" t="s">
        <v>151</v>
      </c>
      <c r="DUG550" s="83" t="s">
        <v>151</v>
      </c>
      <c r="DUH550" s="83" t="s">
        <v>151</v>
      </c>
      <c r="DUI550" s="83" t="s">
        <v>151</v>
      </c>
      <c r="DUJ550" s="83" t="s">
        <v>151</v>
      </c>
      <c r="DUK550" s="83" t="s">
        <v>151</v>
      </c>
      <c r="DUL550" s="83" t="s">
        <v>151</v>
      </c>
      <c r="DUM550" s="83" t="s">
        <v>151</v>
      </c>
      <c r="DUN550" s="83" t="s">
        <v>151</v>
      </c>
      <c r="DUO550" s="83" t="s">
        <v>151</v>
      </c>
      <c r="DUP550" s="83" t="s">
        <v>151</v>
      </c>
      <c r="DUQ550" s="83" t="s">
        <v>151</v>
      </c>
      <c r="DUR550" s="83" t="s">
        <v>151</v>
      </c>
      <c r="DUS550" s="83" t="s">
        <v>151</v>
      </c>
      <c r="DUT550" s="83" t="s">
        <v>151</v>
      </c>
      <c r="DUU550" s="83" t="s">
        <v>151</v>
      </c>
      <c r="DUV550" s="83" t="s">
        <v>151</v>
      </c>
      <c r="DUW550" s="83" t="s">
        <v>151</v>
      </c>
      <c r="DUX550" s="83" t="s">
        <v>151</v>
      </c>
      <c r="DUY550" s="83" t="s">
        <v>151</v>
      </c>
      <c r="DUZ550" s="83" t="s">
        <v>151</v>
      </c>
      <c r="DVA550" s="83" t="s">
        <v>151</v>
      </c>
      <c r="DVB550" s="83" t="s">
        <v>151</v>
      </c>
      <c r="DVC550" s="83" t="s">
        <v>151</v>
      </c>
      <c r="DVD550" s="83" t="s">
        <v>151</v>
      </c>
      <c r="DVE550" s="83" t="s">
        <v>151</v>
      </c>
      <c r="DVF550" s="83" t="s">
        <v>151</v>
      </c>
      <c r="DVG550" s="83" t="s">
        <v>151</v>
      </c>
      <c r="DVH550" s="83" t="s">
        <v>151</v>
      </c>
      <c r="DVI550" s="83" t="s">
        <v>151</v>
      </c>
      <c r="DVJ550" s="83" t="s">
        <v>151</v>
      </c>
      <c r="DVK550" s="83" t="s">
        <v>151</v>
      </c>
      <c r="DVL550" s="83" t="s">
        <v>151</v>
      </c>
      <c r="DVM550" s="83" t="s">
        <v>151</v>
      </c>
      <c r="DVN550" s="83" t="s">
        <v>151</v>
      </c>
      <c r="DVO550" s="83" t="s">
        <v>151</v>
      </c>
      <c r="DVP550" s="83" t="s">
        <v>151</v>
      </c>
      <c r="DVQ550" s="83" t="s">
        <v>151</v>
      </c>
      <c r="DVR550" s="83" t="s">
        <v>151</v>
      </c>
      <c r="DVS550" s="83" t="s">
        <v>151</v>
      </c>
      <c r="DVT550" s="83" t="s">
        <v>151</v>
      </c>
      <c r="DVU550" s="83" t="s">
        <v>151</v>
      </c>
      <c r="DVV550" s="83" t="s">
        <v>151</v>
      </c>
      <c r="DVW550" s="83" t="s">
        <v>151</v>
      </c>
      <c r="DVX550" s="83" t="s">
        <v>151</v>
      </c>
      <c r="DVY550" s="83" t="s">
        <v>151</v>
      </c>
      <c r="DVZ550" s="83" t="s">
        <v>151</v>
      </c>
      <c r="DWA550" s="83" t="s">
        <v>151</v>
      </c>
      <c r="DWB550" s="83" t="s">
        <v>151</v>
      </c>
      <c r="DWC550" s="83" t="s">
        <v>151</v>
      </c>
      <c r="DWD550" s="83" t="s">
        <v>151</v>
      </c>
      <c r="DWE550" s="83" t="s">
        <v>151</v>
      </c>
      <c r="DWF550" s="83" t="s">
        <v>151</v>
      </c>
      <c r="DWG550" s="83" t="s">
        <v>151</v>
      </c>
      <c r="DWH550" s="83" t="s">
        <v>151</v>
      </c>
      <c r="DWI550" s="83" t="s">
        <v>151</v>
      </c>
      <c r="DWJ550" s="83" t="s">
        <v>151</v>
      </c>
      <c r="DWK550" s="83" t="s">
        <v>151</v>
      </c>
      <c r="DWL550" s="83" t="s">
        <v>151</v>
      </c>
      <c r="DWM550" s="83" t="s">
        <v>151</v>
      </c>
      <c r="DWN550" s="83" t="s">
        <v>151</v>
      </c>
      <c r="DWO550" s="83" t="s">
        <v>151</v>
      </c>
      <c r="DWP550" s="83" t="s">
        <v>151</v>
      </c>
      <c r="DWQ550" s="83" t="s">
        <v>151</v>
      </c>
      <c r="DWR550" s="83" t="s">
        <v>151</v>
      </c>
      <c r="DWS550" s="83" t="s">
        <v>151</v>
      </c>
      <c r="DWT550" s="83" t="s">
        <v>151</v>
      </c>
      <c r="DWU550" s="83" t="s">
        <v>151</v>
      </c>
      <c r="DWV550" s="83" t="s">
        <v>151</v>
      </c>
      <c r="DWW550" s="83" t="s">
        <v>151</v>
      </c>
      <c r="DWX550" s="83" t="s">
        <v>151</v>
      </c>
      <c r="DWY550" s="83" t="s">
        <v>151</v>
      </c>
      <c r="DWZ550" s="83" t="s">
        <v>151</v>
      </c>
      <c r="DXA550" s="83" t="s">
        <v>151</v>
      </c>
      <c r="DXB550" s="83" t="s">
        <v>151</v>
      </c>
      <c r="DXC550" s="83" t="s">
        <v>151</v>
      </c>
      <c r="DXD550" s="83" t="s">
        <v>151</v>
      </c>
      <c r="DXE550" s="83" t="s">
        <v>151</v>
      </c>
      <c r="DXF550" s="83" t="s">
        <v>151</v>
      </c>
      <c r="DXG550" s="83" t="s">
        <v>151</v>
      </c>
      <c r="DXH550" s="83" t="s">
        <v>151</v>
      </c>
      <c r="DXI550" s="83" t="s">
        <v>151</v>
      </c>
      <c r="DXJ550" s="83" t="s">
        <v>151</v>
      </c>
      <c r="DXK550" s="83" t="s">
        <v>151</v>
      </c>
      <c r="DXL550" s="83" t="s">
        <v>151</v>
      </c>
      <c r="DXM550" s="83" t="s">
        <v>151</v>
      </c>
      <c r="DXN550" s="83" t="s">
        <v>151</v>
      </c>
      <c r="DXO550" s="83" t="s">
        <v>151</v>
      </c>
      <c r="DXP550" s="83" t="s">
        <v>151</v>
      </c>
      <c r="DXQ550" s="83" t="s">
        <v>151</v>
      </c>
      <c r="DXR550" s="83" t="s">
        <v>151</v>
      </c>
      <c r="DXS550" s="83" t="s">
        <v>151</v>
      </c>
      <c r="DXT550" s="83" t="s">
        <v>151</v>
      </c>
      <c r="DXU550" s="83" t="s">
        <v>151</v>
      </c>
      <c r="DXV550" s="83" t="s">
        <v>151</v>
      </c>
      <c r="DXW550" s="83" t="s">
        <v>151</v>
      </c>
      <c r="DXX550" s="83" t="s">
        <v>151</v>
      </c>
      <c r="DXY550" s="83" t="s">
        <v>151</v>
      </c>
      <c r="DXZ550" s="83" t="s">
        <v>151</v>
      </c>
      <c r="DYA550" s="83" t="s">
        <v>151</v>
      </c>
      <c r="DYB550" s="83" t="s">
        <v>151</v>
      </c>
      <c r="DYC550" s="83" t="s">
        <v>151</v>
      </c>
      <c r="DYD550" s="83" t="s">
        <v>151</v>
      </c>
      <c r="DYE550" s="83" t="s">
        <v>151</v>
      </c>
      <c r="DYF550" s="83" t="s">
        <v>151</v>
      </c>
      <c r="DYG550" s="83" t="s">
        <v>151</v>
      </c>
      <c r="DYH550" s="83" t="s">
        <v>151</v>
      </c>
      <c r="DYI550" s="83" t="s">
        <v>151</v>
      </c>
      <c r="DYJ550" s="83" t="s">
        <v>151</v>
      </c>
      <c r="DYK550" s="83" t="s">
        <v>151</v>
      </c>
      <c r="DYL550" s="83" t="s">
        <v>151</v>
      </c>
      <c r="DYM550" s="83" t="s">
        <v>151</v>
      </c>
      <c r="DYN550" s="83" t="s">
        <v>151</v>
      </c>
      <c r="DYO550" s="83" t="s">
        <v>151</v>
      </c>
      <c r="DYP550" s="83" t="s">
        <v>151</v>
      </c>
      <c r="DYQ550" s="83" t="s">
        <v>151</v>
      </c>
      <c r="DYR550" s="83" t="s">
        <v>151</v>
      </c>
      <c r="DYS550" s="83" t="s">
        <v>151</v>
      </c>
      <c r="DYT550" s="83" t="s">
        <v>151</v>
      </c>
      <c r="DYU550" s="83" t="s">
        <v>151</v>
      </c>
      <c r="DYV550" s="83" t="s">
        <v>151</v>
      </c>
      <c r="DYW550" s="83" t="s">
        <v>151</v>
      </c>
      <c r="DYX550" s="83" t="s">
        <v>151</v>
      </c>
      <c r="DYY550" s="83" t="s">
        <v>151</v>
      </c>
      <c r="DYZ550" s="83" t="s">
        <v>151</v>
      </c>
      <c r="DZA550" s="83" t="s">
        <v>151</v>
      </c>
      <c r="DZB550" s="83" t="s">
        <v>151</v>
      </c>
      <c r="DZC550" s="83" t="s">
        <v>151</v>
      </c>
      <c r="DZD550" s="83" t="s">
        <v>151</v>
      </c>
      <c r="DZE550" s="83" t="s">
        <v>151</v>
      </c>
      <c r="DZF550" s="83" t="s">
        <v>151</v>
      </c>
      <c r="DZG550" s="83" t="s">
        <v>151</v>
      </c>
      <c r="DZH550" s="83" t="s">
        <v>151</v>
      </c>
      <c r="DZI550" s="83" t="s">
        <v>151</v>
      </c>
      <c r="DZJ550" s="83" t="s">
        <v>151</v>
      </c>
      <c r="DZK550" s="83" t="s">
        <v>151</v>
      </c>
      <c r="DZL550" s="83" t="s">
        <v>151</v>
      </c>
      <c r="DZM550" s="83" t="s">
        <v>151</v>
      </c>
      <c r="DZN550" s="83" t="s">
        <v>151</v>
      </c>
      <c r="DZO550" s="83" t="s">
        <v>151</v>
      </c>
      <c r="DZP550" s="83" t="s">
        <v>151</v>
      </c>
      <c r="DZQ550" s="83" t="s">
        <v>151</v>
      </c>
      <c r="DZR550" s="83" t="s">
        <v>151</v>
      </c>
      <c r="DZS550" s="83" t="s">
        <v>151</v>
      </c>
      <c r="DZT550" s="83" t="s">
        <v>151</v>
      </c>
      <c r="DZU550" s="83" t="s">
        <v>151</v>
      </c>
      <c r="DZV550" s="83" t="s">
        <v>151</v>
      </c>
      <c r="DZW550" s="83" t="s">
        <v>151</v>
      </c>
      <c r="DZX550" s="83" t="s">
        <v>151</v>
      </c>
      <c r="DZY550" s="83" t="s">
        <v>151</v>
      </c>
      <c r="DZZ550" s="83" t="s">
        <v>151</v>
      </c>
      <c r="EAA550" s="83" t="s">
        <v>151</v>
      </c>
      <c r="EAB550" s="83" t="s">
        <v>151</v>
      </c>
      <c r="EAC550" s="83" t="s">
        <v>151</v>
      </c>
      <c r="EAD550" s="83" t="s">
        <v>151</v>
      </c>
      <c r="EAE550" s="83" t="s">
        <v>151</v>
      </c>
      <c r="EAF550" s="83" t="s">
        <v>151</v>
      </c>
      <c r="EAG550" s="83" t="s">
        <v>151</v>
      </c>
      <c r="EAH550" s="83" t="s">
        <v>151</v>
      </c>
      <c r="EAI550" s="83" t="s">
        <v>151</v>
      </c>
      <c r="EAJ550" s="83" t="s">
        <v>151</v>
      </c>
      <c r="EAK550" s="83" t="s">
        <v>151</v>
      </c>
      <c r="EAL550" s="83" t="s">
        <v>151</v>
      </c>
      <c r="EAM550" s="83" t="s">
        <v>151</v>
      </c>
      <c r="EAN550" s="83" t="s">
        <v>151</v>
      </c>
      <c r="EAO550" s="83" t="s">
        <v>151</v>
      </c>
      <c r="EAP550" s="83" t="s">
        <v>151</v>
      </c>
      <c r="EAQ550" s="83" t="s">
        <v>151</v>
      </c>
      <c r="EAR550" s="83" t="s">
        <v>151</v>
      </c>
      <c r="EAS550" s="83" t="s">
        <v>151</v>
      </c>
      <c r="EAT550" s="83" t="s">
        <v>151</v>
      </c>
      <c r="EAU550" s="83" t="s">
        <v>151</v>
      </c>
      <c r="EAV550" s="83" t="s">
        <v>151</v>
      </c>
      <c r="EAW550" s="83" t="s">
        <v>151</v>
      </c>
      <c r="EAX550" s="83" t="s">
        <v>151</v>
      </c>
      <c r="EAY550" s="83" t="s">
        <v>151</v>
      </c>
      <c r="EAZ550" s="83" t="s">
        <v>151</v>
      </c>
      <c r="EBA550" s="83" t="s">
        <v>151</v>
      </c>
      <c r="EBB550" s="83" t="s">
        <v>151</v>
      </c>
      <c r="EBC550" s="83" t="s">
        <v>151</v>
      </c>
      <c r="EBD550" s="83" t="s">
        <v>151</v>
      </c>
      <c r="EBE550" s="83" t="s">
        <v>151</v>
      </c>
      <c r="EBF550" s="83" t="s">
        <v>151</v>
      </c>
      <c r="EBG550" s="83" t="s">
        <v>151</v>
      </c>
      <c r="EBH550" s="83" t="s">
        <v>151</v>
      </c>
      <c r="EBI550" s="83" t="s">
        <v>151</v>
      </c>
      <c r="EBJ550" s="83" t="s">
        <v>151</v>
      </c>
      <c r="EBK550" s="83" t="s">
        <v>151</v>
      </c>
      <c r="EBL550" s="83" t="s">
        <v>151</v>
      </c>
      <c r="EBM550" s="83" t="s">
        <v>151</v>
      </c>
      <c r="EBN550" s="83" t="s">
        <v>151</v>
      </c>
      <c r="EBO550" s="83" t="s">
        <v>151</v>
      </c>
      <c r="EBP550" s="83" t="s">
        <v>151</v>
      </c>
      <c r="EBQ550" s="83" t="s">
        <v>151</v>
      </c>
      <c r="EBR550" s="83" t="s">
        <v>151</v>
      </c>
      <c r="EBS550" s="83" t="s">
        <v>151</v>
      </c>
      <c r="EBT550" s="83" t="s">
        <v>151</v>
      </c>
      <c r="EBU550" s="83" t="s">
        <v>151</v>
      </c>
      <c r="EBV550" s="83" t="s">
        <v>151</v>
      </c>
      <c r="EBW550" s="83" t="s">
        <v>151</v>
      </c>
      <c r="EBX550" s="83" t="s">
        <v>151</v>
      </c>
      <c r="EBY550" s="83" t="s">
        <v>151</v>
      </c>
      <c r="EBZ550" s="83" t="s">
        <v>151</v>
      </c>
      <c r="ECA550" s="83" t="s">
        <v>151</v>
      </c>
      <c r="ECB550" s="83" t="s">
        <v>151</v>
      </c>
      <c r="ECC550" s="83" t="s">
        <v>151</v>
      </c>
      <c r="ECD550" s="83" t="s">
        <v>151</v>
      </c>
      <c r="ECE550" s="83" t="s">
        <v>151</v>
      </c>
      <c r="ECF550" s="83" t="s">
        <v>151</v>
      </c>
      <c r="ECG550" s="83" t="s">
        <v>151</v>
      </c>
      <c r="ECH550" s="83" t="s">
        <v>151</v>
      </c>
      <c r="ECI550" s="83" t="s">
        <v>151</v>
      </c>
      <c r="ECJ550" s="83" t="s">
        <v>151</v>
      </c>
      <c r="ECK550" s="83" t="s">
        <v>151</v>
      </c>
      <c r="ECL550" s="83" t="s">
        <v>151</v>
      </c>
      <c r="ECM550" s="83" t="s">
        <v>151</v>
      </c>
      <c r="ECN550" s="83" t="s">
        <v>151</v>
      </c>
      <c r="ECO550" s="83" t="s">
        <v>151</v>
      </c>
      <c r="ECP550" s="83" t="s">
        <v>151</v>
      </c>
      <c r="ECQ550" s="83" t="s">
        <v>151</v>
      </c>
      <c r="ECR550" s="83" t="s">
        <v>151</v>
      </c>
      <c r="ECS550" s="83" t="s">
        <v>151</v>
      </c>
      <c r="ECT550" s="83" t="s">
        <v>151</v>
      </c>
      <c r="ECU550" s="83" t="s">
        <v>151</v>
      </c>
      <c r="ECV550" s="83" t="s">
        <v>151</v>
      </c>
      <c r="ECW550" s="83" t="s">
        <v>151</v>
      </c>
      <c r="ECX550" s="83" t="s">
        <v>151</v>
      </c>
      <c r="ECY550" s="83" t="s">
        <v>151</v>
      </c>
      <c r="ECZ550" s="83" t="s">
        <v>151</v>
      </c>
      <c r="EDA550" s="83" t="s">
        <v>151</v>
      </c>
      <c r="EDB550" s="83" t="s">
        <v>151</v>
      </c>
      <c r="EDC550" s="83" t="s">
        <v>151</v>
      </c>
      <c r="EDD550" s="83" t="s">
        <v>151</v>
      </c>
      <c r="EDE550" s="83" t="s">
        <v>151</v>
      </c>
      <c r="EDF550" s="83" t="s">
        <v>151</v>
      </c>
      <c r="EDG550" s="83" t="s">
        <v>151</v>
      </c>
      <c r="EDH550" s="83" t="s">
        <v>151</v>
      </c>
      <c r="EDI550" s="83" t="s">
        <v>151</v>
      </c>
      <c r="EDJ550" s="83" t="s">
        <v>151</v>
      </c>
      <c r="EDK550" s="83" t="s">
        <v>151</v>
      </c>
      <c r="EDL550" s="83" t="s">
        <v>151</v>
      </c>
      <c r="EDM550" s="83" t="s">
        <v>151</v>
      </c>
      <c r="EDN550" s="83" t="s">
        <v>151</v>
      </c>
      <c r="EDO550" s="83" t="s">
        <v>151</v>
      </c>
      <c r="EDP550" s="83" t="s">
        <v>151</v>
      </c>
      <c r="EDQ550" s="83" t="s">
        <v>151</v>
      </c>
      <c r="EDR550" s="83" t="s">
        <v>151</v>
      </c>
      <c r="EDS550" s="83" t="s">
        <v>151</v>
      </c>
      <c r="EDT550" s="83" t="s">
        <v>151</v>
      </c>
      <c r="EDU550" s="83" t="s">
        <v>151</v>
      </c>
      <c r="EDV550" s="83" t="s">
        <v>151</v>
      </c>
      <c r="EDW550" s="83" t="s">
        <v>151</v>
      </c>
      <c r="EDX550" s="83" t="s">
        <v>151</v>
      </c>
      <c r="EDY550" s="83" t="s">
        <v>151</v>
      </c>
      <c r="EDZ550" s="83" t="s">
        <v>151</v>
      </c>
      <c r="EEA550" s="83" t="s">
        <v>151</v>
      </c>
      <c r="EEB550" s="83" t="s">
        <v>151</v>
      </c>
      <c r="EEC550" s="83" t="s">
        <v>151</v>
      </c>
      <c r="EED550" s="83" t="s">
        <v>151</v>
      </c>
      <c r="EEE550" s="83" t="s">
        <v>151</v>
      </c>
      <c r="EEF550" s="83" t="s">
        <v>151</v>
      </c>
      <c r="EEG550" s="83" t="s">
        <v>151</v>
      </c>
      <c r="EEH550" s="83" t="s">
        <v>151</v>
      </c>
      <c r="EEI550" s="83" t="s">
        <v>151</v>
      </c>
      <c r="EEJ550" s="83" t="s">
        <v>151</v>
      </c>
      <c r="EEK550" s="83" t="s">
        <v>151</v>
      </c>
      <c r="EEL550" s="83" t="s">
        <v>151</v>
      </c>
      <c r="EEM550" s="83" t="s">
        <v>151</v>
      </c>
      <c r="EEN550" s="83" t="s">
        <v>151</v>
      </c>
      <c r="EEO550" s="83" t="s">
        <v>151</v>
      </c>
      <c r="EEP550" s="83" t="s">
        <v>151</v>
      </c>
      <c r="EEQ550" s="83" t="s">
        <v>151</v>
      </c>
      <c r="EER550" s="83" t="s">
        <v>151</v>
      </c>
      <c r="EES550" s="83" t="s">
        <v>151</v>
      </c>
      <c r="EET550" s="83" t="s">
        <v>151</v>
      </c>
      <c r="EEU550" s="83" t="s">
        <v>151</v>
      </c>
      <c r="EEV550" s="83" t="s">
        <v>151</v>
      </c>
      <c r="EEW550" s="83" t="s">
        <v>151</v>
      </c>
      <c r="EEX550" s="83" t="s">
        <v>151</v>
      </c>
      <c r="EEY550" s="83" t="s">
        <v>151</v>
      </c>
      <c r="EEZ550" s="83" t="s">
        <v>151</v>
      </c>
      <c r="EFA550" s="83" t="s">
        <v>151</v>
      </c>
      <c r="EFB550" s="83" t="s">
        <v>151</v>
      </c>
      <c r="EFC550" s="83" t="s">
        <v>151</v>
      </c>
      <c r="EFD550" s="83" t="s">
        <v>151</v>
      </c>
      <c r="EFE550" s="83" t="s">
        <v>151</v>
      </c>
      <c r="EFF550" s="83" t="s">
        <v>151</v>
      </c>
      <c r="EFG550" s="83" t="s">
        <v>151</v>
      </c>
      <c r="EFH550" s="83" t="s">
        <v>151</v>
      </c>
      <c r="EFI550" s="83" t="s">
        <v>151</v>
      </c>
      <c r="EFJ550" s="83" t="s">
        <v>151</v>
      </c>
      <c r="EFK550" s="83" t="s">
        <v>151</v>
      </c>
      <c r="EFL550" s="83" t="s">
        <v>151</v>
      </c>
      <c r="EFM550" s="83" t="s">
        <v>151</v>
      </c>
      <c r="EFN550" s="83" t="s">
        <v>151</v>
      </c>
      <c r="EFO550" s="83" t="s">
        <v>151</v>
      </c>
      <c r="EFP550" s="83" t="s">
        <v>151</v>
      </c>
      <c r="EFQ550" s="83" t="s">
        <v>151</v>
      </c>
      <c r="EFR550" s="83" t="s">
        <v>151</v>
      </c>
      <c r="EFS550" s="83" t="s">
        <v>151</v>
      </c>
      <c r="EFT550" s="83" t="s">
        <v>151</v>
      </c>
      <c r="EFU550" s="83" t="s">
        <v>151</v>
      </c>
      <c r="EFV550" s="83" t="s">
        <v>151</v>
      </c>
      <c r="EFW550" s="83" t="s">
        <v>151</v>
      </c>
      <c r="EFX550" s="83" t="s">
        <v>151</v>
      </c>
      <c r="EFY550" s="83" t="s">
        <v>151</v>
      </c>
      <c r="EFZ550" s="83" t="s">
        <v>151</v>
      </c>
      <c r="EGA550" s="83" t="s">
        <v>151</v>
      </c>
      <c r="EGB550" s="83" t="s">
        <v>151</v>
      </c>
      <c r="EGC550" s="83" t="s">
        <v>151</v>
      </c>
      <c r="EGD550" s="83" t="s">
        <v>151</v>
      </c>
      <c r="EGE550" s="83" t="s">
        <v>151</v>
      </c>
      <c r="EGF550" s="83" t="s">
        <v>151</v>
      </c>
      <c r="EGG550" s="83" t="s">
        <v>151</v>
      </c>
      <c r="EGH550" s="83" t="s">
        <v>151</v>
      </c>
      <c r="EGI550" s="83" t="s">
        <v>151</v>
      </c>
      <c r="EGJ550" s="83" t="s">
        <v>151</v>
      </c>
      <c r="EGK550" s="83" t="s">
        <v>151</v>
      </c>
      <c r="EGL550" s="83" t="s">
        <v>151</v>
      </c>
      <c r="EGM550" s="83" t="s">
        <v>151</v>
      </c>
      <c r="EGN550" s="83" t="s">
        <v>151</v>
      </c>
      <c r="EGO550" s="83" t="s">
        <v>151</v>
      </c>
      <c r="EGP550" s="83" t="s">
        <v>151</v>
      </c>
      <c r="EGQ550" s="83" t="s">
        <v>151</v>
      </c>
      <c r="EGR550" s="83" t="s">
        <v>151</v>
      </c>
      <c r="EGS550" s="83" t="s">
        <v>151</v>
      </c>
      <c r="EGT550" s="83" t="s">
        <v>151</v>
      </c>
      <c r="EGU550" s="83" t="s">
        <v>151</v>
      </c>
      <c r="EGV550" s="83" t="s">
        <v>151</v>
      </c>
      <c r="EGW550" s="83" t="s">
        <v>151</v>
      </c>
      <c r="EGX550" s="83" t="s">
        <v>151</v>
      </c>
      <c r="EGY550" s="83" t="s">
        <v>151</v>
      </c>
      <c r="EGZ550" s="83" t="s">
        <v>151</v>
      </c>
      <c r="EHA550" s="83" t="s">
        <v>151</v>
      </c>
      <c r="EHB550" s="83" t="s">
        <v>151</v>
      </c>
      <c r="EHC550" s="83" t="s">
        <v>151</v>
      </c>
      <c r="EHD550" s="83" t="s">
        <v>151</v>
      </c>
      <c r="EHE550" s="83" t="s">
        <v>151</v>
      </c>
      <c r="EHF550" s="83" t="s">
        <v>151</v>
      </c>
      <c r="EHG550" s="83" t="s">
        <v>151</v>
      </c>
      <c r="EHH550" s="83" t="s">
        <v>151</v>
      </c>
      <c r="EHI550" s="83" t="s">
        <v>151</v>
      </c>
      <c r="EHJ550" s="83" t="s">
        <v>151</v>
      </c>
      <c r="EHK550" s="83" t="s">
        <v>151</v>
      </c>
      <c r="EHL550" s="83" t="s">
        <v>151</v>
      </c>
      <c r="EHM550" s="83" t="s">
        <v>151</v>
      </c>
      <c r="EHN550" s="83" t="s">
        <v>151</v>
      </c>
      <c r="EHO550" s="83" t="s">
        <v>151</v>
      </c>
      <c r="EHP550" s="83" t="s">
        <v>151</v>
      </c>
      <c r="EHQ550" s="83" t="s">
        <v>151</v>
      </c>
      <c r="EHR550" s="83" t="s">
        <v>151</v>
      </c>
      <c r="EHS550" s="83" t="s">
        <v>151</v>
      </c>
      <c r="EHT550" s="83" t="s">
        <v>151</v>
      </c>
      <c r="EHU550" s="83" t="s">
        <v>151</v>
      </c>
      <c r="EHV550" s="83" t="s">
        <v>151</v>
      </c>
      <c r="EHW550" s="83" t="s">
        <v>151</v>
      </c>
      <c r="EHX550" s="83" t="s">
        <v>151</v>
      </c>
      <c r="EHY550" s="83" t="s">
        <v>151</v>
      </c>
      <c r="EHZ550" s="83" t="s">
        <v>151</v>
      </c>
      <c r="EIA550" s="83" t="s">
        <v>151</v>
      </c>
      <c r="EIB550" s="83" t="s">
        <v>151</v>
      </c>
      <c r="EIC550" s="83" t="s">
        <v>151</v>
      </c>
      <c r="EID550" s="83" t="s">
        <v>151</v>
      </c>
      <c r="EIE550" s="83" t="s">
        <v>151</v>
      </c>
      <c r="EIF550" s="83" t="s">
        <v>151</v>
      </c>
      <c r="EIG550" s="83" t="s">
        <v>151</v>
      </c>
      <c r="EIH550" s="83" t="s">
        <v>151</v>
      </c>
      <c r="EII550" s="83" t="s">
        <v>151</v>
      </c>
      <c r="EIJ550" s="83" t="s">
        <v>151</v>
      </c>
      <c r="EIK550" s="83" t="s">
        <v>151</v>
      </c>
      <c r="EIL550" s="83" t="s">
        <v>151</v>
      </c>
      <c r="EIM550" s="83" t="s">
        <v>151</v>
      </c>
      <c r="EIN550" s="83" t="s">
        <v>151</v>
      </c>
      <c r="EIO550" s="83" t="s">
        <v>151</v>
      </c>
      <c r="EIP550" s="83" t="s">
        <v>151</v>
      </c>
      <c r="EIQ550" s="83" t="s">
        <v>151</v>
      </c>
      <c r="EIR550" s="83" t="s">
        <v>151</v>
      </c>
      <c r="EIS550" s="83" t="s">
        <v>151</v>
      </c>
      <c r="EIT550" s="83" t="s">
        <v>151</v>
      </c>
      <c r="EIU550" s="83" t="s">
        <v>151</v>
      </c>
      <c r="EIV550" s="83" t="s">
        <v>151</v>
      </c>
      <c r="EIW550" s="83" t="s">
        <v>151</v>
      </c>
      <c r="EIX550" s="83" t="s">
        <v>151</v>
      </c>
      <c r="EIY550" s="83" t="s">
        <v>151</v>
      </c>
      <c r="EIZ550" s="83" t="s">
        <v>151</v>
      </c>
      <c r="EJA550" s="83" t="s">
        <v>151</v>
      </c>
      <c r="EJB550" s="83" t="s">
        <v>151</v>
      </c>
      <c r="EJC550" s="83" t="s">
        <v>151</v>
      </c>
      <c r="EJD550" s="83" t="s">
        <v>151</v>
      </c>
      <c r="EJE550" s="83" t="s">
        <v>151</v>
      </c>
      <c r="EJF550" s="83" t="s">
        <v>151</v>
      </c>
      <c r="EJG550" s="83" t="s">
        <v>151</v>
      </c>
      <c r="EJH550" s="83" t="s">
        <v>151</v>
      </c>
      <c r="EJI550" s="83" t="s">
        <v>151</v>
      </c>
      <c r="EJJ550" s="83" t="s">
        <v>151</v>
      </c>
      <c r="EJK550" s="83" t="s">
        <v>151</v>
      </c>
      <c r="EJL550" s="83" t="s">
        <v>151</v>
      </c>
      <c r="EJM550" s="83" t="s">
        <v>151</v>
      </c>
      <c r="EJN550" s="83" t="s">
        <v>151</v>
      </c>
      <c r="EJO550" s="83" t="s">
        <v>151</v>
      </c>
      <c r="EJP550" s="83" t="s">
        <v>151</v>
      </c>
      <c r="EJQ550" s="83" t="s">
        <v>151</v>
      </c>
      <c r="EJR550" s="83" t="s">
        <v>151</v>
      </c>
      <c r="EJS550" s="83" t="s">
        <v>151</v>
      </c>
      <c r="EJT550" s="83" t="s">
        <v>151</v>
      </c>
      <c r="EJU550" s="83" t="s">
        <v>151</v>
      </c>
      <c r="EJV550" s="83" t="s">
        <v>151</v>
      </c>
      <c r="EJW550" s="83" t="s">
        <v>151</v>
      </c>
      <c r="EJX550" s="83" t="s">
        <v>151</v>
      </c>
      <c r="EJY550" s="83" t="s">
        <v>151</v>
      </c>
      <c r="EJZ550" s="83" t="s">
        <v>151</v>
      </c>
      <c r="EKA550" s="83" t="s">
        <v>151</v>
      </c>
      <c r="EKB550" s="83" t="s">
        <v>151</v>
      </c>
      <c r="EKC550" s="83" t="s">
        <v>151</v>
      </c>
      <c r="EKD550" s="83" t="s">
        <v>151</v>
      </c>
      <c r="EKE550" s="83" t="s">
        <v>151</v>
      </c>
      <c r="EKF550" s="83" t="s">
        <v>151</v>
      </c>
      <c r="EKG550" s="83" t="s">
        <v>151</v>
      </c>
      <c r="EKH550" s="83" t="s">
        <v>151</v>
      </c>
      <c r="EKI550" s="83" t="s">
        <v>151</v>
      </c>
      <c r="EKJ550" s="83" t="s">
        <v>151</v>
      </c>
      <c r="EKK550" s="83" t="s">
        <v>151</v>
      </c>
      <c r="EKL550" s="83" t="s">
        <v>151</v>
      </c>
      <c r="EKM550" s="83" t="s">
        <v>151</v>
      </c>
      <c r="EKN550" s="83" t="s">
        <v>151</v>
      </c>
      <c r="EKO550" s="83" t="s">
        <v>151</v>
      </c>
      <c r="EKP550" s="83" t="s">
        <v>151</v>
      </c>
      <c r="EKQ550" s="83" t="s">
        <v>151</v>
      </c>
      <c r="EKR550" s="83" t="s">
        <v>151</v>
      </c>
      <c r="EKS550" s="83" t="s">
        <v>151</v>
      </c>
      <c r="EKT550" s="83" t="s">
        <v>151</v>
      </c>
      <c r="EKU550" s="83" t="s">
        <v>151</v>
      </c>
      <c r="EKV550" s="83" t="s">
        <v>151</v>
      </c>
      <c r="EKW550" s="83" t="s">
        <v>151</v>
      </c>
      <c r="EKX550" s="83" t="s">
        <v>151</v>
      </c>
      <c r="EKY550" s="83" t="s">
        <v>151</v>
      </c>
      <c r="EKZ550" s="83" t="s">
        <v>151</v>
      </c>
      <c r="ELA550" s="83" t="s">
        <v>151</v>
      </c>
      <c r="ELB550" s="83" t="s">
        <v>151</v>
      </c>
      <c r="ELC550" s="83" t="s">
        <v>151</v>
      </c>
      <c r="ELD550" s="83" t="s">
        <v>151</v>
      </c>
      <c r="ELE550" s="83" t="s">
        <v>151</v>
      </c>
      <c r="ELF550" s="83" t="s">
        <v>151</v>
      </c>
      <c r="ELG550" s="83" t="s">
        <v>151</v>
      </c>
      <c r="ELH550" s="83" t="s">
        <v>151</v>
      </c>
      <c r="ELI550" s="83" t="s">
        <v>151</v>
      </c>
      <c r="ELJ550" s="83" t="s">
        <v>151</v>
      </c>
      <c r="ELK550" s="83" t="s">
        <v>151</v>
      </c>
      <c r="ELL550" s="83" t="s">
        <v>151</v>
      </c>
      <c r="ELM550" s="83" t="s">
        <v>151</v>
      </c>
      <c r="ELN550" s="83" t="s">
        <v>151</v>
      </c>
      <c r="ELO550" s="83" t="s">
        <v>151</v>
      </c>
      <c r="ELP550" s="83" t="s">
        <v>151</v>
      </c>
      <c r="ELQ550" s="83" t="s">
        <v>151</v>
      </c>
      <c r="ELR550" s="83" t="s">
        <v>151</v>
      </c>
      <c r="ELS550" s="83" t="s">
        <v>151</v>
      </c>
      <c r="ELT550" s="83" t="s">
        <v>151</v>
      </c>
      <c r="ELU550" s="83" t="s">
        <v>151</v>
      </c>
      <c r="ELV550" s="83" t="s">
        <v>151</v>
      </c>
      <c r="ELW550" s="83" t="s">
        <v>151</v>
      </c>
      <c r="ELX550" s="83" t="s">
        <v>151</v>
      </c>
      <c r="ELY550" s="83" t="s">
        <v>151</v>
      </c>
      <c r="ELZ550" s="83" t="s">
        <v>151</v>
      </c>
      <c r="EMA550" s="83" t="s">
        <v>151</v>
      </c>
      <c r="EMB550" s="83" t="s">
        <v>151</v>
      </c>
      <c r="EMC550" s="83" t="s">
        <v>151</v>
      </c>
      <c r="EMD550" s="83" t="s">
        <v>151</v>
      </c>
      <c r="EME550" s="83" t="s">
        <v>151</v>
      </c>
      <c r="EMF550" s="83" t="s">
        <v>151</v>
      </c>
      <c r="EMG550" s="83" t="s">
        <v>151</v>
      </c>
      <c r="EMH550" s="83" t="s">
        <v>151</v>
      </c>
      <c r="EMI550" s="83" t="s">
        <v>151</v>
      </c>
      <c r="EMJ550" s="83" t="s">
        <v>151</v>
      </c>
      <c r="EMK550" s="83" t="s">
        <v>151</v>
      </c>
      <c r="EML550" s="83" t="s">
        <v>151</v>
      </c>
      <c r="EMM550" s="83" t="s">
        <v>151</v>
      </c>
      <c r="EMN550" s="83" t="s">
        <v>151</v>
      </c>
      <c r="EMO550" s="83" t="s">
        <v>151</v>
      </c>
      <c r="EMP550" s="83" t="s">
        <v>151</v>
      </c>
      <c r="EMQ550" s="83" t="s">
        <v>151</v>
      </c>
      <c r="EMR550" s="83" t="s">
        <v>151</v>
      </c>
      <c r="EMS550" s="83" t="s">
        <v>151</v>
      </c>
      <c r="EMT550" s="83" t="s">
        <v>151</v>
      </c>
      <c r="EMU550" s="83" t="s">
        <v>151</v>
      </c>
      <c r="EMV550" s="83" t="s">
        <v>151</v>
      </c>
      <c r="EMW550" s="83" t="s">
        <v>151</v>
      </c>
      <c r="EMX550" s="83" t="s">
        <v>151</v>
      </c>
      <c r="EMY550" s="83" t="s">
        <v>151</v>
      </c>
      <c r="EMZ550" s="83" t="s">
        <v>151</v>
      </c>
      <c r="ENA550" s="83" t="s">
        <v>151</v>
      </c>
      <c r="ENB550" s="83" t="s">
        <v>151</v>
      </c>
      <c r="ENC550" s="83" t="s">
        <v>151</v>
      </c>
      <c r="END550" s="83" t="s">
        <v>151</v>
      </c>
      <c r="ENE550" s="83" t="s">
        <v>151</v>
      </c>
      <c r="ENF550" s="83" t="s">
        <v>151</v>
      </c>
      <c r="ENG550" s="83" t="s">
        <v>151</v>
      </c>
      <c r="ENH550" s="83" t="s">
        <v>151</v>
      </c>
      <c r="ENI550" s="83" t="s">
        <v>151</v>
      </c>
      <c r="ENJ550" s="83" t="s">
        <v>151</v>
      </c>
      <c r="ENK550" s="83" t="s">
        <v>151</v>
      </c>
      <c r="ENL550" s="83" t="s">
        <v>151</v>
      </c>
      <c r="ENM550" s="83" t="s">
        <v>151</v>
      </c>
      <c r="ENN550" s="83" t="s">
        <v>151</v>
      </c>
      <c r="ENO550" s="83" t="s">
        <v>151</v>
      </c>
      <c r="ENP550" s="83" t="s">
        <v>151</v>
      </c>
      <c r="ENQ550" s="83" t="s">
        <v>151</v>
      </c>
      <c r="ENR550" s="83" t="s">
        <v>151</v>
      </c>
      <c r="ENS550" s="83" t="s">
        <v>151</v>
      </c>
      <c r="ENT550" s="83" t="s">
        <v>151</v>
      </c>
      <c r="ENU550" s="83" t="s">
        <v>151</v>
      </c>
      <c r="ENV550" s="83" t="s">
        <v>151</v>
      </c>
      <c r="ENW550" s="83" t="s">
        <v>151</v>
      </c>
      <c r="ENX550" s="83" t="s">
        <v>151</v>
      </c>
      <c r="ENY550" s="83" t="s">
        <v>151</v>
      </c>
      <c r="ENZ550" s="83" t="s">
        <v>151</v>
      </c>
      <c r="EOA550" s="83" t="s">
        <v>151</v>
      </c>
      <c r="EOB550" s="83" t="s">
        <v>151</v>
      </c>
      <c r="EOC550" s="83" t="s">
        <v>151</v>
      </c>
      <c r="EOD550" s="83" t="s">
        <v>151</v>
      </c>
      <c r="EOE550" s="83" t="s">
        <v>151</v>
      </c>
      <c r="EOF550" s="83" t="s">
        <v>151</v>
      </c>
      <c r="EOG550" s="83" t="s">
        <v>151</v>
      </c>
      <c r="EOH550" s="83" t="s">
        <v>151</v>
      </c>
      <c r="EOI550" s="83" t="s">
        <v>151</v>
      </c>
      <c r="EOJ550" s="83" t="s">
        <v>151</v>
      </c>
      <c r="EOK550" s="83" t="s">
        <v>151</v>
      </c>
      <c r="EOL550" s="83" t="s">
        <v>151</v>
      </c>
      <c r="EOM550" s="83" t="s">
        <v>151</v>
      </c>
      <c r="EON550" s="83" t="s">
        <v>151</v>
      </c>
      <c r="EOO550" s="83" t="s">
        <v>151</v>
      </c>
      <c r="EOP550" s="83" t="s">
        <v>151</v>
      </c>
      <c r="EOQ550" s="83" t="s">
        <v>151</v>
      </c>
      <c r="EOR550" s="83" t="s">
        <v>151</v>
      </c>
      <c r="EOS550" s="83" t="s">
        <v>151</v>
      </c>
      <c r="EOT550" s="83" t="s">
        <v>151</v>
      </c>
      <c r="EOU550" s="83" t="s">
        <v>151</v>
      </c>
      <c r="EOV550" s="83" t="s">
        <v>151</v>
      </c>
      <c r="EOW550" s="83" t="s">
        <v>151</v>
      </c>
      <c r="EOX550" s="83" t="s">
        <v>151</v>
      </c>
      <c r="EOY550" s="83" t="s">
        <v>151</v>
      </c>
      <c r="EOZ550" s="83" t="s">
        <v>151</v>
      </c>
      <c r="EPA550" s="83" t="s">
        <v>151</v>
      </c>
      <c r="EPB550" s="83" t="s">
        <v>151</v>
      </c>
      <c r="EPC550" s="83" t="s">
        <v>151</v>
      </c>
      <c r="EPD550" s="83" t="s">
        <v>151</v>
      </c>
      <c r="EPE550" s="83" t="s">
        <v>151</v>
      </c>
      <c r="EPF550" s="83" t="s">
        <v>151</v>
      </c>
      <c r="EPG550" s="83" t="s">
        <v>151</v>
      </c>
      <c r="EPH550" s="83" t="s">
        <v>151</v>
      </c>
      <c r="EPI550" s="83" t="s">
        <v>151</v>
      </c>
      <c r="EPJ550" s="83" t="s">
        <v>151</v>
      </c>
      <c r="EPK550" s="83" t="s">
        <v>151</v>
      </c>
      <c r="EPL550" s="83" t="s">
        <v>151</v>
      </c>
      <c r="EPM550" s="83" t="s">
        <v>151</v>
      </c>
      <c r="EPN550" s="83" t="s">
        <v>151</v>
      </c>
      <c r="EPO550" s="83" t="s">
        <v>151</v>
      </c>
      <c r="EPP550" s="83" t="s">
        <v>151</v>
      </c>
      <c r="EPQ550" s="83" t="s">
        <v>151</v>
      </c>
      <c r="EPR550" s="83" t="s">
        <v>151</v>
      </c>
      <c r="EPS550" s="83" t="s">
        <v>151</v>
      </c>
      <c r="EPT550" s="83" t="s">
        <v>151</v>
      </c>
      <c r="EPU550" s="83" t="s">
        <v>151</v>
      </c>
      <c r="EPV550" s="83" t="s">
        <v>151</v>
      </c>
      <c r="EPW550" s="83" t="s">
        <v>151</v>
      </c>
      <c r="EPX550" s="83" t="s">
        <v>151</v>
      </c>
      <c r="EPY550" s="83" t="s">
        <v>151</v>
      </c>
      <c r="EPZ550" s="83" t="s">
        <v>151</v>
      </c>
      <c r="EQA550" s="83" t="s">
        <v>151</v>
      </c>
      <c r="EQB550" s="83" t="s">
        <v>151</v>
      </c>
      <c r="EQC550" s="83" t="s">
        <v>151</v>
      </c>
      <c r="EQD550" s="83" t="s">
        <v>151</v>
      </c>
      <c r="EQE550" s="83" t="s">
        <v>151</v>
      </c>
      <c r="EQF550" s="83" t="s">
        <v>151</v>
      </c>
      <c r="EQG550" s="83" t="s">
        <v>151</v>
      </c>
      <c r="EQH550" s="83" t="s">
        <v>151</v>
      </c>
      <c r="EQI550" s="83" t="s">
        <v>151</v>
      </c>
      <c r="EQJ550" s="83" t="s">
        <v>151</v>
      </c>
      <c r="EQK550" s="83" t="s">
        <v>151</v>
      </c>
      <c r="EQL550" s="83" t="s">
        <v>151</v>
      </c>
      <c r="EQM550" s="83" t="s">
        <v>151</v>
      </c>
      <c r="EQN550" s="83" t="s">
        <v>151</v>
      </c>
      <c r="EQO550" s="83" t="s">
        <v>151</v>
      </c>
      <c r="EQP550" s="83" t="s">
        <v>151</v>
      </c>
      <c r="EQQ550" s="83" t="s">
        <v>151</v>
      </c>
      <c r="EQR550" s="83" t="s">
        <v>151</v>
      </c>
      <c r="EQS550" s="83" t="s">
        <v>151</v>
      </c>
      <c r="EQT550" s="83" t="s">
        <v>151</v>
      </c>
      <c r="EQU550" s="83" t="s">
        <v>151</v>
      </c>
      <c r="EQV550" s="83" t="s">
        <v>151</v>
      </c>
      <c r="EQW550" s="83" t="s">
        <v>151</v>
      </c>
      <c r="EQX550" s="83" t="s">
        <v>151</v>
      </c>
      <c r="EQY550" s="83" t="s">
        <v>151</v>
      </c>
      <c r="EQZ550" s="83" t="s">
        <v>151</v>
      </c>
      <c r="ERA550" s="83" t="s">
        <v>151</v>
      </c>
      <c r="ERB550" s="83" t="s">
        <v>151</v>
      </c>
      <c r="ERC550" s="83" t="s">
        <v>151</v>
      </c>
      <c r="ERD550" s="83" t="s">
        <v>151</v>
      </c>
      <c r="ERE550" s="83" t="s">
        <v>151</v>
      </c>
      <c r="ERF550" s="83" t="s">
        <v>151</v>
      </c>
      <c r="ERG550" s="83" t="s">
        <v>151</v>
      </c>
      <c r="ERH550" s="83" t="s">
        <v>151</v>
      </c>
      <c r="ERI550" s="83" t="s">
        <v>151</v>
      </c>
      <c r="ERJ550" s="83" t="s">
        <v>151</v>
      </c>
      <c r="ERK550" s="83" t="s">
        <v>151</v>
      </c>
      <c r="ERL550" s="83" t="s">
        <v>151</v>
      </c>
      <c r="ERM550" s="83" t="s">
        <v>151</v>
      </c>
      <c r="ERN550" s="83" t="s">
        <v>151</v>
      </c>
      <c r="ERO550" s="83" t="s">
        <v>151</v>
      </c>
      <c r="ERP550" s="83" t="s">
        <v>151</v>
      </c>
      <c r="ERQ550" s="83" t="s">
        <v>151</v>
      </c>
      <c r="ERR550" s="83" t="s">
        <v>151</v>
      </c>
      <c r="ERS550" s="83" t="s">
        <v>151</v>
      </c>
      <c r="ERT550" s="83" t="s">
        <v>151</v>
      </c>
      <c r="ERU550" s="83" t="s">
        <v>151</v>
      </c>
      <c r="ERV550" s="83" t="s">
        <v>151</v>
      </c>
      <c r="ERW550" s="83" t="s">
        <v>151</v>
      </c>
      <c r="ERX550" s="83" t="s">
        <v>151</v>
      </c>
      <c r="ERY550" s="83" t="s">
        <v>151</v>
      </c>
      <c r="ERZ550" s="83" t="s">
        <v>151</v>
      </c>
      <c r="ESA550" s="83" t="s">
        <v>151</v>
      </c>
      <c r="ESB550" s="83" t="s">
        <v>151</v>
      </c>
      <c r="ESC550" s="83" t="s">
        <v>151</v>
      </c>
      <c r="ESD550" s="83" t="s">
        <v>151</v>
      </c>
      <c r="ESE550" s="83" t="s">
        <v>151</v>
      </c>
      <c r="ESF550" s="83" t="s">
        <v>151</v>
      </c>
      <c r="ESG550" s="83" t="s">
        <v>151</v>
      </c>
      <c r="ESH550" s="83" t="s">
        <v>151</v>
      </c>
      <c r="ESI550" s="83" t="s">
        <v>151</v>
      </c>
      <c r="ESJ550" s="83" t="s">
        <v>151</v>
      </c>
      <c r="ESK550" s="83" t="s">
        <v>151</v>
      </c>
      <c r="ESL550" s="83" t="s">
        <v>151</v>
      </c>
      <c r="ESM550" s="83" t="s">
        <v>151</v>
      </c>
      <c r="ESN550" s="83" t="s">
        <v>151</v>
      </c>
      <c r="ESO550" s="83" t="s">
        <v>151</v>
      </c>
      <c r="ESP550" s="83" t="s">
        <v>151</v>
      </c>
      <c r="ESQ550" s="83" t="s">
        <v>151</v>
      </c>
      <c r="ESR550" s="83" t="s">
        <v>151</v>
      </c>
      <c r="ESS550" s="83" t="s">
        <v>151</v>
      </c>
      <c r="EST550" s="83" t="s">
        <v>151</v>
      </c>
      <c r="ESU550" s="83" t="s">
        <v>151</v>
      </c>
      <c r="ESV550" s="83" t="s">
        <v>151</v>
      </c>
      <c r="ESW550" s="83" t="s">
        <v>151</v>
      </c>
      <c r="ESX550" s="83" t="s">
        <v>151</v>
      </c>
      <c r="ESY550" s="83" t="s">
        <v>151</v>
      </c>
      <c r="ESZ550" s="83" t="s">
        <v>151</v>
      </c>
      <c r="ETA550" s="83" t="s">
        <v>151</v>
      </c>
      <c r="ETB550" s="83" t="s">
        <v>151</v>
      </c>
      <c r="ETC550" s="83" t="s">
        <v>151</v>
      </c>
      <c r="ETD550" s="83" t="s">
        <v>151</v>
      </c>
      <c r="ETE550" s="83" t="s">
        <v>151</v>
      </c>
      <c r="ETF550" s="83" t="s">
        <v>151</v>
      </c>
      <c r="ETG550" s="83" t="s">
        <v>151</v>
      </c>
      <c r="ETH550" s="83" t="s">
        <v>151</v>
      </c>
      <c r="ETI550" s="83" t="s">
        <v>151</v>
      </c>
      <c r="ETJ550" s="83" t="s">
        <v>151</v>
      </c>
      <c r="ETK550" s="83" t="s">
        <v>151</v>
      </c>
      <c r="ETL550" s="83" t="s">
        <v>151</v>
      </c>
      <c r="ETM550" s="83" t="s">
        <v>151</v>
      </c>
      <c r="ETN550" s="83" t="s">
        <v>151</v>
      </c>
      <c r="ETO550" s="83" t="s">
        <v>151</v>
      </c>
      <c r="ETP550" s="83" t="s">
        <v>151</v>
      </c>
      <c r="ETQ550" s="83" t="s">
        <v>151</v>
      </c>
      <c r="ETR550" s="83" t="s">
        <v>151</v>
      </c>
      <c r="ETS550" s="83" t="s">
        <v>151</v>
      </c>
      <c r="ETT550" s="83" t="s">
        <v>151</v>
      </c>
      <c r="ETU550" s="83" t="s">
        <v>151</v>
      </c>
      <c r="ETV550" s="83" t="s">
        <v>151</v>
      </c>
      <c r="ETW550" s="83" t="s">
        <v>151</v>
      </c>
      <c r="ETX550" s="83" t="s">
        <v>151</v>
      </c>
      <c r="ETY550" s="83" t="s">
        <v>151</v>
      </c>
      <c r="ETZ550" s="83" t="s">
        <v>151</v>
      </c>
      <c r="EUA550" s="83" t="s">
        <v>151</v>
      </c>
      <c r="EUB550" s="83" t="s">
        <v>151</v>
      </c>
      <c r="EUC550" s="83" t="s">
        <v>151</v>
      </c>
      <c r="EUD550" s="83" t="s">
        <v>151</v>
      </c>
      <c r="EUE550" s="83" t="s">
        <v>151</v>
      </c>
      <c r="EUF550" s="83" t="s">
        <v>151</v>
      </c>
      <c r="EUG550" s="83" t="s">
        <v>151</v>
      </c>
      <c r="EUH550" s="83" t="s">
        <v>151</v>
      </c>
      <c r="EUI550" s="83" t="s">
        <v>151</v>
      </c>
      <c r="EUJ550" s="83" t="s">
        <v>151</v>
      </c>
      <c r="EUK550" s="83" t="s">
        <v>151</v>
      </c>
      <c r="EUL550" s="83" t="s">
        <v>151</v>
      </c>
      <c r="EUM550" s="83" t="s">
        <v>151</v>
      </c>
      <c r="EUN550" s="83" t="s">
        <v>151</v>
      </c>
      <c r="EUO550" s="83" t="s">
        <v>151</v>
      </c>
      <c r="EUP550" s="83" t="s">
        <v>151</v>
      </c>
      <c r="EUQ550" s="83" t="s">
        <v>151</v>
      </c>
      <c r="EUR550" s="83" t="s">
        <v>151</v>
      </c>
      <c r="EUS550" s="83" t="s">
        <v>151</v>
      </c>
      <c r="EUT550" s="83" t="s">
        <v>151</v>
      </c>
      <c r="EUU550" s="83" t="s">
        <v>151</v>
      </c>
      <c r="EUV550" s="83" t="s">
        <v>151</v>
      </c>
      <c r="EUW550" s="83" t="s">
        <v>151</v>
      </c>
      <c r="EUX550" s="83" t="s">
        <v>151</v>
      </c>
      <c r="EUY550" s="83" t="s">
        <v>151</v>
      </c>
      <c r="EUZ550" s="83" t="s">
        <v>151</v>
      </c>
      <c r="EVA550" s="83" t="s">
        <v>151</v>
      </c>
      <c r="EVB550" s="83" t="s">
        <v>151</v>
      </c>
      <c r="EVC550" s="83" t="s">
        <v>151</v>
      </c>
      <c r="EVD550" s="83" t="s">
        <v>151</v>
      </c>
      <c r="EVE550" s="83" t="s">
        <v>151</v>
      </c>
      <c r="EVF550" s="83" t="s">
        <v>151</v>
      </c>
      <c r="EVG550" s="83" t="s">
        <v>151</v>
      </c>
      <c r="EVH550" s="83" t="s">
        <v>151</v>
      </c>
      <c r="EVI550" s="83" t="s">
        <v>151</v>
      </c>
      <c r="EVJ550" s="83" t="s">
        <v>151</v>
      </c>
      <c r="EVK550" s="83" t="s">
        <v>151</v>
      </c>
      <c r="EVL550" s="83" t="s">
        <v>151</v>
      </c>
      <c r="EVM550" s="83" t="s">
        <v>151</v>
      </c>
      <c r="EVN550" s="83" t="s">
        <v>151</v>
      </c>
      <c r="EVO550" s="83" t="s">
        <v>151</v>
      </c>
      <c r="EVP550" s="83" t="s">
        <v>151</v>
      </c>
      <c r="EVQ550" s="83" t="s">
        <v>151</v>
      </c>
      <c r="EVR550" s="83" t="s">
        <v>151</v>
      </c>
      <c r="EVS550" s="83" t="s">
        <v>151</v>
      </c>
      <c r="EVT550" s="83" t="s">
        <v>151</v>
      </c>
      <c r="EVU550" s="83" t="s">
        <v>151</v>
      </c>
      <c r="EVV550" s="83" t="s">
        <v>151</v>
      </c>
      <c r="EVW550" s="83" t="s">
        <v>151</v>
      </c>
      <c r="EVX550" s="83" t="s">
        <v>151</v>
      </c>
      <c r="EVY550" s="83" t="s">
        <v>151</v>
      </c>
      <c r="EVZ550" s="83" t="s">
        <v>151</v>
      </c>
      <c r="EWA550" s="83" t="s">
        <v>151</v>
      </c>
      <c r="EWB550" s="83" t="s">
        <v>151</v>
      </c>
      <c r="EWC550" s="83" t="s">
        <v>151</v>
      </c>
      <c r="EWD550" s="83" t="s">
        <v>151</v>
      </c>
      <c r="EWE550" s="83" t="s">
        <v>151</v>
      </c>
      <c r="EWF550" s="83" t="s">
        <v>151</v>
      </c>
      <c r="EWG550" s="83" t="s">
        <v>151</v>
      </c>
      <c r="EWH550" s="83" t="s">
        <v>151</v>
      </c>
      <c r="EWI550" s="83" t="s">
        <v>151</v>
      </c>
      <c r="EWJ550" s="83" t="s">
        <v>151</v>
      </c>
      <c r="EWK550" s="83" t="s">
        <v>151</v>
      </c>
      <c r="EWL550" s="83" t="s">
        <v>151</v>
      </c>
      <c r="EWM550" s="83" t="s">
        <v>151</v>
      </c>
      <c r="EWN550" s="83" t="s">
        <v>151</v>
      </c>
      <c r="EWO550" s="83" t="s">
        <v>151</v>
      </c>
      <c r="EWP550" s="83" t="s">
        <v>151</v>
      </c>
      <c r="EWQ550" s="83" t="s">
        <v>151</v>
      </c>
      <c r="EWR550" s="83" t="s">
        <v>151</v>
      </c>
      <c r="EWS550" s="83" t="s">
        <v>151</v>
      </c>
      <c r="EWT550" s="83" t="s">
        <v>151</v>
      </c>
      <c r="EWU550" s="83" t="s">
        <v>151</v>
      </c>
      <c r="EWV550" s="83" t="s">
        <v>151</v>
      </c>
      <c r="EWW550" s="83" t="s">
        <v>151</v>
      </c>
      <c r="EWX550" s="83" t="s">
        <v>151</v>
      </c>
      <c r="EWY550" s="83" t="s">
        <v>151</v>
      </c>
      <c r="EWZ550" s="83" t="s">
        <v>151</v>
      </c>
      <c r="EXA550" s="83" t="s">
        <v>151</v>
      </c>
      <c r="EXB550" s="83" t="s">
        <v>151</v>
      </c>
      <c r="EXC550" s="83" t="s">
        <v>151</v>
      </c>
      <c r="EXD550" s="83" t="s">
        <v>151</v>
      </c>
      <c r="EXE550" s="83" t="s">
        <v>151</v>
      </c>
      <c r="EXF550" s="83" t="s">
        <v>151</v>
      </c>
      <c r="EXG550" s="83" t="s">
        <v>151</v>
      </c>
      <c r="EXH550" s="83" t="s">
        <v>151</v>
      </c>
      <c r="EXI550" s="83" t="s">
        <v>151</v>
      </c>
      <c r="EXJ550" s="83" t="s">
        <v>151</v>
      </c>
      <c r="EXK550" s="83" t="s">
        <v>151</v>
      </c>
      <c r="EXL550" s="83" t="s">
        <v>151</v>
      </c>
      <c r="EXM550" s="83" t="s">
        <v>151</v>
      </c>
      <c r="EXN550" s="83" t="s">
        <v>151</v>
      </c>
      <c r="EXO550" s="83" t="s">
        <v>151</v>
      </c>
      <c r="EXP550" s="83" t="s">
        <v>151</v>
      </c>
      <c r="EXQ550" s="83" t="s">
        <v>151</v>
      </c>
      <c r="EXR550" s="83" t="s">
        <v>151</v>
      </c>
      <c r="EXS550" s="83" t="s">
        <v>151</v>
      </c>
      <c r="EXT550" s="83" t="s">
        <v>151</v>
      </c>
      <c r="EXU550" s="83" t="s">
        <v>151</v>
      </c>
      <c r="EXV550" s="83" t="s">
        <v>151</v>
      </c>
      <c r="EXW550" s="83" t="s">
        <v>151</v>
      </c>
      <c r="EXX550" s="83" t="s">
        <v>151</v>
      </c>
      <c r="EXY550" s="83" t="s">
        <v>151</v>
      </c>
      <c r="EXZ550" s="83" t="s">
        <v>151</v>
      </c>
      <c r="EYA550" s="83" t="s">
        <v>151</v>
      </c>
      <c r="EYB550" s="83" t="s">
        <v>151</v>
      </c>
      <c r="EYC550" s="83" t="s">
        <v>151</v>
      </c>
      <c r="EYD550" s="83" t="s">
        <v>151</v>
      </c>
      <c r="EYE550" s="83" t="s">
        <v>151</v>
      </c>
      <c r="EYF550" s="83" t="s">
        <v>151</v>
      </c>
      <c r="EYG550" s="83" t="s">
        <v>151</v>
      </c>
      <c r="EYH550" s="83" t="s">
        <v>151</v>
      </c>
      <c r="EYI550" s="83" t="s">
        <v>151</v>
      </c>
      <c r="EYJ550" s="83" t="s">
        <v>151</v>
      </c>
      <c r="EYK550" s="83" t="s">
        <v>151</v>
      </c>
      <c r="EYL550" s="83" t="s">
        <v>151</v>
      </c>
      <c r="EYM550" s="83" t="s">
        <v>151</v>
      </c>
      <c r="EYN550" s="83" t="s">
        <v>151</v>
      </c>
      <c r="EYO550" s="83" t="s">
        <v>151</v>
      </c>
      <c r="EYP550" s="83" t="s">
        <v>151</v>
      </c>
      <c r="EYQ550" s="83" t="s">
        <v>151</v>
      </c>
      <c r="EYR550" s="83" t="s">
        <v>151</v>
      </c>
      <c r="EYS550" s="83" t="s">
        <v>151</v>
      </c>
      <c r="EYT550" s="83" t="s">
        <v>151</v>
      </c>
      <c r="EYU550" s="83" t="s">
        <v>151</v>
      </c>
      <c r="EYV550" s="83" t="s">
        <v>151</v>
      </c>
      <c r="EYW550" s="83" t="s">
        <v>151</v>
      </c>
      <c r="EYX550" s="83" t="s">
        <v>151</v>
      </c>
      <c r="EYY550" s="83" t="s">
        <v>151</v>
      </c>
      <c r="EYZ550" s="83" t="s">
        <v>151</v>
      </c>
      <c r="EZA550" s="83" t="s">
        <v>151</v>
      </c>
      <c r="EZB550" s="83" t="s">
        <v>151</v>
      </c>
      <c r="EZC550" s="83" t="s">
        <v>151</v>
      </c>
      <c r="EZD550" s="83" t="s">
        <v>151</v>
      </c>
      <c r="EZE550" s="83" t="s">
        <v>151</v>
      </c>
      <c r="EZF550" s="83" t="s">
        <v>151</v>
      </c>
      <c r="EZG550" s="83" t="s">
        <v>151</v>
      </c>
      <c r="EZH550" s="83" t="s">
        <v>151</v>
      </c>
      <c r="EZI550" s="83" t="s">
        <v>151</v>
      </c>
      <c r="EZJ550" s="83" t="s">
        <v>151</v>
      </c>
      <c r="EZK550" s="83" t="s">
        <v>151</v>
      </c>
      <c r="EZL550" s="83" t="s">
        <v>151</v>
      </c>
      <c r="EZM550" s="83" t="s">
        <v>151</v>
      </c>
      <c r="EZN550" s="83" t="s">
        <v>151</v>
      </c>
      <c r="EZO550" s="83" t="s">
        <v>151</v>
      </c>
      <c r="EZP550" s="83" t="s">
        <v>151</v>
      </c>
      <c r="EZQ550" s="83" t="s">
        <v>151</v>
      </c>
      <c r="EZR550" s="83" t="s">
        <v>151</v>
      </c>
      <c r="EZS550" s="83" t="s">
        <v>151</v>
      </c>
      <c r="EZT550" s="83" t="s">
        <v>151</v>
      </c>
      <c r="EZU550" s="83" t="s">
        <v>151</v>
      </c>
      <c r="EZV550" s="83" t="s">
        <v>151</v>
      </c>
      <c r="EZW550" s="83" t="s">
        <v>151</v>
      </c>
      <c r="EZX550" s="83" t="s">
        <v>151</v>
      </c>
      <c r="EZY550" s="83" t="s">
        <v>151</v>
      </c>
      <c r="EZZ550" s="83" t="s">
        <v>151</v>
      </c>
      <c r="FAA550" s="83" t="s">
        <v>151</v>
      </c>
      <c r="FAB550" s="83" t="s">
        <v>151</v>
      </c>
      <c r="FAC550" s="83" t="s">
        <v>151</v>
      </c>
      <c r="FAD550" s="83" t="s">
        <v>151</v>
      </c>
      <c r="FAE550" s="83" t="s">
        <v>151</v>
      </c>
      <c r="FAF550" s="83" t="s">
        <v>151</v>
      </c>
      <c r="FAG550" s="83" t="s">
        <v>151</v>
      </c>
      <c r="FAH550" s="83" t="s">
        <v>151</v>
      </c>
      <c r="FAI550" s="83" t="s">
        <v>151</v>
      </c>
      <c r="FAJ550" s="83" t="s">
        <v>151</v>
      </c>
      <c r="FAK550" s="83" t="s">
        <v>151</v>
      </c>
      <c r="FAL550" s="83" t="s">
        <v>151</v>
      </c>
      <c r="FAM550" s="83" t="s">
        <v>151</v>
      </c>
      <c r="FAN550" s="83" t="s">
        <v>151</v>
      </c>
      <c r="FAO550" s="83" t="s">
        <v>151</v>
      </c>
      <c r="FAP550" s="83" t="s">
        <v>151</v>
      </c>
      <c r="FAQ550" s="83" t="s">
        <v>151</v>
      </c>
      <c r="FAR550" s="83" t="s">
        <v>151</v>
      </c>
      <c r="FAS550" s="83" t="s">
        <v>151</v>
      </c>
      <c r="FAT550" s="83" t="s">
        <v>151</v>
      </c>
      <c r="FAU550" s="83" t="s">
        <v>151</v>
      </c>
      <c r="FAV550" s="83" t="s">
        <v>151</v>
      </c>
      <c r="FAW550" s="83" t="s">
        <v>151</v>
      </c>
      <c r="FAX550" s="83" t="s">
        <v>151</v>
      </c>
      <c r="FAY550" s="83" t="s">
        <v>151</v>
      </c>
      <c r="FAZ550" s="83" t="s">
        <v>151</v>
      </c>
      <c r="FBA550" s="83" t="s">
        <v>151</v>
      </c>
      <c r="FBB550" s="83" t="s">
        <v>151</v>
      </c>
      <c r="FBC550" s="83" t="s">
        <v>151</v>
      </c>
      <c r="FBD550" s="83" t="s">
        <v>151</v>
      </c>
      <c r="FBE550" s="83" t="s">
        <v>151</v>
      </c>
      <c r="FBF550" s="83" t="s">
        <v>151</v>
      </c>
      <c r="FBG550" s="83" t="s">
        <v>151</v>
      </c>
      <c r="FBH550" s="83" t="s">
        <v>151</v>
      </c>
      <c r="FBI550" s="83" t="s">
        <v>151</v>
      </c>
      <c r="FBJ550" s="83" t="s">
        <v>151</v>
      </c>
      <c r="FBK550" s="83" t="s">
        <v>151</v>
      </c>
      <c r="FBL550" s="83" t="s">
        <v>151</v>
      </c>
      <c r="FBM550" s="83" t="s">
        <v>151</v>
      </c>
      <c r="FBN550" s="83" t="s">
        <v>151</v>
      </c>
      <c r="FBO550" s="83" t="s">
        <v>151</v>
      </c>
      <c r="FBP550" s="83" t="s">
        <v>151</v>
      </c>
      <c r="FBQ550" s="83" t="s">
        <v>151</v>
      </c>
      <c r="FBR550" s="83" t="s">
        <v>151</v>
      </c>
      <c r="FBS550" s="83" t="s">
        <v>151</v>
      </c>
      <c r="FBT550" s="83" t="s">
        <v>151</v>
      </c>
      <c r="FBU550" s="83" t="s">
        <v>151</v>
      </c>
      <c r="FBV550" s="83" t="s">
        <v>151</v>
      </c>
      <c r="FBW550" s="83" t="s">
        <v>151</v>
      </c>
      <c r="FBX550" s="83" t="s">
        <v>151</v>
      </c>
      <c r="FBY550" s="83" t="s">
        <v>151</v>
      </c>
      <c r="FBZ550" s="83" t="s">
        <v>151</v>
      </c>
      <c r="FCA550" s="83" t="s">
        <v>151</v>
      </c>
      <c r="FCB550" s="83" t="s">
        <v>151</v>
      </c>
      <c r="FCC550" s="83" t="s">
        <v>151</v>
      </c>
      <c r="FCD550" s="83" t="s">
        <v>151</v>
      </c>
      <c r="FCE550" s="83" t="s">
        <v>151</v>
      </c>
      <c r="FCF550" s="83" t="s">
        <v>151</v>
      </c>
      <c r="FCG550" s="83" t="s">
        <v>151</v>
      </c>
      <c r="FCH550" s="83" t="s">
        <v>151</v>
      </c>
      <c r="FCI550" s="83" t="s">
        <v>151</v>
      </c>
      <c r="FCJ550" s="83" t="s">
        <v>151</v>
      </c>
      <c r="FCK550" s="83" t="s">
        <v>151</v>
      </c>
      <c r="FCL550" s="83" t="s">
        <v>151</v>
      </c>
      <c r="FCM550" s="83" t="s">
        <v>151</v>
      </c>
      <c r="FCN550" s="83" t="s">
        <v>151</v>
      </c>
      <c r="FCO550" s="83" t="s">
        <v>151</v>
      </c>
      <c r="FCP550" s="83" t="s">
        <v>151</v>
      </c>
      <c r="FCQ550" s="83" t="s">
        <v>151</v>
      </c>
      <c r="FCR550" s="83" t="s">
        <v>151</v>
      </c>
      <c r="FCS550" s="83" t="s">
        <v>151</v>
      </c>
      <c r="FCT550" s="83" t="s">
        <v>151</v>
      </c>
      <c r="FCU550" s="83" t="s">
        <v>151</v>
      </c>
      <c r="FCV550" s="83" t="s">
        <v>151</v>
      </c>
      <c r="FCW550" s="83" t="s">
        <v>151</v>
      </c>
      <c r="FCX550" s="83" t="s">
        <v>151</v>
      </c>
      <c r="FCY550" s="83" t="s">
        <v>151</v>
      </c>
      <c r="FCZ550" s="83" t="s">
        <v>151</v>
      </c>
      <c r="FDA550" s="83" t="s">
        <v>151</v>
      </c>
      <c r="FDB550" s="83" t="s">
        <v>151</v>
      </c>
      <c r="FDC550" s="83" t="s">
        <v>151</v>
      </c>
      <c r="FDD550" s="83" t="s">
        <v>151</v>
      </c>
      <c r="FDE550" s="83" t="s">
        <v>151</v>
      </c>
      <c r="FDF550" s="83" t="s">
        <v>151</v>
      </c>
      <c r="FDG550" s="83" t="s">
        <v>151</v>
      </c>
      <c r="FDH550" s="83" t="s">
        <v>151</v>
      </c>
      <c r="FDI550" s="83" t="s">
        <v>151</v>
      </c>
      <c r="FDJ550" s="83" t="s">
        <v>151</v>
      </c>
      <c r="FDK550" s="83" t="s">
        <v>151</v>
      </c>
      <c r="FDL550" s="83" t="s">
        <v>151</v>
      </c>
      <c r="FDM550" s="83" t="s">
        <v>151</v>
      </c>
      <c r="FDN550" s="83" t="s">
        <v>151</v>
      </c>
      <c r="FDO550" s="83" t="s">
        <v>151</v>
      </c>
      <c r="FDP550" s="83" t="s">
        <v>151</v>
      </c>
      <c r="FDQ550" s="83" t="s">
        <v>151</v>
      </c>
      <c r="FDR550" s="83" t="s">
        <v>151</v>
      </c>
      <c r="FDS550" s="83" t="s">
        <v>151</v>
      </c>
      <c r="FDT550" s="83" t="s">
        <v>151</v>
      </c>
      <c r="FDU550" s="83" t="s">
        <v>151</v>
      </c>
      <c r="FDV550" s="83" t="s">
        <v>151</v>
      </c>
      <c r="FDW550" s="83" t="s">
        <v>151</v>
      </c>
      <c r="FDX550" s="83" t="s">
        <v>151</v>
      </c>
      <c r="FDY550" s="83" t="s">
        <v>151</v>
      </c>
      <c r="FDZ550" s="83" t="s">
        <v>151</v>
      </c>
      <c r="FEA550" s="83" t="s">
        <v>151</v>
      </c>
      <c r="FEB550" s="83" t="s">
        <v>151</v>
      </c>
      <c r="FEC550" s="83" t="s">
        <v>151</v>
      </c>
      <c r="FED550" s="83" t="s">
        <v>151</v>
      </c>
      <c r="FEE550" s="83" t="s">
        <v>151</v>
      </c>
      <c r="FEF550" s="83" t="s">
        <v>151</v>
      </c>
      <c r="FEG550" s="83" t="s">
        <v>151</v>
      </c>
      <c r="FEH550" s="83" t="s">
        <v>151</v>
      </c>
      <c r="FEI550" s="83" t="s">
        <v>151</v>
      </c>
      <c r="FEJ550" s="83" t="s">
        <v>151</v>
      </c>
      <c r="FEK550" s="83" t="s">
        <v>151</v>
      </c>
      <c r="FEL550" s="83" t="s">
        <v>151</v>
      </c>
      <c r="FEM550" s="83" t="s">
        <v>151</v>
      </c>
      <c r="FEN550" s="83" t="s">
        <v>151</v>
      </c>
      <c r="FEO550" s="83" t="s">
        <v>151</v>
      </c>
      <c r="FEP550" s="83" t="s">
        <v>151</v>
      </c>
      <c r="FEQ550" s="83" t="s">
        <v>151</v>
      </c>
      <c r="FER550" s="83" t="s">
        <v>151</v>
      </c>
      <c r="FES550" s="83" t="s">
        <v>151</v>
      </c>
      <c r="FET550" s="83" t="s">
        <v>151</v>
      </c>
      <c r="FEU550" s="83" t="s">
        <v>151</v>
      </c>
      <c r="FEV550" s="83" t="s">
        <v>151</v>
      </c>
      <c r="FEW550" s="83" t="s">
        <v>151</v>
      </c>
      <c r="FEX550" s="83" t="s">
        <v>151</v>
      </c>
      <c r="FEY550" s="83" t="s">
        <v>151</v>
      </c>
      <c r="FEZ550" s="83" t="s">
        <v>151</v>
      </c>
      <c r="FFA550" s="83" t="s">
        <v>151</v>
      </c>
      <c r="FFB550" s="83" t="s">
        <v>151</v>
      </c>
      <c r="FFC550" s="83" t="s">
        <v>151</v>
      </c>
      <c r="FFD550" s="83" t="s">
        <v>151</v>
      </c>
      <c r="FFE550" s="83" t="s">
        <v>151</v>
      </c>
      <c r="FFF550" s="83" t="s">
        <v>151</v>
      </c>
      <c r="FFG550" s="83" t="s">
        <v>151</v>
      </c>
      <c r="FFH550" s="83" t="s">
        <v>151</v>
      </c>
      <c r="FFI550" s="83" t="s">
        <v>151</v>
      </c>
      <c r="FFJ550" s="83" t="s">
        <v>151</v>
      </c>
      <c r="FFK550" s="83" t="s">
        <v>151</v>
      </c>
      <c r="FFL550" s="83" t="s">
        <v>151</v>
      </c>
      <c r="FFM550" s="83" t="s">
        <v>151</v>
      </c>
      <c r="FFN550" s="83" t="s">
        <v>151</v>
      </c>
      <c r="FFO550" s="83" t="s">
        <v>151</v>
      </c>
      <c r="FFP550" s="83" t="s">
        <v>151</v>
      </c>
      <c r="FFQ550" s="83" t="s">
        <v>151</v>
      </c>
      <c r="FFR550" s="83" t="s">
        <v>151</v>
      </c>
      <c r="FFS550" s="83" t="s">
        <v>151</v>
      </c>
      <c r="FFT550" s="83" t="s">
        <v>151</v>
      </c>
      <c r="FFU550" s="83" t="s">
        <v>151</v>
      </c>
      <c r="FFV550" s="83" t="s">
        <v>151</v>
      </c>
      <c r="FFW550" s="83" t="s">
        <v>151</v>
      </c>
      <c r="FFX550" s="83" t="s">
        <v>151</v>
      </c>
      <c r="FFY550" s="83" t="s">
        <v>151</v>
      </c>
      <c r="FFZ550" s="83" t="s">
        <v>151</v>
      </c>
      <c r="FGA550" s="83" t="s">
        <v>151</v>
      </c>
      <c r="FGB550" s="83" t="s">
        <v>151</v>
      </c>
      <c r="FGC550" s="83" t="s">
        <v>151</v>
      </c>
      <c r="FGD550" s="83" t="s">
        <v>151</v>
      </c>
      <c r="FGE550" s="83" t="s">
        <v>151</v>
      </c>
      <c r="FGF550" s="83" t="s">
        <v>151</v>
      </c>
      <c r="FGG550" s="83" t="s">
        <v>151</v>
      </c>
      <c r="FGH550" s="83" t="s">
        <v>151</v>
      </c>
      <c r="FGI550" s="83" t="s">
        <v>151</v>
      </c>
      <c r="FGJ550" s="83" t="s">
        <v>151</v>
      </c>
      <c r="FGK550" s="83" t="s">
        <v>151</v>
      </c>
      <c r="FGL550" s="83" t="s">
        <v>151</v>
      </c>
      <c r="FGM550" s="83" t="s">
        <v>151</v>
      </c>
      <c r="FGN550" s="83" t="s">
        <v>151</v>
      </c>
      <c r="FGO550" s="83" t="s">
        <v>151</v>
      </c>
      <c r="FGP550" s="83" t="s">
        <v>151</v>
      </c>
      <c r="FGQ550" s="83" t="s">
        <v>151</v>
      </c>
      <c r="FGR550" s="83" t="s">
        <v>151</v>
      </c>
      <c r="FGS550" s="83" t="s">
        <v>151</v>
      </c>
      <c r="FGT550" s="83" t="s">
        <v>151</v>
      </c>
      <c r="FGU550" s="83" t="s">
        <v>151</v>
      </c>
      <c r="FGV550" s="83" t="s">
        <v>151</v>
      </c>
      <c r="FGW550" s="83" t="s">
        <v>151</v>
      </c>
      <c r="FGX550" s="83" t="s">
        <v>151</v>
      </c>
      <c r="FGY550" s="83" t="s">
        <v>151</v>
      </c>
      <c r="FGZ550" s="83" t="s">
        <v>151</v>
      </c>
      <c r="FHA550" s="83" t="s">
        <v>151</v>
      </c>
      <c r="FHB550" s="83" t="s">
        <v>151</v>
      </c>
      <c r="FHC550" s="83" t="s">
        <v>151</v>
      </c>
      <c r="FHD550" s="83" t="s">
        <v>151</v>
      </c>
      <c r="FHE550" s="83" t="s">
        <v>151</v>
      </c>
      <c r="FHF550" s="83" t="s">
        <v>151</v>
      </c>
      <c r="FHG550" s="83" t="s">
        <v>151</v>
      </c>
      <c r="FHH550" s="83" t="s">
        <v>151</v>
      </c>
      <c r="FHI550" s="83" t="s">
        <v>151</v>
      </c>
      <c r="FHJ550" s="83" t="s">
        <v>151</v>
      </c>
      <c r="FHK550" s="83" t="s">
        <v>151</v>
      </c>
      <c r="FHL550" s="83" t="s">
        <v>151</v>
      </c>
      <c r="FHM550" s="83" t="s">
        <v>151</v>
      </c>
      <c r="FHN550" s="83" t="s">
        <v>151</v>
      </c>
      <c r="FHO550" s="83" t="s">
        <v>151</v>
      </c>
      <c r="FHP550" s="83" t="s">
        <v>151</v>
      </c>
      <c r="FHQ550" s="83" t="s">
        <v>151</v>
      </c>
      <c r="FHR550" s="83" t="s">
        <v>151</v>
      </c>
      <c r="FHS550" s="83" t="s">
        <v>151</v>
      </c>
      <c r="FHT550" s="83" t="s">
        <v>151</v>
      </c>
      <c r="FHU550" s="83" t="s">
        <v>151</v>
      </c>
      <c r="FHV550" s="83" t="s">
        <v>151</v>
      </c>
      <c r="FHW550" s="83" t="s">
        <v>151</v>
      </c>
      <c r="FHX550" s="83" t="s">
        <v>151</v>
      </c>
      <c r="FHY550" s="83" t="s">
        <v>151</v>
      </c>
      <c r="FHZ550" s="83" t="s">
        <v>151</v>
      </c>
      <c r="FIA550" s="83" t="s">
        <v>151</v>
      </c>
      <c r="FIB550" s="83" t="s">
        <v>151</v>
      </c>
      <c r="FIC550" s="83" t="s">
        <v>151</v>
      </c>
      <c r="FID550" s="83" t="s">
        <v>151</v>
      </c>
      <c r="FIE550" s="83" t="s">
        <v>151</v>
      </c>
      <c r="FIF550" s="83" t="s">
        <v>151</v>
      </c>
      <c r="FIG550" s="83" t="s">
        <v>151</v>
      </c>
      <c r="FIH550" s="83" t="s">
        <v>151</v>
      </c>
      <c r="FII550" s="83" t="s">
        <v>151</v>
      </c>
      <c r="FIJ550" s="83" t="s">
        <v>151</v>
      </c>
      <c r="FIK550" s="83" t="s">
        <v>151</v>
      </c>
      <c r="FIL550" s="83" t="s">
        <v>151</v>
      </c>
      <c r="FIM550" s="83" t="s">
        <v>151</v>
      </c>
      <c r="FIN550" s="83" t="s">
        <v>151</v>
      </c>
      <c r="FIO550" s="83" t="s">
        <v>151</v>
      </c>
      <c r="FIP550" s="83" t="s">
        <v>151</v>
      </c>
      <c r="FIQ550" s="83" t="s">
        <v>151</v>
      </c>
      <c r="FIR550" s="83" t="s">
        <v>151</v>
      </c>
      <c r="FIS550" s="83" t="s">
        <v>151</v>
      </c>
      <c r="FIT550" s="83" t="s">
        <v>151</v>
      </c>
      <c r="FIU550" s="83" t="s">
        <v>151</v>
      </c>
      <c r="FIV550" s="83" t="s">
        <v>151</v>
      </c>
      <c r="FIW550" s="83" t="s">
        <v>151</v>
      </c>
      <c r="FIX550" s="83" t="s">
        <v>151</v>
      </c>
      <c r="FIY550" s="83" t="s">
        <v>151</v>
      </c>
      <c r="FIZ550" s="83" t="s">
        <v>151</v>
      </c>
      <c r="FJA550" s="83" t="s">
        <v>151</v>
      </c>
      <c r="FJB550" s="83" t="s">
        <v>151</v>
      </c>
      <c r="FJC550" s="83" t="s">
        <v>151</v>
      </c>
      <c r="FJD550" s="83" t="s">
        <v>151</v>
      </c>
      <c r="FJE550" s="83" t="s">
        <v>151</v>
      </c>
      <c r="FJF550" s="83" t="s">
        <v>151</v>
      </c>
      <c r="FJG550" s="83" t="s">
        <v>151</v>
      </c>
      <c r="FJH550" s="83" t="s">
        <v>151</v>
      </c>
      <c r="FJI550" s="83" t="s">
        <v>151</v>
      </c>
      <c r="FJJ550" s="83" t="s">
        <v>151</v>
      </c>
      <c r="FJK550" s="83" t="s">
        <v>151</v>
      </c>
      <c r="FJL550" s="83" t="s">
        <v>151</v>
      </c>
      <c r="FJM550" s="83" t="s">
        <v>151</v>
      </c>
      <c r="FJN550" s="83" t="s">
        <v>151</v>
      </c>
      <c r="FJO550" s="83" t="s">
        <v>151</v>
      </c>
      <c r="FJP550" s="83" t="s">
        <v>151</v>
      </c>
      <c r="FJQ550" s="83" t="s">
        <v>151</v>
      </c>
      <c r="FJR550" s="83" t="s">
        <v>151</v>
      </c>
      <c r="FJS550" s="83" t="s">
        <v>151</v>
      </c>
      <c r="FJT550" s="83" t="s">
        <v>151</v>
      </c>
      <c r="FJU550" s="83" t="s">
        <v>151</v>
      </c>
      <c r="FJV550" s="83" t="s">
        <v>151</v>
      </c>
      <c r="FJW550" s="83" t="s">
        <v>151</v>
      </c>
      <c r="FJX550" s="83" t="s">
        <v>151</v>
      </c>
      <c r="FJY550" s="83" t="s">
        <v>151</v>
      </c>
      <c r="FJZ550" s="83" t="s">
        <v>151</v>
      </c>
      <c r="FKA550" s="83" t="s">
        <v>151</v>
      </c>
      <c r="FKB550" s="83" t="s">
        <v>151</v>
      </c>
      <c r="FKC550" s="83" t="s">
        <v>151</v>
      </c>
      <c r="FKD550" s="83" t="s">
        <v>151</v>
      </c>
      <c r="FKE550" s="83" t="s">
        <v>151</v>
      </c>
      <c r="FKF550" s="83" t="s">
        <v>151</v>
      </c>
      <c r="FKG550" s="83" t="s">
        <v>151</v>
      </c>
      <c r="FKH550" s="83" t="s">
        <v>151</v>
      </c>
      <c r="FKI550" s="83" t="s">
        <v>151</v>
      </c>
      <c r="FKJ550" s="83" t="s">
        <v>151</v>
      </c>
      <c r="FKK550" s="83" t="s">
        <v>151</v>
      </c>
      <c r="FKL550" s="83" t="s">
        <v>151</v>
      </c>
      <c r="FKM550" s="83" t="s">
        <v>151</v>
      </c>
      <c r="FKN550" s="83" t="s">
        <v>151</v>
      </c>
      <c r="FKO550" s="83" t="s">
        <v>151</v>
      </c>
      <c r="FKP550" s="83" t="s">
        <v>151</v>
      </c>
      <c r="FKQ550" s="83" t="s">
        <v>151</v>
      </c>
      <c r="FKR550" s="83" t="s">
        <v>151</v>
      </c>
      <c r="FKS550" s="83" t="s">
        <v>151</v>
      </c>
      <c r="FKT550" s="83" t="s">
        <v>151</v>
      </c>
      <c r="FKU550" s="83" t="s">
        <v>151</v>
      </c>
      <c r="FKV550" s="83" t="s">
        <v>151</v>
      </c>
      <c r="FKW550" s="83" t="s">
        <v>151</v>
      </c>
      <c r="FKX550" s="83" t="s">
        <v>151</v>
      </c>
      <c r="FKY550" s="83" t="s">
        <v>151</v>
      </c>
      <c r="FKZ550" s="83" t="s">
        <v>151</v>
      </c>
      <c r="FLA550" s="83" t="s">
        <v>151</v>
      </c>
      <c r="FLB550" s="83" t="s">
        <v>151</v>
      </c>
      <c r="FLC550" s="83" t="s">
        <v>151</v>
      </c>
      <c r="FLD550" s="83" t="s">
        <v>151</v>
      </c>
      <c r="FLE550" s="83" t="s">
        <v>151</v>
      </c>
      <c r="FLF550" s="83" t="s">
        <v>151</v>
      </c>
      <c r="FLG550" s="83" t="s">
        <v>151</v>
      </c>
      <c r="FLH550" s="83" t="s">
        <v>151</v>
      </c>
      <c r="FLI550" s="83" t="s">
        <v>151</v>
      </c>
      <c r="FLJ550" s="83" t="s">
        <v>151</v>
      </c>
      <c r="FLK550" s="83" t="s">
        <v>151</v>
      </c>
      <c r="FLL550" s="83" t="s">
        <v>151</v>
      </c>
      <c r="FLM550" s="83" t="s">
        <v>151</v>
      </c>
      <c r="FLN550" s="83" t="s">
        <v>151</v>
      </c>
      <c r="FLO550" s="83" t="s">
        <v>151</v>
      </c>
      <c r="FLP550" s="83" t="s">
        <v>151</v>
      </c>
      <c r="FLQ550" s="83" t="s">
        <v>151</v>
      </c>
      <c r="FLR550" s="83" t="s">
        <v>151</v>
      </c>
      <c r="FLS550" s="83" t="s">
        <v>151</v>
      </c>
      <c r="FLT550" s="83" t="s">
        <v>151</v>
      </c>
      <c r="FLU550" s="83" t="s">
        <v>151</v>
      </c>
      <c r="FLV550" s="83" t="s">
        <v>151</v>
      </c>
      <c r="FLW550" s="83" t="s">
        <v>151</v>
      </c>
      <c r="FLX550" s="83" t="s">
        <v>151</v>
      </c>
      <c r="FLY550" s="83" t="s">
        <v>151</v>
      </c>
      <c r="FLZ550" s="83" t="s">
        <v>151</v>
      </c>
      <c r="FMA550" s="83" t="s">
        <v>151</v>
      </c>
      <c r="FMB550" s="83" t="s">
        <v>151</v>
      </c>
      <c r="FMC550" s="83" t="s">
        <v>151</v>
      </c>
      <c r="FMD550" s="83" t="s">
        <v>151</v>
      </c>
      <c r="FME550" s="83" t="s">
        <v>151</v>
      </c>
      <c r="FMF550" s="83" t="s">
        <v>151</v>
      </c>
      <c r="FMG550" s="83" t="s">
        <v>151</v>
      </c>
      <c r="FMH550" s="83" t="s">
        <v>151</v>
      </c>
      <c r="FMI550" s="83" t="s">
        <v>151</v>
      </c>
      <c r="FMJ550" s="83" t="s">
        <v>151</v>
      </c>
      <c r="FMK550" s="83" t="s">
        <v>151</v>
      </c>
      <c r="FML550" s="83" t="s">
        <v>151</v>
      </c>
      <c r="FMM550" s="83" t="s">
        <v>151</v>
      </c>
      <c r="FMN550" s="83" t="s">
        <v>151</v>
      </c>
      <c r="FMO550" s="83" t="s">
        <v>151</v>
      </c>
      <c r="FMP550" s="83" t="s">
        <v>151</v>
      </c>
      <c r="FMQ550" s="83" t="s">
        <v>151</v>
      </c>
      <c r="FMR550" s="83" t="s">
        <v>151</v>
      </c>
      <c r="FMS550" s="83" t="s">
        <v>151</v>
      </c>
      <c r="FMT550" s="83" t="s">
        <v>151</v>
      </c>
      <c r="FMU550" s="83" t="s">
        <v>151</v>
      </c>
      <c r="FMV550" s="83" t="s">
        <v>151</v>
      </c>
      <c r="FMW550" s="83" t="s">
        <v>151</v>
      </c>
      <c r="FMX550" s="83" t="s">
        <v>151</v>
      </c>
      <c r="FMY550" s="83" t="s">
        <v>151</v>
      </c>
      <c r="FMZ550" s="83" t="s">
        <v>151</v>
      </c>
      <c r="FNA550" s="83" t="s">
        <v>151</v>
      </c>
      <c r="FNB550" s="83" t="s">
        <v>151</v>
      </c>
      <c r="FNC550" s="83" t="s">
        <v>151</v>
      </c>
      <c r="FND550" s="83" t="s">
        <v>151</v>
      </c>
      <c r="FNE550" s="83" t="s">
        <v>151</v>
      </c>
      <c r="FNF550" s="83" t="s">
        <v>151</v>
      </c>
      <c r="FNG550" s="83" t="s">
        <v>151</v>
      </c>
      <c r="FNH550" s="83" t="s">
        <v>151</v>
      </c>
      <c r="FNI550" s="83" t="s">
        <v>151</v>
      </c>
      <c r="FNJ550" s="83" t="s">
        <v>151</v>
      </c>
      <c r="FNK550" s="83" t="s">
        <v>151</v>
      </c>
      <c r="FNL550" s="83" t="s">
        <v>151</v>
      </c>
      <c r="FNM550" s="83" t="s">
        <v>151</v>
      </c>
      <c r="FNN550" s="83" t="s">
        <v>151</v>
      </c>
      <c r="FNO550" s="83" t="s">
        <v>151</v>
      </c>
      <c r="FNP550" s="83" t="s">
        <v>151</v>
      </c>
      <c r="FNQ550" s="83" t="s">
        <v>151</v>
      </c>
      <c r="FNR550" s="83" t="s">
        <v>151</v>
      </c>
      <c r="FNS550" s="83" t="s">
        <v>151</v>
      </c>
      <c r="FNT550" s="83" t="s">
        <v>151</v>
      </c>
      <c r="FNU550" s="83" t="s">
        <v>151</v>
      </c>
      <c r="FNV550" s="83" t="s">
        <v>151</v>
      </c>
      <c r="FNW550" s="83" t="s">
        <v>151</v>
      </c>
      <c r="FNX550" s="83" t="s">
        <v>151</v>
      </c>
      <c r="FNY550" s="83" t="s">
        <v>151</v>
      </c>
      <c r="FNZ550" s="83" t="s">
        <v>151</v>
      </c>
      <c r="FOA550" s="83" t="s">
        <v>151</v>
      </c>
      <c r="FOB550" s="83" t="s">
        <v>151</v>
      </c>
      <c r="FOC550" s="83" t="s">
        <v>151</v>
      </c>
      <c r="FOD550" s="83" t="s">
        <v>151</v>
      </c>
      <c r="FOE550" s="83" t="s">
        <v>151</v>
      </c>
      <c r="FOF550" s="83" t="s">
        <v>151</v>
      </c>
      <c r="FOG550" s="83" t="s">
        <v>151</v>
      </c>
      <c r="FOH550" s="83" t="s">
        <v>151</v>
      </c>
      <c r="FOI550" s="83" t="s">
        <v>151</v>
      </c>
      <c r="FOJ550" s="83" t="s">
        <v>151</v>
      </c>
      <c r="FOK550" s="83" t="s">
        <v>151</v>
      </c>
      <c r="FOL550" s="83" t="s">
        <v>151</v>
      </c>
      <c r="FOM550" s="83" t="s">
        <v>151</v>
      </c>
      <c r="FON550" s="83" t="s">
        <v>151</v>
      </c>
      <c r="FOO550" s="83" t="s">
        <v>151</v>
      </c>
      <c r="FOP550" s="83" t="s">
        <v>151</v>
      </c>
      <c r="FOQ550" s="83" t="s">
        <v>151</v>
      </c>
      <c r="FOR550" s="83" t="s">
        <v>151</v>
      </c>
      <c r="FOS550" s="83" t="s">
        <v>151</v>
      </c>
      <c r="FOT550" s="83" t="s">
        <v>151</v>
      </c>
      <c r="FOU550" s="83" t="s">
        <v>151</v>
      </c>
      <c r="FOV550" s="83" t="s">
        <v>151</v>
      </c>
      <c r="FOW550" s="83" t="s">
        <v>151</v>
      </c>
      <c r="FOX550" s="83" t="s">
        <v>151</v>
      </c>
      <c r="FOY550" s="83" t="s">
        <v>151</v>
      </c>
      <c r="FOZ550" s="83" t="s">
        <v>151</v>
      </c>
      <c r="FPA550" s="83" t="s">
        <v>151</v>
      </c>
      <c r="FPB550" s="83" t="s">
        <v>151</v>
      </c>
      <c r="FPC550" s="83" t="s">
        <v>151</v>
      </c>
      <c r="FPD550" s="83" t="s">
        <v>151</v>
      </c>
      <c r="FPE550" s="83" t="s">
        <v>151</v>
      </c>
      <c r="FPF550" s="83" t="s">
        <v>151</v>
      </c>
      <c r="FPG550" s="83" t="s">
        <v>151</v>
      </c>
      <c r="FPH550" s="83" t="s">
        <v>151</v>
      </c>
      <c r="FPI550" s="83" t="s">
        <v>151</v>
      </c>
      <c r="FPJ550" s="83" t="s">
        <v>151</v>
      </c>
      <c r="FPK550" s="83" t="s">
        <v>151</v>
      </c>
      <c r="FPL550" s="83" t="s">
        <v>151</v>
      </c>
      <c r="FPM550" s="83" t="s">
        <v>151</v>
      </c>
      <c r="FPN550" s="83" t="s">
        <v>151</v>
      </c>
      <c r="FPO550" s="83" t="s">
        <v>151</v>
      </c>
      <c r="FPP550" s="83" t="s">
        <v>151</v>
      </c>
      <c r="FPQ550" s="83" t="s">
        <v>151</v>
      </c>
      <c r="FPR550" s="83" t="s">
        <v>151</v>
      </c>
      <c r="FPS550" s="83" t="s">
        <v>151</v>
      </c>
      <c r="FPT550" s="83" t="s">
        <v>151</v>
      </c>
      <c r="FPU550" s="83" t="s">
        <v>151</v>
      </c>
      <c r="FPV550" s="83" t="s">
        <v>151</v>
      </c>
      <c r="FPW550" s="83" t="s">
        <v>151</v>
      </c>
      <c r="FPX550" s="83" t="s">
        <v>151</v>
      </c>
      <c r="FPY550" s="83" t="s">
        <v>151</v>
      </c>
      <c r="FPZ550" s="83" t="s">
        <v>151</v>
      </c>
      <c r="FQA550" s="83" t="s">
        <v>151</v>
      </c>
      <c r="FQB550" s="83" t="s">
        <v>151</v>
      </c>
      <c r="FQC550" s="83" t="s">
        <v>151</v>
      </c>
      <c r="FQD550" s="83" t="s">
        <v>151</v>
      </c>
      <c r="FQE550" s="83" t="s">
        <v>151</v>
      </c>
      <c r="FQF550" s="83" t="s">
        <v>151</v>
      </c>
      <c r="FQG550" s="83" t="s">
        <v>151</v>
      </c>
      <c r="FQH550" s="83" t="s">
        <v>151</v>
      </c>
      <c r="FQI550" s="83" t="s">
        <v>151</v>
      </c>
      <c r="FQJ550" s="83" t="s">
        <v>151</v>
      </c>
      <c r="FQK550" s="83" t="s">
        <v>151</v>
      </c>
      <c r="FQL550" s="83" t="s">
        <v>151</v>
      </c>
      <c r="FQM550" s="83" t="s">
        <v>151</v>
      </c>
      <c r="FQN550" s="83" t="s">
        <v>151</v>
      </c>
      <c r="FQO550" s="83" t="s">
        <v>151</v>
      </c>
      <c r="FQP550" s="83" t="s">
        <v>151</v>
      </c>
      <c r="FQQ550" s="83" t="s">
        <v>151</v>
      </c>
      <c r="FQR550" s="83" t="s">
        <v>151</v>
      </c>
      <c r="FQS550" s="83" t="s">
        <v>151</v>
      </c>
      <c r="FQT550" s="83" t="s">
        <v>151</v>
      </c>
      <c r="FQU550" s="83" t="s">
        <v>151</v>
      </c>
      <c r="FQV550" s="83" t="s">
        <v>151</v>
      </c>
      <c r="FQW550" s="83" t="s">
        <v>151</v>
      </c>
      <c r="FQX550" s="83" t="s">
        <v>151</v>
      </c>
      <c r="FQY550" s="83" t="s">
        <v>151</v>
      </c>
      <c r="FQZ550" s="83" t="s">
        <v>151</v>
      </c>
      <c r="FRA550" s="83" t="s">
        <v>151</v>
      </c>
      <c r="FRB550" s="83" t="s">
        <v>151</v>
      </c>
      <c r="FRC550" s="83" t="s">
        <v>151</v>
      </c>
      <c r="FRD550" s="83" t="s">
        <v>151</v>
      </c>
      <c r="FRE550" s="83" t="s">
        <v>151</v>
      </c>
      <c r="FRF550" s="83" t="s">
        <v>151</v>
      </c>
      <c r="FRG550" s="83" t="s">
        <v>151</v>
      </c>
      <c r="FRH550" s="83" t="s">
        <v>151</v>
      </c>
      <c r="FRI550" s="83" t="s">
        <v>151</v>
      </c>
      <c r="FRJ550" s="83" t="s">
        <v>151</v>
      </c>
      <c r="FRK550" s="83" t="s">
        <v>151</v>
      </c>
      <c r="FRL550" s="83" t="s">
        <v>151</v>
      </c>
      <c r="FRM550" s="83" t="s">
        <v>151</v>
      </c>
      <c r="FRN550" s="83" t="s">
        <v>151</v>
      </c>
      <c r="FRO550" s="83" t="s">
        <v>151</v>
      </c>
      <c r="FRP550" s="83" t="s">
        <v>151</v>
      </c>
      <c r="FRQ550" s="83" t="s">
        <v>151</v>
      </c>
      <c r="FRR550" s="83" t="s">
        <v>151</v>
      </c>
      <c r="FRS550" s="83" t="s">
        <v>151</v>
      </c>
      <c r="FRT550" s="83" t="s">
        <v>151</v>
      </c>
      <c r="FRU550" s="83" t="s">
        <v>151</v>
      </c>
      <c r="FRV550" s="83" t="s">
        <v>151</v>
      </c>
      <c r="FRW550" s="83" t="s">
        <v>151</v>
      </c>
      <c r="FRX550" s="83" t="s">
        <v>151</v>
      </c>
      <c r="FRY550" s="83" t="s">
        <v>151</v>
      </c>
      <c r="FRZ550" s="83" t="s">
        <v>151</v>
      </c>
      <c r="FSA550" s="83" t="s">
        <v>151</v>
      </c>
      <c r="FSB550" s="83" t="s">
        <v>151</v>
      </c>
      <c r="FSC550" s="83" t="s">
        <v>151</v>
      </c>
      <c r="FSD550" s="83" t="s">
        <v>151</v>
      </c>
      <c r="FSE550" s="83" t="s">
        <v>151</v>
      </c>
      <c r="FSF550" s="83" t="s">
        <v>151</v>
      </c>
      <c r="FSG550" s="83" t="s">
        <v>151</v>
      </c>
      <c r="FSH550" s="83" t="s">
        <v>151</v>
      </c>
      <c r="FSI550" s="83" t="s">
        <v>151</v>
      </c>
      <c r="FSJ550" s="83" t="s">
        <v>151</v>
      </c>
      <c r="FSK550" s="83" t="s">
        <v>151</v>
      </c>
      <c r="FSL550" s="83" t="s">
        <v>151</v>
      </c>
      <c r="FSM550" s="83" t="s">
        <v>151</v>
      </c>
      <c r="FSN550" s="83" t="s">
        <v>151</v>
      </c>
      <c r="FSO550" s="83" t="s">
        <v>151</v>
      </c>
      <c r="FSP550" s="83" t="s">
        <v>151</v>
      </c>
      <c r="FSQ550" s="83" t="s">
        <v>151</v>
      </c>
      <c r="FSR550" s="83" t="s">
        <v>151</v>
      </c>
      <c r="FSS550" s="83" t="s">
        <v>151</v>
      </c>
      <c r="FST550" s="83" t="s">
        <v>151</v>
      </c>
      <c r="FSU550" s="83" t="s">
        <v>151</v>
      </c>
      <c r="FSV550" s="83" t="s">
        <v>151</v>
      </c>
      <c r="FSW550" s="83" t="s">
        <v>151</v>
      </c>
      <c r="FSX550" s="83" t="s">
        <v>151</v>
      </c>
      <c r="FSY550" s="83" t="s">
        <v>151</v>
      </c>
      <c r="FSZ550" s="83" t="s">
        <v>151</v>
      </c>
      <c r="FTA550" s="83" t="s">
        <v>151</v>
      </c>
      <c r="FTB550" s="83" t="s">
        <v>151</v>
      </c>
      <c r="FTC550" s="83" t="s">
        <v>151</v>
      </c>
      <c r="FTD550" s="83" t="s">
        <v>151</v>
      </c>
      <c r="FTE550" s="83" t="s">
        <v>151</v>
      </c>
      <c r="FTF550" s="83" t="s">
        <v>151</v>
      </c>
      <c r="FTG550" s="83" t="s">
        <v>151</v>
      </c>
      <c r="FTH550" s="83" t="s">
        <v>151</v>
      </c>
      <c r="FTI550" s="83" t="s">
        <v>151</v>
      </c>
      <c r="FTJ550" s="83" t="s">
        <v>151</v>
      </c>
      <c r="FTK550" s="83" t="s">
        <v>151</v>
      </c>
      <c r="FTL550" s="83" t="s">
        <v>151</v>
      </c>
      <c r="FTM550" s="83" t="s">
        <v>151</v>
      </c>
      <c r="FTN550" s="83" t="s">
        <v>151</v>
      </c>
      <c r="FTO550" s="83" t="s">
        <v>151</v>
      </c>
      <c r="FTP550" s="83" t="s">
        <v>151</v>
      </c>
      <c r="FTQ550" s="83" t="s">
        <v>151</v>
      </c>
      <c r="FTR550" s="83" t="s">
        <v>151</v>
      </c>
      <c r="FTS550" s="83" t="s">
        <v>151</v>
      </c>
      <c r="FTT550" s="83" t="s">
        <v>151</v>
      </c>
      <c r="FTU550" s="83" t="s">
        <v>151</v>
      </c>
      <c r="FTV550" s="83" t="s">
        <v>151</v>
      </c>
      <c r="FTW550" s="83" t="s">
        <v>151</v>
      </c>
      <c r="FTX550" s="83" t="s">
        <v>151</v>
      </c>
      <c r="FTY550" s="83" t="s">
        <v>151</v>
      </c>
      <c r="FTZ550" s="83" t="s">
        <v>151</v>
      </c>
      <c r="FUA550" s="83" t="s">
        <v>151</v>
      </c>
      <c r="FUB550" s="83" t="s">
        <v>151</v>
      </c>
      <c r="FUC550" s="83" t="s">
        <v>151</v>
      </c>
      <c r="FUD550" s="83" t="s">
        <v>151</v>
      </c>
      <c r="FUE550" s="83" t="s">
        <v>151</v>
      </c>
      <c r="FUF550" s="83" t="s">
        <v>151</v>
      </c>
      <c r="FUG550" s="83" t="s">
        <v>151</v>
      </c>
      <c r="FUH550" s="83" t="s">
        <v>151</v>
      </c>
      <c r="FUI550" s="83" t="s">
        <v>151</v>
      </c>
      <c r="FUJ550" s="83" t="s">
        <v>151</v>
      </c>
      <c r="FUK550" s="83" t="s">
        <v>151</v>
      </c>
      <c r="FUL550" s="83" t="s">
        <v>151</v>
      </c>
      <c r="FUM550" s="83" t="s">
        <v>151</v>
      </c>
      <c r="FUN550" s="83" t="s">
        <v>151</v>
      </c>
      <c r="FUO550" s="83" t="s">
        <v>151</v>
      </c>
      <c r="FUP550" s="83" t="s">
        <v>151</v>
      </c>
      <c r="FUQ550" s="83" t="s">
        <v>151</v>
      </c>
      <c r="FUR550" s="83" t="s">
        <v>151</v>
      </c>
      <c r="FUS550" s="83" t="s">
        <v>151</v>
      </c>
      <c r="FUT550" s="83" t="s">
        <v>151</v>
      </c>
      <c r="FUU550" s="83" t="s">
        <v>151</v>
      </c>
      <c r="FUV550" s="83" t="s">
        <v>151</v>
      </c>
      <c r="FUW550" s="83" t="s">
        <v>151</v>
      </c>
      <c r="FUX550" s="83" t="s">
        <v>151</v>
      </c>
      <c r="FUY550" s="83" t="s">
        <v>151</v>
      </c>
      <c r="FUZ550" s="83" t="s">
        <v>151</v>
      </c>
      <c r="FVA550" s="83" t="s">
        <v>151</v>
      </c>
      <c r="FVB550" s="83" t="s">
        <v>151</v>
      </c>
      <c r="FVC550" s="83" t="s">
        <v>151</v>
      </c>
      <c r="FVD550" s="83" t="s">
        <v>151</v>
      </c>
      <c r="FVE550" s="83" t="s">
        <v>151</v>
      </c>
      <c r="FVF550" s="83" t="s">
        <v>151</v>
      </c>
      <c r="FVG550" s="83" t="s">
        <v>151</v>
      </c>
      <c r="FVH550" s="83" t="s">
        <v>151</v>
      </c>
      <c r="FVI550" s="83" t="s">
        <v>151</v>
      </c>
      <c r="FVJ550" s="83" t="s">
        <v>151</v>
      </c>
      <c r="FVK550" s="83" t="s">
        <v>151</v>
      </c>
      <c r="FVL550" s="83" t="s">
        <v>151</v>
      </c>
      <c r="FVM550" s="83" t="s">
        <v>151</v>
      </c>
      <c r="FVN550" s="83" t="s">
        <v>151</v>
      </c>
      <c r="FVO550" s="83" t="s">
        <v>151</v>
      </c>
      <c r="FVP550" s="83" t="s">
        <v>151</v>
      </c>
      <c r="FVQ550" s="83" t="s">
        <v>151</v>
      </c>
      <c r="FVR550" s="83" t="s">
        <v>151</v>
      </c>
      <c r="FVS550" s="83" t="s">
        <v>151</v>
      </c>
      <c r="FVT550" s="83" t="s">
        <v>151</v>
      </c>
      <c r="FVU550" s="83" t="s">
        <v>151</v>
      </c>
      <c r="FVV550" s="83" t="s">
        <v>151</v>
      </c>
      <c r="FVW550" s="83" t="s">
        <v>151</v>
      </c>
      <c r="FVX550" s="83" t="s">
        <v>151</v>
      </c>
      <c r="FVY550" s="83" t="s">
        <v>151</v>
      </c>
      <c r="FVZ550" s="83" t="s">
        <v>151</v>
      </c>
      <c r="FWA550" s="83" t="s">
        <v>151</v>
      </c>
      <c r="FWB550" s="83" t="s">
        <v>151</v>
      </c>
      <c r="FWC550" s="83" t="s">
        <v>151</v>
      </c>
      <c r="FWD550" s="83" t="s">
        <v>151</v>
      </c>
      <c r="FWE550" s="83" t="s">
        <v>151</v>
      </c>
      <c r="FWF550" s="83" t="s">
        <v>151</v>
      </c>
      <c r="FWG550" s="83" t="s">
        <v>151</v>
      </c>
      <c r="FWH550" s="83" t="s">
        <v>151</v>
      </c>
      <c r="FWI550" s="83" t="s">
        <v>151</v>
      </c>
      <c r="FWJ550" s="83" t="s">
        <v>151</v>
      </c>
      <c r="FWK550" s="83" t="s">
        <v>151</v>
      </c>
      <c r="FWL550" s="83" t="s">
        <v>151</v>
      </c>
      <c r="FWM550" s="83" t="s">
        <v>151</v>
      </c>
      <c r="FWN550" s="83" t="s">
        <v>151</v>
      </c>
      <c r="FWO550" s="83" t="s">
        <v>151</v>
      </c>
      <c r="FWP550" s="83" t="s">
        <v>151</v>
      </c>
      <c r="FWQ550" s="83" t="s">
        <v>151</v>
      </c>
      <c r="FWR550" s="83" t="s">
        <v>151</v>
      </c>
      <c r="FWS550" s="83" t="s">
        <v>151</v>
      </c>
      <c r="FWT550" s="83" t="s">
        <v>151</v>
      </c>
      <c r="FWU550" s="83" t="s">
        <v>151</v>
      </c>
      <c r="FWV550" s="83" t="s">
        <v>151</v>
      </c>
      <c r="FWW550" s="83" t="s">
        <v>151</v>
      </c>
      <c r="FWX550" s="83" t="s">
        <v>151</v>
      </c>
      <c r="FWY550" s="83" t="s">
        <v>151</v>
      </c>
      <c r="FWZ550" s="83" t="s">
        <v>151</v>
      </c>
      <c r="FXA550" s="83" t="s">
        <v>151</v>
      </c>
      <c r="FXB550" s="83" t="s">
        <v>151</v>
      </c>
      <c r="FXC550" s="83" t="s">
        <v>151</v>
      </c>
      <c r="FXD550" s="83" t="s">
        <v>151</v>
      </c>
      <c r="FXE550" s="83" t="s">
        <v>151</v>
      </c>
      <c r="FXF550" s="83" t="s">
        <v>151</v>
      </c>
      <c r="FXG550" s="83" t="s">
        <v>151</v>
      </c>
      <c r="FXH550" s="83" t="s">
        <v>151</v>
      </c>
      <c r="FXI550" s="83" t="s">
        <v>151</v>
      </c>
      <c r="FXJ550" s="83" t="s">
        <v>151</v>
      </c>
      <c r="FXK550" s="83" t="s">
        <v>151</v>
      </c>
      <c r="FXL550" s="83" t="s">
        <v>151</v>
      </c>
      <c r="FXM550" s="83" t="s">
        <v>151</v>
      </c>
      <c r="FXN550" s="83" t="s">
        <v>151</v>
      </c>
      <c r="FXO550" s="83" t="s">
        <v>151</v>
      </c>
      <c r="FXP550" s="83" t="s">
        <v>151</v>
      </c>
      <c r="FXQ550" s="83" t="s">
        <v>151</v>
      </c>
      <c r="FXR550" s="83" t="s">
        <v>151</v>
      </c>
      <c r="FXS550" s="83" t="s">
        <v>151</v>
      </c>
      <c r="FXT550" s="83" t="s">
        <v>151</v>
      </c>
      <c r="FXU550" s="83" t="s">
        <v>151</v>
      </c>
      <c r="FXV550" s="83" t="s">
        <v>151</v>
      </c>
      <c r="FXW550" s="83" t="s">
        <v>151</v>
      </c>
      <c r="FXX550" s="83" t="s">
        <v>151</v>
      </c>
      <c r="FXY550" s="83" t="s">
        <v>151</v>
      </c>
      <c r="FXZ550" s="83" t="s">
        <v>151</v>
      </c>
      <c r="FYA550" s="83" t="s">
        <v>151</v>
      </c>
      <c r="FYB550" s="83" t="s">
        <v>151</v>
      </c>
      <c r="FYC550" s="83" t="s">
        <v>151</v>
      </c>
      <c r="FYD550" s="83" t="s">
        <v>151</v>
      </c>
      <c r="FYE550" s="83" t="s">
        <v>151</v>
      </c>
      <c r="FYF550" s="83" t="s">
        <v>151</v>
      </c>
      <c r="FYG550" s="83" t="s">
        <v>151</v>
      </c>
      <c r="FYH550" s="83" t="s">
        <v>151</v>
      </c>
      <c r="FYI550" s="83" t="s">
        <v>151</v>
      </c>
      <c r="FYJ550" s="83" t="s">
        <v>151</v>
      </c>
      <c r="FYK550" s="83" t="s">
        <v>151</v>
      </c>
      <c r="FYL550" s="83" t="s">
        <v>151</v>
      </c>
      <c r="FYM550" s="83" t="s">
        <v>151</v>
      </c>
      <c r="FYN550" s="83" t="s">
        <v>151</v>
      </c>
      <c r="FYO550" s="83" t="s">
        <v>151</v>
      </c>
      <c r="FYP550" s="83" t="s">
        <v>151</v>
      </c>
      <c r="FYQ550" s="83" t="s">
        <v>151</v>
      </c>
      <c r="FYR550" s="83" t="s">
        <v>151</v>
      </c>
      <c r="FYS550" s="83" t="s">
        <v>151</v>
      </c>
      <c r="FYT550" s="83" t="s">
        <v>151</v>
      </c>
      <c r="FYU550" s="83" t="s">
        <v>151</v>
      </c>
      <c r="FYV550" s="83" t="s">
        <v>151</v>
      </c>
      <c r="FYW550" s="83" t="s">
        <v>151</v>
      </c>
      <c r="FYX550" s="83" t="s">
        <v>151</v>
      </c>
      <c r="FYY550" s="83" t="s">
        <v>151</v>
      </c>
      <c r="FYZ550" s="83" t="s">
        <v>151</v>
      </c>
      <c r="FZA550" s="83" t="s">
        <v>151</v>
      </c>
      <c r="FZB550" s="83" t="s">
        <v>151</v>
      </c>
      <c r="FZC550" s="83" t="s">
        <v>151</v>
      </c>
      <c r="FZD550" s="83" t="s">
        <v>151</v>
      </c>
      <c r="FZE550" s="83" t="s">
        <v>151</v>
      </c>
      <c r="FZF550" s="83" t="s">
        <v>151</v>
      </c>
      <c r="FZG550" s="83" t="s">
        <v>151</v>
      </c>
      <c r="FZH550" s="83" t="s">
        <v>151</v>
      </c>
      <c r="FZI550" s="83" t="s">
        <v>151</v>
      </c>
      <c r="FZJ550" s="83" t="s">
        <v>151</v>
      </c>
      <c r="FZK550" s="83" t="s">
        <v>151</v>
      </c>
      <c r="FZL550" s="83" t="s">
        <v>151</v>
      </c>
      <c r="FZM550" s="83" t="s">
        <v>151</v>
      </c>
      <c r="FZN550" s="83" t="s">
        <v>151</v>
      </c>
      <c r="FZO550" s="83" t="s">
        <v>151</v>
      </c>
      <c r="FZP550" s="83" t="s">
        <v>151</v>
      </c>
      <c r="FZQ550" s="83" t="s">
        <v>151</v>
      </c>
      <c r="FZR550" s="83" t="s">
        <v>151</v>
      </c>
      <c r="FZS550" s="83" t="s">
        <v>151</v>
      </c>
      <c r="FZT550" s="83" t="s">
        <v>151</v>
      </c>
      <c r="FZU550" s="83" t="s">
        <v>151</v>
      </c>
      <c r="FZV550" s="83" t="s">
        <v>151</v>
      </c>
      <c r="FZW550" s="83" t="s">
        <v>151</v>
      </c>
      <c r="FZX550" s="83" t="s">
        <v>151</v>
      </c>
      <c r="FZY550" s="83" t="s">
        <v>151</v>
      </c>
      <c r="FZZ550" s="83" t="s">
        <v>151</v>
      </c>
      <c r="GAA550" s="83" t="s">
        <v>151</v>
      </c>
      <c r="GAB550" s="83" t="s">
        <v>151</v>
      </c>
      <c r="GAC550" s="83" t="s">
        <v>151</v>
      </c>
      <c r="GAD550" s="83" t="s">
        <v>151</v>
      </c>
      <c r="GAE550" s="83" t="s">
        <v>151</v>
      </c>
      <c r="GAF550" s="83" t="s">
        <v>151</v>
      </c>
      <c r="GAG550" s="83" t="s">
        <v>151</v>
      </c>
      <c r="GAH550" s="83" t="s">
        <v>151</v>
      </c>
      <c r="GAI550" s="83" t="s">
        <v>151</v>
      </c>
      <c r="GAJ550" s="83" t="s">
        <v>151</v>
      </c>
      <c r="GAK550" s="83" t="s">
        <v>151</v>
      </c>
      <c r="GAL550" s="83" t="s">
        <v>151</v>
      </c>
      <c r="GAM550" s="83" t="s">
        <v>151</v>
      </c>
      <c r="GAN550" s="83" t="s">
        <v>151</v>
      </c>
      <c r="GAO550" s="83" t="s">
        <v>151</v>
      </c>
      <c r="GAP550" s="83" t="s">
        <v>151</v>
      </c>
      <c r="GAQ550" s="83" t="s">
        <v>151</v>
      </c>
      <c r="GAR550" s="83" t="s">
        <v>151</v>
      </c>
      <c r="GAS550" s="83" t="s">
        <v>151</v>
      </c>
      <c r="GAT550" s="83" t="s">
        <v>151</v>
      </c>
      <c r="GAU550" s="83" t="s">
        <v>151</v>
      </c>
      <c r="GAV550" s="83" t="s">
        <v>151</v>
      </c>
      <c r="GAW550" s="83" t="s">
        <v>151</v>
      </c>
      <c r="GAX550" s="83" t="s">
        <v>151</v>
      </c>
      <c r="GAY550" s="83" t="s">
        <v>151</v>
      </c>
      <c r="GAZ550" s="83" t="s">
        <v>151</v>
      </c>
      <c r="GBA550" s="83" t="s">
        <v>151</v>
      </c>
      <c r="GBB550" s="83" t="s">
        <v>151</v>
      </c>
      <c r="GBC550" s="83" t="s">
        <v>151</v>
      </c>
      <c r="GBD550" s="83" t="s">
        <v>151</v>
      </c>
      <c r="GBE550" s="83" t="s">
        <v>151</v>
      </c>
      <c r="GBF550" s="83" t="s">
        <v>151</v>
      </c>
      <c r="GBG550" s="83" t="s">
        <v>151</v>
      </c>
      <c r="GBH550" s="83" t="s">
        <v>151</v>
      </c>
      <c r="GBI550" s="83" t="s">
        <v>151</v>
      </c>
      <c r="GBJ550" s="83" t="s">
        <v>151</v>
      </c>
      <c r="GBK550" s="83" t="s">
        <v>151</v>
      </c>
      <c r="GBL550" s="83" t="s">
        <v>151</v>
      </c>
      <c r="GBM550" s="83" t="s">
        <v>151</v>
      </c>
      <c r="GBN550" s="83" t="s">
        <v>151</v>
      </c>
      <c r="GBO550" s="83" t="s">
        <v>151</v>
      </c>
      <c r="GBP550" s="83" t="s">
        <v>151</v>
      </c>
      <c r="GBQ550" s="83" t="s">
        <v>151</v>
      </c>
      <c r="GBR550" s="83" t="s">
        <v>151</v>
      </c>
      <c r="GBS550" s="83" t="s">
        <v>151</v>
      </c>
      <c r="GBT550" s="83" t="s">
        <v>151</v>
      </c>
      <c r="GBU550" s="83" t="s">
        <v>151</v>
      </c>
      <c r="GBV550" s="83" t="s">
        <v>151</v>
      </c>
      <c r="GBW550" s="83" t="s">
        <v>151</v>
      </c>
      <c r="GBX550" s="83" t="s">
        <v>151</v>
      </c>
      <c r="GBY550" s="83" t="s">
        <v>151</v>
      </c>
      <c r="GBZ550" s="83" t="s">
        <v>151</v>
      </c>
      <c r="GCA550" s="83" t="s">
        <v>151</v>
      </c>
      <c r="GCB550" s="83" t="s">
        <v>151</v>
      </c>
      <c r="GCC550" s="83" t="s">
        <v>151</v>
      </c>
      <c r="GCD550" s="83" t="s">
        <v>151</v>
      </c>
      <c r="GCE550" s="83" t="s">
        <v>151</v>
      </c>
      <c r="GCF550" s="83" t="s">
        <v>151</v>
      </c>
      <c r="GCG550" s="83" t="s">
        <v>151</v>
      </c>
      <c r="GCH550" s="83" t="s">
        <v>151</v>
      </c>
      <c r="GCI550" s="83" t="s">
        <v>151</v>
      </c>
      <c r="GCJ550" s="83" t="s">
        <v>151</v>
      </c>
      <c r="GCK550" s="83" t="s">
        <v>151</v>
      </c>
      <c r="GCL550" s="83" t="s">
        <v>151</v>
      </c>
      <c r="GCM550" s="83" t="s">
        <v>151</v>
      </c>
      <c r="GCN550" s="83" t="s">
        <v>151</v>
      </c>
      <c r="GCO550" s="83" t="s">
        <v>151</v>
      </c>
      <c r="GCP550" s="83" t="s">
        <v>151</v>
      </c>
      <c r="GCQ550" s="83" t="s">
        <v>151</v>
      </c>
      <c r="GCR550" s="83" t="s">
        <v>151</v>
      </c>
      <c r="GCS550" s="83" t="s">
        <v>151</v>
      </c>
      <c r="GCT550" s="83" t="s">
        <v>151</v>
      </c>
      <c r="GCU550" s="83" t="s">
        <v>151</v>
      </c>
      <c r="GCV550" s="83" t="s">
        <v>151</v>
      </c>
      <c r="GCW550" s="83" t="s">
        <v>151</v>
      </c>
      <c r="GCX550" s="83" t="s">
        <v>151</v>
      </c>
      <c r="GCY550" s="83" t="s">
        <v>151</v>
      </c>
      <c r="GCZ550" s="83" t="s">
        <v>151</v>
      </c>
      <c r="GDA550" s="83" t="s">
        <v>151</v>
      </c>
      <c r="GDB550" s="83" t="s">
        <v>151</v>
      </c>
      <c r="GDC550" s="83" t="s">
        <v>151</v>
      </c>
      <c r="GDD550" s="83" t="s">
        <v>151</v>
      </c>
      <c r="GDE550" s="83" t="s">
        <v>151</v>
      </c>
      <c r="GDF550" s="83" t="s">
        <v>151</v>
      </c>
      <c r="GDG550" s="83" t="s">
        <v>151</v>
      </c>
      <c r="GDH550" s="83" t="s">
        <v>151</v>
      </c>
      <c r="GDI550" s="83" t="s">
        <v>151</v>
      </c>
      <c r="GDJ550" s="83" t="s">
        <v>151</v>
      </c>
      <c r="GDK550" s="83" t="s">
        <v>151</v>
      </c>
      <c r="GDL550" s="83" t="s">
        <v>151</v>
      </c>
      <c r="GDM550" s="83" t="s">
        <v>151</v>
      </c>
      <c r="GDN550" s="83" t="s">
        <v>151</v>
      </c>
      <c r="GDO550" s="83" t="s">
        <v>151</v>
      </c>
      <c r="GDP550" s="83" t="s">
        <v>151</v>
      </c>
      <c r="GDQ550" s="83" t="s">
        <v>151</v>
      </c>
      <c r="GDR550" s="83" t="s">
        <v>151</v>
      </c>
      <c r="GDS550" s="83" t="s">
        <v>151</v>
      </c>
      <c r="GDT550" s="83" t="s">
        <v>151</v>
      </c>
      <c r="GDU550" s="83" t="s">
        <v>151</v>
      </c>
      <c r="GDV550" s="83" t="s">
        <v>151</v>
      </c>
      <c r="GDW550" s="83" t="s">
        <v>151</v>
      </c>
      <c r="GDX550" s="83" t="s">
        <v>151</v>
      </c>
      <c r="GDY550" s="83" t="s">
        <v>151</v>
      </c>
      <c r="GDZ550" s="83" t="s">
        <v>151</v>
      </c>
      <c r="GEA550" s="83" t="s">
        <v>151</v>
      </c>
      <c r="GEB550" s="83" t="s">
        <v>151</v>
      </c>
      <c r="GEC550" s="83" t="s">
        <v>151</v>
      </c>
      <c r="GED550" s="83" t="s">
        <v>151</v>
      </c>
      <c r="GEE550" s="83" t="s">
        <v>151</v>
      </c>
      <c r="GEF550" s="83" t="s">
        <v>151</v>
      </c>
      <c r="GEG550" s="83" t="s">
        <v>151</v>
      </c>
      <c r="GEH550" s="83" t="s">
        <v>151</v>
      </c>
      <c r="GEI550" s="83" t="s">
        <v>151</v>
      </c>
      <c r="GEJ550" s="83" t="s">
        <v>151</v>
      </c>
      <c r="GEK550" s="83" t="s">
        <v>151</v>
      </c>
      <c r="GEL550" s="83" t="s">
        <v>151</v>
      </c>
      <c r="GEM550" s="83" t="s">
        <v>151</v>
      </c>
      <c r="GEN550" s="83" t="s">
        <v>151</v>
      </c>
      <c r="GEO550" s="83" t="s">
        <v>151</v>
      </c>
      <c r="GEP550" s="83" t="s">
        <v>151</v>
      </c>
      <c r="GEQ550" s="83" t="s">
        <v>151</v>
      </c>
      <c r="GER550" s="83" t="s">
        <v>151</v>
      </c>
      <c r="GES550" s="83" t="s">
        <v>151</v>
      </c>
      <c r="GET550" s="83" t="s">
        <v>151</v>
      </c>
      <c r="GEU550" s="83" t="s">
        <v>151</v>
      </c>
      <c r="GEV550" s="83" t="s">
        <v>151</v>
      </c>
      <c r="GEW550" s="83" t="s">
        <v>151</v>
      </c>
      <c r="GEX550" s="83" t="s">
        <v>151</v>
      </c>
      <c r="GEY550" s="83" t="s">
        <v>151</v>
      </c>
      <c r="GEZ550" s="83" t="s">
        <v>151</v>
      </c>
      <c r="GFA550" s="83" t="s">
        <v>151</v>
      </c>
      <c r="GFB550" s="83" t="s">
        <v>151</v>
      </c>
      <c r="GFC550" s="83" t="s">
        <v>151</v>
      </c>
      <c r="GFD550" s="83" t="s">
        <v>151</v>
      </c>
      <c r="GFE550" s="83" t="s">
        <v>151</v>
      </c>
      <c r="GFF550" s="83" t="s">
        <v>151</v>
      </c>
      <c r="GFG550" s="83" t="s">
        <v>151</v>
      </c>
      <c r="GFH550" s="83" t="s">
        <v>151</v>
      </c>
      <c r="GFI550" s="83" t="s">
        <v>151</v>
      </c>
      <c r="GFJ550" s="83" t="s">
        <v>151</v>
      </c>
      <c r="GFK550" s="83" t="s">
        <v>151</v>
      </c>
      <c r="GFL550" s="83" t="s">
        <v>151</v>
      </c>
      <c r="GFM550" s="83" t="s">
        <v>151</v>
      </c>
      <c r="GFN550" s="83" t="s">
        <v>151</v>
      </c>
      <c r="GFO550" s="83" t="s">
        <v>151</v>
      </c>
      <c r="GFP550" s="83" t="s">
        <v>151</v>
      </c>
      <c r="GFQ550" s="83" t="s">
        <v>151</v>
      </c>
      <c r="GFR550" s="83" t="s">
        <v>151</v>
      </c>
      <c r="GFS550" s="83" t="s">
        <v>151</v>
      </c>
      <c r="GFT550" s="83" t="s">
        <v>151</v>
      </c>
      <c r="GFU550" s="83" t="s">
        <v>151</v>
      </c>
      <c r="GFV550" s="83" t="s">
        <v>151</v>
      </c>
      <c r="GFW550" s="83" t="s">
        <v>151</v>
      </c>
      <c r="GFX550" s="83" t="s">
        <v>151</v>
      </c>
      <c r="GFY550" s="83" t="s">
        <v>151</v>
      </c>
      <c r="GFZ550" s="83" t="s">
        <v>151</v>
      </c>
      <c r="GGA550" s="83" t="s">
        <v>151</v>
      </c>
      <c r="GGB550" s="83" t="s">
        <v>151</v>
      </c>
      <c r="GGC550" s="83" t="s">
        <v>151</v>
      </c>
      <c r="GGD550" s="83" t="s">
        <v>151</v>
      </c>
      <c r="GGE550" s="83" t="s">
        <v>151</v>
      </c>
      <c r="GGF550" s="83" t="s">
        <v>151</v>
      </c>
      <c r="GGG550" s="83" t="s">
        <v>151</v>
      </c>
      <c r="GGH550" s="83" t="s">
        <v>151</v>
      </c>
      <c r="GGI550" s="83" t="s">
        <v>151</v>
      </c>
      <c r="GGJ550" s="83" t="s">
        <v>151</v>
      </c>
      <c r="GGK550" s="83" t="s">
        <v>151</v>
      </c>
      <c r="GGL550" s="83" t="s">
        <v>151</v>
      </c>
      <c r="GGM550" s="83" t="s">
        <v>151</v>
      </c>
      <c r="GGN550" s="83" t="s">
        <v>151</v>
      </c>
      <c r="GGO550" s="83" t="s">
        <v>151</v>
      </c>
      <c r="GGP550" s="83" t="s">
        <v>151</v>
      </c>
      <c r="GGQ550" s="83" t="s">
        <v>151</v>
      </c>
      <c r="GGR550" s="83" t="s">
        <v>151</v>
      </c>
      <c r="GGS550" s="83" t="s">
        <v>151</v>
      </c>
      <c r="GGT550" s="83" t="s">
        <v>151</v>
      </c>
      <c r="GGU550" s="83" t="s">
        <v>151</v>
      </c>
      <c r="GGV550" s="83" t="s">
        <v>151</v>
      </c>
      <c r="GGW550" s="83" t="s">
        <v>151</v>
      </c>
      <c r="GGX550" s="83" t="s">
        <v>151</v>
      </c>
      <c r="GGY550" s="83" t="s">
        <v>151</v>
      </c>
      <c r="GGZ550" s="83" t="s">
        <v>151</v>
      </c>
      <c r="GHA550" s="83" t="s">
        <v>151</v>
      </c>
      <c r="GHB550" s="83" t="s">
        <v>151</v>
      </c>
      <c r="GHC550" s="83" t="s">
        <v>151</v>
      </c>
      <c r="GHD550" s="83" t="s">
        <v>151</v>
      </c>
      <c r="GHE550" s="83" t="s">
        <v>151</v>
      </c>
      <c r="GHF550" s="83" t="s">
        <v>151</v>
      </c>
      <c r="GHG550" s="83" t="s">
        <v>151</v>
      </c>
      <c r="GHH550" s="83" t="s">
        <v>151</v>
      </c>
      <c r="GHI550" s="83" t="s">
        <v>151</v>
      </c>
      <c r="GHJ550" s="83" t="s">
        <v>151</v>
      </c>
      <c r="GHK550" s="83" t="s">
        <v>151</v>
      </c>
      <c r="GHL550" s="83" t="s">
        <v>151</v>
      </c>
      <c r="GHM550" s="83" t="s">
        <v>151</v>
      </c>
      <c r="GHN550" s="83" t="s">
        <v>151</v>
      </c>
      <c r="GHO550" s="83" t="s">
        <v>151</v>
      </c>
      <c r="GHP550" s="83" t="s">
        <v>151</v>
      </c>
      <c r="GHQ550" s="83" t="s">
        <v>151</v>
      </c>
      <c r="GHR550" s="83" t="s">
        <v>151</v>
      </c>
      <c r="GHS550" s="83" t="s">
        <v>151</v>
      </c>
      <c r="GHT550" s="83" t="s">
        <v>151</v>
      </c>
      <c r="GHU550" s="83" t="s">
        <v>151</v>
      </c>
      <c r="GHV550" s="83" t="s">
        <v>151</v>
      </c>
      <c r="GHW550" s="83" t="s">
        <v>151</v>
      </c>
      <c r="GHX550" s="83" t="s">
        <v>151</v>
      </c>
      <c r="GHY550" s="83" t="s">
        <v>151</v>
      </c>
      <c r="GHZ550" s="83" t="s">
        <v>151</v>
      </c>
      <c r="GIA550" s="83" t="s">
        <v>151</v>
      </c>
      <c r="GIB550" s="83" t="s">
        <v>151</v>
      </c>
      <c r="GIC550" s="83" t="s">
        <v>151</v>
      </c>
      <c r="GID550" s="83" t="s">
        <v>151</v>
      </c>
      <c r="GIE550" s="83" t="s">
        <v>151</v>
      </c>
      <c r="GIF550" s="83" t="s">
        <v>151</v>
      </c>
      <c r="GIG550" s="83" t="s">
        <v>151</v>
      </c>
      <c r="GIH550" s="83" t="s">
        <v>151</v>
      </c>
      <c r="GII550" s="83" t="s">
        <v>151</v>
      </c>
      <c r="GIJ550" s="83" t="s">
        <v>151</v>
      </c>
      <c r="GIK550" s="83" t="s">
        <v>151</v>
      </c>
      <c r="GIL550" s="83" t="s">
        <v>151</v>
      </c>
      <c r="GIM550" s="83" t="s">
        <v>151</v>
      </c>
      <c r="GIN550" s="83" t="s">
        <v>151</v>
      </c>
      <c r="GIO550" s="83" t="s">
        <v>151</v>
      </c>
      <c r="GIP550" s="83" t="s">
        <v>151</v>
      </c>
      <c r="GIQ550" s="83" t="s">
        <v>151</v>
      </c>
      <c r="GIR550" s="83" t="s">
        <v>151</v>
      </c>
      <c r="GIS550" s="83" t="s">
        <v>151</v>
      </c>
      <c r="GIT550" s="83" t="s">
        <v>151</v>
      </c>
      <c r="GIU550" s="83" t="s">
        <v>151</v>
      </c>
      <c r="GIV550" s="83" t="s">
        <v>151</v>
      </c>
      <c r="GIW550" s="83" t="s">
        <v>151</v>
      </c>
      <c r="GIX550" s="83" t="s">
        <v>151</v>
      </c>
      <c r="GIY550" s="83" t="s">
        <v>151</v>
      </c>
      <c r="GIZ550" s="83" t="s">
        <v>151</v>
      </c>
      <c r="GJA550" s="83" t="s">
        <v>151</v>
      </c>
      <c r="GJB550" s="83" t="s">
        <v>151</v>
      </c>
      <c r="GJC550" s="83" t="s">
        <v>151</v>
      </c>
      <c r="GJD550" s="83" t="s">
        <v>151</v>
      </c>
      <c r="GJE550" s="83" t="s">
        <v>151</v>
      </c>
      <c r="GJF550" s="83" t="s">
        <v>151</v>
      </c>
      <c r="GJG550" s="83" t="s">
        <v>151</v>
      </c>
      <c r="GJH550" s="83" t="s">
        <v>151</v>
      </c>
      <c r="GJI550" s="83" t="s">
        <v>151</v>
      </c>
      <c r="GJJ550" s="83" t="s">
        <v>151</v>
      </c>
      <c r="GJK550" s="83" t="s">
        <v>151</v>
      </c>
      <c r="GJL550" s="83" t="s">
        <v>151</v>
      </c>
      <c r="GJM550" s="83" t="s">
        <v>151</v>
      </c>
      <c r="GJN550" s="83" t="s">
        <v>151</v>
      </c>
      <c r="GJO550" s="83" t="s">
        <v>151</v>
      </c>
      <c r="GJP550" s="83" t="s">
        <v>151</v>
      </c>
      <c r="GJQ550" s="83" t="s">
        <v>151</v>
      </c>
      <c r="GJR550" s="83" t="s">
        <v>151</v>
      </c>
      <c r="GJS550" s="83" t="s">
        <v>151</v>
      </c>
      <c r="GJT550" s="83" t="s">
        <v>151</v>
      </c>
      <c r="GJU550" s="83" t="s">
        <v>151</v>
      </c>
      <c r="GJV550" s="83" t="s">
        <v>151</v>
      </c>
      <c r="GJW550" s="83" t="s">
        <v>151</v>
      </c>
      <c r="GJX550" s="83" t="s">
        <v>151</v>
      </c>
      <c r="GJY550" s="83" t="s">
        <v>151</v>
      </c>
      <c r="GJZ550" s="83" t="s">
        <v>151</v>
      </c>
      <c r="GKA550" s="83" t="s">
        <v>151</v>
      </c>
      <c r="GKB550" s="83" t="s">
        <v>151</v>
      </c>
      <c r="GKC550" s="83" t="s">
        <v>151</v>
      </c>
      <c r="GKD550" s="83" t="s">
        <v>151</v>
      </c>
      <c r="GKE550" s="83" t="s">
        <v>151</v>
      </c>
      <c r="GKF550" s="83" t="s">
        <v>151</v>
      </c>
      <c r="GKG550" s="83" t="s">
        <v>151</v>
      </c>
      <c r="GKH550" s="83" t="s">
        <v>151</v>
      </c>
      <c r="GKI550" s="83" t="s">
        <v>151</v>
      </c>
      <c r="GKJ550" s="83" t="s">
        <v>151</v>
      </c>
      <c r="GKK550" s="83" t="s">
        <v>151</v>
      </c>
      <c r="GKL550" s="83" t="s">
        <v>151</v>
      </c>
      <c r="GKM550" s="83" t="s">
        <v>151</v>
      </c>
      <c r="GKN550" s="83" t="s">
        <v>151</v>
      </c>
      <c r="GKO550" s="83" t="s">
        <v>151</v>
      </c>
      <c r="GKP550" s="83" t="s">
        <v>151</v>
      </c>
      <c r="GKQ550" s="83" t="s">
        <v>151</v>
      </c>
      <c r="GKR550" s="83" t="s">
        <v>151</v>
      </c>
      <c r="GKS550" s="83" t="s">
        <v>151</v>
      </c>
      <c r="GKT550" s="83" t="s">
        <v>151</v>
      </c>
      <c r="GKU550" s="83" t="s">
        <v>151</v>
      </c>
      <c r="GKV550" s="83" t="s">
        <v>151</v>
      </c>
      <c r="GKW550" s="83" t="s">
        <v>151</v>
      </c>
      <c r="GKX550" s="83" t="s">
        <v>151</v>
      </c>
      <c r="GKY550" s="83" t="s">
        <v>151</v>
      </c>
      <c r="GKZ550" s="83" t="s">
        <v>151</v>
      </c>
      <c r="GLA550" s="83" t="s">
        <v>151</v>
      </c>
      <c r="GLB550" s="83" t="s">
        <v>151</v>
      </c>
      <c r="GLC550" s="83" t="s">
        <v>151</v>
      </c>
      <c r="GLD550" s="83" t="s">
        <v>151</v>
      </c>
      <c r="GLE550" s="83" t="s">
        <v>151</v>
      </c>
      <c r="GLF550" s="83" t="s">
        <v>151</v>
      </c>
      <c r="GLG550" s="83" t="s">
        <v>151</v>
      </c>
      <c r="GLH550" s="83" t="s">
        <v>151</v>
      </c>
      <c r="GLI550" s="83" t="s">
        <v>151</v>
      </c>
      <c r="GLJ550" s="83" t="s">
        <v>151</v>
      </c>
      <c r="GLK550" s="83" t="s">
        <v>151</v>
      </c>
      <c r="GLL550" s="83" t="s">
        <v>151</v>
      </c>
      <c r="GLM550" s="83" t="s">
        <v>151</v>
      </c>
      <c r="GLN550" s="83" t="s">
        <v>151</v>
      </c>
      <c r="GLO550" s="83" t="s">
        <v>151</v>
      </c>
      <c r="GLP550" s="83" t="s">
        <v>151</v>
      </c>
      <c r="GLQ550" s="83" t="s">
        <v>151</v>
      </c>
      <c r="GLR550" s="83" t="s">
        <v>151</v>
      </c>
      <c r="GLS550" s="83" t="s">
        <v>151</v>
      </c>
      <c r="GLT550" s="83" t="s">
        <v>151</v>
      </c>
      <c r="GLU550" s="83" t="s">
        <v>151</v>
      </c>
      <c r="GLV550" s="83" t="s">
        <v>151</v>
      </c>
      <c r="GLW550" s="83" t="s">
        <v>151</v>
      </c>
      <c r="GLX550" s="83" t="s">
        <v>151</v>
      </c>
      <c r="GLY550" s="83" t="s">
        <v>151</v>
      </c>
      <c r="GLZ550" s="83" t="s">
        <v>151</v>
      </c>
      <c r="GMA550" s="83" t="s">
        <v>151</v>
      </c>
      <c r="GMB550" s="83" t="s">
        <v>151</v>
      </c>
      <c r="GMC550" s="83" t="s">
        <v>151</v>
      </c>
      <c r="GMD550" s="83" t="s">
        <v>151</v>
      </c>
      <c r="GME550" s="83" t="s">
        <v>151</v>
      </c>
      <c r="GMF550" s="83" t="s">
        <v>151</v>
      </c>
      <c r="GMG550" s="83" t="s">
        <v>151</v>
      </c>
      <c r="GMH550" s="83" t="s">
        <v>151</v>
      </c>
      <c r="GMI550" s="83" t="s">
        <v>151</v>
      </c>
      <c r="GMJ550" s="83" t="s">
        <v>151</v>
      </c>
      <c r="GMK550" s="83" t="s">
        <v>151</v>
      </c>
      <c r="GML550" s="83" t="s">
        <v>151</v>
      </c>
      <c r="GMM550" s="83" t="s">
        <v>151</v>
      </c>
      <c r="GMN550" s="83" t="s">
        <v>151</v>
      </c>
      <c r="GMO550" s="83" t="s">
        <v>151</v>
      </c>
      <c r="GMP550" s="83" t="s">
        <v>151</v>
      </c>
      <c r="GMQ550" s="83" t="s">
        <v>151</v>
      </c>
      <c r="GMR550" s="83" t="s">
        <v>151</v>
      </c>
      <c r="GMS550" s="83" t="s">
        <v>151</v>
      </c>
      <c r="GMT550" s="83" t="s">
        <v>151</v>
      </c>
      <c r="GMU550" s="83" t="s">
        <v>151</v>
      </c>
      <c r="GMV550" s="83" t="s">
        <v>151</v>
      </c>
      <c r="GMW550" s="83" t="s">
        <v>151</v>
      </c>
      <c r="GMX550" s="83" t="s">
        <v>151</v>
      </c>
      <c r="GMY550" s="83" t="s">
        <v>151</v>
      </c>
      <c r="GMZ550" s="83" t="s">
        <v>151</v>
      </c>
      <c r="GNA550" s="83" t="s">
        <v>151</v>
      </c>
      <c r="GNB550" s="83" t="s">
        <v>151</v>
      </c>
      <c r="GNC550" s="83" t="s">
        <v>151</v>
      </c>
      <c r="GND550" s="83" t="s">
        <v>151</v>
      </c>
      <c r="GNE550" s="83" t="s">
        <v>151</v>
      </c>
      <c r="GNF550" s="83" t="s">
        <v>151</v>
      </c>
      <c r="GNG550" s="83" t="s">
        <v>151</v>
      </c>
      <c r="GNH550" s="83" t="s">
        <v>151</v>
      </c>
      <c r="GNI550" s="83" t="s">
        <v>151</v>
      </c>
      <c r="GNJ550" s="83" t="s">
        <v>151</v>
      </c>
      <c r="GNK550" s="83" t="s">
        <v>151</v>
      </c>
      <c r="GNL550" s="83" t="s">
        <v>151</v>
      </c>
      <c r="GNM550" s="83" t="s">
        <v>151</v>
      </c>
      <c r="GNN550" s="83" t="s">
        <v>151</v>
      </c>
      <c r="GNO550" s="83" t="s">
        <v>151</v>
      </c>
      <c r="GNP550" s="83" t="s">
        <v>151</v>
      </c>
      <c r="GNQ550" s="83" t="s">
        <v>151</v>
      </c>
      <c r="GNR550" s="83" t="s">
        <v>151</v>
      </c>
      <c r="GNS550" s="83" t="s">
        <v>151</v>
      </c>
      <c r="GNT550" s="83" t="s">
        <v>151</v>
      </c>
      <c r="GNU550" s="83" t="s">
        <v>151</v>
      </c>
      <c r="GNV550" s="83" t="s">
        <v>151</v>
      </c>
      <c r="GNW550" s="83" t="s">
        <v>151</v>
      </c>
      <c r="GNX550" s="83" t="s">
        <v>151</v>
      </c>
      <c r="GNY550" s="83" t="s">
        <v>151</v>
      </c>
      <c r="GNZ550" s="83" t="s">
        <v>151</v>
      </c>
      <c r="GOA550" s="83" t="s">
        <v>151</v>
      </c>
      <c r="GOB550" s="83" t="s">
        <v>151</v>
      </c>
      <c r="GOC550" s="83" t="s">
        <v>151</v>
      </c>
      <c r="GOD550" s="83" t="s">
        <v>151</v>
      </c>
      <c r="GOE550" s="83" t="s">
        <v>151</v>
      </c>
      <c r="GOF550" s="83" t="s">
        <v>151</v>
      </c>
      <c r="GOG550" s="83" t="s">
        <v>151</v>
      </c>
      <c r="GOH550" s="83" t="s">
        <v>151</v>
      </c>
      <c r="GOI550" s="83" t="s">
        <v>151</v>
      </c>
      <c r="GOJ550" s="83" t="s">
        <v>151</v>
      </c>
      <c r="GOK550" s="83" t="s">
        <v>151</v>
      </c>
      <c r="GOL550" s="83" t="s">
        <v>151</v>
      </c>
      <c r="GOM550" s="83" t="s">
        <v>151</v>
      </c>
      <c r="GON550" s="83" t="s">
        <v>151</v>
      </c>
      <c r="GOO550" s="83" t="s">
        <v>151</v>
      </c>
      <c r="GOP550" s="83" t="s">
        <v>151</v>
      </c>
      <c r="GOQ550" s="83" t="s">
        <v>151</v>
      </c>
      <c r="GOR550" s="83" t="s">
        <v>151</v>
      </c>
      <c r="GOS550" s="83" t="s">
        <v>151</v>
      </c>
      <c r="GOT550" s="83" t="s">
        <v>151</v>
      </c>
      <c r="GOU550" s="83" t="s">
        <v>151</v>
      </c>
      <c r="GOV550" s="83" t="s">
        <v>151</v>
      </c>
      <c r="GOW550" s="83" t="s">
        <v>151</v>
      </c>
      <c r="GOX550" s="83" t="s">
        <v>151</v>
      </c>
      <c r="GOY550" s="83" t="s">
        <v>151</v>
      </c>
      <c r="GOZ550" s="83" t="s">
        <v>151</v>
      </c>
      <c r="GPA550" s="83" t="s">
        <v>151</v>
      </c>
      <c r="GPB550" s="83" t="s">
        <v>151</v>
      </c>
      <c r="GPC550" s="83" t="s">
        <v>151</v>
      </c>
      <c r="GPD550" s="83" t="s">
        <v>151</v>
      </c>
      <c r="GPE550" s="83" t="s">
        <v>151</v>
      </c>
      <c r="GPF550" s="83" t="s">
        <v>151</v>
      </c>
      <c r="GPG550" s="83" t="s">
        <v>151</v>
      </c>
      <c r="GPH550" s="83" t="s">
        <v>151</v>
      </c>
      <c r="GPI550" s="83" t="s">
        <v>151</v>
      </c>
      <c r="GPJ550" s="83" t="s">
        <v>151</v>
      </c>
      <c r="GPK550" s="83" t="s">
        <v>151</v>
      </c>
      <c r="GPL550" s="83" t="s">
        <v>151</v>
      </c>
      <c r="GPM550" s="83" t="s">
        <v>151</v>
      </c>
      <c r="GPN550" s="83" t="s">
        <v>151</v>
      </c>
      <c r="GPO550" s="83" t="s">
        <v>151</v>
      </c>
      <c r="GPP550" s="83" t="s">
        <v>151</v>
      </c>
      <c r="GPQ550" s="83" t="s">
        <v>151</v>
      </c>
      <c r="GPR550" s="83" t="s">
        <v>151</v>
      </c>
      <c r="GPS550" s="83" t="s">
        <v>151</v>
      </c>
      <c r="GPT550" s="83" t="s">
        <v>151</v>
      </c>
      <c r="GPU550" s="83" t="s">
        <v>151</v>
      </c>
      <c r="GPV550" s="83" t="s">
        <v>151</v>
      </c>
      <c r="GPW550" s="83" t="s">
        <v>151</v>
      </c>
      <c r="GPX550" s="83" t="s">
        <v>151</v>
      </c>
      <c r="GPY550" s="83" t="s">
        <v>151</v>
      </c>
      <c r="GPZ550" s="83" t="s">
        <v>151</v>
      </c>
      <c r="GQA550" s="83" t="s">
        <v>151</v>
      </c>
      <c r="GQB550" s="83" t="s">
        <v>151</v>
      </c>
      <c r="GQC550" s="83" t="s">
        <v>151</v>
      </c>
      <c r="GQD550" s="83" t="s">
        <v>151</v>
      </c>
      <c r="GQE550" s="83" t="s">
        <v>151</v>
      </c>
      <c r="GQF550" s="83" t="s">
        <v>151</v>
      </c>
      <c r="GQG550" s="83" t="s">
        <v>151</v>
      </c>
      <c r="GQH550" s="83" t="s">
        <v>151</v>
      </c>
      <c r="GQI550" s="83" t="s">
        <v>151</v>
      </c>
      <c r="GQJ550" s="83" t="s">
        <v>151</v>
      </c>
      <c r="GQK550" s="83" t="s">
        <v>151</v>
      </c>
      <c r="GQL550" s="83" t="s">
        <v>151</v>
      </c>
      <c r="GQM550" s="83" t="s">
        <v>151</v>
      </c>
      <c r="GQN550" s="83" t="s">
        <v>151</v>
      </c>
      <c r="GQO550" s="83" t="s">
        <v>151</v>
      </c>
      <c r="GQP550" s="83" t="s">
        <v>151</v>
      </c>
      <c r="GQQ550" s="83" t="s">
        <v>151</v>
      </c>
      <c r="GQR550" s="83" t="s">
        <v>151</v>
      </c>
      <c r="GQS550" s="83" t="s">
        <v>151</v>
      </c>
      <c r="GQT550" s="83" t="s">
        <v>151</v>
      </c>
      <c r="GQU550" s="83" t="s">
        <v>151</v>
      </c>
      <c r="GQV550" s="83" t="s">
        <v>151</v>
      </c>
      <c r="GQW550" s="83" t="s">
        <v>151</v>
      </c>
      <c r="GQX550" s="83" t="s">
        <v>151</v>
      </c>
      <c r="GQY550" s="83" t="s">
        <v>151</v>
      </c>
      <c r="GQZ550" s="83" t="s">
        <v>151</v>
      </c>
      <c r="GRA550" s="83" t="s">
        <v>151</v>
      </c>
      <c r="GRB550" s="83" t="s">
        <v>151</v>
      </c>
      <c r="GRC550" s="83" t="s">
        <v>151</v>
      </c>
      <c r="GRD550" s="83" t="s">
        <v>151</v>
      </c>
      <c r="GRE550" s="83" t="s">
        <v>151</v>
      </c>
      <c r="GRF550" s="83" t="s">
        <v>151</v>
      </c>
      <c r="GRG550" s="83" t="s">
        <v>151</v>
      </c>
      <c r="GRH550" s="83" t="s">
        <v>151</v>
      </c>
      <c r="GRI550" s="83" t="s">
        <v>151</v>
      </c>
      <c r="GRJ550" s="83" t="s">
        <v>151</v>
      </c>
      <c r="GRK550" s="83" t="s">
        <v>151</v>
      </c>
      <c r="GRL550" s="83" t="s">
        <v>151</v>
      </c>
      <c r="GRM550" s="83" t="s">
        <v>151</v>
      </c>
      <c r="GRN550" s="83" t="s">
        <v>151</v>
      </c>
      <c r="GRO550" s="83" t="s">
        <v>151</v>
      </c>
      <c r="GRP550" s="83" t="s">
        <v>151</v>
      </c>
      <c r="GRQ550" s="83" t="s">
        <v>151</v>
      </c>
      <c r="GRR550" s="83" t="s">
        <v>151</v>
      </c>
      <c r="GRS550" s="83" t="s">
        <v>151</v>
      </c>
      <c r="GRT550" s="83" t="s">
        <v>151</v>
      </c>
      <c r="GRU550" s="83" t="s">
        <v>151</v>
      </c>
      <c r="GRV550" s="83" t="s">
        <v>151</v>
      </c>
      <c r="GRW550" s="83" t="s">
        <v>151</v>
      </c>
      <c r="GRX550" s="83" t="s">
        <v>151</v>
      </c>
      <c r="GRY550" s="83" t="s">
        <v>151</v>
      </c>
      <c r="GRZ550" s="83" t="s">
        <v>151</v>
      </c>
      <c r="GSA550" s="83" t="s">
        <v>151</v>
      </c>
      <c r="GSB550" s="83" t="s">
        <v>151</v>
      </c>
      <c r="GSC550" s="83" t="s">
        <v>151</v>
      </c>
      <c r="GSD550" s="83" t="s">
        <v>151</v>
      </c>
      <c r="GSE550" s="83" t="s">
        <v>151</v>
      </c>
      <c r="GSF550" s="83" t="s">
        <v>151</v>
      </c>
      <c r="GSG550" s="83" t="s">
        <v>151</v>
      </c>
      <c r="GSH550" s="83" t="s">
        <v>151</v>
      </c>
      <c r="GSI550" s="83" t="s">
        <v>151</v>
      </c>
      <c r="GSJ550" s="83" t="s">
        <v>151</v>
      </c>
      <c r="GSK550" s="83" t="s">
        <v>151</v>
      </c>
      <c r="GSL550" s="83" t="s">
        <v>151</v>
      </c>
      <c r="GSM550" s="83" t="s">
        <v>151</v>
      </c>
      <c r="GSN550" s="83" t="s">
        <v>151</v>
      </c>
      <c r="GSO550" s="83" t="s">
        <v>151</v>
      </c>
      <c r="GSP550" s="83" t="s">
        <v>151</v>
      </c>
      <c r="GSQ550" s="83" t="s">
        <v>151</v>
      </c>
      <c r="GSR550" s="83" t="s">
        <v>151</v>
      </c>
      <c r="GSS550" s="83" t="s">
        <v>151</v>
      </c>
      <c r="GST550" s="83" t="s">
        <v>151</v>
      </c>
      <c r="GSU550" s="83" t="s">
        <v>151</v>
      </c>
      <c r="GSV550" s="83" t="s">
        <v>151</v>
      </c>
      <c r="GSW550" s="83" t="s">
        <v>151</v>
      </c>
      <c r="GSX550" s="83" t="s">
        <v>151</v>
      </c>
      <c r="GSY550" s="83" t="s">
        <v>151</v>
      </c>
      <c r="GSZ550" s="83" t="s">
        <v>151</v>
      </c>
      <c r="GTA550" s="83" t="s">
        <v>151</v>
      </c>
      <c r="GTB550" s="83" t="s">
        <v>151</v>
      </c>
      <c r="GTC550" s="83" t="s">
        <v>151</v>
      </c>
      <c r="GTD550" s="83" t="s">
        <v>151</v>
      </c>
      <c r="GTE550" s="83" t="s">
        <v>151</v>
      </c>
      <c r="GTF550" s="83" t="s">
        <v>151</v>
      </c>
      <c r="GTG550" s="83" t="s">
        <v>151</v>
      </c>
      <c r="GTH550" s="83" t="s">
        <v>151</v>
      </c>
      <c r="GTI550" s="83" t="s">
        <v>151</v>
      </c>
      <c r="GTJ550" s="83" t="s">
        <v>151</v>
      </c>
      <c r="GTK550" s="83" t="s">
        <v>151</v>
      </c>
      <c r="GTL550" s="83" t="s">
        <v>151</v>
      </c>
      <c r="GTM550" s="83" t="s">
        <v>151</v>
      </c>
      <c r="GTN550" s="83" t="s">
        <v>151</v>
      </c>
      <c r="GTO550" s="83" t="s">
        <v>151</v>
      </c>
      <c r="GTP550" s="83" t="s">
        <v>151</v>
      </c>
      <c r="GTQ550" s="83" t="s">
        <v>151</v>
      </c>
      <c r="GTR550" s="83" t="s">
        <v>151</v>
      </c>
      <c r="GTS550" s="83" t="s">
        <v>151</v>
      </c>
      <c r="GTT550" s="83" t="s">
        <v>151</v>
      </c>
      <c r="GTU550" s="83" t="s">
        <v>151</v>
      </c>
      <c r="GTV550" s="83" t="s">
        <v>151</v>
      </c>
      <c r="GTW550" s="83" t="s">
        <v>151</v>
      </c>
      <c r="GTX550" s="83" t="s">
        <v>151</v>
      </c>
      <c r="GTY550" s="83" t="s">
        <v>151</v>
      </c>
      <c r="GTZ550" s="83" t="s">
        <v>151</v>
      </c>
      <c r="GUA550" s="83" t="s">
        <v>151</v>
      </c>
      <c r="GUB550" s="83" t="s">
        <v>151</v>
      </c>
      <c r="GUC550" s="83" t="s">
        <v>151</v>
      </c>
      <c r="GUD550" s="83" t="s">
        <v>151</v>
      </c>
      <c r="GUE550" s="83" t="s">
        <v>151</v>
      </c>
      <c r="GUF550" s="83" t="s">
        <v>151</v>
      </c>
      <c r="GUG550" s="83" t="s">
        <v>151</v>
      </c>
      <c r="GUH550" s="83" t="s">
        <v>151</v>
      </c>
      <c r="GUI550" s="83" t="s">
        <v>151</v>
      </c>
      <c r="GUJ550" s="83" t="s">
        <v>151</v>
      </c>
      <c r="GUK550" s="83" t="s">
        <v>151</v>
      </c>
      <c r="GUL550" s="83" t="s">
        <v>151</v>
      </c>
      <c r="GUM550" s="83" t="s">
        <v>151</v>
      </c>
      <c r="GUN550" s="83" t="s">
        <v>151</v>
      </c>
      <c r="GUO550" s="83" t="s">
        <v>151</v>
      </c>
      <c r="GUP550" s="83" t="s">
        <v>151</v>
      </c>
      <c r="GUQ550" s="83" t="s">
        <v>151</v>
      </c>
      <c r="GUR550" s="83" t="s">
        <v>151</v>
      </c>
      <c r="GUS550" s="83" t="s">
        <v>151</v>
      </c>
      <c r="GUT550" s="83" t="s">
        <v>151</v>
      </c>
      <c r="GUU550" s="83" t="s">
        <v>151</v>
      </c>
      <c r="GUV550" s="83" t="s">
        <v>151</v>
      </c>
      <c r="GUW550" s="83" t="s">
        <v>151</v>
      </c>
      <c r="GUX550" s="83" t="s">
        <v>151</v>
      </c>
      <c r="GUY550" s="83" t="s">
        <v>151</v>
      </c>
      <c r="GUZ550" s="83" t="s">
        <v>151</v>
      </c>
      <c r="GVA550" s="83" t="s">
        <v>151</v>
      </c>
      <c r="GVB550" s="83" t="s">
        <v>151</v>
      </c>
      <c r="GVC550" s="83" t="s">
        <v>151</v>
      </c>
      <c r="GVD550" s="83" t="s">
        <v>151</v>
      </c>
      <c r="GVE550" s="83" t="s">
        <v>151</v>
      </c>
      <c r="GVF550" s="83" t="s">
        <v>151</v>
      </c>
      <c r="GVG550" s="83" t="s">
        <v>151</v>
      </c>
      <c r="GVH550" s="83" t="s">
        <v>151</v>
      </c>
      <c r="GVI550" s="83" t="s">
        <v>151</v>
      </c>
      <c r="GVJ550" s="83" t="s">
        <v>151</v>
      </c>
      <c r="GVK550" s="83" t="s">
        <v>151</v>
      </c>
      <c r="GVL550" s="83" t="s">
        <v>151</v>
      </c>
      <c r="GVM550" s="83" t="s">
        <v>151</v>
      </c>
      <c r="GVN550" s="83" t="s">
        <v>151</v>
      </c>
      <c r="GVO550" s="83" t="s">
        <v>151</v>
      </c>
      <c r="GVP550" s="83" t="s">
        <v>151</v>
      </c>
      <c r="GVQ550" s="83" t="s">
        <v>151</v>
      </c>
      <c r="GVR550" s="83" t="s">
        <v>151</v>
      </c>
      <c r="GVS550" s="83" t="s">
        <v>151</v>
      </c>
      <c r="GVT550" s="83" t="s">
        <v>151</v>
      </c>
      <c r="GVU550" s="83" t="s">
        <v>151</v>
      </c>
      <c r="GVV550" s="83" t="s">
        <v>151</v>
      </c>
      <c r="GVW550" s="83" t="s">
        <v>151</v>
      </c>
      <c r="GVX550" s="83" t="s">
        <v>151</v>
      </c>
      <c r="GVY550" s="83" t="s">
        <v>151</v>
      </c>
      <c r="GVZ550" s="83" t="s">
        <v>151</v>
      </c>
      <c r="GWA550" s="83" t="s">
        <v>151</v>
      </c>
      <c r="GWB550" s="83" t="s">
        <v>151</v>
      </c>
      <c r="GWC550" s="83" t="s">
        <v>151</v>
      </c>
      <c r="GWD550" s="83" t="s">
        <v>151</v>
      </c>
      <c r="GWE550" s="83" t="s">
        <v>151</v>
      </c>
      <c r="GWF550" s="83" t="s">
        <v>151</v>
      </c>
      <c r="GWG550" s="83" t="s">
        <v>151</v>
      </c>
      <c r="GWH550" s="83" t="s">
        <v>151</v>
      </c>
      <c r="GWI550" s="83" t="s">
        <v>151</v>
      </c>
      <c r="GWJ550" s="83" t="s">
        <v>151</v>
      </c>
      <c r="GWK550" s="83" t="s">
        <v>151</v>
      </c>
      <c r="GWL550" s="83" t="s">
        <v>151</v>
      </c>
      <c r="GWM550" s="83" t="s">
        <v>151</v>
      </c>
      <c r="GWN550" s="83" t="s">
        <v>151</v>
      </c>
      <c r="GWO550" s="83" t="s">
        <v>151</v>
      </c>
      <c r="GWP550" s="83" t="s">
        <v>151</v>
      </c>
      <c r="GWQ550" s="83" t="s">
        <v>151</v>
      </c>
      <c r="GWR550" s="83" t="s">
        <v>151</v>
      </c>
      <c r="GWS550" s="83" t="s">
        <v>151</v>
      </c>
      <c r="GWT550" s="83" t="s">
        <v>151</v>
      </c>
      <c r="GWU550" s="83" t="s">
        <v>151</v>
      </c>
      <c r="GWV550" s="83" t="s">
        <v>151</v>
      </c>
      <c r="GWW550" s="83" t="s">
        <v>151</v>
      </c>
      <c r="GWX550" s="83" t="s">
        <v>151</v>
      </c>
      <c r="GWY550" s="83" t="s">
        <v>151</v>
      </c>
      <c r="GWZ550" s="83" t="s">
        <v>151</v>
      </c>
      <c r="GXA550" s="83" t="s">
        <v>151</v>
      </c>
      <c r="GXB550" s="83" t="s">
        <v>151</v>
      </c>
      <c r="GXC550" s="83" t="s">
        <v>151</v>
      </c>
      <c r="GXD550" s="83" t="s">
        <v>151</v>
      </c>
      <c r="GXE550" s="83" t="s">
        <v>151</v>
      </c>
      <c r="GXF550" s="83" t="s">
        <v>151</v>
      </c>
      <c r="GXG550" s="83" t="s">
        <v>151</v>
      </c>
      <c r="GXH550" s="83" t="s">
        <v>151</v>
      </c>
      <c r="GXI550" s="83" t="s">
        <v>151</v>
      </c>
      <c r="GXJ550" s="83" t="s">
        <v>151</v>
      </c>
      <c r="GXK550" s="83" t="s">
        <v>151</v>
      </c>
      <c r="GXL550" s="83" t="s">
        <v>151</v>
      </c>
      <c r="GXM550" s="83" t="s">
        <v>151</v>
      </c>
      <c r="GXN550" s="83" t="s">
        <v>151</v>
      </c>
      <c r="GXO550" s="83" t="s">
        <v>151</v>
      </c>
      <c r="GXP550" s="83" t="s">
        <v>151</v>
      </c>
      <c r="GXQ550" s="83" t="s">
        <v>151</v>
      </c>
      <c r="GXR550" s="83" t="s">
        <v>151</v>
      </c>
      <c r="GXS550" s="83" t="s">
        <v>151</v>
      </c>
      <c r="GXT550" s="83" t="s">
        <v>151</v>
      </c>
      <c r="GXU550" s="83" t="s">
        <v>151</v>
      </c>
      <c r="GXV550" s="83" t="s">
        <v>151</v>
      </c>
      <c r="GXW550" s="83" t="s">
        <v>151</v>
      </c>
      <c r="GXX550" s="83" t="s">
        <v>151</v>
      </c>
      <c r="GXY550" s="83" t="s">
        <v>151</v>
      </c>
      <c r="GXZ550" s="83" t="s">
        <v>151</v>
      </c>
      <c r="GYA550" s="83" t="s">
        <v>151</v>
      </c>
      <c r="GYB550" s="83" t="s">
        <v>151</v>
      </c>
      <c r="GYC550" s="83" t="s">
        <v>151</v>
      </c>
      <c r="GYD550" s="83" t="s">
        <v>151</v>
      </c>
      <c r="GYE550" s="83" t="s">
        <v>151</v>
      </c>
      <c r="GYF550" s="83" t="s">
        <v>151</v>
      </c>
      <c r="GYG550" s="83" t="s">
        <v>151</v>
      </c>
      <c r="GYH550" s="83" t="s">
        <v>151</v>
      </c>
      <c r="GYI550" s="83" t="s">
        <v>151</v>
      </c>
      <c r="GYJ550" s="83" t="s">
        <v>151</v>
      </c>
      <c r="GYK550" s="83" t="s">
        <v>151</v>
      </c>
      <c r="GYL550" s="83" t="s">
        <v>151</v>
      </c>
      <c r="GYM550" s="83" t="s">
        <v>151</v>
      </c>
      <c r="GYN550" s="83" t="s">
        <v>151</v>
      </c>
      <c r="GYO550" s="83" t="s">
        <v>151</v>
      </c>
      <c r="GYP550" s="83" t="s">
        <v>151</v>
      </c>
      <c r="GYQ550" s="83" t="s">
        <v>151</v>
      </c>
      <c r="GYR550" s="83" t="s">
        <v>151</v>
      </c>
      <c r="GYS550" s="83" t="s">
        <v>151</v>
      </c>
      <c r="GYT550" s="83" t="s">
        <v>151</v>
      </c>
      <c r="GYU550" s="83" t="s">
        <v>151</v>
      </c>
      <c r="GYV550" s="83" t="s">
        <v>151</v>
      </c>
      <c r="GYW550" s="83" t="s">
        <v>151</v>
      </c>
      <c r="GYX550" s="83" t="s">
        <v>151</v>
      </c>
      <c r="GYY550" s="83" t="s">
        <v>151</v>
      </c>
      <c r="GYZ550" s="83" t="s">
        <v>151</v>
      </c>
      <c r="GZA550" s="83" t="s">
        <v>151</v>
      </c>
      <c r="GZB550" s="83" t="s">
        <v>151</v>
      </c>
      <c r="GZC550" s="83" t="s">
        <v>151</v>
      </c>
      <c r="GZD550" s="83" t="s">
        <v>151</v>
      </c>
      <c r="GZE550" s="83" t="s">
        <v>151</v>
      </c>
      <c r="GZF550" s="83" t="s">
        <v>151</v>
      </c>
      <c r="GZG550" s="83" t="s">
        <v>151</v>
      </c>
      <c r="GZH550" s="83" t="s">
        <v>151</v>
      </c>
      <c r="GZI550" s="83" t="s">
        <v>151</v>
      </c>
      <c r="GZJ550" s="83" t="s">
        <v>151</v>
      </c>
      <c r="GZK550" s="83" t="s">
        <v>151</v>
      </c>
      <c r="GZL550" s="83" t="s">
        <v>151</v>
      </c>
      <c r="GZM550" s="83" t="s">
        <v>151</v>
      </c>
      <c r="GZN550" s="83" t="s">
        <v>151</v>
      </c>
      <c r="GZO550" s="83" t="s">
        <v>151</v>
      </c>
      <c r="GZP550" s="83" t="s">
        <v>151</v>
      </c>
      <c r="GZQ550" s="83" t="s">
        <v>151</v>
      </c>
      <c r="GZR550" s="83" t="s">
        <v>151</v>
      </c>
      <c r="GZS550" s="83" t="s">
        <v>151</v>
      </c>
      <c r="GZT550" s="83" t="s">
        <v>151</v>
      </c>
      <c r="GZU550" s="83" t="s">
        <v>151</v>
      </c>
      <c r="GZV550" s="83" t="s">
        <v>151</v>
      </c>
      <c r="GZW550" s="83" t="s">
        <v>151</v>
      </c>
      <c r="GZX550" s="83" t="s">
        <v>151</v>
      </c>
      <c r="GZY550" s="83" t="s">
        <v>151</v>
      </c>
      <c r="GZZ550" s="83" t="s">
        <v>151</v>
      </c>
      <c r="HAA550" s="83" t="s">
        <v>151</v>
      </c>
      <c r="HAB550" s="83" t="s">
        <v>151</v>
      </c>
      <c r="HAC550" s="83" t="s">
        <v>151</v>
      </c>
      <c r="HAD550" s="83" t="s">
        <v>151</v>
      </c>
      <c r="HAE550" s="83" t="s">
        <v>151</v>
      </c>
      <c r="HAF550" s="83" t="s">
        <v>151</v>
      </c>
      <c r="HAG550" s="83" t="s">
        <v>151</v>
      </c>
      <c r="HAH550" s="83" t="s">
        <v>151</v>
      </c>
      <c r="HAI550" s="83" t="s">
        <v>151</v>
      </c>
      <c r="HAJ550" s="83" t="s">
        <v>151</v>
      </c>
      <c r="HAK550" s="83" t="s">
        <v>151</v>
      </c>
      <c r="HAL550" s="83" t="s">
        <v>151</v>
      </c>
      <c r="HAM550" s="83" t="s">
        <v>151</v>
      </c>
      <c r="HAN550" s="83" t="s">
        <v>151</v>
      </c>
      <c r="HAO550" s="83" t="s">
        <v>151</v>
      </c>
      <c r="HAP550" s="83" t="s">
        <v>151</v>
      </c>
      <c r="HAQ550" s="83" t="s">
        <v>151</v>
      </c>
      <c r="HAR550" s="83" t="s">
        <v>151</v>
      </c>
      <c r="HAS550" s="83" t="s">
        <v>151</v>
      </c>
      <c r="HAT550" s="83" t="s">
        <v>151</v>
      </c>
      <c r="HAU550" s="83" t="s">
        <v>151</v>
      </c>
      <c r="HAV550" s="83" t="s">
        <v>151</v>
      </c>
      <c r="HAW550" s="83" t="s">
        <v>151</v>
      </c>
      <c r="HAX550" s="83" t="s">
        <v>151</v>
      </c>
      <c r="HAY550" s="83" t="s">
        <v>151</v>
      </c>
      <c r="HAZ550" s="83" t="s">
        <v>151</v>
      </c>
      <c r="HBA550" s="83" t="s">
        <v>151</v>
      </c>
      <c r="HBB550" s="83" t="s">
        <v>151</v>
      </c>
      <c r="HBC550" s="83" t="s">
        <v>151</v>
      </c>
      <c r="HBD550" s="83" t="s">
        <v>151</v>
      </c>
      <c r="HBE550" s="83" t="s">
        <v>151</v>
      </c>
      <c r="HBF550" s="83" t="s">
        <v>151</v>
      </c>
      <c r="HBG550" s="83" t="s">
        <v>151</v>
      </c>
      <c r="HBH550" s="83" t="s">
        <v>151</v>
      </c>
      <c r="HBI550" s="83" t="s">
        <v>151</v>
      </c>
      <c r="HBJ550" s="83" t="s">
        <v>151</v>
      </c>
      <c r="HBK550" s="83" t="s">
        <v>151</v>
      </c>
      <c r="HBL550" s="83" t="s">
        <v>151</v>
      </c>
      <c r="HBM550" s="83" t="s">
        <v>151</v>
      </c>
      <c r="HBN550" s="83" t="s">
        <v>151</v>
      </c>
      <c r="HBO550" s="83" t="s">
        <v>151</v>
      </c>
      <c r="HBP550" s="83" t="s">
        <v>151</v>
      </c>
      <c r="HBQ550" s="83" t="s">
        <v>151</v>
      </c>
      <c r="HBR550" s="83" t="s">
        <v>151</v>
      </c>
      <c r="HBS550" s="83" t="s">
        <v>151</v>
      </c>
      <c r="HBT550" s="83" t="s">
        <v>151</v>
      </c>
      <c r="HBU550" s="83" t="s">
        <v>151</v>
      </c>
      <c r="HBV550" s="83" t="s">
        <v>151</v>
      </c>
      <c r="HBW550" s="83" t="s">
        <v>151</v>
      </c>
      <c r="HBX550" s="83" t="s">
        <v>151</v>
      </c>
      <c r="HBY550" s="83" t="s">
        <v>151</v>
      </c>
      <c r="HBZ550" s="83" t="s">
        <v>151</v>
      </c>
      <c r="HCA550" s="83" t="s">
        <v>151</v>
      </c>
      <c r="HCB550" s="83" t="s">
        <v>151</v>
      </c>
      <c r="HCC550" s="83" t="s">
        <v>151</v>
      </c>
      <c r="HCD550" s="83" t="s">
        <v>151</v>
      </c>
      <c r="HCE550" s="83" t="s">
        <v>151</v>
      </c>
      <c r="HCF550" s="83" t="s">
        <v>151</v>
      </c>
      <c r="HCG550" s="83" t="s">
        <v>151</v>
      </c>
      <c r="HCH550" s="83" t="s">
        <v>151</v>
      </c>
      <c r="HCI550" s="83" t="s">
        <v>151</v>
      </c>
      <c r="HCJ550" s="83" t="s">
        <v>151</v>
      </c>
      <c r="HCK550" s="83" t="s">
        <v>151</v>
      </c>
      <c r="HCL550" s="83" t="s">
        <v>151</v>
      </c>
      <c r="HCM550" s="83" t="s">
        <v>151</v>
      </c>
      <c r="HCN550" s="83" t="s">
        <v>151</v>
      </c>
      <c r="HCO550" s="83" t="s">
        <v>151</v>
      </c>
      <c r="HCP550" s="83" t="s">
        <v>151</v>
      </c>
      <c r="HCQ550" s="83" t="s">
        <v>151</v>
      </c>
      <c r="HCR550" s="83" t="s">
        <v>151</v>
      </c>
      <c r="HCS550" s="83" t="s">
        <v>151</v>
      </c>
      <c r="HCT550" s="83" t="s">
        <v>151</v>
      </c>
      <c r="HCU550" s="83" t="s">
        <v>151</v>
      </c>
      <c r="HCV550" s="83" t="s">
        <v>151</v>
      </c>
      <c r="HCW550" s="83" t="s">
        <v>151</v>
      </c>
      <c r="HCX550" s="83" t="s">
        <v>151</v>
      </c>
      <c r="HCY550" s="83" t="s">
        <v>151</v>
      </c>
      <c r="HCZ550" s="83" t="s">
        <v>151</v>
      </c>
      <c r="HDA550" s="83" t="s">
        <v>151</v>
      </c>
      <c r="HDB550" s="83" t="s">
        <v>151</v>
      </c>
      <c r="HDC550" s="83" t="s">
        <v>151</v>
      </c>
      <c r="HDD550" s="83" t="s">
        <v>151</v>
      </c>
      <c r="HDE550" s="83" t="s">
        <v>151</v>
      </c>
      <c r="HDF550" s="83" t="s">
        <v>151</v>
      </c>
      <c r="HDG550" s="83" t="s">
        <v>151</v>
      </c>
      <c r="HDH550" s="83" t="s">
        <v>151</v>
      </c>
      <c r="HDI550" s="83" t="s">
        <v>151</v>
      </c>
      <c r="HDJ550" s="83" t="s">
        <v>151</v>
      </c>
      <c r="HDK550" s="83" t="s">
        <v>151</v>
      </c>
      <c r="HDL550" s="83" t="s">
        <v>151</v>
      </c>
      <c r="HDM550" s="83" t="s">
        <v>151</v>
      </c>
      <c r="HDN550" s="83" t="s">
        <v>151</v>
      </c>
      <c r="HDO550" s="83" t="s">
        <v>151</v>
      </c>
      <c r="HDP550" s="83" t="s">
        <v>151</v>
      </c>
      <c r="HDQ550" s="83" t="s">
        <v>151</v>
      </c>
      <c r="HDR550" s="83" t="s">
        <v>151</v>
      </c>
      <c r="HDS550" s="83" t="s">
        <v>151</v>
      </c>
      <c r="HDT550" s="83" t="s">
        <v>151</v>
      </c>
      <c r="HDU550" s="83" t="s">
        <v>151</v>
      </c>
      <c r="HDV550" s="83" t="s">
        <v>151</v>
      </c>
      <c r="HDW550" s="83" t="s">
        <v>151</v>
      </c>
      <c r="HDX550" s="83" t="s">
        <v>151</v>
      </c>
      <c r="HDY550" s="83" t="s">
        <v>151</v>
      </c>
      <c r="HDZ550" s="83" t="s">
        <v>151</v>
      </c>
      <c r="HEA550" s="83" t="s">
        <v>151</v>
      </c>
      <c r="HEB550" s="83" t="s">
        <v>151</v>
      </c>
      <c r="HEC550" s="83" t="s">
        <v>151</v>
      </c>
      <c r="HED550" s="83" t="s">
        <v>151</v>
      </c>
      <c r="HEE550" s="83" t="s">
        <v>151</v>
      </c>
      <c r="HEF550" s="83" t="s">
        <v>151</v>
      </c>
      <c r="HEG550" s="83" t="s">
        <v>151</v>
      </c>
      <c r="HEH550" s="83" t="s">
        <v>151</v>
      </c>
      <c r="HEI550" s="83" t="s">
        <v>151</v>
      </c>
      <c r="HEJ550" s="83" t="s">
        <v>151</v>
      </c>
      <c r="HEK550" s="83" t="s">
        <v>151</v>
      </c>
      <c r="HEL550" s="83" t="s">
        <v>151</v>
      </c>
      <c r="HEM550" s="83" t="s">
        <v>151</v>
      </c>
      <c r="HEN550" s="83" t="s">
        <v>151</v>
      </c>
      <c r="HEO550" s="83" t="s">
        <v>151</v>
      </c>
      <c r="HEP550" s="83" t="s">
        <v>151</v>
      </c>
      <c r="HEQ550" s="83" t="s">
        <v>151</v>
      </c>
      <c r="HER550" s="83" t="s">
        <v>151</v>
      </c>
      <c r="HES550" s="83" t="s">
        <v>151</v>
      </c>
      <c r="HET550" s="83" t="s">
        <v>151</v>
      </c>
      <c r="HEU550" s="83" t="s">
        <v>151</v>
      </c>
      <c r="HEV550" s="83" t="s">
        <v>151</v>
      </c>
      <c r="HEW550" s="83" t="s">
        <v>151</v>
      </c>
      <c r="HEX550" s="83" t="s">
        <v>151</v>
      </c>
      <c r="HEY550" s="83" t="s">
        <v>151</v>
      </c>
      <c r="HEZ550" s="83" t="s">
        <v>151</v>
      </c>
      <c r="HFA550" s="83" t="s">
        <v>151</v>
      </c>
      <c r="HFB550" s="83" t="s">
        <v>151</v>
      </c>
      <c r="HFC550" s="83" t="s">
        <v>151</v>
      </c>
      <c r="HFD550" s="83" t="s">
        <v>151</v>
      </c>
      <c r="HFE550" s="83" t="s">
        <v>151</v>
      </c>
      <c r="HFF550" s="83" t="s">
        <v>151</v>
      </c>
      <c r="HFG550" s="83" t="s">
        <v>151</v>
      </c>
      <c r="HFH550" s="83" t="s">
        <v>151</v>
      </c>
      <c r="HFI550" s="83" t="s">
        <v>151</v>
      </c>
      <c r="HFJ550" s="83" t="s">
        <v>151</v>
      </c>
      <c r="HFK550" s="83" t="s">
        <v>151</v>
      </c>
      <c r="HFL550" s="83" t="s">
        <v>151</v>
      </c>
      <c r="HFM550" s="83" t="s">
        <v>151</v>
      </c>
      <c r="HFN550" s="83" t="s">
        <v>151</v>
      </c>
      <c r="HFO550" s="83" t="s">
        <v>151</v>
      </c>
      <c r="HFP550" s="83" t="s">
        <v>151</v>
      </c>
      <c r="HFQ550" s="83" t="s">
        <v>151</v>
      </c>
      <c r="HFR550" s="83" t="s">
        <v>151</v>
      </c>
      <c r="HFS550" s="83" t="s">
        <v>151</v>
      </c>
      <c r="HFT550" s="83" t="s">
        <v>151</v>
      </c>
      <c r="HFU550" s="83" t="s">
        <v>151</v>
      </c>
      <c r="HFV550" s="83" t="s">
        <v>151</v>
      </c>
      <c r="HFW550" s="83" t="s">
        <v>151</v>
      </c>
      <c r="HFX550" s="83" t="s">
        <v>151</v>
      </c>
      <c r="HFY550" s="83" t="s">
        <v>151</v>
      </c>
      <c r="HFZ550" s="83" t="s">
        <v>151</v>
      </c>
      <c r="HGA550" s="83" t="s">
        <v>151</v>
      </c>
      <c r="HGB550" s="83" t="s">
        <v>151</v>
      </c>
      <c r="HGC550" s="83" t="s">
        <v>151</v>
      </c>
      <c r="HGD550" s="83" t="s">
        <v>151</v>
      </c>
      <c r="HGE550" s="83" t="s">
        <v>151</v>
      </c>
      <c r="HGF550" s="83" t="s">
        <v>151</v>
      </c>
      <c r="HGG550" s="83" t="s">
        <v>151</v>
      </c>
      <c r="HGH550" s="83" t="s">
        <v>151</v>
      </c>
      <c r="HGI550" s="83" t="s">
        <v>151</v>
      </c>
      <c r="HGJ550" s="83" t="s">
        <v>151</v>
      </c>
      <c r="HGK550" s="83" t="s">
        <v>151</v>
      </c>
      <c r="HGL550" s="83" t="s">
        <v>151</v>
      </c>
      <c r="HGM550" s="83" t="s">
        <v>151</v>
      </c>
      <c r="HGN550" s="83" t="s">
        <v>151</v>
      </c>
      <c r="HGO550" s="83" t="s">
        <v>151</v>
      </c>
      <c r="HGP550" s="83" t="s">
        <v>151</v>
      </c>
      <c r="HGQ550" s="83" t="s">
        <v>151</v>
      </c>
      <c r="HGR550" s="83" t="s">
        <v>151</v>
      </c>
      <c r="HGS550" s="83" t="s">
        <v>151</v>
      </c>
      <c r="HGT550" s="83" t="s">
        <v>151</v>
      </c>
      <c r="HGU550" s="83" t="s">
        <v>151</v>
      </c>
      <c r="HGV550" s="83" t="s">
        <v>151</v>
      </c>
      <c r="HGW550" s="83" t="s">
        <v>151</v>
      </c>
      <c r="HGX550" s="83" t="s">
        <v>151</v>
      </c>
      <c r="HGY550" s="83" t="s">
        <v>151</v>
      </c>
      <c r="HGZ550" s="83" t="s">
        <v>151</v>
      </c>
      <c r="HHA550" s="83" t="s">
        <v>151</v>
      </c>
      <c r="HHB550" s="83" t="s">
        <v>151</v>
      </c>
      <c r="HHC550" s="83" t="s">
        <v>151</v>
      </c>
      <c r="HHD550" s="83" t="s">
        <v>151</v>
      </c>
      <c r="HHE550" s="83" t="s">
        <v>151</v>
      </c>
      <c r="HHF550" s="83" t="s">
        <v>151</v>
      </c>
      <c r="HHG550" s="83" t="s">
        <v>151</v>
      </c>
      <c r="HHH550" s="83" t="s">
        <v>151</v>
      </c>
      <c r="HHI550" s="83" t="s">
        <v>151</v>
      </c>
      <c r="HHJ550" s="83" t="s">
        <v>151</v>
      </c>
      <c r="HHK550" s="83" t="s">
        <v>151</v>
      </c>
      <c r="HHL550" s="83" t="s">
        <v>151</v>
      </c>
      <c r="HHM550" s="83" t="s">
        <v>151</v>
      </c>
      <c r="HHN550" s="83" t="s">
        <v>151</v>
      </c>
      <c r="HHO550" s="83" t="s">
        <v>151</v>
      </c>
      <c r="HHP550" s="83" t="s">
        <v>151</v>
      </c>
      <c r="HHQ550" s="83" t="s">
        <v>151</v>
      </c>
      <c r="HHR550" s="83" t="s">
        <v>151</v>
      </c>
      <c r="HHS550" s="83" t="s">
        <v>151</v>
      </c>
      <c r="HHT550" s="83" t="s">
        <v>151</v>
      </c>
      <c r="HHU550" s="83" t="s">
        <v>151</v>
      </c>
      <c r="HHV550" s="83" t="s">
        <v>151</v>
      </c>
      <c r="HHW550" s="83" t="s">
        <v>151</v>
      </c>
      <c r="HHX550" s="83" t="s">
        <v>151</v>
      </c>
      <c r="HHY550" s="83" t="s">
        <v>151</v>
      </c>
      <c r="HHZ550" s="83" t="s">
        <v>151</v>
      </c>
      <c r="HIA550" s="83" t="s">
        <v>151</v>
      </c>
      <c r="HIB550" s="83" t="s">
        <v>151</v>
      </c>
      <c r="HIC550" s="83" t="s">
        <v>151</v>
      </c>
      <c r="HID550" s="83" t="s">
        <v>151</v>
      </c>
      <c r="HIE550" s="83" t="s">
        <v>151</v>
      </c>
      <c r="HIF550" s="83" t="s">
        <v>151</v>
      </c>
      <c r="HIG550" s="83" t="s">
        <v>151</v>
      </c>
      <c r="HIH550" s="83" t="s">
        <v>151</v>
      </c>
      <c r="HII550" s="83" t="s">
        <v>151</v>
      </c>
      <c r="HIJ550" s="83" t="s">
        <v>151</v>
      </c>
      <c r="HIK550" s="83" t="s">
        <v>151</v>
      </c>
      <c r="HIL550" s="83" t="s">
        <v>151</v>
      </c>
      <c r="HIM550" s="83" t="s">
        <v>151</v>
      </c>
      <c r="HIN550" s="83" t="s">
        <v>151</v>
      </c>
      <c r="HIO550" s="83" t="s">
        <v>151</v>
      </c>
      <c r="HIP550" s="83" t="s">
        <v>151</v>
      </c>
      <c r="HIQ550" s="83" t="s">
        <v>151</v>
      </c>
      <c r="HIR550" s="83" t="s">
        <v>151</v>
      </c>
      <c r="HIS550" s="83" t="s">
        <v>151</v>
      </c>
      <c r="HIT550" s="83" t="s">
        <v>151</v>
      </c>
      <c r="HIU550" s="83" t="s">
        <v>151</v>
      </c>
      <c r="HIV550" s="83" t="s">
        <v>151</v>
      </c>
      <c r="HIW550" s="83" t="s">
        <v>151</v>
      </c>
      <c r="HIX550" s="83" t="s">
        <v>151</v>
      </c>
      <c r="HIY550" s="83" t="s">
        <v>151</v>
      </c>
      <c r="HIZ550" s="83" t="s">
        <v>151</v>
      </c>
      <c r="HJA550" s="83" t="s">
        <v>151</v>
      </c>
      <c r="HJB550" s="83" t="s">
        <v>151</v>
      </c>
      <c r="HJC550" s="83" t="s">
        <v>151</v>
      </c>
      <c r="HJD550" s="83" t="s">
        <v>151</v>
      </c>
      <c r="HJE550" s="83" t="s">
        <v>151</v>
      </c>
      <c r="HJF550" s="83" t="s">
        <v>151</v>
      </c>
      <c r="HJG550" s="83" t="s">
        <v>151</v>
      </c>
      <c r="HJH550" s="83" t="s">
        <v>151</v>
      </c>
      <c r="HJI550" s="83" t="s">
        <v>151</v>
      </c>
      <c r="HJJ550" s="83" t="s">
        <v>151</v>
      </c>
      <c r="HJK550" s="83" t="s">
        <v>151</v>
      </c>
      <c r="HJL550" s="83" t="s">
        <v>151</v>
      </c>
      <c r="HJM550" s="83" t="s">
        <v>151</v>
      </c>
      <c r="HJN550" s="83" t="s">
        <v>151</v>
      </c>
      <c r="HJO550" s="83" t="s">
        <v>151</v>
      </c>
      <c r="HJP550" s="83" t="s">
        <v>151</v>
      </c>
      <c r="HJQ550" s="83" t="s">
        <v>151</v>
      </c>
      <c r="HJR550" s="83" t="s">
        <v>151</v>
      </c>
      <c r="HJS550" s="83" t="s">
        <v>151</v>
      </c>
      <c r="HJT550" s="83" t="s">
        <v>151</v>
      </c>
      <c r="HJU550" s="83" t="s">
        <v>151</v>
      </c>
      <c r="HJV550" s="83" t="s">
        <v>151</v>
      </c>
      <c r="HJW550" s="83" t="s">
        <v>151</v>
      </c>
      <c r="HJX550" s="83" t="s">
        <v>151</v>
      </c>
      <c r="HJY550" s="83" t="s">
        <v>151</v>
      </c>
      <c r="HJZ550" s="83" t="s">
        <v>151</v>
      </c>
      <c r="HKA550" s="83" t="s">
        <v>151</v>
      </c>
      <c r="HKB550" s="83" t="s">
        <v>151</v>
      </c>
      <c r="HKC550" s="83" t="s">
        <v>151</v>
      </c>
      <c r="HKD550" s="83" t="s">
        <v>151</v>
      </c>
      <c r="HKE550" s="83" t="s">
        <v>151</v>
      </c>
      <c r="HKF550" s="83" t="s">
        <v>151</v>
      </c>
      <c r="HKG550" s="83" t="s">
        <v>151</v>
      </c>
      <c r="HKH550" s="83" t="s">
        <v>151</v>
      </c>
      <c r="HKI550" s="83" t="s">
        <v>151</v>
      </c>
      <c r="HKJ550" s="83" t="s">
        <v>151</v>
      </c>
      <c r="HKK550" s="83" t="s">
        <v>151</v>
      </c>
      <c r="HKL550" s="83" t="s">
        <v>151</v>
      </c>
      <c r="HKM550" s="83" t="s">
        <v>151</v>
      </c>
      <c r="HKN550" s="83" t="s">
        <v>151</v>
      </c>
      <c r="HKO550" s="83" t="s">
        <v>151</v>
      </c>
      <c r="HKP550" s="83" t="s">
        <v>151</v>
      </c>
      <c r="HKQ550" s="83" t="s">
        <v>151</v>
      </c>
      <c r="HKR550" s="83" t="s">
        <v>151</v>
      </c>
      <c r="HKS550" s="83" t="s">
        <v>151</v>
      </c>
      <c r="HKT550" s="83" t="s">
        <v>151</v>
      </c>
      <c r="HKU550" s="83" t="s">
        <v>151</v>
      </c>
      <c r="HKV550" s="83" t="s">
        <v>151</v>
      </c>
      <c r="HKW550" s="83" t="s">
        <v>151</v>
      </c>
      <c r="HKX550" s="83" t="s">
        <v>151</v>
      </c>
      <c r="HKY550" s="83" t="s">
        <v>151</v>
      </c>
      <c r="HKZ550" s="83" t="s">
        <v>151</v>
      </c>
      <c r="HLA550" s="83" t="s">
        <v>151</v>
      </c>
      <c r="HLB550" s="83" t="s">
        <v>151</v>
      </c>
      <c r="HLC550" s="83" t="s">
        <v>151</v>
      </c>
      <c r="HLD550" s="83" t="s">
        <v>151</v>
      </c>
      <c r="HLE550" s="83" t="s">
        <v>151</v>
      </c>
      <c r="HLF550" s="83" t="s">
        <v>151</v>
      </c>
      <c r="HLG550" s="83" t="s">
        <v>151</v>
      </c>
      <c r="HLH550" s="83" t="s">
        <v>151</v>
      </c>
      <c r="HLI550" s="83" t="s">
        <v>151</v>
      </c>
      <c r="HLJ550" s="83" t="s">
        <v>151</v>
      </c>
      <c r="HLK550" s="83" t="s">
        <v>151</v>
      </c>
      <c r="HLL550" s="83" t="s">
        <v>151</v>
      </c>
      <c r="HLM550" s="83" t="s">
        <v>151</v>
      </c>
      <c r="HLN550" s="83" t="s">
        <v>151</v>
      </c>
      <c r="HLO550" s="83" t="s">
        <v>151</v>
      </c>
      <c r="HLP550" s="83" t="s">
        <v>151</v>
      </c>
      <c r="HLQ550" s="83" t="s">
        <v>151</v>
      </c>
      <c r="HLR550" s="83" t="s">
        <v>151</v>
      </c>
      <c r="HLS550" s="83" t="s">
        <v>151</v>
      </c>
      <c r="HLT550" s="83" t="s">
        <v>151</v>
      </c>
      <c r="HLU550" s="83" t="s">
        <v>151</v>
      </c>
      <c r="HLV550" s="83" t="s">
        <v>151</v>
      </c>
      <c r="HLW550" s="83" t="s">
        <v>151</v>
      </c>
      <c r="HLX550" s="83" t="s">
        <v>151</v>
      </c>
      <c r="HLY550" s="83" t="s">
        <v>151</v>
      </c>
      <c r="HLZ550" s="83" t="s">
        <v>151</v>
      </c>
      <c r="HMA550" s="83" t="s">
        <v>151</v>
      </c>
      <c r="HMB550" s="83" t="s">
        <v>151</v>
      </c>
      <c r="HMC550" s="83" t="s">
        <v>151</v>
      </c>
      <c r="HMD550" s="83" t="s">
        <v>151</v>
      </c>
      <c r="HME550" s="83" t="s">
        <v>151</v>
      </c>
      <c r="HMF550" s="83" t="s">
        <v>151</v>
      </c>
      <c r="HMG550" s="83" t="s">
        <v>151</v>
      </c>
      <c r="HMH550" s="83" t="s">
        <v>151</v>
      </c>
      <c r="HMI550" s="83" t="s">
        <v>151</v>
      </c>
      <c r="HMJ550" s="83" t="s">
        <v>151</v>
      </c>
      <c r="HMK550" s="83" t="s">
        <v>151</v>
      </c>
      <c r="HML550" s="83" t="s">
        <v>151</v>
      </c>
      <c r="HMM550" s="83" t="s">
        <v>151</v>
      </c>
      <c r="HMN550" s="83" t="s">
        <v>151</v>
      </c>
      <c r="HMO550" s="83" t="s">
        <v>151</v>
      </c>
      <c r="HMP550" s="83" t="s">
        <v>151</v>
      </c>
      <c r="HMQ550" s="83" t="s">
        <v>151</v>
      </c>
      <c r="HMR550" s="83" t="s">
        <v>151</v>
      </c>
      <c r="HMS550" s="83" t="s">
        <v>151</v>
      </c>
      <c r="HMT550" s="83" t="s">
        <v>151</v>
      </c>
      <c r="HMU550" s="83" t="s">
        <v>151</v>
      </c>
      <c r="HMV550" s="83" t="s">
        <v>151</v>
      </c>
      <c r="HMW550" s="83" t="s">
        <v>151</v>
      </c>
      <c r="HMX550" s="83" t="s">
        <v>151</v>
      </c>
      <c r="HMY550" s="83" t="s">
        <v>151</v>
      </c>
      <c r="HMZ550" s="83" t="s">
        <v>151</v>
      </c>
      <c r="HNA550" s="83" t="s">
        <v>151</v>
      </c>
      <c r="HNB550" s="83" t="s">
        <v>151</v>
      </c>
      <c r="HNC550" s="83" t="s">
        <v>151</v>
      </c>
      <c r="HND550" s="83" t="s">
        <v>151</v>
      </c>
      <c r="HNE550" s="83" t="s">
        <v>151</v>
      </c>
      <c r="HNF550" s="83" t="s">
        <v>151</v>
      </c>
      <c r="HNG550" s="83" t="s">
        <v>151</v>
      </c>
      <c r="HNH550" s="83" t="s">
        <v>151</v>
      </c>
      <c r="HNI550" s="83" t="s">
        <v>151</v>
      </c>
      <c r="HNJ550" s="83" t="s">
        <v>151</v>
      </c>
      <c r="HNK550" s="83" t="s">
        <v>151</v>
      </c>
      <c r="HNL550" s="83" t="s">
        <v>151</v>
      </c>
      <c r="HNM550" s="83" t="s">
        <v>151</v>
      </c>
      <c r="HNN550" s="83" t="s">
        <v>151</v>
      </c>
      <c r="HNO550" s="83" t="s">
        <v>151</v>
      </c>
      <c r="HNP550" s="83" t="s">
        <v>151</v>
      </c>
      <c r="HNQ550" s="83" t="s">
        <v>151</v>
      </c>
      <c r="HNR550" s="83" t="s">
        <v>151</v>
      </c>
      <c r="HNS550" s="83" t="s">
        <v>151</v>
      </c>
      <c r="HNT550" s="83" t="s">
        <v>151</v>
      </c>
      <c r="HNU550" s="83" t="s">
        <v>151</v>
      </c>
      <c r="HNV550" s="83" t="s">
        <v>151</v>
      </c>
      <c r="HNW550" s="83" t="s">
        <v>151</v>
      </c>
      <c r="HNX550" s="83" t="s">
        <v>151</v>
      </c>
      <c r="HNY550" s="83" t="s">
        <v>151</v>
      </c>
      <c r="HNZ550" s="83" t="s">
        <v>151</v>
      </c>
      <c r="HOA550" s="83" t="s">
        <v>151</v>
      </c>
      <c r="HOB550" s="83" t="s">
        <v>151</v>
      </c>
      <c r="HOC550" s="83" t="s">
        <v>151</v>
      </c>
      <c r="HOD550" s="83" t="s">
        <v>151</v>
      </c>
      <c r="HOE550" s="83" t="s">
        <v>151</v>
      </c>
      <c r="HOF550" s="83" t="s">
        <v>151</v>
      </c>
      <c r="HOG550" s="83" t="s">
        <v>151</v>
      </c>
      <c r="HOH550" s="83" t="s">
        <v>151</v>
      </c>
      <c r="HOI550" s="83" t="s">
        <v>151</v>
      </c>
      <c r="HOJ550" s="83" t="s">
        <v>151</v>
      </c>
      <c r="HOK550" s="83" t="s">
        <v>151</v>
      </c>
      <c r="HOL550" s="83" t="s">
        <v>151</v>
      </c>
      <c r="HOM550" s="83" t="s">
        <v>151</v>
      </c>
      <c r="HON550" s="83" t="s">
        <v>151</v>
      </c>
      <c r="HOO550" s="83" t="s">
        <v>151</v>
      </c>
      <c r="HOP550" s="83" t="s">
        <v>151</v>
      </c>
      <c r="HOQ550" s="83" t="s">
        <v>151</v>
      </c>
      <c r="HOR550" s="83" t="s">
        <v>151</v>
      </c>
      <c r="HOS550" s="83" t="s">
        <v>151</v>
      </c>
      <c r="HOT550" s="83" t="s">
        <v>151</v>
      </c>
      <c r="HOU550" s="83" t="s">
        <v>151</v>
      </c>
      <c r="HOV550" s="83" t="s">
        <v>151</v>
      </c>
      <c r="HOW550" s="83" t="s">
        <v>151</v>
      </c>
      <c r="HOX550" s="83" t="s">
        <v>151</v>
      </c>
      <c r="HOY550" s="83" t="s">
        <v>151</v>
      </c>
      <c r="HOZ550" s="83" t="s">
        <v>151</v>
      </c>
      <c r="HPA550" s="83" t="s">
        <v>151</v>
      </c>
      <c r="HPB550" s="83" t="s">
        <v>151</v>
      </c>
      <c r="HPC550" s="83" t="s">
        <v>151</v>
      </c>
      <c r="HPD550" s="83" t="s">
        <v>151</v>
      </c>
      <c r="HPE550" s="83" t="s">
        <v>151</v>
      </c>
      <c r="HPF550" s="83" t="s">
        <v>151</v>
      </c>
      <c r="HPG550" s="83" t="s">
        <v>151</v>
      </c>
      <c r="HPH550" s="83" t="s">
        <v>151</v>
      </c>
      <c r="HPI550" s="83" t="s">
        <v>151</v>
      </c>
      <c r="HPJ550" s="83" t="s">
        <v>151</v>
      </c>
      <c r="HPK550" s="83" t="s">
        <v>151</v>
      </c>
      <c r="HPL550" s="83" t="s">
        <v>151</v>
      </c>
      <c r="HPM550" s="83" t="s">
        <v>151</v>
      </c>
      <c r="HPN550" s="83" t="s">
        <v>151</v>
      </c>
      <c r="HPO550" s="83" t="s">
        <v>151</v>
      </c>
      <c r="HPP550" s="83" t="s">
        <v>151</v>
      </c>
      <c r="HPQ550" s="83" t="s">
        <v>151</v>
      </c>
      <c r="HPR550" s="83" t="s">
        <v>151</v>
      </c>
      <c r="HPS550" s="83" t="s">
        <v>151</v>
      </c>
      <c r="HPT550" s="83" t="s">
        <v>151</v>
      </c>
      <c r="HPU550" s="83" t="s">
        <v>151</v>
      </c>
      <c r="HPV550" s="83" t="s">
        <v>151</v>
      </c>
      <c r="HPW550" s="83" t="s">
        <v>151</v>
      </c>
      <c r="HPX550" s="83" t="s">
        <v>151</v>
      </c>
      <c r="HPY550" s="83" t="s">
        <v>151</v>
      </c>
      <c r="HPZ550" s="83" t="s">
        <v>151</v>
      </c>
      <c r="HQA550" s="83" t="s">
        <v>151</v>
      </c>
      <c r="HQB550" s="83" t="s">
        <v>151</v>
      </c>
      <c r="HQC550" s="83" t="s">
        <v>151</v>
      </c>
      <c r="HQD550" s="83" t="s">
        <v>151</v>
      </c>
      <c r="HQE550" s="83" t="s">
        <v>151</v>
      </c>
      <c r="HQF550" s="83" t="s">
        <v>151</v>
      </c>
      <c r="HQG550" s="83" t="s">
        <v>151</v>
      </c>
      <c r="HQH550" s="83" t="s">
        <v>151</v>
      </c>
      <c r="HQI550" s="83" t="s">
        <v>151</v>
      </c>
      <c r="HQJ550" s="83" t="s">
        <v>151</v>
      </c>
      <c r="HQK550" s="83" t="s">
        <v>151</v>
      </c>
      <c r="HQL550" s="83" t="s">
        <v>151</v>
      </c>
      <c r="HQM550" s="83" t="s">
        <v>151</v>
      </c>
      <c r="HQN550" s="83" t="s">
        <v>151</v>
      </c>
      <c r="HQO550" s="83" t="s">
        <v>151</v>
      </c>
      <c r="HQP550" s="83" t="s">
        <v>151</v>
      </c>
      <c r="HQQ550" s="83" t="s">
        <v>151</v>
      </c>
      <c r="HQR550" s="83" t="s">
        <v>151</v>
      </c>
      <c r="HQS550" s="83" t="s">
        <v>151</v>
      </c>
      <c r="HQT550" s="83" t="s">
        <v>151</v>
      </c>
      <c r="HQU550" s="83" t="s">
        <v>151</v>
      </c>
      <c r="HQV550" s="83" t="s">
        <v>151</v>
      </c>
      <c r="HQW550" s="83" t="s">
        <v>151</v>
      </c>
      <c r="HQX550" s="83" t="s">
        <v>151</v>
      </c>
      <c r="HQY550" s="83" t="s">
        <v>151</v>
      </c>
      <c r="HQZ550" s="83" t="s">
        <v>151</v>
      </c>
      <c r="HRA550" s="83" t="s">
        <v>151</v>
      </c>
      <c r="HRB550" s="83" t="s">
        <v>151</v>
      </c>
      <c r="HRC550" s="83" t="s">
        <v>151</v>
      </c>
      <c r="HRD550" s="83" t="s">
        <v>151</v>
      </c>
      <c r="HRE550" s="83" t="s">
        <v>151</v>
      </c>
      <c r="HRF550" s="83" t="s">
        <v>151</v>
      </c>
      <c r="HRG550" s="83" t="s">
        <v>151</v>
      </c>
      <c r="HRH550" s="83" t="s">
        <v>151</v>
      </c>
      <c r="HRI550" s="83" t="s">
        <v>151</v>
      </c>
      <c r="HRJ550" s="83" t="s">
        <v>151</v>
      </c>
      <c r="HRK550" s="83" t="s">
        <v>151</v>
      </c>
      <c r="HRL550" s="83" t="s">
        <v>151</v>
      </c>
      <c r="HRM550" s="83" t="s">
        <v>151</v>
      </c>
      <c r="HRN550" s="83" t="s">
        <v>151</v>
      </c>
      <c r="HRO550" s="83" t="s">
        <v>151</v>
      </c>
      <c r="HRP550" s="83" t="s">
        <v>151</v>
      </c>
      <c r="HRQ550" s="83" t="s">
        <v>151</v>
      </c>
      <c r="HRR550" s="83" t="s">
        <v>151</v>
      </c>
      <c r="HRS550" s="83" t="s">
        <v>151</v>
      </c>
      <c r="HRT550" s="83" t="s">
        <v>151</v>
      </c>
      <c r="HRU550" s="83" t="s">
        <v>151</v>
      </c>
      <c r="HRV550" s="83" t="s">
        <v>151</v>
      </c>
      <c r="HRW550" s="83" t="s">
        <v>151</v>
      </c>
      <c r="HRX550" s="83" t="s">
        <v>151</v>
      </c>
      <c r="HRY550" s="83" t="s">
        <v>151</v>
      </c>
      <c r="HRZ550" s="83" t="s">
        <v>151</v>
      </c>
      <c r="HSA550" s="83" t="s">
        <v>151</v>
      </c>
      <c r="HSB550" s="83" t="s">
        <v>151</v>
      </c>
      <c r="HSC550" s="83" t="s">
        <v>151</v>
      </c>
      <c r="HSD550" s="83" t="s">
        <v>151</v>
      </c>
      <c r="HSE550" s="83" t="s">
        <v>151</v>
      </c>
      <c r="HSF550" s="83" t="s">
        <v>151</v>
      </c>
      <c r="HSG550" s="83" t="s">
        <v>151</v>
      </c>
      <c r="HSH550" s="83" t="s">
        <v>151</v>
      </c>
      <c r="HSI550" s="83" t="s">
        <v>151</v>
      </c>
      <c r="HSJ550" s="83" t="s">
        <v>151</v>
      </c>
      <c r="HSK550" s="83" t="s">
        <v>151</v>
      </c>
      <c r="HSL550" s="83" t="s">
        <v>151</v>
      </c>
      <c r="HSM550" s="83" t="s">
        <v>151</v>
      </c>
      <c r="HSN550" s="83" t="s">
        <v>151</v>
      </c>
      <c r="HSO550" s="83" t="s">
        <v>151</v>
      </c>
      <c r="HSP550" s="83" t="s">
        <v>151</v>
      </c>
      <c r="HSQ550" s="83" t="s">
        <v>151</v>
      </c>
      <c r="HSR550" s="83" t="s">
        <v>151</v>
      </c>
      <c r="HSS550" s="83" t="s">
        <v>151</v>
      </c>
      <c r="HST550" s="83" t="s">
        <v>151</v>
      </c>
      <c r="HSU550" s="83" t="s">
        <v>151</v>
      </c>
      <c r="HSV550" s="83" t="s">
        <v>151</v>
      </c>
      <c r="HSW550" s="83" t="s">
        <v>151</v>
      </c>
      <c r="HSX550" s="83" t="s">
        <v>151</v>
      </c>
      <c r="HSY550" s="83" t="s">
        <v>151</v>
      </c>
      <c r="HSZ550" s="83" t="s">
        <v>151</v>
      </c>
      <c r="HTA550" s="83" t="s">
        <v>151</v>
      </c>
      <c r="HTB550" s="83" t="s">
        <v>151</v>
      </c>
      <c r="HTC550" s="83" t="s">
        <v>151</v>
      </c>
      <c r="HTD550" s="83" t="s">
        <v>151</v>
      </c>
      <c r="HTE550" s="83" t="s">
        <v>151</v>
      </c>
      <c r="HTF550" s="83" t="s">
        <v>151</v>
      </c>
      <c r="HTG550" s="83" t="s">
        <v>151</v>
      </c>
      <c r="HTH550" s="83" t="s">
        <v>151</v>
      </c>
      <c r="HTI550" s="83" t="s">
        <v>151</v>
      </c>
      <c r="HTJ550" s="83" t="s">
        <v>151</v>
      </c>
      <c r="HTK550" s="83" t="s">
        <v>151</v>
      </c>
      <c r="HTL550" s="83" t="s">
        <v>151</v>
      </c>
      <c r="HTM550" s="83" t="s">
        <v>151</v>
      </c>
      <c r="HTN550" s="83" t="s">
        <v>151</v>
      </c>
      <c r="HTO550" s="83" t="s">
        <v>151</v>
      </c>
      <c r="HTP550" s="83" t="s">
        <v>151</v>
      </c>
      <c r="HTQ550" s="83" t="s">
        <v>151</v>
      </c>
      <c r="HTR550" s="83" t="s">
        <v>151</v>
      </c>
      <c r="HTS550" s="83" t="s">
        <v>151</v>
      </c>
      <c r="HTT550" s="83" t="s">
        <v>151</v>
      </c>
      <c r="HTU550" s="83" t="s">
        <v>151</v>
      </c>
      <c r="HTV550" s="83" t="s">
        <v>151</v>
      </c>
      <c r="HTW550" s="83" t="s">
        <v>151</v>
      </c>
      <c r="HTX550" s="83" t="s">
        <v>151</v>
      </c>
      <c r="HTY550" s="83" t="s">
        <v>151</v>
      </c>
      <c r="HTZ550" s="83" t="s">
        <v>151</v>
      </c>
      <c r="HUA550" s="83" t="s">
        <v>151</v>
      </c>
      <c r="HUB550" s="83" t="s">
        <v>151</v>
      </c>
      <c r="HUC550" s="83" t="s">
        <v>151</v>
      </c>
      <c r="HUD550" s="83" t="s">
        <v>151</v>
      </c>
      <c r="HUE550" s="83" t="s">
        <v>151</v>
      </c>
      <c r="HUF550" s="83" t="s">
        <v>151</v>
      </c>
      <c r="HUG550" s="83" t="s">
        <v>151</v>
      </c>
      <c r="HUH550" s="83" t="s">
        <v>151</v>
      </c>
      <c r="HUI550" s="83" t="s">
        <v>151</v>
      </c>
      <c r="HUJ550" s="83" t="s">
        <v>151</v>
      </c>
      <c r="HUK550" s="83" t="s">
        <v>151</v>
      </c>
      <c r="HUL550" s="83" t="s">
        <v>151</v>
      </c>
      <c r="HUM550" s="83" t="s">
        <v>151</v>
      </c>
      <c r="HUN550" s="83" t="s">
        <v>151</v>
      </c>
      <c r="HUO550" s="83" t="s">
        <v>151</v>
      </c>
      <c r="HUP550" s="83" t="s">
        <v>151</v>
      </c>
      <c r="HUQ550" s="83" t="s">
        <v>151</v>
      </c>
      <c r="HUR550" s="83" t="s">
        <v>151</v>
      </c>
      <c r="HUS550" s="83" t="s">
        <v>151</v>
      </c>
      <c r="HUT550" s="83" t="s">
        <v>151</v>
      </c>
      <c r="HUU550" s="83" t="s">
        <v>151</v>
      </c>
      <c r="HUV550" s="83" t="s">
        <v>151</v>
      </c>
      <c r="HUW550" s="83" t="s">
        <v>151</v>
      </c>
      <c r="HUX550" s="83" t="s">
        <v>151</v>
      </c>
      <c r="HUY550" s="83" t="s">
        <v>151</v>
      </c>
      <c r="HUZ550" s="83" t="s">
        <v>151</v>
      </c>
      <c r="HVA550" s="83" t="s">
        <v>151</v>
      </c>
      <c r="HVB550" s="83" t="s">
        <v>151</v>
      </c>
      <c r="HVC550" s="83" t="s">
        <v>151</v>
      </c>
      <c r="HVD550" s="83" t="s">
        <v>151</v>
      </c>
      <c r="HVE550" s="83" t="s">
        <v>151</v>
      </c>
      <c r="HVF550" s="83" t="s">
        <v>151</v>
      </c>
      <c r="HVG550" s="83" t="s">
        <v>151</v>
      </c>
      <c r="HVH550" s="83" t="s">
        <v>151</v>
      </c>
      <c r="HVI550" s="83" t="s">
        <v>151</v>
      </c>
      <c r="HVJ550" s="83" t="s">
        <v>151</v>
      </c>
      <c r="HVK550" s="83" t="s">
        <v>151</v>
      </c>
      <c r="HVL550" s="83" t="s">
        <v>151</v>
      </c>
      <c r="HVM550" s="83" t="s">
        <v>151</v>
      </c>
      <c r="HVN550" s="83" t="s">
        <v>151</v>
      </c>
      <c r="HVO550" s="83" t="s">
        <v>151</v>
      </c>
      <c r="HVP550" s="83" t="s">
        <v>151</v>
      </c>
      <c r="HVQ550" s="83" t="s">
        <v>151</v>
      </c>
      <c r="HVR550" s="83" t="s">
        <v>151</v>
      </c>
      <c r="HVS550" s="83" t="s">
        <v>151</v>
      </c>
      <c r="HVT550" s="83" t="s">
        <v>151</v>
      </c>
      <c r="HVU550" s="83" t="s">
        <v>151</v>
      </c>
      <c r="HVV550" s="83" t="s">
        <v>151</v>
      </c>
      <c r="HVW550" s="83" t="s">
        <v>151</v>
      </c>
      <c r="HVX550" s="83" t="s">
        <v>151</v>
      </c>
      <c r="HVY550" s="83" t="s">
        <v>151</v>
      </c>
      <c r="HVZ550" s="83" t="s">
        <v>151</v>
      </c>
      <c r="HWA550" s="83" t="s">
        <v>151</v>
      </c>
      <c r="HWB550" s="83" t="s">
        <v>151</v>
      </c>
      <c r="HWC550" s="83" t="s">
        <v>151</v>
      </c>
      <c r="HWD550" s="83" t="s">
        <v>151</v>
      </c>
      <c r="HWE550" s="83" t="s">
        <v>151</v>
      </c>
      <c r="HWF550" s="83" t="s">
        <v>151</v>
      </c>
      <c r="HWG550" s="83" t="s">
        <v>151</v>
      </c>
      <c r="HWH550" s="83" t="s">
        <v>151</v>
      </c>
      <c r="HWI550" s="83" t="s">
        <v>151</v>
      </c>
      <c r="HWJ550" s="83" t="s">
        <v>151</v>
      </c>
      <c r="HWK550" s="83" t="s">
        <v>151</v>
      </c>
      <c r="HWL550" s="83" t="s">
        <v>151</v>
      </c>
      <c r="HWM550" s="83" t="s">
        <v>151</v>
      </c>
      <c r="HWN550" s="83" t="s">
        <v>151</v>
      </c>
      <c r="HWO550" s="83" t="s">
        <v>151</v>
      </c>
      <c r="HWP550" s="83" t="s">
        <v>151</v>
      </c>
      <c r="HWQ550" s="83" t="s">
        <v>151</v>
      </c>
      <c r="HWR550" s="83" t="s">
        <v>151</v>
      </c>
      <c r="HWS550" s="83" t="s">
        <v>151</v>
      </c>
      <c r="HWT550" s="83" t="s">
        <v>151</v>
      </c>
      <c r="HWU550" s="83" t="s">
        <v>151</v>
      </c>
      <c r="HWV550" s="83" t="s">
        <v>151</v>
      </c>
      <c r="HWW550" s="83" t="s">
        <v>151</v>
      </c>
      <c r="HWX550" s="83" t="s">
        <v>151</v>
      </c>
      <c r="HWY550" s="83" t="s">
        <v>151</v>
      </c>
      <c r="HWZ550" s="83" t="s">
        <v>151</v>
      </c>
      <c r="HXA550" s="83" t="s">
        <v>151</v>
      </c>
      <c r="HXB550" s="83" t="s">
        <v>151</v>
      </c>
      <c r="HXC550" s="83" t="s">
        <v>151</v>
      </c>
      <c r="HXD550" s="83" t="s">
        <v>151</v>
      </c>
      <c r="HXE550" s="83" t="s">
        <v>151</v>
      </c>
      <c r="HXF550" s="83" t="s">
        <v>151</v>
      </c>
      <c r="HXG550" s="83" t="s">
        <v>151</v>
      </c>
      <c r="HXH550" s="83" t="s">
        <v>151</v>
      </c>
      <c r="HXI550" s="83" t="s">
        <v>151</v>
      </c>
      <c r="HXJ550" s="83" t="s">
        <v>151</v>
      </c>
      <c r="HXK550" s="83" t="s">
        <v>151</v>
      </c>
      <c r="HXL550" s="83" t="s">
        <v>151</v>
      </c>
      <c r="HXM550" s="83" t="s">
        <v>151</v>
      </c>
      <c r="HXN550" s="83" t="s">
        <v>151</v>
      </c>
      <c r="HXO550" s="83" t="s">
        <v>151</v>
      </c>
      <c r="HXP550" s="83" t="s">
        <v>151</v>
      </c>
      <c r="HXQ550" s="83" t="s">
        <v>151</v>
      </c>
      <c r="HXR550" s="83" t="s">
        <v>151</v>
      </c>
      <c r="HXS550" s="83" t="s">
        <v>151</v>
      </c>
      <c r="HXT550" s="83" t="s">
        <v>151</v>
      </c>
      <c r="HXU550" s="83" t="s">
        <v>151</v>
      </c>
      <c r="HXV550" s="83" t="s">
        <v>151</v>
      </c>
      <c r="HXW550" s="83" t="s">
        <v>151</v>
      </c>
      <c r="HXX550" s="83" t="s">
        <v>151</v>
      </c>
      <c r="HXY550" s="83" t="s">
        <v>151</v>
      </c>
      <c r="HXZ550" s="83" t="s">
        <v>151</v>
      </c>
      <c r="HYA550" s="83" t="s">
        <v>151</v>
      </c>
      <c r="HYB550" s="83" t="s">
        <v>151</v>
      </c>
      <c r="HYC550" s="83" t="s">
        <v>151</v>
      </c>
      <c r="HYD550" s="83" t="s">
        <v>151</v>
      </c>
      <c r="HYE550" s="83" t="s">
        <v>151</v>
      </c>
      <c r="HYF550" s="83" t="s">
        <v>151</v>
      </c>
      <c r="HYG550" s="83" t="s">
        <v>151</v>
      </c>
      <c r="HYH550" s="83" t="s">
        <v>151</v>
      </c>
      <c r="HYI550" s="83" t="s">
        <v>151</v>
      </c>
      <c r="HYJ550" s="83" t="s">
        <v>151</v>
      </c>
      <c r="HYK550" s="83" t="s">
        <v>151</v>
      </c>
      <c r="HYL550" s="83" t="s">
        <v>151</v>
      </c>
      <c r="HYM550" s="83" t="s">
        <v>151</v>
      </c>
      <c r="HYN550" s="83" t="s">
        <v>151</v>
      </c>
      <c r="HYO550" s="83" t="s">
        <v>151</v>
      </c>
      <c r="HYP550" s="83" t="s">
        <v>151</v>
      </c>
      <c r="HYQ550" s="83" t="s">
        <v>151</v>
      </c>
      <c r="HYR550" s="83" t="s">
        <v>151</v>
      </c>
      <c r="HYS550" s="83" t="s">
        <v>151</v>
      </c>
      <c r="HYT550" s="83" t="s">
        <v>151</v>
      </c>
      <c r="HYU550" s="83" t="s">
        <v>151</v>
      </c>
      <c r="HYV550" s="83" t="s">
        <v>151</v>
      </c>
      <c r="HYW550" s="83" t="s">
        <v>151</v>
      </c>
      <c r="HYX550" s="83" t="s">
        <v>151</v>
      </c>
      <c r="HYY550" s="83" t="s">
        <v>151</v>
      </c>
      <c r="HYZ550" s="83" t="s">
        <v>151</v>
      </c>
      <c r="HZA550" s="83" t="s">
        <v>151</v>
      </c>
      <c r="HZB550" s="83" t="s">
        <v>151</v>
      </c>
      <c r="HZC550" s="83" t="s">
        <v>151</v>
      </c>
      <c r="HZD550" s="83" t="s">
        <v>151</v>
      </c>
      <c r="HZE550" s="83" t="s">
        <v>151</v>
      </c>
      <c r="HZF550" s="83" t="s">
        <v>151</v>
      </c>
      <c r="HZG550" s="83" t="s">
        <v>151</v>
      </c>
      <c r="HZH550" s="83" t="s">
        <v>151</v>
      </c>
      <c r="HZI550" s="83" t="s">
        <v>151</v>
      </c>
      <c r="HZJ550" s="83" t="s">
        <v>151</v>
      </c>
      <c r="HZK550" s="83" t="s">
        <v>151</v>
      </c>
      <c r="HZL550" s="83" t="s">
        <v>151</v>
      </c>
      <c r="HZM550" s="83" t="s">
        <v>151</v>
      </c>
      <c r="HZN550" s="83" t="s">
        <v>151</v>
      </c>
      <c r="HZO550" s="83" t="s">
        <v>151</v>
      </c>
      <c r="HZP550" s="83" t="s">
        <v>151</v>
      </c>
      <c r="HZQ550" s="83" t="s">
        <v>151</v>
      </c>
      <c r="HZR550" s="83" t="s">
        <v>151</v>
      </c>
      <c r="HZS550" s="83" t="s">
        <v>151</v>
      </c>
      <c r="HZT550" s="83" t="s">
        <v>151</v>
      </c>
      <c r="HZU550" s="83" t="s">
        <v>151</v>
      </c>
      <c r="HZV550" s="83" t="s">
        <v>151</v>
      </c>
      <c r="HZW550" s="83" t="s">
        <v>151</v>
      </c>
      <c r="HZX550" s="83" t="s">
        <v>151</v>
      </c>
      <c r="HZY550" s="83" t="s">
        <v>151</v>
      </c>
      <c r="HZZ550" s="83" t="s">
        <v>151</v>
      </c>
      <c r="IAA550" s="83" t="s">
        <v>151</v>
      </c>
      <c r="IAB550" s="83" t="s">
        <v>151</v>
      </c>
      <c r="IAC550" s="83" t="s">
        <v>151</v>
      </c>
      <c r="IAD550" s="83" t="s">
        <v>151</v>
      </c>
      <c r="IAE550" s="83" t="s">
        <v>151</v>
      </c>
      <c r="IAF550" s="83" t="s">
        <v>151</v>
      </c>
      <c r="IAG550" s="83" t="s">
        <v>151</v>
      </c>
      <c r="IAH550" s="83" t="s">
        <v>151</v>
      </c>
      <c r="IAI550" s="83" t="s">
        <v>151</v>
      </c>
      <c r="IAJ550" s="83" t="s">
        <v>151</v>
      </c>
      <c r="IAK550" s="83" t="s">
        <v>151</v>
      </c>
      <c r="IAL550" s="83" t="s">
        <v>151</v>
      </c>
      <c r="IAM550" s="83" t="s">
        <v>151</v>
      </c>
      <c r="IAN550" s="83" t="s">
        <v>151</v>
      </c>
      <c r="IAO550" s="83" t="s">
        <v>151</v>
      </c>
      <c r="IAP550" s="83" t="s">
        <v>151</v>
      </c>
      <c r="IAQ550" s="83" t="s">
        <v>151</v>
      </c>
      <c r="IAR550" s="83" t="s">
        <v>151</v>
      </c>
      <c r="IAS550" s="83" t="s">
        <v>151</v>
      </c>
      <c r="IAT550" s="83" t="s">
        <v>151</v>
      </c>
      <c r="IAU550" s="83" t="s">
        <v>151</v>
      </c>
      <c r="IAV550" s="83" t="s">
        <v>151</v>
      </c>
      <c r="IAW550" s="83" t="s">
        <v>151</v>
      </c>
      <c r="IAX550" s="83" t="s">
        <v>151</v>
      </c>
      <c r="IAY550" s="83" t="s">
        <v>151</v>
      </c>
      <c r="IAZ550" s="83" t="s">
        <v>151</v>
      </c>
      <c r="IBA550" s="83" t="s">
        <v>151</v>
      </c>
      <c r="IBB550" s="83" t="s">
        <v>151</v>
      </c>
      <c r="IBC550" s="83" t="s">
        <v>151</v>
      </c>
      <c r="IBD550" s="83" t="s">
        <v>151</v>
      </c>
      <c r="IBE550" s="83" t="s">
        <v>151</v>
      </c>
      <c r="IBF550" s="83" t="s">
        <v>151</v>
      </c>
      <c r="IBG550" s="83" t="s">
        <v>151</v>
      </c>
      <c r="IBH550" s="83" t="s">
        <v>151</v>
      </c>
      <c r="IBI550" s="83" t="s">
        <v>151</v>
      </c>
      <c r="IBJ550" s="83" t="s">
        <v>151</v>
      </c>
      <c r="IBK550" s="83" t="s">
        <v>151</v>
      </c>
      <c r="IBL550" s="83" t="s">
        <v>151</v>
      </c>
      <c r="IBM550" s="83" t="s">
        <v>151</v>
      </c>
      <c r="IBN550" s="83" t="s">
        <v>151</v>
      </c>
      <c r="IBO550" s="83" t="s">
        <v>151</v>
      </c>
      <c r="IBP550" s="83" t="s">
        <v>151</v>
      </c>
      <c r="IBQ550" s="83" t="s">
        <v>151</v>
      </c>
      <c r="IBR550" s="83" t="s">
        <v>151</v>
      </c>
      <c r="IBS550" s="83" t="s">
        <v>151</v>
      </c>
      <c r="IBT550" s="83" t="s">
        <v>151</v>
      </c>
      <c r="IBU550" s="83" t="s">
        <v>151</v>
      </c>
      <c r="IBV550" s="83" t="s">
        <v>151</v>
      </c>
      <c r="IBW550" s="83" t="s">
        <v>151</v>
      </c>
      <c r="IBX550" s="83" t="s">
        <v>151</v>
      </c>
      <c r="IBY550" s="83" t="s">
        <v>151</v>
      </c>
      <c r="IBZ550" s="83" t="s">
        <v>151</v>
      </c>
      <c r="ICA550" s="83" t="s">
        <v>151</v>
      </c>
      <c r="ICB550" s="83" t="s">
        <v>151</v>
      </c>
      <c r="ICC550" s="83" t="s">
        <v>151</v>
      </c>
      <c r="ICD550" s="83" t="s">
        <v>151</v>
      </c>
      <c r="ICE550" s="83" t="s">
        <v>151</v>
      </c>
      <c r="ICF550" s="83" t="s">
        <v>151</v>
      </c>
      <c r="ICG550" s="83" t="s">
        <v>151</v>
      </c>
      <c r="ICH550" s="83" t="s">
        <v>151</v>
      </c>
      <c r="ICI550" s="83" t="s">
        <v>151</v>
      </c>
      <c r="ICJ550" s="83" t="s">
        <v>151</v>
      </c>
      <c r="ICK550" s="83" t="s">
        <v>151</v>
      </c>
      <c r="ICL550" s="83" t="s">
        <v>151</v>
      </c>
      <c r="ICM550" s="83" t="s">
        <v>151</v>
      </c>
      <c r="ICN550" s="83" t="s">
        <v>151</v>
      </c>
      <c r="ICO550" s="83" t="s">
        <v>151</v>
      </c>
      <c r="ICP550" s="83" t="s">
        <v>151</v>
      </c>
      <c r="ICQ550" s="83" t="s">
        <v>151</v>
      </c>
      <c r="ICR550" s="83" t="s">
        <v>151</v>
      </c>
      <c r="ICS550" s="83" t="s">
        <v>151</v>
      </c>
      <c r="ICT550" s="83" t="s">
        <v>151</v>
      </c>
      <c r="ICU550" s="83" t="s">
        <v>151</v>
      </c>
      <c r="ICV550" s="83" t="s">
        <v>151</v>
      </c>
      <c r="ICW550" s="83" t="s">
        <v>151</v>
      </c>
      <c r="ICX550" s="83" t="s">
        <v>151</v>
      </c>
      <c r="ICY550" s="83" t="s">
        <v>151</v>
      </c>
      <c r="ICZ550" s="83" t="s">
        <v>151</v>
      </c>
      <c r="IDA550" s="83" t="s">
        <v>151</v>
      </c>
      <c r="IDB550" s="83" t="s">
        <v>151</v>
      </c>
      <c r="IDC550" s="83" t="s">
        <v>151</v>
      </c>
      <c r="IDD550" s="83" t="s">
        <v>151</v>
      </c>
      <c r="IDE550" s="83" t="s">
        <v>151</v>
      </c>
      <c r="IDF550" s="83" t="s">
        <v>151</v>
      </c>
      <c r="IDG550" s="83" t="s">
        <v>151</v>
      </c>
      <c r="IDH550" s="83" t="s">
        <v>151</v>
      </c>
      <c r="IDI550" s="83" t="s">
        <v>151</v>
      </c>
      <c r="IDJ550" s="83" t="s">
        <v>151</v>
      </c>
      <c r="IDK550" s="83" t="s">
        <v>151</v>
      </c>
      <c r="IDL550" s="83" t="s">
        <v>151</v>
      </c>
      <c r="IDM550" s="83" t="s">
        <v>151</v>
      </c>
      <c r="IDN550" s="83" t="s">
        <v>151</v>
      </c>
      <c r="IDO550" s="83" t="s">
        <v>151</v>
      </c>
      <c r="IDP550" s="83" t="s">
        <v>151</v>
      </c>
      <c r="IDQ550" s="83" t="s">
        <v>151</v>
      </c>
      <c r="IDR550" s="83" t="s">
        <v>151</v>
      </c>
      <c r="IDS550" s="83" t="s">
        <v>151</v>
      </c>
      <c r="IDT550" s="83" t="s">
        <v>151</v>
      </c>
      <c r="IDU550" s="83" t="s">
        <v>151</v>
      </c>
      <c r="IDV550" s="83" t="s">
        <v>151</v>
      </c>
      <c r="IDW550" s="83" t="s">
        <v>151</v>
      </c>
      <c r="IDX550" s="83" t="s">
        <v>151</v>
      </c>
      <c r="IDY550" s="83" t="s">
        <v>151</v>
      </c>
      <c r="IDZ550" s="83" t="s">
        <v>151</v>
      </c>
      <c r="IEA550" s="83" t="s">
        <v>151</v>
      </c>
      <c r="IEB550" s="83" t="s">
        <v>151</v>
      </c>
      <c r="IEC550" s="83" t="s">
        <v>151</v>
      </c>
      <c r="IED550" s="83" t="s">
        <v>151</v>
      </c>
      <c r="IEE550" s="83" t="s">
        <v>151</v>
      </c>
      <c r="IEF550" s="83" t="s">
        <v>151</v>
      </c>
      <c r="IEG550" s="83" t="s">
        <v>151</v>
      </c>
      <c r="IEH550" s="83" t="s">
        <v>151</v>
      </c>
      <c r="IEI550" s="83" t="s">
        <v>151</v>
      </c>
      <c r="IEJ550" s="83" t="s">
        <v>151</v>
      </c>
      <c r="IEK550" s="83" t="s">
        <v>151</v>
      </c>
      <c r="IEL550" s="83" t="s">
        <v>151</v>
      </c>
      <c r="IEM550" s="83" t="s">
        <v>151</v>
      </c>
      <c r="IEN550" s="83" t="s">
        <v>151</v>
      </c>
      <c r="IEO550" s="83" t="s">
        <v>151</v>
      </c>
      <c r="IEP550" s="83" t="s">
        <v>151</v>
      </c>
      <c r="IEQ550" s="83" t="s">
        <v>151</v>
      </c>
      <c r="IER550" s="83" t="s">
        <v>151</v>
      </c>
      <c r="IES550" s="83" t="s">
        <v>151</v>
      </c>
      <c r="IET550" s="83" t="s">
        <v>151</v>
      </c>
      <c r="IEU550" s="83" t="s">
        <v>151</v>
      </c>
      <c r="IEV550" s="83" t="s">
        <v>151</v>
      </c>
      <c r="IEW550" s="83" t="s">
        <v>151</v>
      </c>
      <c r="IEX550" s="83" t="s">
        <v>151</v>
      </c>
      <c r="IEY550" s="83" t="s">
        <v>151</v>
      </c>
      <c r="IEZ550" s="83" t="s">
        <v>151</v>
      </c>
      <c r="IFA550" s="83" t="s">
        <v>151</v>
      </c>
      <c r="IFB550" s="83" t="s">
        <v>151</v>
      </c>
      <c r="IFC550" s="83" t="s">
        <v>151</v>
      </c>
      <c r="IFD550" s="83" t="s">
        <v>151</v>
      </c>
      <c r="IFE550" s="83" t="s">
        <v>151</v>
      </c>
      <c r="IFF550" s="83" t="s">
        <v>151</v>
      </c>
      <c r="IFG550" s="83" t="s">
        <v>151</v>
      </c>
      <c r="IFH550" s="83" t="s">
        <v>151</v>
      </c>
      <c r="IFI550" s="83" t="s">
        <v>151</v>
      </c>
      <c r="IFJ550" s="83" t="s">
        <v>151</v>
      </c>
      <c r="IFK550" s="83" t="s">
        <v>151</v>
      </c>
      <c r="IFL550" s="83" t="s">
        <v>151</v>
      </c>
      <c r="IFM550" s="83" t="s">
        <v>151</v>
      </c>
      <c r="IFN550" s="83" t="s">
        <v>151</v>
      </c>
      <c r="IFO550" s="83" t="s">
        <v>151</v>
      </c>
      <c r="IFP550" s="83" t="s">
        <v>151</v>
      </c>
      <c r="IFQ550" s="83" t="s">
        <v>151</v>
      </c>
      <c r="IFR550" s="83" t="s">
        <v>151</v>
      </c>
      <c r="IFS550" s="83" t="s">
        <v>151</v>
      </c>
      <c r="IFT550" s="83" t="s">
        <v>151</v>
      </c>
      <c r="IFU550" s="83" t="s">
        <v>151</v>
      </c>
      <c r="IFV550" s="83" t="s">
        <v>151</v>
      </c>
      <c r="IFW550" s="83" t="s">
        <v>151</v>
      </c>
      <c r="IFX550" s="83" t="s">
        <v>151</v>
      </c>
      <c r="IFY550" s="83" t="s">
        <v>151</v>
      </c>
      <c r="IFZ550" s="83" t="s">
        <v>151</v>
      </c>
      <c r="IGA550" s="83" t="s">
        <v>151</v>
      </c>
      <c r="IGB550" s="83" t="s">
        <v>151</v>
      </c>
      <c r="IGC550" s="83" t="s">
        <v>151</v>
      </c>
      <c r="IGD550" s="83" t="s">
        <v>151</v>
      </c>
      <c r="IGE550" s="83" t="s">
        <v>151</v>
      </c>
      <c r="IGF550" s="83" t="s">
        <v>151</v>
      </c>
      <c r="IGG550" s="83" t="s">
        <v>151</v>
      </c>
      <c r="IGH550" s="83" t="s">
        <v>151</v>
      </c>
      <c r="IGI550" s="83" t="s">
        <v>151</v>
      </c>
      <c r="IGJ550" s="83" t="s">
        <v>151</v>
      </c>
      <c r="IGK550" s="83" t="s">
        <v>151</v>
      </c>
      <c r="IGL550" s="83" t="s">
        <v>151</v>
      </c>
      <c r="IGM550" s="83" t="s">
        <v>151</v>
      </c>
      <c r="IGN550" s="83" t="s">
        <v>151</v>
      </c>
      <c r="IGO550" s="83" t="s">
        <v>151</v>
      </c>
      <c r="IGP550" s="83" t="s">
        <v>151</v>
      </c>
      <c r="IGQ550" s="83" t="s">
        <v>151</v>
      </c>
      <c r="IGR550" s="83" t="s">
        <v>151</v>
      </c>
      <c r="IGS550" s="83" t="s">
        <v>151</v>
      </c>
      <c r="IGT550" s="83" t="s">
        <v>151</v>
      </c>
      <c r="IGU550" s="83" t="s">
        <v>151</v>
      </c>
      <c r="IGV550" s="83" t="s">
        <v>151</v>
      </c>
      <c r="IGW550" s="83" t="s">
        <v>151</v>
      </c>
      <c r="IGX550" s="83" t="s">
        <v>151</v>
      </c>
      <c r="IGY550" s="83" t="s">
        <v>151</v>
      </c>
      <c r="IGZ550" s="83" t="s">
        <v>151</v>
      </c>
      <c r="IHA550" s="83" t="s">
        <v>151</v>
      </c>
      <c r="IHB550" s="83" t="s">
        <v>151</v>
      </c>
      <c r="IHC550" s="83" t="s">
        <v>151</v>
      </c>
      <c r="IHD550" s="83" t="s">
        <v>151</v>
      </c>
      <c r="IHE550" s="83" t="s">
        <v>151</v>
      </c>
      <c r="IHF550" s="83" t="s">
        <v>151</v>
      </c>
      <c r="IHG550" s="83" t="s">
        <v>151</v>
      </c>
      <c r="IHH550" s="83" t="s">
        <v>151</v>
      </c>
      <c r="IHI550" s="83" t="s">
        <v>151</v>
      </c>
      <c r="IHJ550" s="83" t="s">
        <v>151</v>
      </c>
      <c r="IHK550" s="83" t="s">
        <v>151</v>
      </c>
      <c r="IHL550" s="83" t="s">
        <v>151</v>
      </c>
      <c r="IHM550" s="83" t="s">
        <v>151</v>
      </c>
      <c r="IHN550" s="83" t="s">
        <v>151</v>
      </c>
      <c r="IHO550" s="83" t="s">
        <v>151</v>
      </c>
      <c r="IHP550" s="83" t="s">
        <v>151</v>
      </c>
      <c r="IHQ550" s="83" t="s">
        <v>151</v>
      </c>
      <c r="IHR550" s="83" t="s">
        <v>151</v>
      </c>
      <c r="IHS550" s="83" t="s">
        <v>151</v>
      </c>
      <c r="IHT550" s="83" t="s">
        <v>151</v>
      </c>
      <c r="IHU550" s="83" t="s">
        <v>151</v>
      </c>
      <c r="IHV550" s="83" t="s">
        <v>151</v>
      </c>
      <c r="IHW550" s="83" t="s">
        <v>151</v>
      </c>
      <c r="IHX550" s="83" t="s">
        <v>151</v>
      </c>
      <c r="IHY550" s="83" t="s">
        <v>151</v>
      </c>
      <c r="IHZ550" s="83" t="s">
        <v>151</v>
      </c>
      <c r="IIA550" s="83" t="s">
        <v>151</v>
      </c>
      <c r="IIB550" s="83" t="s">
        <v>151</v>
      </c>
      <c r="IIC550" s="83" t="s">
        <v>151</v>
      </c>
      <c r="IID550" s="83" t="s">
        <v>151</v>
      </c>
      <c r="IIE550" s="83" t="s">
        <v>151</v>
      </c>
      <c r="IIF550" s="83" t="s">
        <v>151</v>
      </c>
      <c r="IIG550" s="83" t="s">
        <v>151</v>
      </c>
      <c r="IIH550" s="83" t="s">
        <v>151</v>
      </c>
      <c r="III550" s="83" t="s">
        <v>151</v>
      </c>
      <c r="IIJ550" s="83" t="s">
        <v>151</v>
      </c>
      <c r="IIK550" s="83" t="s">
        <v>151</v>
      </c>
      <c r="IIL550" s="83" t="s">
        <v>151</v>
      </c>
      <c r="IIM550" s="83" t="s">
        <v>151</v>
      </c>
      <c r="IIN550" s="83" t="s">
        <v>151</v>
      </c>
      <c r="IIO550" s="83" t="s">
        <v>151</v>
      </c>
      <c r="IIP550" s="83" t="s">
        <v>151</v>
      </c>
      <c r="IIQ550" s="83" t="s">
        <v>151</v>
      </c>
      <c r="IIR550" s="83" t="s">
        <v>151</v>
      </c>
      <c r="IIS550" s="83" t="s">
        <v>151</v>
      </c>
      <c r="IIT550" s="83" t="s">
        <v>151</v>
      </c>
      <c r="IIU550" s="83" t="s">
        <v>151</v>
      </c>
      <c r="IIV550" s="83" t="s">
        <v>151</v>
      </c>
      <c r="IIW550" s="83" t="s">
        <v>151</v>
      </c>
      <c r="IIX550" s="83" t="s">
        <v>151</v>
      </c>
      <c r="IIY550" s="83" t="s">
        <v>151</v>
      </c>
      <c r="IIZ550" s="83" t="s">
        <v>151</v>
      </c>
      <c r="IJA550" s="83" t="s">
        <v>151</v>
      </c>
      <c r="IJB550" s="83" t="s">
        <v>151</v>
      </c>
      <c r="IJC550" s="83" t="s">
        <v>151</v>
      </c>
      <c r="IJD550" s="83" t="s">
        <v>151</v>
      </c>
      <c r="IJE550" s="83" t="s">
        <v>151</v>
      </c>
      <c r="IJF550" s="83" t="s">
        <v>151</v>
      </c>
      <c r="IJG550" s="83" t="s">
        <v>151</v>
      </c>
      <c r="IJH550" s="83" t="s">
        <v>151</v>
      </c>
      <c r="IJI550" s="83" t="s">
        <v>151</v>
      </c>
      <c r="IJJ550" s="83" t="s">
        <v>151</v>
      </c>
      <c r="IJK550" s="83" t="s">
        <v>151</v>
      </c>
      <c r="IJL550" s="83" t="s">
        <v>151</v>
      </c>
      <c r="IJM550" s="83" t="s">
        <v>151</v>
      </c>
      <c r="IJN550" s="83" t="s">
        <v>151</v>
      </c>
      <c r="IJO550" s="83" t="s">
        <v>151</v>
      </c>
      <c r="IJP550" s="83" t="s">
        <v>151</v>
      </c>
      <c r="IJQ550" s="83" t="s">
        <v>151</v>
      </c>
      <c r="IJR550" s="83" t="s">
        <v>151</v>
      </c>
      <c r="IJS550" s="83" t="s">
        <v>151</v>
      </c>
      <c r="IJT550" s="83" t="s">
        <v>151</v>
      </c>
      <c r="IJU550" s="83" t="s">
        <v>151</v>
      </c>
      <c r="IJV550" s="83" t="s">
        <v>151</v>
      </c>
      <c r="IJW550" s="83" t="s">
        <v>151</v>
      </c>
      <c r="IJX550" s="83" t="s">
        <v>151</v>
      </c>
      <c r="IJY550" s="83" t="s">
        <v>151</v>
      </c>
      <c r="IJZ550" s="83" t="s">
        <v>151</v>
      </c>
      <c r="IKA550" s="83" t="s">
        <v>151</v>
      </c>
      <c r="IKB550" s="83" t="s">
        <v>151</v>
      </c>
      <c r="IKC550" s="83" t="s">
        <v>151</v>
      </c>
      <c r="IKD550" s="83" t="s">
        <v>151</v>
      </c>
      <c r="IKE550" s="83" t="s">
        <v>151</v>
      </c>
      <c r="IKF550" s="83" t="s">
        <v>151</v>
      </c>
      <c r="IKG550" s="83" t="s">
        <v>151</v>
      </c>
      <c r="IKH550" s="83" t="s">
        <v>151</v>
      </c>
      <c r="IKI550" s="83" t="s">
        <v>151</v>
      </c>
      <c r="IKJ550" s="83" t="s">
        <v>151</v>
      </c>
      <c r="IKK550" s="83" t="s">
        <v>151</v>
      </c>
      <c r="IKL550" s="83" t="s">
        <v>151</v>
      </c>
      <c r="IKM550" s="83" t="s">
        <v>151</v>
      </c>
      <c r="IKN550" s="83" t="s">
        <v>151</v>
      </c>
      <c r="IKO550" s="83" t="s">
        <v>151</v>
      </c>
      <c r="IKP550" s="83" t="s">
        <v>151</v>
      </c>
      <c r="IKQ550" s="83" t="s">
        <v>151</v>
      </c>
      <c r="IKR550" s="83" t="s">
        <v>151</v>
      </c>
      <c r="IKS550" s="83" t="s">
        <v>151</v>
      </c>
      <c r="IKT550" s="83" t="s">
        <v>151</v>
      </c>
      <c r="IKU550" s="83" t="s">
        <v>151</v>
      </c>
      <c r="IKV550" s="83" t="s">
        <v>151</v>
      </c>
      <c r="IKW550" s="83" t="s">
        <v>151</v>
      </c>
      <c r="IKX550" s="83" t="s">
        <v>151</v>
      </c>
      <c r="IKY550" s="83" t="s">
        <v>151</v>
      </c>
      <c r="IKZ550" s="83" t="s">
        <v>151</v>
      </c>
      <c r="ILA550" s="83" t="s">
        <v>151</v>
      </c>
      <c r="ILB550" s="83" t="s">
        <v>151</v>
      </c>
      <c r="ILC550" s="83" t="s">
        <v>151</v>
      </c>
      <c r="ILD550" s="83" t="s">
        <v>151</v>
      </c>
      <c r="ILE550" s="83" t="s">
        <v>151</v>
      </c>
      <c r="ILF550" s="83" t="s">
        <v>151</v>
      </c>
      <c r="ILG550" s="83" t="s">
        <v>151</v>
      </c>
      <c r="ILH550" s="83" t="s">
        <v>151</v>
      </c>
      <c r="ILI550" s="83" t="s">
        <v>151</v>
      </c>
      <c r="ILJ550" s="83" t="s">
        <v>151</v>
      </c>
      <c r="ILK550" s="83" t="s">
        <v>151</v>
      </c>
      <c r="ILL550" s="83" t="s">
        <v>151</v>
      </c>
      <c r="ILM550" s="83" t="s">
        <v>151</v>
      </c>
      <c r="ILN550" s="83" t="s">
        <v>151</v>
      </c>
      <c r="ILO550" s="83" t="s">
        <v>151</v>
      </c>
      <c r="ILP550" s="83" t="s">
        <v>151</v>
      </c>
      <c r="ILQ550" s="83" t="s">
        <v>151</v>
      </c>
      <c r="ILR550" s="83" t="s">
        <v>151</v>
      </c>
      <c r="ILS550" s="83" t="s">
        <v>151</v>
      </c>
      <c r="ILT550" s="83" t="s">
        <v>151</v>
      </c>
      <c r="ILU550" s="83" t="s">
        <v>151</v>
      </c>
      <c r="ILV550" s="83" t="s">
        <v>151</v>
      </c>
      <c r="ILW550" s="83" t="s">
        <v>151</v>
      </c>
      <c r="ILX550" s="83" t="s">
        <v>151</v>
      </c>
      <c r="ILY550" s="83" t="s">
        <v>151</v>
      </c>
      <c r="ILZ550" s="83" t="s">
        <v>151</v>
      </c>
      <c r="IMA550" s="83" t="s">
        <v>151</v>
      </c>
      <c r="IMB550" s="83" t="s">
        <v>151</v>
      </c>
      <c r="IMC550" s="83" t="s">
        <v>151</v>
      </c>
      <c r="IMD550" s="83" t="s">
        <v>151</v>
      </c>
      <c r="IME550" s="83" t="s">
        <v>151</v>
      </c>
      <c r="IMF550" s="83" t="s">
        <v>151</v>
      </c>
      <c r="IMG550" s="83" t="s">
        <v>151</v>
      </c>
      <c r="IMH550" s="83" t="s">
        <v>151</v>
      </c>
      <c r="IMI550" s="83" t="s">
        <v>151</v>
      </c>
      <c r="IMJ550" s="83" t="s">
        <v>151</v>
      </c>
      <c r="IMK550" s="83" t="s">
        <v>151</v>
      </c>
      <c r="IML550" s="83" t="s">
        <v>151</v>
      </c>
      <c r="IMM550" s="83" t="s">
        <v>151</v>
      </c>
      <c r="IMN550" s="83" t="s">
        <v>151</v>
      </c>
      <c r="IMO550" s="83" t="s">
        <v>151</v>
      </c>
      <c r="IMP550" s="83" t="s">
        <v>151</v>
      </c>
      <c r="IMQ550" s="83" t="s">
        <v>151</v>
      </c>
      <c r="IMR550" s="83" t="s">
        <v>151</v>
      </c>
      <c r="IMS550" s="83" t="s">
        <v>151</v>
      </c>
      <c r="IMT550" s="83" t="s">
        <v>151</v>
      </c>
      <c r="IMU550" s="83" t="s">
        <v>151</v>
      </c>
      <c r="IMV550" s="83" t="s">
        <v>151</v>
      </c>
      <c r="IMW550" s="83" t="s">
        <v>151</v>
      </c>
      <c r="IMX550" s="83" t="s">
        <v>151</v>
      </c>
      <c r="IMY550" s="83" t="s">
        <v>151</v>
      </c>
      <c r="IMZ550" s="83" t="s">
        <v>151</v>
      </c>
      <c r="INA550" s="83" t="s">
        <v>151</v>
      </c>
      <c r="INB550" s="83" t="s">
        <v>151</v>
      </c>
      <c r="INC550" s="83" t="s">
        <v>151</v>
      </c>
      <c r="IND550" s="83" t="s">
        <v>151</v>
      </c>
      <c r="INE550" s="83" t="s">
        <v>151</v>
      </c>
      <c r="INF550" s="83" t="s">
        <v>151</v>
      </c>
      <c r="ING550" s="83" t="s">
        <v>151</v>
      </c>
      <c r="INH550" s="83" t="s">
        <v>151</v>
      </c>
      <c r="INI550" s="83" t="s">
        <v>151</v>
      </c>
      <c r="INJ550" s="83" t="s">
        <v>151</v>
      </c>
      <c r="INK550" s="83" t="s">
        <v>151</v>
      </c>
      <c r="INL550" s="83" t="s">
        <v>151</v>
      </c>
      <c r="INM550" s="83" t="s">
        <v>151</v>
      </c>
      <c r="INN550" s="83" t="s">
        <v>151</v>
      </c>
      <c r="INO550" s="83" t="s">
        <v>151</v>
      </c>
      <c r="INP550" s="83" t="s">
        <v>151</v>
      </c>
      <c r="INQ550" s="83" t="s">
        <v>151</v>
      </c>
      <c r="INR550" s="83" t="s">
        <v>151</v>
      </c>
      <c r="INS550" s="83" t="s">
        <v>151</v>
      </c>
      <c r="INT550" s="83" t="s">
        <v>151</v>
      </c>
      <c r="INU550" s="83" t="s">
        <v>151</v>
      </c>
      <c r="INV550" s="83" t="s">
        <v>151</v>
      </c>
      <c r="INW550" s="83" t="s">
        <v>151</v>
      </c>
      <c r="INX550" s="83" t="s">
        <v>151</v>
      </c>
      <c r="INY550" s="83" t="s">
        <v>151</v>
      </c>
      <c r="INZ550" s="83" t="s">
        <v>151</v>
      </c>
      <c r="IOA550" s="83" t="s">
        <v>151</v>
      </c>
      <c r="IOB550" s="83" t="s">
        <v>151</v>
      </c>
      <c r="IOC550" s="83" t="s">
        <v>151</v>
      </c>
      <c r="IOD550" s="83" t="s">
        <v>151</v>
      </c>
      <c r="IOE550" s="83" t="s">
        <v>151</v>
      </c>
      <c r="IOF550" s="83" t="s">
        <v>151</v>
      </c>
      <c r="IOG550" s="83" t="s">
        <v>151</v>
      </c>
      <c r="IOH550" s="83" t="s">
        <v>151</v>
      </c>
      <c r="IOI550" s="83" t="s">
        <v>151</v>
      </c>
      <c r="IOJ550" s="83" t="s">
        <v>151</v>
      </c>
      <c r="IOK550" s="83" t="s">
        <v>151</v>
      </c>
      <c r="IOL550" s="83" t="s">
        <v>151</v>
      </c>
      <c r="IOM550" s="83" t="s">
        <v>151</v>
      </c>
      <c r="ION550" s="83" t="s">
        <v>151</v>
      </c>
      <c r="IOO550" s="83" t="s">
        <v>151</v>
      </c>
      <c r="IOP550" s="83" t="s">
        <v>151</v>
      </c>
      <c r="IOQ550" s="83" t="s">
        <v>151</v>
      </c>
      <c r="IOR550" s="83" t="s">
        <v>151</v>
      </c>
      <c r="IOS550" s="83" t="s">
        <v>151</v>
      </c>
      <c r="IOT550" s="83" t="s">
        <v>151</v>
      </c>
      <c r="IOU550" s="83" t="s">
        <v>151</v>
      </c>
      <c r="IOV550" s="83" t="s">
        <v>151</v>
      </c>
      <c r="IOW550" s="83" t="s">
        <v>151</v>
      </c>
      <c r="IOX550" s="83" t="s">
        <v>151</v>
      </c>
      <c r="IOY550" s="83" t="s">
        <v>151</v>
      </c>
      <c r="IOZ550" s="83" t="s">
        <v>151</v>
      </c>
      <c r="IPA550" s="83" t="s">
        <v>151</v>
      </c>
      <c r="IPB550" s="83" t="s">
        <v>151</v>
      </c>
      <c r="IPC550" s="83" t="s">
        <v>151</v>
      </c>
      <c r="IPD550" s="83" t="s">
        <v>151</v>
      </c>
      <c r="IPE550" s="83" t="s">
        <v>151</v>
      </c>
      <c r="IPF550" s="83" t="s">
        <v>151</v>
      </c>
      <c r="IPG550" s="83" t="s">
        <v>151</v>
      </c>
      <c r="IPH550" s="83" t="s">
        <v>151</v>
      </c>
      <c r="IPI550" s="83" t="s">
        <v>151</v>
      </c>
      <c r="IPJ550" s="83" t="s">
        <v>151</v>
      </c>
      <c r="IPK550" s="83" t="s">
        <v>151</v>
      </c>
      <c r="IPL550" s="83" t="s">
        <v>151</v>
      </c>
      <c r="IPM550" s="83" t="s">
        <v>151</v>
      </c>
      <c r="IPN550" s="83" t="s">
        <v>151</v>
      </c>
      <c r="IPO550" s="83" t="s">
        <v>151</v>
      </c>
      <c r="IPP550" s="83" t="s">
        <v>151</v>
      </c>
      <c r="IPQ550" s="83" t="s">
        <v>151</v>
      </c>
      <c r="IPR550" s="83" t="s">
        <v>151</v>
      </c>
      <c r="IPS550" s="83" t="s">
        <v>151</v>
      </c>
      <c r="IPT550" s="83" t="s">
        <v>151</v>
      </c>
      <c r="IPU550" s="83" t="s">
        <v>151</v>
      </c>
      <c r="IPV550" s="83" t="s">
        <v>151</v>
      </c>
      <c r="IPW550" s="83" t="s">
        <v>151</v>
      </c>
      <c r="IPX550" s="83" t="s">
        <v>151</v>
      </c>
      <c r="IPY550" s="83" t="s">
        <v>151</v>
      </c>
      <c r="IPZ550" s="83" t="s">
        <v>151</v>
      </c>
      <c r="IQA550" s="83" t="s">
        <v>151</v>
      </c>
      <c r="IQB550" s="83" t="s">
        <v>151</v>
      </c>
      <c r="IQC550" s="83" t="s">
        <v>151</v>
      </c>
      <c r="IQD550" s="83" t="s">
        <v>151</v>
      </c>
      <c r="IQE550" s="83" t="s">
        <v>151</v>
      </c>
      <c r="IQF550" s="83" t="s">
        <v>151</v>
      </c>
      <c r="IQG550" s="83" t="s">
        <v>151</v>
      </c>
      <c r="IQH550" s="83" t="s">
        <v>151</v>
      </c>
      <c r="IQI550" s="83" t="s">
        <v>151</v>
      </c>
      <c r="IQJ550" s="83" t="s">
        <v>151</v>
      </c>
      <c r="IQK550" s="83" t="s">
        <v>151</v>
      </c>
      <c r="IQL550" s="83" t="s">
        <v>151</v>
      </c>
      <c r="IQM550" s="83" t="s">
        <v>151</v>
      </c>
      <c r="IQN550" s="83" t="s">
        <v>151</v>
      </c>
      <c r="IQO550" s="83" t="s">
        <v>151</v>
      </c>
      <c r="IQP550" s="83" t="s">
        <v>151</v>
      </c>
      <c r="IQQ550" s="83" t="s">
        <v>151</v>
      </c>
      <c r="IQR550" s="83" t="s">
        <v>151</v>
      </c>
      <c r="IQS550" s="83" t="s">
        <v>151</v>
      </c>
      <c r="IQT550" s="83" t="s">
        <v>151</v>
      </c>
      <c r="IQU550" s="83" t="s">
        <v>151</v>
      </c>
      <c r="IQV550" s="83" t="s">
        <v>151</v>
      </c>
      <c r="IQW550" s="83" t="s">
        <v>151</v>
      </c>
      <c r="IQX550" s="83" t="s">
        <v>151</v>
      </c>
      <c r="IQY550" s="83" t="s">
        <v>151</v>
      </c>
      <c r="IQZ550" s="83" t="s">
        <v>151</v>
      </c>
      <c r="IRA550" s="83" t="s">
        <v>151</v>
      </c>
      <c r="IRB550" s="83" t="s">
        <v>151</v>
      </c>
      <c r="IRC550" s="83" t="s">
        <v>151</v>
      </c>
      <c r="IRD550" s="83" t="s">
        <v>151</v>
      </c>
      <c r="IRE550" s="83" t="s">
        <v>151</v>
      </c>
      <c r="IRF550" s="83" t="s">
        <v>151</v>
      </c>
      <c r="IRG550" s="83" t="s">
        <v>151</v>
      </c>
      <c r="IRH550" s="83" t="s">
        <v>151</v>
      </c>
      <c r="IRI550" s="83" t="s">
        <v>151</v>
      </c>
      <c r="IRJ550" s="83" t="s">
        <v>151</v>
      </c>
      <c r="IRK550" s="83" t="s">
        <v>151</v>
      </c>
      <c r="IRL550" s="83" t="s">
        <v>151</v>
      </c>
      <c r="IRM550" s="83" t="s">
        <v>151</v>
      </c>
      <c r="IRN550" s="83" t="s">
        <v>151</v>
      </c>
      <c r="IRO550" s="83" t="s">
        <v>151</v>
      </c>
      <c r="IRP550" s="83" t="s">
        <v>151</v>
      </c>
      <c r="IRQ550" s="83" t="s">
        <v>151</v>
      </c>
      <c r="IRR550" s="83" t="s">
        <v>151</v>
      </c>
      <c r="IRS550" s="83" t="s">
        <v>151</v>
      </c>
      <c r="IRT550" s="83" t="s">
        <v>151</v>
      </c>
      <c r="IRU550" s="83" t="s">
        <v>151</v>
      </c>
      <c r="IRV550" s="83" t="s">
        <v>151</v>
      </c>
      <c r="IRW550" s="83" t="s">
        <v>151</v>
      </c>
      <c r="IRX550" s="83" t="s">
        <v>151</v>
      </c>
      <c r="IRY550" s="83" t="s">
        <v>151</v>
      </c>
      <c r="IRZ550" s="83" t="s">
        <v>151</v>
      </c>
      <c r="ISA550" s="83" t="s">
        <v>151</v>
      </c>
      <c r="ISB550" s="83" t="s">
        <v>151</v>
      </c>
      <c r="ISC550" s="83" t="s">
        <v>151</v>
      </c>
      <c r="ISD550" s="83" t="s">
        <v>151</v>
      </c>
      <c r="ISE550" s="83" t="s">
        <v>151</v>
      </c>
      <c r="ISF550" s="83" t="s">
        <v>151</v>
      </c>
      <c r="ISG550" s="83" t="s">
        <v>151</v>
      </c>
      <c r="ISH550" s="83" t="s">
        <v>151</v>
      </c>
      <c r="ISI550" s="83" t="s">
        <v>151</v>
      </c>
      <c r="ISJ550" s="83" t="s">
        <v>151</v>
      </c>
      <c r="ISK550" s="83" t="s">
        <v>151</v>
      </c>
      <c r="ISL550" s="83" t="s">
        <v>151</v>
      </c>
      <c r="ISM550" s="83" t="s">
        <v>151</v>
      </c>
      <c r="ISN550" s="83" t="s">
        <v>151</v>
      </c>
      <c r="ISO550" s="83" t="s">
        <v>151</v>
      </c>
      <c r="ISP550" s="83" t="s">
        <v>151</v>
      </c>
      <c r="ISQ550" s="83" t="s">
        <v>151</v>
      </c>
      <c r="ISR550" s="83" t="s">
        <v>151</v>
      </c>
      <c r="ISS550" s="83" t="s">
        <v>151</v>
      </c>
      <c r="IST550" s="83" t="s">
        <v>151</v>
      </c>
      <c r="ISU550" s="83" t="s">
        <v>151</v>
      </c>
      <c r="ISV550" s="83" t="s">
        <v>151</v>
      </c>
      <c r="ISW550" s="83" t="s">
        <v>151</v>
      </c>
      <c r="ISX550" s="83" t="s">
        <v>151</v>
      </c>
      <c r="ISY550" s="83" t="s">
        <v>151</v>
      </c>
      <c r="ISZ550" s="83" t="s">
        <v>151</v>
      </c>
      <c r="ITA550" s="83" t="s">
        <v>151</v>
      </c>
      <c r="ITB550" s="83" t="s">
        <v>151</v>
      </c>
      <c r="ITC550" s="83" t="s">
        <v>151</v>
      </c>
      <c r="ITD550" s="83" t="s">
        <v>151</v>
      </c>
      <c r="ITE550" s="83" t="s">
        <v>151</v>
      </c>
      <c r="ITF550" s="83" t="s">
        <v>151</v>
      </c>
      <c r="ITG550" s="83" t="s">
        <v>151</v>
      </c>
      <c r="ITH550" s="83" t="s">
        <v>151</v>
      </c>
      <c r="ITI550" s="83" t="s">
        <v>151</v>
      </c>
      <c r="ITJ550" s="83" t="s">
        <v>151</v>
      </c>
      <c r="ITK550" s="83" t="s">
        <v>151</v>
      </c>
      <c r="ITL550" s="83" t="s">
        <v>151</v>
      </c>
      <c r="ITM550" s="83" t="s">
        <v>151</v>
      </c>
      <c r="ITN550" s="83" t="s">
        <v>151</v>
      </c>
      <c r="ITO550" s="83" t="s">
        <v>151</v>
      </c>
      <c r="ITP550" s="83" t="s">
        <v>151</v>
      </c>
      <c r="ITQ550" s="83" t="s">
        <v>151</v>
      </c>
      <c r="ITR550" s="83" t="s">
        <v>151</v>
      </c>
      <c r="ITS550" s="83" t="s">
        <v>151</v>
      </c>
      <c r="ITT550" s="83" t="s">
        <v>151</v>
      </c>
      <c r="ITU550" s="83" t="s">
        <v>151</v>
      </c>
      <c r="ITV550" s="83" t="s">
        <v>151</v>
      </c>
      <c r="ITW550" s="83" t="s">
        <v>151</v>
      </c>
      <c r="ITX550" s="83" t="s">
        <v>151</v>
      </c>
      <c r="ITY550" s="83" t="s">
        <v>151</v>
      </c>
      <c r="ITZ550" s="83" t="s">
        <v>151</v>
      </c>
      <c r="IUA550" s="83" t="s">
        <v>151</v>
      </c>
      <c r="IUB550" s="83" t="s">
        <v>151</v>
      </c>
      <c r="IUC550" s="83" t="s">
        <v>151</v>
      </c>
      <c r="IUD550" s="83" t="s">
        <v>151</v>
      </c>
      <c r="IUE550" s="83" t="s">
        <v>151</v>
      </c>
      <c r="IUF550" s="83" t="s">
        <v>151</v>
      </c>
      <c r="IUG550" s="83" t="s">
        <v>151</v>
      </c>
      <c r="IUH550" s="83" t="s">
        <v>151</v>
      </c>
      <c r="IUI550" s="83" t="s">
        <v>151</v>
      </c>
      <c r="IUJ550" s="83" t="s">
        <v>151</v>
      </c>
      <c r="IUK550" s="83" t="s">
        <v>151</v>
      </c>
      <c r="IUL550" s="83" t="s">
        <v>151</v>
      </c>
      <c r="IUM550" s="83" t="s">
        <v>151</v>
      </c>
      <c r="IUN550" s="83" t="s">
        <v>151</v>
      </c>
      <c r="IUO550" s="83" t="s">
        <v>151</v>
      </c>
      <c r="IUP550" s="83" t="s">
        <v>151</v>
      </c>
      <c r="IUQ550" s="83" t="s">
        <v>151</v>
      </c>
      <c r="IUR550" s="83" t="s">
        <v>151</v>
      </c>
      <c r="IUS550" s="83" t="s">
        <v>151</v>
      </c>
      <c r="IUT550" s="83" t="s">
        <v>151</v>
      </c>
      <c r="IUU550" s="83" t="s">
        <v>151</v>
      </c>
      <c r="IUV550" s="83" t="s">
        <v>151</v>
      </c>
      <c r="IUW550" s="83" t="s">
        <v>151</v>
      </c>
      <c r="IUX550" s="83" t="s">
        <v>151</v>
      </c>
      <c r="IUY550" s="83" t="s">
        <v>151</v>
      </c>
      <c r="IUZ550" s="83" t="s">
        <v>151</v>
      </c>
      <c r="IVA550" s="83" t="s">
        <v>151</v>
      </c>
      <c r="IVB550" s="83" t="s">
        <v>151</v>
      </c>
      <c r="IVC550" s="83" t="s">
        <v>151</v>
      </c>
      <c r="IVD550" s="83" t="s">
        <v>151</v>
      </c>
      <c r="IVE550" s="83" t="s">
        <v>151</v>
      </c>
      <c r="IVF550" s="83" t="s">
        <v>151</v>
      </c>
      <c r="IVG550" s="83" t="s">
        <v>151</v>
      </c>
      <c r="IVH550" s="83" t="s">
        <v>151</v>
      </c>
      <c r="IVI550" s="83" t="s">
        <v>151</v>
      </c>
      <c r="IVJ550" s="83" t="s">
        <v>151</v>
      </c>
      <c r="IVK550" s="83" t="s">
        <v>151</v>
      </c>
      <c r="IVL550" s="83" t="s">
        <v>151</v>
      </c>
      <c r="IVM550" s="83" t="s">
        <v>151</v>
      </c>
      <c r="IVN550" s="83" t="s">
        <v>151</v>
      </c>
      <c r="IVO550" s="83" t="s">
        <v>151</v>
      </c>
      <c r="IVP550" s="83" t="s">
        <v>151</v>
      </c>
      <c r="IVQ550" s="83" t="s">
        <v>151</v>
      </c>
      <c r="IVR550" s="83" t="s">
        <v>151</v>
      </c>
      <c r="IVS550" s="83" t="s">
        <v>151</v>
      </c>
      <c r="IVT550" s="83" t="s">
        <v>151</v>
      </c>
      <c r="IVU550" s="83" t="s">
        <v>151</v>
      </c>
      <c r="IVV550" s="83" t="s">
        <v>151</v>
      </c>
      <c r="IVW550" s="83" t="s">
        <v>151</v>
      </c>
      <c r="IVX550" s="83" t="s">
        <v>151</v>
      </c>
      <c r="IVY550" s="83" t="s">
        <v>151</v>
      </c>
      <c r="IVZ550" s="83" t="s">
        <v>151</v>
      </c>
      <c r="IWA550" s="83" t="s">
        <v>151</v>
      </c>
      <c r="IWB550" s="83" t="s">
        <v>151</v>
      </c>
      <c r="IWC550" s="83" t="s">
        <v>151</v>
      </c>
      <c r="IWD550" s="83" t="s">
        <v>151</v>
      </c>
      <c r="IWE550" s="83" t="s">
        <v>151</v>
      </c>
      <c r="IWF550" s="83" t="s">
        <v>151</v>
      </c>
      <c r="IWG550" s="83" t="s">
        <v>151</v>
      </c>
      <c r="IWH550" s="83" t="s">
        <v>151</v>
      </c>
      <c r="IWI550" s="83" t="s">
        <v>151</v>
      </c>
      <c r="IWJ550" s="83" t="s">
        <v>151</v>
      </c>
      <c r="IWK550" s="83" t="s">
        <v>151</v>
      </c>
      <c r="IWL550" s="83" t="s">
        <v>151</v>
      </c>
      <c r="IWM550" s="83" t="s">
        <v>151</v>
      </c>
      <c r="IWN550" s="83" t="s">
        <v>151</v>
      </c>
      <c r="IWO550" s="83" t="s">
        <v>151</v>
      </c>
      <c r="IWP550" s="83" t="s">
        <v>151</v>
      </c>
      <c r="IWQ550" s="83" t="s">
        <v>151</v>
      </c>
      <c r="IWR550" s="83" t="s">
        <v>151</v>
      </c>
      <c r="IWS550" s="83" t="s">
        <v>151</v>
      </c>
      <c r="IWT550" s="83" t="s">
        <v>151</v>
      </c>
      <c r="IWU550" s="83" t="s">
        <v>151</v>
      </c>
      <c r="IWV550" s="83" t="s">
        <v>151</v>
      </c>
      <c r="IWW550" s="83" t="s">
        <v>151</v>
      </c>
      <c r="IWX550" s="83" t="s">
        <v>151</v>
      </c>
      <c r="IWY550" s="83" t="s">
        <v>151</v>
      </c>
      <c r="IWZ550" s="83" t="s">
        <v>151</v>
      </c>
      <c r="IXA550" s="83" t="s">
        <v>151</v>
      </c>
      <c r="IXB550" s="83" t="s">
        <v>151</v>
      </c>
      <c r="IXC550" s="83" t="s">
        <v>151</v>
      </c>
      <c r="IXD550" s="83" t="s">
        <v>151</v>
      </c>
      <c r="IXE550" s="83" t="s">
        <v>151</v>
      </c>
      <c r="IXF550" s="83" t="s">
        <v>151</v>
      </c>
      <c r="IXG550" s="83" t="s">
        <v>151</v>
      </c>
      <c r="IXH550" s="83" t="s">
        <v>151</v>
      </c>
      <c r="IXI550" s="83" t="s">
        <v>151</v>
      </c>
      <c r="IXJ550" s="83" t="s">
        <v>151</v>
      </c>
      <c r="IXK550" s="83" t="s">
        <v>151</v>
      </c>
      <c r="IXL550" s="83" t="s">
        <v>151</v>
      </c>
      <c r="IXM550" s="83" t="s">
        <v>151</v>
      </c>
      <c r="IXN550" s="83" t="s">
        <v>151</v>
      </c>
      <c r="IXO550" s="83" t="s">
        <v>151</v>
      </c>
      <c r="IXP550" s="83" t="s">
        <v>151</v>
      </c>
      <c r="IXQ550" s="83" t="s">
        <v>151</v>
      </c>
      <c r="IXR550" s="83" t="s">
        <v>151</v>
      </c>
      <c r="IXS550" s="83" t="s">
        <v>151</v>
      </c>
      <c r="IXT550" s="83" t="s">
        <v>151</v>
      </c>
      <c r="IXU550" s="83" t="s">
        <v>151</v>
      </c>
      <c r="IXV550" s="83" t="s">
        <v>151</v>
      </c>
      <c r="IXW550" s="83" t="s">
        <v>151</v>
      </c>
      <c r="IXX550" s="83" t="s">
        <v>151</v>
      </c>
      <c r="IXY550" s="83" t="s">
        <v>151</v>
      </c>
      <c r="IXZ550" s="83" t="s">
        <v>151</v>
      </c>
      <c r="IYA550" s="83" t="s">
        <v>151</v>
      </c>
      <c r="IYB550" s="83" t="s">
        <v>151</v>
      </c>
      <c r="IYC550" s="83" t="s">
        <v>151</v>
      </c>
      <c r="IYD550" s="83" t="s">
        <v>151</v>
      </c>
      <c r="IYE550" s="83" t="s">
        <v>151</v>
      </c>
      <c r="IYF550" s="83" t="s">
        <v>151</v>
      </c>
      <c r="IYG550" s="83" t="s">
        <v>151</v>
      </c>
      <c r="IYH550" s="83" t="s">
        <v>151</v>
      </c>
      <c r="IYI550" s="83" t="s">
        <v>151</v>
      </c>
      <c r="IYJ550" s="83" t="s">
        <v>151</v>
      </c>
      <c r="IYK550" s="83" t="s">
        <v>151</v>
      </c>
      <c r="IYL550" s="83" t="s">
        <v>151</v>
      </c>
      <c r="IYM550" s="83" t="s">
        <v>151</v>
      </c>
      <c r="IYN550" s="83" t="s">
        <v>151</v>
      </c>
      <c r="IYO550" s="83" t="s">
        <v>151</v>
      </c>
      <c r="IYP550" s="83" t="s">
        <v>151</v>
      </c>
      <c r="IYQ550" s="83" t="s">
        <v>151</v>
      </c>
      <c r="IYR550" s="83" t="s">
        <v>151</v>
      </c>
      <c r="IYS550" s="83" t="s">
        <v>151</v>
      </c>
      <c r="IYT550" s="83" t="s">
        <v>151</v>
      </c>
      <c r="IYU550" s="83" t="s">
        <v>151</v>
      </c>
      <c r="IYV550" s="83" t="s">
        <v>151</v>
      </c>
      <c r="IYW550" s="83" t="s">
        <v>151</v>
      </c>
      <c r="IYX550" s="83" t="s">
        <v>151</v>
      </c>
      <c r="IYY550" s="83" t="s">
        <v>151</v>
      </c>
      <c r="IYZ550" s="83" t="s">
        <v>151</v>
      </c>
      <c r="IZA550" s="83" t="s">
        <v>151</v>
      </c>
      <c r="IZB550" s="83" t="s">
        <v>151</v>
      </c>
      <c r="IZC550" s="83" t="s">
        <v>151</v>
      </c>
      <c r="IZD550" s="83" t="s">
        <v>151</v>
      </c>
      <c r="IZE550" s="83" t="s">
        <v>151</v>
      </c>
      <c r="IZF550" s="83" t="s">
        <v>151</v>
      </c>
      <c r="IZG550" s="83" t="s">
        <v>151</v>
      </c>
      <c r="IZH550" s="83" t="s">
        <v>151</v>
      </c>
      <c r="IZI550" s="83" t="s">
        <v>151</v>
      </c>
      <c r="IZJ550" s="83" t="s">
        <v>151</v>
      </c>
      <c r="IZK550" s="83" t="s">
        <v>151</v>
      </c>
      <c r="IZL550" s="83" t="s">
        <v>151</v>
      </c>
      <c r="IZM550" s="83" t="s">
        <v>151</v>
      </c>
      <c r="IZN550" s="83" t="s">
        <v>151</v>
      </c>
      <c r="IZO550" s="83" t="s">
        <v>151</v>
      </c>
      <c r="IZP550" s="83" t="s">
        <v>151</v>
      </c>
      <c r="IZQ550" s="83" t="s">
        <v>151</v>
      </c>
      <c r="IZR550" s="83" t="s">
        <v>151</v>
      </c>
      <c r="IZS550" s="83" t="s">
        <v>151</v>
      </c>
      <c r="IZT550" s="83" t="s">
        <v>151</v>
      </c>
      <c r="IZU550" s="83" t="s">
        <v>151</v>
      </c>
      <c r="IZV550" s="83" t="s">
        <v>151</v>
      </c>
      <c r="IZW550" s="83" t="s">
        <v>151</v>
      </c>
      <c r="IZX550" s="83" t="s">
        <v>151</v>
      </c>
      <c r="IZY550" s="83" t="s">
        <v>151</v>
      </c>
      <c r="IZZ550" s="83" t="s">
        <v>151</v>
      </c>
      <c r="JAA550" s="83" t="s">
        <v>151</v>
      </c>
      <c r="JAB550" s="83" t="s">
        <v>151</v>
      </c>
      <c r="JAC550" s="83" t="s">
        <v>151</v>
      </c>
      <c r="JAD550" s="83" t="s">
        <v>151</v>
      </c>
      <c r="JAE550" s="83" t="s">
        <v>151</v>
      </c>
      <c r="JAF550" s="83" t="s">
        <v>151</v>
      </c>
      <c r="JAG550" s="83" t="s">
        <v>151</v>
      </c>
      <c r="JAH550" s="83" t="s">
        <v>151</v>
      </c>
      <c r="JAI550" s="83" t="s">
        <v>151</v>
      </c>
      <c r="JAJ550" s="83" t="s">
        <v>151</v>
      </c>
      <c r="JAK550" s="83" t="s">
        <v>151</v>
      </c>
      <c r="JAL550" s="83" t="s">
        <v>151</v>
      </c>
      <c r="JAM550" s="83" t="s">
        <v>151</v>
      </c>
      <c r="JAN550" s="83" t="s">
        <v>151</v>
      </c>
      <c r="JAO550" s="83" t="s">
        <v>151</v>
      </c>
      <c r="JAP550" s="83" t="s">
        <v>151</v>
      </c>
      <c r="JAQ550" s="83" t="s">
        <v>151</v>
      </c>
      <c r="JAR550" s="83" t="s">
        <v>151</v>
      </c>
      <c r="JAS550" s="83" t="s">
        <v>151</v>
      </c>
      <c r="JAT550" s="83" t="s">
        <v>151</v>
      </c>
      <c r="JAU550" s="83" t="s">
        <v>151</v>
      </c>
      <c r="JAV550" s="83" t="s">
        <v>151</v>
      </c>
      <c r="JAW550" s="83" t="s">
        <v>151</v>
      </c>
      <c r="JAX550" s="83" t="s">
        <v>151</v>
      </c>
      <c r="JAY550" s="83" t="s">
        <v>151</v>
      </c>
      <c r="JAZ550" s="83" t="s">
        <v>151</v>
      </c>
      <c r="JBA550" s="83" t="s">
        <v>151</v>
      </c>
      <c r="JBB550" s="83" t="s">
        <v>151</v>
      </c>
      <c r="JBC550" s="83" t="s">
        <v>151</v>
      </c>
      <c r="JBD550" s="83" t="s">
        <v>151</v>
      </c>
      <c r="JBE550" s="83" t="s">
        <v>151</v>
      </c>
      <c r="JBF550" s="83" t="s">
        <v>151</v>
      </c>
      <c r="JBG550" s="83" t="s">
        <v>151</v>
      </c>
      <c r="JBH550" s="83" t="s">
        <v>151</v>
      </c>
      <c r="JBI550" s="83" t="s">
        <v>151</v>
      </c>
      <c r="JBJ550" s="83" t="s">
        <v>151</v>
      </c>
      <c r="JBK550" s="83" t="s">
        <v>151</v>
      </c>
      <c r="JBL550" s="83" t="s">
        <v>151</v>
      </c>
      <c r="JBM550" s="83" t="s">
        <v>151</v>
      </c>
      <c r="JBN550" s="83" t="s">
        <v>151</v>
      </c>
      <c r="JBO550" s="83" t="s">
        <v>151</v>
      </c>
      <c r="JBP550" s="83" t="s">
        <v>151</v>
      </c>
      <c r="JBQ550" s="83" t="s">
        <v>151</v>
      </c>
      <c r="JBR550" s="83" t="s">
        <v>151</v>
      </c>
      <c r="JBS550" s="83" t="s">
        <v>151</v>
      </c>
      <c r="JBT550" s="83" t="s">
        <v>151</v>
      </c>
      <c r="JBU550" s="83" t="s">
        <v>151</v>
      </c>
      <c r="JBV550" s="83" t="s">
        <v>151</v>
      </c>
      <c r="JBW550" s="83" t="s">
        <v>151</v>
      </c>
      <c r="JBX550" s="83" t="s">
        <v>151</v>
      </c>
      <c r="JBY550" s="83" t="s">
        <v>151</v>
      </c>
      <c r="JBZ550" s="83" t="s">
        <v>151</v>
      </c>
      <c r="JCA550" s="83" t="s">
        <v>151</v>
      </c>
      <c r="JCB550" s="83" t="s">
        <v>151</v>
      </c>
      <c r="JCC550" s="83" t="s">
        <v>151</v>
      </c>
      <c r="JCD550" s="83" t="s">
        <v>151</v>
      </c>
      <c r="JCE550" s="83" t="s">
        <v>151</v>
      </c>
      <c r="JCF550" s="83" t="s">
        <v>151</v>
      </c>
      <c r="JCG550" s="83" t="s">
        <v>151</v>
      </c>
      <c r="JCH550" s="83" t="s">
        <v>151</v>
      </c>
      <c r="JCI550" s="83" t="s">
        <v>151</v>
      </c>
      <c r="JCJ550" s="83" t="s">
        <v>151</v>
      </c>
      <c r="JCK550" s="83" t="s">
        <v>151</v>
      </c>
      <c r="JCL550" s="83" t="s">
        <v>151</v>
      </c>
      <c r="JCM550" s="83" t="s">
        <v>151</v>
      </c>
      <c r="JCN550" s="83" t="s">
        <v>151</v>
      </c>
      <c r="JCO550" s="83" t="s">
        <v>151</v>
      </c>
      <c r="JCP550" s="83" t="s">
        <v>151</v>
      </c>
      <c r="JCQ550" s="83" t="s">
        <v>151</v>
      </c>
      <c r="JCR550" s="83" t="s">
        <v>151</v>
      </c>
      <c r="JCS550" s="83" t="s">
        <v>151</v>
      </c>
      <c r="JCT550" s="83" t="s">
        <v>151</v>
      </c>
      <c r="JCU550" s="83" t="s">
        <v>151</v>
      </c>
      <c r="JCV550" s="83" t="s">
        <v>151</v>
      </c>
      <c r="JCW550" s="83" t="s">
        <v>151</v>
      </c>
      <c r="JCX550" s="83" t="s">
        <v>151</v>
      </c>
      <c r="JCY550" s="83" t="s">
        <v>151</v>
      </c>
      <c r="JCZ550" s="83" t="s">
        <v>151</v>
      </c>
      <c r="JDA550" s="83" t="s">
        <v>151</v>
      </c>
      <c r="JDB550" s="83" t="s">
        <v>151</v>
      </c>
      <c r="JDC550" s="83" t="s">
        <v>151</v>
      </c>
      <c r="JDD550" s="83" t="s">
        <v>151</v>
      </c>
      <c r="JDE550" s="83" t="s">
        <v>151</v>
      </c>
      <c r="JDF550" s="83" t="s">
        <v>151</v>
      </c>
      <c r="JDG550" s="83" t="s">
        <v>151</v>
      </c>
      <c r="JDH550" s="83" t="s">
        <v>151</v>
      </c>
      <c r="JDI550" s="83" t="s">
        <v>151</v>
      </c>
      <c r="JDJ550" s="83" t="s">
        <v>151</v>
      </c>
      <c r="JDK550" s="83" t="s">
        <v>151</v>
      </c>
      <c r="JDL550" s="83" t="s">
        <v>151</v>
      </c>
      <c r="JDM550" s="83" t="s">
        <v>151</v>
      </c>
      <c r="JDN550" s="83" t="s">
        <v>151</v>
      </c>
      <c r="JDO550" s="83" t="s">
        <v>151</v>
      </c>
      <c r="JDP550" s="83" t="s">
        <v>151</v>
      </c>
      <c r="JDQ550" s="83" t="s">
        <v>151</v>
      </c>
      <c r="JDR550" s="83" t="s">
        <v>151</v>
      </c>
      <c r="JDS550" s="83" t="s">
        <v>151</v>
      </c>
      <c r="JDT550" s="83" t="s">
        <v>151</v>
      </c>
      <c r="JDU550" s="83" t="s">
        <v>151</v>
      </c>
      <c r="JDV550" s="83" t="s">
        <v>151</v>
      </c>
      <c r="JDW550" s="83" t="s">
        <v>151</v>
      </c>
      <c r="JDX550" s="83" t="s">
        <v>151</v>
      </c>
      <c r="JDY550" s="83" t="s">
        <v>151</v>
      </c>
      <c r="JDZ550" s="83" t="s">
        <v>151</v>
      </c>
      <c r="JEA550" s="83" t="s">
        <v>151</v>
      </c>
      <c r="JEB550" s="83" t="s">
        <v>151</v>
      </c>
      <c r="JEC550" s="83" t="s">
        <v>151</v>
      </c>
      <c r="JED550" s="83" t="s">
        <v>151</v>
      </c>
      <c r="JEE550" s="83" t="s">
        <v>151</v>
      </c>
      <c r="JEF550" s="83" t="s">
        <v>151</v>
      </c>
      <c r="JEG550" s="83" t="s">
        <v>151</v>
      </c>
      <c r="JEH550" s="83" t="s">
        <v>151</v>
      </c>
      <c r="JEI550" s="83" t="s">
        <v>151</v>
      </c>
      <c r="JEJ550" s="83" t="s">
        <v>151</v>
      </c>
      <c r="JEK550" s="83" t="s">
        <v>151</v>
      </c>
      <c r="JEL550" s="83" t="s">
        <v>151</v>
      </c>
      <c r="JEM550" s="83" t="s">
        <v>151</v>
      </c>
      <c r="JEN550" s="83" t="s">
        <v>151</v>
      </c>
      <c r="JEO550" s="83" t="s">
        <v>151</v>
      </c>
      <c r="JEP550" s="83" t="s">
        <v>151</v>
      </c>
      <c r="JEQ550" s="83" t="s">
        <v>151</v>
      </c>
      <c r="JER550" s="83" t="s">
        <v>151</v>
      </c>
      <c r="JES550" s="83" t="s">
        <v>151</v>
      </c>
      <c r="JET550" s="83" t="s">
        <v>151</v>
      </c>
      <c r="JEU550" s="83" t="s">
        <v>151</v>
      </c>
      <c r="JEV550" s="83" t="s">
        <v>151</v>
      </c>
      <c r="JEW550" s="83" t="s">
        <v>151</v>
      </c>
      <c r="JEX550" s="83" t="s">
        <v>151</v>
      </c>
      <c r="JEY550" s="83" t="s">
        <v>151</v>
      </c>
      <c r="JEZ550" s="83" t="s">
        <v>151</v>
      </c>
      <c r="JFA550" s="83" t="s">
        <v>151</v>
      </c>
      <c r="JFB550" s="83" t="s">
        <v>151</v>
      </c>
      <c r="JFC550" s="83" t="s">
        <v>151</v>
      </c>
      <c r="JFD550" s="83" t="s">
        <v>151</v>
      </c>
      <c r="JFE550" s="83" t="s">
        <v>151</v>
      </c>
      <c r="JFF550" s="83" t="s">
        <v>151</v>
      </c>
      <c r="JFG550" s="83" t="s">
        <v>151</v>
      </c>
      <c r="JFH550" s="83" t="s">
        <v>151</v>
      </c>
      <c r="JFI550" s="83" t="s">
        <v>151</v>
      </c>
      <c r="JFJ550" s="83" t="s">
        <v>151</v>
      </c>
      <c r="JFK550" s="83" t="s">
        <v>151</v>
      </c>
      <c r="JFL550" s="83" t="s">
        <v>151</v>
      </c>
      <c r="JFM550" s="83" t="s">
        <v>151</v>
      </c>
      <c r="JFN550" s="83" t="s">
        <v>151</v>
      </c>
      <c r="JFO550" s="83" t="s">
        <v>151</v>
      </c>
      <c r="JFP550" s="83" t="s">
        <v>151</v>
      </c>
      <c r="JFQ550" s="83" t="s">
        <v>151</v>
      </c>
      <c r="JFR550" s="83" t="s">
        <v>151</v>
      </c>
      <c r="JFS550" s="83" t="s">
        <v>151</v>
      </c>
      <c r="JFT550" s="83" t="s">
        <v>151</v>
      </c>
      <c r="JFU550" s="83" t="s">
        <v>151</v>
      </c>
      <c r="JFV550" s="83" t="s">
        <v>151</v>
      </c>
      <c r="JFW550" s="83" t="s">
        <v>151</v>
      </c>
      <c r="JFX550" s="83" t="s">
        <v>151</v>
      </c>
      <c r="JFY550" s="83" t="s">
        <v>151</v>
      </c>
      <c r="JFZ550" s="83" t="s">
        <v>151</v>
      </c>
      <c r="JGA550" s="83" t="s">
        <v>151</v>
      </c>
      <c r="JGB550" s="83" t="s">
        <v>151</v>
      </c>
      <c r="JGC550" s="83" t="s">
        <v>151</v>
      </c>
      <c r="JGD550" s="83" t="s">
        <v>151</v>
      </c>
      <c r="JGE550" s="83" t="s">
        <v>151</v>
      </c>
      <c r="JGF550" s="83" t="s">
        <v>151</v>
      </c>
      <c r="JGG550" s="83" t="s">
        <v>151</v>
      </c>
      <c r="JGH550" s="83" t="s">
        <v>151</v>
      </c>
      <c r="JGI550" s="83" t="s">
        <v>151</v>
      </c>
      <c r="JGJ550" s="83" t="s">
        <v>151</v>
      </c>
      <c r="JGK550" s="83" t="s">
        <v>151</v>
      </c>
      <c r="JGL550" s="83" t="s">
        <v>151</v>
      </c>
      <c r="JGM550" s="83" t="s">
        <v>151</v>
      </c>
      <c r="JGN550" s="83" t="s">
        <v>151</v>
      </c>
      <c r="JGO550" s="83" t="s">
        <v>151</v>
      </c>
      <c r="JGP550" s="83" t="s">
        <v>151</v>
      </c>
      <c r="JGQ550" s="83" t="s">
        <v>151</v>
      </c>
      <c r="JGR550" s="83" t="s">
        <v>151</v>
      </c>
      <c r="JGS550" s="83" t="s">
        <v>151</v>
      </c>
      <c r="JGT550" s="83" t="s">
        <v>151</v>
      </c>
      <c r="JGU550" s="83" t="s">
        <v>151</v>
      </c>
      <c r="JGV550" s="83" t="s">
        <v>151</v>
      </c>
      <c r="JGW550" s="83" t="s">
        <v>151</v>
      </c>
      <c r="JGX550" s="83" t="s">
        <v>151</v>
      </c>
      <c r="JGY550" s="83" t="s">
        <v>151</v>
      </c>
      <c r="JGZ550" s="83" t="s">
        <v>151</v>
      </c>
      <c r="JHA550" s="83" t="s">
        <v>151</v>
      </c>
      <c r="JHB550" s="83" t="s">
        <v>151</v>
      </c>
      <c r="JHC550" s="83" t="s">
        <v>151</v>
      </c>
      <c r="JHD550" s="83" t="s">
        <v>151</v>
      </c>
      <c r="JHE550" s="83" t="s">
        <v>151</v>
      </c>
      <c r="JHF550" s="83" t="s">
        <v>151</v>
      </c>
      <c r="JHG550" s="83" t="s">
        <v>151</v>
      </c>
      <c r="JHH550" s="83" t="s">
        <v>151</v>
      </c>
      <c r="JHI550" s="83" t="s">
        <v>151</v>
      </c>
      <c r="JHJ550" s="83" t="s">
        <v>151</v>
      </c>
      <c r="JHK550" s="83" t="s">
        <v>151</v>
      </c>
      <c r="JHL550" s="83" t="s">
        <v>151</v>
      </c>
      <c r="JHM550" s="83" t="s">
        <v>151</v>
      </c>
      <c r="JHN550" s="83" t="s">
        <v>151</v>
      </c>
      <c r="JHO550" s="83" t="s">
        <v>151</v>
      </c>
      <c r="JHP550" s="83" t="s">
        <v>151</v>
      </c>
      <c r="JHQ550" s="83" t="s">
        <v>151</v>
      </c>
      <c r="JHR550" s="83" t="s">
        <v>151</v>
      </c>
      <c r="JHS550" s="83" t="s">
        <v>151</v>
      </c>
      <c r="JHT550" s="83" t="s">
        <v>151</v>
      </c>
      <c r="JHU550" s="83" t="s">
        <v>151</v>
      </c>
      <c r="JHV550" s="83" t="s">
        <v>151</v>
      </c>
      <c r="JHW550" s="83" t="s">
        <v>151</v>
      </c>
      <c r="JHX550" s="83" t="s">
        <v>151</v>
      </c>
      <c r="JHY550" s="83" t="s">
        <v>151</v>
      </c>
      <c r="JHZ550" s="83" t="s">
        <v>151</v>
      </c>
      <c r="JIA550" s="83" t="s">
        <v>151</v>
      </c>
      <c r="JIB550" s="83" t="s">
        <v>151</v>
      </c>
      <c r="JIC550" s="83" t="s">
        <v>151</v>
      </c>
      <c r="JID550" s="83" t="s">
        <v>151</v>
      </c>
      <c r="JIE550" s="83" t="s">
        <v>151</v>
      </c>
      <c r="JIF550" s="83" t="s">
        <v>151</v>
      </c>
      <c r="JIG550" s="83" t="s">
        <v>151</v>
      </c>
      <c r="JIH550" s="83" t="s">
        <v>151</v>
      </c>
      <c r="JII550" s="83" t="s">
        <v>151</v>
      </c>
      <c r="JIJ550" s="83" t="s">
        <v>151</v>
      </c>
      <c r="JIK550" s="83" t="s">
        <v>151</v>
      </c>
      <c r="JIL550" s="83" t="s">
        <v>151</v>
      </c>
      <c r="JIM550" s="83" t="s">
        <v>151</v>
      </c>
      <c r="JIN550" s="83" t="s">
        <v>151</v>
      </c>
      <c r="JIO550" s="83" t="s">
        <v>151</v>
      </c>
      <c r="JIP550" s="83" t="s">
        <v>151</v>
      </c>
      <c r="JIQ550" s="83" t="s">
        <v>151</v>
      </c>
      <c r="JIR550" s="83" t="s">
        <v>151</v>
      </c>
      <c r="JIS550" s="83" t="s">
        <v>151</v>
      </c>
      <c r="JIT550" s="83" t="s">
        <v>151</v>
      </c>
      <c r="JIU550" s="83" t="s">
        <v>151</v>
      </c>
      <c r="JIV550" s="83" t="s">
        <v>151</v>
      </c>
      <c r="JIW550" s="83" t="s">
        <v>151</v>
      </c>
      <c r="JIX550" s="83" t="s">
        <v>151</v>
      </c>
      <c r="JIY550" s="83" t="s">
        <v>151</v>
      </c>
      <c r="JIZ550" s="83" t="s">
        <v>151</v>
      </c>
      <c r="JJA550" s="83" t="s">
        <v>151</v>
      </c>
      <c r="JJB550" s="83" t="s">
        <v>151</v>
      </c>
      <c r="JJC550" s="83" t="s">
        <v>151</v>
      </c>
      <c r="JJD550" s="83" t="s">
        <v>151</v>
      </c>
      <c r="JJE550" s="83" t="s">
        <v>151</v>
      </c>
      <c r="JJF550" s="83" t="s">
        <v>151</v>
      </c>
      <c r="JJG550" s="83" t="s">
        <v>151</v>
      </c>
      <c r="JJH550" s="83" t="s">
        <v>151</v>
      </c>
      <c r="JJI550" s="83" t="s">
        <v>151</v>
      </c>
      <c r="JJJ550" s="83" t="s">
        <v>151</v>
      </c>
      <c r="JJK550" s="83" t="s">
        <v>151</v>
      </c>
      <c r="JJL550" s="83" t="s">
        <v>151</v>
      </c>
      <c r="JJM550" s="83" t="s">
        <v>151</v>
      </c>
      <c r="JJN550" s="83" t="s">
        <v>151</v>
      </c>
      <c r="JJO550" s="83" t="s">
        <v>151</v>
      </c>
      <c r="JJP550" s="83" t="s">
        <v>151</v>
      </c>
      <c r="JJQ550" s="83" t="s">
        <v>151</v>
      </c>
      <c r="JJR550" s="83" t="s">
        <v>151</v>
      </c>
      <c r="JJS550" s="83" t="s">
        <v>151</v>
      </c>
      <c r="JJT550" s="83" t="s">
        <v>151</v>
      </c>
      <c r="JJU550" s="83" t="s">
        <v>151</v>
      </c>
      <c r="JJV550" s="83" t="s">
        <v>151</v>
      </c>
      <c r="JJW550" s="83" t="s">
        <v>151</v>
      </c>
      <c r="JJX550" s="83" t="s">
        <v>151</v>
      </c>
      <c r="JJY550" s="83" t="s">
        <v>151</v>
      </c>
      <c r="JJZ550" s="83" t="s">
        <v>151</v>
      </c>
      <c r="JKA550" s="83" t="s">
        <v>151</v>
      </c>
      <c r="JKB550" s="83" t="s">
        <v>151</v>
      </c>
      <c r="JKC550" s="83" t="s">
        <v>151</v>
      </c>
      <c r="JKD550" s="83" t="s">
        <v>151</v>
      </c>
      <c r="JKE550" s="83" t="s">
        <v>151</v>
      </c>
      <c r="JKF550" s="83" t="s">
        <v>151</v>
      </c>
      <c r="JKG550" s="83" t="s">
        <v>151</v>
      </c>
      <c r="JKH550" s="83" t="s">
        <v>151</v>
      </c>
      <c r="JKI550" s="83" t="s">
        <v>151</v>
      </c>
      <c r="JKJ550" s="83" t="s">
        <v>151</v>
      </c>
      <c r="JKK550" s="83" t="s">
        <v>151</v>
      </c>
      <c r="JKL550" s="83" t="s">
        <v>151</v>
      </c>
      <c r="JKM550" s="83" t="s">
        <v>151</v>
      </c>
      <c r="JKN550" s="83" t="s">
        <v>151</v>
      </c>
      <c r="JKO550" s="83" t="s">
        <v>151</v>
      </c>
      <c r="JKP550" s="83" t="s">
        <v>151</v>
      </c>
      <c r="JKQ550" s="83" t="s">
        <v>151</v>
      </c>
      <c r="JKR550" s="83" t="s">
        <v>151</v>
      </c>
      <c r="JKS550" s="83" t="s">
        <v>151</v>
      </c>
      <c r="JKT550" s="83" t="s">
        <v>151</v>
      </c>
      <c r="JKU550" s="83" t="s">
        <v>151</v>
      </c>
      <c r="JKV550" s="83" t="s">
        <v>151</v>
      </c>
      <c r="JKW550" s="83" t="s">
        <v>151</v>
      </c>
      <c r="JKX550" s="83" t="s">
        <v>151</v>
      </c>
      <c r="JKY550" s="83" t="s">
        <v>151</v>
      </c>
      <c r="JKZ550" s="83" t="s">
        <v>151</v>
      </c>
      <c r="JLA550" s="83" t="s">
        <v>151</v>
      </c>
      <c r="JLB550" s="83" t="s">
        <v>151</v>
      </c>
      <c r="JLC550" s="83" t="s">
        <v>151</v>
      </c>
      <c r="JLD550" s="83" t="s">
        <v>151</v>
      </c>
      <c r="JLE550" s="83" t="s">
        <v>151</v>
      </c>
      <c r="JLF550" s="83" t="s">
        <v>151</v>
      </c>
      <c r="JLG550" s="83" t="s">
        <v>151</v>
      </c>
      <c r="JLH550" s="83" t="s">
        <v>151</v>
      </c>
      <c r="JLI550" s="83" t="s">
        <v>151</v>
      </c>
      <c r="JLJ550" s="83" t="s">
        <v>151</v>
      </c>
      <c r="JLK550" s="83" t="s">
        <v>151</v>
      </c>
      <c r="JLL550" s="83" t="s">
        <v>151</v>
      </c>
      <c r="JLM550" s="83" t="s">
        <v>151</v>
      </c>
      <c r="JLN550" s="83" t="s">
        <v>151</v>
      </c>
      <c r="JLO550" s="83" t="s">
        <v>151</v>
      </c>
      <c r="JLP550" s="83" t="s">
        <v>151</v>
      </c>
      <c r="JLQ550" s="83" t="s">
        <v>151</v>
      </c>
      <c r="JLR550" s="83" t="s">
        <v>151</v>
      </c>
      <c r="JLS550" s="83" t="s">
        <v>151</v>
      </c>
      <c r="JLT550" s="83" t="s">
        <v>151</v>
      </c>
      <c r="JLU550" s="83" t="s">
        <v>151</v>
      </c>
      <c r="JLV550" s="83" t="s">
        <v>151</v>
      </c>
      <c r="JLW550" s="83" t="s">
        <v>151</v>
      </c>
      <c r="JLX550" s="83" t="s">
        <v>151</v>
      </c>
      <c r="JLY550" s="83" t="s">
        <v>151</v>
      </c>
      <c r="JLZ550" s="83" t="s">
        <v>151</v>
      </c>
      <c r="JMA550" s="83" t="s">
        <v>151</v>
      </c>
      <c r="JMB550" s="83" t="s">
        <v>151</v>
      </c>
      <c r="JMC550" s="83" t="s">
        <v>151</v>
      </c>
      <c r="JMD550" s="83" t="s">
        <v>151</v>
      </c>
      <c r="JME550" s="83" t="s">
        <v>151</v>
      </c>
      <c r="JMF550" s="83" t="s">
        <v>151</v>
      </c>
      <c r="JMG550" s="83" t="s">
        <v>151</v>
      </c>
      <c r="JMH550" s="83" t="s">
        <v>151</v>
      </c>
      <c r="JMI550" s="83" t="s">
        <v>151</v>
      </c>
      <c r="JMJ550" s="83" t="s">
        <v>151</v>
      </c>
      <c r="JMK550" s="83" t="s">
        <v>151</v>
      </c>
      <c r="JML550" s="83" t="s">
        <v>151</v>
      </c>
      <c r="JMM550" s="83" t="s">
        <v>151</v>
      </c>
      <c r="JMN550" s="83" t="s">
        <v>151</v>
      </c>
      <c r="JMO550" s="83" t="s">
        <v>151</v>
      </c>
      <c r="JMP550" s="83" t="s">
        <v>151</v>
      </c>
      <c r="JMQ550" s="83" t="s">
        <v>151</v>
      </c>
      <c r="JMR550" s="83" t="s">
        <v>151</v>
      </c>
      <c r="JMS550" s="83" t="s">
        <v>151</v>
      </c>
      <c r="JMT550" s="83" t="s">
        <v>151</v>
      </c>
      <c r="JMU550" s="83" t="s">
        <v>151</v>
      </c>
      <c r="JMV550" s="83" t="s">
        <v>151</v>
      </c>
      <c r="JMW550" s="83" t="s">
        <v>151</v>
      </c>
      <c r="JMX550" s="83" t="s">
        <v>151</v>
      </c>
      <c r="JMY550" s="83" t="s">
        <v>151</v>
      </c>
      <c r="JMZ550" s="83" t="s">
        <v>151</v>
      </c>
      <c r="JNA550" s="83" t="s">
        <v>151</v>
      </c>
      <c r="JNB550" s="83" t="s">
        <v>151</v>
      </c>
      <c r="JNC550" s="83" t="s">
        <v>151</v>
      </c>
      <c r="JND550" s="83" t="s">
        <v>151</v>
      </c>
      <c r="JNE550" s="83" t="s">
        <v>151</v>
      </c>
      <c r="JNF550" s="83" t="s">
        <v>151</v>
      </c>
      <c r="JNG550" s="83" t="s">
        <v>151</v>
      </c>
      <c r="JNH550" s="83" t="s">
        <v>151</v>
      </c>
      <c r="JNI550" s="83" t="s">
        <v>151</v>
      </c>
      <c r="JNJ550" s="83" t="s">
        <v>151</v>
      </c>
      <c r="JNK550" s="83" t="s">
        <v>151</v>
      </c>
      <c r="JNL550" s="83" t="s">
        <v>151</v>
      </c>
      <c r="JNM550" s="83" t="s">
        <v>151</v>
      </c>
      <c r="JNN550" s="83" t="s">
        <v>151</v>
      </c>
      <c r="JNO550" s="83" t="s">
        <v>151</v>
      </c>
      <c r="JNP550" s="83" t="s">
        <v>151</v>
      </c>
      <c r="JNQ550" s="83" t="s">
        <v>151</v>
      </c>
      <c r="JNR550" s="83" t="s">
        <v>151</v>
      </c>
      <c r="JNS550" s="83" t="s">
        <v>151</v>
      </c>
      <c r="JNT550" s="83" t="s">
        <v>151</v>
      </c>
      <c r="JNU550" s="83" t="s">
        <v>151</v>
      </c>
      <c r="JNV550" s="83" t="s">
        <v>151</v>
      </c>
      <c r="JNW550" s="83" t="s">
        <v>151</v>
      </c>
      <c r="JNX550" s="83" t="s">
        <v>151</v>
      </c>
      <c r="JNY550" s="83" t="s">
        <v>151</v>
      </c>
      <c r="JNZ550" s="83" t="s">
        <v>151</v>
      </c>
      <c r="JOA550" s="83" t="s">
        <v>151</v>
      </c>
      <c r="JOB550" s="83" t="s">
        <v>151</v>
      </c>
      <c r="JOC550" s="83" t="s">
        <v>151</v>
      </c>
      <c r="JOD550" s="83" t="s">
        <v>151</v>
      </c>
      <c r="JOE550" s="83" t="s">
        <v>151</v>
      </c>
      <c r="JOF550" s="83" t="s">
        <v>151</v>
      </c>
      <c r="JOG550" s="83" t="s">
        <v>151</v>
      </c>
      <c r="JOH550" s="83" t="s">
        <v>151</v>
      </c>
      <c r="JOI550" s="83" t="s">
        <v>151</v>
      </c>
      <c r="JOJ550" s="83" t="s">
        <v>151</v>
      </c>
      <c r="JOK550" s="83" t="s">
        <v>151</v>
      </c>
      <c r="JOL550" s="83" t="s">
        <v>151</v>
      </c>
      <c r="JOM550" s="83" t="s">
        <v>151</v>
      </c>
      <c r="JON550" s="83" t="s">
        <v>151</v>
      </c>
      <c r="JOO550" s="83" t="s">
        <v>151</v>
      </c>
      <c r="JOP550" s="83" t="s">
        <v>151</v>
      </c>
      <c r="JOQ550" s="83" t="s">
        <v>151</v>
      </c>
      <c r="JOR550" s="83" t="s">
        <v>151</v>
      </c>
      <c r="JOS550" s="83" t="s">
        <v>151</v>
      </c>
      <c r="JOT550" s="83" t="s">
        <v>151</v>
      </c>
      <c r="JOU550" s="83" t="s">
        <v>151</v>
      </c>
      <c r="JOV550" s="83" t="s">
        <v>151</v>
      </c>
      <c r="JOW550" s="83" t="s">
        <v>151</v>
      </c>
      <c r="JOX550" s="83" t="s">
        <v>151</v>
      </c>
      <c r="JOY550" s="83" t="s">
        <v>151</v>
      </c>
      <c r="JOZ550" s="83" t="s">
        <v>151</v>
      </c>
      <c r="JPA550" s="83" t="s">
        <v>151</v>
      </c>
      <c r="JPB550" s="83" t="s">
        <v>151</v>
      </c>
      <c r="JPC550" s="83" t="s">
        <v>151</v>
      </c>
      <c r="JPD550" s="83" t="s">
        <v>151</v>
      </c>
      <c r="JPE550" s="83" t="s">
        <v>151</v>
      </c>
      <c r="JPF550" s="83" t="s">
        <v>151</v>
      </c>
      <c r="JPG550" s="83" t="s">
        <v>151</v>
      </c>
      <c r="JPH550" s="83" t="s">
        <v>151</v>
      </c>
      <c r="JPI550" s="83" t="s">
        <v>151</v>
      </c>
      <c r="JPJ550" s="83" t="s">
        <v>151</v>
      </c>
      <c r="JPK550" s="83" t="s">
        <v>151</v>
      </c>
      <c r="JPL550" s="83" t="s">
        <v>151</v>
      </c>
      <c r="JPM550" s="83" t="s">
        <v>151</v>
      </c>
      <c r="JPN550" s="83" t="s">
        <v>151</v>
      </c>
      <c r="JPO550" s="83" t="s">
        <v>151</v>
      </c>
      <c r="JPP550" s="83" t="s">
        <v>151</v>
      </c>
      <c r="JPQ550" s="83" t="s">
        <v>151</v>
      </c>
      <c r="JPR550" s="83" t="s">
        <v>151</v>
      </c>
      <c r="JPS550" s="83" t="s">
        <v>151</v>
      </c>
      <c r="JPT550" s="83" t="s">
        <v>151</v>
      </c>
      <c r="JPU550" s="83" t="s">
        <v>151</v>
      </c>
      <c r="JPV550" s="83" t="s">
        <v>151</v>
      </c>
      <c r="JPW550" s="83" t="s">
        <v>151</v>
      </c>
      <c r="JPX550" s="83" t="s">
        <v>151</v>
      </c>
      <c r="JPY550" s="83" t="s">
        <v>151</v>
      </c>
      <c r="JPZ550" s="83" t="s">
        <v>151</v>
      </c>
      <c r="JQA550" s="83" t="s">
        <v>151</v>
      </c>
      <c r="JQB550" s="83" t="s">
        <v>151</v>
      </c>
      <c r="JQC550" s="83" t="s">
        <v>151</v>
      </c>
      <c r="JQD550" s="83" t="s">
        <v>151</v>
      </c>
      <c r="JQE550" s="83" t="s">
        <v>151</v>
      </c>
      <c r="JQF550" s="83" t="s">
        <v>151</v>
      </c>
      <c r="JQG550" s="83" t="s">
        <v>151</v>
      </c>
      <c r="JQH550" s="83" t="s">
        <v>151</v>
      </c>
      <c r="JQI550" s="83" t="s">
        <v>151</v>
      </c>
      <c r="JQJ550" s="83" t="s">
        <v>151</v>
      </c>
      <c r="JQK550" s="83" t="s">
        <v>151</v>
      </c>
      <c r="JQL550" s="83" t="s">
        <v>151</v>
      </c>
      <c r="JQM550" s="83" t="s">
        <v>151</v>
      </c>
      <c r="JQN550" s="83" t="s">
        <v>151</v>
      </c>
      <c r="JQO550" s="83" t="s">
        <v>151</v>
      </c>
      <c r="JQP550" s="83" t="s">
        <v>151</v>
      </c>
      <c r="JQQ550" s="83" t="s">
        <v>151</v>
      </c>
      <c r="JQR550" s="83" t="s">
        <v>151</v>
      </c>
      <c r="JQS550" s="83" t="s">
        <v>151</v>
      </c>
      <c r="JQT550" s="83" t="s">
        <v>151</v>
      </c>
      <c r="JQU550" s="83" t="s">
        <v>151</v>
      </c>
      <c r="JQV550" s="83" t="s">
        <v>151</v>
      </c>
      <c r="JQW550" s="83" t="s">
        <v>151</v>
      </c>
      <c r="JQX550" s="83" t="s">
        <v>151</v>
      </c>
      <c r="JQY550" s="83" t="s">
        <v>151</v>
      </c>
      <c r="JQZ550" s="83" t="s">
        <v>151</v>
      </c>
      <c r="JRA550" s="83" t="s">
        <v>151</v>
      </c>
      <c r="JRB550" s="83" t="s">
        <v>151</v>
      </c>
      <c r="JRC550" s="83" t="s">
        <v>151</v>
      </c>
      <c r="JRD550" s="83" t="s">
        <v>151</v>
      </c>
      <c r="JRE550" s="83" t="s">
        <v>151</v>
      </c>
      <c r="JRF550" s="83" t="s">
        <v>151</v>
      </c>
      <c r="JRG550" s="83" t="s">
        <v>151</v>
      </c>
      <c r="JRH550" s="83" t="s">
        <v>151</v>
      </c>
      <c r="JRI550" s="83" t="s">
        <v>151</v>
      </c>
      <c r="JRJ550" s="83" t="s">
        <v>151</v>
      </c>
      <c r="JRK550" s="83" t="s">
        <v>151</v>
      </c>
      <c r="JRL550" s="83" t="s">
        <v>151</v>
      </c>
      <c r="JRM550" s="83" t="s">
        <v>151</v>
      </c>
      <c r="JRN550" s="83" t="s">
        <v>151</v>
      </c>
      <c r="JRO550" s="83" t="s">
        <v>151</v>
      </c>
      <c r="JRP550" s="83" t="s">
        <v>151</v>
      </c>
      <c r="JRQ550" s="83" t="s">
        <v>151</v>
      </c>
      <c r="JRR550" s="83" t="s">
        <v>151</v>
      </c>
      <c r="JRS550" s="83" t="s">
        <v>151</v>
      </c>
      <c r="JRT550" s="83" t="s">
        <v>151</v>
      </c>
      <c r="JRU550" s="83" t="s">
        <v>151</v>
      </c>
      <c r="JRV550" s="83" t="s">
        <v>151</v>
      </c>
      <c r="JRW550" s="83" t="s">
        <v>151</v>
      </c>
      <c r="JRX550" s="83" t="s">
        <v>151</v>
      </c>
      <c r="JRY550" s="83" t="s">
        <v>151</v>
      </c>
      <c r="JRZ550" s="83" t="s">
        <v>151</v>
      </c>
      <c r="JSA550" s="83" t="s">
        <v>151</v>
      </c>
      <c r="JSB550" s="83" t="s">
        <v>151</v>
      </c>
      <c r="JSC550" s="83" t="s">
        <v>151</v>
      </c>
      <c r="JSD550" s="83" t="s">
        <v>151</v>
      </c>
      <c r="JSE550" s="83" t="s">
        <v>151</v>
      </c>
      <c r="JSF550" s="83" t="s">
        <v>151</v>
      </c>
      <c r="JSG550" s="83" t="s">
        <v>151</v>
      </c>
      <c r="JSH550" s="83" t="s">
        <v>151</v>
      </c>
      <c r="JSI550" s="83" t="s">
        <v>151</v>
      </c>
      <c r="JSJ550" s="83" t="s">
        <v>151</v>
      </c>
      <c r="JSK550" s="83" t="s">
        <v>151</v>
      </c>
      <c r="JSL550" s="83" t="s">
        <v>151</v>
      </c>
      <c r="JSM550" s="83" t="s">
        <v>151</v>
      </c>
      <c r="JSN550" s="83" t="s">
        <v>151</v>
      </c>
      <c r="JSO550" s="83" t="s">
        <v>151</v>
      </c>
      <c r="JSP550" s="83" t="s">
        <v>151</v>
      </c>
      <c r="JSQ550" s="83" t="s">
        <v>151</v>
      </c>
      <c r="JSR550" s="83" t="s">
        <v>151</v>
      </c>
      <c r="JSS550" s="83" t="s">
        <v>151</v>
      </c>
      <c r="JST550" s="83" t="s">
        <v>151</v>
      </c>
      <c r="JSU550" s="83" t="s">
        <v>151</v>
      </c>
      <c r="JSV550" s="83" t="s">
        <v>151</v>
      </c>
      <c r="JSW550" s="83" t="s">
        <v>151</v>
      </c>
      <c r="JSX550" s="83" t="s">
        <v>151</v>
      </c>
      <c r="JSY550" s="83" t="s">
        <v>151</v>
      </c>
      <c r="JSZ550" s="83" t="s">
        <v>151</v>
      </c>
      <c r="JTA550" s="83" t="s">
        <v>151</v>
      </c>
      <c r="JTB550" s="83" t="s">
        <v>151</v>
      </c>
      <c r="JTC550" s="83" t="s">
        <v>151</v>
      </c>
      <c r="JTD550" s="83" t="s">
        <v>151</v>
      </c>
      <c r="JTE550" s="83" t="s">
        <v>151</v>
      </c>
      <c r="JTF550" s="83" t="s">
        <v>151</v>
      </c>
      <c r="JTG550" s="83" t="s">
        <v>151</v>
      </c>
      <c r="JTH550" s="83" t="s">
        <v>151</v>
      </c>
      <c r="JTI550" s="83" t="s">
        <v>151</v>
      </c>
      <c r="JTJ550" s="83" t="s">
        <v>151</v>
      </c>
      <c r="JTK550" s="83" t="s">
        <v>151</v>
      </c>
      <c r="JTL550" s="83" t="s">
        <v>151</v>
      </c>
      <c r="JTM550" s="83" t="s">
        <v>151</v>
      </c>
      <c r="JTN550" s="83" t="s">
        <v>151</v>
      </c>
      <c r="JTO550" s="83" t="s">
        <v>151</v>
      </c>
      <c r="JTP550" s="83" t="s">
        <v>151</v>
      </c>
      <c r="JTQ550" s="83" t="s">
        <v>151</v>
      </c>
      <c r="JTR550" s="83" t="s">
        <v>151</v>
      </c>
      <c r="JTS550" s="83" t="s">
        <v>151</v>
      </c>
      <c r="JTT550" s="83" t="s">
        <v>151</v>
      </c>
      <c r="JTU550" s="83" t="s">
        <v>151</v>
      </c>
      <c r="JTV550" s="83" t="s">
        <v>151</v>
      </c>
      <c r="JTW550" s="83" t="s">
        <v>151</v>
      </c>
      <c r="JTX550" s="83" t="s">
        <v>151</v>
      </c>
      <c r="JTY550" s="83" t="s">
        <v>151</v>
      </c>
      <c r="JTZ550" s="83" t="s">
        <v>151</v>
      </c>
      <c r="JUA550" s="83" t="s">
        <v>151</v>
      </c>
      <c r="JUB550" s="83" t="s">
        <v>151</v>
      </c>
      <c r="JUC550" s="83" t="s">
        <v>151</v>
      </c>
      <c r="JUD550" s="83" t="s">
        <v>151</v>
      </c>
      <c r="JUE550" s="83" t="s">
        <v>151</v>
      </c>
      <c r="JUF550" s="83" t="s">
        <v>151</v>
      </c>
      <c r="JUG550" s="83" t="s">
        <v>151</v>
      </c>
      <c r="JUH550" s="83" t="s">
        <v>151</v>
      </c>
      <c r="JUI550" s="83" t="s">
        <v>151</v>
      </c>
      <c r="JUJ550" s="83" t="s">
        <v>151</v>
      </c>
      <c r="JUK550" s="83" t="s">
        <v>151</v>
      </c>
      <c r="JUL550" s="83" t="s">
        <v>151</v>
      </c>
      <c r="JUM550" s="83" t="s">
        <v>151</v>
      </c>
      <c r="JUN550" s="83" t="s">
        <v>151</v>
      </c>
      <c r="JUO550" s="83" t="s">
        <v>151</v>
      </c>
      <c r="JUP550" s="83" t="s">
        <v>151</v>
      </c>
      <c r="JUQ550" s="83" t="s">
        <v>151</v>
      </c>
      <c r="JUR550" s="83" t="s">
        <v>151</v>
      </c>
      <c r="JUS550" s="83" t="s">
        <v>151</v>
      </c>
      <c r="JUT550" s="83" t="s">
        <v>151</v>
      </c>
      <c r="JUU550" s="83" t="s">
        <v>151</v>
      </c>
      <c r="JUV550" s="83" t="s">
        <v>151</v>
      </c>
      <c r="JUW550" s="83" t="s">
        <v>151</v>
      </c>
      <c r="JUX550" s="83" t="s">
        <v>151</v>
      </c>
      <c r="JUY550" s="83" t="s">
        <v>151</v>
      </c>
      <c r="JUZ550" s="83" t="s">
        <v>151</v>
      </c>
      <c r="JVA550" s="83" t="s">
        <v>151</v>
      </c>
      <c r="JVB550" s="83" t="s">
        <v>151</v>
      </c>
      <c r="JVC550" s="83" t="s">
        <v>151</v>
      </c>
      <c r="JVD550" s="83" t="s">
        <v>151</v>
      </c>
      <c r="JVE550" s="83" t="s">
        <v>151</v>
      </c>
      <c r="JVF550" s="83" t="s">
        <v>151</v>
      </c>
      <c r="JVG550" s="83" t="s">
        <v>151</v>
      </c>
      <c r="JVH550" s="83" t="s">
        <v>151</v>
      </c>
      <c r="JVI550" s="83" t="s">
        <v>151</v>
      </c>
      <c r="JVJ550" s="83" t="s">
        <v>151</v>
      </c>
      <c r="JVK550" s="83" t="s">
        <v>151</v>
      </c>
      <c r="JVL550" s="83" t="s">
        <v>151</v>
      </c>
      <c r="JVM550" s="83" t="s">
        <v>151</v>
      </c>
      <c r="JVN550" s="83" t="s">
        <v>151</v>
      </c>
      <c r="JVO550" s="83" t="s">
        <v>151</v>
      </c>
      <c r="JVP550" s="83" t="s">
        <v>151</v>
      </c>
      <c r="JVQ550" s="83" t="s">
        <v>151</v>
      </c>
      <c r="JVR550" s="83" t="s">
        <v>151</v>
      </c>
      <c r="JVS550" s="83" t="s">
        <v>151</v>
      </c>
      <c r="JVT550" s="83" t="s">
        <v>151</v>
      </c>
      <c r="JVU550" s="83" t="s">
        <v>151</v>
      </c>
      <c r="JVV550" s="83" t="s">
        <v>151</v>
      </c>
      <c r="JVW550" s="83" t="s">
        <v>151</v>
      </c>
      <c r="JVX550" s="83" t="s">
        <v>151</v>
      </c>
      <c r="JVY550" s="83" t="s">
        <v>151</v>
      </c>
      <c r="JVZ550" s="83" t="s">
        <v>151</v>
      </c>
      <c r="JWA550" s="83" t="s">
        <v>151</v>
      </c>
      <c r="JWB550" s="83" t="s">
        <v>151</v>
      </c>
      <c r="JWC550" s="83" t="s">
        <v>151</v>
      </c>
      <c r="JWD550" s="83" t="s">
        <v>151</v>
      </c>
      <c r="JWE550" s="83" t="s">
        <v>151</v>
      </c>
      <c r="JWF550" s="83" t="s">
        <v>151</v>
      </c>
      <c r="JWG550" s="83" t="s">
        <v>151</v>
      </c>
      <c r="JWH550" s="83" t="s">
        <v>151</v>
      </c>
      <c r="JWI550" s="83" t="s">
        <v>151</v>
      </c>
      <c r="JWJ550" s="83" t="s">
        <v>151</v>
      </c>
      <c r="JWK550" s="83" t="s">
        <v>151</v>
      </c>
      <c r="JWL550" s="83" t="s">
        <v>151</v>
      </c>
      <c r="JWM550" s="83" t="s">
        <v>151</v>
      </c>
      <c r="JWN550" s="83" t="s">
        <v>151</v>
      </c>
      <c r="JWO550" s="83" t="s">
        <v>151</v>
      </c>
      <c r="JWP550" s="83" t="s">
        <v>151</v>
      </c>
      <c r="JWQ550" s="83" t="s">
        <v>151</v>
      </c>
      <c r="JWR550" s="83" t="s">
        <v>151</v>
      </c>
      <c r="JWS550" s="83" t="s">
        <v>151</v>
      </c>
      <c r="JWT550" s="83" t="s">
        <v>151</v>
      </c>
      <c r="JWU550" s="83" t="s">
        <v>151</v>
      </c>
      <c r="JWV550" s="83" t="s">
        <v>151</v>
      </c>
      <c r="JWW550" s="83" t="s">
        <v>151</v>
      </c>
      <c r="JWX550" s="83" t="s">
        <v>151</v>
      </c>
      <c r="JWY550" s="83" t="s">
        <v>151</v>
      </c>
      <c r="JWZ550" s="83" t="s">
        <v>151</v>
      </c>
      <c r="JXA550" s="83" t="s">
        <v>151</v>
      </c>
      <c r="JXB550" s="83" t="s">
        <v>151</v>
      </c>
      <c r="JXC550" s="83" t="s">
        <v>151</v>
      </c>
      <c r="JXD550" s="83" t="s">
        <v>151</v>
      </c>
      <c r="JXE550" s="83" t="s">
        <v>151</v>
      </c>
      <c r="JXF550" s="83" t="s">
        <v>151</v>
      </c>
      <c r="JXG550" s="83" t="s">
        <v>151</v>
      </c>
      <c r="JXH550" s="83" t="s">
        <v>151</v>
      </c>
      <c r="JXI550" s="83" t="s">
        <v>151</v>
      </c>
      <c r="JXJ550" s="83" t="s">
        <v>151</v>
      </c>
      <c r="JXK550" s="83" t="s">
        <v>151</v>
      </c>
      <c r="JXL550" s="83" t="s">
        <v>151</v>
      </c>
      <c r="JXM550" s="83" t="s">
        <v>151</v>
      </c>
      <c r="JXN550" s="83" t="s">
        <v>151</v>
      </c>
      <c r="JXO550" s="83" t="s">
        <v>151</v>
      </c>
      <c r="JXP550" s="83" t="s">
        <v>151</v>
      </c>
      <c r="JXQ550" s="83" t="s">
        <v>151</v>
      </c>
      <c r="JXR550" s="83" t="s">
        <v>151</v>
      </c>
      <c r="JXS550" s="83" t="s">
        <v>151</v>
      </c>
      <c r="JXT550" s="83" t="s">
        <v>151</v>
      </c>
      <c r="JXU550" s="83" t="s">
        <v>151</v>
      </c>
      <c r="JXV550" s="83" t="s">
        <v>151</v>
      </c>
      <c r="JXW550" s="83" t="s">
        <v>151</v>
      </c>
      <c r="JXX550" s="83" t="s">
        <v>151</v>
      </c>
      <c r="JXY550" s="83" t="s">
        <v>151</v>
      </c>
      <c r="JXZ550" s="83" t="s">
        <v>151</v>
      </c>
      <c r="JYA550" s="83" t="s">
        <v>151</v>
      </c>
      <c r="JYB550" s="83" t="s">
        <v>151</v>
      </c>
      <c r="JYC550" s="83" t="s">
        <v>151</v>
      </c>
      <c r="JYD550" s="83" t="s">
        <v>151</v>
      </c>
      <c r="JYE550" s="83" t="s">
        <v>151</v>
      </c>
      <c r="JYF550" s="83" t="s">
        <v>151</v>
      </c>
      <c r="JYG550" s="83" t="s">
        <v>151</v>
      </c>
      <c r="JYH550" s="83" t="s">
        <v>151</v>
      </c>
      <c r="JYI550" s="83" t="s">
        <v>151</v>
      </c>
      <c r="JYJ550" s="83" t="s">
        <v>151</v>
      </c>
      <c r="JYK550" s="83" t="s">
        <v>151</v>
      </c>
      <c r="JYL550" s="83" t="s">
        <v>151</v>
      </c>
      <c r="JYM550" s="83" t="s">
        <v>151</v>
      </c>
      <c r="JYN550" s="83" t="s">
        <v>151</v>
      </c>
      <c r="JYO550" s="83" t="s">
        <v>151</v>
      </c>
      <c r="JYP550" s="83" t="s">
        <v>151</v>
      </c>
      <c r="JYQ550" s="83" t="s">
        <v>151</v>
      </c>
      <c r="JYR550" s="83" t="s">
        <v>151</v>
      </c>
      <c r="JYS550" s="83" t="s">
        <v>151</v>
      </c>
      <c r="JYT550" s="83" t="s">
        <v>151</v>
      </c>
      <c r="JYU550" s="83" t="s">
        <v>151</v>
      </c>
      <c r="JYV550" s="83" t="s">
        <v>151</v>
      </c>
      <c r="JYW550" s="83" t="s">
        <v>151</v>
      </c>
      <c r="JYX550" s="83" t="s">
        <v>151</v>
      </c>
      <c r="JYY550" s="83" t="s">
        <v>151</v>
      </c>
      <c r="JYZ550" s="83" t="s">
        <v>151</v>
      </c>
      <c r="JZA550" s="83" t="s">
        <v>151</v>
      </c>
      <c r="JZB550" s="83" t="s">
        <v>151</v>
      </c>
      <c r="JZC550" s="83" t="s">
        <v>151</v>
      </c>
      <c r="JZD550" s="83" t="s">
        <v>151</v>
      </c>
      <c r="JZE550" s="83" t="s">
        <v>151</v>
      </c>
      <c r="JZF550" s="83" t="s">
        <v>151</v>
      </c>
      <c r="JZG550" s="83" t="s">
        <v>151</v>
      </c>
      <c r="JZH550" s="83" t="s">
        <v>151</v>
      </c>
      <c r="JZI550" s="83" t="s">
        <v>151</v>
      </c>
      <c r="JZJ550" s="83" t="s">
        <v>151</v>
      </c>
      <c r="JZK550" s="83" t="s">
        <v>151</v>
      </c>
      <c r="JZL550" s="83" t="s">
        <v>151</v>
      </c>
      <c r="JZM550" s="83" t="s">
        <v>151</v>
      </c>
      <c r="JZN550" s="83" t="s">
        <v>151</v>
      </c>
      <c r="JZO550" s="83" t="s">
        <v>151</v>
      </c>
      <c r="JZP550" s="83" t="s">
        <v>151</v>
      </c>
      <c r="JZQ550" s="83" t="s">
        <v>151</v>
      </c>
      <c r="JZR550" s="83" t="s">
        <v>151</v>
      </c>
      <c r="JZS550" s="83" t="s">
        <v>151</v>
      </c>
      <c r="JZT550" s="83" t="s">
        <v>151</v>
      </c>
      <c r="JZU550" s="83" t="s">
        <v>151</v>
      </c>
      <c r="JZV550" s="83" t="s">
        <v>151</v>
      </c>
      <c r="JZW550" s="83" t="s">
        <v>151</v>
      </c>
      <c r="JZX550" s="83" t="s">
        <v>151</v>
      </c>
      <c r="JZY550" s="83" t="s">
        <v>151</v>
      </c>
      <c r="JZZ550" s="83" t="s">
        <v>151</v>
      </c>
      <c r="KAA550" s="83" t="s">
        <v>151</v>
      </c>
      <c r="KAB550" s="83" t="s">
        <v>151</v>
      </c>
      <c r="KAC550" s="83" t="s">
        <v>151</v>
      </c>
      <c r="KAD550" s="83" t="s">
        <v>151</v>
      </c>
      <c r="KAE550" s="83" t="s">
        <v>151</v>
      </c>
      <c r="KAF550" s="83" t="s">
        <v>151</v>
      </c>
      <c r="KAG550" s="83" t="s">
        <v>151</v>
      </c>
      <c r="KAH550" s="83" t="s">
        <v>151</v>
      </c>
      <c r="KAI550" s="83" t="s">
        <v>151</v>
      </c>
      <c r="KAJ550" s="83" t="s">
        <v>151</v>
      </c>
      <c r="KAK550" s="83" t="s">
        <v>151</v>
      </c>
      <c r="KAL550" s="83" t="s">
        <v>151</v>
      </c>
      <c r="KAM550" s="83" t="s">
        <v>151</v>
      </c>
      <c r="KAN550" s="83" t="s">
        <v>151</v>
      </c>
      <c r="KAO550" s="83" t="s">
        <v>151</v>
      </c>
      <c r="KAP550" s="83" t="s">
        <v>151</v>
      </c>
      <c r="KAQ550" s="83" t="s">
        <v>151</v>
      </c>
      <c r="KAR550" s="83" t="s">
        <v>151</v>
      </c>
      <c r="KAS550" s="83" t="s">
        <v>151</v>
      </c>
      <c r="KAT550" s="83" t="s">
        <v>151</v>
      </c>
      <c r="KAU550" s="83" t="s">
        <v>151</v>
      </c>
      <c r="KAV550" s="83" t="s">
        <v>151</v>
      </c>
      <c r="KAW550" s="83" t="s">
        <v>151</v>
      </c>
      <c r="KAX550" s="83" t="s">
        <v>151</v>
      </c>
      <c r="KAY550" s="83" t="s">
        <v>151</v>
      </c>
      <c r="KAZ550" s="83" t="s">
        <v>151</v>
      </c>
      <c r="KBA550" s="83" t="s">
        <v>151</v>
      </c>
      <c r="KBB550" s="83" t="s">
        <v>151</v>
      </c>
      <c r="KBC550" s="83" t="s">
        <v>151</v>
      </c>
      <c r="KBD550" s="83" t="s">
        <v>151</v>
      </c>
      <c r="KBE550" s="83" t="s">
        <v>151</v>
      </c>
      <c r="KBF550" s="83" t="s">
        <v>151</v>
      </c>
      <c r="KBG550" s="83" t="s">
        <v>151</v>
      </c>
      <c r="KBH550" s="83" t="s">
        <v>151</v>
      </c>
      <c r="KBI550" s="83" t="s">
        <v>151</v>
      </c>
      <c r="KBJ550" s="83" t="s">
        <v>151</v>
      </c>
      <c r="KBK550" s="83" t="s">
        <v>151</v>
      </c>
      <c r="KBL550" s="83" t="s">
        <v>151</v>
      </c>
      <c r="KBM550" s="83" t="s">
        <v>151</v>
      </c>
      <c r="KBN550" s="83" t="s">
        <v>151</v>
      </c>
      <c r="KBO550" s="83" t="s">
        <v>151</v>
      </c>
      <c r="KBP550" s="83" t="s">
        <v>151</v>
      </c>
      <c r="KBQ550" s="83" t="s">
        <v>151</v>
      </c>
      <c r="KBR550" s="83" t="s">
        <v>151</v>
      </c>
      <c r="KBS550" s="83" t="s">
        <v>151</v>
      </c>
      <c r="KBT550" s="83" t="s">
        <v>151</v>
      </c>
      <c r="KBU550" s="83" t="s">
        <v>151</v>
      </c>
      <c r="KBV550" s="83" t="s">
        <v>151</v>
      </c>
      <c r="KBW550" s="83" t="s">
        <v>151</v>
      </c>
      <c r="KBX550" s="83" t="s">
        <v>151</v>
      </c>
      <c r="KBY550" s="83" t="s">
        <v>151</v>
      </c>
      <c r="KBZ550" s="83" t="s">
        <v>151</v>
      </c>
      <c r="KCA550" s="83" t="s">
        <v>151</v>
      </c>
      <c r="KCB550" s="83" t="s">
        <v>151</v>
      </c>
      <c r="KCC550" s="83" t="s">
        <v>151</v>
      </c>
      <c r="KCD550" s="83" t="s">
        <v>151</v>
      </c>
      <c r="KCE550" s="83" t="s">
        <v>151</v>
      </c>
      <c r="KCF550" s="83" t="s">
        <v>151</v>
      </c>
      <c r="KCG550" s="83" t="s">
        <v>151</v>
      </c>
      <c r="KCH550" s="83" t="s">
        <v>151</v>
      </c>
      <c r="KCI550" s="83" t="s">
        <v>151</v>
      </c>
      <c r="KCJ550" s="83" t="s">
        <v>151</v>
      </c>
      <c r="KCK550" s="83" t="s">
        <v>151</v>
      </c>
      <c r="KCL550" s="83" t="s">
        <v>151</v>
      </c>
      <c r="KCM550" s="83" t="s">
        <v>151</v>
      </c>
      <c r="KCN550" s="83" t="s">
        <v>151</v>
      </c>
      <c r="KCO550" s="83" t="s">
        <v>151</v>
      </c>
      <c r="KCP550" s="83" t="s">
        <v>151</v>
      </c>
      <c r="KCQ550" s="83" t="s">
        <v>151</v>
      </c>
      <c r="KCR550" s="83" t="s">
        <v>151</v>
      </c>
      <c r="KCS550" s="83" t="s">
        <v>151</v>
      </c>
      <c r="KCT550" s="83" t="s">
        <v>151</v>
      </c>
      <c r="KCU550" s="83" t="s">
        <v>151</v>
      </c>
      <c r="KCV550" s="83" t="s">
        <v>151</v>
      </c>
      <c r="KCW550" s="83" t="s">
        <v>151</v>
      </c>
      <c r="KCX550" s="83" t="s">
        <v>151</v>
      </c>
      <c r="KCY550" s="83" t="s">
        <v>151</v>
      </c>
      <c r="KCZ550" s="83" t="s">
        <v>151</v>
      </c>
      <c r="KDA550" s="83" t="s">
        <v>151</v>
      </c>
      <c r="KDB550" s="83" t="s">
        <v>151</v>
      </c>
      <c r="KDC550" s="83" t="s">
        <v>151</v>
      </c>
      <c r="KDD550" s="83" t="s">
        <v>151</v>
      </c>
      <c r="KDE550" s="83" t="s">
        <v>151</v>
      </c>
      <c r="KDF550" s="83" t="s">
        <v>151</v>
      </c>
      <c r="KDG550" s="83" t="s">
        <v>151</v>
      </c>
      <c r="KDH550" s="83" t="s">
        <v>151</v>
      </c>
      <c r="KDI550" s="83" t="s">
        <v>151</v>
      </c>
      <c r="KDJ550" s="83" t="s">
        <v>151</v>
      </c>
      <c r="KDK550" s="83" t="s">
        <v>151</v>
      </c>
      <c r="KDL550" s="83" t="s">
        <v>151</v>
      </c>
      <c r="KDM550" s="83" t="s">
        <v>151</v>
      </c>
      <c r="KDN550" s="83" t="s">
        <v>151</v>
      </c>
      <c r="KDO550" s="83" t="s">
        <v>151</v>
      </c>
      <c r="KDP550" s="83" t="s">
        <v>151</v>
      </c>
      <c r="KDQ550" s="83" t="s">
        <v>151</v>
      </c>
      <c r="KDR550" s="83" t="s">
        <v>151</v>
      </c>
      <c r="KDS550" s="83" t="s">
        <v>151</v>
      </c>
      <c r="KDT550" s="83" t="s">
        <v>151</v>
      </c>
      <c r="KDU550" s="83" t="s">
        <v>151</v>
      </c>
      <c r="KDV550" s="83" t="s">
        <v>151</v>
      </c>
      <c r="KDW550" s="83" t="s">
        <v>151</v>
      </c>
      <c r="KDX550" s="83" t="s">
        <v>151</v>
      </c>
      <c r="KDY550" s="83" t="s">
        <v>151</v>
      </c>
      <c r="KDZ550" s="83" t="s">
        <v>151</v>
      </c>
      <c r="KEA550" s="83" t="s">
        <v>151</v>
      </c>
      <c r="KEB550" s="83" t="s">
        <v>151</v>
      </c>
      <c r="KEC550" s="83" t="s">
        <v>151</v>
      </c>
      <c r="KED550" s="83" t="s">
        <v>151</v>
      </c>
      <c r="KEE550" s="83" t="s">
        <v>151</v>
      </c>
      <c r="KEF550" s="83" t="s">
        <v>151</v>
      </c>
      <c r="KEG550" s="83" t="s">
        <v>151</v>
      </c>
      <c r="KEH550" s="83" t="s">
        <v>151</v>
      </c>
      <c r="KEI550" s="83" t="s">
        <v>151</v>
      </c>
      <c r="KEJ550" s="83" t="s">
        <v>151</v>
      </c>
      <c r="KEK550" s="83" t="s">
        <v>151</v>
      </c>
      <c r="KEL550" s="83" t="s">
        <v>151</v>
      </c>
      <c r="KEM550" s="83" t="s">
        <v>151</v>
      </c>
      <c r="KEN550" s="83" t="s">
        <v>151</v>
      </c>
      <c r="KEO550" s="83" t="s">
        <v>151</v>
      </c>
      <c r="KEP550" s="83" t="s">
        <v>151</v>
      </c>
      <c r="KEQ550" s="83" t="s">
        <v>151</v>
      </c>
      <c r="KER550" s="83" t="s">
        <v>151</v>
      </c>
      <c r="KES550" s="83" t="s">
        <v>151</v>
      </c>
      <c r="KET550" s="83" t="s">
        <v>151</v>
      </c>
      <c r="KEU550" s="83" t="s">
        <v>151</v>
      </c>
      <c r="KEV550" s="83" t="s">
        <v>151</v>
      </c>
      <c r="KEW550" s="83" t="s">
        <v>151</v>
      </c>
      <c r="KEX550" s="83" t="s">
        <v>151</v>
      </c>
      <c r="KEY550" s="83" t="s">
        <v>151</v>
      </c>
      <c r="KEZ550" s="83" t="s">
        <v>151</v>
      </c>
      <c r="KFA550" s="83" t="s">
        <v>151</v>
      </c>
      <c r="KFB550" s="83" t="s">
        <v>151</v>
      </c>
      <c r="KFC550" s="83" t="s">
        <v>151</v>
      </c>
      <c r="KFD550" s="83" t="s">
        <v>151</v>
      </c>
      <c r="KFE550" s="83" t="s">
        <v>151</v>
      </c>
      <c r="KFF550" s="83" t="s">
        <v>151</v>
      </c>
      <c r="KFG550" s="83" t="s">
        <v>151</v>
      </c>
      <c r="KFH550" s="83" t="s">
        <v>151</v>
      </c>
      <c r="KFI550" s="83" t="s">
        <v>151</v>
      </c>
      <c r="KFJ550" s="83" t="s">
        <v>151</v>
      </c>
      <c r="KFK550" s="83" t="s">
        <v>151</v>
      </c>
      <c r="KFL550" s="83" t="s">
        <v>151</v>
      </c>
      <c r="KFM550" s="83" t="s">
        <v>151</v>
      </c>
      <c r="KFN550" s="83" t="s">
        <v>151</v>
      </c>
      <c r="KFO550" s="83" t="s">
        <v>151</v>
      </c>
      <c r="KFP550" s="83" t="s">
        <v>151</v>
      </c>
      <c r="KFQ550" s="83" t="s">
        <v>151</v>
      </c>
      <c r="KFR550" s="83" t="s">
        <v>151</v>
      </c>
      <c r="KFS550" s="83" t="s">
        <v>151</v>
      </c>
      <c r="KFT550" s="83" t="s">
        <v>151</v>
      </c>
      <c r="KFU550" s="83" t="s">
        <v>151</v>
      </c>
      <c r="KFV550" s="83" t="s">
        <v>151</v>
      </c>
      <c r="KFW550" s="83" t="s">
        <v>151</v>
      </c>
      <c r="KFX550" s="83" t="s">
        <v>151</v>
      </c>
      <c r="KFY550" s="83" t="s">
        <v>151</v>
      </c>
      <c r="KFZ550" s="83" t="s">
        <v>151</v>
      </c>
      <c r="KGA550" s="83" t="s">
        <v>151</v>
      </c>
      <c r="KGB550" s="83" t="s">
        <v>151</v>
      </c>
      <c r="KGC550" s="83" t="s">
        <v>151</v>
      </c>
      <c r="KGD550" s="83" t="s">
        <v>151</v>
      </c>
      <c r="KGE550" s="83" t="s">
        <v>151</v>
      </c>
      <c r="KGF550" s="83" t="s">
        <v>151</v>
      </c>
      <c r="KGG550" s="83" t="s">
        <v>151</v>
      </c>
      <c r="KGH550" s="83" t="s">
        <v>151</v>
      </c>
      <c r="KGI550" s="83" t="s">
        <v>151</v>
      </c>
      <c r="KGJ550" s="83" t="s">
        <v>151</v>
      </c>
      <c r="KGK550" s="83" t="s">
        <v>151</v>
      </c>
      <c r="KGL550" s="83" t="s">
        <v>151</v>
      </c>
      <c r="KGM550" s="83" t="s">
        <v>151</v>
      </c>
      <c r="KGN550" s="83" t="s">
        <v>151</v>
      </c>
      <c r="KGO550" s="83" t="s">
        <v>151</v>
      </c>
      <c r="KGP550" s="83" t="s">
        <v>151</v>
      </c>
      <c r="KGQ550" s="83" t="s">
        <v>151</v>
      </c>
      <c r="KGR550" s="83" t="s">
        <v>151</v>
      </c>
      <c r="KGS550" s="83" t="s">
        <v>151</v>
      </c>
      <c r="KGT550" s="83" t="s">
        <v>151</v>
      </c>
      <c r="KGU550" s="83" t="s">
        <v>151</v>
      </c>
      <c r="KGV550" s="83" t="s">
        <v>151</v>
      </c>
      <c r="KGW550" s="83" t="s">
        <v>151</v>
      </c>
      <c r="KGX550" s="83" t="s">
        <v>151</v>
      </c>
      <c r="KGY550" s="83" t="s">
        <v>151</v>
      </c>
      <c r="KGZ550" s="83" t="s">
        <v>151</v>
      </c>
      <c r="KHA550" s="83" t="s">
        <v>151</v>
      </c>
      <c r="KHB550" s="83" t="s">
        <v>151</v>
      </c>
      <c r="KHC550" s="83" t="s">
        <v>151</v>
      </c>
      <c r="KHD550" s="83" t="s">
        <v>151</v>
      </c>
      <c r="KHE550" s="83" t="s">
        <v>151</v>
      </c>
      <c r="KHF550" s="83" t="s">
        <v>151</v>
      </c>
      <c r="KHG550" s="83" t="s">
        <v>151</v>
      </c>
      <c r="KHH550" s="83" t="s">
        <v>151</v>
      </c>
      <c r="KHI550" s="83" t="s">
        <v>151</v>
      </c>
      <c r="KHJ550" s="83" t="s">
        <v>151</v>
      </c>
      <c r="KHK550" s="83" t="s">
        <v>151</v>
      </c>
      <c r="KHL550" s="83" t="s">
        <v>151</v>
      </c>
      <c r="KHM550" s="83" t="s">
        <v>151</v>
      </c>
      <c r="KHN550" s="83" t="s">
        <v>151</v>
      </c>
      <c r="KHO550" s="83" t="s">
        <v>151</v>
      </c>
      <c r="KHP550" s="83" t="s">
        <v>151</v>
      </c>
      <c r="KHQ550" s="83" t="s">
        <v>151</v>
      </c>
      <c r="KHR550" s="83" t="s">
        <v>151</v>
      </c>
      <c r="KHS550" s="83" t="s">
        <v>151</v>
      </c>
      <c r="KHT550" s="83" t="s">
        <v>151</v>
      </c>
      <c r="KHU550" s="83" t="s">
        <v>151</v>
      </c>
      <c r="KHV550" s="83" t="s">
        <v>151</v>
      </c>
      <c r="KHW550" s="83" t="s">
        <v>151</v>
      </c>
      <c r="KHX550" s="83" t="s">
        <v>151</v>
      </c>
      <c r="KHY550" s="83" t="s">
        <v>151</v>
      </c>
      <c r="KHZ550" s="83" t="s">
        <v>151</v>
      </c>
      <c r="KIA550" s="83" t="s">
        <v>151</v>
      </c>
      <c r="KIB550" s="83" t="s">
        <v>151</v>
      </c>
      <c r="KIC550" s="83" t="s">
        <v>151</v>
      </c>
      <c r="KID550" s="83" t="s">
        <v>151</v>
      </c>
      <c r="KIE550" s="83" t="s">
        <v>151</v>
      </c>
      <c r="KIF550" s="83" t="s">
        <v>151</v>
      </c>
      <c r="KIG550" s="83" t="s">
        <v>151</v>
      </c>
      <c r="KIH550" s="83" t="s">
        <v>151</v>
      </c>
      <c r="KII550" s="83" t="s">
        <v>151</v>
      </c>
      <c r="KIJ550" s="83" t="s">
        <v>151</v>
      </c>
      <c r="KIK550" s="83" t="s">
        <v>151</v>
      </c>
      <c r="KIL550" s="83" t="s">
        <v>151</v>
      </c>
      <c r="KIM550" s="83" t="s">
        <v>151</v>
      </c>
      <c r="KIN550" s="83" t="s">
        <v>151</v>
      </c>
      <c r="KIO550" s="83" t="s">
        <v>151</v>
      </c>
      <c r="KIP550" s="83" t="s">
        <v>151</v>
      </c>
      <c r="KIQ550" s="83" t="s">
        <v>151</v>
      </c>
      <c r="KIR550" s="83" t="s">
        <v>151</v>
      </c>
      <c r="KIS550" s="83" t="s">
        <v>151</v>
      </c>
      <c r="KIT550" s="83" t="s">
        <v>151</v>
      </c>
      <c r="KIU550" s="83" t="s">
        <v>151</v>
      </c>
      <c r="KIV550" s="83" t="s">
        <v>151</v>
      </c>
      <c r="KIW550" s="83" t="s">
        <v>151</v>
      </c>
      <c r="KIX550" s="83" t="s">
        <v>151</v>
      </c>
      <c r="KIY550" s="83" t="s">
        <v>151</v>
      </c>
      <c r="KIZ550" s="83" t="s">
        <v>151</v>
      </c>
      <c r="KJA550" s="83" t="s">
        <v>151</v>
      </c>
      <c r="KJB550" s="83" t="s">
        <v>151</v>
      </c>
      <c r="KJC550" s="83" t="s">
        <v>151</v>
      </c>
      <c r="KJD550" s="83" t="s">
        <v>151</v>
      </c>
      <c r="KJE550" s="83" t="s">
        <v>151</v>
      </c>
      <c r="KJF550" s="83" t="s">
        <v>151</v>
      </c>
      <c r="KJG550" s="83" t="s">
        <v>151</v>
      </c>
      <c r="KJH550" s="83" t="s">
        <v>151</v>
      </c>
      <c r="KJI550" s="83" t="s">
        <v>151</v>
      </c>
      <c r="KJJ550" s="83" t="s">
        <v>151</v>
      </c>
      <c r="KJK550" s="83" t="s">
        <v>151</v>
      </c>
      <c r="KJL550" s="83" t="s">
        <v>151</v>
      </c>
      <c r="KJM550" s="83" t="s">
        <v>151</v>
      </c>
      <c r="KJN550" s="83" t="s">
        <v>151</v>
      </c>
      <c r="KJO550" s="83" t="s">
        <v>151</v>
      </c>
      <c r="KJP550" s="83" t="s">
        <v>151</v>
      </c>
      <c r="KJQ550" s="83" t="s">
        <v>151</v>
      </c>
      <c r="KJR550" s="83" t="s">
        <v>151</v>
      </c>
      <c r="KJS550" s="83" t="s">
        <v>151</v>
      </c>
      <c r="KJT550" s="83" t="s">
        <v>151</v>
      </c>
      <c r="KJU550" s="83" t="s">
        <v>151</v>
      </c>
      <c r="KJV550" s="83" t="s">
        <v>151</v>
      </c>
      <c r="KJW550" s="83" t="s">
        <v>151</v>
      </c>
      <c r="KJX550" s="83" t="s">
        <v>151</v>
      </c>
      <c r="KJY550" s="83" t="s">
        <v>151</v>
      </c>
      <c r="KJZ550" s="83" t="s">
        <v>151</v>
      </c>
      <c r="KKA550" s="83" t="s">
        <v>151</v>
      </c>
      <c r="KKB550" s="83" t="s">
        <v>151</v>
      </c>
      <c r="KKC550" s="83" t="s">
        <v>151</v>
      </c>
      <c r="KKD550" s="83" t="s">
        <v>151</v>
      </c>
      <c r="KKE550" s="83" t="s">
        <v>151</v>
      </c>
      <c r="KKF550" s="83" t="s">
        <v>151</v>
      </c>
      <c r="KKG550" s="83" t="s">
        <v>151</v>
      </c>
      <c r="KKH550" s="83" t="s">
        <v>151</v>
      </c>
      <c r="KKI550" s="83" t="s">
        <v>151</v>
      </c>
      <c r="KKJ550" s="83" t="s">
        <v>151</v>
      </c>
      <c r="KKK550" s="83" t="s">
        <v>151</v>
      </c>
      <c r="KKL550" s="83" t="s">
        <v>151</v>
      </c>
      <c r="KKM550" s="83" t="s">
        <v>151</v>
      </c>
      <c r="KKN550" s="83" t="s">
        <v>151</v>
      </c>
      <c r="KKO550" s="83" t="s">
        <v>151</v>
      </c>
      <c r="KKP550" s="83" t="s">
        <v>151</v>
      </c>
      <c r="KKQ550" s="83" t="s">
        <v>151</v>
      </c>
      <c r="KKR550" s="83" t="s">
        <v>151</v>
      </c>
      <c r="KKS550" s="83" t="s">
        <v>151</v>
      </c>
      <c r="KKT550" s="83" t="s">
        <v>151</v>
      </c>
      <c r="KKU550" s="83" t="s">
        <v>151</v>
      </c>
      <c r="KKV550" s="83" t="s">
        <v>151</v>
      </c>
      <c r="KKW550" s="83" t="s">
        <v>151</v>
      </c>
      <c r="KKX550" s="83" t="s">
        <v>151</v>
      </c>
      <c r="KKY550" s="83" t="s">
        <v>151</v>
      </c>
      <c r="KKZ550" s="83" t="s">
        <v>151</v>
      </c>
      <c r="KLA550" s="83" t="s">
        <v>151</v>
      </c>
      <c r="KLB550" s="83" t="s">
        <v>151</v>
      </c>
      <c r="KLC550" s="83" t="s">
        <v>151</v>
      </c>
      <c r="KLD550" s="83" t="s">
        <v>151</v>
      </c>
      <c r="KLE550" s="83" t="s">
        <v>151</v>
      </c>
      <c r="KLF550" s="83" t="s">
        <v>151</v>
      </c>
      <c r="KLG550" s="83" t="s">
        <v>151</v>
      </c>
      <c r="KLH550" s="83" t="s">
        <v>151</v>
      </c>
      <c r="KLI550" s="83" t="s">
        <v>151</v>
      </c>
      <c r="KLJ550" s="83" t="s">
        <v>151</v>
      </c>
      <c r="KLK550" s="83" t="s">
        <v>151</v>
      </c>
      <c r="KLL550" s="83" t="s">
        <v>151</v>
      </c>
      <c r="KLM550" s="83" t="s">
        <v>151</v>
      </c>
      <c r="KLN550" s="83" t="s">
        <v>151</v>
      </c>
      <c r="KLO550" s="83" t="s">
        <v>151</v>
      </c>
      <c r="KLP550" s="83" t="s">
        <v>151</v>
      </c>
      <c r="KLQ550" s="83" t="s">
        <v>151</v>
      </c>
      <c r="KLR550" s="83" t="s">
        <v>151</v>
      </c>
      <c r="KLS550" s="83" t="s">
        <v>151</v>
      </c>
      <c r="KLT550" s="83" t="s">
        <v>151</v>
      </c>
      <c r="KLU550" s="83" t="s">
        <v>151</v>
      </c>
      <c r="KLV550" s="83" t="s">
        <v>151</v>
      </c>
      <c r="KLW550" s="83" t="s">
        <v>151</v>
      </c>
      <c r="KLX550" s="83" t="s">
        <v>151</v>
      </c>
      <c r="KLY550" s="83" t="s">
        <v>151</v>
      </c>
      <c r="KLZ550" s="83" t="s">
        <v>151</v>
      </c>
      <c r="KMA550" s="83" t="s">
        <v>151</v>
      </c>
      <c r="KMB550" s="83" t="s">
        <v>151</v>
      </c>
      <c r="KMC550" s="83" t="s">
        <v>151</v>
      </c>
      <c r="KMD550" s="83" t="s">
        <v>151</v>
      </c>
      <c r="KME550" s="83" t="s">
        <v>151</v>
      </c>
      <c r="KMF550" s="83" t="s">
        <v>151</v>
      </c>
      <c r="KMG550" s="83" t="s">
        <v>151</v>
      </c>
      <c r="KMH550" s="83" t="s">
        <v>151</v>
      </c>
      <c r="KMI550" s="83" t="s">
        <v>151</v>
      </c>
      <c r="KMJ550" s="83" t="s">
        <v>151</v>
      </c>
      <c r="KMK550" s="83" t="s">
        <v>151</v>
      </c>
      <c r="KML550" s="83" t="s">
        <v>151</v>
      </c>
      <c r="KMM550" s="83" t="s">
        <v>151</v>
      </c>
      <c r="KMN550" s="83" t="s">
        <v>151</v>
      </c>
      <c r="KMO550" s="83" t="s">
        <v>151</v>
      </c>
      <c r="KMP550" s="83" t="s">
        <v>151</v>
      </c>
      <c r="KMQ550" s="83" t="s">
        <v>151</v>
      </c>
      <c r="KMR550" s="83" t="s">
        <v>151</v>
      </c>
      <c r="KMS550" s="83" t="s">
        <v>151</v>
      </c>
      <c r="KMT550" s="83" t="s">
        <v>151</v>
      </c>
      <c r="KMU550" s="83" t="s">
        <v>151</v>
      </c>
      <c r="KMV550" s="83" t="s">
        <v>151</v>
      </c>
      <c r="KMW550" s="83" t="s">
        <v>151</v>
      </c>
      <c r="KMX550" s="83" t="s">
        <v>151</v>
      </c>
      <c r="KMY550" s="83" t="s">
        <v>151</v>
      </c>
      <c r="KMZ550" s="83" t="s">
        <v>151</v>
      </c>
      <c r="KNA550" s="83" t="s">
        <v>151</v>
      </c>
      <c r="KNB550" s="83" t="s">
        <v>151</v>
      </c>
      <c r="KNC550" s="83" t="s">
        <v>151</v>
      </c>
      <c r="KND550" s="83" t="s">
        <v>151</v>
      </c>
      <c r="KNE550" s="83" t="s">
        <v>151</v>
      </c>
      <c r="KNF550" s="83" t="s">
        <v>151</v>
      </c>
      <c r="KNG550" s="83" t="s">
        <v>151</v>
      </c>
      <c r="KNH550" s="83" t="s">
        <v>151</v>
      </c>
      <c r="KNI550" s="83" t="s">
        <v>151</v>
      </c>
      <c r="KNJ550" s="83" t="s">
        <v>151</v>
      </c>
      <c r="KNK550" s="83" t="s">
        <v>151</v>
      </c>
      <c r="KNL550" s="83" t="s">
        <v>151</v>
      </c>
      <c r="KNM550" s="83" t="s">
        <v>151</v>
      </c>
      <c r="KNN550" s="83" t="s">
        <v>151</v>
      </c>
      <c r="KNO550" s="83" t="s">
        <v>151</v>
      </c>
      <c r="KNP550" s="83" t="s">
        <v>151</v>
      </c>
      <c r="KNQ550" s="83" t="s">
        <v>151</v>
      </c>
      <c r="KNR550" s="83" t="s">
        <v>151</v>
      </c>
      <c r="KNS550" s="83" t="s">
        <v>151</v>
      </c>
      <c r="KNT550" s="83" t="s">
        <v>151</v>
      </c>
      <c r="KNU550" s="83" t="s">
        <v>151</v>
      </c>
      <c r="KNV550" s="83" t="s">
        <v>151</v>
      </c>
      <c r="KNW550" s="83" t="s">
        <v>151</v>
      </c>
      <c r="KNX550" s="83" t="s">
        <v>151</v>
      </c>
      <c r="KNY550" s="83" t="s">
        <v>151</v>
      </c>
      <c r="KNZ550" s="83" t="s">
        <v>151</v>
      </c>
      <c r="KOA550" s="83" t="s">
        <v>151</v>
      </c>
      <c r="KOB550" s="83" t="s">
        <v>151</v>
      </c>
      <c r="KOC550" s="83" t="s">
        <v>151</v>
      </c>
      <c r="KOD550" s="83" t="s">
        <v>151</v>
      </c>
      <c r="KOE550" s="83" t="s">
        <v>151</v>
      </c>
      <c r="KOF550" s="83" t="s">
        <v>151</v>
      </c>
      <c r="KOG550" s="83" t="s">
        <v>151</v>
      </c>
      <c r="KOH550" s="83" t="s">
        <v>151</v>
      </c>
      <c r="KOI550" s="83" t="s">
        <v>151</v>
      </c>
      <c r="KOJ550" s="83" t="s">
        <v>151</v>
      </c>
      <c r="KOK550" s="83" t="s">
        <v>151</v>
      </c>
      <c r="KOL550" s="83" t="s">
        <v>151</v>
      </c>
      <c r="KOM550" s="83" t="s">
        <v>151</v>
      </c>
      <c r="KON550" s="83" t="s">
        <v>151</v>
      </c>
      <c r="KOO550" s="83" t="s">
        <v>151</v>
      </c>
      <c r="KOP550" s="83" t="s">
        <v>151</v>
      </c>
      <c r="KOQ550" s="83" t="s">
        <v>151</v>
      </c>
      <c r="KOR550" s="83" t="s">
        <v>151</v>
      </c>
      <c r="KOS550" s="83" t="s">
        <v>151</v>
      </c>
      <c r="KOT550" s="83" t="s">
        <v>151</v>
      </c>
      <c r="KOU550" s="83" t="s">
        <v>151</v>
      </c>
      <c r="KOV550" s="83" t="s">
        <v>151</v>
      </c>
      <c r="KOW550" s="83" t="s">
        <v>151</v>
      </c>
      <c r="KOX550" s="83" t="s">
        <v>151</v>
      </c>
      <c r="KOY550" s="83" t="s">
        <v>151</v>
      </c>
      <c r="KOZ550" s="83" t="s">
        <v>151</v>
      </c>
      <c r="KPA550" s="83" t="s">
        <v>151</v>
      </c>
      <c r="KPB550" s="83" t="s">
        <v>151</v>
      </c>
      <c r="KPC550" s="83" t="s">
        <v>151</v>
      </c>
      <c r="KPD550" s="83" t="s">
        <v>151</v>
      </c>
      <c r="KPE550" s="83" t="s">
        <v>151</v>
      </c>
      <c r="KPF550" s="83" t="s">
        <v>151</v>
      </c>
      <c r="KPG550" s="83" t="s">
        <v>151</v>
      </c>
      <c r="KPH550" s="83" t="s">
        <v>151</v>
      </c>
      <c r="KPI550" s="83" t="s">
        <v>151</v>
      </c>
      <c r="KPJ550" s="83" t="s">
        <v>151</v>
      </c>
      <c r="KPK550" s="83" t="s">
        <v>151</v>
      </c>
      <c r="KPL550" s="83" t="s">
        <v>151</v>
      </c>
      <c r="KPM550" s="83" t="s">
        <v>151</v>
      </c>
      <c r="KPN550" s="83" t="s">
        <v>151</v>
      </c>
      <c r="KPO550" s="83" t="s">
        <v>151</v>
      </c>
      <c r="KPP550" s="83" t="s">
        <v>151</v>
      </c>
      <c r="KPQ550" s="83" t="s">
        <v>151</v>
      </c>
      <c r="KPR550" s="83" t="s">
        <v>151</v>
      </c>
      <c r="KPS550" s="83" t="s">
        <v>151</v>
      </c>
      <c r="KPT550" s="83" t="s">
        <v>151</v>
      </c>
      <c r="KPU550" s="83" t="s">
        <v>151</v>
      </c>
      <c r="KPV550" s="83" t="s">
        <v>151</v>
      </c>
      <c r="KPW550" s="83" t="s">
        <v>151</v>
      </c>
      <c r="KPX550" s="83" t="s">
        <v>151</v>
      </c>
      <c r="KPY550" s="83" t="s">
        <v>151</v>
      </c>
      <c r="KPZ550" s="83" t="s">
        <v>151</v>
      </c>
      <c r="KQA550" s="83" t="s">
        <v>151</v>
      </c>
      <c r="KQB550" s="83" t="s">
        <v>151</v>
      </c>
      <c r="KQC550" s="83" t="s">
        <v>151</v>
      </c>
      <c r="KQD550" s="83" t="s">
        <v>151</v>
      </c>
      <c r="KQE550" s="83" t="s">
        <v>151</v>
      </c>
      <c r="KQF550" s="83" t="s">
        <v>151</v>
      </c>
      <c r="KQG550" s="83" t="s">
        <v>151</v>
      </c>
      <c r="KQH550" s="83" t="s">
        <v>151</v>
      </c>
      <c r="KQI550" s="83" t="s">
        <v>151</v>
      </c>
      <c r="KQJ550" s="83" t="s">
        <v>151</v>
      </c>
      <c r="KQK550" s="83" t="s">
        <v>151</v>
      </c>
      <c r="KQL550" s="83" t="s">
        <v>151</v>
      </c>
      <c r="KQM550" s="83" t="s">
        <v>151</v>
      </c>
      <c r="KQN550" s="83" t="s">
        <v>151</v>
      </c>
      <c r="KQO550" s="83" t="s">
        <v>151</v>
      </c>
      <c r="KQP550" s="83" t="s">
        <v>151</v>
      </c>
      <c r="KQQ550" s="83" t="s">
        <v>151</v>
      </c>
      <c r="KQR550" s="83" t="s">
        <v>151</v>
      </c>
      <c r="KQS550" s="83" t="s">
        <v>151</v>
      </c>
      <c r="KQT550" s="83" t="s">
        <v>151</v>
      </c>
      <c r="KQU550" s="83" t="s">
        <v>151</v>
      </c>
      <c r="KQV550" s="83" t="s">
        <v>151</v>
      </c>
      <c r="KQW550" s="83" t="s">
        <v>151</v>
      </c>
      <c r="KQX550" s="83" t="s">
        <v>151</v>
      </c>
      <c r="KQY550" s="83" t="s">
        <v>151</v>
      </c>
      <c r="KQZ550" s="83" t="s">
        <v>151</v>
      </c>
      <c r="KRA550" s="83" t="s">
        <v>151</v>
      </c>
      <c r="KRB550" s="83" t="s">
        <v>151</v>
      </c>
      <c r="KRC550" s="83" t="s">
        <v>151</v>
      </c>
      <c r="KRD550" s="83" t="s">
        <v>151</v>
      </c>
      <c r="KRE550" s="83" t="s">
        <v>151</v>
      </c>
      <c r="KRF550" s="83" t="s">
        <v>151</v>
      </c>
      <c r="KRG550" s="83" t="s">
        <v>151</v>
      </c>
      <c r="KRH550" s="83" t="s">
        <v>151</v>
      </c>
      <c r="KRI550" s="83" t="s">
        <v>151</v>
      </c>
      <c r="KRJ550" s="83" t="s">
        <v>151</v>
      </c>
      <c r="KRK550" s="83" t="s">
        <v>151</v>
      </c>
      <c r="KRL550" s="83" t="s">
        <v>151</v>
      </c>
      <c r="KRM550" s="83" t="s">
        <v>151</v>
      </c>
      <c r="KRN550" s="83" t="s">
        <v>151</v>
      </c>
      <c r="KRO550" s="83" t="s">
        <v>151</v>
      </c>
      <c r="KRP550" s="83" t="s">
        <v>151</v>
      </c>
      <c r="KRQ550" s="83" t="s">
        <v>151</v>
      </c>
      <c r="KRR550" s="83" t="s">
        <v>151</v>
      </c>
      <c r="KRS550" s="83" t="s">
        <v>151</v>
      </c>
      <c r="KRT550" s="83" t="s">
        <v>151</v>
      </c>
      <c r="KRU550" s="83" t="s">
        <v>151</v>
      </c>
      <c r="KRV550" s="83" t="s">
        <v>151</v>
      </c>
      <c r="KRW550" s="83" t="s">
        <v>151</v>
      </c>
      <c r="KRX550" s="83" t="s">
        <v>151</v>
      </c>
      <c r="KRY550" s="83" t="s">
        <v>151</v>
      </c>
      <c r="KRZ550" s="83" t="s">
        <v>151</v>
      </c>
      <c r="KSA550" s="83" t="s">
        <v>151</v>
      </c>
      <c r="KSB550" s="83" t="s">
        <v>151</v>
      </c>
      <c r="KSC550" s="83" t="s">
        <v>151</v>
      </c>
      <c r="KSD550" s="83" t="s">
        <v>151</v>
      </c>
      <c r="KSE550" s="83" t="s">
        <v>151</v>
      </c>
      <c r="KSF550" s="83" t="s">
        <v>151</v>
      </c>
      <c r="KSG550" s="83" t="s">
        <v>151</v>
      </c>
      <c r="KSH550" s="83" t="s">
        <v>151</v>
      </c>
      <c r="KSI550" s="83" t="s">
        <v>151</v>
      </c>
      <c r="KSJ550" s="83" t="s">
        <v>151</v>
      </c>
      <c r="KSK550" s="83" t="s">
        <v>151</v>
      </c>
      <c r="KSL550" s="83" t="s">
        <v>151</v>
      </c>
      <c r="KSM550" s="83" t="s">
        <v>151</v>
      </c>
      <c r="KSN550" s="83" t="s">
        <v>151</v>
      </c>
      <c r="KSO550" s="83" t="s">
        <v>151</v>
      </c>
      <c r="KSP550" s="83" t="s">
        <v>151</v>
      </c>
      <c r="KSQ550" s="83" t="s">
        <v>151</v>
      </c>
      <c r="KSR550" s="83" t="s">
        <v>151</v>
      </c>
      <c r="KSS550" s="83" t="s">
        <v>151</v>
      </c>
      <c r="KST550" s="83" t="s">
        <v>151</v>
      </c>
      <c r="KSU550" s="83" t="s">
        <v>151</v>
      </c>
      <c r="KSV550" s="83" t="s">
        <v>151</v>
      </c>
      <c r="KSW550" s="83" t="s">
        <v>151</v>
      </c>
      <c r="KSX550" s="83" t="s">
        <v>151</v>
      </c>
      <c r="KSY550" s="83" t="s">
        <v>151</v>
      </c>
      <c r="KSZ550" s="83" t="s">
        <v>151</v>
      </c>
      <c r="KTA550" s="83" t="s">
        <v>151</v>
      </c>
      <c r="KTB550" s="83" t="s">
        <v>151</v>
      </c>
      <c r="KTC550" s="83" t="s">
        <v>151</v>
      </c>
      <c r="KTD550" s="83" t="s">
        <v>151</v>
      </c>
      <c r="KTE550" s="83" t="s">
        <v>151</v>
      </c>
      <c r="KTF550" s="83" t="s">
        <v>151</v>
      </c>
      <c r="KTG550" s="83" t="s">
        <v>151</v>
      </c>
      <c r="KTH550" s="83" t="s">
        <v>151</v>
      </c>
      <c r="KTI550" s="83" t="s">
        <v>151</v>
      </c>
      <c r="KTJ550" s="83" t="s">
        <v>151</v>
      </c>
      <c r="KTK550" s="83" t="s">
        <v>151</v>
      </c>
      <c r="KTL550" s="83" t="s">
        <v>151</v>
      </c>
      <c r="KTM550" s="83" t="s">
        <v>151</v>
      </c>
      <c r="KTN550" s="83" t="s">
        <v>151</v>
      </c>
      <c r="KTO550" s="83" t="s">
        <v>151</v>
      </c>
      <c r="KTP550" s="83" t="s">
        <v>151</v>
      </c>
      <c r="KTQ550" s="83" t="s">
        <v>151</v>
      </c>
      <c r="KTR550" s="83" t="s">
        <v>151</v>
      </c>
      <c r="KTS550" s="83" t="s">
        <v>151</v>
      </c>
      <c r="KTT550" s="83" t="s">
        <v>151</v>
      </c>
      <c r="KTU550" s="83" t="s">
        <v>151</v>
      </c>
      <c r="KTV550" s="83" t="s">
        <v>151</v>
      </c>
      <c r="KTW550" s="83" t="s">
        <v>151</v>
      </c>
      <c r="KTX550" s="83" t="s">
        <v>151</v>
      </c>
      <c r="KTY550" s="83" t="s">
        <v>151</v>
      </c>
      <c r="KTZ550" s="83" t="s">
        <v>151</v>
      </c>
      <c r="KUA550" s="83" t="s">
        <v>151</v>
      </c>
      <c r="KUB550" s="83" t="s">
        <v>151</v>
      </c>
      <c r="KUC550" s="83" t="s">
        <v>151</v>
      </c>
      <c r="KUD550" s="83" t="s">
        <v>151</v>
      </c>
      <c r="KUE550" s="83" t="s">
        <v>151</v>
      </c>
      <c r="KUF550" s="83" t="s">
        <v>151</v>
      </c>
      <c r="KUG550" s="83" t="s">
        <v>151</v>
      </c>
      <c r="KUH550" s="83" t="s">
        <v>151</v>
      </c>
      <c r="KUI550" s="83" t="s">
        <v>151</v>
      </c>
      <c r="KUJ550" s="83" t="s">
        <v>151</v>
      </c>
      <c r="KUK550" s="83" t="s">
        <v>151</v>
      </c>
      <c r="KUL550" s="83" t="s">
        <v>151</v>
      </c>
      <c r="KUM550" s="83" t="s">
        <v>151</v>
      </c>
      <c r="KUN550" s="83" t="s">
        <v>151</v>
      </c>
      <c r="KUO550" s="83" t="s">
        <v>151</v>
      </c>
      <c r="KUP550" s="83" t="s">
        <v>151</v>
      </c>
      <c r="KUQ550" s="83" t="s">
        <v>151</v>
      </c>
      <c r="KUR550" s="83" t="s">
        <v>151</v>
      </c>
      <c r="KUS550" s="83" t="s">
        <v>151</v>
      </c>
      <c r="KUT550" s="83" t="s">
        <v>151</v>
      </c>
      <c r="KUU550" s="83" t="s">
        <v>151</v>
      </c>
      <c r="KUV550" s="83" t="s">
        <v>151</v>
      </c>
      <c r="KUW550" s="83" t="s">
        <v>151</v>
      </c>
      <c r="KUX550" s="83" t="s">
        <v>151</v>
      </c>
      <c r="KUY550" s="83" t="s">
        <v>151</v>
      </c>
      <c r="KUZ550" s="83" t="s">
        <v>151</v>
      </c>
      <c r="KVA550" s="83" t="s">
        <v>151</v>
      </c>
      <c r="KVB550" s="83" t="s">
        <v>151</v>
      </c>
      <c r="KVC550" s="83" t="s">
        <v>151</v>
      </c>
      <c r="KVD550" s="83" t="s">
        <v>151</v>
      </c>
      <c r="KVE550" s="83" t="s">
        <v>151</v>
      </c>
      <c r="KVF550" s="83" t="s">
        <v>151</v>
      </c>
      <c r="KVG550" s="83" t="s">
        <v>151</v>
      </c>
      <c r="KVH550" s="83" t="s">
        <v>151</v>
      </c>
      <c r="KVI550" s="83" t="s">
        <v>151</v>
      </c>
      <c r="KVJ550" s="83" t="s">
        <v>151</v>
      </c>
      <c r="KVK550" s="83" t="s">
        <v>151</v>
      </c>
      <c r="KVL550" s="83" t="s">
        <v>151</v>
      </c>
      <c r="KVM550" s="83" t="s">
        <v>151</v>
      </c>
      <c r="KVN550" s="83" t="s">
        <v>151</v>
      </c>
      <c r="KVO550" s="83" t="s">
        <v>151</v>
      </c>
      <c r="KVP550" s="83" t="s">
        <v>151</v>
      </c>
      <c r="KVQ550" s="83" t="s">
        <v>151</v>
      </c>
      <c r="KVR550" s="83" t="s">
        <v>151</v>
      </c>
      <c r="KVS550" s="83" t="s">
        <v>151</v>
      </c>
      <c r="KVT550" s="83" t="s">
        <v>151</v>
      </c>
      <c r="KVU550" s="83" t="s">
        <v>151</v>
      </c>
      <c r="KVV550" s="83" t="s">
        <v>151</v>
      </c>
      <c r="KVW550" s="83" t="s">
        <v>151</v>
      </c>
      <c r="KVX550" s="83" t="s">
        <v>151</v>
      </c>
      <c r="KVY550" s="83" t="s">
        <v>151</v>
      </c>
      <c r="KVZ550" s="83" t="s">
        <v>151</v>
      </c>
      <c r="KWA550" s="83" t="s">
        <v>151</v>
      </c>
      <c r="KWB550" s="83" t="s">
        <v>151</v>
      </c>
      <c r="KWC550" s="83" t="s">
        <v>151</v>
      </c>
      <c r="KWD550" s="83" t="s">
        <v>151</v>
      </c>
      <c r="KWE550" s="83" t="s">
        <v>151</v>
      </c>
      <c r="KWF550" s="83" t="s">
        <v>151</v>
      </c>
      <c r="KWG550" s="83" t="s">
        <v>151</v>
      </c>
      <c r="KWH550" s="83" t="s">
        <v>151</v>
      </c>
      <c r="KWI550" s="83" t="s">
        <v>151</v>
      </c>
      <c r="KWJ550" s="83" t="s">
        <v>151</v>
      </c>
      <c r="KWK550" s="83" t="s">
        <v>151</v>
      </c>
      <c r="KWL550" s="83" t="s">
        <v>151</v>
      </c>
      <c r="KWM550" s="83" t="s">
        <v>151</v>
      </c>
      <c r="KWN550" s="83" t="s">
        <v>151</v>
      </c>
      <c r="KWO550" s="83" t="s">
        <v>151</v>
      </c>
      <c r="KWP550" s="83" t="s">
        <v>151</v>
      </c>
      <c r="KWQ550" s="83" t="s">
        <v>151</v>
      </c>
      <c r="KWR550" s="83" t="s">
        <v>151</v>
      </c>
      <c r="KWS550" s="83" t="s">
        <v>151</v>
      </c>
      <c r="KWT550" s="83" t="s">
        <v>151</v>
      </c>
      <c r="KWU550" s="83" t="s">
        <v>151</v>
      </c>
      <c r="KWV550" s="83" t="s">
        <v>151</v>
      </c>
      <c r="KWW550" s="83" t="s">
        <v>151</v>
      </c>
      <c r="KWX550" s="83" t="s">
        <v>151</v>
      </c>
      <c r="KWY550" s="83" t="s">
        <v>151</v>
      </c>
      <c r="KWZ550" s="83" t="s">
        <v>151</v>
      </c>
      <c r="KXA550" s="83" t="s">
        <v>151</v>
      </c>
      <c r="KXB550" s="83" t="s">
        <v>151</v>
      </c>
      <c r="KXC550" s="83" t="s">
        <v>151</v>
      </c>
      <c r="KXD550" s="83" t="s">
        <v>151</v>
      </c>
      <c r="KXE550" s="83" t="s">
        <v>151</v>
      </c>
      <c r="KXF550" s="83" t="s">
        <v>151</v>
      </c>
      <c r="KXG550" s="83" t="s">
        <v>151</v>
      </c>
      <c r="KXH550" s="83" t="s">
        <v>151</v>
      </c>
      <c r="KXI550" s="83" t="s">
        <v>151</v>
      </c>
      <c r="KXJ550" s="83" t="s">
        <v>151</v>
      </c>
      <c r="KXK550" s="83" t="s">
        <v>151</v>
      </c>
      <c r="KXL550" s="83" t="s">
        <v>151</v>
      </c>
      <c r="KXM550" s="83" t="s">
        <v>151</v>
      </c>
      <c r="KXN550" s="83" t="s">
        <v>151</v>
      </c>
      <c r="KXO550" s="83" t="s">
        <v>151</v>
      </c>
      <c r="KXP550" s="83" t="s">
        <v>151</v>
      </c>
      <c r="KXQ550" s="83" t="s">
        <v>151</v>
      </c>
      <c r="KXR550" s="83" t="s">
        <v>151</v>
      </c>
      <c r="KXS550" s="83" t="s">
        <v>151</v>
      </c>
      <c r="KXT550" s="83" t="s">
        <v>151</v>
      </c>
      <c r="KXU550" s="83" t="s">
        <v>151</v>
      </c>
      <c r="KXV550" s="83" t="s">
        <v>151</v>
      </c>
      <c r="KXW550" s="83" t="s">
        <v>151</v>
      </c>
      <c r="KXX550" s="83" t="s">
        <v>151</v>
      </c>
      <c r="KXY550" s="83" t="s">
        <v>151</v>
      </c>
      <c r="KXZ550" s="83" t="s">
        <v>151</v>
      </c>
      <c r="KYA550" s="83" t="s">
        <v>151</v>
      </c>
      <c r="KYB550" s="83" t="s">
        <v>151</v>
      </c>
      <c r="KYC550" s="83" t="s">
        <v>151</v>
      </c>
      <c r="KYD550" s="83" t="s">
        <v>151</v>
      </c>
      <c r="KYE550" s="83" t="s">
        <v>151</v>
      </c>
      <c r="KYF550" s="83" t="s">
        <v>151</v>
      </c>
      <c r="KYG550" s="83" t="s">
        <v>151</v>
      </c>
      <c r="KYH550" s="83" t="s">
        <v>151</v>
      </c>
      <c r="KYI550" s="83" t="s">
        <v>151</v>
      </c>
      <c r="KYJ550" s="83" t="s">
        <v>151</v>
      </c>
      <c r="KYK550" s="83" t="s">
        <v>151</v>
      </c>
      <c r="KYL550" s="83" t="s">
        <v>151</v>
      </c>
      <c r="KYM550" s="83" t="s">
        <v>151</v>
      </c>
      <c r="KYN550" s="83" t="s">
        <v>151</v>
      </c>
      <c r="KYO550" s="83" t="s">
        <v>151</v>
      </c>
      <c r="KYP550" s="83" t="s">
        <v>151</v>
      </c>
      <c r="KYQ550" s="83" t="s">
        <v>151</v>
      </c>
      <c r="KYR550" s="83" t="s">
        <v>151</v>
      </c>
      <c r="KYS550" s="83" t="s">
        <v>151</v>
      </c>
      <c r="KYT550" s="83" t="s">
        <v>151</v>
      </c>
      <c r="KYU550" s="83" t="s">
        <v>151</v>
      </c>
      <c r="KYV550" s="83" t="s">
        <v>151</v>
      </c>
      <c r="KYW550" s="83" t="s">
        <v>151</v>
      </c>
      <c r="KYX550" s="83" t="s">
        <v>151</v>
      </c>
      <c r="KYY550" s="83" t="s">
        <v>151</v>
      </c>
      <c r="KYZ550" s="83" t="s">
        <v>151</v>
      </c>
      <c r="KZA550" s="83" t="s">
        <v>151</v>
      </c>
      <c r="KZB550" s="83" t="s">
        <v>151</v>
      </c>
      <c r="KZC550" s="83" t="s">
        <v>151</v>
      </c>
      <c r="KZD550" s="83" t="s">
        <v>151</v>
      </c>
      <c r="KZE550" s="83" t="s">
        <v>151</v>
      </c>
      <c r="KZF550" s="83" t="s">
        <v>151</v>
      </c>
      <c r="KZG550" s="83" t="s">
        <v>151</v>
      </c>
      <c r="KZH550" s="83" t="s">
        <v>151</v>
      </c>
      <c r="KZI550" s="83" t="s">
        <v>151</v>
      </c>
      <c r="KZJ550" s="83" t="s">
        <v>151</v>
      </c>
      <c r="KZK550" s="83" t="s">
        <v>151</v>
      </c>
      <c r="KZL550" s="83" t="s">
        <v>151</v>
      </c>
      <c r="KZM550" s="83" t="s">
        <v>151</v>
      </c>
      <c r="KZN550" s="83" t="s">
        <v>151</v>
      </c>
      <c r="KZO550" s="83" t="s">
        <v>151</v>
      </c>
      <c r="KZP550" s="83" t="s">
        <v>151</v>
      </c>
      <c r="KZQ550" s="83" t="s">
        <v>151</v>
      </c>
      <c r="KZR550" s="83" t="s">
        <v>151</v>
      </c>
      <c r="KZS550" s="83" t="s">
        <v>151</v>
      </c>
      <c r="KZT550" s="83" t="s">
        <v>151</v>
      </c>
      <c r="KZU550" s="83" t="s">
        <v>151</v>
      </c>
      <c r="KZV550" s="83" t="s">
        <v>151</v>
      </c>
      <c r="KZW550" s="83" t="s">
        <v>151</v>
      </c>
      <c r="KZX550" s="83" t="s">
        <v>151</v>
      </c>
      <c r="KZY550" s="83" t="s">
        <v>151</v>
      </c>
      <c r="KZZ550" s="83" t="s">
        <v>151</v>
      </c>
      <c r="LAA550" s="83" t="s">
        <v>151</v>
      </c>
      <c r="LAB550" s="83" t="s">
        <v>151</v>
      </c>
      <c r="LAC550" s="83" t="s">
        <v>151</v>
      </c>
      <c r="LAD550" s="83" t="s">
        <v>151</v>
      </c>
      <c r="LAE550" s="83" t="s">
        <v>151</v>
      </c>
      <c r="LAF550" s="83" t="s">
        <v>151</v>
      </c>
      <c r="LAG550" s="83" t="s">
        <v>151</v>
      </c>
      <c r="LAH550" s="83" t="s">
        <v>151</v>
      </c>
      <c r="LAI550" s="83" t="s">
        <v>151</v>
      </c>
      <c r="LAJ550" s="83" t="s">
        <v>151</v>
      </c>
      <c r="LAK550" s="83" t="s">
        <v>151</v>
      </c>
      <c r="LAL550" s="83" t="s">
        <v>151</v>
      </c>
      <c r="LAM550" s="83" t="s">
        <v>151</v>
      </c>
      <c r="LAN550" s="83" t="s">
        <v>151</v>
      </c>
      <c r="LAO550" s="83" t="s">
        <v>151</v>
      </c>
      <c r="LAP550" s="83" t="s">
        <v>151</v>
      </c>
      <c r="LAQ550" s="83" t="s">
        <v>151</v>
      </c>
      <c r="LAR550" s="83" t="s">
        <v>151</v>
      </c>
      <c r="LAS550" s="83" t="s">
        <v>151</v>
      </c>
      <c r="LAT550" s="83" t="s">
        <v>151</v>
      </c>
      <c r="LAU550" s="83" t="s">
        <v>151</v>
      </c>
      <c r="LAV550" s="83" t="s">
        <v>151</v>
      </c>
      <c r="LAW550" s="83" t="s">
        <v>151</v>
      </c>
      <c r="LAX550" s="83" t="s">
        <v>151</v>
      </c>
      <c r="LAY550" s="83" t="s">
        <v>151</v>
      </c>
      <c r="LAZ550" s="83" t="s">
        <v>151</v>
      </c>
      <c r="LBA550" s="83" t="s">
        <v>151</v>
      </c>
      <c r="LBB550" s="83" t="s">
        <v>151</v>
      </c>
      <c r="LBC550" s="83" t="s">
        <v>151</v>
      </c>
      <c r="LBD550" s="83" t="s">
        <v>151</v>
      </c>
      <c r="LBE550" s="83" t="s">
        <v>151</v>
      </c>
      <c r="LBF550" s="83" t="s">
        <v>151</v>
      </c>
      <c r="LBG550" s="83" t="s">
        <v>151</v>
      </c>
      <c r="LBH550" s="83" t="s">
        <v>151</v>
      </c>
      <c r="LBI550" s="83" t="s">
        <v>151</v>
      </c>
      <c r="LBJ550" s="83" t="s">
        <v>151</v>
      </c>
      <c r="LBK550" s="83" t="s">
        <v>151</v>
      </c>
      <c r="LBL550" s="83" t="s">
        <v>151</v>
      </c>
      <c r="LBM550" s="83" t="s">
        <v>151</v>
      </c>
      <c r="LBN550" s="83" t="s">
        <v>151</v>
      </c>
      <c r="LBO550" s="83" t="s">
        <v>151</v>
      </c>
      <c r="LBP550" s="83" t="s">
        <v>151</v>
      </c>
      <c r="LBQ550" s="83" t="s">
        <v>151</v>
      </c>
      <c r="LBR550" s="83" t="s">
        <v>151</v>
      </c>
      <c r="LBS550" s="83" t="s">
        <v>151</v>
      </c>
      <c r="LBT550" s="83" t="s">
        <v>151</v>
      </c>
      <c r="LBU550" s="83" t="s">
        <v>151</v>
      </c>
      <c r="LBV550" s="83" t="s">
        <v>151</v>
      </c>
      <c r="LBW550" s="83" t="s">
        <v>151</v>
      </c>
      <c r="LBX550" s="83" t="s">
        <v>151</v>
      </c>
      <c r="LBY550" s="83" t="s">
        <v>151</v>
      </c>
      <c r="LBZ550" s="83" t="s">
        <v>151</v>
      </c>
      <c r="LCA550" s="83" t="s">
        <v>151</v>
      </c>
      <c r="LCB550" s="83" t="s">
        <v>151</v>
      </c>
      <c r="LCC550" s="83" t="s">
        <v>151</v>
      </c>
      <c r="LCD550" s="83" t="s">
        <v>151</v>
      </c>
      <c r="LCE550" s="83" t="s">
        <v>151</v>
      </c>
      <c r="LCF550" s="83" t="s">
        <v>151</v>
      </c>
      <c r="LCG550" s="83" t="s">
        <v>151</v>
      </c>
      <c r="LCH550" s="83" t="s">
        <v>151</v>
      </c>
      <c r="LCI550" s="83" t="s">
        <v>151</v>
      </c>
      <c r="LCJ550" s="83" t="s">
        <v>151</v>
      </c>
      <c r="LCK550" s="83" t="s">
        <v>151</v>
      </c>
      <c r="LCL550" s="83" t="s">
        <v>151</v>
      </c>
      <c r="LCM550" s="83" t="s">
        <v>151</v>
      </c>
      <c r="LCN550" s="83" t="s">
        <v>151</v>
      </c>
      <c r="LCO550" s="83" t="s">
        <v>151</v>
      </c>
      <c r="LCP550" s="83" t="s">
        <v>151</v>
      </c>
      <c r="LCQ550" s="83" t="s">
        <v>151</v>
      </c>
      <c r="LCR550" s="83" t="s">
        <v>151</v>
      </c>
      <c r="LCS550" s="83" t="s">
        <v>151</v>
      </c>
      <c r="LCT550" s="83" t="s">
        <v>151</v>
      </c>
      <c r="LCU550" s="83" t="s">
        <v>151</v>
      </c>
      <c r="LCV550" s="83" t="s">
        <v>151</v>
      </c>
      <c r="LCW550" s="83" t="s">
        <v>151</v>
      </c>
      <c r="LCX550" s="83" t="s">
        <v>151</v>
      </c>
      <c r="LCY550" s="83" t="s">
        <v>151</v>
      </c>
      <c r="LCZ550" s="83" t="s">
        <v>151</v>
      </c>
      <c r="LDA550" s="83" t="s">
        <v>151</v>
      </c>
      <c r="LDB550" s="83" t="s">
        <v>151</v>
      </c>
      <c r="LDC550" s="83" t="s">
        <v>151</v>
      </c>
      <c r="LDD550" s="83" t="s">
        <v>151</v>
      </c>
      <c r="LDE550" s="83" t="s">
        <v>151</v>
      </c>
      <c r="LDF550" s="83" t="s">
        <v>151</v>
      </c>
      <c r="LDG550" s="83" t="s">
        <v>151</v>
      </c>
      <c r="LDH550" s="83" t="s">
        <v>151</v>
      </c>
      <c r="LDI550" s="83" t="s">
        <v>151</v>
      </c>
      <c r="LDJ550" s="83" t="s">
        <v>151</v>
      </c>
      <c r="LDK550" s="83" t="s">
        <v>151</v>
      </c>
      <c r="LDL550" s="83" t="s">
        <v>151</v>
      </c>
      <c r="LDM550" s="83" t="s">
        <v>151</v>
      </c>
      <c r="LDN550" s="83" t="s">
        <v>151</v>
      </c>
      <c r="LDO550" s="83" t="s">
        <v>151</v>
      </c>
      <c r="LDP550" s="83" t="s">
        <v>151</v>
      </c>
      <c r="LDQ550" s="83" t="s">
        <v>151</v>
      </c>
      <c r="LDR550" s="83" t="s">
        <v>151</v>
      </c>
      <c r="LDS550" s="83" t="s">
        <v>151</v>
      </c>
      <c r="LDT550" s="83" t="s">
        <v>151</v>
      </c>
      <c r="LDU550" s="83" t="s">
        <v>151</v>
      </c>
      <c r="LDV550" s="83" t="s">
        <v>151</v>
      </c>
      <c r="LDW550" s="83" t="s">
        <v>151</v>
      </c>
      <c r="LDX550" s="83" t="s">
        <v>151</v>
      </c>
      <c r="LDY550" s="83" t="s">
        <v>151</v>
      </c>
      <c r="LDZ550" s="83" t="s">
        <v>151</v>
      </c>
      <c r="LEA550" s="83" t="s">
        <v>151</v>
      </c>
      <c r="LEB550" s="83" t="s">
        <v>151</v>
      </c>
      <c r="LEC550" s="83" t="s">
        <v>151</v>
      </c>
      <c r="LED550" s="83" t="s">
        <v>151</v>
      </c>
      <c r="LEE550" s="83" t="s">
        <v>151</v>
      </c>
      <c r="LEF550" s="83" t="s">
        <v>151</v>
      </c>
      <c r="LEG550" s="83" t="s">
        <v>151</v>
      </c>
      <c r="LEH550" s="83" t="s">
        <v>151</v>
      </c>
      <c r="LEI550" s="83" t="s">
        <v>151</v>
      </c>
      <c r="LEJ550" s="83" t="s">
        <v>151</v>
      </c>
      <c r="LEK550" s="83" t="s">
        <v>151</v>
      </c>
      <c r="LEL550" s="83" t="s">
        <v>151</v>
      </c>
      <c r="LEM550" s="83" t="s">
        <v>151</v>
      </c>
      <c r="LEN550" s="83" t="s">
        <v>151</v>
      </c>
      <c r="LEO550" s="83" t="s">
        <v>151</v>
      </c>
      <c r="LEP550" s="83" t="s">
        <v>151</v>
      </c>
      <c r="LEQ550" s="83" t="s">
        <v>151</v>
      </c>
      <c r="LER550" s="83" t="s">
        <v>151</v>
      </c>
      <c r="LES550" s="83" t="s">
        <v>151</v>
      </c>
      <c r="LET550" s="83" t="s">
        <v>151</v>
      </c>
      <c r="LEU550" s="83" t="s">
        <v>151</v>
      </c>
      <c r="LEV550" s="83" t="s">
        <v>151</v>
      </c>
      <c r="LEW550" s="83" t="s">
        <v>151</v>
      </c>
      <c r="LEX550" s="83" t="s">
        <v>151</v>
      </c>
      <c r="LEY550" s="83" t="s">
        <v>151</v>
      </c>
      <c r="LEZ550" s="83" t="s">
        <v>151</v>
      </c>
      <c r="LFA550" s="83" t="s">
        <v>151</v>
      </c>
      <c r="LFB550" s="83" t="s">
        <v>151</v>
      </c>
      <c r="LFC550" s="83" t="s">
        <v>151</v>
      </c>
      <c r="LFD550" s="83" t="s">
        <v>151</v>
      </c>
      <c r="LFE550" s="83" t="s">
        <v>151</v>
      </c>
      <c r="LFF550" s="83" t="s">
        <v>151</v>
      </c>
      <c r="LFG550" s="83" t="s">
        <v>151</v>
      </c>
      <c r="LFH550" s="83" t="s">
        <v>151</v>
      </c>
      <c r="LFI550" s="83" t="s">
        <v>151</v>
      </c>
      <c r="LFJ550" s="83" t="s">
        <v>151</v>
      </c>
      <c r="LFK550" s="83" t="s">
        <v>151</v>
      </c>
      <c r="LFL550" s="83" t="s">
        <v>151</v>
      </c>
      <c r="LFM550" s="83" t="s">
        <v>151</v>
      </c>
      <c r="LFN550" s="83" t="s">
        <v>151</v>
      </c>
      <c r="LFO550" s="83" t="s">
        <v>151</v>
      </c>
      <c r="LFP550" s="83" t="s">
        <v>151</v>
      </c>
      <c r="LFQ550" s="83" t="s">
        <v>151</v>
      </c>
      <c r="LFR550" s="83" t="s">
        <v>151</v>
      </c>
      <c r="LFS550" s="83" t="s">
        <v>151</v>
      </c>
      <c r="LFT550" s="83" t="s">
        <v>151</v>
      </c>
      <c r="LFU550" s="83" t="s">
        <v>151</v>
      </c>
      <c r="LFV550" s="83" t="s">
        <v>151</v>
      </c>
      <c r="LFW550" s="83" t="s">
        <v>151</v>
      </c>
      <c r="LFX550" s="83" t="s">
        <v>151</v>
      </c>
      <c r="LFY550" s="83" t="s">
        <v>151</v>
      </c>
      <c r="LFZ550" s="83" t="s">
        <v>151</v>
      </c>
      <c r="LGA550" s="83" t="s">
        <v>151</v>
      </c>
      <c r="LGB550" s="83" t="s">
        <v>151</v>
      </c>
      <c r="LGC550" s="83" t="s">
        <v>151</v>
      </c>
      <c r="LGD550" s="83" t="s">
        <v>151</v>
      </c>
      <c r="LGE550" s="83" t="s">
        <v>151</v>
      </c>
      <c r="LGF550" s="83" t="s">
        <v>151</v>
      </c>
      <c r="LGG550" s="83" t="s">
        <v>151</v>
      </c>
      <c r="LGH550" s="83" t="s">
        <v>151</v>
      </c>
      <c r="LGI550" s="83" t="s">
        <v>151</v>
      </c>
      <c r="LGJ550" s="83" t="s">
        <v>151</v>
      </c>
      <c r="LGK550" s="83" t="s">
        <v>151</v>
      </c>
      <c r="LGL550" s="83" t="s">
        <v>151</v>
      </c>
      <c r="LGM550" s="83" t="s">
        <v>151</v>
      </c>
      <c r="LGN550" s="83" t="s">
        <v>151</v>
      </c>
      <c r="LGO550" s="83" t="s">
        <v>151</v>
      </c>
      <c r="LGP550" s="83" t="s">
        <v>151</v>
      </c>
      <c r="LGQ550" s="83" t="s">
        <v>151</v>
      </c>
      <c r="LGR550" s="83" t="s">
        <v>151</v>
      </c>
      <c r="LGS550" s="83" t="s">
        <v>151</v>
      </c>
      <c r="LGT550" s="83" t="s">
        <v>151</v>
      </c>
      <c r="LGU550" s="83" t="s">
        <v>151</v>
      </c>
      <c r="LGV550" s="83" t="s">
        <v>151</v>
      </c>
      <c r="LGW550" s="83" t="s">
        <v>151</v>
      </c>
      <c r="LGX550" s="83" t="s">
        <v>151</v>
      </c>
      <c r="LGY550" s="83" t="s">
        <v>151</v>
      </c>
      <c r="LGZ550" s="83" t="s">
        <v>151</v>
      </c>
      <c r="LHA550" s="83" t="s">
        <v>151</v>
      </c>
      <c r="LHB550" s="83" t="s">
        <v>151</v>
      </c>
      <c r="LHC550" s="83" t="s">
        <v>151</v>
      </c>
      <c r="LHD550" s="83" t="s">
        <v>151</v>
      </c>
      <c r="LHE550" s="83" t="s">
        <v>151</v>
      </c>
      <c r="LHF550" s="83" t="s">
        <v>151</v>
      </c>
      <c r="LHG550" s="83" t="s">
        <v>151</v>
      </c>
      <c r="LHH550" s="83" t="s">
        <v>151</v>
      </c>
      <c r="LHI550" s="83" t="s">
        <v>151</v>
      </c>
      <c r="LHJ550" s="83" t="s">
        <v>151</v>
      </c>
      <c r="LHK550" s="83" t="s">
        <v>151</v>
      </c>
      <c r="LHL550" s="83" t="s">
        <v>151</v>
      </c>
      <c r="LHM550" s="83" t="s">
        <v>151</v>
      </c>
      <c r="LHN550" s="83" t="s">
        <v>151</v>
      </c>
      <c r="LHO550" s="83" t="s">
        <v>151</v>
      </c>
      <c r="LHP550" s="83" t="s">
        <v>151</v>
      </c>
      <c r="LHQ550" s="83" t="s">
        <v>151</v>
      </c>
      <c r="LHR550" s="83" t="s">
        <v>151</v>
      </c>
      <c r="LHS550" s="83" t="s">
        <v>151</v>
      </c>
      <c r="LHT550" s="83" t="s">
        <v>151</v>
      </c>
      <c r="LHU550" s="83" t="s">
        <v>151</v>
      </c>
      <c r="LHV550" s="83" t="s">
        <v>151</v>
      </c>
      <c r="LHW550" s="83" t="s">
        <v>151</v>
      </c>
      <c r="LHX550" s="83" t="s">
        <v>151</v>
      </c>
      <c r="LHY550" s="83" t="s">
        <v>151</v>
      </c>
      <c r="LHZ550" s="83" t="s">
        <v>151</v>
      </c>
      <c r="LIA550" s="83" t="s">
        <v>151</v>
      </c>
      <c r="LIB550" s="83" t="s">
        <v>151</v>
      </c>
      <c r="LIC550" s="83" t="s">
        <v>151</v>
      </c>
      <c r="LID550" s="83" t="s">
        <v>151</v>
      </c>
      <c r="LIE550" s="83" t="s">
        <v>151</v>
      </c>
      <c r="LIF550" s="83" t="s">
        <v>151</v>
      </c>
      <c r="LIG550" s="83" t="s">
        <v>151</v>
      </c>
      <c r="LIH550" s="83" t="s">
        <v>151</v>
      </c>
      <c r="LII550" s="83" t="s">
        <v>151</v>
      </c>
      <c r="LIJ550" s="83" t="s">
        <v>151</v>
      </c>
      <c r="LIK550" s="83" t="s">
        <v>151</v>
      </c>
      <c r="LIL550" s="83" t="s">
        <v>151</v>
      </c>
      <c r="LIM550" s="83" t="s">
        <v>151</v>
      </c>
      <c r="LIN550" s="83" t="s">
        <v>151</v>
      </c>
      <c r="LIO550" s="83" t="s">
        <v>151</v>
      </c>
      <c r="LIP550" s="83" t="s">
        <v>151</v>
      </c>
      <c r="LIQ550" s="83" t="s">
        <v>151</v>
      </c>
      <c r="LIR550" s="83" t="s">
        <v>151</v>
      </c>
      <c r="LIS550" s="83" t="s">
        <v>151</v>
      </c>
      <c r="LIT550" s="83" t="s">
        <v>151</v>
      </c>
      <c r="LIU550" s="83" t="s">
        <v>151</v>
      </c>
      <c r="LIV550" s="83" t="s">
        <v>151</v>
      </c>
      <c r="LIW550" s="83" t="s">
        <v>151</v>
      </c>
      <c r="LIX550" s="83" t="s">
        <v>151</v>
      </c>
      <c r="LIY550" s="83" t="s">
        <v>151</v>
      </c>
      <c r="LIZ550" s="83" t="s">
        <v>151</v>
      </c>
      <c r="LJA550" s="83" t="s">
        <v>151</v>
      </c>
      <c r="LJB550" s="83" t="s">
        <v>151</v>
      </c>
      <c r="LJC550" s="83" t="s">
        <v>151</v>
      </c>
      <c r="LJD550" s="83" t="s">
        <v>151</v>
      </c>
      <c r="LJE550" s="83" t="s">
        <v>151</v>
      </c>
      <c r="LJF550" s="83" t="s">
        <v>151</v>
      </c>
      <c r="LJG550" s="83" t="s">
        <v>151</v>
      </c>
      <c r="LJH550" s="83" t="s">
        <v>151</v>
      </c>
      <c r="LJI550" s="83" t="s">
        <v>151</v>
      </c>
      <c r="LJJ550" s="83" t="s">
        <v>151</v>
      </c>
      <c r="LJK550" s="83" t="s">
        <v>151</v>
      </c>
      <c r="LJL550" s="83" t="s">
        <v>151</v>
      </c>
      <c r="LJM550" s="83" t="s">
        <v>151</v>
      </c>
      <c r="LJN550" s="83" t="s">
        <v>151</v>
      </c>
      <c r="LJO550" s="83" t="s">
        <v>151</v>
      </c>
      <c r="LJP550" s="83" t="s">
        <v>151</v>
      </c>
      <c r="LJQ550" s="83" t="s">
        <v>151</v>
      </c>
      <c r="LJR550" s="83" t="s">
        <v>151</v>
      </c>
      <c r="LJS550" s="83" t="s">
        <v>151</v>
      </c>
      <c r="LJT550" s="83" t="s">
        <v>151</v>
      </c>
      <c r="LJU550" s="83" t="s">
        <v>151</v>
      </c>
      <c r="LJV550" s="83" t="s">
        <v>151</v>
      </c>
      <c r="LJW550" s="83" t="s">
        <v>151</v>
      </c>
      <c r="LJX550" s="83" t="s">
        <v>151</v>
      </c>
      <c r="LJY550" s="83" t="s">
        <v>151</v>
      </c>
      <c r="LJZ550" s="83" t="s">
        <v>151</v>
      </c>
      <c r="LKA550" s="83" t="s">
        <v>151</v>
      </c>
      <c r="LKB550" s="83" t="s">
        <v>151</v>
      </c>
      <c r="LKC550" s="83" t="s">
        <v>151</v>
      </c>
      <c r="LKD550" s="83" t="s">
        <v>151</v>
      </c>
      <c r="LKE550" s="83" t="s">
        <v>151</v>
      </c>
      <c r="LKF550" s="83" t="s">
        <v>151</v>
      </c>
      <c r="LKG550" s="83" t="s">
        <v>151</v>
      </c>
      <c r="LKH550" s="83" t="s">
        <v>151</v>
      </c>
      <c r="LKI550" s="83" t="s">
        <v>151</v>
      </c>
      <c r="LKJ550" s="83" t="s">
        <v>151</v>
      </c>
      <c r="LKK550" s="83" t="s">
        <v>151</v>
      </c>
      <c r="LKL550" s="83" t="s">
        <v>151</v>
      </c>
      <c r="LKM550" s="83" t="s">
        <v>151</v>
      </c>
      <c r="LKN550" s="83" t="s">
        <v>151</v>
      </c>
      <c r="LKO550" s="83" t="s">
        <v>151</v>
      </c>
      <c r="LKP550" s="83" t="s">
        <v>151</v>
      </c>
      <c r="LKQ550" s="83" t="s">
        <v>151</v>
      </c>
      <c r="LKR550" s="83" t="s">
        <v>151</v>
      </c>
      <c r="LKS550" s="83" t="s">
        <v>151</v>
      </c>
      <c r="LKT550" s="83" t="s">
        <v>151</v>
      </c>
      <c r="LKU550" s="83" t="s">
        <v>151</v>
      </c>
      <c r="LKV550" s="83" t="s">
        <v>151</v>
      </c>
      <c r="LKW550" s="83" t="s">
        <v>151</v>
      </c>
      <c r="LKX550" s="83" t="s">
        <v>151</v>
      </c>
      <c r="LKY550" s="83" t="s">
        <v>151</v>
      </c>
      <c r="LKZ550" s="83" t="s">
        <v>151</v>
      </c>
      <c r="LLA550" s="83" t="s">
        <v>151</v>
      </c>
      <c r="LLB550" s="83" t="s">
        <v>151</v>
      </c>
      <c r="LLC550" s="83" t="s">
        <v>151</v>
      </c>
      <c r="LLD550" s="83" t="s">
        <v>151</v>
      </c>
      <c r="LLE550" s="83" t="s">
        <v>151</v>
      </c>
      <c r="LLF550" s="83" t="s">
        <v>151</v>
      </c>
      <c r="LLG550" s="83" t="s">
        <v>151</v>
      </c>
      <c r="LLH550" s="83" t="s">
        <v>151</v>
      </c>
      <c r="LLI550" s="83" t="s">
        <v>151</v>
      </c>
      <c r="LLJ550" s="83" t="s">
        <v>151</v>
      </c>
      <c r="LLK550" s="83" t="s">
        <v>151</v>
      </c>
      <c r="LLL550" s="83" t="s">
        <v>151</v>
      </c>
      <c r="LLM550" s="83" t="s">
        <v>151</v>
      </c>
      <c r="LLN550" s="83" t="s">
        <v>151</v>
      </c>
      <c r="LLO550" s="83" t="s">
        <v>151</v>
      </c>
      <c r="LLP550" s="83" t="s">
        <v>151</v>
      </c>
      <c r="LLQ550" s="83" t="s">
        <v>151</v>
      </c>
      <c r="LLR550" s="83" t="s">
        <v>151</v>
      </c>
      <c r="LLS550" s="83" t="s">
        <v>151</v>
      </c>
      <c r="LLT550" s="83" t="s">
        <v>151</v>
      </c>
      <c r="LLU550" s="83" t="s">
        <v>151</v>
      </c>
      <c r="LLV550" s="83" t="s">
        <v>151</v>
      </c>
      <c r="LLW550" s="83" t="s">
        <v>151</v>
      </c>
      <c r="LLX550" s="83" t="s">
        <v>151</v>
      </c>
      <c r="LLY550" s="83" t="s">
        <v>151</v>
      </c>
      <c r="LLZ550" s="83" t="s">
        <v>151</v>
      </c>
      <c r="LMA550" s="83" t="s">
        <v>151</v>
      </c>
      <c r="LMB550" s="83" t="s">
        <v>151</v>
      </c>
      <c r="LMC550" s="83" t="s">
        <v>151</v>
      </c>
      <c r="LMD550" s="83" t="s">
        <v>151</v>
      </c>
      <c r="LME550" s="83" t="s">
        <v>151</v>
      </c>
      <c r="LMF550" s="83" t="s">
        <v>151</v>
      </c>
      <c r="LMG550" s="83" t="s">
        <v>151</v>
      </c>
      <c r="LMH550" s="83" t="s">
        <v>151</v>
      </c>
      <c r="LMI550" s="83" t="s">
        <v>151</v>
      </c>
      <c r="LMJ550" s="83" t="s">
        <v>151</v>
      </c>
      <c r="LMK550" s="83" t="s">
        <v>151</v>
      </c>
      <c r="LML550" s="83" t="s">
        <v>151</v>
      </c>
      <c r="LMM550" s="83" t="s">
        <v>151</v>
      </c>
      <c r="LMN550" s="83" t="s">
        <v>151</v>
      </c>
      <c r="LMO550" s="83" t="s">
        <v>151</v>
      </c>
      <c r="LMP550" s="83" t="s">
        <v>151</v>
      </c>
      <c r="LMQ550" s="83" t="s">
        <v>151</v>
      </c>
      <c r="LMR550" s="83" t="s">
        <v>151</v>
      </c>
      <c r="LMS550" s="83" t="s">
        <v>151</v>
      </c>
      <c r="LMT550" s="83" t="s">
        <v>151</v>
      </c>
      <c r="LMU550" s="83" t="s">
        <v>151</v>
      </c>
      <c r="LMV550" s="83" t="s">
        <v>151</v>
      </c>
      <c r="LMW550" s="83" t="s">
        <v>151</v>
      </c>
      <c r="LMX550" s="83" t="s">
        <v>151</v>
      </c>
      <c r="LMY550" s="83" t="s">
        <v>151</v>
      </c>
      <c r="LMZ550" s="83" t="s">
        <v>151</v>
      </c>
      <c r="LNA550" s="83" t="s">
        <v>151</v>
      </c>
      <c r="LNB550" s="83" t="s">
        <v>151</v>
      </c>
      <c r="LNC550" s="83" t="s">
        <v>151</v>
      </c>
      <c r="LND550" s="83" t="s">
        <v>151</v>
      </c>
      <c r="LNE550" s="83" t="s">
        <v>151</v>
      </c>
      <c r="LNF550" s="83" t="s">
        <v>151</v>
      </c>
      <c r="LNG550" s="83" t="s">
        <v>151</v>
      </c>
      <c r="LNH550" s="83" t="s">
        <v>151</v>
      </c>
      <c r="LNI550" s="83" t="s">
        <v>151</v>
      </c>
      <c r="LNJ550" s="83" t="s">
        <v>151</v>
      </c>
      <c r="LNK550" s="83" t="s">
        <v>151</v>
      </c>
      <c r="LNL550" s="83" t="s">
        <v>151</v>
      </c>
      <c r="LNM550" s="83" t="s">
        <v>151</v>
      </c>
      <c r="LNN550" s="83" t="s">
        <v>151</v>
      </c>
      <c r="LNO550" s="83" t="s">
        <v>151</v>
      </c>
      <c r="LNP550" s="83" t="s">
        <v>151</v>
      </c>
      <c r="LNQ550" s="83" t="s">
        <v>151</v>
      </c>
      <c r="LNR550" s="83" t="s">
        <v>151</v>
      </c>
      <c r="LNS550" s="83" t="s">
        <v>151</v>
      </c>
      <c r="LNT550" s="83" t="s">
        <v>151</v>
      </c>
      <c r="LNU550" s="83" t="s">
        <v>151</v>
      </c>
      <c r="LNV550" s="83" t="s">
        <v>151</v>
      </c>
      <c r="LNW550" s="83" t="s">
        <v>151</v>
      </c>
      <c r="LNX550" s="83" t="s">
        <v>151</v>
      </c>
      <c r="LNY550" s="83" t="s">
        <v>151</v>
      </c>
      <c r="LNZ550" s="83" t="s">
        <v>151</v>
      </c>
      <c r="LOA550" s="83" t="s">
        <v>151</v>
      </c>
      <c r="LOB550" s="83" t="s">
        <v>151</v>
      </c>
      <c r="LOC550" s="83" t="s">
        <v>151</v>
      </c>
      <c r="LOD550" s="83" t="s">
        <v>151</v>
      </c>
      <c r="LOE550" s="83" t="s">
        <v>151</v>
      </c>
      <c r="LOF550" s="83" t="s">
        <v>151</v>
      </c>
      <c r="LOG550" s="83" t="s">
        <v>151</v>
      </c>
      <c r="LOH550" s="83" t="s">
        <v>151</v>
      </c>
      <c r="LOI550" s="83" t="s">
        <v>151</v>
      </c>
      <c r="LOJ550" s="83" t="s">
        <v>151</v>
      </c>
      <c r="LOK550" s="83" t="s">
        <v>151</v>
      </c>
      <c r="LOL550" s="83" t="s">
        <v>151</v>
      </c>
      <c r="LOM550" s="83" t="s">
        <v>151</v>
      </c>
      <c r="LON550" s="83" t="s">
        <v>151</v>
      </c>
      <c r="LOO550" s="83" t="s">
        <v>151</v>
      </c>
      <c r="LOP550" s="83" t="s">
        <v>151</v>
      </c>
      <c r="LOQ550" s="83" t="s">
        <v>151</v>
      </c>
      <c r="LOR550" s="83" t="s">
        <v>151</v>
      </c>
      <c r="LOS550" s="83" t="s">
        <v>151</v>
      </c>
      <c r="LOT550" s="83" t="s">
        <v>151</v>
      </c>
      <c r="LOU550" s="83" t="s">
        <v>151</v>
      </c>
      <c r="LOV550" s="83" t="s">
        <v>151</v>
      </c>
      <c r="LOW550" s="83" t="s">
        <v>151</v>
      </c>
      <c r="LOX550" s="83" t="s">
        <v>151</v>
      </c>
      <c r="LOY550" s="83" t="s">
        <v>151</v>
      </c>
      <c r="LOZ550" s="83" t="s">
        <v>151</v>
      </c>
      <c r="LPA550" s="83" t="s">
        <v>151</v>
      </c>
      <c r="LPB550" s="83" t="s">
        <v>151</v>
      </c>
      <c r="LPC550" s="83" t="s">
        <v>151</v>
      </c>
      <c r="LPD550" s="83" t="s">
        <v>151</v>
      </c>
      <c r="LPE550" s="83" t="s">
        <v>151</v>
      </c>
      <c r="LPF550" s="83" t="s">
        <v>151</v>
      </c>
      <c r="LPG550" s="83" t="s">
        <v>151</v>
      </c>
      <c r="LPH550" s="83" t="s">
        <v>151</v>
      </c>
      <c r="LPI550" s="83" t="s">
        <v>151</v>
      </c>
      <c r="LPJ550" s="83" t="s">
        <v>151</v>
      </c>
      <c r="LPK550" s="83" t="s">
        <v>151</v>
      </c>
      <c r="LPL550" s="83" t="s">
        <v>151</v>
      </c>
      <c r="LPM550" s="83" t="s">
        <v>151</v>
      </c>
      <c r="LPN550" s="83" t="s">
        <v>151</v>
      </c>
      <c r="LPO550" s="83" t="s">
        <v>151</v>
      </c>
      <c r="LPP550" s="83" t="s">
        <v>151</v>
      </c>
      <c r="LPQ550" s="83" t="s">
        <v>151</v>
      </c>
      <c r="LPR550" s="83" t="s">
        <v>151</v>
      </c>
      <c r="LPS550" s="83" t="s">
        <v>151</v>
      </c>
      <c r="LPT550" s="83" t="s">
        <v>151</v>
      </c>
      <c r="LPU550" s="83" t="s">
        <v>151</v>
      </c>
      <c r="LPV550" s="83" t="s">
        <v>151</v>
      </c>
      <c r="LPW550" s="83" t="s">
        <v>151</v>
      </c>
      <c r="LPX550" s="83" t="s">
        <v>151</v>
      </c>
      <c r="LPY550" s="83" t="s">
        <v>151</v>
      </c>
      <c r="LPZ550" s="83" t="s">
        <v>151</v>
      </c>
      <c r="LQA550" s="83" t="s">
        <v>151</v>
      </c>
      <c r="LQB550" s="83" t="s">
        <v>151</v>
      </c>
      <c r="LQC550" s="83" t="s">
        <v>151</v>
      </c>
      <c r="LQD550" s="83" t="s">
        <v>151</v>
      </c>
      <c r="LQE550" s="83" t="s">
        <v>151</v>
      </c>
      <c r="LQF550" s="83" t="s">
        <v>151</v>
      </c>
      <c r="LQG550" s="83" t="s">
        <v>151</v>
      </c>
      <c r="LQH550" s="83" t="s">
        <v>151</v>
      </c>
      <c r="LQI550" s="83" t="s">
        <v>151</v>
      </c>
      <c r="LQJ550" s="83" t="s">
        <v>151</v>
      </c>
      <c r="LQK550" s="83" t="s">
        <v>151</v>
      </c>
      <c r="LQL550" s="83" t="s">
        <v>151</v>
      </c>
      <c r="LQM550" s="83" t="s">
        <v>151</v>
      </c>
      <c r="LQN550" s="83" t="s">
        <v>151</v>
      </c>
      <c r="LQO550" s="83" t="s">
        <v>151</v>
      </c>
      <c r="LQP550" s="83" t="s">
        <v>151</v>
      </c>
      <c r="LQQ550" s="83" t="s">
        <v>151</v>
      </c>
      <c r="LQR550" s="83" t="s">
        <v>151</v>
      </c>
      <c r="LQS550" s="83" t="s">
        <v>151</v>
      </c>
      <c r="LQT550" s="83" t="s">
        <v>151</v>
      </c>
      <c r="LQU550" s="83" t="s">
        <v>151</v>
      </c>
      <c r="LQV550" s="83" t="s">
        <v>151</v>
      </c>
      <c r="LQW550" s="83" t="s">
        <v>151</v>
      </c>
      <c r="LQX550" s="83" t="s">
        <v>151</v>
      </c>
      <c r="LQY550" s="83" t="s">
        <v>151</v>
      </c>
      <c r="LQZ550" s="83" t="s">
        <v>151</v>
      </c>
      <c r="LRA550" s="83" t="s">
        <v>151</v>
      </c>
      <c r="LRB550" s="83" t="s">
        <v>151</v>
      </c>
      <c r="LRC550" s="83" t="s">
        <v>151</v>
      </c>
      <c r="LRD550" s="83" t="s">
        <v>151</v>
      </c>
      <c r="LRE550" s="83" t="s">
        <v>151</v>
      </c>
      <c r="LRF550" s="83" t="s">
        <v>151</v>
      </c>
      <c r="LRG550" s="83" t="s">
        <v>151</v>
      </c>
      <c r="LRH550" s="83" t="s">
        <v>151</v>
      </c>
      <c r="LRI550" s="83" t="s">
        <v>151</v>
      </c>
      <c r="LRJ550" s="83" t="s">
        <v>151</v>
      </c>
      <c r="LRK550" s="83" t="s">
        <v>151</v>
      </c>
      <c r="LRL550" s="83" t="s">
        <v>151</v>
      </c>
      <c r="LRM550" s="83" t="s">
        <v>151</v>
      </c>
      <c r="LRN550" s="83" t="s">
        <v>151</v>
      </c>
      <c r="LRO550" s="83" t="s">
        <v>151</v>
      </c>
      <c r="LRP550" s="83" t="s">
        <v>151</v>
      </c>
      <c r="LRQ550" s="83" t="s">
        <v>151</v>
      </c>
      <c r="LRR550" s="83" t="s">
        <v>151</v>
      </c>
      <c r="LRS550" s="83" t="s">
        <v>151</v>
      </c>
      <c r="LRT550" s="83" t="s">
        <v>151</v>
      </c>
      <c r="LRU550" s="83" t="s">
        <v>151</v>
      </c>
      <c r="LRV550" s="83" t="s">
        <v>151</v>
      </c>
      <c r="LRW550" s="83" t="s">
        <v>151</v>
      </c>
      <c r="LRX550" s="83" t="s">
        <v>151</v>
      </c>
      <c r="LRY550" s="83" t="s">
        <v>151</v>
      </c>
      <c r="LRZ550" s="83" t="s">
        <v>151</v>
      </c>
      <c r="LSA550" s="83" t="s">
        <v>151</v>
      </c>
      <c r="LSB550" s="83" t="s">
        <v>151</v>
      </c>
      <c r="LSC550" s="83" t="s">
        <v>151</v>
      </c>
      <c r="LSD550" s="83" t="s">
        <v>151</v>
      </c>
      <c r="LSE550" s="83" t="s">
        <v>151</v>
      </c>
      <c r="LSF550" s="83" t="s">
        <v>151</v>
      </c>
      <c r="LSG550" s="83" t="s">
        <v>151</v>
      </c>
      <c r="LSH550" s="83" t="s">
        <v>151</v>
      </c>
      <c r="LSI550" s="83" t="s">
        <v>151</v>
      </c>
      <c r="LSJ550" s="83" t="s">
        <v>151</v>
      </c>
      <c r="LSK550" s="83" t="s">
        <v>151</v>
      </c>
      <c r="LSL550" s="83" t="s">
        <v>151</v>
      </c>
      <c r="LSM550" s="83" t="s">
        <v>151</v>
      </c>
      <c r="LSN550" s="83" t="s">
        <v>151</v>
      </c>
      <c r="LSO550" s="83" t="s">
        <v>151</v>
      </c>
      <c r="LSP550" s="83" t="s">
        <v>151</v>
      </c>
      <c r="LSQ550" s="83" t="s">
        <v>151</v>
      </c>
      <c r="LSR550" s="83" t="s">
        <v>151</v>
      </c>
      <c r="LSS550" s="83" t="s">
        <v>151</v>
      </c>
      <c r="LST550" s="83" t="s">
        <v>151</v>
      </c>
      <c r="LSU550" s="83" t="s">
        <v>151</v>
      </c>
      <c r="LSV550" s="83" t="s">
        <v>151</v>
      </c>
      <c r="LSW550" s="83" t="s">
        <v>151</v>
      </c>
      <c r="LSX550" s="83" t="s">
        <v>151</v>
      </c>
      <c r="LSY550" s="83" t="s">
        <v>151</v>
      </c>
      <c r="LSZ550" s="83" t="s">
        <v>151</v>
      </c>
      <c r="LTA550" s="83" t="s">
        <v>151</v>
      </c>
      <c r="LTB550" s="83" t="s">
        <v>151</v>
      </c>
      <c r="LTC550" s="83" t="s">
        <v>151</v>
      </c>
      <c r="LTD550" s="83" t="s">
        <v>151</v>
      </c>
      <c r="LTE550" s="83" t="s">
        <v>151</v>
      </c>
      <c r="LTF550" s="83" t="s">
        <v>151</v>
      </c>
      <c r="LTG550" s="83" t="s">
        <v>151</v>
      </c>
      <c r="LTH550" s="83" t="s">
        <v>151</v>
      </c>
      <c r="LTI550" s="83" t="s">
        <v>151</v>
      </c>
      <c r="LTJ550" s="83" t="s">
        <v>151</v>
      </c>
      <c r="LTK550" s="83" t="s">
        <v>151</v>
      </c>
      <c r="LTL550" s="83" t="s">
        <v>151</v>
      </c>
      <c r="LTM550" s="83" t="s">
        <v>151</v>
      </c>
      <c r="LTN550" s="83" t="s">
        <v>151</v>
      </c>
      <c r="LTO550" s="83" t="s">
        <v>151</v>
      </c>
      <c r="LTP550" s="83" t="s">
        <v>151</v>
      </c>
      <c r="LTQ550" s="83" t="s">
        <v>151</v>
      </c>
      <c r="LTR550" s="83" t="s">
        <v>151</v>
      </c>
      <c r="LTS550" s="83" t="s">
        <v>151</v>
      </c>
      <c r="LTT550" s="83" t="s">
        <v>151</v>
      </c>
      <c r="LTU550" s="83" t="s">
        <v>151</v>
      </c>
      <c r="LTV550" s="83" t="s">
        <v>151</v>
      </c>
      <c r="LTW550" s="83" t="s">
        <v>151</v>
      </c>
      <c r="LTX550" s="83" t="s">
        <v>151</v>
      </c>
      <c r="LTY550" s="83" t="s">
        <v>151</v>
      </c>
      <c r="LTZ550" s="83" t="s">
        <v>151</v>
      </c>
      <c r="LUA550" s="83" t="s">
        <v>151</v>
      </c>
      <c r="LUB550" s="83" t="s">
        <v>151</v>
      </c>
      <c r="LUC550" s="83" t="s">
        <v>151</v>
      </c>
      <c r="LUD550" s="83" t="s">
        <v>151</v>
      </c>
      <c r="LUE550" s="83" t="s">
        <v>151</v>
      </c>
      <c r="LUF550" s="83" t="s">
        <v>151</v>
      </c>
      <c r="LUG550" s="83" t="s">
        <v>151</v>
      </c>
      <c r="LUH550" s="83" t="s">
        <v>151</v>
      </c>
      <c r="LUI550" s="83" t="s">
        <v>151</v>
      </c>
      <c r="LUJ550" s="83" t="s">
        <v>151</v>
      </c>
      <c r="LUK550" s="83" t="s">
        <v>151</v>
      </c>
      <c r="LUL550" s="83" t="s">
        <v>151</v>
      </c>
      <c r="LUM550" s="83" t="s">
        <v>151</v>
      </c>
      <c r="LUN550" s="83" t="s">
        <v>151</v>
      </c>
      <c r="LUO550" s="83" t="s">
        <v>151</v>
      </c>
      <c r="LUP550" s="83" t="s">
        <v>151</v>
      </c>
      <c r="LUQ550" s="83" t="s">
        <v>151</v>
      </c>
      <c r="LUR550" s="83" t="s">
        <v>151</v>
      </c>
      <c r="LUS550" s="83" t="s">
        <v>151</v>
      </c>
      <c r="LUT550" s="83" t="s">
        <v>151</v>
      </c>
      <c r="LUU550" s="83" t="s">
        <v>151</v>
      </c>
      <c r="LUV550" s="83" t="s">
        <v>151</v>
      </c>
      <c r="LUW550" s="83" t="s">
        <v>151</v>
      </c>
      <c r="LUX550" s="83" t="s">
        <v>151</v>
      </c>
      <c r="LUY550" s="83" t="s">
        <v>151</v>
      </c>
      <c r="LUZ550" s="83" t="s">
        <v>151</v>
      </c>
      <c r="LVA550" s="83" t="s">
        <v>151</v>
      </c>
      <c r="LVB550" s="83" t="s">
        <v>151</v>
      </c>
      <c r="LVC550" s="83" t="s">
        <v>151</v>
      </c>
      <c r="LVD550" s="83" t="s">
        <v>151</v>
      </c>
      <c r="LVE550" s="83" t="s">
        <v>151</v>
      </c>
      <c r="LVF550" s="83" t="s">
        <v>151</v>
      </c>
      <c r="LVG550" s="83" t="s">
        <v>151</v>
      </c>
      <c r="LVH550" s="83" t="s">
        <v>151</v>
      </c>
      <c r="LVI550" s="83" t="s">
        <v>151</v>
      </c>
      <c r="LVJ550" s="83" t="s">
        <v>151</v>
      </c>
      <c r="LVK550" s="83" t="s">
        <v>151</v>
      </c>
      <c r="LVL550" s="83" t="s">
        <v>151</v>
      </c>
      <c r="LVM550" s="83" t="s">
        <v>151</v>
      </c>
      <c r="LVN550" s="83" t="s">
        <v>151</v>
      </c>
      <c r="LVO550" s="83" t="s">
        <v>151</v>
      </c>
      <c r="LVP550" s="83" t="s">
        <v>151</v>
      </c>
      <c r="LVQ550" s="83" t="s">
        <v>151</v>
      </c>
      <c r="LVR550" s="83" t="s">
        <v>151</v>
      </c>
      <c r="LVS550" s="83" t="s">
        <v>151</v>
      </c>
      <c r="LVT550" s="83" t="s">
        <v>151</v>
      </c>
      <c r="LVU550" s="83" t="s">
        <v>151</v>
      </c>
      <c r="LVV550" s="83" t="s">
        <v>151</v>
      </c>
      <c r="LVW550" s="83" t="s">
        <v>151</v>
      </c>
      <c r="LVX550" s="83" t="s">
        <v>151</v>
      </c>
      <c r="LVY550" s="83" t="s">
        <v>151</v>
      </c>
      <c r="LVZ550" s="83" t="s">
        <v>151</v>
      </c>
      <c r="LWA550" s="83" t="s">
        <v>151</v>
      </c>
      <c r="LWB550" s="83" t="s">
        <v>151</v>
      </c>
      <c r="LWC550" s="83" t="s">
        <v>151</v>
      </c>
      <c r="LWD550" s="83" t="s">
        <v>151</v>
      </c>
      <c r="LWE550" s="83" t="s">
        <v>151</v>
      </c>
      <c r="LWF550" s="83" t="s">
        <v>151</v>
      </c>
      <c r="LWG550" s="83" t="s">
        <v>151</v>
      </c>
      <c r="LWH550" s="83" t="s">
        <v>151</v>
      </c>
      <c r="LWI550" s="83" t="s">
        <v>151</v>
      </c>
      <c r="LWJ550" s="83" t="s">
        <v>151</v>
      </c>
      <c r="LWK550" s="83" t="s">
        <v>151</v>
      </c>
      <c r="LWL550" s="83" t="s">
        <v>151</v>
      </c>
      <c r="LWM550" s="83" t="s">
        <v>151</v>
      </c>
      <c r="LWN550" s="83" t="s">
        <v>151</v>
      </c>
      <c r="LWO550" s="83" t="s">
        <v>151</v>
      </c>
      <c r="LWP550" s="83" t="s">
        <v>151</v>
      </c>
      <c r="LWQ550" s="83" t="s">
        <v>151</v>
      </c>
      <c r="LWR550" s="83" t="s">
        <v>151</v>
      </c>
      <c r="LWS550" s="83" t="s">
        <v>151</v>
      </c>
      <c r="LWT550" s="83" t="s">
        <v>151</v>
      </c>
      <c r="LWU550" s="83" t="s">
        <v>151</v>
      </c>
      <c r="LWV550" s="83" t="s">
        <v>151</v>
      </c>
      <c r="LWW550" s="83" t="s">
        <v>151</v>
      </c>
      <c r="LWX550" s="83" t="s">
        <v>151</v>
      </c>
      <c r="LWY550" s="83" t="s">
        <v>151</v>
      </c>
      <c r="LWZ550" s="83" t="s">
        <v>151</v>
      </c>
      <c r="LXA550" s="83" t="s">
        <v>151</v>
      </c>
      <c r="LXB550" s="83" t="s">
        <v>151</v>
      </c>
      <c r="LXC550" s="83" t="s">
        <v>151</v>
      </c>
      <c r="LXD550" s="83" t="s">
        <v>151</v>
      </c>
      <c r="LXE550" s="83" t="s">
        <v>151</v>
      </c>
      <c r="LXF550" s="83" t="s">
        <v>151</v>
      </c>
      <c r="LXG550" s="83" t="s">
        <v>151</v>
      </c>
      <c r="LXH550" s="83" t="s">
        <v>151</v>
      </c>
      <c r="LXI550" s="83" t="s">
        <v>151</v>
      </c>
      <c r="LXJ550" s="83" t="s">
        <v>151</v>
      </c>
      <c r="LXK550" s="83" t="s">
        <v>151</v>
      </c>
      <c r="LXL550" s="83" t="s">
        <v>151</v>
      </c>
      <c r="LXM550" s="83" t="s">
        <v>151</v>
      </c>
      <c r="LXN550" s="83" t="s">
        <v>151</v>
      </c>
      <c r="LXO550" s="83" t="s">
        <v>151</v>
      </c>
      <c r="LXP550" s="83" t="s">
        <v>151</v>
      </c>
      <c r="LXQ550" s="83" t="s">
        <v>151</v>
      </c>
      <c r="LXR550" s="83" t="s">
        <v>151</v>
      </c>
      <c r="LXS550" s="83" t="s">
        <v>151</v>
      </c>
      <c r="LXT550" s="83" t="s">
        <v>151</v>
      </c>
      <c r="LXU550" s="83" t="s">
        <v>151</v>
      </c>
      <c r="LXV550" s="83" t="s">
        <v>151</v>
      </c>
      <c r="LXW550" s="83" t="s">
        <v>151</v>
      </c>
      <c r="LXX550" s="83" t="s">
        <v>151</v>
      </c>
      <c r="LXY550" s="83" t="s">
        <v>151</v>
      </c>
      <c r="LXZ550" s="83" t="s">
        <v>151</v>
      </c>
      <c r="LYA550" s="83" t="s">
        <v>151</v>
      </c>
      <c r="LYB550" s="83" t="s">
        <v>151</v>
      </c>
      <c r="LYC550" s="83" t="s">
        <v>151</v>
      </c>
      <c r="LYD550" s="83" t="s">
        <v>151</v>
      </c>
      <c r="LYE550" s="83" t="s">
        <v>151</v>
      </c>
      <c r="LYF550" s="83" t="s">
        <v>151</v>
      </c>
      <c r="LYG550" s="83" t="s">
        <v>151</v>
      </c>
      <c r="LYH550" s="83" t="s">
        <v>151</v>
      </c>
      <c r="LYI550" s="83" t="s">
        <v>151</v>
      </c>
      <c r="LYJ550" s="83" t="s">
        <v>151</v>
      </c>
      <c r="LYK550" s="83" t="s">
        <v>151</v>
      </c>
      <c r="LYL550" s="83" t="s">
        <v>151</v>
      </c>
      <c r="LYM550" s="83" t="s">
        <v>151</v>
      </c>
      <c r="LYN550" s="83" t="s">
        <v>151</v>
      </c>
      <c r="LYO550" s="83" t="s">
        <v>151</v>
      </c>
      <c r="LYP550" s="83" t="s">
        <v>151</v>
      </c>
      <c r="LYQ550" s="83" t="s">
        <v>151</v>
      </c>
      <c r="LYR550" s="83" t="s">
        <v>151</v>
      </c>
      <c r="LYS550" s="83" t="s">
        <v>151</v>
      </c>
      <c r="LYT550" s="83" t="s">
        <v>151</v>
      </c>
      <c r="LYU550" s="83" t="s">
        <v>151</v>
      </c>
      <c r="LYV550" s="83" t="s">
        <v>151</v>
      </c>
      <c r="LYW550" s="83" t="s">
        <v>151</v>
      </c>
      <c r="LYX550" s="83" t="s">
        <v>151</v>
      </c>
      <c r="LYY550" s="83" t="s">
        <v>151</v>
      </c>
      <c r="LYZ550" s="83" t="s">
        <v>151</v>
      </c>
      <c r="LZA550" s="83" t="s">
        <v>151</v>
      </c>
      <c r="LZB550" s="83" t="s">
        <v>151</v>
      </c>
      <c r="LZC550" s="83" t="s">
        <v>151</v>
      </c>
      <c r="LZD550" s="83" t="s">
        <v>151</v>
      </c>
      <c r="LZE550" s="83" t="s">
        <v>151</v>
      </c>
      <c r="LZF550" s="83" t="s">
        <v>151</v>
      </c>
      <c r="LZG550" s="83" t="s">
        <v>151</v>
      </c>
      <c r="LZH550" s="83" t="s">
        <v>151</v>
      </c>
      <c r="LZI550" s="83" t="s">
        <v>151</v>
      </c>
      <c r="LZJ550" s="83" t="s">
        <v>151</v>
      </c>
      <c r="LZK550" s="83" t="s">
        <v>151</v>
      </c>
      <c r="LZL550" s="83" t="s">
        <v>151</v>
      </c>
      <c r="LZM550" s="83" t="s">
        <v>151</v>
      </c>
      <c r="LZN550" s="83" t="s">
        <v>151</v>
      </c>
      <c r="LZO550" s="83" t="s">
        <v>151</v>
      </c>
      <c r="LZP550" s="83" t="s">
        <v>151</v>
      </c>
      <c r="LZQ550" s="83" t="s">
        <v>151</v>
      </c>
      <c r="LZR550" s="83" t="s">
        <v>151</v>
      </c>
      <c r="LZS550" s="83" t="s">
        <v>151</v>
      </c>
      <c r="LZT550" s="83" t="s">
        <v>151</v>
      </c>
      <c r="LZU550" s="83" t="s">
        <v>151</v>
      </c>
      <c r="LZV550" s="83" t="s">
        <v>151</v>
      </c>
      <c r="LZW550" s="83" t="s">
        <v>151</v>
      </c>
      <c r="LZX550" s="83" t="s">
        <v>151</v>
      </c>
      <c r="LZY550" s="83" t="s">
        <v>151</v>
      </c>
      <c r="LZZ550" s="83" t="s">
        <v>151</v>
      </c>
      <c r="MAA550" s="83" t="s">
        <v>151</v>
      </c>
      <c r="MAB550" s="83" t="s">
        <v>151</v>
      </c>
      <c r="MAC550" s="83" t="s">
        <v>151</v>
      </c>
      <c r="MAD550" s="83" t="s">
        <v>151</v>
      </c>
      <c r="MAE550" s="83" t="s">
        <v>151</v>
      </c>
      <c r="MAF550" s="83" t="s">
        <v>151</v>
      </c>
      <c r="MAG550" s="83" t="s">
        <v>151</v>
      </c>
      <c r="MAH550" s="83" t="s">
        <v>151</v>
      </c>
      <c r="MAI550" s="83" t="s">
        <v>151</v>
      </c>
      <c r="MAJ550" s="83" t="s">
        <v>151</v>
      </c>
      <c r="MAK550" s="83" t="s">
        <v>151</v>
      </c>
      <c r="MAL550" s="83" t="s">
        <v>151</v>
      </c>
      <c r="MAM550" s="83" t="s">
        <v>151</v>
      </c>
      <c r="MAN550" s="83" t="s">
        <v>151</v>
      </c>
      <c r="MAO550" s="83" t="s">
        <v>151</v>
      </c>
      <c r="MAP550" s="83" t="s">
        <v>151</v>
      </c>
      <c r="MAQ550" s="83" t="s">
        <v>151</v>
      </c>
      <c r="MAR550" s="83" t="s">
        <v>151</v>
      </c>
      <c r="MAS550" s="83" t="s">
        <v>151</v>
      </c>
      <c r="MAT550" s="83" t="s">
        <v>151</v>
      </c>
      <c r="MAU550" s="83" t="s">
        <v>151</v>
      </c>
      <c r="MAV550" s="83" t="s">
        <v>151</v>
      </c>
      <c r="MAW550" s="83" t="s">
        <v>151</v>
      </c>
      <c r="MAX550" s="83" t="s">
        <v>151</v>
      </c>
      <c r="MAY550" s="83" t="s">
        <v>151</v>
      </c>
      <c r="MAZ550" s="83" t="s">
        <v>151</v>
      </c>
      <c r="MBA550" s="83" t="s">
        <v>151</v>
      </c>
      <c r="MBB550" s="83" t="s">
        <v>151</v>
      </c>
      <c r="MBC550" s="83" t="s">
        <v>151</v>
      </c>
      <c r="MBD550" s="83" t="s">
        <v>151</v>
      </c>
      <c r="MBE550" s="83" t="s">
        <v>151</v>
      </c>
      <c r="MBF550" s="83" t="s">
        <v>151</v>
      </c>
      <c r="MBG550" s="83" t="s">
        <v>151</v>
      </c>
      <c r="MBH550" s="83" t="s">
        <v>151</v>
      </c>
      <c r="MBI550" s="83" t="s">
        <v>151</v>
      </c>
      <c r="MBJ550" s="83" t="s">
        <v>151</v>
      </c>
      <c r="MBK550" s="83" t="s">
        <v>151</v>
      </c>
      <c r="MBL550" s="83" t="s">
        <v>151</v>
      </c>
      <c r="MBM550" s="83" t="s">
        <v>151</v>
      </c>
      <c r="MBN550" s="83" t="s">
        <v>151</v>
      </c>
      <c r="MBO550" s="83" t="s">
        <v>151</v>
      </c>
      <c r="MBP550" s="83" t="s">
        <v>151</v>
      </c>
      <c r="MBQ550" s="83" t="s">
        <v>151</v>
      </c>
      <c r="MBR550" s="83" t="s">
        <v>151</v>
      </c>
      <c r="MBS550" s="83" t="s">
        <v>151</v>
      </c>
      <c r="MBT550" s="83" t="s">
        <v>151</v>
      </c>
      <c r="MBU550" s="83" t="s">
        <v>151</v>
      </c>
      <c r="MBV550" s="83" t="s">
        <v>151</v>
      </c>
      <c r="MBW550" s="83" t="s">
        <v>151</v>
      </c>
      <c r="MBX550" s="83" t="s">
        <v>151</v>
      </c>
      <c r="MBY550" s="83" t="s">
        <v>151</v>
      </c>
      <c r="MBZ550" s="83" t="s">
        <v>151</v>
      </c>
      <c r="MCA550" s="83" t="s">
        <v>151</v>
      </c>
      <c r="MCB550" s="83" t="s">
        <v>151</v>
      </c>
      <c r="MCC550" s="83" t="s">
        <v>151</v>
      </c>
      <c r="MCD550" s="83" t="s">
        <v>151</v>
      </c>
      <c r="MCE550" s="83" t="s">
        <v>151</v>
      </c>
      <c r="MCF550" s="83" t="s">
        <v>151</v>
      </c>
      <c r="MCG550" s="83" t="s">
        <v>151</v>
      </c>
      <c r="MCH550" s="83" t="s">
        <v>151</v>
      </c>
      <c r="MCI550" s="83" t="s">
        <v>151</v>
      </c>
      <c r="MCJ550" s="83" t="s">
        <v>151</v>
      </c>
      <c r="MCK550" s="83" t="s">
        <v>151</v>
      </c>
      <c r="MCL550" s="83" t="s">
        <v>151</v>
      </c>
      <c r="MCM550" s="83" t="s">
        <v>151</v>
      </c>
      <c r="MCN550" s="83" t="s">
        <v>151</v>
      </c>
      <c r="MCO550" s="83" t="s">
        <v>151</v>
      </c>
      <c r="MCP550" s="83" t="s">
        <v>151</v>
      </c>
      <c r="MCQ550" s="83" t="s">
        <v>151</v>
      </c>
      <c r="MCR550" s="83" t="s">
        <v>151</v>
      </c>
      <c r="MCS550" s="83" t="s">
        <v>151</v>
      </c>
      <c r="MCT550" s="83" t="s">
        <v>151</v>
      </c>
      <c r="MCU550" s="83" t="s">
        <v>151</v>
      </c>
      <c r="MCV550" s="83" t="s">
        <v>151</v>
      </c>
      <c r="MCW550" s="83" t="s">
        <v>151</v>
      </c>
      <c r="MCX550" s="83" t="s">
        <v>151</v>
      </c>
      <c r="MCY550" s="83" t="s">
        <v>151</v>
      </c>
      <c r="MCZ550" s="83" t="s">
        <v>151</v>
      </c>
      <c r="MDA550" s="83" t="s">
        <v>151</v>
      </c>
      <c r="MDB550" s="83" t="s">
        <v>151</v>
      </c>
      <c r="MDC550" s="83" t="s">
        <v>151</v>
      </c>
      <c r="MDD550" s="83" t="s">
        <v>151</v>
      </c>
      <c r="MDE550" s="83" t="s">
        <v>151</v>
      </c>
      <c r="MDF550" s="83" t="s">
        <v>151</v>
      </c>
      <c r="MDG550" s="83" t="s">
        <v>151</v>
      </c>
      <c r="MDH550" s="83" t="s">
        <v>151</v>
      </c>
      <c r="MDI550" s="83" t="s">
        <v>151</v>
      </c>
      <c r="MDJ550" s="83" t="s">
        <v>151</v>
      </c>
      <c r="MDK550" s="83" t="s">
        <v>151</v>
      </c>
      <c r="MDL550" s="83" t="s">
        <v>151</v>
      </c>
      <c r="MDM550" s="83" t="s">
        <v>151</v>
      </c>
      <c r="MDN550" s="83" t="s">
        <v>151</v>
      </c>
      <c r="MDO550" s="83" t="s">
        <v>151</v>
      </c>
      <c r="MDP550" s="83" t="s">
        <v>151</v>
      </c>
      <c r="MDQ550" s="83" t="s">
        <v>151</v>
      </c>
      <c r="MDR550" s="83" t="s">
        <v>151</v>
      </c>
      <c r="MDS550" s="83" t="s">
        <v>151</v>
      </c>
      <c r="MDT550" s="83" t="s">
        <v>151</v>
      </c>
      <c r="MDU550" s="83" t="s">
        <v>151</v>
      </c>
      <c r="MDV550" s="83" t="s">
        <v>151</v>
      </c>
      <c r="MDW550" s="83" t="s">
        <v>151</v>
      </c>
      <c r="MDX550" s="83" t="s">
        <v>151</v>
      </c>
      <c r="MDY550" s="83" t="s">
        <v>151</v>
      </c>
      <c r="MDZ550" s="83" t="s">
        <v>151</v>
      </c>
      <c r="MEA550" s="83" t="s">
        <v>151</v>
      </c>
      <c r="MEB550" s="83" t="s">
        <v>151</v>
      </c>
      <c r="MEC550" s="83" t="s">
        <v>151</v>
      </c>
      <c r="MED550" s="83" t="s">
        <v>151</v>
      </c>
      <c r="MEE550" s="83" t="s">
        <v>151</v>
      </c>
      <c r="MEF550" s="83" t="s">
        <v>151</v>
      </c>
      <c r="MEG550" s="83" t="s">
        <v>151</v>
      </c>
      <c r="MEH550" s="83" t="s">
        <v>151</v>
      </c>
      <c r="MEI550" s="83" t="s">
        <v>151</v>
      </c>
      <c r="MEJ550" s="83" t="s">
        <v>151</v>
      </c>
      <c r="MEK550" s="83" t="s">
        <v>151</v>
      </c>
      <c r="MEL550" s="83" t="s">
        <v>151</v>
      </c>
      <c r="MEM550" s="83" t="s">
        <v>151</v>
      </c>
      <c r="MEN550" s="83" t="s">
        <v>151</v>
      </c>
      <c r="MEO550" s="83" t="s">
        <v>151</v>
      </c>
      <c r="MEP550" s="83" t="s">
        <v>151</v>
      </c>
      <c r="MEQ550" s="83" t="s">
        <v>151</v>
      </c>
      <c r="MER550" s="83" t="s">
        <v>151</v>
      </c>
      <c r="MES550" s="83" t="s">
        <v>151</v>
      </c>
      <c r="MET550" s="83" t="s">
        <v>151</v>
      </c>
      <c r="MEU550" s="83" t="s">
        <v>151</v>
      </c>
      <c r="MEV550" s="83" t="s">
        <v>151</v>
      </c>
      <c r="MEW550" s="83" t="s">
        <v>151</v>
      </c>
      <c r="MEX550" s="83" t="s">
        <v>151</v>
      </c>
      <c r="MEY550" s="83" t="s">
        <v>151</v>
      </c>
      <c r="MEZ550" s="83" t="s">
        <v>151</v>
      </c>
      <c r="MFA550" s="83" t="s">
        <v>151</v>
      </c>
      <c r="MFB550" s="83" t="s">
        <v>151</v>
      </c>
      <c r="MFC550" s="83" t="s">
        <v>151</v>
      </c>
      <c r="MFD550" s="83" t="s">
        <v>151</v>
      </c>
      <c r="MFE550" s="83" t="s">
        <v>151</v>
      </c>
      <c r="MFF550" s="83" t="s">
        <v>151</v>
      </c>
      <c r="MFG550" s="83" t="s">
        <v>151</v>
      </c>
      <c r="MFH550" s="83" t="s">
        <v>151</v>
      </c>
      <c r="MFI550" s="83" t="s">
        <v>151</v>
      </c>
      <c r="MFJ550" s="83" t="s">
        <v>151</v>
      </c>
      <c r="MFK550" s="83" t="s">
        <v>151</v>
      </c>
      <c r="MFL550" s="83" t="s">
        <v>151</v>
      </c>
      <c r="MFM550" s="83" t="s">
        <v>151</v>
      </c>
      <c r="MFN550" s="83" t="s">
        <v>151</v>
      </c>
      <c r="MFO550" s="83" t="s">
        <v>151</v>
      </c>
      <c r="MFP550" s="83" t="s">
        <v>151</v>
      </c>
      <c r="MFQ550" s="83" t="s">
        <v>151</v>
      </c>
      <c r="MFR550" s="83" t="s">
        <v>151</v>
      </c>
      <c r="MFS550" s="83" t="s">
        <v>151</v>
      </c>
      <c r="MFT550" s="83" t="s">
        <v>151</v>
      </c>
      <c r="MFU550" s="83" t="s">
        <v>151</v>
      </c>
      <c r="MFV550" s="83" t="s">
        <v>151</v>
      </c>
      <c r="MFW550" s="83" t="s">
        <v>151</v>
      </c>
      <c r="MFX550" s="83" t="s">
        <v>151</v>
      </c>
      <c r="MFY550" s="83" t="s">
        <v>151</v>
      </c>
      <c r="MFZ550" s="83" t="s">
        <v>151</v>
      </c>
      <c r="MGA550" s="83" t="s">
        <v>151</v>
      </c>
      <c r="MGB550" s="83" t="s">
        <v>151</v>
      </c>
      <c r="MGC550" s="83" t="s">
        <v>151</v>
      </c>
      <c r="MGD550" s="83" t="s">
        <v>151</v>
      </c>
      <c r="MGE550" s="83" t="s">
        <v>151</v>
      </c>
      <c r="MGF550" s="83" t="s">
        <v>151</v>
      </c>
      <c r="MGG550" s="83" t="s">
        <v>151</v>
      </c>
      <c r="MGH550" s="83" t="s">
        <v>151</v>
      </c>
      <c r="MGI550" s="83" t="s">
        <v>151</v>
      </c>
      <c r="MGJ550" s="83" t="s">
        <v>151</v>
      </c>
      <c r="MGK550" s="83" t="s">
        <v>151</v>
      </c>
      <c r="MGL550" s="83" t="s">
        <v>151</v>
      </c>
      <c r="MGM550" s="83" t="s">
        <v>151</v>
      </c>
      <c r="MGN550" s="83" t="s">
        <v>151</v>
      </c>
      <c r="MGO550" s="83" t="s">
        <v>151</v>
      </c>
      <c r="MGP550" s="83" t="s">
        <v>151</v>
      </c>
      <c r="MGQ550" s="83" t="s">
        <v>151</v>
      </c>
      <c r="MGR550" s="83" t="s">
        <v>151</v>
      </c>
      <c r="MGS550" s="83" t="s">
        <v>151</v>
      </c>
      <c r="MGT550" s="83" t="s">
        <v>151</v>
      </c>
      <c r="MGU550" s="83" t="s">
        <v>151</v>
      </c>
      <c r="MGV550" s="83" t="s">
        <v>151</v>
      </c>
      <c r="MGW550" s="83" t="s">
        <v>151</v>
      </c>
      <c r="MGX550" s="83" t="s">
        <v>151</v>
      </c>
      <c r="MGY550" s="83" t="s">
        <v>151</v>
      </c>
      <c r="MGZ550" s="83" t="s">
        <v>151</v>
      </c>
      <c r="MHA550" s="83" t="s">
        <v>151</v>
      </c>
      <c r="MHB550" s="83" t="s">
        <v>151</v>
      </c>
      <c r="MHC550" s="83" t="s">
        <v>151</v>
      </c>
      <c r="MHD550" s="83" t="s">
        <v>151</v>
      </c>
      <c r="MHE550" s="83" t="s">
        <v>151</v>
      </c>
      <c r="MHF550" s="83" t="s">
        <v>151</v>
      </c>
      <c r="MHG550" s="83" t="s">
        <v>151</v>
      </c>
      <c r="MHH550" s="83" t="s">
        <v>151</v>
      </c>
      <c r="MHI550" s="83" t="s">
        <v>151</v>
      </c>
      <c r="MHJ550" s="83" t="s">
        <v>151</v>
      </c>
      <c r="MHK550" s="83" t="s">
        <v>151</v>
      </c>
      <c r="MHL550" s="83" t="s">
        <v>151</v>
      </c>
      <c r="MHM550" s="83" t="s">
        <v>151</v>
      </c>
      <c r="MHN550" s="83" t="s">
        <v>151</v>
      </c>
      <c r="MHO550" s="83" t="s">
        <v>151</v>
      </c>
      <c r="MHP550" s="83" t="s">
        <v>151</v>
      </c>
      <c r="MHQ550" s="83" t="s">
        <v>151</v>
      </c>
      <c r="MHR550" s="83" t="s">
        <v>151</v>
      </c>
      <c r="MHS550" s="83" t="s">
        <v>151</v>
      </c>
      <c r="MHT550" s="83" t="s">
        <v>151</v>
      </c>
      <c r="MHU550" s="83" t="s">
        <v>151</v>
      </c>
      <c r="MHV550" s="83" t="s">
        <v>151</v>
      </c>
      <c r="MHW550" s="83" t="s">
        <v>151</v>
      </c>
      <c r="MHX550" s="83" t="s">
        <v>151</v>
      </c>
      <c r="MHY550" s="83" t="s">
        <v>151</v>
      </c>
      <c r="MHZ550" s="83" t="s">
        <v>151</v>
      </c>
      <c r="MIA550" s="83" t="s">
        <v>151</v>
      </c>
      <c r="MIB550" s="83" t="s">
        <v>151</v>
      </c>
      <c r="MIC550" s="83" t="s">
        <v>151</v>
      </c>
      <c r="MID550" s="83" t="s">
        <v>151</v>
      </c>
      <c r="MIE550" s="83" t="s">
        <v>151</v>
      </c>
      <c r="MIF550" s="83" t="s">
        <v>151</v>
      </c>
      <c r="MIG550" s="83" t="s">
        <v>151</v>
      </c>
      <c r="MIH550" s="83" t="s">
        <v>151</v>
      </c>
      <c r="MII550" s="83" t="s">
        <v>151</v>
      </c>
      <c r="MIJ550" s="83" t="s">
        <v>151</v>
      </c>
      <c r="MIK550" s="83" t="s">
        <v>151</v>
      </c>
      <c r="MIL550" s="83" t="s">
        <v>151</v>
      </c>
      <c r="MIM550" s="83" t="s">
        <v>151</v>
      </c>
      <c r="MIN550" s="83" t="s">
        <v>151</v>
      </c>
      <c r="MIO550" s="83" t="s">
        <v>151</v>
      </c>
      <c r="MIP550" s="83" t="s">
        <v>151</v>
      </c>
      <c r="MIQ550" s="83" t="s">
        <v>151</v>
      </c>
      <c r="MIR550" s="83" t="s">
        <v>151</v>
      </c>
      <c r="MIS550" s="83" t="s">
        <v>151</v>
      </c>
      <c r="MIT550" s="83" t="s">
        <v>151</v>
      </c>
      <c r="MIU550" s="83" t="s">
        <v>151</v>
      </c>
      <c r="MIV550" s="83" t="s">
        <v>151</v>
      </c>
      <c r="MIW550" s="83" t="s">
        <v>151</v>
      </c>
      <c r="MIX550" s="83" t="s">
        <v>151</v>
      </c>
      <c r="MIY550" s="83" t="s">
        <v>151</v>
      </c>
      <c r="MIZ550" s="83" t="s">
        <v>151</v>
      </c>
      <c r="MJA550" s="83" t="s">
        <v>151</v>
      </c>
      <c r="MJB550" s="83" t="s">
        <v>151</v>
      </c>
      <c r="MJC550" s="83" t="s">
        <v>151</v>
      </c>
      <c r="MJD550" s="83" t="s">
        <v>151</v>
      </c>
      <c r="MJE550" s="83" t="s">
        <v>151</v>
      </c>
      <c r="MJF550" s="83" t="s">
        <v>151</v>
      </c>
      <c r="MJG550" s="83" t="s">
        <v>151</v>
      </c>
      <c r="MJH550" s="83" t="s">
        <v>151</v>
      </c>
      <c r="MJI550" s="83" t="s">
        <v>151</v>
      </c>
      <c r="MJJ550" s="83" t="s">
        <v>151</v>
      </c>
      <c r="MJK550" s="83" t="s">
        <v>151</v>
      </c>
      <c r="MJL550" s="83" t="s">
        <v>151</v>
      </c>
      <c r="MJM550" s="83" t="s">
        <v>151</v>
      </c>
      <c r="MJN550" s="83" t="s">
        <v>151</v>
      </c>
      <c r="MJO550" s="83" t="s">
        <v>151</v>
      </c>
      <c r="MJP550" s="83" t="s">
        <v>151</v>
      </c>
      <c r="MJQ550" s="83" t="s">
        <v>151</v>
      </c>
      <c r="MJR550" s="83" t="s">
        <v>151</v>
      </c>
      <c r="MJS550" s="83" t="s">
        <v>151</v>
      </c>
      <c r="MJT550" s="83" t="s">
        <v>151</v>
      </c>
      <c r="MJU550" s="83" t="s">
        <v>151</v>
      </c>
      <c r="MJV550" s="83" t="s">
        <v>151</v>
      </c>
      <c r="MJW550" s="83" t="s">
        <v>151</v>
      </c>
      <c r="MJX550" s="83" t="s">
        <v>151</v>
      </c>
      <c r="MJY550" s="83" t="s">
        <v>151</v>
      </c>
      <c r="MJZ550" s="83" t="s">
        <v>151</v>
      </c>
      <c r="MKA550" s="83" t="s">
        <v>151</v>
      </c>
      <c r="MKB550" s="83" t="s">
        <v>151</v>
      </c>
      <c r="MKC550" s="83" t="s">
        <v>151</v>
      </c>
      <c r="MKD550" s="83" t="s">
        <v>151</v>
      </c>
      <c r="MKE550" s="83" t="s">
        <v>151</v>
      </c>
      <c r="MKF550" s="83" t="s">
        <v>151</v>
      </c>
      <c r="MKG550" s="83" t="s">
        <v>151</v>
      </c>
      <c r="MKH550" s="83" t="s">
        <v>151</v>
      </c>
      <c r="MKI550" s="83" t="s">
        <v>151</v>
      </c>
      <c r="MKJ550" s="83" t="s">
        <v>151</v>
      </c>
      <c r="MKK550" s="83" t="s">
        <v>151</v>
      </c>
      <c r="MKL550" s="83" t="s">
        <v>151</v>
      </c>
      <c r="MKM550" s="83" t="s">
        <v>151</v>
      </c>
      <c r="MKN550" s="83" t="s">
        <v>151</v>
      </c>
      <c r="MKO550" s="83" t="s">
        <v>151</v>
      </c>
      <c r="MKP550" s="83" t="s">
        <v>151</v>
      </c>
      <c r="MKQ550" s="83" t="s">
        <v>151</v>
      </c>
      <c r="MKR550" s="83" t="s">
        <v>151</v>
      </c>
      <c r="MKS550" s="83" t="s">
        <v>151</v>
      </c>
      <c r="MKT550" s="83" t="s">
        <v>151</v>
      </c>
      <c r="MKU550" s="83" t="s">
        <v>151</v>
      </c>
      <c r="MKV550" s="83" t="s">
        <v>151</v>
      </c>
      <c r="MKW550" s="83" t="s">
        <v>151</v>
      </c>
      <c r="MKX550" s="83" t="s">
        <v>151</v>
      </c>
      <c r="MKY550" s="83" t="s">
        <v>151</v>
      </c>
      <c r="MKZ550" s="83" t="s">
        <v>151</v>
      </c>
      <c r="MLA550" s="83" t="s">
        <v>151</v>
      </c>
      <c r="MLB550" s="83" t="s">
        <v>151</v>
      </c>
      <c r="MLC550" s="83" t="s">
        <v>151</v>
      </c>
      <c r="MLD550" s="83" t="s">
        <v>151</v>
      </c>
      <c r="MLE550" s="83" t="s">
        <v>151</v>
      </c>
      <c r="MLF550" s="83" t="s">
        <v>151</v>
      </c>
      <c r="MLG550" s="83" t="s">
        <v>151</v>
      </c>
      <c r="MLH550" s="83" t="s">
        <v>151</v>
      </c>
      <c r="MLI550" s="83" t="s">
        <v>151</v>
      </c>
      <c r="MLJ550" s="83" t="s">
        <v>151</v>
      </c>
      <c r="MLK550" s="83" t="s">
        <v>151</v>
      </c>
      <c r="MLL550" s="83" t="s">
        <v>151</v>
      </c>
      <c r="MLM550" s="83" t="s">
        <v>151</v>
      </c>
      <c r="MLN550" s="83" t="s">
        <v>151</v>
      </c>
      <c r="MLO550" s="83" t="s">
        <v>151</v>
      </c>
      <c r="MLP550" s="83" t="s">
        <v>151</v>
      </c>
      <c r="MLQ550" s="83" t="s">
        <v>151</v>
      </c>
      <c r="MLR550" s="83" t="s">
        <v>151</v>
      </c>
      <c r="MLS550" s="83" t="s">
        <v>151</v>
      </c>
      <c r="MLT550" s="83" t="s">
        <v>151</v>
      </c>
      <c r="MLU550" s="83" t="s">
        <v>151</v>
      </c>
      <c r="MLV550" s="83" t="s">
        <v>151</v>
      </c>
      <c r="MLW550" s="83" t="s">
        <v>151</v>
      </c>
      <c r="MLX550" s="83" t="s">
        <v>151</v>
      </c>
      <c r="MLY550" s="83" t="s">
        <v>151</v>
      </c>
      <c r="MLZ550" s="83" t="s">
        <v>151</v>
      </c>
      <c r="MMA550" s="83" t="s">
        <v>151</v>
      </c>
      <c r="MMB550" s="83" t="s">
        <v>151</v>
      </c>
      <c r="MMC550" s="83" t="s">
        <v>151</v>
      </c>
      <c r="MMD550" s="83" t="s">
        <v>151</v>
      </c>
      <c r="MME550" s="83" t="s">
        <v>151</v>
      </c>
      <c r="MMF550" s="83" t="s">
        <v>151</v>
      </c>
      <c r="MMG550" s="83" t="s">
        <v>151</v>
      </c>
      <c r="MMH550" s="83" t="s">
        <v>151</v>
      </c>
      <c r="MMI550" s="83" t="s">
        <v>151</v>
      </c>
      <c r="MMJ550" s="83" t="s">
        <v>151</v>
      </c>
      <c r="MMK550" s="83" t="s">
        <v>151</v>
      </c>
      <c r="MML550" s="83" t="s">
        <v>151</v>
      </c>
      <c r="MMM550" s="83" t="s">
        <v>151</v>
      </c>
      <c r="MMN550" s="83" t="s">
        <v>151</v>
      </c>
      <c r="MMO550" s="83" t="s">
        <v>151</v>
      </c>
      <c r="MMP550" s="83" t="s">
        <v>151</v>
      </c>
      <c r="MMQ550" s="83" t="s">
        <v>151</v>
      </c>
      <c r="MMR550" s="83" t="s">
        <v>151</v>
      </c>
      <c r="MMS550" s="83" t="s">
        <v>151</v>
      </c>
      <c r="MMT550" s="83" t="s">
        <v>151</v>
      </c>
      <c r="MMU550" s="83" t="s">
        <v>151</v>
      </c>
      <c r="MMV550" s="83" t="s">
        <v>151</v>
      </c>
      <c r="MMW550" s="83" t="s">
        <v>151</v>
      </c>
      <c r="MMX550" s="83" t="s">
        <v>151</v>
      </c>
      <c r="MMY550" s="83" t="s">
        <v>151</v>
      </c>
      <c r="MMZ550" s="83" t="s">
        <v>151</v>
      </c>
      <c r="MNA550" s="83" t="s">
        <v>151</v>
      </c>
      <c r="MNB550" s="83" t="s">
        <v>151</v>
      </c>
      <c r="MNC550" s="83" t="s">
        <v>151</v>
      </c>
      <c r="MND550" s="83" t="s">
        <v>151</v>
      </c>
      <c r="MNE550" s="83" t="s">
        <v>151</v>
      </c>
      <c r="MNF550" s="83" t="s">
        <v>151</v>
      </c>
      <c r="MNG550" s="83" t="s">
        <v>151</v>
      </c>
      <c r="MNH550" s="83" t="s">
        <v>151</v>
      </c>
      <c r="MNI550" s="83" t="s">
        <v>151</v>
      </c>
      <c r="MNJ550" s="83" t="s">
        <v>151</v>
      </c>
      <c r="MNK550" s="83" t="s">
        <v>151</v>
      </c>
      <c r="MNL550" s="83" t="s">
        <v>151</v>
      </c>
      <c r="MNM550" s="83" t="s">
        <v>151</v>
      </c>
      <c r="MNN550" s="83" t="s">
        <v>151</v>
      </c>
      <c r="MNO550" s="83" t="s">
        <v>151</v>
      </c>
      <c r="MNP550" s="83" t="s">
        <v>151</v>
      </c>
      <c r="MNQ550" s="83" t="s">
        <v>151</v>
      </c>
      <c r="MNR550" s="83" t="s">
        <v>151</v>
      </c>
      <c r="MNS550" s="83" t="s">
        <v>151</v>
      </c>
      <c r="MNT550" s="83" t="s">
        <v>151</v>
      </c>
      <c r="MNU550" s="83" t="s">
        <v>151</v>
      </c>
      <c r="MNV550" s="83" t="s">
        <v>151</v>
      </c>
      <c r="MNW550" s="83" t="s">
        <v>151</v>
      </c>
      <c r="MNX550" s="83" t="s">
        <v>151</v>
      </c>
      <c r="MNY550" s="83" t="s">
        <v>151</v>
      </c>
      <c r="MNZ550" s="83" t="s">
        <v>151</v>
      </c>
      <c r="MOA550" s="83" t="s">
        <v>151</v>
      </c>
      <c r="MOB550" s="83" t="s">
        <v>151</v>
      </c>
      <c r="MOC550" s="83" t="s">
        <v>151</v>
      </c>
      <c r="MOD550" s="83" t="s">
        <v>151</v>
      </c>
      <c r="MOE550" s="83" t="s">
        <v>151</v>
      </c>
      <c r="MOF550" s="83" t="s">
        <v>151</v>
      </c>
      <c r="MOG550" s="83" t="s">
        <v>151</v>
      </c>
      <c r="MOH550" s="83" t="s">
        <v>151</v>
      </c>
      <c r="MOI550" s="83" t="s">
        <v>151</v>
      </c>
      <c r="MOJ550" s="83" t="s">
        <v>151</v>
      </c>
      <c r="MOK550" s="83" t="s">
        <v>151</v>
      </c>
      <c r="MOL550" s="83" t="s">
        <v>151</v>
      </c>
      <c r="MOM550" s="83" t="s">
        <v>151</v>
      </c>
      <c r="MON550" s="83" t="s">
        <v>151</v>
      </c>
      <c r="MOO550" s="83" t="s">
        <v>151</v>
      </c>
      <c r="MOP550" s="83" t="s">
        <v>151</v>
      </c>
      <c r="MOQ550" s="83" t="s">
        <v>151</v>
      </c>
      <c r="MOR550" s="83" t="s">
        <v>151</v>
      </c>
      <c r="MOS550" s="83" t="s">
        <v>151</v>
      </c>
      <c r="MOT550" s="83" t="s">
        <v>151</v>
      </c>
      <c r="MOU550" s="83" t="s">
        <v>151</v>
      </c>
      <c r="MOV550" s="83" t="s">
        <v>151</v>
      </c>
      <c r="MOW550" s="83" t="s">
        <v>151</v>
      </c>
      <c r="MOX550" s="83" t="s">
        <v>151</v>
      </c>
      <c r="MOY550" s="83" t="s">
        <v>151</v>
      </c>
      <c r="MOZ550" s="83" t="s">
        <v>151</v>
      </c>
      <c r="MPA550" s="83" t="s">
        <v>151</v>
      </c>
      <c r="MPB550" s="83" t="s">
        <v>151</v>
      </c>
      <c r="MPC550" s="83" t="s">
        <v>151</v>
      </c>
      <c r="MPD550" s="83" t="s">
        <v>151</v>
      </c>
      <c r="MPE550" s="83" t="s">
        <v>151</v>
      </c>
      <c r="MPF550" s="83" t="s">
        <v>151</v>
      </c>
      <c r="MPG550" s="83" t="s">
        <v>151</v>
      </c>
      <c r="MPH550" s="83" t="s">
        <v>151</v>
      </c>
      <c r="MPI550" s="83" t="s">
        <v>151</v>
      </c>
      <c r="MPJ550" s="83" t="s">
        <v>151</v>
      </c>
      <c r="MPK550" s="83" t="s">
        <v>151</v>
      </c>
      <c r="MPL550" s="83" t="s">
        <v>151</v>
      </c>
      <c r="MPM550" s="83" t="s">
        <v>151</v>
      </c>
      <c r="MPN550" s="83" t="s">
        <v>151</v>
      </c>
      <c r="MPO550" s="83" t="s">
        <v>151</v>
      </c>
      <c r="MPP550" s="83" t="s">
        <v>151</v>
      </c>
      <c r="MPQ550" s="83" t="s">
        <v>151</v>
      </c>
      <c r="MPR550" s="83" t="s">
        <v>151</v>
      </c>
      <c r="MPS550" s="83" t="s">
        <v>151</v>
      </c>
      <c r="MPT550" s="83" t="s">
        <v>151</v>
      </c>
      <c r="MPU550" s="83" t="s">
        <v>151</v>
      </c>
      <c r="MPV550" s="83" t="s">
        <v>151</v>
      </c>
      <c r="MPW550" s="83" t="s">
        <v>151</v>
      </c>
      <c r="MPX550" s="83" t="s">
        <v>151</v>
      </c>
      <c r="MPY550" s="83" t="s">
        <v>151</v>
      </c>
      <c r="MPZ550" s="83" t="s">
        <v>151</v>
      </c>
      <c r="MQA550" s="83" t="s">
        <v>151</v>
      </c>
      <c r="MQB550" s="83" t="s">
        <v>151</v>
      </c>
      <c r="MQC550" s="83" t="s">
        <v>151</v>
      </c>
      <c r="MQD550" s="83" t="s">
        <v>151</v>
      </c>
      <c r="MQE550" s="83" t="s">
        <v>151</v>
      </c>
      <c r="MQF550" s="83" t="s">
        <v>151</v>
      </c>
      <c r="MQG550" s="83" t="s">
        <v>151</v>
      </c>
      <c r="MQH550" s="83" t="s">
        <v>151</v>
      </c>
      <c r="MQI550" s="83" t="s">
        <v>151</v>
      </c>
      <c r="MQJ550" s="83" t="s">
        <v>151</v>
      </c>
      <c r="MQK550" s="83" t="s">
        <v>151</v>
      </c>
      <c r="MQL550" s="83" t="s">
        <v>151</v>
      </c>
      <c r="MQM550" s="83" t="s">
        <v>151</v>
      </c>
      <c r="MQN550" s="83" t="s">
        <v>151</v>
      </c>
      <c r="MQO550" s="83" t="s">
        <v>151</v>
      </c>
      <c r="MQP550" s="83" t="s">
        <v>151</v>
      </c>
      <c r="MQQ550" s="83" t="s">
        <v>151</v>
      </c>
      <c r="MQR550" s="83" t="s">
        <v>151</v>
      </c>
      <c r="MQS550" s="83" t="s">
        <v>151</v>
      </c>
      <c r="MQT550" s="83" t="s">
        <v>151</v>
      </c>
      <c r="MQU550" s="83" t="s">
        <v>151</v>
      </c>
      <c r="MQV550" s="83" t="s">
        <v>151</v>
      </c>
      <c r="MQW550" s="83" t="s">
        <v>151</v>
      </c>
      <c r="MQX550" s="83" t="s">
        <v>151</v>
      </c>
      <c r="MQY550" s="83" t="s">
        <v>151</v>
      </c>
      <c r="MQZ550" s="83" t="s">
        <v>151</v>
      </c>
      <c r="MRA550" s="83" t="s">
        <v>151</v>
      </c>
      <c r="MRB550" s="83" t="s">
        <v>151</v>
      </c>
      <c r="MRC550" s="83" t="s">
        <v>151</v>
      </c>
      <c r="MRD550" s="83" t="s">
        <v>151</v>
      </c>
      <c r="MRE550" s="83" t="s">
        <v>151</v>
      </c>
      <c r="MRF550" s="83" t="s">
        <v>151</v>
      </c>
      <c r="MRG550" s="83" t="s">
        <v>151</v>
      </c>
      <c r="MRH550" s="83" t="s">
        <v>151</v>
      </c>
      <c r="MRI550" s="83" t="s">
        <v>151</v>
      </c>
      <c r="MRJ550" s="83" t="s">
        <v>151</v>
      </c>
      <c r="MRK550" s="83" t="s">
        <v>151</v>
      </c>
      <c r="MRL550" s="83" t="s">
        <v>151</v>
      </c>
      <c r="MRM550" s="83" t="s">
        <v>151</v>
      </c>
      <c r="MRN550" s="83" t="s">
        <v>151</v>
      </c>
      <c r="MRO550" s="83" t="s">
        <v>151</v>
      </c>
      <c r="MRP550" s="83" t="s">
        <v>151</v>
      </c>
      <c r="MRQ550" s="83" t="s">
        <v>151</v>
      </c>
      <c r="MRR550" s="83" t="s">
        <v>151</v>
      </c>
      <c r="MRS550" s="83" t="s">
        <v>151</v>
      </c>
      <c r="MRT550" s="83" t="s">
        <v>151</v>
      </c>
      <c r="MRU550" s="83" t="s">
        <v>151</v>
      </c>
      <c r="MRV550" s="83" t="s">
        <v>151</v>
      </c>
      <c r="MRW550" s="83" t="s">
        <v>151</v>
      </c>
      <c r="MRX550" s="83" t="s">
        <v>151</v>
      </c>
      <c r="MRY550" s="83" t="s">
        <v>151</v>
      </c>
      <c r="MRZ550" s="83" t="s">
        <v>151</v>
      </c>
      <c r="MSA550" s="83" t="s">
        <v>151</v>
      </c>
      <c r="MSB550" s="83" t="s">
        <v>151</v>
      </c>
      <c r="MSC550" s="83" t="s">
        <v>151</v>
      </c>
      <c r="MSD550" s="83" t="s">
        <v>151</v>
      </c>
      <c r="MSE550" s="83" t="s">
        <v>151</v>
      </c>
      <c r="MSF550" s="83" t="s">
        <v>151</v>
      </c>
      <c r="MSG550" s="83" t="s">
        <v>151</v>
      </c>
      <c r="MSH550" s="83" t="s">
        <v>151</v>
      </c>
      <c r="MSI550" s="83" t="s">
        <v>151</v>
      </c>
      <c r="MSJ550" s="83" t="s">
        <v>151</v>
      </c>
      <c r="MSK550" s="83" t="s">
        <v>151</v>
      </c>
      <c r="MSL550" s="83" t="s">
        <v>151</v>
      </c>
      <c r="MSM550" s="83" t="s">
        <v>151</v>
      </c>
      <c r="MSN550" s="83" t="s">
        <v>151</v>
      </c>
      <c r="MSO550" s="83" t="s">
        <v>151</v>
      </c>
      <c r="MSP550" s="83" t="s">
        <v>151</v>
      </c>
      <c r="MSQ550" s="83" t="s">
        <v>151</v>
      </c>
      <c r="MSR550" s="83" t="s">
        <v>151</v>
      </c>
      <c r="MSS550" s="83" t="s">
        <v>151</v>
      </c>
      <c r="MST550" s="83" t="s">
        <v>151</v>
      </c>
      <c r="MSU550" s="83" t="s">
        <v>151</v>
      </c>
      <c r="MSV550" s="83" t="s">
        <v>151</v>
      </c>
      <c r="MSW550" s="83" t="s">
        <v>151</v>
      </c>
      <c r="MSX550" s="83" t="s">
        <v>151</v>
      </c>
      <c r="MSY550" s="83" t="s">
        <v>151</v>
      </c>
      <c r="MSZ550" s="83" t="s">
        <v>151</v>
      </c>
      <c r="MTA550" s="83" t="s">
        <v>151</v>
      </c>
      <c r="MTB550" s="83" t="s">
        <v>151</v>
      </c>
      <c r="MTC550" s="83" t="s">
        <v>151</v>
      </c>
      <c r="MTD550" s="83" t="s">
        <v>151</v>
      </c>
      <c r="MTE550" s="83" t="s">
        <v>151</v>
      </c>
      <c r="MTF550" s="83" t="s">
        <v>151</v>
      </c>
      <c r="MTG550" s="83" t="s">
        <v>151</v>
      </c>
      <c r="MTH550" s="83" t="s">
        <v>151</v>
      </c>
      <c r="MTI550" s="83" t="s">
        <v>151</v>
      </c>
      <c r="MTJ550" s="83" t="s">
        <v>151</v>
      </c>
      <c r="MTK550" s="83" t="s">
        <v>151</v>
      </c>
      <c r="MTL550" s="83" t="s">
        <v>151</v>
      </c>
      <c r="MTM550" s="83" t="s">
        <v>151</v>
      </c>
      <c r="MTN550" s="83" t="s">
        <v>151</v>
      </c>
      <c r="MTO550" s="83" t="s">
        <v>151</v>
      </c>
      <c r="MTP550" s="83" t="s">
        <v>151</v>
      </c>
      <c r="MTQ550" s="83" t="s">
        <v>151</v>
      </c>
      <c r="MTR550" s="83" t="s">
        <v>151</v>
      </c>
      <c r="MTS550" s="83" t="s">
        <v>151</v>
      </c>
      <c r="MTT550" s="83" t="s">
        <v>151</v>
      </c>
      <c r="MTU550" s="83" t="s">
        <v>151</v>
      </c>
      <c r="MTV550" s="83" t="s">
        <v>151</v>
      </c>
      <c r="MTW550" s="83" t="s">
        <v>151</v>
      </c>
      <c r="MTX550" s="83" t="s">
        <v>151</v>
      </c>
      <c r="MTY550" s="83" t="s">
        <v>151</v>
      </c>
      <c r="MTZ550" s="83" t="s">
        <v>151</v>
      </c>
      <c r="MUA550" s="83" t="s">
        <v>151</v>
      </c>
      <c r="MUB550" s="83" t="s">
        <v>151</v>
      </c>
      <c r="MUC550" s="83" t="s">
        <v>151</v>
      </c>
      <c r="MUD550" s="83" t="s">
        <v>151</v>
      </c>
      <c r="MUE550" s="83" t="s">
        <v>151</v>
      </c>
      <c r="MUF550" s="83" t="s">
        <v>151</v>
      </c>
      <c r="MUG550" s="83" t="s">
        <v>151</v>
      </c>
      <c r="MUH550" s="83" t="s">
        <v>151</v>
      </c>
      <c r="MUI550" s="83" t="s">
        <v>151</v>
      </c>
      <c r="MUJ550" s="83" t="s">
        <v>151</v>
      </c>
      <c r="MUK550" s="83" t="s">
        <v>151</v>
      </c>
      <c r="MUL550" s="83" t="s">
        <v>151</v>
      </c>
      <c r="MUM550" s="83" t="s">
        <v>151</v>
      </c>
      <c r="MUN550" s="83" t="s">
        <v>151</v>
      </c>
      <c r="MUO550" s="83" t="s">
        <v>151</v>
      </c>
      <c r="MUP550" s="83" t="s">
        <v>151</v>
      </c>
      <c r="MUQ550" s="83" t="s">
        <v>151</v>
      </c>
      <c r="MUR550" s="83" t="s">
        <v>151</v>
      </c>
      <c r="MUS550" s="83" t="s">
        <v>151</v>
      </c>
      <c r="MUT550" s="83" t="s">
        <v>151</v>
      </c>
      <c r="MUU550" s="83" t="s">
        <v>151</v>
      </c>
      <c r="MUV550" s="83" t="s">
        <v>151</v>
      </c>
      <c r="MUW550" s="83" t="s">
        <v>151</v>
      </c>
      <c r="MUX550" s="83" t="s">
        <v>151</v>
      </c>
      <c r="MUY550" s="83" t="s">
        <v>151</v>
      </c>
      <c r="MUZ550" s="83" t="s">
        <v>151</v>
      </c>
      <c r="MVA550" s="83" t="s">
        <v>151</v>
      </c>
      <c r="MVB550" s="83" t="s">
        <v>151</v>
      </c>
      <c r="MVC550" s="83" t="s">
        <v>151</v>
      </c>
      <c r="MVD550" s="83" t="s">
        <v>151</v>
      </c>
      <c r="MVE550" s="83" t="s">
        <v>151</v>
      </c>
      <c r="MVF550" s="83" t="s">
        <v>151</v>
      </c>
      <c r="MVG550" s="83" t="s">
        <v>151</v>
      </c>
      <c r="MVH550" s="83" t="s">
        <v>151</v>
      </c>
      <c r="MVI550" s="83" t="s">
        <v>151</v>
      </c>
      <c r="MVJ550" s="83" t="s">
        <v>151</v>
      </c>
      <c r="MVK550" s="83" t="s">
        <v>151</v>
      </c>
      <c r="MVL550" s="83" t="s">
        <v>151</v>
      </c>
      <c r="MVM550" s="83" t="s">
        <v>151</v>
      </c>
      <c r="MVN550" s="83" t="s">
        <v>151</v>
      </c>
      <c r="MVO550" s="83" t="s">
        <v>151</v>
      </c>
      <c r="MVP550" s="83" t="s">
        <v>151</v>
      </c>
      <c r="MVQ550" s="83" t="s">
        <v>151</v>
      </c>
      <c r="MVR550" s="83" t="s">
        <v>151</v>
      </c>
      <c r="MVS550" s="83" t="s">
        <v>151</v>
      </c>
      <c r="MVT550" s="83" t="s">
        <v>151</v>
      </c>
      <c r="MVU550" s="83" t="s">
        <v>151</v>
      </c>
      <c r="MVV550" s="83" t="s">
        <v>151</v>
      </c>
      <c r="MVW550" s="83" t="s">
        <v>151</v>
      </c>
      <c r="MVX550" s="83" t="s">
        <v>151</v>
      </c>
      <c r="MVY550" s="83" t="s">
        <v>151</v>
      </c>
      <c r="MVZ550" s="83" t="s">
        <v>151</v>
      </c>
      <c r="MWA550" s="83" t="s">
        <v>151</v>
      </c>
      <c r="MWB550" s="83" t="s">
        <v>151</v>
      </c>
      <c r="MWC550" s="83" t="s">
        <v>151</v>
      </c>
      <c r="MWD550" s="83" t="s">
        <v>151</v>
      </c>
      <c r="MWE550" s="83" t="s">
        <v>151</v>
      </c>
      <c r="MWF550" s="83" t="s">
        <v>151</v>
      </c>
      <c r="MWG550" s="83" t="s">
        <v>151</v>
      </c>
      <c r="MWH550" s="83" t="s">
        <v>151</v>
      </c>
      <c r="MWI550" s="83" t="s">
        <v>151</v>
      </c>
      <c r="MWJ550" s="83" t="s">
        <v>151</v>
      </c>
      <c r="MWK550" s="83" t="s">
        <v>151</v>
      </c>
      <c r="MWL550" s="83" t="s">
        <v>151</v>
      </c>
      <c r="MWM550" s="83" t="s">
        <v>151</v>
      </c>
      <c r="MWN550" s="83" t="s">
        <v>151</v>
      </c>
      <c r="MWO550" s="83" t="s">
        <v>151</v>
      </c>
      <c r="MWP550" s="83" t="s">
        <v>151</v>
      </c>
      <c r="MWQ550" s="83" t="s">
        <v>151</v>
      </c>
      <c r="MWR550" s="83" t="s">
        <v>151</v>
      </c>
      <c r="MWS550" s="83" t="s">
        <v>151</v>
      </c>
      <c r="MWT550" s="83" t="s">
        <v>151</v>
      </c>
      <c r="MWU550" s="83" t="s">
        <v>151</v>
      </c>
      <c r="MWV550" s="83" t="s">
        <v>151</v>
      </c>
      <c r="MWW550" s="83" t="s">
        <v>151</v>
      </c>
      <c r="MWX550" s="83" t="s">
        <v>151</v>
      </c>
      <c r="MWY550" s="83" t="s">
        <v>151</v>
      </c>
      <c r="MWZ550" s="83" t="s">
        <v>151</v>
      </c>
      <c r="MXA550" s="83" t="s">
        <v>151</v>
      </c>
      <c r="MXB550" s="83" t="s">
        <v>151</v>
      </c>
      <c r="MXC550" s="83" t="s">
        <v>151</v>
      </c>
      <c r="MXD550" s="83" t="s">
        <v>151</v>
      </c>
      <c r="MXE550" s="83" t="s">
        <v>151</v>
      </c>
      <c r="MXF550" s="83" t="s">
        <v>151</v>
      </c>
      <c r="MXG550" s="83" t="s">
        <v>151</v>
      </c>
      <c r="MXH550" s="83" t="s">
        <v>151</v>
      </c>
      <c r="MXI550" s="83" t="s">
        <v>151</v>
      </c>
      <c r="MXJ550" s="83" t="s">
        <v>151</v>
      </c>
      <c r="MXK550" s="83" t="s">
        <v>151</v>
      </c>
      <c r="MXL550" s="83" t="s">
        <v>151</v>
      </c>
      <c r="MXM550" s="83" t="s">
        <v>151</v>
      </c>
      <c r="MXN550" s="83" t="s">
        <v>151</v>
      </c>
      <c r="MXO550" s="83" t="s">
        <v>151</v>
      </c>
      <c r="MXP550" s="83" t="s">
        <v>151</v>
      </c>
      <c r="MXQ550" s="83" t="s">
        <v>151</v>
      </c>
      <c r="MXR550" s="83" t="s">
        <v>151</v>
      </c>
      <c r="MXS550" s="83" t="s">
        <v>151</v>
      </c>
      <c r="MXT550" s="83" t="s">
        <v>151</v>
      </c>
      <c r="MXU550" s="83" t="s">
        <v>151</v>
      </c>
      <c r="MXV550" s="83" t="s">
        <v>151</v>
      </c>
      <c r="MXW550" s="83" t="s">
        <v>151</v>
      </c>
      <c r="MXX550" s="83" t="s">
        <v>151</v>
      </c>
      <c r="MXY550" s="83" t="s">
        <v>151</v>
      </c>
      <c r="MXZ550" s="83" t="s">
        <v>151</v>
      </c>
      <c r="MYA550" s="83" t="s">
        <v>151</v>
      </c>
      <c r="MYB550" s="83" t="s">
        <v>151</v>
      </c>
      <c r="MYC550" s="83" t="s">
        <v>151</v>
      </c>
      <c r="MYD550" s="83" t="s">
        <v>151</v>
      </c>
      <c r="MYE550" s="83" t="s">
        <v>151</v>
      </c>
      <c r="MYF550" s="83" t="s">
        <v>151</v>
      </c>
      <c r="MYG550" s="83" t="s">
        <v>151</v>
      </c>
      <c r="MYH550" s="83" t="s">
        <v>151</v>
      </c>
      <c r="MYI550" s="83" t="s">
        <v>151</v>
      </c>
      <c r="MYJ550" s="83" t="s">
        <v>151</v>
      </c>
      <c r="MYK550" s="83" t="s">
        <v>151</v>
      </c>
      <c r="MYL550" s="83" t="s">
        <v>151</v>
      </c>
      <c r="MYM550" s="83" t="s">
        <v>151</v>
      </c>
      <c r="MYN550" s="83" t="s">
        <v>151</v>
      </c>
      <c r="MYO550" s="83" t="s">
        <v>151</v>
      </c>
      <c r="MYP550" s="83" t="s">
        <v>151</v>
      </c>
      <c r="MYQ550" s="83" t="s">
        <v>151</v>
      </c>
      <c r="MYR550" s="83" t="s">
        <v>151</v>
      </c>
      <c r="MYS550" s="83" t="s">
        <v>151</v>
      </c>
      <c r="MYT550" s="83" t="s">
        <v>151</v>
      </c>
      <c r="MYU550" s="83" t="s">
        <v>151</v>
      </c>
      <c r="MYV550" s="83" t="s">
        <v>151</v>
      </c>
      <c r="MYW550" s="83" t="s">
        <v>151</v>
      </c>
      <c r="MYX550" s="83" t="s">
        <v>151</v>
      </c>
      <c r="MYY550" s="83" t="s">
        <v>151</v>
      </c>
      <c r="MYZ550" s="83" t="s">
        <v>151</v>
      </c>
      <c r="MZA550" s="83" t="s">
        <v>151</v>
      </c>
      <c r="MZB550" s="83" t="s">
        <v>151</v>
      </c>
      <c r="MZC550" s="83" t="s">
        <v>151</v>
      </c>
      <c r="MZD550" s="83" t="s">
        <v>151</v>
      </c>
      <c r="MZE550" s="83" t="s">
        <v>151</v>
      </c>
      <c r="MZF550" s="83" t="s">
        <v>151</v>
      </c>
      <c r="MZG550" s="83" t="s">
        <v>151</v>
      </c>
      <c r="MZH550" s="83" t="s">
        <v>151</v>
      </c>
      <c r="MZI550" s="83" t="s">
        <v>151</v>
      </c>
      <c r="MZJ550" s="83" t="s">
        <v>151</v>
      </c>
      <c r="MZK550" s="83" t="s">
        <v>151</v>
      </c>
      <c r="MZL550" s="83" t="s">
        <v>151</v>
      </c>
      <c r="MZM550" s="83" t="s">
        <v>151</v>
      </c>
      <c r="MZN550" s="83" t="s">
        <v>151</v>
      </c>
      <c r="MZO550" s="83" t="s">
        <v>151</v>
      </c>
      <c r="MZP550" s="83" t="s">
        <v>151</v>
      </c>
      <c r="MZQ550" s="83" t="s">
        <v>151</v>
      </c>
      <c r="MZR550" s="83" t="s">
        <v>151</v>
      </c>
      <c r="MZS550" s="83" t="s">
        <v>151</v>
      </c>
      <c r="MZT550" s="83" t="s">
        <v>151</v>
      </c>
      <c r="MZU550" s="83" t="s">
        <v>151</v>
      </c>
      <c r="MZV550" s="83" t="s">
        <v>151</v>
      </c>
      <c r="MZW550" s="83" t="s">
        <v>151</v>
      </c>
      <c r="MZX550" s="83" t="s">
        <v>151</v>
      </c>
      <c r="MZY550" s="83" t="s">
        <v>151</v>
      </c>
      <c r="MZZ550" s="83" t="s">
        <v>151</v>
      </c>
      <c r="NAA550" s="83" t="s">
        <v>151</v>
      </c>
      <c r="NAB550" s="83" t="s">
        <v>151</v>
      </c>
      <c r="NAC550" s="83" t="s">
        <v>151</v>
      </c>
      <c r="NAD550" s="83" t="s">
        <v>151</v>
      </c>
      <c r="NAE550" s="83" t="s">
        <v>151</v>
      </c>
      <c r="NAF550" s="83" t="s">
        <v>151</v>
      </c>
      <c r="NAG550" s="83" t="s">
        <v>151</v>
      </c>
      <c r="NAH550" s="83" t="s">
        <v>151</v>
      </c>
      <c r="NAI550" s="83" t="s">
        <v>151</v>
      </c>
      <c r="NAJ550" s="83" t="s">
        <v>151</v>
      </c>
      <c r="NAK550" s="83" t="s">
        <v>151</v>
      </c>
      <c r="NAL550" s="83" t="s">
        <v>151</v>
      </c>
      <c r="NAM550" s="83" t="s">
        <v>151</v>
      </c>
      <c r="NAN550" s="83" t="s">
        <v>151</v>
      </c>
      <c r="NAO550" s="83" t="s">
        <v>151</v>
      </c>
      <c r="NAP550" s="83" t="s">
        <v>151</v>
      </c>
      <c r="NAQ550" s="83" t="s">
        <v>151</v>
      </c>
      <c r="NAR550" s="83" t="s">
        <v>151</v>
      </c>
      <c r="NAS550" s="83" t="s">
        <v>151</v>
      </c>
      <c r="NAT550" s="83" t="s">
        <v>151</v>
      </c>
      <c r="NAU550" s="83" t="s">
        <v>151</v>
      </c>
      <c r="NAV550" s="83" t="s">
        <v>151</v>
      </c>
      <c r="NAW550" s="83" t="s">
        <v>151</v>
      </c>
      <c r="NAX550" s="83" t="s">
        <v>151</v>
      </c>
      <c r="NAY550" s="83" t="s">
        <v>151</v>
      </c>
      <c r="NAZ550" s="83" t="s">
        <v>151</v>
      </c>
      <c r="NBA550" s="83" t="s">
        <v>151</v>
      </c>
      <c r="NBB550" s="83" t="s">
        <v>151</v>
      </c>
      <c r="NBC550" s="83" t="s">
        <v>151</v>
      </c>
      <c r="NBD550" s="83" t="s">
        <v>151</v>
      </c>
      <c r="NBE550" s="83" t="s">
        <v>151</v>
      </c>
      <c r="NBF550" s="83" t="s">
        <v>151</v>
      </c>
      <c r="NBG550" s="83" t="s">
        <v>151</v>
      </c>
      <c r="NBH550" s="83" t="s">
        <v>151</v>
      </c>
      <c r="NBI550" s="83" t="s">
        <v>151</v>
      </c>
      <c r="NBJ550" s="83" t="s">
        <v>151</v>
      </c>
      <c r="NBK550" s="83" t="s">
        <v>151</v>
      </c>
      <c r="NBL550" s="83" t="s">
        <v>151</v>
      </c>
      <c r="NBM550" s="83" t="s">
        <v>151</v>
      </c>
      <c r="NBN550" s="83" t="s">
        <v>151</v>
      </c>
      <c r="NBO550" s="83" t="s">
        <v>151</v>
      </c>
      <c r="NBP550" s="83" t="s">
        <v>151</v>
      </c>
      <c r="NBQ550" s="83" t="s">
        <v>151</v>
      </c>
      <c r="NBR550" s="83" t="s">
        <v>151</v>
      </c>
      <c r="NBS550" s="83" t="s">
        <v>151</v>
      </c>
      <c r="NBT550" s="83" t="s">
        <v>151</v>
      </c>
      <c r="NBU550" s="83" t="s">
        <v>151</v>
      </c>
      <c r="NBV550" s="83" t="s">
        <v>151</v>
      </c>
      <c r="NBW550" s="83" t="s">
        <v>151</v>
      </c>
      <c r="NBX550" s="83" t="s">
        <v>151</v>
      </c>
      <c r="NBY550" s="83" t="s">
        <v>151</v>
      </c>
      <c r="NBZ550" s="83" t="s">
        <v>151</v>
      </c>
      <c r="NCA550" s="83" t="s">
        <v>151</v>
      </c>
      <c r="NCB550" s="83" t="s">
        <v>151</v>
      </c>
      <c r="NCC550" s="83" t="s">
        <v>151</v>
      </c>
      <c r="NCD550" s="83" t="s">
        <v>151</v>
      </c>
      <c r="NCE550" s="83" t="s">
        <v>151</v>
      </c>
      <c r="NCF550" s="83" t="s">
        <v>151</v>
      </c>
      <c r="NCG550" s="83" t="s">
        <v>151</v>
      </c>
      <c r="NCH550" s="83" t="s">
        <v>151</v>
      </c>
      <c r="NCI550" s="83" t="s">
        <v>151</v>
      </c>
      <c r="NCJ550" s="83" t="s">
        <v>151</v>
      </c>
      <c r="NCK550" s="83" t="s">
        <v>151</v>
      </c>
      <c r="NCL550" s="83" t="s">
        <v>151</v>
      </c>
      <c r="NCM550" s="83" t="s">
        <v>151</v>
      </c>
      <c r="NCN550" s="83" t="s">
        <v>151</v>
      </c>
      <c r="NCO550" s="83" t="s">
        <v>151</v>
      </c>
      <c r="NCP550" s="83" t="s">
        <v>151</v>
      </c>
      <c r="NCQ550" s="83" t="s">
        <v>151</v>
      </c>
      <c r="NCR550" s="83" t="s">
        <v>151</v>
      </c>
      <c r="NCS550" s="83" t="s">
        <v>151</v>
      </c>
      <c r="NCT550" s="83" t="s">
        <v>151</v>
      </c>
      <c r="NCU550" s="83" t="s">
        <v>151</v>
      </c>
      <c r="NCV550" s="83" t="s">
        <v>151</v>
      </c>
      <c r="NCW550" s="83" t="s">
        <v>151</v>
      </c>
      <c r="NCX550" s="83" t="s">
        <v>151</v>
      </c>
      <c r="NCY550" s="83" t="s">
        <v>151</v>
      </c>
      <c r="NCZ550" s="83" t="s">
        <v>151</v>
      </c>
      <c r="NDA550" s="83" t="s">
        <v>151</v>
      </c>
      <c r="NDB550" s="83" t="s">
        <v>151</v>
      </c>
      <c r="NDC550" s="83" t="s">
        <v>151</v>
      </c>
      <c r="NDD550" s="83" t="s">
        <v>151</v>
      </c>
      <c r="NDE550" s="83" t="s">
        <v>151</v>
      </c>
      <c r="NDF550" s="83" t="s">
        <v>151</v>
      </c>
      <c r="NDG550" s="83" t="s">
        <v>151</v>
      </c>
      <c r="NDH550" s="83" t="s">
        <v>151</v>
      </c>
      <c r="NDI550" s="83" t="s">
        <v>151</v>
      </c>
      <c r="NDJ550" s="83" t="s">
        <v>151</v>
      </c>
      <c r="NDK550" s="83" t="s">
        <v>151</v>
      </c>
      <c r="NDL550" s="83" t="s">
        <v>151</v>
      </c>
      <c r="NDM550" s="83" t="s">
        <v>151</v>
      </c>
      <c r="NDN550" s="83" t="s">
        <v>151</v>
      </c>
      <c r="NDO550" s="83" t="s">
        <v>151</v>
      </c>
      <c r="NDP550" s="83" t="s">
        <v>151</v>
      </c>
      <c r="NDQ550" s="83" t="s">
        <v>151</v>
      </c>
      <c r="NDR550" s="83" t="s">
        <v>151</v>
      </c>
      <c r="NDS550" s="83" t="s">
        <v>151</v>
      </c>
      <c r="NDT550" s="83" t="s">
        <v>151</v>
      </c>
      <c r="NDU550" s="83" t="s">
        <v>151</v>
      </c>
      <c r="NDV550" s="83" t="s">
        <v>151</v>
      </c>
      <c r="NDW550" s="83" t="s">
        <v>151</v>
      </c>
      <c r="NDX550" s="83" t="s">
        <v>151</v>
      </c>
      <c r="NDY550" s="83" t="s">
        <v>151</v>
      </c>
      <c r="NDZ550" s="83" t="s">
        <v>151</v>
      </c>
      <c r="NEA550" s="83" t="s">
        <v>151</v>
      </c>
      <c r="NEB550" s="83" t="s">
        <v>151</v>
      </c>
      <c r="NEC550" s="83" t="s">
        <v>151</v>
      </c>
      <c r="NED550" s="83" t="s">
        <v>151</v>
      </c>
      <c r="NEE550" s="83" t="s">
        <v>151</v>
      </c>
      <c r="NEF550" s="83" t="s">
        <v>151</v>
      </c>
      <c r="NEG550" s="83" t="s">
        <v>151</v>
      </c>
      <c r="NEH550" s="83" t="s">
        <v>151</v>
      </c>
      <c r="NEI550" s="83" t="s">
        <v>151</v>
      </c>
      <c r="NEJ550" s="83" t="s">
        <v>151</v>
      </c>
      <c r="NEK550" s="83" t="s">
        <v>151</v>
      </c>
      <c r="NEL550" s="83" t="s">
        <v>151</v>
      </c>
      <c r="NEM550" s="83" t="s">
        <v>151</v>
      </c>
      <c r="NEN550" s="83" t="s">
        <v>151</v>
      </c>
      <c r="NEO550" s="83" t="s">
        <v>151</v>
      </c>
      <c r="NEP550" s="83" t="s">
        <v>151</v>
      </c>
      <c r="NEQ550" s="83" t="s">
        <v>151</v>
      </c>
      <c r="NER550" s="83" t="s">
        <v>151</v>
      </c>
      <c r="NES550" s="83" t="s">
        <v>151</v>
      </c>
      <c r="NET550" s="83" t="s">
        <v>151</v>
      </c>
      <c r="NEU550" s="83" t="s">
        <v>151</v>
      </c>
      <c r="NEV550" s="83" t="s">
        <v>151</v>
      </c>
      <c r="NEW550" s="83" t="s">
        <v>151</v>
      </c>
      <c r="NEX550" s="83" t="s">
        <v>151</v>
      </c>
      <c r="NEY550" s="83" t="s">
        <v>151</v>
      </c>
      <c r="NEZ550" s="83" t="s">
        <v>151</v>
      </c>
      <c r="NFA550" s="83" t="s">
        <v>151</v>
      </c>
      <c r="NFB550" s="83" t="s">
        <v>151</v>
      </c>
      <c r="NFC550" s="83" t="s">
        <v>151</v>
      </c>
      <c r="NFD550" s="83" t="s">
        <v>151</v>
      </c>
      <c r="NFE550" s="83" t="s">
        <v>151</v>
      </c>
      <c r="NFF550" s="83" t="s">
        <v>151</v>
      </c>
      <c r="NFG550" s="83" t="s">
        <v>151</v>
      </c>
      <c r="NFH550" s="83" t="s">
        <v>151</v>
      </c>
      <c r="NFI550" s="83" t="s">
        <v>151</v>
      </c>
      <c r="NFJ550" s="83" t="s">
        <v>151</v>
      </c>
      <c r="NFK550" s="83" t="s">
        <v>151</v>
      </c>
      <c r="NFL550" s="83" t="s">
        <v>151</v>
      </c>
      <c r="NFM550" s="83" t="s">
        <v>151</v>
      </c>
      <c r="NFN550" s="83" t="s">
        <v>151</v>
      </c>
      <c r="NFO550" s="83" t="s">
        <v>151</v>
      </c>
      <c r="NFP550" s="83" t="s">
        <v>151</v>
      </c>
      <c r="NFQ550" s="83" t="s">
        <v>151</v>
      </c>
      <c r="NFR550" s="83" t="s">
        <v>151</v>
      </c>
      <c r="NFS550" s="83" t="s">
        <v>151</v>
      </c>
      <c r="NFT550" s="83" t="s">
        <v>151</v>
      </c>
      <c r="NFU550" s="83" t="s">
        <v>151</v>
      </c>
      <c r="NFV550" s="83" t="s">
        <v>151</v>
      </c>
      <c r="NFW550" s="83" t="s">
        <v>151</v>
      </c>
      <c r="NFX550" s="83" t="s">
        <v>151</v>
      </c>
      <c r="NFY550" s="83" t="s">
        <v>151</v>
      </c>
      <c r="NFZ550" s="83" t="s">
        <v>151</v>
      </c>
      <c r="NGA550" s="83" t="s">
        <v>151</v>
      </c>
      <c r="NGB550" s="83" t="s">
        <v>151</v>
      </c>
      <c r="NGC550" s="83" t="s">
        <v>151</v>
      </c>
      <c r="NGD550" s="83" t="s">
        <v>151</v>
      </c>
      <c r="NGE550" s="83" t="s">
        <v>151</v>
      </c>
      <c r="NGF550" s="83" t="s">
        <v>151</v>
      </c>
      <c r="NGG550" s="83" t="s">
        <v>151</v>
      </c>
      <c r="NGH550" s="83" t="s">
        <v>151</v>
      </c>
      <c r="NGI550" s="83" t="s">
        <v>151</v>
      </c>
      <c r="NGJ550" s="83" t="s">
        <v>151</v>
      </c>
      <c r="NGK550" s="83" t="s">
        <v>151</v>
      </c>
      <c r="NGL550" s="83" t="s">
        <v>151</v>
      </c>
      <c r="NGM550" s="83" t="s">
        <v>151</v>
      </c>
      <c r="NGN550" s="83" t="s">
        <v>151</v>
      </c>
      <c r="NGO550" s="83" t="s">
        <v>151</v>
      </c>
      <c r="NGP550" s="83" t="s">
        <v>151</v>
      </c>
      <c r="NGQ550" s="83" t="s">
        <v>151</v>
      </c>
      <c r="NGR550" s="83" t="s">
        <v>151</v>
      </c>
      <c r="NGS550" s="83" t="s">
        <v>151</v>
      </c>
      <c r="NGT550" s="83" t="s">
        <v>151</v>
      </c>
      <c r="NGU550" s="83" t="s">
        <v>151</v>
      </c>
      <c r="NGV550" s="83" t="s">
        <v>151</v>
      </c>
      <c r="NGW550" s="83" t="s">
        <v>151</v>
      </c>
      <c r="NGX550" s="83" t="s">
        <v>151</v>
      </c>
      <c r="NGY550" s="83" t="s">
        <v>151</v>
      </c>
      <c r="NGZ550" s="83" t="s">
        <v>151</v>
      </c>
      <c r="NHA550" s="83" t="s">
        <v>151</v>
      </c>
      <c r="NHB550" s="83" t="s">
        <v>151</v>
      </c>
      <c r="NHC550" s="83" t="s">
        <v>151</v>
      </c>
      <c r="NHD550" s="83" t="s">
        <v>151</v>
      </c>
      <c r="NHE550" s="83" t="s">
        <v>151</v>
      </c>
      <c r="NHF550" s="83" t="s">
        <v>151</v>
      </c>
      <c r="NHG550" s="83" t="s">
        <v>151</v>
      </c>
      <c r="NHH550" s="83" t="s">
        <v>151</v>
      </c>
      <c r="NHI550" s="83" t="s">
        <v>151</v>
      </c>
      <c r="NHJ550" s="83" t="s">
        <v>151</v>
      </c>
      <c r="NHK550" s="83" t="s">
        <v>151</v>
      </c>
      <c r="NHL550" s="83" t="s">
        <v>151</v>
      </c>
      <c r="NHM550" s="83" t="s">
        <v>151</v>
      </c>
      <c r="NHN550" s="83" t="s">
        <v>151</v>
      </c>
      <c r="NHO550" s="83" t="s">
        <v>151</v>
      </c>
      <c r="NHP550" s="83" t="s">
        <v>151</v>
      </c>
      <c r="NHQ550" s="83" t="s">
        <v>151</v>
      </c>
      <c r="NHR550" s="83" t="s">
        <v>151</v>
      </c>
      <c r="NHS550" s="83" t="s">
        <v>151</v>
      </c>
      <c r="NHT550" s="83" t="s">
        <v>151</v>
      </c>
      <c r="NHU550" s="83" t="s">
        <v>151</v>
      </c>
      <c r="NHV550" s="83" t="s">
        <v>151</v>
      </c>
      <c r="NHW550" s="83" t="s">
        <v>151</v>
      </c>
      <c r="NHX550" s="83" t="s">
        <v>151</v>
      </c>
      <c r="NHY550" s="83" t="s">
        <v>151</v>
      </c>
      <c r="NHZ550" s="83" t="s">
        <v>151</v>
      </c>
      <c r="NIA550" s="83" t="s">
        <v>151</v>
      </c>
      <c r="NIB550" s="83" t="s">
        <v>151</v>
      </c>
      <c r="NIC550" s="83" t="s">
        <v>151</v>
      </c>
      <c r="NID550" s="83" t="s">
        <v>151</v>
      </c>
      <c r="NIE550" s="83" t="s">
        <v>151</v>
      </c>
      <c r="NIF550" s="83" t="s">
        <v>151</v>
      </c>
      <c r="NIG550" s="83" t="s">
        <v>151</v>
      </c>
      <c r="NIH550" s="83" t="s">
        <v>151</v>
      </c>
      <c r="NII550" s="83" t="s">
        <v>151</v>
      </c>
      <c r="NIJ550" s="83" t="s">
        <v>151</v>
      </c>
      <c r="NIK550" s="83" t="s">
        <v>151</v>
      </c>
      <c r="NIL550" s="83" t="s">
        <v>151</v>
      </c>
      <c r="NIM550" s="83" t="s">
        <v>151</v>
      </c>
      <c r="NIN550" s="83" t="s">
        <v>151</v>
      </c>
      <c r="NIO550" s="83" t="s">
        <v>151</v>
      </c>
      <c r="NIP550" s="83" t="s">
        <v>151</v>
      </c>
      <c r="NIQ550" s="83" t="s">
        <v>151</v>
      </c>
      <c r="NIR550" s="83" t="s">
        <v>151</v>
      </c>
      <c r="NIS550" s="83" t="s">
        <v>151</v>
      </c>
      <c r="NIT550" s="83" t="s">
        <v>151</v>
      </c>
      <c r="NIU550" s="83" t="s">
        <v>151</v>
      </c>
      <c r="NIV550" s="83" t="s">
        <v>151</v>
      </c>
      <c r="NIW550" s="83" t="s">
        <v>151</v>
      </c>
      <c r="NIX550" s="83" t="s">
        <v>151</v>
      </c>
      <c r="NIY550" s="83" t="s">
        <v>151</v>
      </c>
      <c r="NIZ550" s="83" t="s">
        <v>151</v>
      </c>
      <c r="NJA550" s="83" t="s">
        <v>151</v>
      </c>
      <c r="NJB550" s="83" t="s">
        <v>151</v>
      </c>
      <c r="NJC550" s="83" t="s">
        <v>151</v>
      </c>
      <c r="NJD550" s="83" t="s">
        <v>151</v>
      </c>
      <c r="NJE550" s="83" t="s">
        <v>151</v>
      </c>
      <c r="NJF550" s="83" t="s">
        <v>151</v>
      </c>
      <c r="NJG550" s="83" t="s">
        <v>151</v>
      </c>
      <c r="NJH550" s="83" t="s">
        <v>151</v>
      </c>
      <c r="NJI550" s="83" t="s">
        <v>151</v>
      </c>
      <c r="NJJ550" s="83" t="s">
        <v>151</v>
      </c>
      <c r="NJK550" s="83" t="s">
        <v>151</v>
      </c>
      <c r="NJL550" s="83" t="s">
        <v>151</v>
      </c>
      <c r="NJM550" s="83" t="s">
        <v>151</v>
      </c>
      <c r="NJN550" s="83" t="s">
        <v>151</v>
      </c>
      <c r="NJO550" s="83" t="s">
        <v>151</v>
      </c>
      <c r="NJP550" s="83" t="s">
        <v>151</v>
      </c>
      <c r="NJQ550" s="83" t="s">
        <v>151</v>
      </c>
      <c r="NJR550" s="83" t="s">
        <v>151</v>
      </c>
      <c r="NJS550" s="83" t="s">
        <v>151</v>
      </c>
      <c r="NJT550" s="83" t="s">
        <v>151</v>
      </c>
      <c r="NJU550" s="83" t="s">
        <v>151</v>
      </c>
      <c r="NJV550" s="83" t="s">
        <v>151</v>
      </c>
      <c r="NJW550" s="83" t="s">
        <v>151</v>
      </c>
      <c r="NJX550" s="83" t="s">
        <v>151</v>
      </c>
      <c r="NJY550" s="83" t="s">
        <v>151</v>
      </c>
      <c r="NJZ550" s="83" t="s">
        <v>151</v>
      </c>
      <c r="NKA550" s="83" t="s">
        <v>151</v>
      </c>
      <c r="NKB550" s="83" t="s">
        <v>151</v>
      </c>
      <c r="NKC550" s="83" t="s">
        <v>151</v>
      </c>
      <c r="NKD550" s="83" t="s">
        <v>151</v>
      </c>
      <c r="NKE550" s="83" t="s">
        <v>151</v>
      </c>
      <c r="NKF550" s="83" t="s">
        <v>151</v>
      </c>
      <c r="NKG550" s="83" t="s">
        <v>151</v>
      </c>
      <c r="NKH550" s="83" t="s">
        <v>151</v>
      </c>
      <c r="NKI550" s="83" t="s">
        <v>151</v>
      </c>
      <c r="NKJ550" s="83" t="s">
        <v>151</v>
      </c>
      <c r="NKK550" s="83" t="s">
        <v>151</v>
      </c>
      <c r="NKL550" s="83" t="s">
        <v>151</v>
      </c>
      <c r="NKM550" s="83" t="s">
        <v>151</v>
      </c>
      <c r="NKN550" s="83" t="s">
        <v>151</v>
      </c>
      <c r="NKO550" s="83" t="s">
        <v>151</v>
      </c>
      <c r="NKP550" s="83" t="s">
        <v>151</v>
      </c>
      <c r="NKQ550" s="83" t="s">
        <v>151</v>
      </c>
      <c r="NKR550" s="83" t="s">
        <v>151</v>
      </c>
      <c r="NKS550" s="83" t="s">
        <v>151</v>
      </c>
      <c r="NKT550" s="83" t="s">
        <v>151</v>
      </c>
      <c r="NKU550" s="83" t="s">
        <v>151</v>
      </c>
      <c r="NKV550" s="83" t="s">
        <v>151</v>
      </c>
      <c r="NKW550" s="83" t="s">
        <v>151</v>
      </c>
      <c r="NKX550" s="83" t="s">
        <v>151</v>
      </c>
      <c r="NKY550" s="83" t="s">
        <v>151</v>
      </c>
      <c r="NKZ550" s="83" t="s">
        <v>151</v>
      </c>
      <c r="NLA550" s="83" t="s">
        <v>151</v>
      </c>
      <c r="NLB550" s="83" t="s">
        <v>151</v>
      </c>
      <c r="NLC550" s="83" t="s">
        <v>151</v>
      </c>
      <c r="NLD550" s="83" t="s">
        <v>151</v>
      </c>
      <c r="NLE550" s="83" t="s">
        <v>151</v>
      </c>
      <c r="NLF550" s="83" t="s">
        <v>151</v>
      </c>
      <c r="NLG550" s="83" t="s">
        <v>151</v>
      </c>
      <c r="NLH550" s="83" t="s">
        <v>151</v>
      </c>
      <c r="NLI550" s="83" t="s">
        <v>151</v>
      </c>
      <c r="NLJ550" s="83" t="s">
        <v>151</v>
      </c>
      <c r="NLK550" s="83" t="s">
        <v>151</v>
      </c>
      <c r="NLL550" s="83" t="s">
        <v>151</v>
      </c>
      <c r="NLM550" s="83" t="s">
        <v>151</v>
      </c>
      <c r="NLN550" s="83" t="s">
        <v>151</v>
      </c>
      <c r="NLO550" s="83" t="s">
        <v>151</v>
      </c>
      <c r="NLP550" s="83" t="s">
        <v>151</v>
      </c>
      <c r="NLQ550" s="83" t="s">
        <v>151</v>
      </c>
      <c r="NLR550" s="83" t="s">
        <v>151</v>
      </c>
      <c r="NLS550" s="83" t="s">
        <v>151</v>
      </c>
      <c r="NLT550" s="83" t="s">
        <v>151</v>
      </c>
      <c r="NLU550" s="83" t="s">
        <v>151</v>
      </c>
      <c r="NLV550" s="83" t="s">
        <v>151</v>
      </c>
      <c r="NLW550" s="83" t="s">
        <v>151</v>
      </c>
      <c r="NLX550" s="83" t="s">
        <v>151</v>
      </c>
      <c r="NLY550" s="83" t="s">
        <v>151</v>
      </c>
      <c r="NLZ550" s="83" t="s">
        <v>151</v>
      </c>
      <c r="NMA550" s="83" t="s">
        <v>151</v>
      </c>
      <c r="NMB550" s="83" t="s">
        <v>151</v>
      </c>
      <c r="NMC550" s="83" t="s">
        <v>151</v>
      </c>
      <c r="NMD550" s="83" t="s">
        <v>151</v>
      </c>
      <c r="NME550" s="83" t="s">
        <v>151</v>
      </c>
      <c r="NMF550" s="83" t="s">
        <v>151</v>
      </c>
      <c r="NMG550" s="83" t="s">
        <v>151</v>
      </c>
      <c r="NMH550" s="83" t="s">
        <v>151</v>
      </c>
      <c r="NMI550" s="83" t="s">
        <v>151</v>
      </c>
      <c r="NMJ550" s="83" t="s">
        <v>151</v>
      </c>
      <c r="NMK550" s="83" t="s">
        <v>151</v>
      </c>
      <c r="NML550" s="83" t="s">
        <v>151</v>
      </c>
      <c r="NMM550" s="83" t="s">
        <v>151</v>
      </c>
      <c r="NMN550" s="83" t="s">
        <v>151</v>
      </c>
      <c r="NMO550" s="83" t="s">
        <v>151</v>
      </c>
      <c r="NMP550" s="83" t="s">
        <v>151</v>
      </c>
      <c r="NMQ550" s="83" t="s">
        <v>151</v>
      </c>
      <c r="NMR550" s="83" t="s">
        <v>151</v>
      </c>
      <c r="NMS550" s="83" t="s">
        <v>151</v>
      </c>
      <c r="NMT550" s="83" t="s">
        <v>151</v>
      </c>
      <c r="NMU550" s="83" t="s">
        <v>151</v>
      </c>
      <c r="NMV550" s="83" t="s">
        <v>151</v>
      </c>
      <c r="NMW550" s="83" t="s">
        <v>151</v>
      </c>
      <c r="NMX550" s="83" t="s">
        <v>151</v>
      </c>
      <c r="NMY550" s="83" t="s">
        <v>151</v>
      </c>
      <c r="NMZ550" s="83" t="s">
        <v>151</v>
      </c>
      <c r="NNA550" s="83" t="s">
        <v>151</v>
      </c>
      <c r="NNB550" s="83" t="s">
        <v>151</v>
      </c>
      <c r="NNC550" s="83" t="s">
        <v>151</v>
      </c>
      <c r="NND550" s="83" t="s">
        <v>151</v>
      </c>
      <c r="NNE550" s="83" t="s">
        <v>151</v>
      </c>
      <c r="NNF550" s="83" t="s">
        <v>151</v>
      </c>
      <c r="NNG550" s="83" t="s">
        <v>151</v>
      </c>
      <c r="NNH550" s="83" t="s">
        <v>151</v>
      </c>
      <c r="NNI550" s="83" t="s">
        <v>151</v>
      </c>
      <c r="NNJ550" s="83" t="s">
        <v>151</v>
      </c>
      <c r="NNK550" s="83" t="s">
        <v>151</v>
      </c>
      <c r="NNL550" s="83" t="s">
        <v>151</v>
      </c>
      <c r="NNM550" s="83" t="s">
        <v>151</v>
      </c>
      <c r="NNN550" s="83" t="s">
        <v>151</v>
      </c>
      <c r="NNO550" s="83" t="s">
        <v>151</v>
      </c>
      <c r="NNP550" s="83" t="s">
        <v>151</v>
      </c>
      <c r="NNQ550" s="83" t="s">
        <v>151</v>
      </c>
      <c r="NNR550" s="83" t="s">
        <v>151</v>
      </c>
      <c r="NNS550" s="83" t="s">
        <v>151</v>
      </c>
      <c r="NNT550" s="83" t="s">
        <v>151</v>
      </c>
      <c r="NNU550" s="83" t="s">
        <v>151</v>
      </c>
      <c r="NNV550" s="83" t="s">
        <v>151</v>
      </c>
      <c r="NNW550" s="83" t="s">
        <v>151</v>
      </c>
      <c r="NNX550" s="83" t="s">
        <v>151</v>
      </c>
      <c r="NNY550" s="83" t="s">
        <v>151</v>
      </c>
      <c r="NNZ550" s="83" t="s">
        <v>151</v>
      </c>
      <c r="NOA550" s="83" t="s">
        <v>151</v>
      </c>
      <c r="NOB550" s="83" t="s">
        <v>151</v>
      </c>
      <c r="NOC550" s="83" t="s">
        <v>151</v>
      </c>
      <c r="NOD550" s="83" t="s">
        <v>151</v>
      </c>
      <c r="NOE550" s="83" t="s">
        <v>151</v>
      </c>
      <c r="NOF550" s="83" t="s">
        <v>151</v>
      </c>
      <c r="NOG550" s="83" t="s">
        <v>151</v>
      </c>
      <c r="NOH550" s="83" t="s">
        <v>151</v>
      </c>
      <c r="NOI550" s="83" t="s">
        <v>151</v>
      </c>
      <c r="NOJ550" s="83" t="s">
        <v>151</v>
      </c>
      <c r="NOK550" s="83" t="s">
        <v>151</v>
      </c>
      <c r="NOL550" s="83" t="s">
        <v>151</v>
      </c>
      <c r="NOM550" s="83" t="s">
        <v>151</v>
      </c>
      <c r="NON550" s="83" t="s">
        <v>151</v>
      </c>
      <c r="NOO550" s="83" t="s">
        <v>151</v>
      </c>
      <c r="NOP550" s="83" t="s">
        <v>151</v>
      </c>
      <c r="NOQ550" s="83" t="s">
        <v>151</v>
      </c>
      <c r="NOR550" s="83" t="s">
        <v>151</v>
      </c>
      <c r="NOS550" s="83" t="s">
        <v>151</v>
      </c>
      <c r="NOT550" s="83" t="s">
        <v>151</v>
      </c>
      <c r="NOU550" s="83" t="s">
        <v>151</v>
      </c>
      <c r="NOV550" s="83" t="s">
        <v>151</v>
      </c>
      <c r="NOW550" s="83" t="s">
        <v>151</v>
      </c>
      <c r="NOX550" s="83" t="s">
        <v>151</v>
      </c>
      <c r="NOY550" s="83" t="s">
        <v>151</v>
      </c>
      <c r="NOZ550" s="83" t="s">
        <v>151</v>
      </c>
      <c r="NPA550" s="83" t="s">
        <v>151</v>
      </c>
      <c r="NPB550" s="83" t="s">
        <v>151</v>
      </c>
      <c r="NPC550" s="83" t="s">
        <v>151</v>
      </c>
      <c r="NPD550" s="83" t="s">
        <v>151</v>
      </c>
      <c r="NPE550" s="83" t="s">
        <v>151</v>
      </c>
      <c r="NPF550" s="83" t="s">
        <v>151</v>
      </c>
      <c r="NPG550" s="83" t="s">
        <v>151</v>
      </c>
      <c r="NPH550" s="83" t="s">
        <v>151</v>
      </c>
      <c r="NPI550" s="83" t="s">
        <v>151</v>
      </c>
      <c r="NPJ550" s="83" t="s">
        <v>151</v>
      </c>
      <c r="NPK550" s="83" t="s">
        <v>151</v>
      </c>
      <c r="NPL550" s="83" t="s">
        <v>151</v>
      </c>
      <c r="NPM550" s="83" t="s">
        <v>151</v>
      </c>
      <c r="NPN550" s="83" t="s">
        <v>151</v>
      </c>
      <c r="NPO550" s="83" t="s">
        <v>151</v>
      </c>
      <c r="NPP550" s="83" t="s">
        <v>151</v>
      </c>
      <c r="NPQ550" s="83" t="s">
        <v>151</v>
      </c>
      <c r="NPR550" s="83" t="s">
        <v>151</v>
      </c>
      <c r="NPS550" s="83" t="s">
        <v>151</v>
      </c>
      <c r="NPT550" s="83" t="s">
        <v>151</v>
      </c>
      <c r="NPU550" s="83" t="s">
        <v>151</v>
      </c>
      <c r="NPV550" s="83" t="s">
        <v>151</v>
      </c>
      <c r="NPW550" s="83" t="s">
        <v>151</v>
      </c>
      <c r="NPX550" s="83" t="s">
        <v>151</v>
      </c>
      <c r="NPY550" s="83" t="s">
        <v>151</v>
      </c>
      <c r="NPZ550" s="83" t="s">
        <v>151</v>
      </c>
      <c r="NQA550" s="83" t="s">
        <v>151</v>
      </c>
      <c r="NQB550" s="83" t="s">
        <v>151</v>
      </c>
      <c r="NQC550" s="83" t="s">
        <v>151</v>
      </c>
      <c r="NQD550" s="83" t="s">
        <v>151</v>
      </c>
      <c r="NQE550" s="83" t="s">
        <v>151</v>
      </c>
      <c r="NQF550" s="83" t="s">
        <v>151</v>
      </c>
      <c r="NQG550" s="83" t="s">
        <v>151</v>
      </c>
      <c r="NQH550" s="83" t="s">
        <v>151</v>
      </c>
      <c r="NQI550" s="83" t="s">
        <v>151</v>
      </c>
      <c r="NQJ550" s="83" t="s">
        <v>151</v>
      </c>
      <c r="NQK550" s="83" t="s">
        <v>151</v>
      </c>
      <c r="NQL550" s="83" t="s">
        <v>151</v>
      </c>
      <c r="NQM550" s="83" t="s">
        <v>151</v>
      </c>
      <c r="NQN550" s="83" t="s">
        <v>151</v>
      </c>
      <c r="NQO550" s="83" t="s">
        <v>151</v>
      </c>
      <c r="NQP550" s="83" t="s">
        <v>151</v>
      </c>
      <c r="NQQ550" s="83" t="s">
        <v>151</v>
      </c>
      <c r="NQR550" s="83" t="s">
        <v>151</v>
      </c>
      <c r="NQS550" s="83" t="s">
        <v>151</v>
      </c>
      <c r="NQT550" s="83" t="s">
        <v>151</v>
      </c>
      <c r="NQU550" s="83" t="s">
        <v>151</v>
      </c>
      <c r="NQV550" s="83" t="s">
        <v>151</v>
      </c>
      <c r="NQW550" s="83" t="s">
        <v>151</v>
      </c>
      <c r="NQX550" s="83" t="s">
        <v>151</v>
      </c>
      <c r="NQY550" s="83" t="s">
        <v>151</v>
      </c>
      <c r="NQZ550" s="83" t="s">
        <v>151</v>
      </c>
      <c r="NRA550" s="83" t="s">
        <v>151</v>
      </c>
      <c r="NRB550" s="83" t="s">
        <v>151</v>
      </c>
      <c r="NRC550" s="83" t="s">
        <v>151</v>
      </c>
      <c r="NRD550" s="83" t="s">
        <v>151</v>
      </c>
      <c r="NRE550" s="83" t="s">
        <v>151</v>
      </c>
      <c r="NRF550" s="83" t="s">
        <v>151</v>
      </c>
      <c r="NRG550" s="83" t="s">
        <v>151</v>
      </c>
      <c r="NRH550" s="83" t="s">
        <v>151</v>
      </c>
      <c r="NRI550" s="83" t="s">
        <v>151</v>
      </c>
      <c r="NRJ550" s="83" t="s">
        <v>151</v>
      </c>
      <c r="NRK550" s="83" t="s">
        <v>151</v>
      </c>
      <c r="NRL550" s="83" t="s">
        <v>151</v>
      </c>
      <c r="NRM550" s="83" t="s">
        <v>151</v>
      </c>
      <c r="NRN550" s="83" t="s">
        <v>151</v>
      </c>
      <c r="NRO550" s="83" t="s">
        <v>151</v>
      </c>
      <c r="NRP550" s="83" t="s">
        <v>151</v>
      </c>
      <c r="NRQ550" s="83" t="s">
        <v>151</v>
      </c>
      <c r="NRR550" s="83" t="s">
        <v>151</v>
      </c>
      <c r="NRS550" s="83" t="s">
        <v>151</v>
      </c>
      <c r="NRT550" s="83" t="s">
        <v>151</v>
      </c>
      <c r="NRU550" s="83" t="s">
        <v>151</v>
      </c>
      <c r="NRV550" s="83" t="s">
        <v>151</v>
      </c>
      <c r="NRW550" s="83" t="s">
        <v>151</v>
      </c>
      <c r="NRX550" s="83" t="s">
        <v>151</v>
      </c>
      <c r="NRY550" s="83" t="s">
        <v>151</v>
      </c>
      <c r="NRZ550" s="83" t="s">
        <v>151</v>
      </c>
      <c r="NSA550" s="83" t="s">
        <v>151</v>
      </c>
      <c r="NSB550" s="83" t="s">
        <v>151</v>
      </c>
      <c r="NSC550" s="83" t="s">
        <v>151</v>
      </c>
      <c r="NSD550" s="83" t="s">
        <v>151</v>
      </c>
      <c r="NSE550" s="83" t="s">
        <v>151</v>
      </c>
      <c r="NSF550" s="83" t="s">
        <v>151</v>
      </c>
      <c r="NSG550" s="83" t="s">
        <v>151</v>
      </c>
      <c r="NSH550" s="83" t="s">
        <v>151</v>
      </c>
      <c r="NSI550" s="83" t="s">
        <v>151</v>
      </c>
      <c r="NSJ550" s="83" t="s">
        <v>151</v>
      </c>
      <c r="NSK550" s="83" t="s">
        <v>151</v>
      </c>
      <c r="NSL550" s="83" t="s">
        <v>151</v>
      </c>
      <c r="NSM550" s="83" t="s">
        <v>151</v>
      </c>
      <c r="NSN550" s="83" t="s">
        <v>151</v>
      </c>
      <c r="NSO550" s="83" t="s">
        <v>151</v>
      </c>
      <c r="NSP550" s="83" t="s">
        <v>151</v>
      </c>
      <c r="NSQ550" s="83" t="s">
        <v>151</v>
      </c>
      <c r="NSR550" s="83" t="s">
        <v>151</v>
      </c>
      <c r="NSS550" s="83" t="s">
        <v>151</v>
      </c>
      <c r="NST550" s="83" t="s">
        <v>151</v>
      </c>
      <c r="NSU550" s="83" t="s">
        <v>151</v>
      </c>
      <c r="NSV550" s="83" t="s">
        <v>151</v>
      </c>
      <c r="NSW550" s="83" t="s">
        <v>151</v>
      </c>
      <c r="NSX550" s="83" t="s">
        <v>151</v>
      </c>
      <c r="NSY550" s="83" t="s">
        <v>151</v>
      </c>
      <c r="NSZ550" s="83" t="s">
        <v>151</v>
      </c>
      <c r="NTA550" s="83" t="s">
        <v>151</v>
      </c>
      <c r="NTB550" s="83" t="s">
        <v>151</v>
      </c>
      <c r="NTC550" s="83" t="s">
        <v>151</v>
      </c>
      <c r="NTD550" s="83" t="s">
        <v>151</v>
      </c>
      <c r="NTE550" s="83" t="s">
        <v>151</v>
      </c>
      <c r="NTF550" s="83" t="s">
        <v>151</v>
      </c>
      <c r="NTG550" s="83" t="s">
        <v>151</v>
      </c>
      <c r="NTH550" s="83" t="s">
        <v>151</v>
      </c>
      <c r="NTI550" s="83" t="s">
        <v>151</v>
      </c>
      <c r="NTJ550" s="83" t="s">
        <v>151</v>
      </c>
      <c r="NTK550" s="83" t="s">
        <v>151</v>
      </c>
      <c r="NTL550" s="83" t="s">
        <v>151</v>
      </c>
      <c r="NTM550" s="83" t="s">
        <v>151</v>
      </c>
      <c r="NTN550" s="83" t="s">
        <v>151</v>
      </c>
      <c r="NTO550" s="83" t="s">
        <v>151</v>
      </c>
      <c r="NTP550" s="83" t="s">
        <v>151</v>
      </c>
      <c r="NTQ550" s="83" t="s">
        <v>151</v>
      </c>
      <c r="NTR550" s="83" t="s">
        <v>151</v>
      </c>
      <c r="NTS550" s="83" t="s">
        <v>151</v>
      </c>
      <c r="NTT550" s="83" t="s">
        <v>151</v>
      </c>
      <c r="NTU550" s="83" t="s">
        <v>151</v>
      </c>
      <c r="NTV550" s="83" t="s">
        <v>151</v>
      </c>
      <c r="NTW550" s="83" t="s">
        <v>151</v>
      </c>
      <c r="NTX550" s="83" t="s">
        <v>151</v>
      </c>
      <c r="NTY550" s="83" t="s">
        <v>151</v>
      </c>
      <c r="NTZ550" s="83" t="s">
        <v>151</v>
      </c>
      <c r="NUA550" s="83" t="s">
        <v>151</v>
      </c>
      <c r="NUB550" s="83" t="s">
        <v>151</v>
      </c>
      <c r="NUC550" s="83" t="s">
        <v>151</v>
      </c>
      <c r="NUD550" s="83" t="s">
        <v>151</v>
      </c>
      <c r="NUE550" s="83" t="s">
        <v>151</v>
      </c>
      <c r="NUF550" s="83" t="s">
        <v>151</v>
      </c>
      <c r="NUG550" s="83" t="s">
        <v>151</v>
      </c>
      <c r="NUH550" s="83" t="s">
        <v>151</v>
      </c>
      <c r="NUI550" s="83" t="s">
        <v>151</v>
      </c>
      <c r="NUJ550" s="83" t="s">
        <v>151</v>
      </c>
      <c r="NUK550" s="83" t="s">
        <v>151</v>
      </c>
      <c r="NUL550" s="83" t="s">
        <v>151</v>
      </c>
      <c r="NUM550" s="83" t="s">
        <v>151</v>
      </c>
      <c r="NUN550" s="83" t="s">
        <v>151</v>
      </c>
      <c r="NUO550" s="83" t="s">
        <v>151</v>
      </c>
      <c r="NUP550" s="83" t="s">
        <v>151</v>
      </c>
      <c r="NUQ550" s="83" t="s">
        <v>151</v>
      </c>
      <c r="NUR550" s="83" t="s">
        <v>151</v>
      </c>
      <c r="NUS550" s="83" t="s">
        <v>151</v>
      </c>
      <c r="NUT550" s="83" t="s">
        <v>151</v>
      </c>
      <c r="NUU550" s="83" t="s">
        <v>151</v>
      </c>
      <c r="NUV550" s="83" t="s">
        <v>151</v>
      </c>
      <c r="NUW550" s="83" t="s">
        <v>151</v>
      </c>
      <c r="NUX550" s="83" t="s">
        <v>151</v>
      </c>
      <c r="NUY550" s="83" t="s">
        <v>151</v>
      </c>
      <c r="NUZ550" s="83" t="s">
        <v>151</v>
      </c>
      <c r="NVA550" s="83" t="s">
        <v>151</v>
      </c>
      <c r="NVB550" s="83" t="s">
        <v>151</v>
      </c>
      <c r="NVC550" s="83" t="s">
        <v>151</v>
      </c>
      <c r="NVD550" s="83" t="s">
        <v>151</v>
      </c>
      <c r="NVE550" s="83" t="s">
        <v>151</v>
      </c>
      <c r="NVF550" s="83" t="s">
        <v>151</v>
      </c>
      <c r="NVG550" s="83" t="s">
        <v>151</v>
      </c>
      <c r="NVH550" s="83" t="s">
        <v>151</v>
      </c>
      <c r="NVI550" s="83" t="s">
        <v>151</v>
      </c>
      <c r="NVJ550" s="83" t="s">
        <v>151</v>
      </c>
      <c r="NVK550" s="83" t="s">
        <v>151</v>
      </c>
      <c r="NVL550" s="83" t="s">
        <v>151</v>
      </c>
      <c r="NVM550" s="83" t="s">
        <v>151</v>
      </c>
      <c r="NVN550" s="83" t="s">
        <v>151</v>
      </c>
      <c r="NVO550" s="83" t="s">
        <v>151</v>
      </c>
      <c r="NVP550" s="83" t="s">
        <v>151</v>
      </c>
      <c r="NVQ550" s="83" t="s">
        <v>151</v>
      </c>
      <c r="NVR550" s="83" t="s">
        <v>151</v>
      </c>
      <c r="NVS550" s="83" t="s">
        <v>151</v>
      </c>
      <c r="NVT550" s="83" t="s">
        <v>151</v>
      </c>
      <c r="NVU550" s="83" t="s">
        <v>151</v>
      </c>
      <c r="NVV550" s="83" t="s">
        <v>151</v>
      </c>
      <c r="NVW550" s="83" t="s">
        <v>151</v>
      </c>
      <c r="NVX550" s="83" t="s">
        <v>151</v>
      </c>
      <c r="NVY550" s="83" t="s">
        <v>151</v>
      </c>
      <c r="NVZ550" s="83" t="s">
        <v>151</v>
      </c>
      <c r="NWA550" s="83" t="s">
        <v>151</v>
      </c>
      <c r="NWB550" s="83" t="s">
        <v>151</v>
      </c>
      <c r="NWC550" s="83" t="s">
        <v>151</v>
      </c>
      <c r="NWD550" s="83" t="s">
        <v>151</v>
      </c>
      <c r="NWE550" s="83" t="s">
        <v>151</v>
      </c>
      <c r="NWF550" s="83" t="s">
        <v>151</v>
      </c>
      <c r="NWG550" s="83" t="s">
        <v>151</v>
      </c>
      <c r="NWH550" s="83" t="s">
        <v>151</v>
      </c>
      <c r="NWI550" s="83" t="s">
        <v>151</v>
      </c>
      <c r="NWJ550" s="83" t="s">
        <v>151</v>
      </c>
      <c r="NWK550" s="83" t="s">
        <v>151</v>
      </c>
      <c r="NWL550" s="83" t="s">
        <v>151</v>
      </c>
      <c r="NWM550" s="83" t="s">
        <v>151</v>
      </c>
      <c r="NWN550" s="83" t="s">
        <v>151</v>
      </c>
      <c r="NWO550" s="83" t="s">
        <v>151</v>
      </c>
      <c r="NWP550" s="83" t="s">
        <v>151</v>
      </c>
      <c r="NWQ550" s="83" t="s">
        <v>151</v>
      </c>
      <c r="NWR550" s="83" t="s">
        <v>151</v>
      </c>
      <c r="NWS550" s="83" t="s">
        <v>151</v>
      </c>
      <c r="NWT550" s="83" t="s">
        <v>151</v>
      </c>
      <c r="NWU550" s="83" t="s">
        <v>151</v>
      </c>
      <c r="NWV550" s="83" t="s">
        <v>151</v>
      </c>
      <c r="NWW550" s="83" t="s">
        <v>151</v>
      </c>
      <c r="NWX550" s="83" t="s">
        <v>151</v>
      </c>
      <c r="NWY550" s="83" t="s">
        <v>151</v>
      </c>
      <c r="NWZ550" s="83" t="s">
        <v>151</v>
      </c>
      <c r="NXA550" s="83" t="s">
        <v>151</v>
      </c>
      <c r="NXB550" s="83" t="s">
        <v>151</v>
      </c>
      <c r="NXC550" s="83" t="s">
        <v>151</v>
      </c>
      <c r="NXD550" s="83" t="s">
        <v>151</v>
      </c>
      <c r="NXE550" s="83" t="s">
        <v>151</v>
      </c>
      <c r="NXF550" s="83" t="s">
        <v>151</v>
      </c>
      <c r="NXG550" s="83" t="s">
        <v>151</v>
      </c>
      <c r="NXH550" s="83" t="s">
        <v>151</v>
      </c>
      <c r="NXI550" s="83" t="s">
        <v>151</v>
      </c>
      <c r="NXJ550" s="83" t="s">
        <v>151</v>
      </c>
      <c r="NXK550" s="83" t="s">
        <v>151</v>
      </c>
      <c r="NXL550" s="83" t="s">
        <v>151</v>
      </c>
      <c r="NXM550" s="83" t="s">
        <v>151</v>
      </c>
      <c r="NXN550" s="83" t="s">
        <v>151</v>
      </c>
      <c r="NXO550" s="83" t="s">
        <v>151</v>
      </c>
      <c r="NXP550" s="83" t="s">
        <v>151</v>
      </c>
      <c r="NXQ550" s="83" t="s">
        <v>151</v>
      </c>
      <c r="NXR550" s="83" t="s">
        <v>151</v>
      </c>
      <c r="NXS550" s="83" t="s">
        <v>151</v>
      </c>
      <c r="NXT550" s="83" t="s">
        <v>151</v>
      </c>
      <c r="NXU550" s="83" t="s">
        <v>151</v>
      </c>
      <c r="NXV550" s="83" t="s">
        <v>151</v>
      </c>
      <c r="NXW550" s="83" t="s">
        <v>151</v>
      </c>
      <c r="NXX550" s="83" t="s">
        <v>151</v>
      </c>
      <c r="NXY550" s="83" t="s">
        <v>151</v>
      </c>
      <c r="NXZ550" s="83" t="s">
        <v>151</v>
      </c>
      <c r="NYA550" s="83" t="s">
        <v>151</v>
      </c>
      <c r="NYB550" s="83" t="s">
        <v>151</v>
      </c>
      <c r="NYC550" s="83" t="s">
        <v>151</v>
      </c>
      <c r="NYD550" s="83" t="s">
        <v>151</v>
      </c>
      <c r="NYE550" s="83" t="s">
        <v>151</v>
      </c>
      <c r="NYF550" s="83" t="s">
        <v>151</v>
      </c>
      <c r="NYG550" s="83" t="s">
        <v>151</v>
      </c>
      <c r="NYH550" s="83" t="s">
        <v>151</v>
      </c>
      <c r="NYI550" s="83" t="s">
        <v>151</v>
      </c>
      <c r="NYJ550" s="83" t="s">
        <v>151</v>
      </c>
      <c r="NYK550" s="83" t="s">
        <v>151</v>
      </c>
      <c r="NYL550" s="83" t="s">
        <v>151</v>
      </c>
      <c r="NYM550" s="83" t="s">
        <v>151</v>
      </c>
      <c r="NYN550" s="83" t="s">
        <v>151</v>
      </c>
      <c r="NYO550" s="83" t="s">
        <v>151</v>
      </c>
      <c r="NYP550" s="83" t="s">
        <v>151</v>
      </c>
      <c r="NYQ550" s="83" t="s">
        <v>151</v>
      </c>
      <c r="NYR550" s="83" t="s">
        <v>151</v>
      </c>
      <c r="NYS550" s="83" t="s">
        <v>151</v>
      </c>
      <c r="NYT550" s="83" t="s">
        <v>151</v>
      </c>
      <c r="NYU550" s="83" t="s">
        <v>151</v>
      </c>
      <c r="NYV550" s="83" t="s">
        <v>151</v>
      </c>
      <c r="NYW550" s="83" t="s">
        <v>151</v>
      </c>
      <c r="NYX550" s="83" t="s">
        <v>151</v>
      </c>
      <c r="NYY550" s="83" t="s">
        <v>151</v>
      </c>
      <c r="NYZ550" s="83" t="s">
        <v>151</v>
      </c>
      <c r="NZA550" s="83" t="s">
        <v>151</v>
      </c>
      <c r="NZB550" s="83" t="s">
        <v>151</v>
      </c>
      <c r="NZC550" s="83" t="s">
        <v>151</v>
      </c>
      <c r="NZD550" s="83" t="s">
        <v>151</v>
      </c>
      <c r="NZE550" s="83" t="s">
        <v>151</v>
      </c>
      <c r="NZF550" s="83" t="s">
        <v>151</v>
      </c>
      <c r="NZG550" s="83" t="s">
        <v>151</v>
      </c>
      <c r="NZH550" s="83" t="s">
        <v>151</v>
      </c>
      <c r="NZI550" s="83" t="s">
        <v>151</v>
      </c>
      <c r="NZJ550" s="83" t="s">
        <v>151</v>
      </c>
      <c r="NZK550" s="83" t="s">
        <v>151</v>
      </c>
      <c r="NZL550" s="83" t="s">
        <v>151</v>
      </c>
      <c r="NZM550" s="83" t="s">
        <v>151</v>
      </c>
      <c r="NZN550" s="83" t="s">
        <v>151</v>
      </c>
      <c r="NZO550" s="83" t="s">
        <v>151</v>
      </c>
      <c r="NZP550" s="83" t="s">
        <v>151</v>
      </c>
      <c r="NZQ550" s="83" t="s">
        <v>151</v>
      </c>
      <c r="NZR550" s="83" t="s">
        <v>151</v>
      </c>
      <c r="NZS550" s="83" t="s">
        <v>151</v>
      </c>
      <c r="NZT550" s="83" t="s">
        <v>151</v>
      </c>
      <c r="NZU550" s="83" t="s">
        <v>151</v>
      </c>
      <c r="NZV550" s="83" t="s">
        <v>151</v>
      </c>
      <c r="NZW550" s="83" t="s">
        <v>151</v>
      </c>
      <c r="NZX550" s="83" t="s">
        <v>151</v>
      </c>
      <c r="NZY550" s="83" t="s">
        <v>151</v>
      </c>
      <c r="NZZ550" s="83" t="s">
        <v>151</v>
      </c>
      <c r="OAA550" s="83" t="s">
        <v>151</v>
      </c>
      <c r="OAB550" s="83" t="s">
        <v>151</v>
      </c>
      <c r="OAC550" s="83" t="s">
        <v>151</v>
      </c>
      <c r="OAD550" s="83" t="s">
        <v>151</v>
      </c>
      <c r="OAE550" s="83" t="s">
        <v>151</v>
      </c>
      <c r="OAF550" s="83" t="s">
        <v>151</v>
      </c>
      <c r="OAG550" s="83" t="s">
        <v>151</v>
      </c>
      <c r="OAH550" s="83" t="s">
        <v>151</v>
      </c>
      <c r="OAI550" s="83" t="s">
        <v>151</v>
      </c>
      <c r="OAJ550" s="83" t="s">
        <v>151</v>
      </c>
      <c r="OAK550" s="83" t="s">
        <v>151</v>
      </c>
      <c r="OAL550" s="83" t="s">
        <v>151</v>
      </c>
      <c r="OAM550" s="83" t="s">
        <v>151</v>
      </c>
      <c r="OAN550" s="83" t="s">
        <v>151</v>
      </c>
      <c r="OAO550" s="83" t="s">
        <v>151</v>
      </c>
      <c r="OAP550" s="83" t="s">
        <v>151</v>
      </c>
      <c r="OAQ550" s="83" t="s">
        <v>151</v>
      </c>
      <c r="OAR550" s="83" t="s">
        <v>151</v>
      </c>
      <c r="OAS550" s="83" t="s">
        <v>151</v>
      </c>
      <c r="OAT550" s="83" t="s">
        <v>151</v>
      </c>
      <c r="OAU550" s="83" t="s">
        <v>151</v>
      </c>
      <c r="OAV550" s="83" t="s">
        <v>151</v>
      </c>
      <c r="OAW550" s="83" t="s">
        <v>151</v>
      </c>
      <c r="OAX550" s="83" t="s">
        <v>151</v>
      </c>
      <c r="OAY550" s="83" t="s">
        <v>151</v>
      </c>
      <c r="OAZ550" s="83" t="s">
        <v>151</v>
      </c>
      <c r="OBA550" s="83" t="s">
        <v>151</v>
      </c>
      <c r="OBB550" s="83" t="s">
        <v>151</v>
      </c>
      <c r="OBC550" s="83" t="s">
        <v>151</v>
      </c>
      <c r="OBD550" s="83" t="s">
        <v>151</v>
      </c>
      <c r="OBE550" s="83" t="s">
        <v>151</v>
      </c>
      <c r="OBF550" s="83" t="s">
        <v>151</v>
      </c>
      <c r="OBG550" s="83" t="s">
        <v>151</v>
      </c>
      <c r="OBH550" s="83" t="s">
        <v>151</v>
      </c>
      <c r="OBI550" s="83" t="s">
        <v>151</v>
      </c>
      <c r="OBJ550" s="83" t="s">
        <v>151</v>
      </c>
      <c r="OBK550" s="83" t="s">
        <v>151</v>
      </c>
      <c r="OBL550" s="83" t="s">
        <v>151</v>
      </c>
      <c r="OBM550" s="83" t="s">
        <v>151</v>
      </c>
      <c r="OBN550" s="83" t="s">
        <v>151</v>
      </c>
      <c r="OBO550" s="83" t="s">
        <v>151</v>
      </c>
      <c r="OBP550" s="83" t="s">
        <v>151</v>
      </c>
      <c r="OBQ550" s="83" t="s">
        <v>151</v>
      </c>
      <c r="OBR550" s="83" t="s">
        <v>151</v>
      </c>
      <c r="OBS550" s="83" t="s">
        <v>151</v>
      </c>
      <c r="OBT550" s="83" t="s">
        <v>151</v>
      </c>
      <c r="OBU550" s="83" t="s">
        <v>151</v>
      </c>
      <c r="OBV550" s="83" t="s">
        <v>151</v>
      </c>
      <c r="OBW550" s="83" t="s">
        <v>151</v>
      </c>
      <c r="OBX550" s="83" t="s">
        <v>151</v>
      </c>
      <c r="OBY550" s="83" t="s">
        <v>151</v>
      </c>
      <c r="OBZ550" s="83" t="s">
        <v>151</v>
      </c>
      <c r="OCA550" s="83" t="s">
        <v>151</v>
      </c>
      <c r="OCB550" s="83" t="s">
        <v>151</v>
      </c>
      <c r="OCC550" s="83" t="s">
        <v>151</v>
      </c>
      <c r="OCD550" s="83" t="s">
        <v>151</v>
      </c>
      <c r="OCE550" s="83" t="s">
        <v>151</v>
      </c>
      <c r="OCF550" s="83" t="s">
        <v>151</v>
      </c>
      <c r="OCG550" s="83" t="s">
        <v>151</v>
      </c>
      <c r="OCH550" s="83" t="s">
        <v>151</v>
      </c>
      <c r="OCI550" s="83" t="s">
        <v>151</v>
      </c>
      <c r="OCJ550" s="83" t="s">
        <v>151</v>
      </c>
      <c r="OCK550" s="83" t="s">
        <v>151</v>
      </c>
      <c r="OCL550" s="83" t="s">
        <v>151</v>
      </c>
      <c r="OCM550" s="83" t="s">
        <v>151</v>
      </c>
      <c r="OCN550" s="83" t="s">
        <v>151</v>
      </c>
      <c r="OCO550" s="83" t="s">
        <v>151</v>
      </c>
      <c r="OCP550" s="83" t="s">
        <v>151</v>
      </c>
      <c r="OCQ550" s="83" t="s">
        <v>151</v>
      </c>
      <c r="OCR550" s="83" t="s">
        <v>151</v>
      </c>
      <c r="OCS550" s="83" t="s">
        <v>151</v>
      </c>
      <c r="OCT550" s="83" t="s">
        <v>151</v>
      </c>
      <c r="OCU550" s="83" t="s">
        <v>151</v>
      </c>
      <c r="OCV550" s="83" t="s">
        <v>151</v>
      </c>
      <c r="OCW550" s="83" t="s">
        <v>151</v>
      </c>
      <c r="OCX550" s="83" t="s">
        <v>151</v>
      </c>
      <c r="OCY550" s="83" t="s">
        <v>151</v>
      </c>
      <c r="OCZ550" s="83" t="s">
        <v>151</v>
      </c>
      <c r="ODA550" s="83" t="s">
        <v>151</v>
      </c>
      <c r="ODB550" s="83" t="s">
        <v>151</v>
      </c>
      <c r="ODC550" s="83" t="s">
        <v>151</v>
      </c>
      <c r="ODD550" s="83" t="s">
        <v>151</v>
      </c>
      <c r="ODE550" s="83" t="s">
        <v>151</v>
      </c>
      <c r="ODF550" s="83" t="s">
        <v>151</v>
      </c>
      <c r="ODG550" s="83" t="s">
        <v>151</v>
      </c>
      <c r="ODH550" s="83" t="s">
        <v>151</v>
      </c>
      <c r="ODI550" s="83" t="s">
        <v>151</v>
      </c>
      <c r="ODJ550" s="83" t="s">
        <v>151</v>
      </c>
      <c r="ODK550" s="83" t="s">
        <v>151</v>
      </c>
      <c r="ODL550" s="83" t="s">
        <v>151</v>
      </c>
      <c r="ODM550" s="83" t="s">
        <v>151</v>
      </c>
      <c r="ODN550" s="83" t="s">
        <v>151</v>
      </c>
      <c r="ODO550" s="83" t="s">
        <v>151</v>
      </c>
      <c r="ODP550" s="83" t="s">
        <v>151</v>
      </c>
      <c r="ODQ550" s="83" t="s">
        <v>151</v>
      </c>
      <c r="ODR550" s="83" t="s">
        <v>151</v>
      </c>
      <c r="ODS550" s="83" t="s">
        <v>151</v>
      </c>
      <c r="ODT550" s="83" t="s">
        <v>151</v>
      </c>
      <c r="ODU550" s="83" t="s">
        <v>151</v>
      </c>
      <c r="ODV550" s="83" t="s">
        <v>151</v>
      </c>
      <c r="ODW550" s="83" t="s">
        <v>151</v>
      </c>
      <c r="ODX550" s="83" t="s">
        <v>151</v>
      </c>
      <c r="ODY550" s="83" t="s">
        <v>151</v>
      </c>
      <c r="ODZ550" s="83" t="s">
        <v>151</v>
      </c>
      <c r="OEA550" s="83" t="s">
        <v>151</v>
      </c>
      <c r="OEB550" s="83" t="s">
        <v>151</v>
      </c>
      <c r="OEC550" s="83" t="s">
        <v>151</v>
      </c>
      <c r="OED550" s="83" t="s">
        <v>151</v>
      </c>
      <c r="OEE550" s="83" t="s">
        <v>151</v>
      </c>
      <c r="OEF550" s="83" t="s">
        <v>151</v>
      </c>
      <c r="OEG550" s="83" t="s">
        <v>151</v>
      </c>
      <c r="OEH550" s="83" t="s">
        <v>151</v>
      </c>
      <c r="OEI550" s="83" t="s">
        <v>151</v>
      </c>
      <c r="OEJ550" s="83" t="s">
        <v>151</v>
      </c>
      <c r="OEK550" s="83" t="s">
        <v>151</v>
      </c>
      <c r="OEL550" s="83" t="s">
        <v>151</v>
      </c>
      <c r="OEM550" s="83" t="s">
        <v>151</v>
      </c>
      <c r="OEN550" s="83" t="s">
        <v>151</v>
      </c>
      <c r="OEO550" s="83" t="s">
        <v>151</v>
      </c>
      <c r="OEP550" s="83" t="s">
        <v>151</v>
      </c>
      <c r="OEQ550" s="83" t="s">
        <v>151</v>
      </c>
      <c r="OER550" s="83" t="s">
        <v>151</v>
      </c>
      <c r="OES550" s="83" t="s">
        <v>151</v>
      </c>
      <c r="OET550" s="83" t="s">
        <v>151</v>
      </c>
      <c r="OEU550" s="83" t="s">
        <v>151</v>
      </c>
      <c r="OEV550" s="83" t="s">
        <v>151</v>
      </c>
      <c r="OEW550" s="83" t="s">
        <v>151</v>
      </c>
      <c r="OEX550" s="83" t="s">
        <v>151</v>
      </c>
      <c r="OEY550" s="83" t="s">
        <v>151</v>
      </c>
      <c r="OEZ550" s="83" t="s">
        <v>151</v>
      </c>
      <c r="OFA550" s="83" t="s">
        <v>151</v>
      </c>
      <c r="OFB550" s="83" t="s">
        <v>151</v>
      </c>
      <c r="OFC550" s="83" t="s">
        <v>151</v>
      </c>
      <c r="OFD550" s="83" t="s">
        <v>151</v>
      </c>
      <c r="OFE550" s="83" t="s">
        <v>151</v>
      </c>
      <c r="OFF550" s="83" t="s">
        <v>151</v>
      </c>
      <c r="OFG550" s="83" t="s">
        <v>151</v>
      </c>
      <c r="OFH550" s="83" t="s">
        <v>151</v>
      </c>
      <c r="OFI550" s="83" t="s">
        <v>151</v>
      </c>
      <c r="OFJ550" s="83" t="s">
        <v>151</v>
      </c>
      <c r="OFK550" s="83" t="s">
        <v>151</v>
      </c>
      <c r="OFL550" s="83" t="s">
        <v>151</v>
      </c>
      <c r="OFM550" s="83" t="s">
        <v>151</v>
      </c>
      <c r="OFN550" s="83" t="s">
        <v>151</v>
      </c>
      <c r="OFO550" s="83" t="s">
        <v>151</v>
      </c>
      <c r="OFP550" s="83" t="s">
        <v>151</v>
      </c>
      <c r="OFQ550" s="83" t="s">
        <v>151</v>
      </c>
      <c r="OFR550" s="83" t="s">
        <v>151</v>
      </c>
      <c r="OFS550" s="83" t="s">
        <v>151</v>
      </c>
      <c r="OFT550" s="83" t="s">
        <v>151</v>
      </c>
      <c r="OFU550" s="83" t="s">
        <v>151</v>
      </c>
      <c r="OFV550" s="83" t="s">
        <v>151</v>
      </c>
      <c r="OFW550" s="83" t="s">
        <v>151</v>
      </c>
      <c r="OFX550" s="83" t="s">
        <v>151</v>
      </c>
      <c r="OFY550" s="83" t="s">
        <v>151</v>
      </c>
      <c r="OFZ550" s="83" t="s">
        <v>151</v>
      </c>
      <c r="OGA550" s="83" t="s">
        <v>151</v>
      </c>
      <c r="OGB550" s="83" t="s">
        <v>151</v>
      </c>
      <c r="OGC550" s="83" t="s">
        <v>151</v>
      </c>
      <c r="OGD550" s="83" t="s">
        <v>151</v>
      </c>
      <c r="OGE550" s="83" t="s">
        <v>151</v>
      </c>
      <c r="OGF550" s="83" t="s">
        <v>151</v>
      </c>
      <c r="OGG550" s="83" t="s">
        <v>151</v>
      </c>
      <c r="OGH550" s="83" t="s">
        <v>151</v>
      </c>
      <c r="OGI550" s="83" t="s">
        <v>151</v>
      </c>
      <c r="OGJ550" s="83" t="s">
        <v>151</v>
      </c>
      <c r="OGK550" s="83" t="s">
        <v>151</v>
      </c>
      <c r="OGL550" s="83" t="s">
        <v>151</v>
      </c>
      <c r="OGM550" s="83" t="s">
        <v>151</v>
      </c>
      <c r="OGN550" s="83" t="s">
        <v>151</v>
      </c>
      <c r="OGO550" s="83" t="s">
        <v>151</v>
      </c>
      <c r="OGP550" s="83" t="s">
        <v>151</v>
      </c>
      <c r="OGQ550" s="83" t="s">
        <v>151</v>
      </c>
      <c r="OGR550" s="83" t="s">
        <v>151</v>
      </c>
      <c r="OGS550" s="83" t="s">
        <v>151</v>
      </c>
      <c r="OGT550" s="83" t="s">
        <v>151</v>
      </c>
      <c r="OGU550" s="83" t="s">
        <v>151</v>
      </c>
      <c r="OGV550" s="83" t="s">
        <v>151</v>
      </c>
      <c r="OGW550" s="83" t="s">
        <v>151</v>
      </c>
      <c r="OGX550" s="83" t="s">
        <v>151</v>
      </c>
      <c r="OGY550" s="83" t="s">
        <v>151</v>
      </c>
      <c r="OGZ550" s="83" t="s">
        <v>151</v>
      </c>
      <c r="OHA550" s="83" t="s">
        <v>151</v>
      </c>
      <c r="OHB550" s="83" t="s">
        <v>151</v>
      </c>
      <c r="OHC550" s="83" t="s">
        <v>151</v>
      </c>
      <c r="OHD550" s="83" t="s">
        <v>151</v>
      </c>
      <c r="OHE550" s="83" t="s">
        <v>151</v>
      </c>
      <c r="OHF550" s="83" t="s">
        <v>151</v>
      </c>
      <c r="OHG550" s="83" t="s">
        <v>151</v>
      </c>
      <c r="OHH550" s="83" t="s">
        <v>151</v>
      </c>
      <c r="OHI550" s="83" t="s">
        <v>151</v>
      </c>
      <c r="OHJ550" s="83" t="s">
        <v>151</v>
      </c>
      <c r="OHK550" s="83" t="s">
        <v>151</v>
      </c>
      <c r="OHL550" s="83" t="s">
        <v>151</v>
      </c>
      <c r="OHM550" s="83" t="s">
        <v>151</v>
      </c>
      <c r="OHN550" s="83" t="s">
        <v>151</v>
      </c>
      <c r="OHO550" s="83" t="s">
        <v>151</v>
      </c>
      <c r="OHP550" s="83" t="s">
        <v>151</v>
      </c>
      <c r="OHQ550" s="83" t="s">
        <v>151</v>
      </c>
      <c r="OHR550" s="83" t="s">
        <v>151</v>
      </c>
      <c r="OHS550" s="83" t="s">
        <v>151</v>
      </c>
      <c r="OHT550" s="83" t="s">
        <v>151</v>
      </c>
      <c r="OHU550" s="83" t="s">
        <v>151</v>
      </c>
      <c r="OHV550" s="83" t="s">
        <v>151</v>
      </c>
      <c r="OHW550" s="83" t="s">
        <v>151</v>
      </c>
      <c r="OHX550" s="83" t="s">
        <v>151</v>
      </c>
      <c r="OHY550" s="83" t="s">
        <v>151</v>
      </c>
      <c r="OHZ550" s="83" t="s">
        <v>151</v>
      </c>
      <c r="OIA550" s="83" t="s">
        <v>151</v>
      </c>
      <c r="OIB550" s="83" t="s">
        <v>151</v>
      </c>
      <c r="OIC550" s="83" t="s">
        <v>151</v>
      </c>
      <c r="OID550" s="83" t="s">
        <v>151</v>
      </c>
      <c r="OIE550" s="83" t="s">
        <v>151</v>
      </c>
      <c r="OIF550" s="83" t="s">
        <v>151</v>
      </c>
      <c r="OIG550" s="83" t="s">
        <v>151</v>
      </c>
      <c r="OIH550" s="83" t="s">
        <v>151</v>
      </c>
      <c r="OII550" s="83" t="s">
        <v>151</v>
      </c>
      <c r="OIJ550" s="83" t="s">
        <v>151</v>
      </c>
      <c r="OIK550" s="83" t="s">
        <v>151</v>
      </c>
      <c r="OIL550" s="83" t="s">
        <v>151</v>
      </c>
      <c r="OIM550" s="83" t="s">
        <v>151</v>
      </c>
      <c r="OIN550" s="83" t="s">
        <v>151</v>
      </c>
      <c r="OIO550" s="83" t="s">
        <v>151</v>
      </c>
      <c r="OIP550" s="83" t="s">
        <v>151</v>
      </c>
      <c r="OIQ550" s="83" t="s">
        <v>151</v>
      </c>
      <c r="OIR550" s="83" t="s">
        <v>151</v>
      </c>
      <c r="OIS550" s="83" t="s">
        <v>151</v>
      </c>
      <c r="OIT550" s="83" t="s">
        <v>151</v>
      </c>
      <c r="OIU550" s="83" t="s">
        <v>151</v>
      </c>
      <c r="OIV550" s="83" t="s">
        <v>151</v>
      </c>
      <c r="OIW550" s="83" t="s">
        <v>151</v>
      </c>
      <c r="OIX550" s="83" t="s">
        <v>151</v>
      </c>
      <c r="OIY550" s="83" t="s">
        <v>151</v>
      </c>
      <c r="OIZ550" s="83" t="s">
        <v>151</v>
      </c>
      <c r="OJA550" s="83" t="s">
        <v>151</v>
      </c>
      <c r="OJB550" s="83" t="s">
        <v>151</v>
      </c>
      <c r="OJC550" s="83" t="s">
        <v>151</v>
      </c>
      <c r="OJD550" s="83" t="s">
        <v>151</v>
      </c>
      <c r="OJE550" s="83" t="s">
        <v>151</v>
      </c>
      <c r="OJF550" s="83" t="s">
        <v>151</v>
      </c>
      <c r="OJG550" s="83" t="s">
        <v>151</v>
      </c>
      <c r="OJH550" s="83" t="s">
        <v>151</v>
      </c>
      <c r="OJI550" s="83" t="s">
        <v>151</v>
      </c>
      <c r="OJJ550" s="83" t="s">
        <v>151</v>
      </c>
      <c r="OJK550" s="83" t="s">
        <v>151</v>
      </c>
      <c r="OJL550" s="83" t="s">
        <v>151</v>
      </c>
      <c r="OJM550" s="83" t="s">
        <v>151</v>
      </c>
      <c r="OJN550" s="83" t="s">
        <v>151</v>
      </c>
      <c r="OJO550" s="83" t="s">
        <v>151</v>
      </c>
      <c r="OJP550" s="83" t="s">
        <v>151</v>
      </c>
      <c r="OJQ550" s="83" t="s">
        <v>151</v>
      </c>
      <c r="OJR550" s="83" t="s">
        <v>151</v>
      </c>
      <c r="OJS550" s="83" t="s">
        <v>151</v>
      </c>
      <c r="OJT550" s="83" t="s">
        <v>151</v>
      </c>
      <c r="OJU550" s="83" t="s">
        <v>151</v>
      </c>
      <c r="OJV550" s="83" t="s">
        <v>151</v>
      </c>
      <c r="OJW550" s="83" t="s">
        <v>151</v>
      </c>
      <c r="OJX550" s="83" t="s">
        <v>151</v>
      </c>
      <c r="OJY550" s="83" t="s">
        <v>151</v>
      </c>
      <c r="OJZ550" s="83" t="s">
        <v>151</v>
      </c>
      <c r="OKA550" s="83" t="s">
        <v>151</v>
      </c>
      <c r="OKB550" s="83" t="s">
        <v>151</v>
      </c>
      <c r="OKC550" s="83" t="s">
        <v>151</v>
      </c>
      <c r="OKD550" s="83" t="s">
        <v>151</v>
      </c>
      <c r="OKE550" s="83" t="s">
        <v>151</v>
      </c>
      <c r="OKF550" s="83" t="s">
        <v>151</v>
      </c>
      <c r="OKG550" s="83" t="s">
        <v>151</v>
      </c>
      <c r="OKH550" s="83" t="s">
        <v>151</v>
      </c>
      <c r="OKI550" s="83" t="s">
        <v>151</v>
      </c>
      <c r="OKJ550" s="83" t="s">
        <v>151</v>
      </c>
      <c r="OKK550" s="83" t="s">
        <v>151</v>
      </c>
      <c r="OKL550" s="83" t="s">
        <v>151</v>
      </c>
      <c r="OKM550" s="83" t="s">
        <v>151</v>
      </c>
      <c r="OKN550" s="83" t="s">
        <v>151</v>
      </c>
      <c r="OKO550" s="83" t="s">
        <v>151</v>
      </c>
      <c r="OKP550" s="83" t="s">
        <v>151</v>
      </c>
      <c r="OKQ550" s="83" t="s">
        <v>151</v>
      </c>
      <c r="OKR550" s="83" t="s">
        <v>151</v>
      </c>
      <c r="OKS550" s="83" t="s">
        <v>151</v>
      </c>
      <c r="OKT550" s="83" t="s">
        <v>151</v>
      </c>
      <c r="OKU550" s="83" t="s">
        <v>151</v>
      </c>
      <c r="OKV550" s="83" t="s">
        <v>151</v>
      </c>
      <c r="OKW550" s="83" t="s">
        <v>151</v>
      </c>
      <c r="OKX550" s="83" t="s">
        <v>151</v>
      </c>
      <c r="OKY550" s="83" t="s">
        <v>151</v>
      </c>
      <c r="OKZ550" s="83" t="s">
        <v>151</v>
      </c>
      <c r="OLA550" s="83" t="s">
        <v>151</v>
      </c>
      <c r="OLB550" s="83" t="s">
        <v>151</v>
      </c>
      <c r="OLC550" s="83" t="s">
        <v>151</v>
      </c>
      <c r="OLD550" s="83" t="s">
        <v>151</v>
      </c>
      <c r="OLE550" s="83" t="s">
        <v>151</v>
      </c>
      <c r="OLF550" s="83" t="s">
        <v>151</v>
      </c>
      <c r="OLG550" s="83" t="s">
        <v>151</v>
      </c>
      <c r="OLH550" s="83" t="s">
        <v>151</v>
      </c>
      <c r="OLI550" s="83" t="s">
        <v>151</v>
      </c>
      <c r="OLJ550" s="83" t="s">
        <v>151</v>
      </c>
      <c r="OLK550" s="83" t="s">
        <v>151</v>
      </c>
      <c r="OLL550" s="83" t="s">
        <v>151</v>
      </c>
      <c r="OLM550" s="83" t="s">
        <v>151</v>
      </c>
      <c r="OLN550" s="83" t="s">
        <v>151</v>
      </c>
      <c r="OLO550" s="83" t="s">
        <v>151</v>
      </c>
      <c r="OLP550" s="83" t="s">
        <v>151</v>
      </c>
      <c r="OLQ550" s="83" t="s">
        <v>151</v>
      </c>
      <c r="OLR550" s="83" t="s">
        <v>151</v>
      </c>
      <c r="OLS550" s="83" t="s">
        <v>151</v>
      </c>
      <c r="OLT550" s="83" t="s">
        <v>151</v>
      </c>
      <c r="OLU550" s="83" t="s">
        <v>151</v>
      </c>
      <c r="OLV550" s="83" t="s">
        <v>151</v>
      </c>
      <c r="OLW550" s="83" t="s">
        <v>151</v>
      </c>
      <c r="OLX550" s="83" t="s">
        <v>151</v>
      </c>
      <c r="OLY550" s="83" t="s">
        <v>151</v>
      </c>
      <c r="OLZ550" s="83" t="s">
        <v>151</v>
      </c>
      <c r="OMA550" s="83" t="s">
        <v>151</v>
      </c>
      <c r="OMB550" s="83" t="s">
        <v>151</v>
      </c>
      <c r="OMC550" s="83" t="s">
        <v>151</v>
      </c>
      <c r="OMD550" s="83" t="s">
        <v>151</v>
      </c>
      <c r="OME550" s="83" t="s">
        <v>151</v>
      </c>
      <c r="OMF550" s="83" t="s">
        <v>151</v>
      </c>
      <c r="OMG550" s="83" t="s">
        <v>151</v>
      </c>
      <c r="OMH550" s="83" t="s">
        <v>151</v>
      </c>
      <c r="OMI550" s="83" t="s">
        <v>151</v>
      </c>
      <c r="OMJ550" s="83" t="s">
        <v>151</v>
      </c>
      <c r="OMK550" s="83" t="s">
        <v>151</v>
      </c>
      <c r="OML550" s="83" t="s">
        <v>151</v>
      </c>
      <c r="OMM550" s="83" t="s">
        <v>151</v>
      </c>
      <c r="OMN550" s="83" t="s">
        <v>151</v>
      </c>
      <c r="OMO550" s="83" t="s">
        <v>151</v>
      </c>
      <c r="OMP550" s="83" t="s">
        <v>151</v>
      </c>
      <c r="OMQ550" s="83" t="s">
        <v>151</v>
      </c>
      <c r="OMR550" s="83" t="s">
        <v>151</v>
      </c>
      <c r="OMS550" s="83" t="s">
        <v>151</v>
      </c>
      <c r="OMT550" s="83" t="s">
        <v>151</v>
      </c>
      <c r="OMU550" s="83" t="s">
        <v>151</v>
      </c>
      <c r="OMV550" s="83" t="s">
        <v>151</v>
      </c>
      <c r="OMW550" s="83" t="s">
        <v>151</v>
      </c>
      <c r="OMX550" s="83" t="s">
        <v>151</v>
      </c>
      <c r="OMY550" s="83" t="s">
        <v>151</v>
      </c>
      <c r="OMZ550" s="83" t="s">
        <v>151</v>
      </c>
      <c r="ONA550" s="83" t="s">
        <v>151</v>
      </c>
      <c r="ONB550" s="83" t="s">
        <v>151</v>
      </c>
      <c r="ONC550" s="83" t="s">
        <v>151</v>
      </c>
      <c r="OND550" s="83" t="s">
        <v>151</v>
      </c>
      <c r="ONE550" s="83" t="s">
        <v>151</v>
      </c>
      <c r="ONF550" s="83" t="s">
        <v>151</v>
      </c>
      <c r="ONG550" s="83" t="s">
        <v>151</v>
      </c>
      <c r="ONH550" s="83" t="s">
        <v>151</v>
      </c>
      <c r="ONI550" s="83" t="s">
        <v>151</v>
      </c>
      <c r="ONJ550" s="83" t="s">
        <v>151</v>
      </c>
      <c r="ONK550" s="83" t="s">
        <v>151</v>
      </c>
      <c r="ONL550" s="83" t="s">
        <v>151</v>
      </c>
      <c r="ONM550" s="83" t="s">
        <v>151</v>
      </c>
      <c r="ONN550" s="83" t="s">
        <v>151</v>
      </c>
      <c r="ONO550" s="83" t="s">
        <v>151</v>
      </c>
      <c r="ONP550" s="83" t="s">
        <v>151</v>
      </c>
      <c r="ONQ550" s="83" t="s">
        <v>151</v>
      </c>
      <c r="ONR550" s="83" t="s">
        <v>151</v>
      </c>
      <c r="ONS550" s="83" t="s">
        <v>151</v>
      </c>
      <c r="ONT550" s="83" t="s">
        <v>151</v>
      </c>
      <c r="ONU550" s="83" t="s">
        <v>151</v>
      </c>
      <c r="ONV550" s="83" t="s">
        <v>151</v>
      </c>
      <c r="ONW550" s="83" t="s">
        <v>151</v>
      </c>
      <c r="ONX550" s="83" t="s">
        <v>151</v>
      </c>
      <c r="ONY550" s="83" t="s">
        <v>151</v>
      </c>
      <c r="ONZ550" s="83" t="s">
        <v>151</v>
      </c>
      <c r="OOA550" s="83" t="s">
        <v>151</v>
      </c>
      <c r="OOB550" s="83" t="s">
        <v>151</v>
      </c>
      <c r="OOC550" s="83" t="s">
        <v>151</v>
      </c>
      <c r="OOD550" s="83" t="s">
        <v>151</v>
      </c>
      <c r="OOE550" s="83" t="s">
        <v>151</v>
      </c>
      <c r="OOF550" s="83" t="s">
        <v>151</v>
      </c>
      <c r="OOG550" s="83" t="s">
        <v>151</v>
      </c>
      <c r="OOH550" s="83" t="s">
        <v>151</v>
      </c>
      <c r="OOI550" s="83" t="s">
        <v>151</v>
      </c>
      <c r="OOJ550" s="83" t="s">
        <v>151</v>
      </c>
      <c r="OOK550" s="83" t="s">
        <v>151</v>
      </c>
      <c r="OOL550" s="83" t="s">
        <v>151</v>
      </c>
      <c r="OOM550" s="83" t="s">
        <v>151</v>
      </c>
      <c r="OON550" s="83" t="s">
        <v>151</v>
      </c>
      <c r="OOO550" s="83" t="s">
        <v>151</v>
      </c>
      <c r="OOP550" s="83" t="s">
        <v>151</v>
      </c>
      <c r="OOQ550" s="83" t="s">
        <v>151</v>
      </c>
      <c r="OOR550" s="83" t="s">
        <v>151</v>
      </c>
      <c r="OOS550" s="83" t="s">
        <v>151</v>
      </c>
      <c r="OOT550" s="83" t="s">
        <v>151</v>
      </c>
      <c r="OOU550" s="83" t="s">
        <v>151</v>
      </c>
      <c r="OOV550" s="83" t="s">
        <v>151</v>
      </c>
      <c r="OOW550" s="83" t="s">
        <v>151</v>
      </c>
      <c r="OOX550" s="83" t="s">
        <v>151</v>
      </c>
      <c r="OOY550" s="83" t="s">
        <v>151</v>
      </c>
      <c r="OOZ550" s="83" t="s">
        <v>151</v>
      </c>
      <c r="OPA550" s="83" t="s">
        <v>151</v>
      </c>
      <c r="OPB550" s="83" t="s">
        <v>151</v>
      </c>
      <c r="OPC550" s="83" t="s">
        <v>151</v>
      </c>
      <c r="OPD550" s="83" t="s">
        <v>151</v>
      </c>
      <c r="OPE550" s="83" t="s">
        <v>151</v>
      </c>
      <c r="OPF550" s="83" t="s">
        <v>151</v>
      </c>
      <c r="OPG550" s="83" t="s">
        <v>151</v>
      </c>
      <c r="OPH550" s="83" t="s">
        <v>151</v>
      </c>
      <c r="OPI550" s="83" t="s">
        <v>151</v>
      </c>
      <c r="OPJ550" s="83" t="s">
        <v>151</v>
      </c>
      <c r="OPK550" s="83" t="s">
        <v>151</v>
      </c>
      <c r="OPL550" s="83" t="s">
        <v>151</v>
      </c>
      <c r="OPM550" s="83" t="s">
        <v>151</v>
      </c>
      <c r="OPN550" s="83" t="s">
        <v>151</v>
      </c>
      <c r="OPO550" s="83" t="s">
        <v>151</v>
      </c>
      <c r="OPP550" s="83" t="s">
        <v>151</v>
      </c>
      <c r="OPQ550" s="83" t="s">
        <v>151</v>
      </c>
      <c r="OPR550" s="83" t="s">
        <v>151</v>
      </c>
      <c r="OPS550" s="83" t="s">
        <v>151</v>
      </c>
      <c r="OPT550" s="83" t="s">
        <v>151</v>
      </c>
      <c r="OPU550" s="83" t="s">
        <v>151</v>
      </c>
      <c r="OPV550" s="83" t="s">
        <v>151</v>
      </c>
      <c r="OPW550" s="83" t="s">
        <v>151</v>
      </c>
      <c r="OPX550" s="83" t="s">
        <v>151</v>
      </c>
      <c r="OPY550" s="83" t="s">
        <v>151</v>
      </c>
      <c r="OPZ550" s="83" t="s">
        <v>151</v>
      </c>
      <c r="OQA550" s="83" t="s">
        <v>151</v>
      </c>
      <c r="OQB550" s="83" t="s">
        <v>151</v>
      </c>
      <c r="OQC550" s="83" t="s">
        <v>151</v>
      </c>
      <c r="OQD550" s="83" t="s">
        <v>151</v>
      </c>
      <c r="OQE550" s="83" t="s">
        <v>151</v>
      </c>
      <c r="OQF550" s="83" t="s">
        <v>151</v>
      </c>
      <c r="OQG550" s="83" t="s">
        <v>151</v>
      </c>
      <c r="OQH550" s="83" t="s">
        <v>151</v>
      </c>
      <c r="OQI550" s="83" t="s">
        <v>151</v>
      </c>
      <c r="OQJ550" s="83" t="s">
        <v>151</v>
      </c>
      <c r="OQK550" s="83" t="s">
        <v>151</v>
      </c>
      <c r="OQL550" s="83" t="s">
        <v>151</v>
      </c>
      <c r="OQM550" s="83" t="s">
        <v>151</v>
      </c>
      <c r="OQN550" s="83" t="s">
        <v>151</v>
      </c>
      <c r="OQO550" s="83" t="s">
        <v>151</v>
      </c>
      <c r="OQP550" s="83" t="s">
        <v>151</v>
      </c>
      <c r="OQQ550" s="83" t="s">
        <v>151</v>
      </c>
      <c r="OQR550" s="83" t="s">
        <v>151</v>
      </c>
      <c r="OQS550" s="83" t="s">
        <v>151</v>
      </c>
      <c r="OQT550" s="83" t="s">
        <v>151</v>
      </c>
      <c r="OQU550" s="83" t="s">
        <v>151</v>
      </c>
      <c r="OQV550" s="83" t="s">
        <v>151</v>
      </c>
      <c r="OQW550" s="83" t="s">
        <v>151</v>
      </c>
      <c r="OQX550" s="83" t="s">
        <v>151</v>
      </c>
      <c r="OQY550" s="83" t="s">
        <v>151</v>
      </c>
      <c r="OQZ550" s="83" t="s">
        <v>151</v>
      </c>
      <c r="ORA550" s="83" t="s">
        <v>151</v>
      </c>
      <c r="ORB550" s="83" t="s">
        <v>151</v>
      </c>
      <c r="ORC550" s="83" t="s">
        <v>151</v>
      </c>
      <c r="ORD550" s="83" t="s">
        <v>151</v>
      </c>
      <c r="ORE550" s="83" t="s">
        <v>151</v>
      </c>
      <c r="ORF550" s="83" t="s">
        <v>151</v>
      </c>
      <c r="ORG550" s="83" t="s">
        <v>151</v>
      </c>
      <c r="ORH550" s="83" t="s">
        <v>151</v>
      </c>
      <c r="ORI550" s="83" t="s">
        <v>151</v>
      </c>
      <c r="ORJ550" s="83" t="s">
        <v>151</v>
      </c>
      <c r="ORK550" s="83" t="s">
        <v>151</v>
      </c>
      <c r="ORL550" s="83" t="s">
        <v>151</v>
      </c>
      <c r="ORM550" s="83" t="s">
        <v>151</v>
      </c>
      <c r="ORN550" s="83" t="s">
        <v>151</v>
      </c>
      <c r="ORO550" s="83" t="s">
        <v>151</v>
      </c>
      <c r="ORP550" s="83" t="s">
        <v>151</v>
      </c>
      <c r="ORQ550" s="83" t="s">
        <v>151</v>
      </c>
      <c r="ORR550" s="83" t="s">
        <v>151</v>
      </c>
      <c r="ORS550" s="83" t="s">
        <v>151</v>
      </c>
      <c r="ORT550" s="83" t="s">
        <v>151</v>
      </c>
      <c r="ORU550" s="83" t="s">
        <v>151</v>
      </c>
      <c r="ORV550" s="83" t="s">
        <v>151</v>
      </c>
      <c r="ORW550" s="83" t="s">
        <v>151</v>
      </c>
      <c r="ORX550" s="83" t="s">
        <v>151</v>
      </c>
      <c r="ORY550" s="83" t="s">
        <v>151</v>
      </c>
      <c r="ORZ550" s="83" t="s">
        <v>151</v>
      </c>
      <c r="OSA550" s="83" t="s">
        <v>151</v>
      </c>
      <c r="OSB550" s="83" t="s">
        <v>151</v>
      </c>
      <c r="OSC550" s="83" t="s">
        <v>151</v>
      </c>
      <c r="OSD550" s="83" t="s">
        <v>151</v>
      </c>
      <c r="OSE550" s="83" t="s">
        <v>151</v>
      </c>
      <c r="OSF550" s="83" t="s">
        <v>151</v>
      </c>
      <c r="OSG550" s="83" t="s">
        <v>151</v>
      </c>
      <c r="OSH550" s="83" t="s">
        <v>151</v>
      </c>
      <c r="OSI550" s="83" t="s">
        <v>151</v>
      </c>
      <c r="OSJ550" s="83" t="s">
        <v>151</v>
      </c>
      <c r="OSK550" s="83" t="s">
        <v>151</v>
      </c>
      <c r="OSL550" s="83" t="s">
        <v>151</v>
      </c>
      <c r="OSM550" s="83" t="s">
        <v>151</v>
      </c>
      <c r="OSN550" s="83" t="s">
        <v>151</v>
      </c>
      <c r="OSO550" s="83" t="s">
        <v>151</v>
      </c>
      <c r="OSP550" s="83" t="s">
        <v>151</v>
      </c>
      <c r="OSQ550" s="83" t="s">
        <v>151</v>
      </c>
      <c r="OSR550" s="83" t="s">
        <v>151</v>
      </c>
      <c r="OSS550" s="83" t="s">
        <v>151</v>
      </c>
      <c r="OST550" s="83" t="s">
        <v>151</v>
      </c>
      <c r="OSU550" s="83" t="s">
        <v>151</v>
      </c>
      <c r="OSV550" s="83" t="s">
        <v>151</v>
      </c>
      <c r="OSW550" s="83" t="s">
        <v>151</v>
      </c>
      <c r="OSX550" s="83" t="s">
        <v>151</v>
      </c>
      <c r="OSY550" s="83" t="s">
        <v>151</v>
      </c>
      <c r="OSZ550" s="83" t="s">
        <v>151</v>
      </c>
      <c r="OTA550" s="83" t="s">
        <v>151</v>
      </c>
      <c r="OTB550" s="83" t="s">
        <v>151</v>
      </c>
      <c r="OTC550" s="83" t="s">
        <v>151</v>
      </c>
      <c r="OTD550" s="83" t="s">
        <v>151</v>
      </c>
      <c r="OTE550" s="83" t="s">
        <v>151</v>
      </c>
      <c r="OTF550" s="83" t="s">
        <v>151</v>
      </c>
      <c r="OTG550" s="83" t="s">
        <v>151</v>
      </c>
      <c r="OTH550" s="83" t="s">
        <v>151</v>
      </c>
      <c r="OTI550" s="83" t="s">
        <v>151</v>
      </c>
      <c r="OTJ550" s="83" t="s">
        <v>151</v>
      </c>
      <c r="OTK550" s="83" t="s">
        <v>151</v>
      </c>
      <c r="OTL550" s="83" t="s">
        <v>151</v>
      </c>
      <c r="OTM550" s="83" t="s">
        <v>151</v>
      </c>
      <c r="OTN550" s="83" t="s">
        <v>151</v>
      </c>
      <c r="OTO550" s="83" t="s">
        <v>151</v>
      </c>
      <c r="OTP550" s="83" t="s">
        <v>151</v>
      </c>
      <c r="OTQ550" s="83" t="s">
        <v>151</v>
      </c>
      <c r="OTR550" s="83" t="s">
        <v>151</v>
      </c>
      <c r="OTS550" s="83" t="s">
        <v>151</v>
      </c>
      <c r="OTT550" s="83" t="s">
        <v>151</v>
      </c>
      <c r="OTU550" s="83" t="s">
        <v>151</v>
      </c>
      <c r="OTV550" s="83" t="s">
        <v>151</v>
      </c>
      <c r="OTW550" s="83" t="s">
        <v>151</v>
      </c>
      <c r="OTX550" s="83" t="s">
        <v>151</v>
      </c>
      <c r="OTY550" s="83" t="s">
        <v>151</v>
      </c>
      <c r="OTZ550" s="83" t="s">
        <v>151</v>
      </c>
      <c r="OUA550" s="83" t="s">
        <v>151</v>
      </c>
      <c r="OUB550" s="83" t="s">
        <v>151</v>
      </c>
      <c r="OUC550" s="83" t="s">
        <v>151</v>
      </c>
      <c r="OUD550" s="83" t="s">
        <v>151</v>
      </c>
      <c r="OUE550" s="83" t="s">
        <v>151</v>
      </c>
      <c r="OUF550" s="83" t="s">
        <v>151</v>
      </c>
      <c r="OUG550" s="83" t="s">
        <v>151</v>
      </c>
      <c r="OUH550" s="83" t="s">
        <v>151</v>
      </c>
      <c r="OUI550" s="83" t="s">
        <v>151</v>
      </c>
      <c r="OUJ550" s="83" t="s">
        <v>151</v>
      </c>
      <c r="OUK550" s="83" t="s">
        <v>151</v>
      </c>
      <c r="OUL550" s="83" t="s">
        <v>151</v>
      </c>
      <c r="OUM550" s="83" t="s">
        <v>151</v>
      </c>
      <c r="OUN550" s="83" t="s">
        <v>151</v>
      </c>
      <c r="OUO550" s="83" t="s">
        <v>151</v>
      </c>
      <c r="OUP550" s="83" t="s">
        <v>151</v>
      </c>
      <c r="OUQ550" s="83" t="s">
        <v>151</v>
      </c>
      <c r="OUR550" s="83" t="s">
        <v>151</v>
      </c>
      <c r="OUS550" s="83" t="s">
        <v>151</v>
      </c>
      <c r="OUT550" s="83" t="s">
        <v>151</v>
      </c>
      <c r="OUU550" s="83" t="s">
        <v>151</v>
      </c>
      <c r="OUV550" s="83" t="s">
        <v>151</v>
      </c>
      <c r="OUW550" s="83" t="s">
        <v>151</v>
      </c>
      <c r="OUX550" s="83" t="s">
        <v>151</v>
      </c>
      <c r="OUY550" s="83" t="s">
        <v>151</v>
      </c>
      <c r="OUZ550" s="83" t="s">
        <v>151</v>
      </c>
      <c r="OVA550" s="83" t="s">
        <v>151</v>
      </c>
      <c r="OVB550" s="83" t="s">
        <v>151</v>
      </c>
      <c r="OVC550" s="83" t="s">
        <v>151</v>
      </c>
      <c r="OVD550" s="83" t="s">
        <v>151</v>
      </c>
      <c r="OVE550" s="83" t="s">
        <v>151</v>
      </c>
      <c r="OVF550" s="83" t="s">
        <v>151</v>
      </c>
      <c r="OVG550" s="83" t="s">
        <v>151</v>
      </c>
      <c r="OVH550" s="83" t="s">
        <v>151</v>
      </c>
      <c r="OVI550" s="83" t="s">
        <v>151</v>
      </c>
      <c r="OVJ550" s="83" t="s">
        <v>151</v>
      </c>
      <c r="OVK550" s="83" t="s">
        <v>151</v>
      </c>
      <c r="OVL550" s="83" t="s">
        <v>151</v>
      </c>
      <c r="OVM550" s="83" t="s">
        <v>151</v>
      </c>
      <c r="OVN550" s="83" t="s">
        <v>151</v>
      </c>
      <c r="OVO550" s="83" t="s">
        <v>151</v>
      </c>
      <c r="OVP550" s="83" t="s">
        <v>151</v>
      </c>
      <c r="OVQ550" s="83" t="s">
        <v>151</v>
      </c>
      <c r="OVR550" s="83" t="s">
        <v>151</v>
      </c>
      <c r="OVS550" s="83" t="s">
        <v>151</v>
      </c>
      <c r="OVT550" s="83" t="s">
        <v>151</v>
      </c>
      <c r="OVU550" s="83" t="s">
        <v>151</v>
      </c>
      <c r="OVV550" s="83" t="s">
        <v>151</v>
      </c>
      <c r="OVW550" s="83" t="s">
        <v>151</v>
      </c>
      <c r="OVX550" s="83" t="s">
        <v>151</v>
      </c>
      <c r="OVY550" s="83" t="s">
        <v>151</v>
      </c>
      <c r="OVZ550" s="83" t="s">
        <v>151</v>
      </c>
      <c r="OWA550" s="83" t="s">
        <v>151</v>
      </c>
      <c r="OWB550" s="83" t="s">
        <v>151</v>
      </c>
      <c r="OWC550" s="83" t="s">
        <v>151</v>
      </c>
      <c r="OWD550" s="83" t="s">
        <v>151</v>
      </c>
      <c r="OWE550" s="83" t="s">
        <v>151</v>
      </c>
      <c r="OWF550" s="83" t="s">
        <v>151</v>
      </c>
      <c r="OWG550" s="83" t="s">
        <v>151</v>
      </c>
      <c r="OWH550" s="83" t="s">
        <v>151</v>
      </c>
      <c r="OWI550" s="83" t="s">
        <v>151</v>
      </c>
      <c r="OWJ550" s="83" t="s">
        <v>151</v>
      </c>
      <c r="OWK550" s="83" t="s">
        <v>151</v>
      </c>
      <c r="OWL550" s="83" t="s">
        <v>151</v>
      </c>
      <c r="OWM550" s="83" t="s">
        <v>151</v>
      </c>
      <c r="OWN550" s="83" t="s">
        <v>151</v>
      </c>
      <c r="OWO550" s="83" t="s">
        <v>151</v>
      </c>
      <c r="OWP550" s="83" t="s">
        <v>151</v>
      </c>
      <c r="OWQ550" s="83" t="s">
        <v>151</v>
      </c>
      <c r="OWR550" s="83" t="s">
        <v>151</v>
      </c>
      <c r="OWS550" s="83" t="s">
        <v>151</v>
      </c>
      <c r="OWT550" s="83" t="s">
        <v>151</v>
      </c>
      <c r="OWU550" s="83" t="s">
        <v>151</v>
      </c>
      <c r="OWV550" s="83" t="s">
        <v>151</v>
      </c>
      <c r="OWW550" s="83" t="s">
        <v>151</v>
      </c>
      <c r="OWX550" s="83" t="s">
        <v>151</v>
      </c>
      <c r="OWY550" s="83" t="s">
        <v>151</v>
      </c>
      <c r="OWZ550" s="83" t="s">
        <v>151</v>
      </c>
      <c r="OXA550" s="83" t="s">
        <v>151</v>
      </c>
      <c r="OXB550" s="83" t="s">
        <v>151</v>
      </c>
      <c r="OXC550" s="83" t="s">
        <v>151</v>
      </c>
      <c r="OXD550" s="83" t="s">
        <v>151</v>
      </c>
      <c r="OXE550" s="83" t="s">
        <v>151</v>
      </c>
      <c r="OXF550" s="83" t="s">
        <v>151</v>
      </c>
      <c r="OXG550" s="83" t="s">
        <v>151</v>
      </c>
      <c r="OXH550" s="83" t="s">
        <v>151</v>
      </c>
      <c r="OXI550" s="83" t="s">
        <v>151</v>
      </c>
      <c r="OXJ550" s="83" t="s">
        <v>151</v>
      </c>
      <c r="OXK550" s="83" t="s">
        <v>151</v>
      </c>
      <c r="OXL550" s="83" t="s">
        <v>151</v>
      </c>
      <c r="OXM550" s="83" t="s">
        <v>151</v>
      </c>
      <c r="OXN550" s="83" t="s">
        <v>151</v>
      </c>
      <c r="OXO550" s="83" t="s">
        <v>151</v>
      </c>
      <c r="OXP550" s="83" t="s">
        <v>151</v>
      </c>
      <c r="OXQ550" s="83" t="s">
        <v>151</v>
      </c>
      <c r="OXR550" s="83" t="s">
        <v>151</v>
      </c>
      <c r="OXS550" s="83" t="s">
        <v>151</v>
      </c>
      <c r="OXT550" s="83" t="s">
        <v>151</v>
      </c>
      <c r="OXU550" s="83" t="s">
        <v>151</v>
      </c>
      <c r="OXV550" s="83" t="s">
        <v>151</v>
      </c>
      <c r="OXW550" s="83" t="s">
        <v>151</v>
      </c>
      <c r="OXX550" s="83" t="s">
        <v>151</v>
      </c>
      <c r="OXY550" s="83" t="s">
        <v>151</v>
      </c>
      <c r="OXZ550" s="83" t="s">
        <v>151</v>
      </c>
      <c r="OYA550" s="83" t="s">
        <v>151</v>
      </c>
      <c r="OYB550" s="83" t="s">
        <v>151</v>
      </c>
      <c r="OYC550" s="83" t="s">
        <v>151</v>
      </c>
      <c r="OYD550" s="83" t="s">
        <v>151</v>
      </c>
      <c r="OYE550" s="83" t="s">
        <v>151</v>
      </c>
      <c r="OYF550" s="83" t="s">
        <v>151</v>
      </c>
      <c r="OYG550" s="83" t="s">
        <v>151</v>
      </c>
      <c r="OYH550" s="83" t="s">
        <v>151</v>
      </c>
      <c r="OYI550" s="83" t="s">
        <v>151</v>
      </c>
      <c r="OYJ550" s="83" t="s">
        <v>151</v>
      </c>
      <c r="OYK550" s="83" t="s">
        <v>151</v>
      </c>
      <c r="OYL550" s="83" t="s">
        <v>151</v>
      </c>
      <c r="OYM550" s="83" t="s">
        <v>151</v>
      </c>
      <c r="OYN550" s="83" t="s">
        <v>151</v>
      </c>
      <c r="OYO550" s="83" t="s">
        <v>151</v>
      </c>
      <c r="OYP550" s="83" t="s">
        <v>151</v>
      </c>
      <c r="OYQ550" s="83" t="s">
        <v>151</v>
      </c>
      <c r="OYR550" s="83" t="s">
        <v>151</v>
      </c>
      <c r="OYS550" s="83" t="s">
        <v>151</v>
      </c>
      <c r="OYT550" s="83" t="s">
        <v>151</v>
      </c>
      <c r="OYU550" s="83" t="s">
        <v>151</v>
      </c>
      <c r="OYV550" s="83" t="s">
        <v>151</v>
      </c>
      <c r="OYW550" s="83" t="s">
        <v>151</v>
      </c>
      <c r="OYX550" s="83" t="s">
        <v>151</v>
      </c>
      <c r="OYY550" s="83" t="s">
        <v>151</v>
      </c>
      <c r="OYZ550" s="83" t="s">
        <v>151</v>
      </c>
      <c r="OZA550" s="83" t="s">
        <v>151</v>
      </c>
      <c r="OZB550" s="83" t="s">
        <v>151</v>
      </c>
      <c r="OZC550" s="83" t="s">
        <v>151</v>
      </c>
      <c r="OZD550" s="83" t="s">
        <v>151</v>
      </c>
      <c r="OZE550" s="83" t="s">
        <v>151</v>
      </c>
      <c r="OZF550" s="83" t="s">
        <v>151</v>
      </c>
      <c r="OZG550" s="83" t="s">
        <v>151</v>
      </c>
      <c r="OZH550" s="83" t="s">
        <v>151</v>
      </c>
      <c r="OZI550" s="83" t="s">
        <v>151</v>
      </c>
      <c r="OZJ550" s="83" t="s">
        <v>151</v>
      </c>
      <c r="OZK550" s="83" t="s">
        <v>151</v>
      </c>
      <c r="OZL550" s="83" t="s">
        <v>151</v>
      </c>
      <c r="OZM550" s="83" t="s">
        <v>151</v>
      </c>
      <c r="OZN550" s="83" t="s">
        <v>151</v>
      </c>
      <c r="OZO550" s="83" t="s">
        <v>151</v>
      </c>
      <c r="OZP550" s="83" t="s">
        <v>151</v>
      </c>
      <c r="OZQ550" s="83" t="s">
        <v>151</v>
      </c>
      <c r="OZR550" s="83" t="s">
        <v>151</v>
      </c>
      <c r="OZS550" s="83" t="s">
        <v>151</v>
      </c>
      <c r="OZT550" s="83" t="s">
        <v>151</v>
      </c>
      <c r="OZU550" s="83" t="s">
        <v>151</v>
      </c>
      <c r="OZV550" s="83" t="s">
        <v>151</v>
      </c>
      <c r="OZW550" s="83" t="s">
        <v>151</v>
      </c>
      <c r="OZX550" s="83" t="s">
        <v>151</v>
      </c>
      <c r="OZY550" s="83" t="s">
        <v>151</v>
      </c>
      <c r="OZZ550" s="83" t="s">
        <v>151</v>
      </c>
      <c r="PAA550" s="83" t="s">
        <v>151</v>
      </c>
      <c r="PAB550" s="83" t="s">
        <v>151</v>
      </c>
      <c r="PAC550" s="83" t="s">
        <v>151</v>
      </c>
      <c r="PAD550" s="83" t="s">
        <v>151</v>
      </c>
      <c r="PAE550" s="83" t="s">
        <v>151</v>
      </c>
      <c r="PAF550" s="83" t="s">
        <v>151</v>
      </c>
      <c r="PAG550" s="83" t="s">
        <v>151</v>
      </c>
      <c r="PAH550" s="83" t="s">
        <v>151</v>
      </c>
      <c r="PAI550" s="83" t="s">
        <v>151</v>
      </c>
      <c r="PAJ550" s="83" t="s">
        <v>151</v>
      </c>
      <c r="PAK550" s="83" t="s">
        <v>151</v>
      </c>
      <c r="PAL550" s="83" t="s">
        <v>151</v>
      </c>
      <c r="PAM550" s="83" t="s">
        <v>151</v>
      </c>
      <c r="PAN550" s="83" t="s">
        <v>151</v>
      </c>
      <c r="PAO550" s="83" t="s">
        <v>151</v>
      </c>
      <c r="PAP550" s="83" t="s">
        <v>151</v>
      </c>
      <c r="PAQ550" s="83" t="s">
        <v>151</v>
      </c>
      <c r="PAR550" s="83" t="s">
        <v>151</v>
      </c>
      <c r="PAS550" s="83" t="s">
        <v>151</v>
      </c>
      <c r="PAT550" s="83" t="s">
        <v>151</v>
      </c>
      <c r="PAU550" s="83" t="s">
        <v>151</v>
      </c>
      <c r="PAV550" s="83" t="s">
        <v>151</v>
      </c>
      <c r="PAW550" s="83" t="s">
        <v>151</v>
      </c>
      <c r="PAX550" s="83" t="s">
        <v>151</v>
      </c>
      <c r="PAY550" s="83" t="s">
        <v>151</v>
      </c>
      <c r="PAZ550" s="83" t="s">
        <v>151</v>
      </c>
      <c r="PBA550" s="83" t="s">
        <v>151</v>
      </c>
      <c r="PBB550" s="83" t="s">
        <v>151</v>
      </c>
      <c r="PBC550" s="83" t="s">
        <v>151</v>
      </c>
      <c r="PBD550" s="83" t="s">
        <v>151</v>
      </c>
      <c r="PBE550" s="83" t="s">
        <v>151</v>
      </c>
      <c r="PBF550" s="83" t="s">
        <v>151</v>
      </c>
      <c r="PBG550" s="83" t="s">
        <v>151</v>
      </c>
      <c r="PBH550" s="83" t="s">
        <v>151</v>
      </c>
      <c r="PBI550" s="83" t="s">
        <v>151</v>
      </c>
      <c r="PBJ550" s="83" t="s">
        <v>151</v>
      </c>
      <c r="PBK550" s="83" t="s">
        <v>151</v>
      </c>
      <c r="PBL550" s="83" t="s">
        <v>151</v>
      </c>
      <c r="PBM550" s="83" t="s">
        <v>151</v>
      </c>
      <c r="PBN550" s="83" t="s">
        <v>151</v>
      </c>
      <c r="PBO550" s="83" t="s">
        <v>151</v>
      </c>
      <c r="PBP550" s="83" t="s">
        <v>151</v>
      </c>
      <c r="PBQ550" s="83" t="s">
        <v>151</v>
      </c>
      <c r="PBR550" s="83" t="s">
        <v>151</v>
      </c>
      <c r="PBS550" s="83" t="s">
        <v>151</v>
      </c>
      <c r="PBT550" s="83" t="s">
        <v>151</v>
      </c>
      <c r="PBU550" s="83" t="s">
        <v>151</v>
      </c>
      <c r="PBV550" s="83" t="s">
        <v>151</v>
      </c>
      <c r="PBW550" s="83" t="s">
        <v>151</v>
      </c>
      <c r="PBX550" s="83" t="s">
        <v>151</v>
      </c>
      <c r="PBY550" s="83" t="s">
        <v>151</v>
      </c>
      <c r="PBZ550" s="83" t="s">
        <v>151</v>
      </c>
      <c r="PCA550" s="83" t="s">
        <v>151</v>
      </c>
      <c r="PCB550" s="83" t="s">
        <v>151</v>
      </c>
      <c r="PCC550" s="83" t="s">
        <v>151</v>
      </c>
      <c r="PCD550" s="83" t="s">
        <v>151</v>
      </c>
      <c r="PCE550" s="83" t="s">
        <v>151</v>
      </c>
      <c r="PCF550" s="83" t="s">
        <v>151</v>
      </c>
      <c r="PCG550" s="83" t="s">
        <v>151</v>
      </c>
      <c r="PCH550" s="83" t="s">
        <v>151</v>
      </c>
      <c r="PCI550" s="83" t="s">
        <v>151</v>
      </c>
      <c r="PCJ550" s="83" t="s">
        <v>151</v>
      </c>
      <c r="PCK550" s="83" t="s">
        <v>151</v>
      </c>
      <c r="PCL550" s="83" t="s">
        <v>151</v>
      </c>
      <c r="PCM550" s="83" t="s">
        <v>151</v>
      </c>
      <c r="PCN550" s="83" t="s">
        <v>151</v>
      </c>
      <c r="PCO550" s="83" t="s">
        <v>151</v>
      </c>
      <c r="PCP550" s="83" t="s">
        <v>151</v>
      </c>
      <c r="PCQ550" s="83" t="s">
        <v>151</v>
      </c>
      <c r="PCR550" s="83" t="s">
        <v>151</v>
      </c>
      <c r="PCS550" s="83" t="s">
        <v>151</v>
      </c>
      <c r="PCT550" s="83" t="s">
        <v>151</v>
      </c>
      <c r="PCU550" s="83" t="s">
        <v>151</v>
      </c>
      <c r="PCV550" s="83" t="s">
        <v>151</v>
      </c>
      <c r="PCW550" s="83" t="s">
        <v>151</v>
      </c>
      <c r="PCX550" s="83" t="s">
        <v>151</v>
      </c>
      <c r="PCY550" s="83" t="s">
        <v>151</v>
      </c>
      <c r="PCZ550" s="83" t="s">
        <v>151</v>
      </c>
      <c r="PDA550" s="83" t="s">
        <v>151</v>
      </c>
      <c r="PDB550" s="83" t="s">
        <v>151</v>
      </c>
      <c r="PDC550" s="83" t="s">
        <v>151</v>
      </c>
      <c r="PDD550" s="83" t="s">
        <v>151</v>
      </c>
      <c r="PDE550" s="83" t="s">
        <v>151</v>
      </c>
      <c r="PDF550" s="83" t="s">
        <v>151</v>
      </c>
      <c r="PDG550" s="83" t="s">
        <v>151</v>
      </c>
      <c r="PDH550" s="83" t="s">
        <v>151</v>
      </c>
      <c r="PDI550" s="83" t="s">
        <v>151</v>
      </c>
      <c r="PDJ550" s="83" t="s">
        <v>151</v>
      </c>
      <c r="PDK550" s="83" t="s">
        <v>151</v>
      </c>
      <c r="PDL550" s="83" t="s">
        <v>151</v>
      </c>
      <c r="PDM550" s="83" t="s">
        <v>151</v>
      </c>
      <c r="PDN550" s="83" t="s">
        <v>151</v>
      </c>
      <c r="PDO550" s="83" t="s">
        <v>151</v>
      </c>
      <c r="PDP550" s="83" t="s">
        <v>151</v>
      </c>
      <c r="PDQ550" s="83" t="s">
        <v>151</v>
      </c>
      <c r="PDR550" s="83" t="s">
        <v>151</v>
      </c>
      <c r="PDS550" s="83" t="s">
        <v>151</v>
      </c>
      <c r="PDT550" s="83" t="s">
        <v>151</v>
      </c>
      <c r="PDU550" s="83" t="s">
        <v>151</v>
      </c>
      <c r="PDV550" s="83" t="s">
        <v>151</v>
      </c>
      <c r="PDW550" s="83" t="s">
        <v>151</v>
      </c>
      <c r="PDX550" s="83" t="s">
        <v>151</v>
      </c>
      <c r="PDY550" s="83" t="s">
        <v>151</v>
      </c>
      <c r="PDZ550" s="83" t="s">
        <v>151</v>
      </c>
      <c r="PEA550" s="83" t="s">
        <v>151</v>
      </c>
      <c r="PEB550" s="83" t="s">
        <v>151</v>
      </c>
      <c r="PEC550" s="83" t="s">
        <v>151</v>
      </c>
      <c r="PED550" s="83" t="s">
        <v>151</v>
      </c>
      <c r="PEE550" s="83" t="s">
        <v>151</v>
      </c>
      <c r="PEF550" s="83" t="s">
        <v>151</v>
      </c>
      <c r="PEG550" s="83" t="s">
        <v>151</v>
      </c>
      <c r="PEH550" s="83" t="s">
        <v>151</v>
      </c>
      <c r="PEI550" s="83" t="s">
        <v>151</v>
      </c>
      <c r="PEJ550" s="83" t="s">
        <v>151</v>
      </c>
      <c r="PEK550" s="83" t="s">
        <v>151</v>
      </c>
      <c r="PEL550" s="83" t="s">
        <v>151</v>
      </c>
      <c r="PEM550" s="83" t="s">
        <v>151</v>
      </c>
      <c r="PEN550" s="83" t="s">
        <v>151</v>
      </c>
      <c r="PEO550" s="83" t="s">
        <v>151</v>
      </c>
      <c r="PEP550" s="83" t="s">
        <v>151</v>
      </c>
      <c r="PEQ550" s="83" t="s">
        <v>151</v>
      </c>
      <c r="PER550" s="83" t="s">
        <v>151</v>
      </c>
      <c r="PES550" s="83" t="s">
        <v>151</v>
      </c>
      <c r="PET550" s="83" t="s">
        <v>151</v>
      </c>
      <c r="PEU550" s="83" t="s">
        <v>151</v>
      </c>
      <c r="PEV550" s="83" t="s">
        <v>151</v>
      </c>
      <c r="PEW550" s="83" t="s">
        <v>151</v>
      </c>
      <c r="PEX550" s="83" t="s">
        <v>151</v>
      </c>
      <c r="PEY550" s="83" t="s">
        <v>151</v>
      </c>
      <c r="PEZ550" s="83" t="s">
        <v>151</v>
      </c>
      <c r="PFA550" s="83" t="s">
        <v>151</v>
      </c>
      <c r="PFB550" s="83" t="s">
        <v>151</v>
      </c>
      <c r="PFC550" s="83" t="s">
        <v>151</v>
      </c>
      <c r="PFD550" s="83" t="s">
        <v>151</v>
      </c>
      <c r="PFE550" s="83" t="s">
        <v>151</v>
      </c>
      <c r="PFF550" s="83" t="s">
        <v>151</v>
      </c>
      <c r="PFG550" s="83" t="s">
        <v>151</v>
      </c>
      <c r="PFH550" s="83" t="s">
        <v>151</v>
      </c>
      <c r="PFI550" s="83" t="s">
        <v>151</v>
      </c>
      <c r="PFJ550" s="83" t="s">
        <v>151</v>
      </c>
      <c r="PFK550" s="83" t="s">
        <v>151</v>
      </c>
      <c r="PFL550" s="83" t="s">
        <v>151</v>
      </c>
      <c r="PFM550" s="83" t="s">
        <v>151</v>
      </c>
      <c r="PFN550" s="83" t="s">
        <v>151</v>
      </c>
      <c r="PFO550" s="83" t="s">
        <v>151</v>
      </c>
      <c r="PFP550" s="83" t="s">
        <v>151</v>
      </c>
      <c r="PFQ550" s="83" t="s">
        <v>151</v>
      </c>
      <c r="PFR550" s="83" t="s">
        <v>151</v>
      </c>
      <c r="PFS550" s="83" t="s">
        <v>151</v>
      </c>
      <c r="PFT550" s="83" t="s">
        <v>151</v>
      </c>
      <c r="PFU550" s="83" t="s">
        <v>151</v>
      </c>
      <c r="PFV550" s="83" t="s">
        <v>151</v>
      </c>
      <c r="PFW550" s="83" t="s">
        <v>151</v>
      </c>
      <c r="PFX550" s="83" t="s">
        <v>151</v>
      </c>
      <c r="PFY550" s="83" t="s">
        <v>151</v>
      </c>
      <c r="PFZ550" s="83" t="s">
        <v>151</v>
      </c>
      <c r="PGA550" s="83" t="s">
        <v>151</v>
      </c>
      <c r="PGB550" s="83" t="s">
        <v>151</v>
      </c>
      <c r="PGC550" s="83" t="s">
        <v>151</v>
      </c>
      <c r="PGD550" s="83" t="s">
        <v>151</v>
      </c>
      <c r="PGE550" s="83" t="s">
        <v>151</v>
      </c>
      <c r="PGF550" s="83" t="s">
        <v>151</v>
      </c>
      <c r="PGG550" s="83" t="s">
        <v>151</v>
      </c>
      <c r="PGH550" s="83" t="s">
        <v>151</v>
      </c>
      <c r="PGI550" s="83" t="s">
        <v>151</v>
      </c>
      <c r="PGJ550" s="83" t="s">
        <v>151</v>
      </c>
      <c r="PGK550" s="83" t="s">
        <v>151</v>
      </c>
      <c r="PGL550" s="83" t="s">
        <v>151</v>
      </c>
      <c r="PGM550" s="83" t="s">
        <v>151</v>
      </c>
      <c r="PGN550" s="83" t="s">
        <v>151</v>
      </c>
      <c r="PGO550" s="83" t="s">
        <v>151</v>
      </c>
      <c r="PGP550" s="83" t="s">
        <v>151</v>
      </c>
      <c r="PGQ550" s="83" t="s">
        <v>151</v>
      </c>
      <c r="PGR550" s="83" t="s">
        <v>151</v>
      </c>
      <c r="PGS550" s="83" t="s">
        <v>151</v>
      </c>
      <c r="PGT550" s="83" t="s">
        <v>151</v>
      </c>
      <c r="PGU550" s="83" t="s">
        <v>151</v>
      </c>
      <c r="PGV550" s="83" t="s">
        <v>151</v>
      </c>
      <c r="PGW550" s="83" t="s">
        <v>151</v>
      </c>
      <c r="PGX550" s="83" t="s">
        <v>151</v>
      </c>
      <c r="PGY550" s="83" t="s">
        <v>151</v>
      </c>
      <c r="PGZ550" s="83" t="s">
        <v>151</v>
      </c>
      <c r="PHA550" s="83" t="s">
        <v>151</v>
      </c>
      <c r="PHB550" s="83" t="s">
        <v>151</v>
      </c>
      <c r="PHC550" s="83" t="s">
        <v>151</v>
      </c>
      <c r="PHD550" s="83" t="s">
        <v>151</v>
      </c>
      <c r="PHE550" s="83" t="s">
        <v>151</v>
      </c>
      <c r="PHF550" s="83" t="s">
        <v>151</v>
      </c>
      <c r="PHG550" s="83" t="s">
        <v>151</v>
      </c>
      <c r="PHH550" s="83" t="s">
        <v>151</v>
      </c>
      <c r="PHI550" s="83" t="s">
        <v>151</v>
      </c>
      <c r="PHJ550" s="83" t="s">
        <v>151</v>
      </c>
      <c r="PHK550" s="83" t="s">
        <v>151</v>
      </c>
      <c r="PHL550" s="83" t="s">
        <v>151</v>
      </c>
      <c r="PHM550" s="83" t="s">
        <v>151</v>
      </c>
      <c r="PHN550" s="83" t="s">
        <v>151</v>
      </c>
      <c r="PHO550" s="83" t="s">
        <v>151</v>
      </c>
      <c r="PHP550" s="83" t="s">
        <v>151</v>
      </c>
      <c r="PHQ550" s="83" t="s">
        <v>151</v>
      </c>
      <c r="PHR550" s="83" t="s">
        <v>151</v>
      </c>
      <c r="PHS550" s="83" t="s">
        <v>151</v>
      </c>
      <c r="PHT550" s="83" t="s">
        <v>151</v>
      </c>
      <c r="PHU550" s="83" t="s">
        <v>151</v>
      </c>
      <c r="PHV550" s="83" t="s">
        <v>151</v>
      </c>
      <c r="PHW550" s="83" t="s">
        <v>151</v>
      </c>
      <c r="PHX550" s="83" t="s">
        <v>151</v>
      </c>
      <c r="PHY550" s="83" t="s">
        <v>151</v>
      </c>
      <c r="PHZ550" s="83" t="s">
        <v>151</v>
      </c>
      <c r="PIA550" s="83" t="s">
        <v>151</v>
      </c>
      <c r="PIB550" s="83" t="s">
        <v>151</v>
      </c>
      <c r="PIC550" s="83" t="s">
        <v>151</v>
      </c>
      <c r="PID550" s="83" t="s">
        <v>151</v>
      </c>
      <c r="PIE550" s="83" t="s">
        <v>151</v>
      </c>
      <c r="PIF550" s="83" t="s">
        <v>151</v>
      </c>
      <c r="PIG550" s="83" t="s">
        <v>151</v>
      </c>
      <c r="PIH550" s="83" t="s">
        <v>151</v>
      </c>
      <c r="PII550" s="83" t="s">
        <v>151</v>
      </c>
      <c r="PIJ550" s="83" t="s">
        <v>151</v>
      </c>
      <c r="PIK550" s="83" t="s">
        <v>151</v>
      </c>
      <c r="PIL550" s="83" t="s">
        <v>151</v>
      </c>
      <c r="PIM550" s="83" t="s">
        <v>151</v>
      </c>
      <c r="PIN550" s="83" t="s">
        <v>151</v>
      </c>
      <c r="PIO550" s="83" t="s">
        <v>151</v>
      </c>
      <c r="PIP550" s="83" t="s">
        <v>151</v>
      </c>
      <c r="PIQ550" s="83" t="s">
        <v>151</v>
      </c>
      <c r="PIR550" s="83" t="s">
        <v>151</v>
      </c>
      <c r="PIS550" s="83" t="s">
        <v>151</v>
      </c>
      <c r="PIT550" s="83" t="s">
        <v>151</v>
      </c>
      <c r="PIU550" s="83" t="s">
        <v>151</v>
      </c>
      <c r="PIV550" s="83" t="s">
        <v>151</v>
      </c>
      <c r="PIW550" s="83" t="s">
        <v>151</v>
      </c>
      <c r="PIX550" s="83" t="s">
        <v>151</v>
      </c>
      <c r="PIY550" s="83" t="s">
        <v>151</v>
      </c>
      <c r="PIZ550" s="83" t="s">
        <v>151</v>
      </c>
      <c r="PJA550" s="83" t="s">
        <v>151</v>
      </c>
      <c r="PJB550" s="83" t="s">
        <v>151</v>
      </c>
      <c r="PJC550" s="83" t="s">
        <v>151</v>
      </c>
      <c r="PJD550" s="83" t="s">
        <v>151</v>
      </c>
      <c r="PJE550" s="83" t="s">
        <v>151</v>
      </c>
      <c r="PJF550" s="83" t="s">
        <v>151</v>
      </c>
      <c r="PJG550" s="83" t="s">
        <v>151</v>
      </c>
      <c r="PJH550" s="83" t="s">
        <v>151</v>
      </c>
      <c r="PJI550" s="83" t="s">
        <v>151</v>
      </c>
      <c r="PJJ550" s="83" t="s">
        <v>151</v>
      </c>
      <c r="PJK550" s="83" t="s">
        <v>151</v>
      </c>
      <c r="PJL550" s="83" t="s">
        <v>151</v>
      </c>
      <c r="PJM550" s="83" t="s">
        <v>151</v>
      </c>
      <c r="PJN550" s="83" t="s">
        <v>151</v>
      </c>
      <c r="PJO550" s="83" t="s">
        <v>151</v>
      </c>
      <c r="PJP550" s="83" t="s">
        <v>151</v>
      </c>
      <c r="PJQ550" s="83" t="s">
        <v>151</v>
      </c>
      <c r="PJR550" s="83" t="s">
        <v>151</v>
      </c>
      <c r="PJS550" s="83" t="s">
        <v>151</v>
      </c>
      <c r="PJT550" s="83" t="s">
        <v>151</v>
      </c>
      <c r="PJU550" s="83" t="s">
        <v>151</v>
      </c>
      <c r="PJV550" s="83" t="s">
        <v>151</v>
      </c>
      <c r="PJW550" s="83" t="s">
        <v>151</v>
      </c>
      <c r="PJX550" s="83" t="s">
        <v>151</v>
      </c>
      <c r="PJY550" s="83" t="s">
        <v>151</v>
      </c>
      <c r="PJZ550" s="83" t="s">
        <v>151</v>
      </c>
      <c r="PKA550" s="83" t="s">
        <v>151</v>
      </c>
      <c r="PKB550" s="83" t="s">
        <v>151</v>
      </c>
      <c r="PKC550" s="83" t="s">
        <v>151</v>
      </c>
      <c r="PKD550" s="83" t="s">
        <v>151</v>
      </c>
      <c r="PKE550" s="83" t="s">
        <v>151</v>
      </c>
      <c r="PKF550" s="83" t="s">
        <v>151</v>
      </c>
      <c r="PKG550" s="83" t="s">
        <v>151</v>
      </c>
      <c r="PKH550" s="83" t="s">
        <v>151</v>
      </c>
      <c r="PKI550" s="83" t="s">
        <v>151</v>
      </c>
      <c r="PKJ550" s="83" t="s">
        <v>151</v>
      </c>
      <c r="PKK550" s="83" t="s">
        <v>151</v>
      </c>
      <c r="PKL550" s="83" t="s">
        <v>151</v>
      </c>
      <c r="PKM550" s="83" t="s">
        <v>151</v>
      </c>
      <c r="PKN550" s="83" t="s">
        <v>151</v>
      </c>
      <c r="PKO550" s="83" t="s">
        <v>151</v>
      </c>
      <c r="PKP550" s="83" t="s">
        <v>151</v>
      </c>
      <c r="PKQ550" s="83" t="s">
        <v>151</v>
      </c>
      <c r="PKR550" s="83" t="s">
        <v>151</v>
      </c>
      <c r="PKS550" s="83" t="s">
        <v>151</v>
      </c>
      <c r="PKT550" s="83" t="s">
        <v>151</v>
      </c>
      <c r="PKU550" s="83" t="s">
        <v>151</v>
      </c>
      <c r="PKV550" s="83" t="s">
        <v>151</v>
      </c>
      <c r="PKW550" s="83" t="s">
        <v>151</v>
      </c>
      <c r="PKX550" s="83" t="s">
        <v>151</v>
      </c>
      <c r="PKY550" s="83" t="s">
        <v>151</v>
      </c>
      <c r="PKZ550" s="83" t="s">
        <v>151</v>
      </c>
      <c r="PLA550" s="83" t="s">
        <v>151</v>
      </c>
      <c r="PLB550" s="83" t="s">
        <v>151</v>
      </c>
      <c r="PLC550" s="83" t="s">
        <v>151</v>
      </c>
      <c r="PLD550" s="83" t="s">
        <v>151</v>
      </c>
      <c r="PLE550" s="83" t="s">
        <v>151</v>
      </c>
      <c r="PLF550" s="83" t="s">
        <v>151</v>
      </c>
      <c r="PLG550" s="83" t="s">
        <v>151</v>
      </c>
      <c r="PLH550" s="83" t="s">
        <v>151</v>
      </c>
      <c r="PLI550" s="83" t="s">
        <v>151</v>
      </c>
      <c r="PLJ550" s="83" t="s">
        <v>151</v>
      </c>
      <c r="PLK550" s="83" t="s">
        <v>151</v>
      </c>
      <c r="PLL550" s="83" t="s">
        <v>151</v>
      </c>
      <c r="PLM550" s="83" t="s">
        <v>151</v>
      </c>
      <c r="PLN550" s="83" t="s">
        <v>151</v>
      </c>
      <c r="PLO550" s="83" t="s">
        <v>151</v>
      </c>
      <c r="PLP550" s="83" t="s">
        <v>151</v>
      </c>
      <c r="PLQ550" s="83" t="s">
        <v>151</v>
      </c>
      <c r="PLR550" s="83" t="s">
        <v>151</v>
      </c>
      <c r="PLS550" s="83" t="s">
        <v>151</v>
      </c>
      <c r="PLT550" s="83" t="s">
        <v>151</v>
      </c>
      <c r="PLU550" s="83" t="s">
        <v>151</v>
      </c>
      <c r="PLV550" s="83" t="s">
        <v>151</v>
      </c>
      <c r="PLW550" s="83" t="s">
        <v>151</v>
      </c>
      <c r="PLX550" s="83" t="s">
        <v>151</v>
      </c>
      <c r="PLY550" s="83" t="s">
        <v>151</v>
      </c>
      <c r="PLZ550" s="83" t="s">
        <v>151</v>
      </c>
      <c r="PMA550" s="83" t="s">
        <v>151</v>
      </c>
      <c r="PMB550" s="83" t="s">
        <v>151</v>
      </c>
      <c r="PMC550" s="83" t="s">
        <v>151</v>
      </c>
      <c r="PMD550" s="83" t="s">
        <v>151</v>
      </c>
      <c r="PME550" s="83" t="s">
        <v>151</v>
      </c>
      <c r="PMF550" s="83" t="s">
        <v>151</v>
      </c>
      <c r="PMG550" s="83" t="s">
        <v>151</v>
      </c>
      <c r="PMH550" s="83" t="s">
        <v>151</v>
      </c>
      <c r="PMI550" s="83" t="s">
        <v>151</v>
      </c>
      <c r="PMJ550" s="83" t="s">
        <v>151</v>
      </c>
      <c r="PMK550" s="83" t="s">
        <v>151</v>
      </c>
      <c r="PML550" s="83" t="s">
        <v>151</v>
      </c>
      <c r="PMM550" s="83" t="s">
        <v>151</v>
      </c>
      <c r="PMN550" s="83" t="s">
        <v>151</v>
      </c>
      <c r="PMO550" s="83" t="s">
        <v>151</v>
      </c>
      <c r="PMP550" s="83" t="s">
        <v>151</v>
      </c>
      <c r="PMQ550" s="83" t="s">
        <v>151</v>
      </c>
      <c r="PMR550" s="83" t="s">
        <v>151</v>
      </c>
      <c r="PMS550" s="83" t="s">
        <v>151</v>
      </c>
      <c r="PMT550" s="83" t="s">
        <v>151</v>
      </c>
      <c r="PMU550" s="83" t="s">
        <v>151</v>
      </c>
      <c r="PMV550" s="83" t="s">
        <v>151</v>
      </c>
      <c r="PMW550" s="83" t="s">
        <v>151</v>
      </c>
      <c r="PMX550" s="83" t="s">
        <v>151</v>
      </c>
      <c r="PMY550" s="83" t="s">
        <v>151</v>
      </c>
      <c r="PMZ550" s="83" t="s">
        <v>151</v>
      </c>
      <c r="PNA550" s="83" t="s">
        <v>151</v>
      </c>
      <c r="PNB550" s="83" t="s">
        <v>151</v>
      </c>
      <c r="PNC550" s="83" t="s">
        <v>151</v>
      </c>
      <c r="PND550" s="83" t="s">
        <v>151</v>
      </c>
      <c r="PNE550" s="83" t="s">
        <v>151</v>
      </c>
      <c r="PNF550" s="83" t="s">
        <v>151</v>
      </c>
      <c r="PNG550" s="83" t="s">
        <v>151</v>
      </c>
      <c r="PNH550" s="83" t="s">
        <v>151</v>
      </c>
      <c r="PNI550" s="83" t="s">
        <v>151</v>
      </c>
      <c r="PNJ550" s="83" t="s">
        <v>151</v>
      </c>
      <c r="PNK550" s="83" t="s">
        <v>151</v>
      </c>
      <c r="PNL550" s="83" t="s">
        <v>151</v>
      </c>
      <c r="PNM550" s="83" t="s">
        <v>151</v>
      </c>
      <c r="PNN550" s="83" t="s">
        <v>151</v>
      </c>
      <c r="PNO550" s="83" t="s">
        <v>151</v>
      </c>
      <c r="PNP550" s="83" t="s">
        <v>151</v>
      </c>
      <c r="PNQ550" s="83" t="s">
        <v>151</v>
      </c>
      <c r="PNR550" s="83" t="s">
        <v>151</v>
      </c>
      <c r="PNS550" s="83" t="s">
        <v>151</v>
      </c>
      <c r="PNT550" s="83" t="s">
        <v>151</v>
      </c>
      <c r="PNU550" s="83" t="s">
        <v>151</v>
      </c>
      <c r="PNV550" s="83" t="s">
        <v>151</v>
      </c>
      <c r="PNW550" s="83" t="s">
        <v>151</v>
      </c>
      <c r="PNX550" s="83" t="s">
        <v>151</v>
      </c>
      <c r="PNY550" s="83" t="s">
        <v>151</v>
      </c>
      <c r="PNZ550" s="83" t="s">
        <v>151</v>
      </c>
      <c r="POA550" s="83" t="s">
        <v>151</v>
      </c>
      <c r="POB550" s="83" t="s">
        <v>151</v>
      </c>
      <c r="POC550" s="83" t="s">
        <v>151</v>
      </c>
      <c r="POD550" s="83" t="s">
        <v>151</v>
      </c>
      <c r="POE550" s="83" t="s">
        <v>151</v>
      </c>
      <c r="POF550" s="83" t="s">
        <v>151</v>
      </c>
      <c r="POG550" s="83" t="s">
        <v>151</v>
      </c>
      <c r="POH550" s="83" t="s">
        <v>151</v>
      </c>
      <c r="POI550" s="83" t="s">
        <v>151</v>
      </c>
      <c r="POJ550" s="83" t="s">
        <v>151</v>
      </c>
      <c r="POK550" s="83" t="s">
        <v>151</v>
      </c>
      <c r="POL550" s="83" t="s">
        <v>151</v>
      </c>
      <c r="POM550" s="83" t="s">
        <v>151</v>
      </c>
      <c r="PON550" s="83" t="s">
        <v>151</v>
      </c>
      <c r="POO550" s="83" t="s">
        <v>151</v>
      </c>
      <c r="POP550" s="83" t="s">
        <v>151</v>
      </c>
      <c r="POQ550" s="83" t="s">
        <v>151</v>
      </c>
      <c r="POR550" s="83" t="s">
        <v>151</v>
      </c>
      <c r="POS550" s="83" t="s">
        <v>151</v>
      </c>
      <c r="POT550" s="83" t="s">
        <v>151</v>
      </c>
      <c r="POU550" s="83" t="s">
        <v>151</v>
      </c>
      <c r="POV550" s="83" t="s">
        <v>151</v>
      </c>
      <c r="POW550" s="83" t="s">
        <v>151</v>
      </c>
      <c r="POX550" s="83" t="s">
        <v>151</v>
      </c>
      <c r="POY550" s="83" t="s">
        <v>151</v>
      </c>
      <c r="POZ550" s="83" t="s">
        <v>151</v>
      </c>
      <c r="PPA550" s="83" t="s">
        <v>151</v>
      </c>
      <c r="PPB550" s="83" t="s">
        <v>151</v>
      </c>
      <c r="PPC550" s="83" t="s">
        <v>151</v>
      </c>
      <c r="PPD550" s="83" t="s">
        <v>151</v>
      </c>
      <c r="PPE550" s="83" t="s">
        <v>151</v>
      </c>
      <c r="PPF550" s="83" t="s">
        <v>151</v>
      </c>
      <c r="PPG550" s="83" t="s">
        <v>151</v>
      </c>
      <c r="PPH550" s="83" t="s">
        <v>151</v>
      </c>
      <c r="PPI550" s="83" t="s">
        <v>151</v>
      </c>
      <c r="PPJ550" s="83" t="s">
        <v>151</v>
      </c>
      <c r="PPK550" s="83" t="s">
        <v>151</v>
      </c>
      <c r="PPL550" s="83" t="s">
        <v>151</v>
      </c>
      <c r="PPM550" s="83" t="s">
        <v>151</v>
      </c>
      <c r="PPN550" s="83" t="s">
        <v>151</v>
      </c>
      <c r="PPO550" s="83" t="s">
        <v>151</v>
      </c>
      <c r="PPP550" s="83" t="s">
        <v>151</v>
      </c>
      <c r="PPQ550" s="83" t="s">
        <v>151</v>
      </c>
      <c r="PPR550" s="83" t="s">
        <v>151</v>
      </c>
      <c r="PPS550" s="83" t="s">
        <v>151</v>
      </c>
      <c r="PPT550" s="83" t="s">
        <v>151</v>
      </c>
      <c r="PPU550" s="83" t="s">
        <v>151</v>
      </c>
      <c r="PPV550" s="83" t="s">
        <v>151</v>
      </c>
      <c r="PPW550" s="83" t="s">
        <v>151</v>
      </c>
      <c r="PPX550" s="83" t="s">
        <v>151</v>
      </c>
      <c r="PPY550" s="83" t="s">
        <v>151</v>
      </c>
      <c r="PPZ550" s="83" t="s">
        <v>151</v>
      </c>
      <c r="PQA550" s="83" t="s">
        <v>151</v>
      </c>
      <c r="PQB550" s="83" t="s">
        <v>151</v>
      </c>
      <c r="PQC550" s="83" t="s">
        <v>151</v>
      </c>
      <c r="PQD550" s="83" t="s">
        <v>151</v>
      </c>
      <c r="PQE550" s="83" t="s">
        <v>151</v>
      </c>
      <c r="PQF550" s="83" t="s">
        <v>151</v>
      </c>
      <c r="PQG550" s="83" t="s">
        <v>151</v>
      </c>
      <c r="PQH550" s="83" t="s">
        <v>151</v>
      </c>
      <c r="PQI550" s="83" t="s">
        <v>151</v>
      </c>
      <c r="PQJ550" s="83" t="s">
        <v>151</v>
      </c>
      <c r="PQK550" s="83" t="s">
        <v>151</v>
      </c>
      <c r="PQL550" s="83" t="s">
        <v>151</v>
      </c>
      <c r="PQM550" s="83" t="s">
        <v>151</v>
      </c>
      <c r="PQN550" s="83" t="s">
        <v>151</v>
      </c>
      <c r="PQO550" s="83" t="s">
        <v>151</v>
      </c>
      <c r="PQP550" s="83" t="s">
        <v>151</v>
      </c>
      <c r="PQQ550" s="83" t="s">
        <v>151</v>
      </c>
      <c r="PQR550" s="83" t="s">
        <v>151</v>
      </c>
      <c r="PQS550" s="83" t="s">
        <v>151</v>
      </c>
      <c r="PQT550" s="83" t="s">
        <v>151</v>
      </c>
      <c r="PQU550" s="83" t="s">
        <v>151</v>
      </c>
      <c r="PQV550" s="83" t="s">
        <v>151</v>
      </c>
      <c r="PQW550" s="83" t="s">
        <v>151</v>
      </c>
      <c r="PQX550" s="83" t="s">
        <v>151</v>
      </c>
      <c r="PQY550" s="83" t="s">
        <v>151</v>
      </c>
      <c r="PQZ550" s="83" t="s">
        <v>151</v>
      </c>
      <c r="PRA550" s="83" t="s">
        <v>151</v>
      </c>
      <c r="PRB550" s="83" t="s">
        <v>151</v>
      </c>
      <c r="PRC550" s="83" t="s">
        <v>151</v>
      </c>
      <c r="PRD550" s="83" t="s">
        <v>151</v>
      </c>
      <c r="PRE550" s="83" t="s">
        <v>151</v>
      </c>
      <c r="PRF550" s="83" t="s">
        <v>151</v>
      </c>
      <c r="PRG550" s="83" t="s">
        <v>151</v>
      </c>
      <c r="PRH550" s="83" t="s">
        <v>151</v>
      </c>
      <c r="PRI550" s="83" t="s">
        <v>151</v>
      </c>
      <c r="PRJ550" s="83" t="s">
        <v>151</v>
      </c>
      <c r="PRK550" s="83" t="s">
        <v>151</v>
      </c>
      <c r="PRL550" s="83" t="s">
        <v>151</v>
      </c>
      <c r="PRM550" s="83" t="s">
        <v>151</v>
      </c>
      <c r="PRN550" s="83" t="s">
        <v>151</v>
      </c>
      <c r="PRO550" s="83" t="s">
        <v>151</v>
      </c>
      <c r="PRP550" s="83" t="s">
        <v>151</v>
      </c>
      <c r="PRQ550" s="83" t="s">
        <v>151</v>
      </c>
      <c r="PRR550" s="83" t="s">
        <v>151</v>
      </c>
      <c r="PRS550" s="83" t="s">
        <v>151</v>
      </c>
      <c r="PRT550" s="83" t="s">
        <v>151</v>
      </c>
      <c r="PRU550" s="83" t="s">
        <v>151</v>
      </c>
      <c r="PRV550" s="83" t="s">
        <v>151</v>
      </c>
      <c r="PRW550" s="83" t="s">
        <v>151</v>
      </c>
      <c r="PRX550" s="83" t="s">
        <v>151</v>
      </c>
      <c r="PRY550" s="83" t="s">
        <v>151</v>
      </c>
      <c r="PRZ550" s="83" t="s">
        <v>151</v>
      </c>
      <c r="PSA550" s="83" t="s">
        <v>151</v>
      </c>
      <c r="PSB550" s="83" t="s">
        <v>151</v>
      </c>
      <c r="PSC550" s="83" t="s">
        <v>151</v>
      </c>
      <c r="PSD550" s="83" t="s">
        <v>151</v>
      </c>
      <c r="PSE550" s="83" t="s">
        <v>151</v>
      </c>
      <c r="PSF550" s="83" t="s">
        <v>151</v>
      </c>
      <c r="PSG550" s="83" t="s">
        <v>151</v>
      </c>
      <c r="PSH550" s="83" t="s">
        <v>151</v>
      </c>
      <c r="PSI550" s="83" t="s">
        <v>151</v>
      </c>
      <c r="PSJ550" s="83" t="s">
        <v>151</v>
      </c>
      <c r="PSK550" s="83" t="s">
        <v>151</v>
      </c>
      <c r="PSL550" s="83" t="s">
        <v>151</v>
      </c>
      <c r="PSM550" s="83" t="s">
        <v>151</v>
      </c>
      <c r="PSN550" s="83" t="s">
        <v>151</v>
      </c>
      <c r="PSO550" s="83" t="s">
        <v>151</v>
      </c>
      <c r="PSP550" s="83" t="s">
        <v>151</v>
      </c>
      <c r="PSQ550" s="83" t="s">
        <v>151</v>
      </c>
      <c r="PSR550" s="83" t="s">
        <v>151</v>
      </c>
      <c r="PSS550" s="83" t="s">
        <v>151</v>
      </c>
      <c r="PST550" s="83" t="s">
        <v>151</v>
      </c>
      <c r="PSU550" s="83" t="s">
        <v>151</v>
      </c>
      <c r="PSV550" s="83" t="s">
        <v>151</v>
      </c>
      <c r="PSW550" s="83" t="s">
        <v>151</v>
      </c>
      <c r="PSX550" s="83" t="s">
        <v>151</v>
      </c>
      <c r="PSY550" s="83" t="s">
        <v>151</v>
      </c>
      <c r="PSZ550" s="83" t="s">
        <v>151</v>
      </c>
      <c r="PTA550" s="83" t="s">
        <v>151</v>
      </c>
      <c r="PTB550" s="83" t="s">
        <v>151</v>
      </c>
      <c r="PTC550" s="83" t="s">
        <v>151</v>
      </c>
      <c r="PTD550" s="83" t="s">
        <v>151</v>
      </c>
      <c r="PTE550" s="83" t="s">
        <v>151</v>
      </c>
      <c r="PTF550" s="83" t="s">
        <v>151</v>
      </c>
      <c r="PTG550" s="83" t="s">
        <v>151</v>
      </c>
      <c r="PTH550" s="83" t="s">
        <v>151</v>
      </c>
      <c r="PTI550" s="83" t="s">
        <v>151</v>
      </c>
      <c r="PTJ550" s="83" t="s">
        <v>151</v>
      </c>
      <c r="PTK550" s="83" t="s">
        <v>151</v>
      </c>
      <c r="PTL550" s="83" t="s">
        <v>151</v>
      </c>
      <c r="PTM550" s="83" t="s">
        <v>151</v>
      </c>
      <c r="PTN550" s="83" t="s">
        <v>151</v>
      </c>
      <c r="PTO550" s="83" t="s">
        <v>151</v>
      </c>
      <c r="PTP550" s="83" t="s">
        <v>151</v>
      </c>
      <c r="PTQ550" s="83" t="s">
        <v>151</v>
      </c>
      <c r="PTR550" s="83" t="s">
        <v>151</v>
      </c>
      <c r="PTS550" s="83" t="s">
        <v>151</v>
      </c>
      <c r="PTT550" s="83" t="s">
        <v>151</v>
      </c>
      <c r="PTU550" s="83" t="s">
        <v>151</v>
      </c>
      <c r="PTV550" s="83" t="s">
        <v>151</v>
      </c>
      <c r="PTW550" s="83" t="s">
        <v>151</v>
      </c>
      <c r="PTX550" s="83" t="s">
        <v>151</v>
      </c>
      <c r="PTY550" s="83" t="s">
        <v>151</v>
      </c>
      <c r="PTZ550" s="83" t="s">
        <v>151</v>
      </c>
      <c r="PUA550" s="83" t="s">
        <v>151</v>
      </c>
      <c r="PUB550" s="83" t="s">
        <v>151</v>
      </c>
      <c r="PUC550" s="83" t="s">
        <v>151</v>
      </c>
      <c r="PUD550" s="83" t="s">
        <v>151</v>
      </c>
      <c r="PUE550" s="83" t="s">
        <v>151</v>
      </c>
      <c r="PUF550" s="83" t="s">
        <v>151</v>
      </c>
      <c r="PUG550" s="83" t="s">
        <v>151</v>
      </c>
      <c r="PUH550" s="83" t="s">
        <v>151</v>
      </c>
      <c r="PUI550" s="83" t="s">
        <v>151</v>
      </c>
      <c r="PUJ550" s="83" t="s">
        <v>151</v>
      </c>
      <c r="PUK550" s="83" t="s">
        <v>151</v>
      </c>
      <c r="PUL550" s="83" t="s">
        <v>151</v>
      </c>
      <c r="PUM550" s="83" t="s">
        <v>151</v>
      </c>
      <c r="PUN550" s="83" t="s">
        <v>151</v>
      </c>
      <c r="PUO550" s="83" t="s">
        <v>151</v>
      </c>
      <c r="PUP550" s="83" t="s">
        <v>151</v>
      </c>
      <c r="PUQ550" s="83" t="s">
        <v>151</v>
      </c>
      <c r="PUR550" s="83" t="s">
        <v>151</v>
      </c>
      <c r="PUS550" s="83" t="s">
        <v>151</v>
      </c>
      <c r="PUT550" s="83" t="s">
        <v>151</v>
      </c>
      <c r="PUU550" s="83" t="s">
        <v>151</v>
      </c>
      <c r="PUV550" s="83" t="s">
        <v>151</v>
      </c>
      <c r="PUW550" s="83" t="s">
        <v>151</v>
      </c>
      <c r="PUX550" s="83" t="s">
        <v>151</v>
      </c>
      <c r="PUY550" s="83" t="s">
        <v>151</v>
      </c>
      <c r="PUZ550" s="83" t="s">
        <v>151</v>
      </c>
      <c r="PVA550" s="83" t="s">
        <v>151</v>
      </c>
      <c r="PVB550" s="83" t="s">
        <v>151</v>
      </c>
      <c r="PVC550" s="83" t="s">
        <v>151</v>
      </c>
      <c r="PVD550" s="83" t="s">
        <v>151</v>
      </c>
      <c r="PVE550" s="83" t="s">
        <v>151</v>
      </c>
      <c r="PVF550" s="83" t="s">
        <v>151</v>
      </c>
      <c r="PVG550" s="83" t="s">
        <v>151</v>
      </c>
      <c r="PVH550" s="83" t="s">
        <v>151</v>
      </c>
      <c r="PVI550" s="83" t="s">
        <v>151</v>
      </c>
      <c r="PVJ550" s="83" t="s">
        <v>151</v>
      </c>
      <c r="PVK550" s="83" t="s">
        <v>151</v>
      </c>
      <c r="PVL550" s="83" t="s">
        <v>151</v>
      </c>
      <c r="PVM550" s="83" t="s">
        <v>151</v>
      </c>
      <c r="PVN550" s="83" t="s">
        <v>151</v>
      </c>
      <c r="PVO550" s="83" t="s">
        <v>151</v>
      </c>
      <c r="PVP550" s="83" t="s">
        <v>151</v>
      </c>
      <c r="PVQ550" s="83" t="s">
        <v>151</v>
      </c>
      <c r="PVR550" s="83" t="s">
        <v>151</v>
      </c>
      <c r="PVS550" s="83" t="s">
        <v>151</v>
      </c>
      <c r="PVT550" s="83" t="s">
        <v>151</v>
      </c>
      <c r="PVU550" s="83" t="s">
        <v>151</v>
      </c>
      <c r="PVV550" s="83" t="s">
        <v>151</v>
      </c>
      <c r="PVW550" s="83" t="s">
        <v>151</v>
      </c>
      <c r="PVX550" s="83" t="s">
        <v>151</v>
      </c>
      <c r="PVY550" s="83" t="s">
        <v>151</v>
      </c>
      <c r="PVZ550" s="83" t="s">
        <v>151</v>
      </c>
      <c r="PWA550" s="83" t="s">
        <v>151</v>
      </c>
      <c r="PWB550" s="83" t="s">
        <v>151</v>
      </c>
      <c r="PWC550" s="83" t="s">
        <v>151</v>
      </c>
      <c r="PWD550" s="83" t="s">
        <v>151</v>
      </c>
      <c r="PWE550" s="83" t="s">
        <v>151</v>
      </c>
      <c r="PWF550" s="83" t="s">
        <v>151</v>
      </c>
      <c r="PWG550" s="83" t="s">
        <v>151</v>
      </c>
      <c r="PWH550" s="83" t="s">
        <v>151</v>
      </c>
      <c r="PWI550" s="83" t="s">
        <v>151</v>
      </c>
      <c r="PWJ550" s="83" t="s">
        <v>151</v>
      </c>
      <c r="PWK550" s="83" t="s">
        <v>151</v>
      </c>
      <c r="PWL550" s="83" t="s">
        <v>151</v>
      </c>
      <c r="PWM550" s="83" t="s">
        <v>151</v>
      </c>
      <c r="PWN550" s="83" t="s">
        <v>151</v>
      </c>
      <c r="PWO550" s="83" t="s">
        <v>151</v>
      </c>
      <c r="PWP550" s="83" t="s">
        <v>151</v>
      </c>
      <c r="PWQ550" s="83" t="s">
        <v>151</v>
      </c>
      <c r="PWR550" s="83" t="s">
        <v>151</v>
      </c>
      <c r="PWS550" s="83" t="s">
        <v>151</v>
      </c>
      <c r="PWT550" s="83" t="s">
        <v>151</v>
      </c>
      <c r="PWU550" s="83" t="s">
        <v>151</v>
      </c>
      <c r="PWV550" s="83" t="s">
        <v>151</v>
      </c>
      <c r="PWW550" s="83" t="s">
        <v>151</v>
      </c>
      <c r="PWX550" s="83" t="s">
        <v>151</v>
      </c>
      <c r="PWY550" s="83" t="s">
        <v>151</v>
      </c>
      <c r="PWZ550" s="83" t="s">
        <v>151</v>
      </c>
      <c r="PXA550" s="83" t="s">
        <v>151</v>
      </c>
      <c r="PXB550" s="83" t="s">
        <v>151</v>
      </c>
      <c r="PXC550" s="83" t="s">
        <v>151</v>
      </c>
      <c r="PXD550" s="83" t="s">
        <v>151</v>
      </c>
      <c r="PXE550" s="83" t="s">
        <v>151</v>
      </c>
      <c r="PXF550" s="83" t="s">
        <v>151</v>
      </c>
      <c r="PXG550" s="83" t="s">
        <v>151</v>
      </c>
      <c r="PXH550" s="83" t="s">
        <v>151</v>
      </c>
      <c r="PXI550" s="83" t="s">
        <v>151</v>
      </c>
      <c r="PXJ550" s="83" t="s">
        <v>151</v>
      </c>
      <c r="PXK550" s="83" t="s">
        <v>151</v>
      </c>
      <c r="PXL550" s="83" t="s">
        <v>151</v>
      </c>
      <c r="PXM550" s="83" t="s">
        <v>151</v>
      </c>
      <c r="PXN550" s="83" t="s">
        <v>151</v>
      </c>
      <c r="PXO550" s="83" t="s">
        <v>151</v>
      </c>
      <c r="PXP550" s="83" t="s">
        <v>151</v>
      </c>
      <c r="PXQ550" s="83" t="s">
        <v>151</v>
      </c>
      <c r="PXR550" s="83" t="s">
        <v>151</v>
      </c>
      <c r="PXS550" s="83" t="s">
        <v>151</v>
      </c>
      <c r="PXT550" s="83" t="s">
        <v>151</v>
      </c>
      <c r="PXU550" s="83" t="s">
        <v>151</v>
      </c>
      <c r="PXV550" s="83" t="s">
        <v>151</v>
      </c>
      <c r="PXW550" s="83" t="s">
        <v>151</v>
      </c>
      <c r="PXX550" s="83" t="s">
        <v>151</v>
      </c>
      <c r="PXY550" s="83" t="s">
        <v>151</v>
      </c>
      <c r="PXZ550" s="83" t="s">
        <v>151</v>
      </c>
      <c r="PYA550" s="83" t="s">
        <v>151</v>
      </c>
      <c r="PYB550" s="83" t="s">
        <v>151</v>
      </c>
      <c r="PYC550" s="83" t="s">
        <v>151</v>
      </c>
      <c r="PYD550" s="83" t="s">
        <v>151</v>
      </c>
      <c r="PYE550" s="83" t="s">
        <v>151</v>
      </c>
      <c r="PYF550" s="83" t="s">
        <v>151</v>
      </c>
      <c r="PYG550" s="83" t="s">
        <v>151</v>
      </c>
      <c r="PYH550" s="83" t="s">
        <v>151</v>
      </c>
      <c r="PYI550" s="83" t="s">
        <v>151</v>
      </c>
      <c r="PYJ550" s="83" t="s">
        <v>151</v>
      </c>
      <c r="PYK550" s="83" t="s">
        <v>151</v>
      </c>
      <c r="PYL550" s="83" t="s">
        <v>151</v>
      </c>
      <c r="PYM550" s="83" t="s">
        <v>151</v>
      </c>
      <c r="PYN550" s="83" t="s">
        <v>151</v>
      </c>
      <c r="PYO550" s="83" t="s">
        <v>151</v>
      </c>
      <c r="PYP550" s="83" t="s">
        <v>151</v>
      </c>
      <c r="PYQ550" s="83" t="s">
        <v>151</v>
      </c>
      <c r="PYR550" s="83" t="s">
        <v>151</v>
      </c>
      <c r="PYS550" s="83" t="s">
        <v>151</v>
      </c>
      <c r="PYT550" s="83" t="s">
        <v>151</v>
      </c>
      <c r="PYU550" s="83" t="s">
        <v>151</v>
      </c>
      <c r="PYV550" s="83" t="s">
        <v>151</v>
      </c>
      <c r="PYW550" s="83" t="s">
        <v>151</v>
      </c>
      <c r="PYX550" s="83" t="s">
        <v>151</v>
      </c>
      <c r="PYY550" s="83" t="s">
        <v>151</v>
      </c>
      <c r="PYZ550" s="83" t="s">
        <v>151</v>
      </c>
      <c r="PZA550" s="83" t="s">
        <v>151</v>
      </c>
      <c r="PZB550" s="83" t="s">
        <v>151</v>
      </c>
      <c r="PZC550" s="83" t="s">
        <v>151</v>
      </c>
      <c r="PZD550" s="83" t="s">
        <v>151</v>
      </c>
      <c r="PZE550" s="83" t="s">
        <v>151</v>
      </c>
      <c r="PZF550" s="83" t="s">
        <v>151</v>
      </c>
      <c r="PZG550" s="83" t="s">
        <v>151</v>
      </c>
      <c r="PZH550" s="83" t="s">
        <v>151</v>
      </c>
      <c r="PZI550" s="83" t="s">
        <v>151</v>
      </c>
      <c r="PZJ550" s="83" t="s">
        <v>151</v>
      </c>
      <c r="PZK550" s="83" t="s">
        <v>151</v>
      </c>
      <c r="PZL550" s="83" t="s">
        <v>151</v>
      </c>
      <c r="PZM550" s="83" t="s">
        <v>151</v>
      </c>
      <c r="PZN550" s="83" t="s">
        <v>151</v>
      </c>
      <c r="PZO550" s="83" t="s">
        <v>151</v>
      </c>
      <c r="PZP550" s="83" t="s">
        <v>151</v>
      </c>
      <c r="PZQ550" s="83" t="s">
        <v>151</v>
      </c>
      <c r="PZR550" s="83" t="s">
        <v>151</v>
      </c>
      <c r="PZS550" s="83" t="s">
        <v>151</v>
      </c>
      <c r="PZT550" s="83" t="s">
        <v>151</v>
      </c>
      <c r="PZU550" s="83" t="s">
        <v>151</v>
      </c>
      <c r="PZV550" s="83" t="s">
        <v>151</v>
      </c>
      <c r="PZW550" s="83" t="s">
        <v>151</v>
      </c>
      <c r="PZX550" s="83" t="s">
        <v>151</v>
      </c>
      <c r="PZY550" s="83" t="s">
        <v>151</v>
      </c>
      <c r="PZZ550" s="83" t="s">
        <v>151</v>
      </c>
      <c r="QAA550" s="83" t="s">
        <v>151</v>
      </c>
      <c r="QAB550" s="83" t="s">
        <v>151</v>
      </c>
      <c r="QAC550" s="83" t="s">
        <v>151</v>
      </c>
      <c r="QAD550" s="83" t="s">
        <v>151</v>
      </c>
      <c r="QAE550" s="83" t="s">
        <v>151</v>
      </c>
      <c r="QAF550" s="83" t="s">
        <v>151</v>
      </c>
      <c r="QAG550" s="83" t="s">
        <v>151</v>
      </c>
      <c r="QAH550" s="83" t="s">
        <v>151</v>
      </c>
      <c r="QAI550" s="83" t="s">
        <v>151</v>
      </c>
      <c r="QAJ550" s="83" t="s">
        <v>151</v>
      </c>
      <c r="QAK550" s="83" t="s">
        <v>151</v>
      </c>
      <c r="QAL550" s="83" t="s">
        <v>151</v>
      </c>
      <c r="QAM550" s="83" t="s">
        <v>151</v>
      </c>
      <c r="QAN550" s="83" t="s">
        <v>151</v>
      </c>
      <c r="QAO550" s="83" t="s">
        <v>151</v>
      </c>
      <c r="QAP550" s="83" t="s">
        <v>151</v>
      </c>
      <c r="QAQ550" s="83" t="s">
        <v>151</v>
      </c>
      <c r="QAR550" s="83" t="s">
        <v>151</v>
      </c>
      <c r="QAS550" s="83" t="s">
        <v>151</v>
      </c>
      <c r="QAT550" s="83" t="s">
        <v>151</v>
      </c>
      <c r="QAU550" s="83" t="s">
        <v>151</v>
      </c>
      <c r="QAV550" s="83" t="s">
        <v>151</v>
      </c>
      <c r="QAW550" s="83" t="s">
        <v>151</v>
      </c>
      <c r="QAX550" s="83" t="s">
        <v>151</v>
      </c>
      <c r="QAY550" s="83" t="s">
        <v>151</v>
      </c>
      <c r="QAZ550" s="83" t="s">
        <v>151</v>
      </c>
      <c r="QBA550" s="83" t="s">
        <v>151</v>
      </c>
      <c r="QBB550" s="83" t="s">
        <v>151</v>
      </c>
      <c r="QBC550" s="83" t="s">
        <v>151</v>
      </c>
      <c r="QBD550" s="83" t="s">
        <v>151</v>
      </c>
      <c r="QBE550" s="83" t="s">
        <v>151</v>
      </c>
      <c r="QBF550" s="83" t="s">
        <v>151</v>
      </c>
      <c r="QBG550" s="83" t="s">
        <v>151</v>
      </c>
      <c r="QBH550" s="83" t="s">
        <v>151</v>
      </c>
      <c r="QBI550" s="83" t="s">
        <v>151</v>
      </c>
      <c r="QBJ550" s="83" t="s">
        <v>151</v>
      </c>
      <c r="QBK550" s="83" t="s">
        <v>151</v>
      </c>
      <c r="QBL550" s="83" t="s">
        <v>151</v>
      </c>
      <c r="QBM550" s="83" t="s">
        <v>151</v>
      </c>
      <c r="QBN550" s="83" t="s">
        <v>151</v>
      </c>
      <c r="QBO550" s="83" t="s">
        <v>151</v>
      </c>
      <c r="QBP550" s="83" t="s">
        <v>151</v>
      </c>
      <c r="QBQ550" s="83" t="s">
        <v>151</v>
      </c>
      <c r="QBR550" s="83" t="s">
        <v>151</v>
      </c>
      <c r="QBS550" s="83" t="s">
        <v>151</v>
      </c>
      <c r="QBT550" s="83" t="s">
        <v>151</v>
      </c>
      <c r="QBU550" s="83" t="s">
        <v>151</v>
      </c>
      <c r="QBV550" s="83" t="s">
        <v>151</v>
      </c>
      <c r="QBW550" s="83" t="s">
        <v>151</v>
      </c>
      <c r="QBX550" s="83" t="s">
        <v>151</v>
      </c>
      <c r="QBY550" s="83" t="s">
        <v>151</v>
      </c>
      <c r="QBZ550" s="83" t="s">
        <v>151</v>
      </c>
      <c r="QCA550" s="83" t="s">
        <v>151</v>
      </c>
      <c r="QCB550" s="83" t="s">
        <v>151</v>
      </c>
      <c r="QCC550" s="83" t="s">
        <v>151</v>
      </c>
      <c r="QCD550" s="83" t="s">
        <v>151</v>
      </c>
      <c r="QCE550" s="83" t="s">
        <v>151</v>
      </c>
      <c r="QCF550" s="83" t="s">
        <v>151</v>
      </c>
      <c r="QCG550" s="83" t="s">
        <v>151</v>
      </c>
      <c r="QCH550" s="83" t="s">
        <v>151</v>
      </c>
      <c r="QCI550" s="83" t="s">
        <v>151</v>
      </c>
      <c r="QCJ550" s="83" t="s">
        <v>151</v>
      </c>
      <c r="QCK550" s="83" t="s">
        <v>151</v>
      </c>
      <c r="QCL550" s="83" t="s">
        <v>151</v>
      </c>
      <c r="QCM550" s="83" t="s">
        <v>151</v>
      </c>
      <c r="QCN550" s="83" t="s">
        <v>151</v>
      </c>
      <c r="QCO550" s="83" t="s">
        <v>151</v>
      </c>
      <c r="QCP550" s="83" t="s">
        <v>151</v>
      </c>
      <c r="QCQ550" s="83" t="s">
        <v>151</v>
      </c>
      <c r="QCR550" s="83" t="s">
        <v>151</v>
      </c>
      <c r="QCS550" s="83" t="s">
        <v>151</v>
      </c>
      <c r="QCT550" s="83" t="s">
        <v>151</v>
      </c>
      <c r="QCU550" s="83" t="s">
        <v>151</v>
      </c>
      <c r="QCV550" s="83" t="s">
        <v>151</v>
      </c>
      <c r="QCW550" s="83" t="s">
        <v>151</v>
      </c>
      <c r="QCX550" s="83" t="s">
        <v>151</v>
      </c>
      <c r="QCY550" s="83" t="s">
        <v>151</v>
      </c>
      <c r="QCZ550" s="83" t="s">
        <v>151</v>
      </c>
      <c r="QDA550" s="83" t="s">
        <v>151</v>
      </c>
      <c r="QDB550" s="83" t="s">
        <v>151</v>
      </c>
      <c r="QDC550" s="83" t="s">
        <v>151</v>
      </c>
      <c r="QDD550" s="83" t="s">
        <v>151</v>
      </c>
      <c r="QDE550" s="83" t="s">
        <v>151</v>
      </c>
      <c r="QDF550" s="83" t="s">
        <v>151</v>
      </c>
      <c r="QDG550" s="83" t="s">
        <v>151</v>
      </c>
      <c r="QDH550" s="83" t="s">
        <v>151</v>
      </c>
      <c r="QDI550" s="83" t="s">
        <v>151</v>
      </c>
      <c r="QDJ550" s="83" t="s">
        <v>151</v>
      </c>
      <c r="QDK550" s="83" t="s">
        <v>151</v>
      </c>
      <c r="QDL550" s="83" t="s">
        <v>151</v>
      </c>
      <c r="QDM550" s="83" t="s">
        <v>151</v>
      </c>
      <c r="QDN550" s="83" t="s">
        <v>151</v>
      </c>
      <c r="QDO550" s="83" t="s">
        <v>151</v>
      </c>
      <c r="QDP550" s="83" t="s">
        <v>151</v>
      </c>
      <c r="QDQ550" s="83" t="s">
        <v>151</v>
      </c>
      <c r="QDR550" s="83" t="s">
        <v>151</v>
      </c>
      <c r="QDS550" s="83" t="s">
        <v>151</v>
      </c>
      <c r="QDT550" s="83" t="s">
        <v>151</v>
      </c>
      <c r="QDU550" s="83" t="s">
        <v>151</v>
      </c>
      <c r="QDV550" s="83" t="s">
        <v>151</v>
      </c>
      <c r="QDW550" s="83" t="s">
        <v>151</v>
      </c>
      <c r="QDX550" s="83" t="s">
        <v>151</v>
      </c>
      <c r="QDY550" s="83" t="s">
        <v>151</v>
      </c>
      <c r="QDZ550" s="83" t="s">
        <v>151</v>
      </c>
      <c r="QEA550" s="83" t="s">
        <v>151</v>
      </c>
      <c r="QEB550" s="83" t="s">
        <v>151</v>
      </c>
      <c r="QEC550" s="83" t="s">
        <v>151</v>
      </c>
      <c r="QED550" s="83" t="s">
        <v>151</v>
      </c>
      <c r="QEE550" s="83" t="s">
        <v>151</v>
      </c>
      <c r="QEF550" s="83" t="s">
        <v>151</v>
      </c>
      <c r="QEG550" s="83" t="s">
        <v>151</v>
      </c>
      <c r="QEH550" s="83" t="s">
        <v>151</v>
      </c>
      <c r="QEI550" s="83" t="s">
        <v>151</v>
      </c>
      <c r="QEJ550" s="83" t="s">
        <v>151</v>
      </c>
      <c r="QEK550" s="83" t="s">
        <v>151</v>
      </c>
      <c r="QEL550" s="83" t="s">
        <v>151</v>
      </c>
      <c r="QEM550" s="83" t="s">
        <v>151</v>
      </c>
      <c r="QEN550" s="83" t="s">
        <v>151</v>
      </c>
      <c r="QEO550" s="83" t="s">
        <v>151</v>
      </c>
      <c r="QEP550" s="83" t="s">
        <v>151</v>
      </c>
      <c r="QEQ550" s="83" t="s">
        <v>151</v>
      </c>
      <c r="QER550" s="83" t="s">
        <v>151</v>
      </c>
      <c r="QES550" s="83" t="s">
        <v>151</v>
      </c>
      <c r="QET550" s="83" t="s">
        <v>151</v>
      </c>
      <c r="QEU550" s="83" t="s">
        <v>151</v>
      </c>
      <c r="QEV550" s="83" t="s">
        <v>151</v>
      </c>
      <c r="QEW550" s="83" t="s">
        <v>151</v>
      </c>
      <c r="QEX550" s="83" t="s">
        <v>151</v>
      </c>
      <c r="QEY550" s="83" t="s">
        <v>151</v>
      </c>
      <c r="QEZ550" s="83" t="s">
        <v>151</v>
      </c>
      <c r="QFA550" s="83" t="s">
        <v>151</v>
      </c>
      <c r="QFB550" s="83" t="s">
        <v>151</v>
      </c>
      <c r="QFC550" s="83" t="s">
        <v>151</v>
      </c>
      <c r="QFD550" s="83" t="s">
        <v>151</v>
      </c>
      <c r="QFE550" s="83" t="s">
        <v>151</v>
      </c>
      <c r="QFF550" s="83" t="s">
        <v>151</v>
      </c>
      <c r="QFG550" s="83" t="s">
        <v>151</v>
      </c>
      <c r="QFH550" s="83" t="s">
        <v>151</v>
      </c>
      <c r="QFI550" s="83" t="s">
        <v>151</v>
      </c>
      <c r="QFJ550" s="83" t="s">
        <v>151</v>
      </c>
      <c r="QFK550" s="83" t="s">
        <v>151</v>
      </c>
      <c r="QFL550" s="83" t="s">
        <v>151</v>
      </c>
      <c r="QFM550" s="83" t="s">
        <v>151</v>
      </c>
      <c r="QFN550" s="83" t="s">
        <v>151</v>
      </c>
      <c r="QFO550" s="83" t="s">
        <v>151</v>
      </c>
      <c r="QFP550" s="83" t="s">
        <v>151</v>
      </c>
      <c r="QFQ550" s="83" t="s">
        <v>151</v>
      </c>
      <c r="QFR550" s="83" t="s">
        <v>151</v>
      </c>
      <c r="QFS550" s="83" t="s">
        <v>151</v>
      </c>
      <c r="QFT550" s="83" t="s">
        <v>151</v>
      </c>
      <c r="QFU550" s="83" t="s">
        <v>151</v>
      </c>
      <c r="QFV550" s="83" t="s">
        <v>151</v>
      </c>
      <c r="QFW550" s="83" t="s">
        <v>151</v>
      </c>
      <c r="QFX550" s="83" t="s">
        <v>151</v>
      </c>
      <c r="QFY550" s="83" t="s">
        <v>151</v>
      </c>
      <c r="QFZ550" s="83" t="s">
        <v>151</v>
      </c>
      <c r="QGA550" s="83" t="s">
        <v>151</v>
      </c>
      <c r="QGB550" s="83" t="s">
        <v>151</v>
      </c>
      <c r="QGC550" s="83" t="s">
        <v>151</v>
      </c>
      <c r="QGD550" s="83" t="s">
        <v>151</v>
      </c>
      <c r="QGE550" s="83" t="s">
        <v>151</v>
      </c>
      <c r="QGF550" s="83" t="s">
        <v>151</v>
      </c>
      <c r="QGG550" s="83" t="s">
        <v>151</v>
      </c>
      <c r="QGH550" s="83" t="s">
        <v>151</v>
      </c>
      <c r="QGI550" s="83" t="s">
        <v>151</v>
      </c>
      <c r="QGJ550" s="83" t="s">
        <v>151</v>
      </c>
      <c r="QGK550" s="83" t="s">
        <v>151</v>
      </c>
      <c r="QGL550" s="83" t="s">
        <v>151</v>
      </c>
      <c r="QGM550" s="83" t="s">
        <v>151</v>
      </c>
      <c r="QGN550" s="83" t="s">
        <v>151</v>
      </c>
      <c r="QGO550" s="83" t="s">
        <v>151</v>
      </c>
      <c r="QGP550" s="83" t="s">
        <v>151</v>
      </c>
      <c r="QGQ550" s="83" t="s">
        <v>151</v>
      </c>
      <c r="QGR550" s="83" t="s">
        <v>151</v>
      </c>
      <c r="QGS550" s="83" t="s">
        <v>151</v>
      </c>
      <c r="QGT550" s="83" t="s">
        <v>151</v>
      </c>
      <c r="QGU550" s="83" t="s">
        <v>151</v>
      </c>
      <c r="QGV550" s="83" t="s">
        <v>151</v>
      </c>
      <c r="QGW550" s="83" t="s">
        <v>151</v>
      </c>
      <c r="QGX550" s="83" t="s">
        <v>151</v>
      </c>
      <c r="QGY550" s="83" t="s">
        <v>151</v>
      </c>
      <c r="QGZ550" s="83" t="s">
        <v>151</v>
      </c>
      <c r="QHA550" s="83" t="s">
        <v>151</v>
      </c>
      <c r="QHB550" s="83" t="s">
        <v>151</v>
      </c>
      <c r="QHC550" s="83" t="s">
        <v>151</v>
      </c>
      <c r="QHD550" s="83" t="s">
        <v>151</v>
      </c>
      <c r="QHE550" s="83" t="s">
        <v>151</v>
      </c>
      <c r="QHF550" s="83" t="s">
        <v>151</v>
      </c>
      <c r="QHG550" s="83" t="s">
        <v>151</v>
      </c>
      <c r="QHH550" s="83" t="s">
        <v>151</v>
      </c>
      <c r="QHI550" s="83" t="s">
        <v>151</v>
      </c>
      <c r="QHJ550" s="83" t="s">
        <v>151</v>
      </c>
      <c r="QHK550" s="83" t="s">
        <v>151</v>
      </c>
      <c r="QHL550" s="83" t="s">
        <v>151</v>
      </c>
      <c r="QHM550" s="83" t="s">
        <v>151</v>
      </c>
      <c r="QHN550" s="83" t="s">
        <v>151</v>
      </c>
      <c r="QHO550" s="83" t="s">
        <v>151</v>
      </c>
      <c r="QHP550" s="83" t="s">
        <v>151</v>
      </c>
      <c r="QHQ550" s="83" t="s">
        <v>151</v>
      </c>
      <c r="QHR550" s="83" t="s">
        <v>151</v>
      </c>
      <c r="QHS550" s="83" t="s">
        <v>151</v>
      </c>
      <c r="QHT550" s="83" t="s">
        <v>151</v>
      </c>
      <c r="QHU550" s="83" t="s">
        <v>151</v>
      </c>
      <c r="QHV550" s="83" t="s">
        <v>151</v>
      </c>
      <c r="QHW550" s="83" t="s">
        <v>151</v>
      </c>
      <c r="QHX550" s="83" t="s">
        <v>151</v>
      </c>
      <c r="QHY550" s="83" t="s">
        <v>151</v>
      </c>
      <c r="QHZ550" s="83" t="s">
        <v>151</v>
      </c>
      <c r="QIA550" s="83" t="s">
        <v>151</v>
      </c>
      <c r="QIB550" s="83" t="s">
        <v>151</v>
      </c>
      <c r="QIC550" s="83" t="s">
        <v>151</v>
      </c>
      <c r="QID550" s="83" t="s">
        <v>151</v>
      </c>
      <c r="QIE550" s="83" t="s">
        <v>151</v>
      </c>
      <c r="QIF550" s="83" t="s">
        <v>151</v>
      </c>
      <c r="QIG550" s="83" t="s">
        <v>151</v>
      </c>
      <c r="QIH550" s="83" t="s">
        <v>151</v>
      </c>
      <c r="QII550" s="83" t="s">
        <v>151</v>
      </c>
      <c r="QIJ550" s="83" t="s">
        <v>151</v>
      </c>
      <c r="QIK550" s="83" t="s">
        <v>151</v>
      </c>
      <c r="QIL550" s="83" t="s">
        <v>151</v>
      </c>
      <c r="QIM550" s="83" t="s">
        <v>151</v>
      </c>
      <c r="QIN550" s="83" t="s">
        <v>151</v>
      </c>
      <c r="QIO550" s="83" t="s">
        <v>151</v>
      </c>
      <c r="QIP550" s="83" t="s">
        <v>151</v>
      </c>
      <c r="QIQ550" s="83" t="s">
        <v>151</v>
      </c>
      <c r="QIR550" s="83" t="s">
        <v>151</v>
      </c>
      <c r="QIS550" s="83" t="s">
        <v>151</v>
      </c>
      <c r="QIT550" s="83" t="s">
        <v>151</v>
      </c>
      <c r="QIU550" s="83" t="s">
        <v>151</v>
      </c>
      <c r="QIV550" s="83" t="s">
        <v>151</v>
      </c>
      <c r="QIW550" s="83" t="s">
        <v>151</v>
      </c>
      <c r="QIX550" s="83" t="s">
        <v>151</v>
      </c>
      <c r="QIY550" s="83" t="s">
        <v>151</v>
      </c>
      <c r="QIZ550" s="83" t="s">
        <v>151</v>
      </c>
      <c r="QJA550" s="83" t="s">
        <v>151</v>
      </c>
      <c r="QJB550" s="83" t="s">
        <v>151</v>
      </c>
      <c r="QJC550" s="83" t="s">
        <v>151</v>
      </c>
      <c r="QJD550" s="83" t="s">
        <v>151</v>
      </c>
      <c r="QJE550" s="83" t="s">
        <v>151</v>
      </c>
      <c r="QJF550" s="83" t="s">
        <v>151</v>
      </c>
      <c r="QJG550" s="83" t="s">
        <v>151</v>
      </c>
      <c r="QJH550" s="83" t="s">
        <v>151</v>
      </c>
      <c r="QJI550" s="83" t="s">
        <v>151</v>
      </c>
      <c r="QJJ550" s="83" t="s">
        <v>151</v>
      </c>
      <c r="QJK550" s="83" t="s">
        <v>151</v>
      </c>
      <c r="QJL550" s="83" t="s">
        <v>151</v>
      </c>
      <c r="QJM550" s="83" t="s">
        <v>151</v>
      </c>
      <c r="QJN550" s="83" t="s">
        <v>151</v>
      </c>
      <c r="QJO550" s="83" t="s">
        <v>151</v>
      </c>
      <c r="QJP550" s="83" t="s">
        <v>151</v>
      </c>
      <c r="QJQ550" s="83" t="s">
        <v>151</v>
      </c>
      <c r="QJR550" s="83" t="s">
        <v>151</v>
      </c>
      <c r="QJS550" s="83" t="s">
        <v>151</v>
      </c>
      <c r="QJT550" s="83" t="s">
        <v>151</v>
      </c>
      <c r="QJU550" s="83" t="s">
        <v>151</v>
      </c>
      <c r="QJV550" s="83" t="s">
        <v>151</v>
      </c>
      <c r="QJW550" s="83" t="s">
        <v>151</v>
      </c>
      <c r="QJX550" s="83" t="s">
        <v>151</v>
      </c>
      <c r="QJY550" s="83" t="s">
        <v>151</v>
      </c>
      <c r="QJZ550" s="83" t="s">
        <v>151</v>
      </c>
      <c r="QKA550" s="83" t="s">
        <v>151</v>
      </c>
      <c r="QKB550" s="83" t="s">
        <v>151</v>
      </c>
      <c r="QKC550" s="83" t="s">
        <v>151</v>
      </c>
      <c r="QKD550" s="83" t="s">
        <v>151</v>
      </c>
      <c r="QKE550" s="83" t="s">
        <v>151</v>
      </c>
      <c r="QKF550" s="83" t="s">
        <v>151</v>
      </c>
      <c r="QKG550" s="83" t="s">
        <v>151</v>
      </c>
      <c r="QKH550" s="83" t="s">
        <v>151</v>
      </c>
      <c r="QKI550" s="83" t="s">
        <v>151</v>
      </c>
      <c r="QKJ550" s="83" t="s">
        <v>151</v>
      </c>
      <c r="QKK550" s="83" t="s">
        <v>151</v>
      </c>
      <c r="QKL550" s="83" t="s">
        <v>151</v>
      </c>
      <c r="QKM550" s="83" t="s">
        <v>151</v>
      </c>
      <c r="QKN550" s="83" t="s">
        <v>151</v>
      </c>
      <c r="QKO550" s="83" t="s">
        <v>151</v>
      </c>
      <c r="QKP550" s="83" t="s">
        <v>151</v>
      </c>
      <c r="QKQ550" s="83" t="s">
        <v>151</v>
      </c>
      <c r="QKR550" s="83" t="s">
        <v>151</v>
      </c>
      <c r="QKS550" s="83" t="s">
        <v>151</v>
      </c>
      <c r="QKT550" s="83" t="s">
        <v>151</v>
      </c>
      <c r="QKU550" s="83" t="s">
        <v>151</v>
      </c>
      <c r="QKV550" s="83" t="s">
        <v>151</v>
      </c>
      <c r="QKW550" s="83" t="s">
        <v>151</v>
      </c>
      <c r="QKX550" s="83" t="s">
        <v>151</v>
      </c>
      <c r="QKY550" s="83" t="s">
        <v>151</v>
      </c>
      <c r="QKZ550" s="83" t="s">
        <v>151</v>
      </c>
      <c r="QLA550" s="83" t="s">
        <v>151</v>
      </c>
      <c r="QLB550" s="83" t="s">
        <v>151</v>
      </c>
      <c r="QLC550" s="83" t="s">
        <v>151</v>
      </c>
      <c r="QLD550" s="83" t="s">
        <v>151</v>
      </c>
      <c r="QLE550" s="83" t="s">
        <v>151</v>
      </c>
      <c r="QLF550" s="83" t="s">
        <v>151</v>
      </c>
      <c r="QLG550" s="83" t="s">
        <v>151</v>
      </c>
      <c r="QLH550" s="83" t="s">
        <v>151</v>
      </c>
      <c r="QLI550" s="83" t="s">
        <v>151</v>
      </c>
      <c r="QLJ550" s="83" t="s">
        <v>151</v>
      </c>
      <c r="QLK550" s="83" t="s">
        <v>151</v>
      </c>
      <c r="QLL550" s="83" t="s">
        <v>151</v>
      </c>
      <c r="QLM550" s="83" t="s">
        <v>151</v>
      </c>
      <c r="QLN550" s="83" t="s">
        <v>151</v>
      </c>
      <c r="QLO550" s="83" t="s">
        <v>151</v>
      </c>
      <c r="QLP550" s="83" t="s">
        <v>151</v>
      </c>
      <c r="QLQ550" s="83" t="s">
        <v>151</v>
      </c>
      <c r="QLR550" s="83" t="s">
        <v>151</v>
      </c>
      <c r="QLS550" s="83" t="s">
        <v>151</v>
      </c>
      <c r="QLT550" s="83" t="s">
        <v>151</v>
      </c>
      <c r="QLU550" s="83" t="s">
        <v>151</v>
      </c>
      <c r="QLV550" s="83" t="s">
        <v>151</v>
      </c>
      <c r="QLW550" s="83" t="s">
        <v>151</v>
      </c>
      <c r="QLX550" s="83" t="s">
        <v>151</v>
      </c>
      <c r="QLY550" s="83" t="s">
        <v>151</v>
      </c>
      <c r="QLZ550" s="83" t="s">
        <v>151</v>
      </c>
      <c r="QMA550" s="83" t="s">
        <v>151</v>
      </c>
      <c r="QMB550" s="83" t="s">
        <v>151</v>
      </c>
      <c r="QMC550" s="83" t="s">
        <v>151</v>
      </c>
      <c r="QMD550" s="83" t="s">
        <v>151</v>
      </c>
      <c r="QME550" s="83" t="s">
        <v>151</v>
      </c>
      <c r="QMF550" s="83" t="s">
        <v>151</v>
      </c>
      <c r="QMG550" s="83" t="s">
        <v>151</v>
      </c>
      <c r="QMH550" s="83" t="s">
        <v>151</v>
      </c>
      <c r="QMI550" s="83" t="s">
        <v>151</v>
      </c>
      <c r="QMJ550" s="83" t="s">
        <v>151</v>
      </c>
      <c r="QMK550" s="83" t="s">
        <v>151</v>
      </c>
      <c r="QML550" s="83" t="s">
        <v>151</v>
      </c>
      <c r="QMM550" s="83" t="s">
        <v>151</v>
      </c>
      <c r="QMN550" s="83" t="s">
        <v>151</v>
      </c>
      <c r="QMO550" s="83" t="s">
        <v>151</v>
      </c>
      <c r="QMP550" s="83" t="s">
        <v>151</v>
      </c>
      <c r="QMQ550" s="83" t="s">
        <v>151</v>
      </c>
      <c r="QMR550" s="83" t="s">
        <v>151</v>
      </c>
      <c r="QMS550" s="83" t="s">
        <v>151</v>
      </c>
      <c r="QMT550" s="83" t="s">
        <v>151</v>
      </c>
      <c r="QMU550" s="83" t="s">
        <v>151</v>
      </c>
      <c r="QMV550" s="83" t="s">
        <v>151</v>
      </c>
      <c r="QMW550" s="83" t="s">
        <v>151</v>
      </c>
      <c r="QMX550" s="83" t="s">
        <v>151</v>
      </c>
      <c r="QMY550" s="83" t="s">
        <v>151</v>
      </c>
      <c r="QMZ550" s="83" t="s">
        <v>151</v>
      </c>
      <c r="QNA550" s="83" t="s">
        <v>151</v>
      </c>
      <c r="QNB550" s="83" t="s">
        <v>151</v>
      </c>
      <c r="QNC550" s="83" t="s">
        <v>151</v>
      </c>
      <c r="QND550" s="83" t="s">
        <v>151</v>
      </c>
      <c r="QNE550" s="83" t="s">
        <v>151</v>
      </c>
      <c r="QNF550" s="83" t="s">
        <v>151</v>
      </c>
      <c r="QNG550" s="83" t="s">
        <v>151</v>
      </c>
      <c r="QNH550" s="83" t="s">
        <v>151</v>
      </c>
      <c r="QNI550" s="83" t="s">
        <v>151</v>
      </c>
      <c r="QNJ550" s="83" t="s">
        <v>151</v>
      </c>
      <c r="QNK550" s="83" t="s">
        <v>151</v>
      </c>
      <c r="QNL550" s="83" t="s">
        <v>151</v>
      </c>
      <c r="QNM550" s="83" t="s">
        <v>151</v>
      </c>
      <c r="QNN550" s="83" t="s">
        <v>151</v>
      </c>
      <c r="QNO550" s="83" t="s">
        <v>151</v>
      </c>
      <c r="QNP550" s="83" t="s">
        <v>151</v>
      </c>
      <c r="QNQ550" s="83" t="s">
        <v>151</v>
      </c>
      <c r="QNR550" s="83" t="s">
        <v>151</v>
      </c>
      <c r="QNS550" s="83" t="s">
        <v>151</v>
      </c>
      <c r="QNT550" s="83" t="s">
        <v>151</v>
      </c>
      <c r="QNU550" s="83" t="s">
        <v>151</v>
      </c>
      <c r="QNV550" s="83" t="s">
        <v>151</v>
      </c>
      <c r="QNW550" s="83" t="s">
        <v>151</v>
      </c>
      <c r="QNX550" s="83" t="s">
        <v>151</v>
      </c>
      <c r="QNY550" s="83" t="s">
        <v>151</v>
      </c>
      <c r="QNZ550" s="83" t="s">
        <v>151</v>
      </c>
      <c r="QOA550" s="83" t="s">
        <v>151</v>
      </c>
      <c r="QOB550" s="83" t="s">
        <v>151</v>
      </c>
      <c r="QOC550" s="83" t="s">
        <v>151</v>
      </c>
      <c r="QOD550" s="83" t="s">
        <v>151</v>
      </c>
      <c r="QOE550" s="83" t="s">
        <v>151</v>
      </c>
      <c r="QOF550" s="83" t="s">
        <v>151</v>
      </c>
      <c r="QOG550" s="83" t="s">
        <v>151</v>
      </c>
      <c r="QOH550" s="83" t="s">
        <v>151</v>
      </c>
      <c r="QOI550" s="83" t="s">
        <v>151</v>
      </c>
      <c r="QOJ550" s="83" t="s">
        <v>151</v>
      </c>
      <c r="QOK550" s="83" t="s">
        <v>151</v>
      </c>
      <c r="QOL550" s="83" t="s">
        <v>151</v>
      </c>
      <c r="QOM550" s="83" t="s">
        <v>151</v>
      </c>
      <c r="QON550" s="83" t="s">
        <v>151</v>
      </c>
      <c r="QOO550" s="83" t="s">
        <v>151</v>
      </c>
      <c r="QOP550" s="83" t="s">
        <v>151</v>
      </c>
      <c r="QOQ550" s="83" t="s">
        <v>151</v>
      </c>
      <c r="QOR550" s="83" t="s">
        <v>151</v>
      </c>
      <c r="QOS550" s="83" t="s">
        <v>151</v>
      </c>
      <c r="QOT550" s="83" t="s">
        <v>151</v>
      </c>
      <c r="QOU550" s="83" t="s">
        <v>151</v>
      </c>
      <c r="QOV550" s="83" t="s">
        <v>151</v>
      </c>
      <c r="QOW550" s="83" t="s">
        <v>151</v>
      </c>
      <c r="QOX550" s="83" t="s">
        <v>151</v>
      </c>
      <c r="QOY550" s="83" t="s">
        <v>151</v>
      </c>
      <c r="QOZ550" s="83" t="s">
        <v>151</v>
      </c>
      <c r="QPA550" s="83" t="s">
        <v>151</v>
      </c>
      <c r="QPB550" s="83" t="s">
        <v>151</v>
      </c>
      <c r="QPC550" s="83" t="s">
        <v>151</v>
      </c>
      <c r="QPD550" s="83" t="s">
        <v>151</v>
      </c>
      <c r="QPE550" s="83" t="s">
        <v>151</v>
      </c>
      <c r="QPF550" s="83" t="s">
        <v>151</v>
      </c>
      <c r="QPG550" s="83" t="s">
        <v>151</v>
      </c>
      <c r="QPH550" s="83" t="s">
        <v>151</v>
      </c>
      <c r="QPI550" s="83" t="s">
        <v>151</v>
      </c>
      <c r="QPJ550" s="83" t="s">
        <v>151</v>
      </c>
      <c r="QPK550" s="83" t="s">
        <v>151</v>
      </c>
      <c r="QPL550" s="83" t="s">
        <v>151</v>
      </c>
      <c r="QPM550" s="83" t="s">
        <v>151</v>
      </c>
      <c r="QPN550" s="83" t="s">
        <v>151</v>
      </c>
      <c r="QPO550" s="83" t="s">
        <v>151</v>
      </c>
      <c r="QPP550" s="83" t="s">
        <v>151</v>
      </c>
      <c r="QPQ550" s="83" t="s">
        <v>151</v>
      </c>
      <c r="QPR550" s="83" t="s">
        <v>151</v>
      </c>
      <c r="QPS550" s="83" t="s">
        <v>151</v>
      </c>
      <c r="QPT550" s="83" t="s">
        <v>151</v>
      </c>
      <c r="QPU550" s="83" t="s">
        <v>151</v>
      </c>
      <c r="QPV550" s="83" t="s">
        <v>151</v>
      </c>
      <c r="QPW550" s="83" t="s">
        <v>151</v>
      </c>
      <c r="QPX550" s="83" t="s">
        <v>151</v>
      </c>
      <c r="QPY550" s="83" t="s">
        <v>151</v>
      </c>
      <c r="QPZ550" s="83" t="s">
        <v>151</v>
      </c>
      <c r="QQA550" s="83" t="s">
        <v>151</v>
      </c>
      <c r="QQB550" s="83" t="s">
        <v>151</v>
      </c>
      <c r="QQC550" s="83" t="s">
        <v>151</v>
      </c>
      <c r="QQD550" s="83" t="s">
        <v>151</v>
      </c>
      <c r="QQE550" s="83" t="s">
        <v>151</v>
      </c>
      <c r="QQF550" s="83" t="s">
        <v>151</v>
      </c>
      <c r="QQG550" s="83" t="s">
        <v>151</v>
      </c>
      <c r="QQH550" s="83" t="s">
        <v>151</v>
      </c>
      <c r="QQI550" s="83" t="s">
        <v>151</v>
      </c>
      <c r="QQJ550" s="83" t="s">
        <v>151</v>
      </c>
      <c r="QQK550" s="83" t="s">
        <v>151</v>
      </c>
      <c r="QQL550" s="83" t="s">
        <v>151</v>
      </c>
      <c r="QQM550" s="83" t="s">
        <v>151</v>
      </c>
      <c r="QQN550" s="83" t="s">
        <v>151</v>
      </c>
      <c r="QQO550" s="83" t="s">
        <v>151</v>
      </c>
      <c r="QQP550" s="83" t="s">
        <v>151</v>
      </c>
      <c r="QQQ550" s="83" t="s">
        <v>151</v>
      </c>
      <c r="QQR550" s="83" t="s">
        <v>151</v>
      </c>
      <c r="QQS550" s="83" t="s">
        <v>151</v>
      </c>
      <c r="QQT550" s="83" t="s">
        <v>151</v>
      </c>
      <c r="QQU550" s="83" t="s">
        <v>151</v>
      </c>
      <c r="QQV550" s="83" t="s">
        <v>151</v>
      </c>
      <c r="QQW550" s="83" t="s">
        <v>151</v>
      </c>
      <c r="QQX550" s="83" t="s">
        <v>151</v>
      </c>
      <c r="QQY550" s="83" t="s">
        <v>151</v>
      </c>
      <c r="QQZ550" s="83" t="s">
        <v>151</v>
      </c>
      <c r="QRA550" s="83" t="s">
        <v>151</v>
      </c>
      <c r="QRB550" s="83" t="s">
        <v>151</v>
      </c>
      <c r="QRC550" s="83" t="s">
        <v>151</v>
      </c>
      <c r="QRD550" s="83" t="s">
        <v>151</v>
      </c>
      <c r="QRE550" s="83" t="s">
        <v>151</v>
      </c>
      <c r="QRF550" s="83" t="s">
        <v>151</v>
      </c>
      <c r="QRG550" s="83" t="s">
        <v>151</v>
      </c>
      <c r="QRH550" s="83" t="s">
        <v>151</v>
      </c>
      <c r="QRI550" s="83" t="s">
        <v>151</v>
      </c>
      <c r="QRJ550" s="83" t="s">
        <v>151</v>
      </c>
      <c r="QRK550" s="83" t="s">
        <v>151</v>
      </c>
      <c r="QRL550" s="83" t="s">
        <v>151</v>
      </c>
      <c r="QRM550" s="83" t="s">
        <v>151</v>
      </c>
      <c r="QRN550" s="83" t="s">
        <v>151</v>
      </c>
      <c r="QRO550" s="83" t="s">
        <v>151</v>
      </c>
      <c r="QRP550" s="83" t="s">
        <v>151</v>
      </c>
      <c r="QRQ550" s="83" t="s">
        <v>151</v>
      </c>
      <c r="QRR550" s="83" t="s">
        <v>151</v>
      </c>
      <c r="QRS550" s="83" t="s">
        <v>151</v>
      </c>
      <c r="QRT550" s="83" t="s">
        <v>151</v>
      </c>
      <c r="QRU550" s="83" t="s">
        <v>151</v>
      </c>
      <c r="QRV550" s="83" t="s">
        <v>151</v>
      </c>
      <c r="QRW550" s="83" t="s">
        <v>151</v>
      </c>
      <c r="QRX550" s="83" t="s">
        <v>151</v>
      </c>
      <c r="QRY550" s="83" t="s">
        <v>151</v>
      </c>
      <c r="QRZ550" s="83" t="s">
        <v>151</v>
      </c>
      <c r="QSA550" s="83" t="s">
        <v>151</v>
      </c>
      <c r="QSB550" s="83" t="s">
        <v>151</v>
      </c>
      <c r="QSC550" s="83" t="s">
        <v>151</v>
      </c>
      <c r="QSD550" s="83" t="s">
        <v>151</v>
      </c>
      <c r="QSE550" s="83" t="s">
        <v>151</v>
      </c>
      <c r="QSF550" s="83" t="s">
        <v>151</v>
      </c>
      <c r="QSG550" s="83" t="s">
        <v>151</v>
      </c>
      <c r="QSH550" s="83" t="s">
        <v>151</v>
      </c>
      <c r="QSI550" s="83" t="s">
        <v>151</v>
      </c>
      <c r="QSJ550" s="83" t="s">
        <v>151</v>
      </c>
      <c r="QSK550" s="83" t="s">
        <v>151</v>
      </c>
      <c r="QSL550" s="83" t="s">
        <v>151</v>
      </c>
      <c r="QSM550" s="83" t="s">
        <v>151</v>
      </c>
      <c r="QSN550" s="83" t="s">
        <v>151</v>
      </c>
      <c r="QSO550" s="83" t="s">
        <v>151</v>
      </c>
      <c r="QSP550" s="83" t="s">
        <v>151</v>
      </c>
      <c r="QSQ550" s="83" t="s">
        <v>151</v>
      </c>
      <c r="QSR550" s="83" t="s">
        <v>151</v>
      </c>
      <c r="QSS550" s="83" t="s">
        <v>151</v>
      </c>
      <c r="QST550" s="83" t="s">
        <v>151</v>
      </c>
      <c r="QSU550" s="83" t="s">
        <v>151</v>
      </c>
      <c r="QSV550" s="83" t="s">
        <v>151</v>
      </c>
      <c r="QSW550" s="83" t="s">
        <v>151</v>
      </c>
      <c r="QSX550" s="83" t="s">
        <v>151</v>
      </c>
      <c r="QSY550" s="83" t="s">
        <v>151</v>
      </c>
      <c r="QSZ550" s="83" t="s">
        <v>151</v>
      </c>
      <c r="QTA550" s="83" t="s">
        <v>151</v>
      </c>
      <c r="QTB550" s="83" t="s">
        <v>151</v>
      </c>
      <c r="QTC550" s="83" t="s">
        <v>151</v>
      </c>
      <c r="QTD550" s="83" t="s">
        <v>151</v>
      </c>
      <c r="QTE550" s="83" t="s">
        <v>151</v>
      </c>
      <c r="QTF550" s="83" t="s">
        <v>151</v>
      </c>
      <c r="QTG550" s="83" t="s">
        <v>151</v>
      </c>
      <c r="QTH550" s="83" t="s">
        <v>151</v>
      </c>
      <c r="QTI550" s="83" t="s">
        <v>151</v>
      </c>
      <c r="QTJ550" s="83" t="s">
        <v>151</v>
      </c>
      <c r="QTK550" s="83" t="s">
        <v>151</v>
      </c>
      <c r="QTL550" s="83" t="s">
        <v>151</v>
      </c>
      <c r="QTM550" s="83" t="s">
        <v>151</v>
      </c>
      <c r="QTN550" s="83" t="s">
        <v>151</v>
      </c>
      <c r="QTO550" s="83" t="s">
        <v>151</v>
      </c>
      <c r="QTP550" s="83" t="s">
        <v>151</v>
      </c>
      <c r="QTQ550" s="83" t="s">
        <v>151</v>
      </c>
      <c r="QTR550" s="83" t="s">
        <v>151</v>
      </c>
      <c r="QTS550" s="83" t="s">
        <v>151</v>
      </c>
      <c r="QTT550" s="83" t="s">
        <v>151</v>
      </c>
      <c r="QTU550" s="83" t="s">
        <v>151</v>
      </c>
      <c r="QTV550" s="83" t="s">
        <v>151</v>
      </c>
      <c r="QTW550" s="83" t="s">
        <v>151</v>
      </c>
      <c r="QTX550" s="83" t="s">
        <v>151</v>
      </c>
      <c r="QTY550" s="83" t="s">
        <v>151</v>
      </c>
      <c r="QTZ550" s="83" t="s">
        <v>151</v>
      </c>
      <c r="QUA550" s="83" t="s">
        <v>151</v>
      </c>
      <c r="QUB550" s="83" t="s">
        <v>151</v>
      </c>
      <c r="QUC550" s="83" t="s">
        <v>151</v>
      </c>
      <c r="QUD550" s="83" t="s">
        <v>151</v>
      </c>
      <c r="QUE550" s="83" t="s">
        <v>151</v>
      </c>
      <c r="QUF550" s="83" t="s">
        <v>151</v>
      </c>
      <c r="QUG550" s="83" t="s">
        <v>151</v>
      </c>
      <c r="QUH550" s="83" t="s">
        <v>151</v>
      </c>
      <c r="QUI550" s="83" t="s">
        <v>151</v>
      </c>
      <c r="QUJ550" s="83" t="s">
        <v>151</v>
      </c>
      <c r="QUK550" s="83" t="s">
        <v>151</v>
      </c>
      <c r="QUL550" s="83" t="s">
        <v>151</v>
      </c>
      <c r="QUM550" s="83" t="s">
        <v>151</v>
      </c>
      <c r="QUN550" s="83" t="s">
        <v>151</v>
      </c>
      <c r="QUO550" s="83" t="s">
        <v>151</v>
      </c>
      <c r="QUP550" s="83" t="s">
        <v>151</v>
      </c>
      <c r="QUQ550" s="83" t="s">
        <v>151</v>
      </c>
      <c r="QUR550" s="83" t="s">
        <v>151</v>
      </c>
      <c r="QUS550" s="83" t="s">
        <v>151</v>
      </c>
      <c r="QUT550" s="83" t="s">
        <v>151</v>
      </c>
      <c r="QUU550" s="83" t="s">
        <v>151</v>
      </c>
      <c r="QUV550" s="83" t="s">
        <v>151</v>
      </c>
      <c r="QUW550" s="83" t="s">
        <v>151</v>
      </c>
      <c r="QUX550" s="83" t="s">
        <v>151</v>
      </c>
      <c r="QUY550" s="83" t="s">
        <v>151</v>
      </c>
      <c r="QUZ550" s="83" t="s">
        <v>151</v>
      </c>
      <c r="QVA550" s="83" t="s">
        <v>151</v>
      </c>
      <c r="QVB550" s="83" t="s">
        <v>151</v>
      </c>
      <c r="QVC550" s="83" t="s">
        <v>151</v>
      </c>
      <c r="QVD550" s="83" t="s">
        <v>151</v>
      </c>
      <c r="QVE550" s="83" t="s">
        <v>151</v>
      </c>
      <c r="QVF550" s="83" t="s">
        <v>151</v>
      </c>
      <c r="QVG550" s="83" t="s">
        <v>151</v>
      </c>
      <c r="QVH550" s="83" t="s">
        <v>151</v>
      </c>
      <c r="QVI550" s="83" t="s">
        <v>151</v>
      </c>
      <c r="QVJ550" s="83" t="s">
        <v>151</v>
      </c>
      <c r="QVK550" s="83" t="s">
        <v>151</v>
      </c>
      <c r="QVL550" s="83" t="s">
        <v>151</v>
      </c>
      <c r="QVM550" s="83" t="s">
        <v>151</v>
      </c>
      <c r="QVN550" s="83" t="s">
        <v>151</v>
      </c>
      <c r="QVO550" s="83" t="s">
        <v>151</v>
      </c>
      <c r="QVP550" s="83" t="s">
        <v>151</v>
      </c>
      <c r="QVQ550" s="83" t="s">
        <v>151</v>
      </c>
      <c r="QVR550" s="83" t="s">
        <v>151</v>
      </c>
      <c r="QVS550" s="83" t="s">
        <v>151</v>
      </c>
      <c r="QVT550" s="83" t="s">
        <v>151</v>
      </c>
      <c r="QVU550" s="83" t="s">
        <v>151</v>
      </c>
      <c r="QVV550" s="83" t="s">
        <v>151</v>
      </c>
      <c r="QVW550" s="83" t="s">
        <v>151</v>
      </c>
      <c r="QVX550" s="83" t="s">
        <v>151</v>
      </c>
      <c r="QVY550" s="83" t="s">
        <v>151</v>
      </c>
      <c r="QVZ550" s="83" t="s">
        <v>151</v>
      </c>
      <c r="QWA550" s="83" t="s">
        <v>151</v>
      </c>
      <c r="QWB550" s="83" t="s">
        <v>151</v>
      </c>
      <c r="QWC550" s="83" t="s">
        <v>151</v>
      </c>
      <c r="QWD550" s="83" t="s">
        <v>151</v>
      </c>
      <c r="QWE550" s="83" t="s">
        <v>151</v>
      </c>
      <c r="QWF550" s="83" t="s">
        <v>151</v>
      </c>
      <c r="QWG550" s="83" t="s">
        <v>151</v>
      </c>
      <c r="QWH550" s="83" t="s">
        <v>151</v>
      </c>
      <c r="QWI550" s="83" t="s">
        <v>151</v>
      </c>
      <c r="QWJ550" s="83" t="s">
        <v>151</v>
      </c>
      <c r="QWK550" s="83" t="s">
        <v>151</v>
      </c>
      <c r="QWL550" s="83" t="s">
        <v>151</v>
      </c>
      <c r="QWM550" s="83" t="s">
        <v>151</v>
      </c>
      <c r="QWN550" s="83" t="s">
        <v>151</v>
      </c>
      <c r="QWO550" s="83" t="s">
        <v>151</v>
      </c>
      <c r="QWP550" s="83" t="s">
        <v>151</v>
      </c>
      <c r="QWQ550" s="83" t="s">
        <v>151</v>
      </c>
      <c r="QWR550" s="83" t="s">
        <v>151</v>
      </c>
      <c r="QWS550" s="83" t="s">
        <v>151</v>
      </c>
      <c r="QWT550" s="83" t="s">
        <v>151</v>
      </c>
      <c r="QWU550" s="83" t="s">
        <v>151</v>
      </c>
      <c r="QWV550" s="83" t="s">
        <v>151</v>
      </c>
      <c r="QWW550" s="83" t="s">
        <v>151</v>
      </c>
      <c r="QWX550" s="83" t="s">
        <v>151</v>
      </c>
      <c r="QWY550" s="83" t="s">
        <v>151</v>
      </c>
      <c r="QWZ550" s="83" t="s">
        <v>151</v>
      </c>
      <c r="QXA550" s="83" t="s">
        <v>151</v>
      </c>
      <c r="QXB550" s="83" t="s">
        <v>151</v>
      </c>
      <c r="QXC550" s="83" t="s">
        <v>151</v>
      </c>
      <c r="QXD550" s="83" t="s">
        <v>151</v>
      </c>
      <c r="QXE550" s="83" t="s">
        <v>151</v>
      </c>
      <c r="QXF550" s="83" t="s">
        <v>151</v>
      </c>
      <c r="QXG550" s="83" t="s">
        <v>151</v>
      </c>
      <c r="QXH550" s="83" t="s">
        <v>151</v>
      </c>
      <c r="QXI550" s="83" t="s">
        <v>151</v>
      </c>
      <c r="QXJ550" s="83" t="s">
        <v>151</v>
      </c>
      <c r="QXK550" s="83" t="s">
        <v>151</v>
      </c>
      <c r="QXL550" s="83" t="s">
        <v>151</v>
      </c>
      <c r="QXM550" s="83" t="s">
        <v>151</v>
      </c>
      <c r="QXN550" s="83" t="s">
        <v>151</v>
      </c>
      <c r="QXO550" s="83" t="s">
        <v>151</v>
      </c>
      <c r="QXP550" s="83" t="s">
        <v>151</v>
      </c>
      <c r="QXQ550" s="83" t="s">
        <v>151</v>
      </c>
      <c r="QXR550" s="83" t="s">
        <v>151</v>
      </c>
      <c r="QXS550" s="83" t="s">
        <v>151</v>
      </c>
      <c r="QXT550" s="83" t="s">
        <v>151</v>
      </c>
      <c r="QXU550" s="83" t="s">
        <v>151</v>
      </c>
      <c r="QXV550" s="83" t="s">
        <v>151</v>
      </c>
      <c r="QXW550" s="83" t="s">
        <v>151</v>
      </c>
      <c r="QXX550" s="83" t="s">
        <v>151</v>
      </c>
      <c r="QXY550" s="83" t="s">
        <v>151</v>
      </c>
      <c r="QXZ550" s="83" t="s">
        <v>151</v>
      </c>
      <c r="QYA550" s="83" t="s">
        <v>151</v>
      </c>
      <c r="QYB550" s="83" t="s">
        <v>151</v>
      </c>
      <c r="QYC550" s="83" t="s">
        <v>151</v>
      </c>
      <c r="QYD550" s="83" t="s">
        <v>151</v>
      </c>
      <c r="QYE550" s="83" t="s">
        <v>151</v>
      </c>
      <c r="QYF550" s="83" t="s">
        <v>151</v>
      </c>
      <c r="QYG550" s="83" t="s">
        <v>151</v>
      </c>
      <c r="QYH550" s="83" t="s">
        <v>151</v>
      </c>
      <c r="QYI550" s="83" t="s">
        <v>151</v>
      </c>
      <c r="QYJ550" s="83" t="s">
        <v>151</v>
      </c>
      <c r="QYK550" s="83" t="s">
        <v>151</v>
      </c>
      <c r="QYL550" s="83" t="s">
        <v>151</v>
      </c>
      <c r="QYM550" s="83" t="s">
        <v>151</v>
      </c>
      <c r="QYN550" s="83" t="s">
        <v>151</v>
      </c>
      <c r="QYO550" s="83" t="s">
        <v>151</v>
      </c>
      <c r="QYP550" s="83" t="s">
        <v>151</v>
      </c>
      <c r="QYQ550" s="83" t="s">
        <v>151</v>
      </c>
      <c r="QYR550" s="83" t="s">
        <v>151</v>
      </c>
      <c r="QYS550" s="83" t="s">
        <v>151</v>
      </c>
      <c r="QYT550" s="83" t="s">
        <v>151</v>
      </c>
      <c r="QYU550" s="83" t="s">
        <v>151</v>
      </c>
      <c r="QYV550" s="83" t="s">
        <v>151</v>
      </c>
      <c r="QYW550" s="83" t="s">
        <v>151</v>
      </c>
      <c r="QYX550" s="83" t="s">
        <v>151</v>
      </c>
      <c r="QYY550" s="83" t="s">
        <v>151</v>
      </c>
      <c r="QYZ550" s="83" t="s">
        <v>151</v>
      </c>
      <c r="QZA550" s="83" t="s">
        <v>151</v>
      </c>
      <c r="QZB550" s="83" t="s">
        <v>151</v>
      </c>
      <c r="QZC550" s="83" t="s">
        <v>151</v>
      </c>
      <c r="QZD550" s="83" t="s">
        <v>151</v>
      </c>
      <c r="QZE550" s="83" t="s">
        <v>151</v>
      </c>
      <c r="QZF550" s="83" t="s">
        <v>151</v>
      </c>
      <c r="QZG550" s="83" t="s">
        <v>151</v>
      </c>
      <c r="QZH550" s="83" t="s">
        <v>151</v>
      </c>
      <c r="QZI550" s="83" t="s">
        <v>151</v>
      </c>
      <c r="QZJ550" s="83" t="s">
        <v>151</v>
      </c>
      <c r="QZK550" s="83" t="s">
        <v>151</v>
      </c>
      <c r="QZL550" s="83" t="s">
        <v>151</v>
      </c>
      <c r="QZM550" s="83" t="s">
        <v>151</v>
      </c>
      <c r="QZN550" s="83" t="s">
        <v>151</v>
      </c>
      <c r="QZO550" s="83" t="s">
        <v>151</v>
      </c>
      <c r="QZP550" s="83" t="s">
        <v>151</v>
      </c>
      <c r="QZQ550" s="83" t="s">
        <v>151</v>
      </c>
      <c r="QZR550" s="83" t="s">
        <v>151</v>
      </c>
      <c r="QZS550" s="83" t="s">
        <v>151</v>
      </c>
      <c r="QZT550" s="83" t="s">
        <v>151</v>
      </c>
      <c r="QZU550" s="83" t="s">
        <v>151</v>
      </c>
      <c r="QZV550" s="83" t="s">
        <v>151</v>
      </c>
      <c r="QZW550" s="83" t="s">
        <v>151</v>
      </c>
      <c r="QZX550" s="83" t="s">
        <v>151</v>
      </c>
      <c r="QZY550" s="83" t="s">
        <v>151</v>
      </c>
      <c r="QZZ550" s="83" t="s">
        <v>151</v>
      </c>
      <c r="RAA550" s="83" t="s">
        <v>151</v>
      </c>
      <c r="RAB550" s="83" t="s">
        <v>151</v>
      </c>
      <c r="RAC550" s="83" t="s">
        <v>151</v>
      </c>
      <c r="RAD550" s="83" t="s">
        <v>151</v>
      </c>
      <c r="RAE550" s="83" t="s">
        <v>151</v>
      </c>
      <c r="RAF550" s="83" t="s">
        <v>151</v>
      </c>
      <c r="RAG550" s="83" t="s">
        <v>151</v>
      </c>
      <c r="RAH550" s="83" t="s">
        <v>151</v>
      </c>
      <c r="RAI550" s="83" t="s">
        <v>151</v>
      </c>
      <c r="RAJ550" s="83" t="s">
        <v>151</v>
      </c>
      <c r="RAK550" s="83" t="s">
        <v>151</v>
      </c>
      <c r="RAL550" s="83" t="s">
        <v>151</v>
      </c>
      <c r="RAM550" s="83" t="s">
        <v>151</v>
      </c>
      <c r="RAN550" s="83" t="s">
        <v>151</v>
      </c>
      <c r="RAO550" s="83" t="s">
        <v>151</v>
      </c>
      <c r="RAP550" s="83" t="s">
        <v>151</v>
      </c>
      <c r="RAQ550" s="83" t="s">
        <v>151</v>
      </c>
      <c r="RAR550" s="83" t="s">
        <v>151</v>
      </c>
      <c r="RAS550" s="83" t="s">
        <v>151</v>
      </c>
      <c r="RAT550" s="83" t="s">
        <v>151</v>
      </c>
      <c r="RAU550" s="83" t="s">
        <v>151</v>
      </c>
      <c r="RAV550" s="83" t="s">
        <v>151</v>
      </c>
      <c r="RAW550" s="83" t="s">
        <v>151</v>
      </c>
      <c r="RAX550" s="83" t="s">
        <v>151</v>
      </c>
      <c r="RAY550" s="83" t="s">
        <v>151</v>
      </c>
      <c r="RAZ550" s="83" t="s">
        <v>151</v>
      </c>
      <c r="RBA550" s="83" t="s">
        <v>151</v>
      </c>
      <c r="RBB550" s="83" t="s">
        <v>151</v>
      </c>
      <c r="RBC550" s="83" t="s">
        <v>151</v>
      </c>
      <c r="RBD550" s="83" t="s">
        <v>151</v>
      </c>
      <c r="RBE550" s="83" t="s">
        <v>151</v>
      </c>
      <c r="RBF550" s="83" t="s">
        <v>151</v>
      </c>
      <c r="RBG550" s="83" t="s">
        <v>151</v>
      </c>
      <c r="RBH550" s="83" t="s">
        <v>151</v>
      </c>
      <c r="RBI550" s="83" t="s">
        <v>151</v>
      </c>
      <c r="RBJ550" s="83" t="s">
        <v>151</v>
      </c>
      <c r="RBK550" s="83" t="s">
        <v>151</v>
      </c>
      <c r="RBL550" s="83" t="s">
        <v>151</v>
      </c>
      <c r="RBM550" s="83" t="s">
        <v>151</v>
      </c>
      <c r="RBN550" s="83" t="s">
        <v>151</v>
      </c>
      <c r="RBO550" s="83" t="s">
        <v>151</v>
      </c>
      <c r="RBP550" s="83" t="s">
        <v>151</v>
      </c>
      <c r="RBQ550" s="83" t="s">
        <v>151</v>
      </c>
      <c r="RBR550" s="83" t="s">
        <v>151</v>
      </c>
      <c r="RBS550" s="83" t="s">
        <v>151</v>
      </c>
      <c r="RBT550" s="83" t="s">
        <v>151</v>
      </c>
      <c r="RBU550" s="83" t="s">
        <v>151</v>
      </c>
      <c r="RBV550" s="83" t="s">
        <v>151</v>
      </c>
      <c r="RBW550" s="83" t="s">
        <v>151</v>
      </c>
      <c r="RBX550" s="83" t="s">
        <v>151</v>
      </c>
      <c r="RBY550" s="83" t="s">
        <v>151</v>
      </c>
      <c r="RBZ550" s="83" t="s">
        <v>151</v>
      </c>
      <c r="RCA550" s="83" t="s">
        <v>151</v>
      </c>
      <c r="RCB550" s="83" t="s">
        <v>151</v>
      </c>
      <c r="RCC550" s="83" t="s">
        <v>151</v>
      </c>
      <c r="RCD550" s="83" t="s">
        <v>151</v>
      </c>
      <c r="RCE550" s="83" t="s">
        <v>151</v>
      </c>
      <c r="RCF550" s="83" t="s">
        <v>151</v>
      </c>
      <c r="RCG550" s="83" t="s">
        <v>151</v>
      </c>
      <c r="RCH550" s="83" t="s">
        <v>151</v>
      </c>
      <c r="RCI550" s="83" t="s">
        <v>151</v>
      </c>
      <c r="RCJ550" s="83" t="s">
        <v>151</v>
      </c>
      <c r="RCK550" s="83" t="s">
        <v>151</v>
      </c>
      <c r="RCL550" s="83" t="s">
        <v>151</v>
      </c>
      <c r="RCM550" s="83" t="s">
        <v>151</v>
      </c>
      <c r="RCN550" s="83" t="s">
        <v>151</v>
      </c>
      <c r="RCO550" s="83" t="s">
        <v>151</v>
      </c>
      <c r="RCP550" s="83" t="s">
        <v>151</v>
      </c>
      <c r="RCQ550" s="83" t="s">
        <v>151</v>
      </c>
      <c r="RCR550" s="83" t="s">
        <v>151</v>
      </c>
      <c r="RCS550" s="83" t="s">
        <v>151</v>
      </c>
      <c r="RCT550" s="83" t="s">
        <v>151</v>
      </c>
      <c r="RCU550" s="83" t="s">
        <v>151</v>
      </c>
      <c r="RCV550" s="83" t="s">
        <v>151</v>
      </c>
      <c r="RCW550" s="83" t="s">
        <v>151</v>
      </c>
      <c r="RCX550" s="83" t="s">
        <v>151</v>
      </c>
      <c r="RCY550" s="83" t="s">
        <v>151</v>
      </c>
      <c r="RCZ550" s="83" t="s">
        <v>151</v>
      </c>
      <c r="RDA550" s="83" t="s">
        <v>151</v>
      </c>
      <c r="RDB550" s="83" t="s">
        <v>151</v>
      </c>
      <c r="RDC550" s="83" t="s">
        <v>151</v>
      </c>
      <c r="RDD550" s="83" t="s">
        <v>151</v>
      </c>
      <c r="RDE550" s="83" t="s">
        <v>151</v>
      </c>
      <c r="RDF550" s="83" t="s">
        <v>151</v>
      </c>
      <c r="RDG550" s="83" t="s">
        <v>151</v>
      </c>
      <c r="RDH550" s="83" t="s">
        <v>151</v>
      </c>
      <c r="RDI550" s="83" t="s">
        <v>151</v>
      </c>
      <c r="RDJ550" s="83" t="s">
        <v>151</v>
      </c>
      <c r="RDK550" s="83" t="s">
        <v>151</v>
      </c>
      <c r="RDL550" s="83" t="s">
        <v>151</v>
      </c>
      <c r="RDM550" s="83" t="s">
        <v>151</v>
      </c>
      <c r="RDN550" s="83" t="s">
        <v>151</v>
      </c>
      <c r="RDO550" s="83" t="s">
        <v>151</v>
      </c>
      <c r="RDP550" s="83" t="s">
        <v>151</v>
      </c>
      <c r="RDQ550" s="83" t="s">
        <v>151</v>
      </c>
      <c r="RDR550" s="83" t="s">
        <v>151</v>
      </c>
      <c r="RDS550" s="83" t="s">
        <v>151</v>
      </c>
      <c r="RDT550" s="83" t="s">
        <v>151</v>
      </c>
      <c r="RDU550" s="83" t="s">
        <v>151</v>
      </c>
      <c r="RDV550" s="83" t="s">
        <v>151</v>
      </c>
      <c r="RDW550" s="83" t="s">
        <v>151</v>
      </c>
      <c r="RDX550" s="83" t="s">
        <v>151</v>
      </c>
      <c r="RDY550" s="83" t="s">
        <v>151</v>
      </c>
      <c r="RDZ550" s="83" t="s">
        <v>151</v>
      </c>
      <c r="REA550" s="83" t="s">
        <v>151</v>
      </c>
      <c r="REB550" s="83" t="s">
        <v>151</v>
      </c>
      <c r="REC550" s="83" t="s">
        <v>151</v>
      </c>
      <c r="RED550" s="83" t="s">
        <v>151</v>
      </c>
      <c r="REE550" s="83" t="s">
        <v>151</v>
      </c>
      <c r="REF550" s="83" t="s">
        <v>151</v>
      </c>
      <c r="REG550" s="83" t="s">
        <v>151</v>
      </c>
      <c r="REH550" s="83" t="s">
        <v>151</v>
      </c>
      <c r="REI550" s="83" t="s">
        <v>151</v>
      </c>
      <c r="REJ550" s="83" t="s">
        <v>151</v>
      </c>
      <c r="REK550" s="83" t="s">
        <v>151</v>
      </c>
      <c r="REL550" s="83" t="s">
        <v>151</v>
      </c>
      <c r="REM550" s="83" t="s">
        <v>151</v>
      </c>
      <c r="REN550" s="83" t="s">
        <v>151</v>
      </c>
      <c r="REO550" s="83" t="s">
        <v>151</v>
      </c>
      <c r="REP550" s="83" t="s">
        <v>151</v>
      </c>
      <c r="REQ550" s="83" t="s">
        <v>151</v>
      </c>
      <c r="RER550" s="83" t="s">
        <v>151</v>
      </c>
      <c r="RES550" s="83" t="s">
        <v>151</v>
      </c>
      <c r="RET550" s="83" t="s">
        <v>151</v>
      </c>
      <c r="REU550" s="83" t="s">
        <v>151</v>
      </c>
      <c r="REV550" s="83" t="s">
        <v>151</v>
      </c>
      <c r="REW550" s="83" t="s">
        <v>151</v>
      </c>
      <c r="REX550" s="83" t="s">
        <v>151</v>
      </c>
      <c r="REY550" s="83" t="s">
        <v>151</v>
      </c>
      <c r="REZ550" s="83" t="s">
        <v>151</v>
      </c>
      <c r="RFA550" s="83" t="s">
        <v>151</v>
      </c>
      <c r="RFB550" s="83" t="s">
        <v>151</v>
      </c>
      <c r="RFC550" s="83" t="s">
        <v>151</v>
      </c>
      <c r="RFD550" s="83" t="s">
        <v>151</v>
      </c>
      <c r="RFE550" s="83" t="s">
        <v>151</v>
      </c>
      <c r="RFF550" s="83" t="s">
        <v>151</v>
      </c>
      <c r="RFG550" s="83" t="s">
        <v>151</v>
      </c>
      <c r="RFH550" s="83" t="s">
        <v>151</v>
      </c>
      <c r="RFI550" s="83" t="s">
        <v>151</v>
      </c>
      <c r="RFJ550" s="83" t="s">
        <v>151</v>
      </c>
      <c r="RFK550" s="83" t="s">
        <v>151</v>
      </c>
      <c r="RFL550" s="83" t="s">
        <v>151</v>
      </c>
      <c r="RFM550" s="83" t="s">
        <v>151</v>
      </c>
      <c r="RFN550" s="83" t="s">
        <v>151</v>
      </c>
      <c r="RFO550" s="83" t="s">
        <v>151</v>
      </c>
      <c r="RFP550" s="83" t="s">
        <v>151</v>
      </c>
      <c r="RFQ550" s="83" t="s">
        <v>151</v>
      </c>
      <c r="RFR550" s="83" t="s">
        <v>151</v>
      </c>
      <c r="RFS550" s="83" t="s">
        <v>151</v>
      </c>
      <c r="RFT550" s="83" t="s">
        <v>151</v>
      </c>
      <c r="RFU550" s="83" t="s">
        <v>151</v>
      </c>
      <c r="RFV550" s="83" t="s">
        <v>151</v>
      </c>
      <c r="RFW550" s="83" t="s">
        <v>151</v>
      </c>
      <c r="RFX550" s="83" t="s">
        <v>151</v>
      </c>
      <c r="RFY550" s="83" t="s">
        <v>151</v>
      </c>
      <c r="RFZ550" s="83" t="s">
        <v>151</v>
      </c>
      <c r="RGA550" s="83" t="s">
        <v>151</v>
      </c>
      <c r="RGB550" s="83" t="s">
        <v>151</v>
      </c>
      <c r="RGC550" s="83" t="s">
        <v>151</v>
      </c>
      <c r="RGD550" s="83" t="s">
        <v>151</v>
      </c>
      <c r="RGE550" s="83" t="s">
        <v>151</v>
      </c>
      <c r="RGF550" s="83" t="s">
        <v>151</v>
      </c>
      <c r="RGG550" s="83" t="s">
        <v>151</v>
      </c>
      <c r="RGH550" s="83" t="s">
        <v>151</v>
      </c>
      <c r="RGI550" s="83" t="s">
        <v>151</v>
      </c>
      <c r="RGJ550" s="83" t="s">
        <v>151</v>
      </c>
      <c r="RGK550" s="83" t="s">
        <v>151</v>
      </c>
      <c r="RGL550" s="83" t="s">
        <v>151</v>
      </c>
      <c r="RGM550" s="83" t="s">
        <v>151</v>
      </c>
      <c r="RGN550" s="83" t="s">
        <v>151</v>
      </c>
      <c r="RGO550" s="83" t="s">
        <v>151</v>
      </c>
      <c r="RGP550" s="83" t="s">
        <v>151</v>
      </c>
      <c r="RGQ550" s="83" t="s">
        <v>151</v>
      </c>
      <c r="RGR550" s="83" t="s">
        <v>151</v>
      </c>
      <c r="RGS550" s="83" t="s">
        <v>151</v>
      </c>
      <c r="RGT550" s="83" t="s">
        <v>151</v>
      </c>
      <c r="RGU550" s="83" t="s">
        <v>151</v>
      </c>
      <c r="RGV550" s="83" t="s">
        <v>151</v>
      </c>
      <c r="RGW550" s="83" t="s">
        <v>151</v>
      </c>
      <c r="RGX550" s="83" t="s">
        <v>151</v>
      </c>
      <c r="RGY550" s="83" t="s">
        <v>151</v>
      </c>
      <c r="RGZ550" s="83" t="s">
        <v>151</v>
      </c>
      <c r="RHA550" s="83" t="s">
        <v>151</v>
      </c>
      <c r="RHB550" s="83" t="s">
        <v>151</v>
      </c>
      <c r="RHC550" s="83" t="s">
        <v>151</v>
      </c>
      <c r="RHD550" s="83" t="s">
        <v>151</v>
      </c>
      <c r="RHE550" s="83" t="s">
        <v>151</v>
      </c>
      <c r="RHF550" s="83" t="s">
        <v>151</v>
      </c>
      <c r="RHG550" s="83" t="s">
        <v>151</v>
      </c>
      <c r="RHH550" s="83" t="s">
        <v>151</v>
      </c>
      <c r="RHI550" s="83" t="s">
        <v>151</v>
      </c>
      <c r="RHJ550" s="83" t="s">
        <v>151</v>
      </c>
      <c r="RHK550" s="83" t="s">
        <v>151</v>
      </c>
      <c r="RHL550" s="83" t="s">
        <v>151</v>
      </c>
      <c r="RHM550" s="83" t="s">
        <v>151</v>
      </c>
      <c r="RHN550" s="83" t="s">
        <v>151</v>
      </c>
      <c r="RHO550" s="83" t="s">
        <v>151</v>
      </c>
      <c r="RHP550" s="83" t="s">
        <v>151</v>
      </c>
      <c r="RHQ550" s="83" t="s">
        <v>151</v>
      </c>
      <c r="RHR550" s="83" t="s">
        <v>151</v>
      </c>
      <c r="RHS550" s="83" t="s">
        <v>151</v>
      </c>
      <c r="RHT550" s="83" t="s">
        <v>151</v>
      </c>
      <c r="RHU550" s="83" t="s">
        <v>151</v>
      </c>
      <c r="RHV550" s="83" t="s">
        <v>151</v>
      </c>
      <c r="RHW550" s="83" t="s">
        <v>151</v>
      </c>
      <c r="RHX550" s="83" t="s">
        <v>151</v>
      </c>
      <c r="RHY550" s="83" t="s">
        <v>151</v>
      </c>
      <c r="RHZ550" s="83" t="s">
        <v>151</v>
      </c>
      <c r="RIA550" s="83" t="s">
        <v>151</v>
      </c>
      <c r="RIB550" s="83" t="s">
        <v>151</v>
      </c>
      <c r="RIC550" s="83" t="s">
        <v>151</v>
      </c>
      <c r="RID550" s="83" t="s">
        <v>151</v>
      </c>
      <c r="RIE550" s="83" t="s">
        <v>151</v>
      </c>
      <c r="RIF550" s="83" t="s">
        <v>151</v>
      </c>
      <c r="RIG550" s="83" t="s">
        <v>151</v>
      </c>
      <c r="RIH550" s="83" t="s">
        <v>151</v>
      </c>
      <c r="RII550" s="83" t="s">
        <v>151</v>
      </c>
      <c r="RIJ550" s="83" t="s">
        <v>151</v>
      </c>
      <c r="RIK550" s="83" t="s">
        <v>151</v>
      </c>
      <c r="RIL550" s="83" t="s">
        <v>151</v>
      </c>
      <c r="RIM550" s="83" t="s">
        <v>151</v>
      </c>
      <c r="RIN550" s="83" t="s">
        <v>151</v>
      </c>
      <c r="RIO550" s="83" t="s">
        <v>151</v>
      </c>
      <c r="RIP550" s="83" t="s">
        <v>151</v>
      </c>
      <c r="RIQ550" s="83" t="s">
        <v>151</v>
      </c>
      <c r="RIR550" s="83" t="s">
        <v>151</v>
      </c>
      <c r="RIS550" s="83" t="s">
        <v>151</v>
      </c>
      <c r="RIT550" s="83" t="s">
        <v>151</v>
      </c>
      <c r="RIU550" s="83" t="s">
        <v>151</v>
      </c>
      <c r="RIV550" s="83" t="s">
        <v>151</v>
      </c>
      <c r="RIW550" s="83" t="s">
        <v>151</v>
      </c>
      <c r="RIX550" s="83" t="s">
        <v>151</v>
      </c>
      <c r="RIY550" s="83" t="s">
        <v>151</v>
      </c>
      <c r="RIZ550" s="83" t="s">
        <v>151</v>
      </c>
      <c r="RJA550" s="83" t="s">
        <v>151</v>
      </c>
      <c r="RJB550" s="83" t="s">
        <v>151</v>
      </c>
      <c r="RJC550" s="83" t="s">
        <v>151</v>
      </c>
      <c r="RJD550" s="83" t="s">
        <v>151</v>
      </c>
      <c r="RJE550" s="83" t="s">
        <v>151</v>
      </c>
      <c r="RJF550" s="83" t="s">
        <v>151</v>
      </c>
      <c r="RJG550" s="83" t="s">
        <v>151</v>
      </c>
      <c r="RJH550" s="83" t="s">
        <v>151</v>
      </c>
      <c r="RJI550" s="83" t="s">
        <v>151</v>
      </c>
      <c r="RJJ550" s="83" t="s">
        <v>151</v>
      </c>
      <c r="RJK550" s="83" t="s">
        <v>151</v>
      </c>
      <c r="RJL550" s="83" t="s">
        <v>151</v>
      </c>
      <c r="RJM550" s="83" t="s">
        <v>151</v>
      </c>
      <c r="RJN550" s="83" t="s">
        <v>151</v>
      </c>
      <c r="RJO550" s="83" t="s">
        <v>151</v>
      </c>
      <c r="RJP550" s="83" t="s">
        <v>151</v>
      </c>
      <c r="RJQ550" s="83" t="s">
        <v>151</v>
      </c>
      <c r="RJR550" s="83" t="s">
        <v>151</v>
      </c>
      <c r="RJS550" s="83" t="s">
        <v>151</v>
      </c>
      <c r="RJT550" s="83" t="s">
        <v>151</v>
      </c>
      <c r="RJU550" s="83" t="s">
        <v>151</v>
      </c>
      <c r="RJV550" s="83" t="s">
        <v>151</v>
      </c>
      <c r="RJW550" s="83" t="s">
        <v>151</v>
      </c>
      <c r="RJX550" s="83" t="s">
        <v>151</v>
      </c>
      <c r="RJY550" s="83" t="s">
        <v>151</v>
      </c>
      <c r="RJZ550" s="83" t="s">
        <v>151</v>
      </c>
      <c r="RKA550" s="83" t="s">
        <v>151</v>
      </c>
      <c r="RKB550" s="83" t="s">
        <v>151</v>
      </c>
      <c r="RKC550" s="83" t="s">
        <v>151</v>
      </c>
      <c r="RKD550" s="83" t="s">
        <v>151</v>
      </c>
      <c r="RKE550" s="83" t="s">
        <v>151</v>
      </c>
      <c r="RKF550" s="83" t="s">
        <v>151</v>
      </c>
      <c r="RKG550" s="83" t="s">
        <v>151</v>
      </c>
      <c r="RKH550" s="83" t="s">
        <v>151</v>
      </c>
      <c r="RKI550" s="83" t="s">
        <v>151</v>
      </c>
      <c r="RKJ550" s="83" t="s">
        <v>151</v>
      </c>
      <c r="RKK550" s="83" t="s">
        <v>151</v>
      </c>
      <c r="RKL550" s="83" t="s">
        <v>151</v>
      </c>
      <c r="RKM550" s="83" t="s">
        <v>151</v>
      </c>
      <c r="RKN550" s="83" t="s">
        <v>151</v>
      </c>
      <c r="RKO550" s="83" t="s">
        <v>151</v>
      </c>
      <c r="RKP550" s="83" t="s">
        <v>151</v>
      </c>
      <c r="RKQ550" s="83" t="s">
        <v>151</v>
      </c>
      <c r="RKR550" s="83" t="s">
        <v>151</v>
      </c>
      <c r="RKS550" s="83" t="s">
        <v>151</v>
      </c>
      <c r="RKT550" s="83" t="s">
        <v>151</v>
      </c>
      <c r="RKU550" s="83" t="s">
        <v>151</v>
      </c>
      <c r="RKV550" s="83" t="s">
        <v>151</v>
      </c>
      <c r="RKW550" s="83" t="s">
        <v>151</v>
      </c>
      <c r="RKX550" s="83" t="s">
        <v>151</v>
      </c>
      <c r="RKY550" s="83" t="s">
        <v>151</v>
      </c>
      <c r="RKZ550" s="83" t="s">
        <v>151</v>
      </c>
      <c r="RLA550" s="83" t="s">
        <v>151</v>
      </c>
      <c r="RLB550" s="83" t="s">
        <v>151</v>
      </c>
      <c r="RLC550" s="83" t="s">
        <v>151</v>
      </c>
      <c r="RLD550" s="83" t="s">
        <v>151</v>
      </c>
      <c r="RLE550" s="83" t="s">
        <v>151</v>
      </c>
      <c r="RLF550" s="83" t="s">
        <v>151</v>
      </c>
      <c r="RLG550" s="83" t="s">
        <v>151</v>
      </c>
      <c r="RLH550" s="83" t="s">
        <v>151</v>
      </c>
      <c r="RLI550" s="83" t="s">
        <v>151</v>
      </c>
      <c r="RLJ550" s="83" t="s">
        <v>151</v>
      </c>
      <c r="RLK550" s="83" t="s">
        <v>151</v>
      </c>
      <c r="RLL550" s="83" t="s">
        <v>151</v>
      </c>
      <c r="RLM550" s="83" t="s">
        <v>151</v>
      </c>
      <c r="RLN550" s="83" t="s">
        <v>151</v>
      </c>
      <c r="RLO550" s="83" t="s">
        <v>151</v>
      </c>
      <c r="RLP550" s="83" t="s">
        <v>151</v>
      </c>
      <c r="RLQ550" s="83" t="s">
        <v>151</v>
      </c>
      <c r="RLR550" s="83" t="s">
        <v>151</v>
      </c>
      <c r="RLS550" s="83" t="s">
        <v>151</v>
      </c>
      <c r="RLT550" s="83" t="s">
        <v>151</v>
      </c>
      <c r="RLU550" s="83" t="s">
        <v>151</v>
      </c>
      <c r="RLV550" s="83" t="s">
        <v>151</v>
      </c>
      <c r="RLW550" s="83" t="s">
        <v>151</v>
      </c>
      <c r="RLX550" s="83" t="s">
        <v>151</v>
      </c>
      <c r="RLY550" s="83" t="s">
        <v>151</v>
      </c>
      <c r="RLZ550" s="83" t="s">
        <v>151</v>
      </c>
      <c r="RMA550" s="83" t="s">
        <v>151</v>
      </c>
      <c r="RMB550" s="83" t="s">
        <v>151</v>
      </c>
      <c r="RMC550" s="83" t="s">
        <v>151</v>
      </c>
      <c r="RMD550" s="83" t="s">
        <v>151</v>
      </c>
      <c r="RME550" s="83" t="s">
        <v>151</v>
      </c>
      <c r="RMF550" s="83" t="s">
        <v>151</v>
      </c>
      <c r="RMG550" s="83" t="s">
        <v>151</v>
      </c>
      <c r="RMH550" s="83" t="s">
        <v>151</v>
      </c>
      <c r="RMI550" s="83" t="s">
        <v>151</v>
      </c>
      <c r="RMJ550" s="83" t="s">
        <v>151</v>
      </c>
      <c r="RMK550" s="83" t="s">
        <v>151</v>
      </c>
      <c r="RML550" s="83" t="s">
        <v>151</v>
      </c>
      <c r="RMM550" s="83" t="s">
        <v>151</v>
      </c>
      <c r="RMN550" s="83" t="s">
        <v>151</v>
      </c>
      <c r="RMO550" s="83" t="s">
        <v>151</v>
      </c>
      <c r="RMP550" s="83" t="s">
        <v>151</v>
      </c>
      <c r="RMQ550" s="83" t="s">
        <v>151</v>
      </c>
      <c r="RMR550" s="83" t="s">
        <v>151</v>
      </c>
      <c r="RMS550" s="83" t="s">
        <v>151</v>
      </c>
      <c r="RMT550" s="83" t="s">
        <v>151</v>
      </c>
      <c r="RMU550" s="83" t="s">
        <v>151</v>
      </c>
      <c r="RMV550" s="83" t="s">
        <v>151</v>
      </c>
      <c r="RMW550" s="83" t="s">
        <v>151</v>
      </c>
      <c r="RMX550" s="83" t="s">
        <v>151</v>
      </c>
      <c r="RMY550" s="83" t="s">
        <v>151</v>
      </c>
      <c r="RMZ550" s="83" t="s">
        <v>151</v>
      </c>
      <c r="RNA550" s="83" t="s">
        <v>151</v>
      </c>
      <c r="RNB550" s="83" t="s">
        <v>151</v>
      </c>
      <c r="RNC550" s="83" t="s">
        <v>151</v>
      </c>
      <c r="RND550" s="83" t="s">
        <v>151</v>
      </c>
      <c r="RNE550" s="83" t="s">
        <v>151</v>
      </c>
      <c r="RNF550" s="83" t="s">
        <v>151</v>
      </c>
      <c r="RNG550" s="83" t="s">
        <v>151</v>
      </c>
      <c r="RNH550" s="83" t="s">
        <v>151</v>
      </c>
      <c r="RNI550" s="83" t="s">
        <v>151</v>
      </c>
      <c r="RNJ550" s="83" t="s">
        <v>151</v>
      </c>
      <c r="RNK550" s="83" t="s">
        <v>151</v>
      </c>
      <c r="RNL550" s="83" t="s">
        <v>151</v>
      </c>
      <c r="RNM550" s="83" t="s">
        <v>151</v>
      </c>
      <c r="RNN550" s="83" t="s">
        <v>151</v>
      </c>
      <c r="RNO550" s="83" t="s">
        <v>151</v>
      </c>
      <c r="RNP550" s="83" t="s">
        <v>151</v>
      </c>
      <c r="RNQ550" s="83" t="s">
        <v>151</v>
      </c>
      <c r="RNR550" s="83" t="s">
        <v>151</v>
      </c>
      <c r="RNS550" s="83" t="s">
        <v>151</v>
      </c>
      <c r="RNT550" s="83" t="s">
        <v>151</v>
      </c>
      <c r="RNU550" s="83" t="s">
        <v>151</v>
      </c>
      <c r="RNV550" s="83" t="s">
        <v>151</v>
      </c>
      <c r="RNW550" s="83" t="s">
        <v>151</v>
      </c>
      <c r="RNX550" s="83" t="s">
        <v>151</v>
      </c>
      <c r="RNY550" s="83" t="s">
        <v>151</v>
      </c>
      <c r="RNZ550" s="83" t="s">
        <v>151</v>
      </c>
      <c r="ROA550" s="83" t="s">
        <v>151</v>
      </c>
      <c r="ROB550" s="83" t="s">
        <v>151</v>
      </c>
      <c r="ROC550" s="83" t="s">
        <v>151</v>
      </c>
      <c r="ROD550" s="83" t="s">
        <v>151</v>
      </c>
      <c r="ROE550" s="83" t="s">
        <v>151</v>
      </c>
      <c r="ROF550" s="83" t="s">
        <v>151</v>
      </c>
      <c r="ROG550" s="83" t="s">
        <v>151</v>
      </c>
      <c r="ROH550" s="83" t="s">
        <v>151</v>
      </c>
      <c r="ROI550" s="83" t="s">
        <v>151</v>
      </c>
      <c r="ROJ550" s="83" t="s">
        <v>151</v>
      </c>
      <c r="ROK550" s="83" t="s">
        <v>151</v>
      </c>
      <c r="ROL550" s="83" t="s">
        <v>151</v>
      </c>
      <c r="ROM550" s="83" t="s">
        <v>151</v>
      </c>
      <c r="RON550" s="83" t="s">
        <v>151</v>
      </c>
      <c r="ROO550" s="83" t="s">
        <v>151</v>
      </c>
      <c r="ROP550" s="83" t="s">
        <v>151</v>
      </c>
      <c r="ROQ550" s="83" t="s">
        <v>151</v>
      </c>
      <c r="ROR550" s="83" t="s">
        <v>151</v>
      </c>
      <c r="ROS550" s="83" t="s">
        <v>151</v>
      </c>
      <c r="ROT550" s="83" t="s">
        <v>151</v>
      </c>
      <c r="ROU550" s="83" t="s">
        <v>151</v>
      </c>
      <c r="ROV550" s="83" t="s">
        <v>151</v>
      </c>
      <c r="ROW550" s="83" t="s">
        <v>151</v>
      </c>
      <c r="ROX550" s="83" t="s">
        <v>151</v>
      </c>
      <c r="ROY550" s="83" t="s">
        <v>151</v>
      </c>
      <c r="ROZ550" s="83" t="s">
        <v>151</v>
      </c>
      <c r="RPA550" s="83" t="s">
        <v>151</v>
      </c>
      <c r="RPB550" s="83" t="s">
        <v>151</v>
      </c>
      <c r="RPC550" s="83" t="s">
        <v>151</v>
      </c>
      <c r="RPD550" s="83" t="s">
        <v>151</v>
      </c>
      <c r="RPE550" s="83" t="s">
        <v>151</v>
      </c>
      <c r="RPF550" s="83" t="s">
        <v>151</v>
      </c>
      <c r="RPG550" s="83" t="s">
        <v>151</v>
      </c>
      <c r="RPH550" s="83" t="s">
        <v>151</v>
      </c>
      <c r="RPI550" s="83" t="s">
        <v>151</v>
      </c>
      <c r="RPJ550" s="83" t="s">
        <v>151</v>
      </c>
      <c r="RPK550" s="83" t="s">
        <v>151</v>
      </c>
      <c r="RPL550" s="83" t="s">
        <v>151</v>
      </c>
      <c r="RPM550" s="83" t="s">
        <v>151</v>
      </c>
      <c r="RPN550" s="83" t="s">
        <v>151</v>
      </c>
      <c r="RPO550" s="83" t="s">
        <v>151</v>
      </c>
      <c r="RPP550" s="83" t="s">
        <v>151</v>
      </c>
      <c r="RPQ550" s="83" t="s">
        <v>151</v>
      </c>
      <c r="RPR550" s="83" t="s">
        <v>151</v>
      </c>
      <c r="RPS550" s="83" t="s">
        <v>151</v>
      </c>
      <c r="RPT550" s="83" t="s">
        <v>151</v>
      </c>
      <c r="RPU550" s="83" t="s">
        <v>151</v>
      </c>
      <c r="RPV550" s="83" t="s">
        <v>151</v>
      </c>
      <c r="RPW550" s="83" t="s">
        <v>151</v>
      </c>
      <c r="RPX550" s="83" t="s">
        <v>151</v>
      </c>
      <c r="RPY550" s="83" t="s">
        <v>151</v>
      </c>
      <c r="RPZ550" s="83" t="s">
        <v>151</v>
      </c>
      <c r="RQA550" s="83" t="s">
        <v>151</v>
      </c>
      <c r="RQB550" s="83" t="s">
        <v>151</v>
      </c>
      <c r="RQC550" s="83" t="s">
        <v>151</v>
      </c>
      <c r="RQD550" s="83" t="s">
        <v>151</v>
      </c>
      <c r="RQE550" s="83" t="s">
        <v>151</v>
      </c>
      <c r="RQF550" s="83" t="s">
        <v>151</v>
      </c>
      <c r="RQG550" s="83" t="s">
        <v>151</v>
      </c>
      <c r="RQH550" s="83" t="s">
        <v>151</v>
      </c>
      <c r="RQI550" s="83" t="s">
        <v>151</v>
      </c>
      <c r="RQJ550" s="83" t="s">
        <v>151</v>
      </c>
      <c r="RQK550" s="83" t="s">
        <v>151</v>
      </c>
      <c r="RQL550" s="83" t="s">
        <v>151</v>
      </c>
      <c r="RQM550" s="83" t="s">
        <v>151</v>
      </c>
      <c r="RQN550" s="83" t="s">
        <v>151</v>
      </c>
      <c r="RQO550" s="83" t="s">
        <v>151</v>
      </c>
      <c r="RQP550" s="83" t="s">
        <v>151</v>
      </c>
      <c r="RQQ550" s="83" t="s">
        <v>151</v>
      </c>
      <c r="RQR550" s="83" t="s">
        <v>151</v>
      </c>
      <c r="RQS550" s="83" t="s">
        <v>151</v>
      </c>
      <c r="RQT550" s="83" t="s">
        <v>151</v>
      </c>
      <c r="RQU550" s="83" t="s">
        <v>151</v>
      </c>
      <c r="RQV550" s="83" t="s">
        <v>151</v>
      </c>
      <c r="RQW550" s="83" t="s">
        <v>151</v>
      </c>
      <c r="RQX550" s="83" t="s">
        <v>151</v>
      </c>
      <c r="RQY550" s="83" t="s">
        <v>151</v>
      </c>
      <c r="RQZ550" s="83" t="s">
        <v>151</v>
      </c>
      <c r="RRA550" s="83" t="s">
        <v>151</v>
      </c>
      <c r="RRB550" s="83" t="s">
        <v>151</v>
      </c>
      <c r="RRC550" s="83" t="s">
        <v>151</v>
      </c>
      <c r="RRD550" s="83" t="s">
        <v>151</v>
      </c>
      <c r="RRE550" s="83" t="s">
        <v>151</v>
      </c>
      <c r="RRF550" s="83" t="s">
        <v>151</v>
      </c>
      <c r="RRG550" s="83" t="s">
        <v>151</v>
      </c>
      <c r="RRH550" s="83" t="s">
        <v>151</v>
      </c>
      <c r="RRI550" s="83" t="s">
        <v>151</v>
      </c>
      <c r="RRJ550" s="83" t="s">
        <v>151</v>
      </c>
      <c r="RRK550" s="83" t="s">
        <v>151</v>
      </c>
      <c r="RRL550" s="83" t="s">
        <v>151</v>
      </c>
      <c r="RRM550" s="83" t="s">
        <v>151</v>
      </c>
      <c r="RRN550" s="83" t="s">
        <v>151</v>
      </c>
      <c r="RRO550" s="83" t="s">
        <v>151</v>
      </c>
      <c r="RRP550" s="83" t="s">
        <v>151</v>
      </c>
      <c r="RRQ550" s="83" t="s">
        <v>151</v>
      </c>
      <c r="RRR550" s="83" t="s">
        <v>151</v>
      </c>
      <c r="RRS550" s="83" t="s">
        <v>151</v>
      </c>
      <c r="RRT550" s="83" t="s">
        <v>151</v>
      </c>
      <c r="RRU550" s="83" t="s">
        <v>151</v>
      </c>
      <c r="RRV550" s="83" t="s">
        <v>151</v>
      </c>
      <c r="RRW550" s="83" t="s">
        <v>151</v>
      </c>
      <c r="RRX550" s="83" t="s">
        <v>151</v>
      </c>
      <c r="RRY550" s="83" t="s">
        <v>151</v>
      </c>
      <c r="RRZ550" s="83" t="s">
        <v>151</v>
      </c>
      <c r="RSA550" s="83" t="s">
        <v>151</v>
      </c>
      <c r="RSB550" s="83" t="s">
        <v>151</v>
      </c>
      <c r="RSC550" s="83" t="s">
        <v>151</v>
      </c>
      <c r="RSD550" s="83" t="s">
        <v>151</v>
      </c>
      <c r="RSE550" s="83" t="s">
        <v>151</v>
      </c>
      <c r="RSF550" s="83" t="s">
        <v>151</v>
      </c>
      <c r="RSG550" s="83" t="s">
        <v>151</v>
      </c>
      <c r="RSH550" s="83" t="s">
        <v>151</v>
      </c>
      <c r="RSI550" s="83" t="s">
        <v>151</v>
      </c>
      <c r="RSJ550" s="83" t="s">
        <v>151</v>
      </c>
      <c r="RSK550" s="83" t="s">
        <v>151</v>
      </c>
      <c r="RSL550" s="83" t="s">
        <v>151</v>
      </c>
      <c r="RSM550" s="83" t="s">
        <v>151</v>
      </c>
      <c r="RSN550" s="83" t="s">
        <v>151</v>
      </c>
      <c r="RSO550" s="83" t="s">
        <v>151</v>
      </c>
      <c r="RSP550" s="83" t="s">
        <v>151</v>
      </c>
      <c r="RSQ550" s="83" t="s">
        <v>151</v>
      </c>
      <c r="RSR550" s="83" t="s">
        <v>151</v>
      </c>
      <c r="RSS550" s="83" t="s">
        <v>151</v>
      </c>
      <c r="RST550" s="83" t="s">
        <v>151</v>
      </c>
      <c r="RSU550" s="83" t="s">
        <v>151</v>
      </c>
      <c r="RSV550" s="83" t="s">
        <v>151</v>
      </c>
      <c r="RSW550" s="83" t="s">
        <v>151</v>
      </c>
      <c r="RSX550" s="83" t="s">
        <v>151</v>
      </c>
      <c r="RSY550" s="83" t="s">
        <v>151</v>
      </c>
      <c r="RSZ550" s="83" t="s">
        <v>151</v>
      </c>
      <c r="RTA550" s="83" t="s">
        <v>151</v>
      </c>
      <c r="RTB550" s="83" t="s">
        <v>151</v>
      </c>
      <c r="RTC550" s="83" t="s">
        <v>151</v>
      </c>
      <c r="RTD550" s="83" t="s">
        <v>151</v>
      </c>
      <c r="RTE550" s="83" t="s">
        <v>151</v>
      </c>
      <c r="RTF550" s="83" t="s">
        <v>151</v>
      </c>
      <c r="RTG550" s="83" t="s">
        <v>151</v>
      </c>
      <c r="RTH550" s="83" t="s">
        <v>151</v>
      </c>
      <c r="RTI550" s="83" t="s">
        <v>151</v>
      </c>
      <c r="RTJ550" s="83" t="s">
        <v>151</v>
      </c>
      <c r="RTK550" s="83" t="s">
        <v>151</v>
      </c>
      <c r="RTL550" s="83" t="s">
        <v>151</v>
      </c>
      <c r="RTM550" s="83" t="s">
        <v>151</v>
      </c>
      <c r="RTN550" s="83" t="s">
        <v>151</v>
      </c>
      <c r="RTO550" s="83" t="s">
        <v>151</v>
      </c>
      <c r="RTP550" s="83" t="s">
        <v>151</v>
      </c>
      <c r="RTQ550" s="83" t="s">
        <v>151</v>
      </c>
      <c r="RTR550" s="83" t="s">
        <v>151</v>
      </c>
      <c r="RTS550" s="83" t="s">
        <v>151</v>
      </c>
      <c r="RTT550" s="83" t="s">
        <v>151</v>
      </c>
      <c r="RTU550" s="83" t="s">
        <v>151</v>
      </c>
      <c r="RTV550" s="83" t="s">
        <v>151</v>
      </c>
      <c r="RTW550" s="83" t="s">
        <v>151</v>
      </c>
      <c r="RTX550" s="83" t="s">
        <v>151</v>
      </c>
      <c r="RTY550" s="83" t="s">
        <v>151</v>
      </c>
      <c r="RTZ550" s="83" t="s">
        <v>151</v>
      </c>
      <c r="RUA550" s="83" t="s">
        <v>151</v>
      </c>
      <c r="RUB550" s="83" t="s">
        <v>151</v>
      </c>
      <c r="RUC550" s="83" t="s">
        <v>151</v>
      </c>
      <c r="RUD550" s="83" t="s">
        <v>151</v>
      </c>
      <c r="RUE550" s="83" t="s">
        <v>151</v>
      </c>
      <c r="RUF550" s="83" t="s">
        <v>151</v>
      </c>
      <c r="RUG550" s="83" t="s">
        <v>151</v>
      </c>
      <c r="RUH550" s="83" t="s">
        <v>151</v>
      </c>
      <c r="RUI550" s="83" t="s">
        <v>151</v>
      </c>
      <c r="RUJ550" s="83" t="s">
        <v>151</v>
      </c>
      <c r="RUK550" s="83" t="s">
        <v>151</v>
      </c>
      <c r="RUL550" s="83" t="s">
        <v>151</v>
      </c>
      <c r="RUM550" s="83" t="s">
        <v>151</v>
      </c>
      <c r="RUN550" s="83" t="s">
        <v>151</v>
      </c>
      <c r="RUO550" s="83" t="s">
        <v>151</v>
      </c>
      <c r="RUP550" s="83" t="s">
        <v>151</v>
      </c>
      <c r="RUQ550" s="83" t="s">
        <v>151</v>
      </c>
      <c r="RUR550" s="83" t="s">
        <v>151</v>
      </c>
      <c r="RUS550" s="83" t="s">
        <v>151</v>
      </c>
      <c r="RUT550" s="83" t="s">
        <v>151</v>
      </c>
      <c r="RUU550" s="83" t="s">
        <v>151</v>
      </c>
      <c r="RUV550" s="83" t="s">
        <v>151</v>
      </c>
      <c r="RUW550" s="83" t="s">
        <v>151</v>
      </c>
      <c r="RUX550" s="83" t="s">
        <v>151</v>
      </c>
      <c r="RUY550" s="83" t="s">
        <v>151</v>
      </c>
      <c r="RUZ550" s="83" t="s">
        <v>151</v>
      </c>
      <c r="RVA550" s="83" t="s">
        <v>151</v>
      </c>
      <c r="RVB550" s="83" t="s">
        <v>151</v>
      </c>
      <c r="RVC550" s="83" t="s">
        <v>151</v>
      </c>
      <c r="RVD550" s="83" t="s">
        <v>151</v>
      </c>
      <c r="RVE550" s="83" t="s">
        <v>151</v>
      </c>
      <c r="RVF550" s="83" t="s">
        <v>151</v>
      </c>
      <c r="RVG550" s="83" t="s">
        <v>151</v>
      </c>
      <c r="RVH550" s="83" t="s">
        <v>151</v>
      </c>
      <c r="RVI550" s="83" t="s">
        <v>151</v>
      </c>
      <c r="RVJ550" s="83" t="s">
        <v>151</v>
      </c>
      <c r="RVK550" s="83" t="s">
        <v>151</v>
      </c>
      <c r="RVL550" s="83" t="s">
        <v>151</v>
      </c>
      <c r="RVM550" s="83" t="s">
        <v>151</v>
      </c>
      <c r="RVN550" s="83" t="s">
        <v>151</v>
      </c>
      <c r="RVO550" s="83" t="s">
        <v>151</v>
      </c>
      <c r="RVP550" s="83" t="s">
        <v>151</v>
      </c>
      <c r="RVQ550" s="83" t="s">
        <v>151</v>
      </c>
      <c r="RVR550" s="83" t="s">
        <v>151</v>
      </c>
      <c r="RVS550" s="83" t="s">
        <v>151</v>
      </c>
      <c r="RVT550" s="83" t="s">
        <v>151</v>
      </c>
      <c r="RVU550" s="83" t="s">
        <v>151</v>
      </c>
      <c r="RVV550" s="83" t="s">
        <v>151</v>
      </c>
      <c r="RVW550" s="83" t="s">
        <v>151</v>
      </c>
      <c r="RVX550" s="83" t="s">
        <v>151</v>
      </c>
      <c r="RVY550" s="83" t="s">
        <v>151</v>
      </c>
      <c r="RVZ550" s="83" t="s">
        <v>151</v>
      </c>
      <c r="RWA550" s="83" t="s">
        <v>151</v>
      </c>
      <c r="RWB550" s="83" t="s">
        <v>151</v>
      </c>
      <c r="RWC550" s="83" t="s">
        <v>151</v>
      </c>
      <c r="RWD550" s="83" t="s">
        <v>151</v>
      </c>
      <c r="RWE550" s="83" t="s">
        <v>151</v>
      </c>
      <c r="RWF550" s="83" t="s">
        <v>151</v>
      </c>
      <c r="RWG550" s="83" t="s">
        <v>151</v>
      </c>
      <c r="RWH550" s="83" t="s">
        <v>151</v>
      </c>
      <c r="RWI550" s="83" t="s">
        <v>151</v>
      </c>
      <c r="RWJ550" s="83" t="s">
        <v>151</v>
      </c>
      <c r="RWK550" s="83" t="s">
        <v>151</v>
      </c>
      <c r="RWL550" s="83" t="s">
        <v>151</v>
      </c>
      <c r="RWM550" s="83" t="s">
        <v>151</v>
      </c>
      <c r="RWN550" s="83" t="s">
        <v>151</v>
      </c>
      <c r="RWO550" s="83" t="s">
        <v>151</v>
      </c>
      <c r="RWP550" s="83" t="s">
        <v>151</v>
      </c>
      <c r="RWQ550" s="83" t="s">
        <v>151</v>
      </c>
      <c r="RWR550" s="83" t="s">
        <v>151</v>
      </c>
      <c r="RWS550" s="83" t="s">
        <v>151</v>
      </c>
      <c r="RWT550" s="83" t="s">
        <v>151</v>
      </c>
      <c r="RWU550" s="83" t="s">
        <v>151</v>
      </c>
      <c r="RWV550" s="83" t="s">
        <v>151</v>
      </c>
      <c r="RWW550" s="83" t="s">
        <v>151</v>
      </c>
      <c r="RWX550" s="83" t="s">
        <v>151</v>
      </c>
      <c r="RWY550" s="83" t="s">
        <v>151</v>
      </c>
      <c r="RWZ550" s="83" t="s">
        <v>151</v>
      </c>
      <c r="RXA550" s="83" t="s">
        <v>151</v>
      </c>
      <c r="RXB550" s="83" t="s">
        <v>151</v>
      </c>
      <c r="RXC550" s="83" t="s">
        <v>151</v>
      </c>
      <c r="RXD550" s="83" t="s">
        <v>151</v>
      </c>
      <c r="RXE550" s="83" t="s">
        <v>151</v>
      </c>
      <c r="RXF550" s="83" t="s">
        <v>151</v>
      </c>
      <c r="RXG550" s="83" t="s">
        <v>151</v>
      </c>
      <c r="RXH550" s="83" t="s">
        <v>151</v>
      </c>
      <c r="RXI550" s="83" t="s">
        <v>151</v>
      </c>
      <c r="RXJ550" s="83" t="s">
        <v>151</v>
      </c>
      <c r="RXK550" s="83" t="s">
        <v>151</v>
      </c>
      <c r="RXL550" s="83" t="s">
        <v>151</v>
      </c>
      <c r="RXM550" s="83" t="s">
        <v>151</v>
      </c>
      <c r="RXN550" s="83" t="s">
        <v>151</v>
      </c>
      <c r="RXO550" s="83" t="s">
        <v>151</v>
      </c>
      <c r="RXP550" s="83" t="s">
        <v>151</v>
      </c>
      <c r="RXQ550" s="83" t="s">
        <v>151</v>
      </c>
      <c r="RXR550" s="83" t="s">
        <v>151</v>
      </c>
      <c r="RXS550" s="83" t="s">
        <v>151</v>
      </c>
      <c r="RXT550" s="83" t="s">
        <v>151</v>
      </c>
      <c r="RXU550" s="83" t="s">
        <v>151</v>
      </c>
      <c r="RXV550" s="83" t="s">
        <v>151</v>
      </c>
      <c r="RXW550" s="83" t="s">
        <v>151</v>
      </c>
      <c r="RXX550" s="83" t="s">
        <v>151</v>
      </c>
      <c r="RXY550" s="83" t="s">
        <v>151</v>
      </c>
      <c r="RXZ550" s="83" t="s">
        <v>151</v>
      </c>
      <c r="RYA550" s="83" t="s">
        <v>151</v>
      </c>
      <c r="RYB550" s="83" t="s">
        <v>151</v>
      </c>
      <c r="RYC550" s="83" t="s">
        <v>151</v>
      </c>
      <c r="RYD550" s="83" t="s">
        <v>151</v>
      </c>
      <c r="RYE550" s="83" t="s">
        <v>151</v>
      </c>
      <c r="RYF550" s="83" t="s">
        <v>151</v>
      </c>
      <c r="RYG550" s="83" t="s">
        <v>151</v>
      </c>
      <c r="RYH550" s="83" t="s">
        <v>151</v>
      </c>
      <c r="RYI550" s="83" t="s">
        <v>151</v>
      </c>
      <c r="RYJ550" s="83" t="s">
        <v>151</v>
      </c>
      <c r="RYK550" s="83" t="s">
        <v>151</v>
      </c>
      <c r="RYL550" s="83" t="s">
        <v>151</v>
      </c>
      <c r="RYM550" s="83" t="s">
        <v>151</v>
      </c>
      <c r="RYN550" s="83" t="s">
        <v>151</v>
      </c>
      <c r="RYO550" s="83" t="s">
        <v>151</v>
      </c>
      <c r="RYP550" s="83" t="s">
        <v>151</v>
      </c>
      <c r="RYQ550" s="83" t="s">
        <v>151</v>
      </c>
      <c r="RYR550" s="83" t="s">
        <v>151</v>
      </c>
      <c r="RYS550" s="83" t="s">
        <v>151</v>
      </c>
      <c r="RYT550" s="83" t="s">
        <v>151</v>
      </c>
      <c r="RYU550" s="83" t="s">
        <v>151</v>
      </c>
      <c r="RYV550" s="83" t="s">
        <v>151</v>
      </c>
      <c r="RYW550" s="83" t="s">
        <v>151</v>
      </c>
      <c r="RYX550" s="83" t="s">
        <v>151</v>
      </c>
      <c r="RYY550" s="83" t="s">
        <v>151</v>
      </c>
      <c r="RYZ550" s="83" t="s">
        <v>151</v>
      </c>
      <c r="RZA550" s="83" t="s">
        <v>151</v>
      </c>
      <c r="RZB550" s="83" t="s">
        <v>151</v>
      </c>
      <c r="RZC550" s="83" t="s">
        <v>151</v>
      </c>
      <c r="RZD550" s="83" t="s">
        <v>151</v>
      </c>
      <c r="RZE550" s="83" t="s">
        <v>151</v>
      </c>
      <c r="RZF550" s="83" t="s">
        <v>151</v>
      </c>
      <c r="RZG550" s="83" t="s">
        <v>151</v>
      </c>
      <c r="RZH550" s="83" t="s">
        <v>151</v>
      </c>
      <c r="RZI550" s="83" t="s">
        <v>151</v>
      </c>
      <c r="RZJ550" s="83" t="s">
        <v>151</v>
      </c>
      <c r="RZK550" s="83" t="s">
        <v>151</v>
      </c>
      <c r="RZL550" s="83" t="s">
        <v>151</v>
      </c>
      <c r="RZM550" s="83" t="s">
        <v>151</v>
      </c>
      <c r="RZN550" s="83" t="s">
        <v>151</v>
      </c>
      <c r="RZO550" s="83" t="s">
        <v>151</v>
      </c>
      <c r="RZP550" s="83" t="s">
        <v>151</v>
      </c>
      <c r="RZQ550" s="83" t="s">
        <v>151</v>
      </c>
      <c r="RZR550" s="83" t="s">
        <v>151</v>
      </c>
      <c r="RZS550" s="83" t="s">
        <v>151</v>
      </c>
      <c r="RZT550" s="83" t="s">
        <v>151</v>
      </c>
      <c r="RZU550" s="83" t="s">
        <v>151</v>
      </c>
      <c r="RZV550" s="83" t="s">
        <v>151</v>
      </c>
      <c r="RZW550" s="83" t="s">
        <v>151</v>
      </c>
      <c r="RZX550" s="83" t="s">
        <v>151</v>
      </c>
      <c r="RZY550" s="83" t="s">
        <v>151</v>
      </c>
      <c r="RZZ550" s="83" t="s">
        <v>151</v>
      </c>
      <c r="SAA550" s="83" t="s">
        <v>151</v>
      </c>
      <c r="SAB550" s="83" t="s">
        <v>151</v>
      </c>
      <c r="SAC550" s="83" t="s">
        <v>151</v>
      </c>
      <c r="SAD550" s="83" t="s">
        <v>151</v>
      </c>
      <c r="SAE550" s="83" t="s">
        <v>151</v>
      </c>
      <c r="SAF550" s="83" t="s">
        <v>151</v>
      </c>
      <c r="SAG550" s="83" t="s">
        <v>151</v>
      </c>
      <c r="SAH550" s="83" t="s">
        <v>151</v>
      </c>
      <c r="SAI550" s="83" t="s">
        <v>151</v>
      </c>
      <c r="SAJ550" s="83" t="s">
        <v>151</v>
      </c>
      <c r="SAK550" s="83" t="s">
        <v>151</v>
      </c>
      <c r="SAL550" s="83" t="s">
        <v>151</v>
      </c>
      <c r="SAM550" s="83" t="s">
        <v>151</v>
      </c>
      <c r="SAN550" s="83" t="s">
        <v>151</v>
      </c>
      <c r="SAO550" s="83" t="s">
        <v>151</v>
      </c>
      <c r="SAP550" s="83" t="s">
        <v>151</v>
      </c>
      <c r="SAQ550" s="83" t="s">
        <v>151</v>
      </c>
      <c r="SAR550" s="83" t="s">
        <v>151</v>
      </c>
      <c r="SAS550" s="83" t="s">
        <v>151</v>
      </c>
      <c r="SAT550" s="83" t="s">
        <v>151</v>
      </c>
      <c r="SAU550" s="83" t="s">
        <v>151</v>
      </c>
      <c r="SAV550" s="83" t="s">
        <v>151</v>
      </c>
      <c r="SAW550" s="83" t="s">
        <v>151</v>
      </c>
      <c r="SAX550" s="83" t="s">
        <v>151</v>
      </c>
      <c r="SAY550" s="83" t="s">
        <v>151</v>
      </c>
      <c r="SAZ550" s="83" t="s">
        <v>151</v>
      </c>
      <c r="SBA550" s="83" t="s">
        <v>151</v>
      </c>
      <c r="SBB550" s="83" t="s">
        <v>151</v>
      </c>
      <c r="SBC550" s="83" t="s">
        <v>151</v>
      </c>
      <c r="SBD550" s="83" t="s">
        <v>151</v>
      </c>
      <c r="SBE550" s="83" t="s">
        <v>151</v>
      </c>
      <c r="SBF550" s="83" t="s">
        <v>151</v>
      </c>
      <c r="SBG550" s="83" t="s">
        <v>151</v>
      </c>
      <c r="SBH550" s="83" t="s">
        <v>151</v>
      </c>
      <c r="SBI550" s="83" t="s">
        <v>151</v>
      </c>
      <c r="SBJ550" s="83" t="s">
        <v>151</v>
      </c>
      <c r="SBK550" s="83" t="s">
        <v>151</v>
      </c>
      <c r="SBL550" s="83" t="s">
        <v>151</v>
      </c>
      <c r="SBM550" s="83" t="s">
        <v>151</v>
      </c>
      <c r="SBN550" s="83" t="s">
        <v>151</v>
      </c>
      <c r="SBO550" s="83" t="s">
        <v>151</v>
      </c>
      <c r="SBP550" s="83" t="s">
        <v>151</v>
      </c>
      <c r="SBQ550" s="83" t="s">
        <v>151</v>
      </c>
      <c r="SBR550" s="83" t="s">
        <v>151</v>
      </c>
      <c r="SBS550" s="83" t="s">
        <v>151</v>
      </c>
      <c r="SBT550" s="83" t="s">
        <v>151</v>
      </c>
      <c r="SBU550" s="83" t="s">
        <v>151</v>
      </c>
      <c r="SBV550" s="83" t="s">
        <v>151</v>
      </c>
      <c r="SBW550" s="83" t="s">
        <v>151</v>
      </c>
      <c r="SBX550" s="83" t="s">
        <v>151</v>
      </c>
      <c r="SBY550" s="83" t="s">
        <v>151</v>
      </c>
      <c r="SBZ550" s="83" t="s">
        <v>151</v>
      </c>
      <c r="SCA550" s="83" t="s">
        <v>151</v>
      </c>
      <c r="SCB550" s="83" t="s">
        <v>151</v>
      </c>
      <c r="SCC550" s="83" t="s">
        <v>151</v>
      </c>
      <c r="SCD550" s="83" t="s">
        <v>151</v>
      </c>
      <c r="SCE550" s="83" t="s">
        <v>151</v>
      </c>
      <c r="SCF550" s="83" t="s">
        <v>151</v>
      </c>
      <c r="SCG550" s="83" t="s">
        <v>151</v>
      </c>
      <c r="SCH550" s="83" t="s">
        <v>151</v>
      </c>
      <c r="SCI550" s="83" t="s">
        <v>151</v>
      </c>
      <c r="SCJ550" s="83" t="s">
        <v>151</v>
      </c>
      <c r="SCK550" s="83" t="s">
        <v>151</v>
      </c>
      <c r="SCL550" s="83" t="s">
        <v>151</v>
      </c>
      <c r="SCM550" s="83" t="s">
        <v>151</v>
      </c>
      <c r="SCN550" s="83" t="s">
        <v>151</v>
      </c>
      <c r="SCO550" s="83" t="s">
        <v>151</v>
      </c>
      <c r="SCP550" s="83" t="s">
        <v>151</v>
      </c>
      <c r="SCQ550" s="83" t="s">
        <v>151</v>
      </c>
      <c r="SCR550" s="83" t="s">
        <v>151</v>
      </c>
      <c r="SCS550" s="83" t="s">
        <v>151</v>
      </c>
      <c r="SCT550" s="83" t="s">
        <v>151</v>
      </c>
      <c r="SCU550" s="83" t="s">
        <v>151</v>
      </c>
      <c r="SCV550" s="83" t="s">
        <v>151</v>
      </c>
      <c r="SCW550" s="83" t="s">
        <v>151</v>
      </c>
      <c r="SCX550" s="83" t="s">
        <v>151</v>
      </c>
      <c r="SCY550" s="83" t="s">
        <v>151</v>
      </c>
      <c r="SCZ550" s="83" t="s">
        <v>151</v>
      </c>
      <c r="SDA550" s="83" t="s">
        <v>151</v>
      </c>
      <c r="SDB550" s="83" t="s">
        <v>151</v>
      </c>
      <c r="SDC550" s="83" t="s">
        <v>151</v>
      </c>
      <c r="SDD550" s="83" t="s">
        <v>151</v>
      </c>
      <c r="SDE550" s="83" t="s">
        <v>151</v>
      </c>
      <c r="SDF550" s="83" t="s">
        <v>151</v>
      </c>
      <c r="SDG550" s="83" t="s">
        <v>151</v>
      </c>
      <c r="SDH550" s="83" t="s">
        <v>151</v>
      </c>
      <c r="SDI550" s="83" t="s">
        <v>151</v>
      </c>
      <c r="SDJ550" s="83" t="s">
        <v>151</v>
      </c>
      <c r="SDK550" s="83" t="s">
        <v>151</v>
      </c>
      <c r="SDL550" s="83" t="s">
        <v>151</v>
      </c>
      <c r="SDM550" s="83" t="s">
        <v>151</v>
      </c>
      <c r="SDN550" s="83" t="s">
        <v>151</v>
      </c>
      <c r="SDO550" s="83" t="s">
        <v>151</v>
      </c>
      <c r="SDP550" s="83" t="s">
        <v>151</v>
      </c>
      <c r="SDQ550" s="83" t="s">
        <v>151</v>
      </c>
      <c r="SDR550" s="83" t="s">
        <v>151</v>
      </c>
      <c r="SDS550" s="83" t="s">
        <v>151</v>
      </c>
      <c r="SDT550" s="83" t="s">
        <v>151</v>
      </c>
      <c r="SDU550" s="83" t="s">
        <v>151</v>
      </c>
      <c r="SDV550" s="83" t="s">
        <v>151</v>
      </c>
      <c r="SDW550" s="83" t="s">
        <v>151</v>
      </c>
      <c r="SDX550" s="83" t="s">
        <v>151</v>
      </c>
      <c r="SDY550" s="83" t="s">
        <v>151</v>
      </c>
      <c r="SDZ550" s="83" t="s">
        <v>151</v>
      </c>
      <c r="SEA550" s="83" t="s">
        <v>151</v>
      </c>
      <c r="SEB550" s="83" t="s">
        <v>151</v>
      </c>
      <c r="SEC550" s="83" t="s">
        <v>151</v>
      </c>
      <c r="SED550" s="83" t="s">
        <v>151</v>
      </c>
      <c r="SEE550" s="83" t="s">
        <v>151</v>
      </c>
      <c r="SEF550" s="83" t="s">
        <v>151</v>
      </c>
      <c r="SEG550" s="83" t="s">
        <v>151</v>
      </c>
      <c r="SEH550" s="83" t="s">
        <v>151</v>
      </c>
      <c r="SEI550" s="83" t="s">
        <v>151</v>
      </c>
      <c r="SEJ550" s="83" t="s">
        <v>151</v>
      </c>
      <c r="SEK550" s="83" t="s">
        <v>151</v>
      </c>
      <c r="SEL550" s="83" t="s">
        <v>151</v>
      </c>
      <c r="SEM550" s="83" t="s">
        <v>151</v>
      </c>
      <c r="SEN550" s="83" t="s">
        <v>151</v>
      </c>
      <c r="SEO550" s="83" t="s">
        <v>151</v>
      </c>
      <c r="SEP550" s="83" t="s">
        <v>151</v>
      </c>
      <c r="SEQ550" s="83" t="s">
        <v>151</v>
      </c>
      <c r="SER550" s="83" t="s">
        <v>151</v>
      </c>
      <c r="SES550" s="83" t="s">
        <v>151</v>
      </c>
      <c r="SET550" s="83" t="s">
        <v>151</v>
      </c>
      <c r="SEU550" s="83" t="s">
        <v>151</v>
      </c>
      <c r="SEV550" s="83" t="s">
        <v>151</v>
      </c>
      <c r="SEW550" s="83" t="s">
        <v>151</v>
      </c>
      <c r="SEX550" s="83" t="s">
        <v>151</v>
      </c>
      <c r="SEY550" s="83" t="s">
        <v>151</v>
      </c>
      <c r="SEZ550" s="83" t="s">
        <v>151</v>
      </c>
      <c r="SFA550" s="83" t="s">
        <v>151</v>
      </c>
      <c r="SFB550" s="83" t="s">
        <v>151</v>
      </c>
      <c r="SFC550" s="83" t="s">
        <v>151</v>
      </c>
      <c r="SFD550" s="83" t="s">
        <v>151</v>
      </c>
      <c r="SFE550" s="83" t="s">
        <v>151</v>
      </c>
      <c r="SFF550" s="83" t="s">
        <v>151</v>
      </c>
      <c r="SFG550" s="83" t="s">
        <v>151</v>
      </c>
      <c r="SFH550" s="83" t="s">
        <v>151</v>
      </c>
      <c r="SFI550" s="83" t="s">
        <v>151</v>
      </c>
      <c r="SFJ550" s="83" t="s">
        <v>151</v>
      </c>
      <c r="SFK550" s="83" t="s">
        <v>151</v>
      </c>
      <c r="SFL550" s="83" t="s">
        <v>151</v>
      </c>
      <c r="SFM550" s="83" t="s">
        <v>151</v>
      </c>
      <c r="SFN550" s="83" t="s">
        <v>151</v>
      </c>
      <c r="SFO550" s="83" t="s">
        <v>151</v>
      </c>
      <c r="SFP550" s="83" t="s">
        <v>151</v>
      </c>
      <c r="SFQ550" s="83" t="s">
        <v>151</v>
      </c>
      <c r="SFR550" s="83" t="s">
        <v>151</v>
      </c>
      <c r="SFS550" s="83" t="s">
        <v>151</v>
      </c>
      <c r="SFT550" s="83" t="s">
        <v>151</v>
      </c>
      <c r="SFU550" s="83" t="s">
        <v>151</v>
      </c>
      <c r="SFV550" s="83" t="s">
        <v>151</v>
      </c>
      <c r="SFW550" s="83" t="s">
        <v>151</v>
      </c>
      <c r="SFX550" s="83" t="s">
        <v>151</v>
      </c>
      <c r="SFY550" s="83" t="s">
        <v>151</v>
      </c>
      <c r="SFZ550" s="83" t="s">
        <v>151</v>
      </c>
      <c r="SGA550" s="83" t="s">
        <v>151</v>
      </c>
      <c r="SGB550" s="83" t="s">
        <v>151</v>
      </c>
      <c r="SGC550" s="83" t="s">
        <v>151</v>
      </c>
      <c r="SGD550" s="83" t="s">
        <v>151</v>
      </c>
      <c r="SGE550" s="83" t="s">
        <v>151</v>
      </c>
      <c r="SGF550" s="83" t="s">
        <v>151</v>
      </c>
      <c r="SGG550" s="83" t="s">
        <v>151</v>
      </c>
      <c r="SGH550" s="83" t="s">
        <v>151</v>
      </c>
      <c r="SGI550" s="83" t="s">
        <v>151</v>
      </c>
      <c r="SGJ550" s="83" t="s">
        <v>151</v>
      </c>
      <c r="SGK550" s="83" t="s">
        <v>151</v>
      </c>
      <c r="SGL550" s="83" t="s">
        <v>151</v>
      </c>
      <c r="SGM550" s="83" t="s">
        <v>151</v>
      </c>
      <c r="SGN550" s="83" t="s">
        <v>151</v>
      </c>
      <c r="SGO550" s="83" t="s">
        <v>151</v>
      </c>
      <c r="SGP550" s="83" t="s">
        <v>151</v>
      </c>
      <c r="SGQ550" s="83" t="s">
        <v>151</v>
      </c>
      <c r="SGR550" s="83" t="s">
        <v>151</v>
      </c>
      <c r="SGS550" s="83" t="s">
        <v>151</v>
      </c>
      <c r="SGT550" s="83" t="s">
        <v>151</v>
      </c>
      <c r="SGU550" s="83" t="s">
        <v>151</v>
      </c>
      <c r="SGV550" s="83" t="s">
        <v>151</v>
      </c>
      <c r="SGW550" s="83" t="s">
        <v>151</v>
      </c>
      <c r="SGX550" s="83" t="s">
        <v>151</v>
      </c>
      <c r="SGY550" s="83" t="s">
        <v>151</v>
      </c>
      <c r="SGZ550" s="83" t="s">
        <v>151</v>
      </c>
      <c r="SHA550" s="83" t="s">
        <v>151</v>
      </c>
      <c r="SHB550" s="83" t="s">
        <v>151</v>
      </c>
      <c r="SHC550" s="83" t="s">
        <v>151</v>
      </c>
      <c r="SHD550" s="83" t="s">
        <v>151</v>
      </c>
      <c r="SHE550" s="83" t="s">
        <v>151</v>
      </c>
      <c r="SHF550" s="83" t="s">
        <v>151</v>
      </c>
      <c r="SHG550" s="83" t="s">
        <v>151</v>
      </c>
      <c r="SHH550" s="83" t="s">
        <v>151</v>
      </c>
      <c r="SHI550" s="83" t="s">
        <v>151</v>
      </c>
      <c r="SHJ550" s="83" t="s">
        <v>151</v>
      </c>
      <c r="SHK550" s="83" t="s">
        <v>151</v>
      </c>
      <c r="SHL550" s="83" t="s">
        <v>151</v>
      </c>
      <c r="SHM550" s="83" t="s">
        <v>151</v>
      </c>
      <c r="SHN550" s="83" t="s">
        <v>151</v>
      </c>
      <c r="SHO550" s="83" t="s">
        <v>151</v>
      </c>
      <c r="SHP550" s="83" t="s">
        <v>151</v>
      </c>
      <c r="SHQ550" s="83" t="s">
        <v>151</v>
      </c>
      <c r="SHR550" s="83" t="s">
        <v>151</v>
      </c>
      <c r="SHS550" s="83" t="s">
        <v>151</v>
      </c>
      <c r="SHT550" s="83" t="s">
        <v>151</v>
      </c>
      <c r="SHU550" s="83" t="s">
        <v>151</v>
      </c>
      <c r="SHV550" s="83" t="s">
        <v>151</v>
      </c>
      <c r="SHW550" s="83" t="s">
        <v>151</v>
      </c>
      <c r="SHX550" s="83" t="s">
        <v>151</v>
      </c>
      <c r="SHY550" s="83" t="s">
        <v>151</v>
      </c>
      <c r="SHZ550" s="83" t="s">
        <v>151</v>
      </c>
      <c r="SIA550" s="83" t="s">
        <v>151</v>
      </c>
      <c r="SIB550" s="83" t="s">
        <v>151</v>
      </c>
      <c r="SIC550" s="83" t="s">
        <v>151</v>
      </c>
      <c r="SID550" s="83" t="s">
        <v>151</v>
      </c>
      <c r="SIE550" s="83" t="s">
        <v>151</v>
      </c>
      <c r="SIF550" s="83" t="s">
        <v>151</v>
      </c>
      <c r="SIG550" s="83" t="s">
        <v>151</v>
      </c>
      <c r="SIH550" s="83" t="s">
        <v>151</v>
      </c>
      <c r="SII550" s="83" t="s">
        <v>151</v>
      </c>
      <c r="SIJ550" s="83" t="s">
        <v>151</v>
      </c>
      <c r="SIK550" s="83" t="s">
        <v>151</v>
      </c>
      <c r="SIL550" s="83" t="s">
        <v>151</v>
      </c>
      <c r="SIM550" s="83" t="s">
        <v>151</v>
      </c>
      <c r="SIN550" s="83" t="s">
        <v>151</v>
      </c>
      <c r="SIO550" s="83" t="s">
        <v>151</v>
      </c>
      <c r="SIP550" s="83" t="s">
        <v>151</v>
      </c>
      <c r="SIQ550" s="83" t="s">
        <v>151</v>
      </c>
      <c r="SIR550" s="83" t="s">
        <v>151</v>
      </c>
      <c r="SIS550" s="83" t="s">
        <v>151</v>
      </c>
      <c r="SIT550" s="83" t="s">
        <v>151</v>
      </c>
      <c r="SIU550" s="83" t="s">
        <v>151</v>
      </c>
      <c r="SIV550" s="83" t="s">
        <v>151</v>
      </c>
      <c r="SIW550" s="83" t="s">
        <v>151</v>
      </c>
      <c r="SIX550" s="83" t="s">
        <v>151</v>
      </c>
      <c r="SIY550" s="83" t="s">
        <v>151</v>
      </c>
      <c r="SIZ550" s="83" t="s">
        <v>151</v>
      </c>
      <c r="SJA550" s="83" t="s">
        <v>151</v>
      </c>
      <c r="SJB550" s="83" t="s">
        <v>151</v>
      </c>
      <c r="SJC550" s="83" t="s">
        <v>151</v>
      </c>
      <c r="SJD550" s="83" t="s">
        <v>151</v>
      </c>
      <c r="SJE550" s="83" t="s">
        <v>151</v>
      </c>
      <c r="SJF550" s="83" t="s">
        <v>151</v>
      </c>
      <c r="SJG550" s="83" t="s">
        <v>151</v>
      </c>
      <c r="SJH550" s="83" t="s">
        <v>151</v>
      </c>
      <c r="SJI550" s="83" t="s">
        <v>151</v>
      </c>
      <c r="SJJ550" s="83" t="s">
        <v>151</v>
      </c>
      <c r="SJK550" s="83" t="s">
        <v>151</v>
      </c>
      <c r="SJL550" s="83" t="s">
        <v>151</v>
      </c>
      <c r="SJM550" s="83" t="s">
        <v>151</v>
      </c>
      <c r="SJN550" s="83" t="s">
        <v>151</v>
      </c>
      <c r="SJO550" s="83" t="s">
        <v>151</v>
      </c>
      <c r="SJP550" s="83" t="s">
        <v>151</v>
      </c>
      <c r="SJQ550" s="83" t="s">
        <v>151</v>
      </c>
      <c r="SJR550" s="83" t="s">
        <v>151</v>
      </c>
      <c r="SJS550" s="83" t="s">
        <v>151</v>
      </c>
      <c r="SJT550" s="83" t="s">
        <v>151</v>
      </c>
      <c r="SJU550" s="83" t="s">
        <v>151</v>
      </c>
      <c r="SJV550" s="83" t="s">
        <v>151</v>
      </c>
      <c r="SJW550" s="83" t="s">
        <v>151</v>
      </c>
      <c r="SJX550" s="83" t="s">
        <v>151</v>
      </c>
      <c r="SJY550" s="83" t="s">
        <v>151</v>
      </c>
      <c r="SJZ550" s="83" t="s">
        <v>151</v>
      </c>
      <c r="SKA550" s="83" t="s">
        <v>151</v>
      </c>
      <c r="SKB550" s="83" t="s">
        <v>151</v>
      </c>
      <c r="SKC550" s="83" t="s">
        <v>151</v>
      </c>
      <c r="SKD550" s="83" t="s">
        <v>151</v>
      </c>
      <c r="SKE550" s="83" t="s">
        <v>151</v>
      </c>
      <c r="SKF550" s="83" t="s">
        <v>151</v>
      </c>
      <c r="SKG550" s="83" t="s">
        <v>151</v>
      </c>
      <c r="SKH550" s="83" t="s">
        <v>151</v>
      </c>
      <c r="SKI550" s="83" t="s">
        <v>151</v>
      </c>
      <c r="SKJ550" s="83" t="s">
        <v>151</v>
      </c>
      <c r="SKK550" s="83" t="s">
        <v>151</v>
      </c>
      <c r="SKL550" s="83" t="s">
        <v>151</v>
      </c>
      <c r="SKM550" s="83" t="s">
        <v>151</v>
      </c>
      <c r="SKN550" s="83" t="s">
        <v>151</v>
      </c>
      <c r="SKO550" s="83" t="s">
        <v>151</v>
      </c>
      <c r="SKP550" s="83" t="s">
        <v>151</v>
      </c>
      <c r="SKQ550" s="83" t="s">
        <v>151</v>
      </c>
      <c r="SKR550" s="83" t="s">
        <v>151</v>
      </c>
      <c r="SKS550" s="83" t="s">
        <v>151</v>
      </c>
      <c r="SKT550" s="83" t="s">
        <v>151</v>
      </c>
      <c r="SKU550" s="83" t="s">
        <v>151</v>
      </c>
      <c r="SKV550" s="83" t="s">
        <v>151</v>
      </c>
      <c r="SKW550" s="83" t="s">
        <v>151</v>
      </c>
      <c r="SKX550" s="83" t="s">
        <v>151</v>
      </c>
      <c r="SKY550" s="83" t="s">
        <v>151</v>
      </c>
      <c r="SKZ550" s="83" t="s">
        <v>151</v>
      </c>
      <c r="SLA550" s="83" t="s">
        <v>151</v>
      </c>
      <c r="SLB550" s="83" t="s">
        <v>151</v>
      </c>
      <c r="SLC550" s="83" t="s">
        <v>151</v>
      </c>
      <c r="SLD550" s="83" t="s">
        <v>151</v>
      </c>
      <c r="SLE550" s="83" t="s">
        <v>151</v>
      </c>
      <c r="SLF550" s="83" t="s">
        <v>151</v>
      </c>
      <c r="SLG550" s="83" t="s">
        <v>151</v>
      </c>
      <c r="SLH550" s="83" t="s">
        <v>151</v>
      </c>
      <c r="SLI550" s="83" t="s">
        <v>151</v>
      </c>
      <c r="SLJ550" s="83" t="s">
        <v>151</v>
      </c>
      <c r="SLK550" s="83" t="s">
        <v>151</v>
      </c>
      <c r="SLL550" s="83" t="s">
        <v>151</v>
      </c>
      <c r="SLM550" s="83" t="s">
        <v>151</v>
      </c>
      <c r="SLN550" s="83" t="s">
        <v>151</v>
      </c>
      <c r="SLO550" s="83" t="s">
        <v>151</v>
      </c>
      <c r="SLP550" s="83" t="s">
        <v>151</v>
      </c>
      <c r="SLQ550" s="83" t="s">
        <v>151</v>
      </c>
      <c r="SLR550" s="83" t="s">
        <v>151</v>
      </c>
      <c r="SLS550" s="83" t="s">
        <v>151</v>
      </c>
      <c r="SLT550" s="83" t="s">
        <v>151</v>
      </c>
      <c r="SLU550" s="83" t="s">
        <v>151</v>
      </c>
      <c r="SLV550" s="83" t="s">
        <v>151</v>
      </c>
      <c r="SLW550" s="83" t="s">
        <v>151</v>
      </c>
      <c r="SLX550" s="83" t="s">
        <v>151</v>
      </c>
      <c r="SLY550" s="83" t="s">
        <v>151</v>
      </c>
      <c r="SLZ550" s="83" t="s">
        <v>151</v>
      </c>
      <c r="SMA550" s="83" t="s">
        <v>151</v>
      </c>
      <c r="SMB550" s="83" t="s">
        <v>151</v>
      </c>
      <c r="SMC550" s="83" t="s">
        <v>151</v>
      </c>
      <c r="SMD550" s="83" t="s">
        <v>151</v>
      </c>
      <c r="SME550" s="83" t="s">
        <v>151</v>
      </c>
      <c r="SMF550" s="83" t="s">
        <v>151</v>
      </c>
      <c r="SMG550" s="83" t="s">
        <v>151</v>
      </c>
      <c r="SMH550" s="83" t="s">
        <v>151</v>
      </c>
      <c r="SMI550" s="83" t="s">
        <v>151</v>
      </c>
      <c r="SMJ550" s="83" t="s">
        <v>151</v>
      </c>
      <c r="SMK550" s="83" t="s">
        <v>151</v>
      </c>
      <c r="SML550" s="83" t="s">
        <v>151</v>
      </c>
      <c r="SMM550" s="83" t="s">
        <v>151</v>
      </c>
      <c r="SMN550" s="83" t="s">
        <v>151</v>
      </c>
      <c r="SMO550" s="83" t="s">
        <v>151</v>
      </c>
      <c r="SMP550" s="83" t="s">
        <v>151</v>
      </c>
      <c r="SMQ550" s="83" t="s">
        <v>151</v>
      </c>
      <c r="SMR550" s="83" t="s">
        <v>151</v>
      </c>
      <c r="SMS550" s="83" t="s">
        <v>151</v>
      </c>
      <c r="SMT550" s="83" t="s">
        <v>151</v>
      </c>
      <c r="SMU550" s="83" t="s">
        <v>151</v>
      </c>
      <c r="SMV550" s="83" t="s">
        <v>151</v>
      </c>
      <c r="SMW550" s="83" t="s">
        <v>151</v>
      </c>
      <c r="SMX550" s="83" t="s">
        <v>151</v>
      </c>
      <c r="SMY550" s="83" t="s">
        <v>151</v>
      </c>
      <c r="SMZ550" s="83" t="s">
        <v>151</v>
      </c>
      <c r="SNA550" s="83" t="s">
        <v>151</v>
      </c>
      <c r="SNB550" s="83" t="s">
        <v>151</v>
      </c>
      <c r="SNC550" s="83" t="s">
        <v>151</v>
      </c>
      <c r="SND550" s="83" t="s">
        <v>151</v>
      </c>
      <c r="SNE550" s="83" t="s">
        <v>151</v>
      </c>
      <c r="SNF550" s="83" t="s">
        <v>151</v>
      </c>
      <c r="SNG550" s="83" t="s">
        <v>151</v>
      </c>
      <c r="SNH550" s="83" t="s">
        <v>151</v>
      </c>
      <c r="SNI550" s="83" t="s">
        <v>151</v>
      </c>
      <c r="SNJ550" s="83" t="s">
        <v>151</v>
      </c>
      <c r="SNK550" s="83" t="s">
        <v>151</v>
      </c>
      <c r="SNL550" s="83" t="s">
        <v>151</v>
      </c>
      <c r="SNM550" s="83" t="s">
        <v>151</v>
      </c>
      <c r="SNN550" s="83" t="s">
        <v>151</v>
      </c>
      <c r="SNO550" s="83" t="s">
        <v>151</v>
      </c>
      <c r="SNP550" s="83" t="s">
        <v>151</v>
      </c>
      <c r="SNQ550" s="83" t="s">
        <v>151</v>
      </c>
      <c r="SNR550" s="83" t="s">
        <v>151</v>
      </c>
      <c r="SNS550" s="83" t="s">
        <v>151</v>
      </c>
      <c r="SNT550" s="83" t="s">
        <v>151</v>
      </c>
      <c r="SNU550" s="83" t="s">
        <v>151</v>
      </c>
      <c r="SNV550" s="83" t="s">
        <v>151</v>
      </c>
      <c r="SNW550" s="83" t="s">
        <v>151</v>
      </c>
      <c r="SNX550" s="83" t="s">
        <v>151</v>
      </c>
      <c r="SNY550" s="83" t="s">
        <v>151</v>
      </c>
      <c r="SNZ550" s="83" t="s">
        <v>151</v>
      </c>
      <c r="SOA550" s="83" t="s">
        <v>151</v>
      </c>
      <c r="SOB550" s="83" t="s">
        <v>151</v>
      </c>
      <c r="SOC550" s="83" t="s">
        <v>151</v>
      </c>
      <c r="SOD550" s="83" t="s">
        <v>151</v>
      </c>
      <c r="SOE550" s="83" t="s">
        <v>151</v>
      </c>
      <c r="SOF550" s="83" t="s">
        <v>151</v>
      </c>
      <c r="SOG550" s="83" t="s">
        <v>151</v>
      </c>
      <c r="SOH550" s="83" t="s">
        <v>151</v>
      </c>
      <c r="SOI550" s="83" t="s">
        <v>151</v>
      </c>
      <c r="SOJ550" s="83" t="s">
        <v>151</v>
      </c>
      <c r="SOK550" s="83" t="s">
        <v>151</v>
      </c>
      <c r="SOL550" s="83" t="s">
        <v>151</v>
      </c>
      <c r="SOM550" s="83" t="s">
        <v>151</v>
      </c>
      <c r="SON550" s="83" t="s">
        <v>151</v>
      </c>
      <c r="SOO550" s="83" t="s">
        <v>151</v>
      </c>
      <c r="SOP550" s="83" t="s">
        <v>151</v>
      </c>
      <c r="SOQ550" s="83" t="s">
        <v>151</v>
      </c>
      <c r="SOR550" s="83" t="s">
        <v>151</v>
      </c>
      <c r="SOS550" s="83" t="s">
        <v>151</v>
      </c>
      <c r="SOT550" s="83" t="s">
        <v>151</v>
      </c>
      <c r="SOU550" s="83" t="s">
        <v>151</v>
      </c>
      <c r="SOV550" s="83" t="s">
        <v>151</v>
      </c>
      <c r="SOW550" s="83" t="s">
        <v>151</v>
      </c>
      <c r="SOX550" s="83" t="s">
        <v>151</v>
      </c>
      <c r="SOY550" s="83" t="s">
        <v>151</v>
      </c>
      <c r="SOZ550" s="83" t="s">
        <v>151</v>
      </c>
      <c r="SPA550" s="83" t="s">
        <v>151</v>
      </c>
      <c r="SPB550" s="83" t="s">
        <v>151</v>
      </c>
      <c r="SPC550" s="83" t="s">
        <v>151</v>
      </c>
      <c r="SPD550" s="83" t="s">
        <v>151</v>
      </c>
      <c r="SPE550" s="83" t="s">
        <v>151</v>
      </c>
      <c r="SPF550" s="83" t="s">
        <v>151</v>
      </c>
      <c r="SPG550" s="83" t="s">
        <v>151</v>
      </c>
      <c r="SPH550" s="83" t="s">
        <v>151</v>
      </c>
      <c r="SPI550" s="83" t="s">
        <v>151</v>
      </c>
      <c r="SPJ550" s="83" t="s">
        <v>151</v>
      </c>
      <c r="SPK550" s="83" t="s">
        <v>151</v>
      </c>
      <c r="SPL550" s="83" t="s">
        <v>151</v>
      </c>
      <c r="SPM550" s="83" t="s">
        <v>151</v>
      </c>
      <c r="SPN550" s="83" t="s">
        <v>151</v>
      </c>
      <c r="SPO550" s="83" t="s">
        <v>151</v>
      </c>
      <c r="SPP550" s="83" t="s">
        <v>151</v>
      </c>
      <c r="SPQ550" s="83" t="s">
        <v>151</v>
      </c>
      <c r="SPR550" s="83" t="s">
        <v>151</v>
      </c>
      <c r="SPS550" s="83" t="s">
        <v>151</v>
      </c>
      <c r="SPT550" s="83" t="s">
        <v>151</v>
      </c>
      <c r="SPU550" s="83" t="s">
        <v>151</v>
      </c>
      <c r="SPV550" s="83" t="s">
        <v>151</v>
      </c>
      <c r="SPW550" s="83" t="s">
        <v>151</v>
      </c>
      <c r="SPX550" s="83" t="s">
        <v>151</v>
      </c>
      <c r="SPY550" s="83" t="s">
        <v>151</v>
      </c>
      <c r="SPZ550" s="83" t="s">
        <v>151</v>
      </c>
      <c r="SQA550" s="83" t="s">
        <v>151</v>
      </c>
      <c r="SQB550" s="83" t="s">
        <v>151</v>
      </c>
      <c r="SQC550" s="83" t="s">
        <v>151</v>
      </c>
      <c r="SQD550" s="83" t="s">
        <v>151</v>
      </c>
      <c r="SQE550" s="83" t="s">
        <v>151</v>
      </c>
      <c r="SQF550" s="83" t="s">
        <v>151</v>
      </c>
      <c r="SQG550" s="83" t="s">
        <v>151</v>
      </c>
      <c r="SQH550" s="83" t="s">
        <v>151</v>
      </c>
      <c r="SQI550" s="83" t="s">
        <v>151</v>
      </c>
      <c r="SQJ550" s="83" t="s">
        <v>151</v>
      </c>
      <c r="SQK550" s="83" t="s">
        <v>151</v>
      </c>
      <c r="SQL550" s="83" t="s">
        <v>151</v>
      </c>
      <c r="SQM550" s="83" t="s">
        <v>151</v>
      </c>
      <c r="SQN550" s="83" t="s">
        <v>151</v>
      </c>
      <c r="SQO550" s="83" t="s">
        <v>151</v>
      </c>
      <c r="SQP550" s="83" t="s">
        <v>151</v>
      </c>
      <c r="SQQ550" s="83" t="s">
        <v>151</v>
      </c>
      <c r="SQR550" s="83" t="s">
        <v>151</v>
      </c>
      <c r="SQS550" s="83" t="s">
        <v>151</v>
      </c>
      <c r="SQT550" s="83" t="s">
        <v>151</v>
      </c>
      <c r="SQU550" s="83" t="s">
        <v>151</v>
      </c>
      <c r="SQV550" s="83" t="s">
        <v>151</v>
      </c>
      <c r="SQW550" s="83" t="s">
        <v>151</v>
      </c>
      <c r="SQX550" s="83" t="s">
        <v>151</v>
      </c>
      <c r="SQY550" s="83" t="s">
        <v>151</v>
      </c>
      <c r="SQZ550" s="83" t="s">
        <v>151</v>
      </c>
      <c r="SRA550" s="83" t="s">
        <v>151</v>
      </c>
      <c r="SRB550" s="83" t="s">
        <v>151</v>
      </c>
      <c r="SRC550" s="83" t="s">
        <v>151</v>
      </c>
      <c r="SRD550" s="83" t="s">
        <v>151</v>
      </c>
      <c r="SRE550" s="83" t="s">
        <v>151</v>
      </c>
      <c r="SRF550" s="83" t="s">
        <v>151</v>
      </c>
      <c r="SRG550" s="83" t="s">
        <v>151</v>
      </c>
      <c r="SRH550" s="83" t="s">
        <v>151</v>
      </c>
      <c r="SRI550" s="83" t="s">
        <v>151</v>
      </c>
      <c r="SRJ550" s="83" t="s">
        <v>151</v>
      </c>
      <c r="SRK550" s="83" t="s">
        <v>151</v>
      </c>
      <c r="SRL550" s="83" t="s">
        <v>151</v>
      </c>
      <c r="SRM550" s="83" t="s">
        <v>151</v>
      </c>
      <c r="SRN550" s="83" t="s">
        <v>151</v>
      </c>
      <c r="SRO550" s="83" t="s">
        <v>151</v>
      </c>
      <c r="SRP550" s="83" t="s">
        <v>151</v>
      </c>
      <c r="SRQ550" s="83" t="s">
        <v>151</v>
      </c>
      <c r="SRR550" s="83" t="s">
        <v>151</v>
      </c>
      <c r="SRS550" s="83" t="s">
        <v>151</v>
      </c>
      <c r="SRT550" s="83" t="s">
        <v>151</v>
      </c>
      <c r="SRU550" s="83" t="s">
        <v>151</v>
      </c>
      <c r="SRV550" s="83" t="s">
        <v>151</v>
      </c>
      <c r="SRW550" s="83" t="s">
        <v>151</v>
      </c>
      <c r="SRX550" s="83" t="s">
        <v>151</v>
      </c>
      <c r="SRY550" s="83" t="s">
        <v>151</v>
      </c>
      <c r="SRZ550" s="83" t="s">
        <v>151</v>
      </c>
      <c r="SSA550" s="83" t="s">
        <v>151</v>
      </c>
      <c r="SSB550" s="83" t="s">
        <v>151</v>
      </c>
      <c r="SSC550" s="83" t="s">
        <v>151</v>
      </c>
      <c r="SSD550" s="83" t="s">
        <v>151</v>
      </c>
      <c r="SSE550" s="83" t="s">
        <v>151</v>
      </c>
      <c r="SSF550" s="83" t="s">
        <v>151</v>
      </c>
      <c r="SSG550" s="83" t="s">
        <v>151</v>
      </c>
      <c r="SSH550" s="83" t="s">
        <v>151</v>
      </c>
      <c r="SSI550" s="83" t="s">
        <v>151</v>
      </c>
      <c r="SSJ550" s="83" t="s">
        <v>151</v>
      </c>
      <c r="SSK550" s="83" t="s">
        <v>151</v>
      </c>
      <c r="SSL550" s="83" t="s">
        <v>151</v>
      </c>
      <c r="SSM550" s="83" t="s">
        <v>151</v>
      </c>
      <c r="SSN550" s="83" t="s">
        <v>151</v>
      </c>
      <c r="SSO550" s="83" t="s">
        <v>151</v>
      </c>
      <c r="SSP550" s="83" t="s">
        <v>151</v>
      </c>
      <c r="SSQ550" s="83" t="s">
        <v>151</v>
      </c>
      <c r="SSR550" s="83" t="s">
        <v>151</v>
      </c>
      <c r="SSS550" s="83" t="s">
        <v>151</v>
      </c>
      <c r="SST550" s="83" t="s">
        <v>151</v>
      </c>
      <c r="SSU550" s="83" t="s">
        <v>151</v>
      </c>
      <c r="SSV550" s="83" t="s">
        <v>151</v>
      </c>
      <c r="SSW550" s="83" t="s">
        <v>151</v>
      </c>
      <c r="SSX550" s="83" t="s">
        <v>151</v>
      </c>
      <c r="SSY550" s="83" t="s">
        <v>151</v>
      </c>
      <c r="SSZ550" s="83" t="s">
        <v>151</v>
      </c>
      <c r="STA550" s="83" t="s">
        <v>151</v>
      </c>
      <c r="STB550" s="83" t="s">
        <v>151</v>
      </c>
      <c r="STC550" s="83" t="s">
        <v>151</v>
      </c>
      <c r="STD550" s="83" t="s">
        <v>151</v>
      </c>
      <c r="STE550" s="83" t="s">
        <v>151</v>
      </c>
      <c r="STF550" s="83" t="s">
        <v>151</v>
      </c>
      <c r="STG550" s="83" t="s">
        <v>151</v>
      </c>
      <c r="STH550" s="83" t="s">
        <v>151</v>
      </c>
      <c r="STI550" s="83" t="s">
        <v>151</v>
      </c>
      <c r="STJ550" s="83" t="s">
        <v>151</v>
      </c>
      <c r="STK550" s="83" t="s">
        <v>151</v>
      </c>
      <c r="STL550" s="83" t="s">
        <v>151</v>
      </c>
      <c r="STM550" s="83" t="s">
        <v>151</v>
      </c>
      <c r="STN550" s="83" t="s">
        <v>151</v>
      </c>
      <c r="STO550" s="83" t="s">
        <v>151</v>
      </c>
      <c r="STP550" s="83" t="s">
        <v>151</v>
      </c>
      <c r="STQ550" s="83" t="s">
        <v>151</v>
      </c>
      <c r="STR550" s="83" t="s">
        <v>151</v>
      </c>
      <c r="STS550" s="83" t="s">
        <v>151</v>
      </c>
      <c r="STT550" s="83" t="s">
        <v>151</v>
      </c>
      <c r="STU550" s="83" t="s">
        <v>151</v>
      </c>
      <c r="STV550" s="83" t="s">
        <v>151</v>
      </c>
      <c r="STW550" s="83" t="s">
        <v>151</v>
      </c>
      <c r="STX550" s="83" t="s">
        <v>151</v>
      </c>
      <c r="STY550" s="83" t="s">
        <v>151</v>
      </c>
      <c r="STZ550" s="83" t="s">
        <v>151</v>
      </c>
      <c r="SUA550" s="83" t="s">
        <v>151</v>
      </c>
      <c r="SUB550" s="83" t="s">
        <v>151</v>
      </c>
      <c r="SUC550" s="83" t="s">
        <v>151</v>
      </c>
      <c r="SUD550" s="83" t="s">
        <v>151</v>
      </c>
      <c r="SUE550" s="83" t="s">
        <v>151</v>
      </c>
      <c r="SUF550" s="83" t="s">
        <v>151</v>
      </c>
      <c r="SUG550" s="83" t="s">
        <v>151</v>
      </c>
      <c r="SUH550" s="83" t="s">
        <v>151</v>
      </c>
      <c r="SUI550" s="83" t="s">
        <v>151</v>
      </c>
      <c r="SUJ550" s="83" t="s">
        <v>151</v>
      </c>
      <c r="SUK550" s="83" t="s">
        <v>151</v>
      </c>
      <c r="SUL550" s="83" t="s">
        <v>151</v>
      </c>
      <c r="SUM550" s="83" t="s">
        <v>151</v>
      </c>
      <c r="SUN550" s="83" t="s">
        <v>151</v>
      </c>
      <c r="SUO550" s="83" t="s">
        <v>151</v>
      </c>
      <c r="SUP550" s="83" t="s">
        <v>151</v>
      </c>
      <c r="SUQ550" s="83" t="s">
        <v>151</v>
      </c>
      <c r="SUR550" s="83" t="s">
        <v>151</v>
      </c>
      <c r="SUS550" s="83" t="s">
        <v>151</v>
      </c>
      <c r="SUT550" s="83" t="s">
        <v>151</v>
      </c>
      <c r="SUU550" s="83" t="s">
        <v>151</v>
      </c>
      <c r="SUV550" s="83" t="s">
        <v>151</v>
      </c>
      <c r="SUW550" s="83" t="s">
        <v>151</v>
      </c>
      <c r="SUX550" s="83" t="s">
        <v>151</v>
      </c>
      <c r="SUY550" s="83" t="s">
        <v>151</v>
      </c>
      <c r="SUZ550" s="83" t="s">
        <v>151</v>
      </c>
      <c r="SVA550" s="83" t="s">
        <v>151</v>
      </c>
      <c r="SVB550" s="83" t="s">
        <v>151</v>
      </c>
      <c r="SVC550" s="83" t="s">
        <v>151</v>
      </c>
      <c r="SVD550" s="83" t="s">
        <v>151</v>
      </c>
      <c r="SVE550" s="83" t="s">
        <v>151</v>
      </c>
      <c r="SVF550" s="83" t="s">
        <v>151</v>
      </c>
      <c r="SVG550" s="83" t="s">
        <v>151</v>
      </c>
      <c r="SVH550" s="83" t="s">
        <v>151</v>
      </c>
      <c r="SVI550" s="83" t="s">
        <v>151</v>
      </c>
      <c r="SVJ550" s="83" t="s">
        <v>151</v>
      </c>
      <c r="SVK550" s="83" t="s">
        <v>151</v>
      </c>
      <c r="SVL550" s="83" t="s">
        <v>151</v>
      </c>
      <c r="SVM550" s="83" t="s">
        <v>151</v>
      </c>
      <c r="SVN550" s="83" t="s">
        <v>151</v>
      </c>
      <c r="SVO550" s="83" t="s">
        <v>151</v>
      </c>
      <c r="SVP550" s="83" t="s">
        <v>151</v>
      </c>
      <c r="SVQ550" s="83" t="s">
        <v>151</v>
      </c>
      <c r="SVR550" s="83" t="s">
        <v>151</v>
      </c>
      <c r="SVS550" s="83" t="s">
        <v>151</v>
      </c>
      <c r="SVT550" s="83" t="s">
        <v>151</v>
      </c>
      <c r="SVU550" s="83" t="s">
        <v>151</v>
      </c>
      <c r="SVV550" s="83" t="s">
        <v>151</v>
      </c>
      <c r="SVW550" s="83" t="s">
        <v>151</v>
      </c>
      <c r="SVX550" s="83" t="s">
        <v>151</v>
      </c>
      <c r="SVY550" s="83" t="s">
        <v>151</v>
      </c>
      <c r="SVZ550" s="83" t="s">
        <v>151</v>
      </c>
      <c r="SWA550" s="83" t="s">
        <v>151</v>
      </c>
      <c r="SWB550" s="83" t="s">
        <v>151</v>
      </c>
      <c r="SWC550" s="83" t="s">
        <v>151</v>
      </c>
      <c r="SWD550" s="83" t="s">
        <v>151</v>
      </c>
      <c r="SWE550" s="83" t="s">
        <v>151</v>
      </c>
      <c r="SWF550" s="83" t="s">
        <v>151</v>
      </c>
      <c r="SWG550" s="83" t="s">
        <v>151</v>
      </c>
      <c r="SWH550" s="83" t="s">
        <v>151</v>
      </c>
      <c r="SWI550" s="83" t="s">
        <v>151</v>
      </c>
      <c r="SWJ550" s="83" t="s">
        <v>151</v>
      </c>
      <c r="SWK550" s="83" t="s">
        <v>151</v>
      </c>
      <c r="SWL550" s="83" t="s">
        <v>151</v>
      </c>
      <c r="SWM550" s="83" t="s">
        <v>151</v>
      </c>
      <c r="SWN550" s="83" t="s">
        <v>151</v>
      </c>
      <c r="SWO550" s="83" t="s">
        <v>151</v>
      </c>
      <c r="SWP550" s="83" t="s">
        <v>151</v>
      </c>
      <c r="SWQ550" s="83" t="s">
        <v>151</v>
      </c>
      <c r="SWR550" s="83" t="s">
        <v>151</v>
      </c>
      <c r="SWS550" s="83" t="s">
        <v>151</v>
      </c>
      <c r="SWT550" s="83" t="s">
        <v>151</v>
      </c>
      <c r="SWU550" s="83" t="s">
        <v>151</v>
      </c>
      <c r="SWV550" s="83" t="s">
        <v>151</v>
      </c>
      <c r="SWW550" s="83" t="s">
        <v>151</v>
      </c>
      <c r="SWX550" s="83" t="s">
        <v>151</v>
      </c>
      <c r="SWY550" s="83" t="s">
        <v>151</v>
      </c>
      <c r="SWZ550" s="83" t="s">
        <v>151</v>
      </c>
      <c r="SXA550" s="83" t="s">
        <v>151</v>
      </c>
      <c r="SXB550" s="83" t="s">
        <v>151</v>
      </c>
      <c r="SXC550" s="83" t="s">
        <v>151</v>
      </c>
      <c r="SXD550" s="83" t="s">
        <v>151</v>
      </c>
      <c r="SXE550" s="83" t="s">
        <v>151</v>
      </c>
      <c r="SXF550" s="83" t="s">
        <v>151</v>
      </c>
      <c r="SXG550" s="83" t="s">
        <v>151</v>
      </c>
      <c r="SXH550" s="83" t="s">
        <v>151</v>
      </c>
      <c r="SXI550" s="83" t="s">
        <v>151</v>
      </c>
      <c r="SXJ550" s="83" t="s">
        <v>151</v>
      </c>
      <c r="SXK550" s="83" t="s">
        <v>151</v>
      </c>
      <c r="SXL550" s="83" t="s">
        <v>151</v>
      </c>
      <c r="SXM550" s="83" t="s">
        <v>151</v>
      </c>
      <c r="SXN550" s="83" t="s">
        <v>151</v>
      </c>
      <c r="SXO550" s="83" t="s">
        <v>151</v>
      </c>
      <c r="SXP550" s="83" t="s">
        <v>151</v>
      </c>
      <c r="SXQ550" s="83" t="s">
        <v>151</v>
      </c>
      <c r="SXR550" s="83" t="s">
        <v>151</v>
      </c>
      <c r="SXS550" s="83" t="s">
        <v>151</v>
      </c>
      <c r="SXT550" s="83" t="s">
        <v>151</v>
      </c>
      <c r="SXU550" s="83" t="s">
        <v>151</v>
      </c>
      <c r="SXV550" s="83" t="s">
        <v>151</v>
      </c>
      <c r="SXW550" s="83" t="s">
        <v>151</v>
      </c>
      <c r="SXX550" s="83" t="s">
        <v>151</v>
      </c>
      <c r="SXY550" s="83" t="s">
        <v>151</v>
      </c>
      <c r="SXZ550" s="83" t="s">
        <v>151</v>
      </c>
      <c r="SYA550" s="83" t="s">
        <v>151</v>
      </c>
      <c r="SYB550" s="83" t="s">
        <v>151</v>
      </c>
      <c r="SYC550" s="83" t="s">
        <v>151</v>
      </c>
      <c r="SYD550" s="83" t="s">
        <v>151</v>
      </c>
      <c r="SYE550" s="83" t="s">
        <v>151</v>
      </c>
      <c r="SYF550" s="83" t="s">
        <v>151</v>
      </c>
      <c r="SYG550" s="83" t="s">
        <v>151</v>
      </c>
      <c r="SYH550" s="83" t="s">
        <v>151</v>
      </c>
      <c r="SYI550" s="83" t="s">
        <v>151</v>
      </c>
      <c r="SYJ550" s="83" t="s">
        <v>151</v>
      </c>
      <c r="SYK550" s="83" t="s">
        <v>151</v>
      </c>
      <c r="SYL550" s="83" t="s">
        <v>151</v>
      </c>
      <c r="SYM550" s="83" t="s">
        <v>151</v>
      </c>
      <c r="SYN550" s="83" t="s">
        <v>151</v>
      </c>
      <c r="SYO550" s="83" t="s">
        <v>151</v>
      </c>
      <c r="SYP550" s="83" t="s">
        <v>151</v>
      </c>
      <c r="SYQ550" s="83" t="s">
        <v>151</v>
      </c>
      <c r="SYR550" s="83" t="s">
        <v>151</v>
      </c>
      <c r="SYS550" s="83" t="s">
        <v>151</v>
      </c>
      <c r="SYT550" s="83" t="s">
        <v>151</v>
      </c>
      <c r="SYU550" s="83" t="s">
        <v>151</v>
      </c>
      <c r="SYV550" s="83" t="s">
        <v>151</v>
      </c>
      <c r="SYW550" s="83" t="s">
        <v>151</v>
      </c>
      <c r="SYX550" s="83" t="s">
        <v>151</v>
      </c>
      <c r="SYY550" s="83" t="s">
        <v>151</v>
      </c>
      <c r="SYZ550" s="83" t="s">
        <v>151</v>
      </c>
      <c r="SZA550" s="83" t="s">
        <v>151</v>
      </c>
      <c r="SZB550" s="83" t="s">
        <v>151</v>
      </c>
      <c r="SZC550" s="83" t="s">
        <v>151</v>
      </c>
      <c r="SZD550" s="83" t="s">
        <v>151</v>
      </c>
      <c r="SZE550" s="83" t="s">
        <v>151</v>
      </c>
      <c r="SZF550" s="83" t="s">
        <v>151</v>
      </c>
      <c r="SZG550" s="83" t="s">
        <v>151</v>
      </c>
      <c r="SZH550" s="83" t="s">
        <v>151</v>
      </c>
      <c r="SZI550" s="83" t="s">
        <v>151</v>
      </c>
      <c r="SZJ550" s="83" t="s">
        <v>151</v>
      </c>
      <c r="SZK550" s="83" t="s">
        <v>151</v>
      </c>
      <c r="SZL550" s="83" t="s">
        <v>151</v>
      </c>
      <c r="SZM550" s="83" t="s">
        <v>151</v>
      </c>
      <c r="SZN550" s="83" t="s">
        <v>151</v>
      </c>
      <c r="SZO550" s="83" t="s">
        <v>151</v>
      </c>
      <c r="SZP550" s="83" t="s">
        <v>151</v>
      </c>
      <c r="SZQ550" s="83" t="s">
        <v>151</v>
      </c>
      <c r="SZR550" s="83" t="s">
        <v>151</v>
      </c>
      <c r="SZS550" s="83" t="s">
        <v>151</v>
      </c>
      <c r="SZT550" s="83" t="s">
        <v>151</v>
      </c>
      <c r="SZU550" s="83" t="s">
        <v>151</v>
      </c>
      <c r="SZV550" s="83" t="s">
        <v>151</v>
      </c>
      <c r="SZW550" s="83" t="s">
        <v>151</v>
      </c>
      <c r="SZX550" s="83" t="s">
        <v>151</v>
      </c>
      <c r="SZY550" s="83" t="s">
        <v>151</v>
      </c>
      <c r="SZZ550" s="83" t="s">
        <v>151</v>
      </c>
      <c r="TAA550" s="83" t="s">
        <v>151</v>
      </c>
      <c r="TAB550" s="83" t="s">
        <v>151</v>
      </c>
      <c r="TAC550" s="83" t="s">
        <v>151</v>
      </c>
      <c r="TAD550" s="83" t="s">
        <v>151</v>
      </c>
      <c r="TAE550" s="83" t="s">
        <v>151</v>
      </c>
      <c r="TAF550" s="83" t="s">
        <v>151</v>
      </c>
      <c r="TAG550" s="83" t="s">
        <v>151</v>
      </c>
      <c r="TAH550" s="83" t="s">
        <v>151</v>
      </c>
      <c r="TAI550" s="83" t="s">
        <v>151</v>
      </c>
      <c r="TAJ550" s="83" t="s">
        <v>151</v>
      </c>
      <c r="TAK550" s="83" t="s">
        <v>151</v>
      </c>
      <c r="TAL550" s="83" t="s">
        <v>151</v>
      </c>
      <c r="TAM550" s="83" t="s">
        <v>151</v>
      </c>
      <c r="TAN550" s="83" t="s">
        <v>151</v>
      </c>
      <c r="TAO550" s="83" t="s">
        <v>151</v>
      </c>
      <c r="TAP550" s="83" t="s">
        <v>151</v>
      </c>
      <c r="TAQ550" s="83" t="s">
        <v>151</v>
      </c>
      <c r="TAR550" s="83" t="s">
        <v>151</v>
      </c>
      <c r="TAS550" s="83" t="s">
        <v>151</v>
      </c>
      <c r="TAT550" s="83" t="s">
        <v>151</v>
      </c>
      <c r="TAU550" s="83" t="s">
        <v>151</v>
      </c>
      <c r="TAV550" s="83" t="s">
        <v>151</v>
      </c>
      <c r="TAW550" s="83" t="s">
        <v>151</v>
      </c>
      <c r="TAX550" s="83" t="s">
        <v>151</v>
      </c>
      <c r="TAY550" s="83" t="s">
        <v>151</v>
      </c>
      <c r="TAZ550" s="83" t="s">
        <v>151</v>
      </c>
      <c r="TBA550" s="83" t="s">
        <v>151</v>
      </c>
      <c r="TBB550" s="83" t="s">
        <v>151</v>
      </c>
      <c r="TBC550" s="83" t="s">
        <v>151</v>
      </c>
      <c r="TBD550" s="83" t="s">
        <v>151</v>
      </c>
      <c r="TBE550" s="83" t="s">
        <v>151</v>
      </c>
      <c r="TBF550" s="83" t="s">
        <v>151</v>
      </c>
      <c r="TBG550" s="83" t="s">
        <v>151</v>
      </c>
      <c r="TBH550" s="83" t="s">
        <v>151</v>
      </c>
      <c r="TBI550" s="83" t="s">
        <v>151</v>
      </c>
      <c r="TBJ550" s="83" t="s">
        <v>151</v>
      </c>
      <c r="TBK550" s="83" t="s">
        <v>151</v>
      </c>
      <c r="TBL550" s="83" t="s">
        <v>151</v>
      </c>
      <c r="TBM550" s="83" t="s">
        <v>151</v>
      </c>
      <c r="TBN550" s="83" t="s">
        <v>151</v>
      </c>
      <c r="TBO550" s="83" t="s">
        <v>151</v>
      </c>
      <c r="TBP550" s="83" t="s">
        <v>151</v>
      </c>
      <c r="TBQ550" s="83" t="s">
        <v>151</v>
      </c>
      <c r="TBR550" s="83" t="s">
        <v>151</v>
      </c>
      <c r="TBS550" s="83" t="s">
        <v>151</v>
      </c>
      <c r="TBT550" s="83" t="s">
        <v>151</v>
      </c>
      <c r="TBU550" s="83" t="s">
        <v>151</v>
      </c>
      <c r="TBV550" s="83" t="s">
        <v>151</v>
      </c>
      <c r="TBW550" s="83" t="s">
        <v>151</v>
      </c>
      <c r="TBX550" s="83" t="s">
        <v>151</v>
      </c>
      <c r="TBY550" s="83" t="s">
        <v>151</v>
      </c>
      <c r="TBZ550" s="83" t="s">
        <v>151</v>
      </c>
      <c r="TCA550" s="83" t="s">
        <v>151</v>
      </c>
      <c r="TCB550" s="83" t="s">
        <v>151</v>
      </c>
      <c r="TCC550" s="83" t="s">
        <v>151</v>
      </c>
      <c r="TCD550" s="83" t="s">
        <v>151</v>
      </c>
      <c r="TCE550" s="83" t="s">
        <v>151</v>
      </c>
      <c r="TCF550" s="83" t="s">
        <v>151</v>
      </c>
      <c r="TCG550" s="83" t="s">
        <v>151</v>
      </c>
      <c r="TCH550" s="83" t="s">
        <v>151</v>
      </c>
      <c r="TCI550" s="83" t="s">
        <v>151</v>
      </c>
      <c r="TCJ550" s="83" t="s">
        <v>151</v>
      </c>
      <c r="TCK550" s="83" t="s">
        <v>151</v>
      </c>
      <c r="TCL550" s="83" t="s">
        <v>151</v>
      </c>
      <c r="TCM550" s="83" t="s">
        <v>151</v>
      </c>
      <c r="TCN550" s="83" t="s">
        <v>151</v>
      </c>
      <c r="TCO550" s="83" t="s">
        <v>151</v>
      </c>
      <c r="TCP550" s="83" t="s">
        <v>151</v>
      </c>
      <c r="TCQ550" s="83" t="s">
        <v>151</v>
      </c>
      <c r="TCR550" s="83" t="s">
        <v>151</v>
      </c>
      <c r="TCS550" s="83" t="s">
        <v>151</v>
      </c>
      <c r="TCT550" s="83" t="s">
        <v>151</v>
      </c>
      <c r="TCU550" s="83" t="s">
        <v>151</v>
      </c>
      <c r="TCV550" s="83" t="s">
        <v>151</v>
      </c>
      <c r="TCW550" s="83" t="s">
        <v>151</v>
      </c>
      <c r="TCX550" s="83" t="s">
        <v>151</v>
      </c>
      <c r="TCY550" s="83" t="s">
        <v>151</v>
      </c>
      <c r="TCZ550" s="83" t="s">
        <v>151</v>
      </c>
      <c r="TDA550" s="83" t="s">
        <v>151</v>
      </c>
      <c r="TDB550" s="83" t="s">
        <v>151</v>
      </c>
      <c r="TDC550" s="83" t="s">
        <v>151</v>
      </c>
      <c r="TDD550" s="83" t="s">
        <v>151</v>
      </c>
      <c r="TDE550" s="83" t="s">
        <v>151</v>
      </c>
      <c r="TDF550" s="83" t="s">
        <v>151</v>
      </c>
      <c r="TDG550" s="83" t="s">
        <v>151</v>
      </c>
      <c r="TDH550" s="83" t="s">
        <v>151</v>
      </c>
      <c r="TDI550" s="83" t="s">
        <v>151</v>
      </c>
      <c r="TDJ550" s="83" t="s">
        <v>151</v>
      </c>
      <c r="TDK550" s="83" t="s">
        <v>151</v>
      </c>
      <c r="TDL550" s="83" t="s">
        <v>151</v>
      </c>
      <c r="TDM550" s="83" t="s">
        <v>151</v>
      </c>
      <c r="TDN550" s="83" t="s">
        <v>151</v>
      </c>
      <c r="TDO550" s="83" t="s">
        <v>151</v>
      </c>
      <c r="TDP550" s="83" t="s">
        <v>151</v>
      </c>
      <c r="TDQ550" s="83" t="s">
        <v>151</v>
      </c>
      <c r="TDR550" s="83" t="s">
        <v>151</v>
      </c>
      <c r="TDS550" s="83" t="s">
        <v>151</v>
      </c>
      <c r="TDT550" s="83" t="s">
        <v>151</v>
      </c>
      <c r="TDU550" s="83" t="s">
        <v>151</v>
      </c>
      <c r="TDV550" s="83" t="s">
        <v>151</v>
      </c>
      <c r="TDW550" s="83" t="s">
        <v>151</v>
      </c>
      <c r="TDX550" s="83" t="s">
        <v>151</v>
      </c>
      <c r="TDY550" s="83" t="s">
        <v>151</v>
      </c>
      <c r="TDZ550" s="83" t="s">
        <v>151</v>
      </c>
      <c r="TEA550" s="83" t="s">
        <v>151</v>
      </c>
      <c r="TEB550" s="83" t="s">
        <v>151</v>
      </c>
      <c r="TEC550" s="83" t="s">
        <v>151</v>
      </c>
      <c r="TED550" s="83" t="s">
        <v>151</v>
      </c>
      <c r="TEE550" s="83" t="s">
        <v>151</v>
      </c>
      <c r="TEF550" s="83" t="s">
        <v>151</v>
      </c>
      <c r="TEG550" s="83" t="s">
        <v>151</v>
      </c>
      <c r="TEH550" s="83" t="s">
        <v>151</v>
      </c>
      <c r="TEI550" s="83" t="s">
        <v>151</v>
      </c>
      <c r="TEJ550" s="83" t="s">
        <v>151</v>
      </c>
      <c r="TEK550" s="83" t="s">
        <v>151</v>
      </c>
      <c r="TEL550" s="83" t="s">
        <v>151</v>
      </c>
      <c r="TEM550" s="83" t="s">
        <v>151</v>
      </c>
      <c r="TEN550" s="83" t="s">
        <v>151</v>
      </c>
      <c r="TEO550" s="83" t="s">
        <v>151</v>
      </c>
      <c r="TEP550" s="83" t="s">
        <v>151</v>
      </c>
      <c r="TEQ550" s="83" t="s">
        <v>151</v>
      </c>
      <c r="TER550" s="83" t="s">
        <v>151</v>
      </c>
      <c r="TES550" s="83" t="s">
        <v>151</v>
      </c>
      <c r="TET550" s="83" t="s">
        <v>151</v>
      </c>
      <c r="TEU550" s="83" t="s">
        <v>151</v>
      </c>
      <c r="TEV550" s="83" t="s">
        <v>151</v>
      </c>
      <c r="TEW550" s="83" t="s">
        <v>151</v>
      </c>
      <c r="TEX550" s="83" t="s">
        <v>151</v>
      </c>
      <c r="TEY550" s="83" t="s">
        <v>151</v>
      </c>
      <c r="TEZ550" s="83" t="s">
        <v>151</v>
      </c>
      <c r="TFA550" s="83" t="s">
        <v>151</v>
      </c>
      <c r="TFB550" s="83" t="s">
        <v>151</v>
      </c>
      <c r="TFC550" s="83" t="s">
        <v>151</v>
      </c>
      <c r="TFD550" s="83" t="s">
        <v>151</v>
      </c>
      <c r="TFE550" s="83" t="s">
        <v>151</v>
      </c>
      <c r="TFF550" s="83" t="s">
        <v>151</v>
      </c>
      <c r="TFG550" s="83" t="s">
        <v>151</v>
      </c>
      <c r="TFH550" s="83" t="s">
        <v>151</v>
      </c>
      <c r="TFI550" s="83" t="s">
        <v>151</v>
      </c>
      <c r="TFJ550" s="83" t="s">
        <v>151</v>
      </c>
      <c r="TFK550" s="83" t="s">
        <v>151</v>
      </c>
      <c r="TFL550" s="83" t="s">
        <v>151</v>
      </c>
      <c r="TFM550" s="83" t="s">
        <v>151</v>
      </c>
      <c r="TFN550" s="83" t="s">
        <v>151</v>
      </c>
      <c r="TFO550" s="83" t="s">
        <v>151</v>
      </c>
      <c r="TFP550" s="83" t="s">
        <v>151</v>
      </c>
      <c r="TFQ550" s="83" t="s">
        <v>151</v>
      </c>
      <c r="TFR550" s="83" t="s">
        <v>151</v>
      </c>
      <c r="TFS550" s="83" t="s">
        <v>151</v>
      </c>
      <c r="TFT550" s="83" t="s">
        <v>151</v>
      </c>
      <c r="TFU550" s="83" t="s">
        <v>151</v>
      </c>
      <c r="TFV550" s="83" t="s">
        <v>151</v>
      </c>
      <c r="TFW550" s="83" t="s">
        <v>151</v>
      </c>
      <c r="TFX550" s="83" t="s">
        <v>151</v>
      </c>
      <c r="TFY550" s="83" t="s">
        <v>151</v>
      </c>
      <c r="TFZ550" s="83" t="s">
        <v>151</v>
      </c>
      <c r="TGA550" s="83" t="s">
        <v>151</v>
      </c>
      <c r="TGB550" s="83" t="s">
        <v>151</v>
      </c>
      <c r="TGC550" s="83" t="s">
        <v>151</v>
      </c>
      <c r="TGD550" s="83" t="s">
        <v>151</v>
      </c>
      <c r="TGE550" s="83" t="s">
        <v>151</v>
      </c>
      <c r="TGF550" s="83" t="s">
        <v>151</v>
      </c>
      <c r="TGG550" s="83" t="s">
        <v>151</v>
      </c>
      <c r="TGH550" s="83" t="s">
        <v>151</v>
      </c>
      <c r="TGI550" s="83" t="s">
        <v>151</v>
      </c>
      <c r="TGJ550" s="83" t="s">
        <v>151</v>
      </c>
      <c r="TGK550" s="83" t="s">
        <v>151</v>
      </c>
      <c r="TGL550" s="83" t="s">
        <v>151</v>
      </c>
      <c r="TGM550" s="83" t="s">
        <v>151</v>
      </c>
      <c r="TGN550" s="83" t="s">
        <v>151</v>
      </c>
      <c r="TGO550" s="83" t="s">
        <v>151</v>
      </c>
      <c r="TGP550" s="83" t="s">
        <v>151</v>
      </c>
      <c r="TGQ550" s="83" t="s">
        <v>151</v>
      </c>
      <c r="TGR550" s="83" t="s">
        <v>151</v>
      </c>
      <c r="TGS550" s="83" t="s">
        <v>151</v>
      </c>
      <c r="TGT550" s="83" t="s">
        <v>151</v>
      </c>
      <c r="TGU550" s="83" t="s">
        <v>151</v>
      </c>
      <c r="TGV550" s="83" t="s">
        <v>151</v>
      </c>
      <c r="TGW550" s="83" t="s">
        <v>151</v>
      </c>
      <c r="TGX550" s="83" t="s">
        <v>151</v>
      </c>
      <c r="TGY550" s="83" t="s">
        <v>151</v>
      </c>
      <c r="TGZ550" s="83" t="s">
        <v>151</v>
      </c>
      <c r="THA550" s="83" t="s">
        <v>151</v>
      </c>
      <c r="THB550" s="83" t="s">
        <v>151</v>
      </c>
      <c r="THC550" s="83" t="s">
        <v>151</v>
      </c>
      <c r="THD550" s="83" t="s">
        <v>151</v>
      </c>
      <c r="THE550" s="83" t="s">
        <v>151</v>
      </c>
      <c r="THF550" s="83" t="s">
        <v>151</v>
      </c>
      <c r="THG550" s="83" t="s">
        <v>151</v>
      </c>
      <c r="THH550" s="83" t="s">
        <v>151</v>
      </c>
      <c r="THI550" s="83" t="s">
        <v>151</v>
      </c>
      <c r="THJ550" s="83" t="s">
        <v>151</v>
      </c>
      <c r="THK550" s="83" t="s">
        <v>151</v>
      </c>
      <c r="THL550" s="83" t="s">
        <v>151</v>
      </c>
      <c r="THM550" s="83" t="s">
        <v>151</v>
      </c>
      <c r="THN550" s="83" t="s">
        <v>151</v>
      </c>
      <c r="THO550" s="83" t="s">
        <v>151</v>
      </c>
      <c r="THP550" s="83" t="s">
        <v>151</v>
      </c>
      <c r="THQ550" s="83" t="s">
        <v>151</v>
      </c>
      <c r="THR550" s="83" t="s">
        <v>151</v>
      </c>
      <c r="THS550" s="83" t="s">
        <v>151</v>
      </c>
      <c r="THT550" s="83" t="s">
        <v>151</v>
      </c>
      <c r="THU550" s="83" t="s">
        <v>151</v>
      </c>
      <c r="THV550" s="83" t="s">
        <v>151</v>
      </c>
      <c r="THW550" s="83" t="s">
        <v>151</v>
      </c>
      <c r="THX550" s="83" t="s">
        <v>151</v>
      </c>
      <c r="THY550" s="83" t="s">
        <v>151</v>
      </c>
      <c r="THZ550" s="83" t="s">
        <v>151</v>
      </c>
      <c r="TIA550" s="83" t="s">
        <v>151</v>
      </c>
      <c r="TIB550" s="83" t="s">
        <v>151</v>
      </c>
      <c r="TIC550" s="83" t="s">
        <v>151</v>
      </c>
      <c r="TID550" s="83" t="s">
        <v>151</v>
      </c>
      <c r="TIE550" s="83" t="s">
        <v>151</v>
      </c>
      <c r="TIF550" s="83" t="s">
        <v>151</v>
      </c>
      <c r="TIG550" s="83" t="s">
        <v>151</v>
      </c>
      <c r="TIH550" s="83" t="s">
        <v>151</v>
      </c>
      <c r="TII550" s="83" t="s">
        <v>151</v>
      </c>
      <c r="TIJ550" s="83" t="s">
        <v>151</v>
      </c>
      <c r="TIK550" s="83" t="s">
        <v>151</v>
      </c>
      <c r="TIL550" s="83" t="s">
        <v>151</v>
      </c>
      <c r="TIM550" s="83" t="s">
        <v>151</v>
      </c>
      <c r="TIN550" s="83" t="s">
        <v>151</v>
      </c>
      <c r="TIO550" s="83" t="s">
        <v>151</v>
      </c>
      <c r="TIP550" s="83" t="s">
        <v>151</v>
      </c>
      <c r="TIQ550" s="83" t="s">
        <v>151</v>
      </c>
      <c r="TIR550" s="83" t="s">
        <v>151</v>
      </c>
      <c r="TIS550" s="83" t="s">
        <v>151</v>
      </c>
      <c r="TIT550" s="83" t="s">
        <v>151</v>
      </c>
      <c r="TIU550" s="83" t="s">
        <v>151</v>
      </c>
      <c r="TIV550" s="83" t="s">
        <v>151</v>
      </c>
      <c r="TIW550" s="83" t="s">
        <v>151</v>
      </c>
      <c r="TIX550" s="83" t="s">
        <v>151</v>
      </c>
      <c r="TIY550" s="83" t="s">
        <v>151</v>
      </c>
      <c r="TIZ550" s="83" t="s">
        <v>151</v>
      </c>
      <c r="TJA550" s="83" t="s">
        <v>151</v>
      </c>
      <c r="TJB550" s="83" t="s">
        <v>151</v>
      </c>
      <c r="TJC550" s="83" t="s">
        <v>151</v>
      </c>
      <c r="TJD550" s="83" t="s">
        <v>151</v>
      </c>
      <c r="TJE550" s="83" t="s">
        <v>151</v>
      </c>
      <c r="TJF550" s="83" t="s">
        <v>151</v>
      </c>
      <c r="TJG550" s="83" t="s">
        <v>151</v>
      </c>
      <c r="TJH550" s="83" t="s">
        <v>151</v>
      </c>
      <c r="TJI550" s="83" t="s">
        <v>151</v>
      </c>
      <c r="TJJ550" s="83" t="s">
        <v>151</v>
      </c>
      <c r="TJK550" s="83" t="s">
        <v>151</v>
      </c>
      <c r="TJL550" s="83" t="s">
        <v>151</v>
      </c>
      <c r="TJM550" s="83" t="s">
        <v>151</v>
      </c>
      <c r="TJN550" s="83" t="s">
        <v>151</v>
      </c>
      <c r="TJO550" s="83" t="s">
        <v>151</v>
      </c>
      <c r="TJP550" s="83" t="s">
        <v>151</v>
      </c>
      <c r="TJQ550" s="83" t="s">
        <v>151</v>
      </c>
      <c r="TJR550" s="83" t="s">
        <v>151</v>
      </c>
      <c r="TJS550" s="83" t="s">
        <v>151</v>
      </c>
      <c r="TJT550" s="83" t="s">
        <v>151</v>
      </c>
      <c r="TJU550" s="83" t="s">
        <v>151</v>
      </c>
      <c r="TJV550" s="83" t="s">
        <v>151</v>
      </c>
      <c r="TJW550" s="83" t="s">
        <v>151</v>
      </c>
      <c r="TJX550" s="83" t="s">
        <v>151</v>
      </c>
      <c r="TJY550" s="83" t="s">
        <v>151</v>
      </c>
      <c r="TJZ550" s="83" t="s">
        <v>151</v>
      </c>
      <c r="TKA550" s="83" t="s">
        <v>151</v>
      </c>
      <c r="TKB550" s="83" t="s">
        <v>151</v>
      </c>
      <c r="TKC550" s="83" t="s">
        <v>151</v>
      </c>
      <c r="TKD550" s="83" t="s">
        <v>151</v>
      </c>
      <c r="TKE550" s="83" t="s">
        <v>151</v>
      </c>
      <c r="TKF550" s="83" t="s">
        <v>151</v>
      </c>
      <c r="TKG550" s="83" t="s">
        <v>151</v>
      </c>
      <c r="TKH550" s="83" t="s">
        <v>151</v>
      </c>
      <c r="TKI550" s="83" t="s">
        <v>151</v>
      </c>
      <c r="TKJ550" s="83" t="s">
        <v>151</v>
      </c>
      <c r="TKK550" s="83" t="s">
        <v>151</v>
      </c>
      <c r="TKL550" s="83" t="s">
        <v>151</v>
      </c>
      <c r="TKM550" s="83" t="s">
        <v>151</v>
      </c>
      <c r="TKN550" s="83" t="s">
        <v>151</v>
      </c>
      <c r="TKO550" s="83" t="s">
        <v>151</v>
      </c>
      <c r="TKP550" s="83" t="s">
        <v>151</v>
      </c>
      <c r="TKQ550" s="83" t="s">
        <v>151</v>
      </c>
      <c r="TKR550" s="83" t="s">
        <v>151</v>
      </c>
      <c r="TKS550" s="83" t="s">
        <v>151</v>
      </c>
      <c r="TKT550" s="83" t="s">
        <v>151</v>
      </c>
      <c r="TKU550" s="83" t="s">
        <v>151</v>
      </c>
      <c r="TKV550" s="83" t="s">
        <v>151</v>
      </c>
      <c r="TKW550" s="83" t="s">
        <v>151</v>
      </c>
      <c r="TKX550" s="83" t="s">
        <v>151</v>
      </c>
      <c r="TKY550" s="83" t="s">
        <v>151</v>
      </c>
      <c r="TKZ550" s="83" t="s">
        <v>151</v>
      </c>
      <c r="TLA550" s="83" t="s">
        <v>151</v>
      </c>
      <c r="TLB550" s="83" t="s">
        <v>151</v>
      </c>
      <c r="TLC550" s="83" t="s">
        <v>151</v>
      </c>
      <c r="TLD550" s="83" t="s">
        <v>151</v>
      </c>
      <c r="TLE550" s="83" t="s">
        <v>151</v>
      </c>
      <c r="TLF550" s="83" t="s">
        <v>151</v>
      </c>
      <c r="TLG550" s="83" t="s">
        <v>151</v>
      </c>
      <c r="TLH550" s="83" t="s">
        <v>151</v>
      </c>
      <c r="TLI550" s="83" t="s">
        <v>151</v>
      </c>
      <c r="TLJ550" s="83" t="s">
        <v>151</v>
      </c>
      <c r="TLK550" s="83" t="s">
        <v>151</v>
      </c>
      <c r="TLL550" s="83" t="s">
        <v>151</v>
      </c>
      <c r="TLM550" s="83" t="s">
        <v>151</v>
      </c>
      <c r="TLN550" s="83" t="s">
        <v>151</v>
      </c>
      <c r="TLO550" s="83" t="s">
        <v>151</v>
      </c>
      <c r="TLP550" s="83" t="s">
        <v>151</v>
      </c>
      <c r="TLQ550" s="83" t="s">
        <v>151</v>
      </c>
      <c r="TLR550" s="83" t="s">
        <v>151</v>
      </c>
      <c r="TLS550" s="83" t="s">
        <v>151</v>
      </c>
      <c r="TLT550" s="83" t="s">
        <v>151</v>
      </c>
      <c r="TLU550" s="83" t="s">
        <v>151</v>
      </c>
      <c r="TLV550" s="83" t="s">
        <v>151</v>
      </c>
      <c r="TLW550" s="83" t="s">
        <v>151</v>
      </c>
      <c r="TLX550" s="83" t="s">
        <v>151</v>
      </c>
      <c r="TLY550" s="83" t="s">
        <v>151</v>
      </c>
      <c r="TLZ550" s="83" t="s">
        <v>151</v>
      </c>
      <c r="TMA550" s="83" t="s">
        <v>151</v>
      </c>
      <c r="TMB550" s="83" t="s">
        <v>151</v>
      </c>
      <c r="TMC550" s="83" t="s">
        <v>151</v>
      </c>
      <c r="TMD550" s="83" t="s">
        <v>151</v>
      </c>
      <c r="TME550" s="83" t="s">
        <v>151</v>
      </c>
      <c r="TMF550" s="83" t="s">
        <v>151</v>
      </c>
      <c r="TMG550" s="83" t="s">
        <v>151</v>
      </c>
      <c r="TMH550" s="83" t="s">
        <v>151</v>
      </c>
      <c r="TMI550" s="83" t="s">
        <v>151</v>
      </c>
      <c r="TMJ550" s="83" t="s">
        <v>151</v>
      </c>
      <c r="TMK550" s="83" t="s">
        <v>151</v>
      </c>
      <c r="TML550" s="83" t="s">
        <v>151</v>
      </c>
      <c r="TMM550" s="83" t="s">
        <v>151</v>
      </c>
      <c r="TMN550" s="83" t="s">
        <v>151</v>
      </c>
      <c r="TMO550" s="83" t="s">
        <v>151</v>
      </c>
      <c r="TMP550" s="83" t="s">
        <v>151</v>
      </c>
      <c r="TMQ550" s="83" t="s">
        <v>151</v>
      </c>
      <c r="TMR550" s="83" t="s">
        <v>151</v>
      </c>
      <c r="TMS550" s="83" t="s">
        <v>151</v>
      </c>
      <c r="TMT550" s="83" t="s">
        <v>151</v>
      </c>
      <c r="TMU550" s="83" t="s">
        <v>151</v>
      </c>
      <c r="TMV550" s="83" t="s">
        <v>151</v>
      </c>
      <c r="TMW550" s="83" t="s">
        <v>151</v>
      </c>
      <c r="TMX550" s="83" t="s">
        <v>151</v>
      </c>
      <c r="TMY550" s="83" t="s">
        <v>151</v>
      </c>
      <c r="TMZ550" s="83" t="s">
        <v>151</v>
      </c>
      <c r="TNA550" s="83" t="s">
        <v>151</v>
      </c>
      <c r="TNB550" s="83" t="s">
        <v>151</v>
      </c>
      <c r="TNC550" s="83" t="s">
        <v>151</v>
      </c>
      <c r="TND550" s="83" t="s">
        <v>151</v>
      </c>
      <c r="TNE550" s="83" t="s">
        <v>151</v>
      </c>
      <c r="TNF550" s="83" t="s">
        <v>151</v>
      </c>
      <c r="TNG550" s="83" t="s">
        <v>151</v>
      </c>
      <c r="TNH550" s="83" t="s">
        <v>151</v>
      </c>
      <c r="TNI550" s="83" t="s">
        <v>151</v>
      </c>
      <c r="TNJ550" s="83" t="s">
        <v>151</v>
      </c>
      <c r="TNK550" s="83" t="s">
        <v>151</v>
      </c>
      <c r="TNL550" s="83" t="s">
        <v>151</v>
      </c>
      <c r="TNM550" s="83" t="s">
        <v>151</v>
      </c>
      <c r="TNN550" s="83" t="s">
        <v>151</v>
      </c>
      <c r="TNO550" s="83" t="s">
        <v>151</v>
      </c>
      <c r="TNP550" s="83" t="s">
        <v>151</v>
      </c>
      <c r="TNQ550" s="83" t="s">
        <v>151</v>
      </c>
      <c r="TNR550" s="83" t="s">
        <v>151</v>
      </c>
      <c r="TNS550" s="83" t="s">
        <v>151</v>
      </c>
      <c r="TNT550" s="83" t="s">
        <v>151</v>
      </c>
      <c r="TNU550" s="83" t="s">
        <v>151</v>
      </c>
      <c r="TNV550" s="83" t="s">
        <v>151</v>
      </c>
      <c r="TNW550" s="83" t="s">
        <v>151</v>
      </c>
      <c r="TNX550" s="83" t="s">
        <v>151</v>
      </c>
      <c r="TNY550" s="83" t="s">
        <v>151</v>
      </c>
      <c r="TNZ550" s="83" t="s">
        <v>151</v>
      </c>
      <c r="TOA550" s="83" t="s">
        <v>151</v>
      </c>
      <c r="TOB550" s="83" t="s">
        <v>151</v>
      </c>
      <c r="TOC550" s="83" t="s">
        <v>151</v>
      </c>
      <c r="TOD550" s="83" t="s">
        <v>151</v>
      </c>
      <c r="TOE550" s="83" t="s">
        <v>151</v>
      </c>
      <c r="TOF550" s="83" t="s">
        <v>151</v>
      </c>
      <c r="TOG550" s="83" t="s">
        <v>151</v>
      </c>
      <c r="TOH550" s="83" t="s">
        <v>151</v>
      </c>
      <c r="TOI550" s="83" t="s">
        <v>151</v>
      </c>
      <c r="TOJ550" s="83" t="s">
        <v>151</v>
      </c>
      <c r="TOK550" s="83" t="s">
        <v>151</v>
      </c>
      <c r="TOL550" s="83" t="s">
        <v>151</v>
      </c>
      <c r="TOM550" s="83" t="s">
        <v>151</v>
      </c>
      <c r="TON550" s="83" t="s">
        <v>151</v>
      </c>
      <c r="TOO550" s="83" t="s">
        <v>151</v>
      </c>
      <c r="TOP550" s="83" t="s">
        <v>151</v>
      </c>
      <c r="TOQ550" s="83" t="s">
        <v>151</v>
      </c>
      <c r="TOR550" s="83" t="s">
        <v>151</v>
      </c>
      <c r="TOS550" s="83" t="s">
        <v>151</v>
      </c>
      <c r="TOT550" s="83" t="s">
        <v>151</v>
      </c>
      <c r="TOU550" s="83" t="s">
        <v>151</v>
      </c>
      <c r="TOV550" s="83" t="s">
        <v>151</v>
      </c>
      <c r="TOW550" s="83" t="s">
        <v>151</v>
      </c>
      <c r="TOX550" s="83" t="s">
        <v>151</v>
      </c>
      <c r="TOY550" s="83" t="s">
        <v>151</v>
      </c>
      <c r="TOZ550" s="83" t="s">
        <v>151</v>
      </c>
      <c r="TPA550" s="83" t="s">
        <v>151</v>
      </c>
      <c r="TPB550" s="83" t="s">
        <v>151</v>
      </c>
      <c r="TPC550" s="83" t="s">
        <v>151</v>
      </c>
      <c r="TPD550" s="83" t="s">
        <v>151</v>
      </c>
      <c r="TPE550" s="83" t="s">
        <v>151</v>
      </c>
      <c r="TPF550" s="83" t="s">
        <v>151</v>
      </c>
      <c r="TPG550" s="83" t="s">
        <v>151</v>
      </c>
      <c r="TPH550" s="83" t="s">
        <v>151</v>
      </c>
      <c r="TPI550" s="83" t="s">
        <v>151</v>
      </c>
      <c r="TPJ550" s="83" t="s">
        <v>151</v>
      </c>
      <c r="TPK550" s="83" t="s">
        <v>151</v>
      </c>
      <c r="TPL550" s="83" t="s">
        <v>151</v>
      </c>
      <c r="TPM550" s="83" t="s">
        <v>151</v>
      </c>
      <c r="TPN550" s="83" t="s">
        <v>151</v>
      </c>
      <c r="TPO550" s="83" t="s">
        <v>151</v>
      </c>
      <c r="TPP550" s="83" t="s">
        <v>151</v>
      </c>
      <c r="TPQ550" s="83" t="s">
        <v>151</v>
      </c>
      <c r="TPR550" s="83" t="s">
        <v>151</v>
      </c>
      <c r="TPS550" s="83" t="s">
        <v>151</v>
      </c>
      <c r="TPT550" s="83" t="s">
        <v>151</v>
      </c>
      <c r="TPU550" s="83" t="s">
        <v>151</v>
      </c>
      <c r="TPV550" s="83" t="s">
        <v>151</v>
      </c>
      <c r="TPW550" s="83" t="s">
        <v>151</v>
      </c>
      <c r="TPX550" s="83" t="s">
        <v>151</v>
      </c>
      <c r="TPY550" s="83" t="s">
        <v>151</v>
      </c>
      <c r="TPZ550" s="83" t="s">
        <v>151</v>
      </c>
      <c r="TQA550" s="83" t="s">
        <v>151</v>
      </c>
      <c r="TQB550" s="83" t="s">
        <v>151</v>
      </c>
      <c r="TQC550" s="83" t="s">
        <v>151</v>
      </c>
      <c r="TQD550" s="83" t="s">
        <v>151</v>
      </c>
      <c r="TQE550" s="83" t="s">
        <v>151</v>
      </c>
      <c r="TQF550" s="83" t="s">
        <v>151</v>
      </c>
      <c r="TQG550" s="83" t="s">
        <v>151</v>
      </c>
      <c r="TQH550" s="83" t="s">
        <v>151</v>
      </c>
      <c r="TQI550" s="83" t="s">
        <v>151</v>
      </c>
      <c r="TQJ550" s="83" t="s">
        <v>151</v>
      </c>
      <c r="TQK550" s="83" t="s">
        <v>151</v>
      </c>
      <c r="TQL550" s="83" t="s">
        <v>151</v>
      </c>
      <c r="TQM550" s="83" t="s">
        <v>151</v>
      </c>
      <c r="TQN550" s="83" t="s">
        <v>151</v>
      </c>
      <c r="TQO550" s="83" t="s">
        <v>151</v>
      </c>
      <c r="TQP550" s="83" t="s">
        <v>151</v>
      </c>
      <c r="TQQ550" s="83" t="s">
        <v>151</v>
      </c>
      <c r="TQR550" s="83" t="s">
        <v>151</v>
      </c>
      <c r="TQS550" s="83" t="s">
        <v>151</v>
      </c>
      <c r="TQT550" s="83" t="s">
        <v>151</v>
      </c>
      <c r="TQU550" s="83" t="s">
        <v>151</v>
      </c>
      <c r="TQV550" s="83" t="s">
        <v>151</v>
      </c>
      <c r="TQW550" s="83" t="s">
        <v>151</v>
      </c>
      <c r="TQX550" s="83" t="s">
        <v>151</v>
      </c>
      <c r="TQY550" s="83" t="s">
        <v>151</v>
      </c>
      <c r="TQZ550" s="83" t="s">
        <v>151</v>
      </c>
      <c r="TRA550" s="83" t="s">
        <v>151</v>
      </c>
      <c r="TRB550" s="83" t="s">
        <v>151</v>
      </c>
      <c r="TRC550" s="83" t="s">
        <v>151</v>
      </c>
      <c r="TRD550" s="83" t="s">
        <v>151</v>
      </c>
      <c r="TRE550" s="83" t="s">
        <v>151</v>
      </c>
      <c r="TRF550" s="83" t="s">
        <v>151</v>
      </c>
      <c r="TRG550" s="83" t="s">
        <v>151</v>
      </c>
      <c r="TRH550" s="83" t="s">
        <v>151</v>
      </c>
      <c r="TRI550" s="83" t="s">
        <v>151</v>
      </c>
      <c r="TRJ550" s="83" t="s">
        <v>151</v>
      </c>
      <c r="TRK550" s="83" t="s">
        <v>151</v>
      </c>
      <c r="TRL550" s="83" t="s">
        <v>151</v>
      </c>
      <c r="TRM550" s="83" t="s">
        <v>151</v>
      </c>
      <c r="TRN550" s="83" t="s">
        <v>151</v>
      </c>
      <c r="TRO550" s="83" t="s">
        <v>151</v>
      </c>
      <c r="TRP550" s="83" t="s">
        <v>151</v>
      </c>
      <c r="TRQ550" s="83" t="s">
        <v>151</v>
      </c>
      <c r="TRR550" s="83" t="s">
        <v>151</v>
      </c>
      <c r="TRS550" s="83" t="s">
        <v>151</v>
      </c>
      <c r="TRT550" s="83" t="s">
        <v>151</v>
      </c>
      <c r="TRU550" s="83" t="s">
        <v>151</v>
      </c>
      <c r="TRV550" s="83" t="s">
        <v>151</v>
      </c>
      <c r="TRW550" s="83" t="s">
        <v>151</v>
      </c>
      <c r="TRX550" s="83" t="s">
        <v>151</v>
      </c>
      <c r="TRY550" s="83" t="s">
        <v>151</v>
      </c>
      <c r="TRZ550" s="83" t="s">
        <v>151</v>
      </c>
      <c r="TSA550" s="83" t="s">
        <v>151</v>
      </c>
      <c r="TSB550" s="83" t="s">
        <v>151</v>
      </c>
      <c r="TSC550" s="83" t="s">
        <v>151</v>
      </c>
      <c r="TSD550" s="83" t="s">
        <v>151</v>
      </c>
      <c r="TSE550" s="83" t="s">
        <v>151</v>
      </c>
      <c r="TSF550" s="83" t="s">
        <v>151</v>
      </c>
      <c r="TSG550" s="83" t="s">
        <v>151</v>
      </c>
      <c r="TSH550" s="83" t="s">
        <v>151</v>
      </c>
      <c r="TSI550" s="83" t="s">
        <v>151</v>
      </c>
      <c r="TSJ550" s="83" t="s">
        <v>151</v>
      </c>
      <c r="TSK550" s="83" t="s">
        <v>151</v>
      </c>
      <c r="TSL550" s="83" t="s">
        <v>151</v>
      </c>
      <c r="TSM550" s="83" t="s">
        <v>151</v>
      </c>
      <c r="TSN550" s="83" t="s">
        <v>151</v>
      </c>
      <c r="TSO550" s="83" t="s">
        <v>151</v>
      </c>
      <c r="TSP550" s="83" t="s">
        <v>151</v>
      </c>
      <c r="TSQ550" s="83" t="s">
        <v>151</v>
      </c>
      <c r="TSR550" s="83" t="s">
        <v>151</v>
      </c>
      <c r="TSS550" s="83" t="s">
        <v>151</v>
      </c>
      <c r="TST550" s="83" t="s">
        <v>151</v>
      </c>
      <c r="TSU550" s="83" t="s">
        <v>151</v>
      </c>
      <c r="TSV550" s="83" t="s">
        <v>151</v>
      </c>
      <c r="TSW550" s="83" t="s">
        <v>151</v>
      </c>
      <c r="TSX550" s="83" t="s">
        <v>151</v>
      </c>
      <c r="TSY550" s="83" t="s">
        <v>151</v>
      </c>
      <c r="TSZ550" s="83" t="s">
        <v>151</v>
      </c>
      <c r="TTA550" s="83" t="s">
        <v>151</v>
      </c>
      <c r="TTB550" s="83" t="s">
        <v>151</v>
      </c>
      <c r="TTC550" s="83" t="s">
        <v>151</v>
      </c>
      <c r="TTD550" s="83" t="s">
        <v>151</v>
      </c>
      <c r="TTE550" s="83" t="s">
        <v>151</v>
      </c>
      <c r="TTF550" s="83" t="s">
        <v>151</v>
      </c>
      <c r="TTG550" s="83" t="s">
        <v>151</v>
      </c>
      <c r="TTH550" s="83" t="s">
        <v>151</v>
      </c>
      <c r="TTI550" s="83" t="s">
        <v>151</v>
      </c>
      <c r="TTJ550" s="83" t="s">
        <v>151</v>
      </c>
      <c r="TTK550" s="83" t="s">
        <v>151</v>
      </c>
      <c r="TTL550" s="83" t="s">
        <v>151</v>
      </c>
      <c r="TTM550" s="83" t="s">
        <v>151</v>
      </c>
      <c r="TTN550" s="83" t="s">
        <v>151</v>
      </c>
      <c r="TTO550" s="83" t="s">
        <v>151</v>
      </c>
      <c r="TTP550" s="83" t="s">
        <v>151</v>
      </c>
      <c r="TTQ550" s="83" t="s">
        <v>151</v>
      </c>
      <c r="TTR550" s="83" t="s">
        <v>151</v>
      </c>
      <c r="TTS550" s="83" t="s">
        <v>151</v>
      </c>
      <c r="TTT550" s="83" t="s">
        <v>151</v>
      </c>
      <c r="TTU550" s="83" t="s">
        <v>151</v>
      </c>
      <c r="TTV550" s="83" t="s">
        <v>151</v>
      </c>
      <c r="TTW550" s="83" t="s">
        <v>151</v>
      </c>
      <c r="TTX550" s="83" t="s">
        <v>151</v>
      </c>
      <c r="TTY550" s="83" t="s">
        <v>151</v>
      </c>
      <c r="TTZ550" s="83" t="s">
        <v>151</v>
      </c>
      <c r="TUA550" s="83" t="s">
        <v>151</v>
      </c>
      <c r="TUB550" s="83" t="s">
        <v>151</v>
      </c>
      <c r="TUC550" s="83" t="s">
        <v>151</v>
      </c>
      <c r="TUD550" s="83" t="s">
        <v>151</v>
      </c>
      <c r="TUE550" s="83" t="s">
        <v>151</v>
      </c>
      <c r="TUF550" s="83" t="s">
        <v>151</v>
      </c>
      <c r="TUG550" s="83" t="s">
        <v>151</v>
      </c>
      <c r="TUH550" s="83" t="s">
        <v>151</v>
      </c>
      <c r="TUI550" s="83" t="s">
        <v>151</v>
      </c>
      <c r="TUJ550" s="83" t="s">
        <v>151</v>
      </c>
      <c r="TUK550" s="83" t="s">
        <v>151</v>
      </c>
      <c r="TUL550" s="83" t="s">
        <v>151</v>
      </c>
      <c r="TUM550" s="83" t="s">
        <v>151</v>
      </c>
      <c r="TUN550" s="83" t="s">
        <v>151</v>
      </c>
      <c r="TUO550" s="83" t="s">
        <v>151</v>
      </c>
      <c r="TUP550" s="83" t="s">
        <v>151</v>
      </c>
      <c r="TUQ550" s="83" t="s">
        <v>151</v>
      </c>
      <c r="TUR550" s="83" t="s">
        <v>151</v>
      </c>
      <c r="TUS550" s="83" t="s">
        <v>151</v>
      </c>
      <c r="TUT550" s="83" t="s">
        <v>151</v>
      </c>
      <c r="TUU550" s="83" t="s">
        <v>151</v>
      </c>
      <c r="TUV550" s="83" t="s">
        <v>151</v>
      </c>
      <c r="TUW550" s="83" t="s">
        <v>151</v>
      </c>
      <c r="TUX550" s="83" t="s">
        <v>151</v>
      </c>
      <c r="TUY550" s="83" t="s">
        <v>151</v>
      </c>
      <c r="TUZ550" s="83" t="s">
        <v>151</v>
      </c>
      <c r="TVA550" s="83" t="s">
        <v>151</v>
      </c>
      <c r="TVB550" s="83" t="s">
        <v>151</v>
      </c>
      <c r="TVC550" s="83" t="s">
        <v>151</v>
      </c>
      <c r="TVD550" s="83" t="s">
        <v>151</v>
      </c>
      <c r="TVE550" s="83" t="s">
        <v>151</v>
      </c>
      <c r="TVF550" s="83" t="s">
        <v>151</v>
      </c>
      <c r="TVG550" s="83" t="s">
        <v>151</v>
      </c>
      <c r="TVH550" s="83" t="s">
        <v>151</v>
      </c>
      <c r="TVI550" s="83" t="s">
        <v>151</v>
      </c>
      <c r="TVJ550" s="83" t="s">
        <v>151</v>
      </c>
      <c r="TVK550" s="83" t="s">
        <v>151</v>
      </c>
      <c r="TVL550" s="83" t="s">
        <v>151</v>
      </c>
      <c r="TVM550" s="83" t="s">
        <v>151</v>
      </c>
      <c r="TVN550" s="83" t="s">
        <v>151</v>
      </c>
      <c r="TVO550" s="83" t="s">
        <v>151</v>
      </c>
      <c r="TVP550" s="83" t="s">
        <v>151</v>
      </c>
      <c r="TVQ550" s="83" t="s">
        <v>151</v>
      </c>
      <c r="TVR550" s="83" t="s">
        <v>151</v>
      </c>
      <c r="TVS550" s="83" t="s">
        <v>151</v>
      </c>
      <c r="TVT550" s="83" t="s">
        <v>151</v>
      </c>
      <c r="TVU550" s="83" t="s">
        <v>151</v>
      </c>
      <c r="TVV550" s="83" t="s">
        <v>151</v>
      </c>
      <c r="TVW550" s="83" t="s">
        <v>151</v>
      </c>
      <c r="TVX550" s="83" t="s">
        <v>151</v>
      </c>
      <c r="TVY550" s="83" t="s">
        <v>151</v>
      </c>
      <c r="TVZ550" s="83" t="s">
        <v>151</v>
      </c>
      <c r="TWA550" s="83" t="s">
        <v>151</v>
      </c>
      <c r="TWB550" s="83" t="s">
        <v>151</v>
      </c>
      <c r="TWC550" s="83" t="s">
        <v>151</v>
      </c>
      <c r="TWD550" s="83" t="s">
        <v>151</v>
      </c>
      <c r="TWE550" s="83" t="s">
        <v>151</v>
      </c>
      <c r="TWF550" s="83" t="s">
        <v>151</v>
      </c>
      <c r="TWG550" s="83" t="s">
        <v>151</v>
      </c>
      <c r="TWH550" s="83" t="s">
        <v>151</v>
      </c>
      <c r="TWI550" s="83" t="s">
        <v>151</v>
      </c>
      <c r="TWJ550" s="83" t="s">
        <v>151</v>
      </c>
      <c r="TWK550" s="83" t="s">
        <v>151</v>
      </c>
      <c r="TWL550" s="83" t="s">
        <v>151</v>
      </c>
      <c r="TWM550" s="83" t="s">
        <v>151</v>
      </c>
      <c r="TWN550" s="83" t="s">
        <v>151</v>
      </c>
      <c r="TWO550" s="83" t="s">
        <v>151</v>
      </c>
      <c r="TWP550" s="83" t="s">
        <v>151</v>
      </c>
      <c r="TWQ550" s="83" t="s">
        <v>151</v>
      </c>
      <c r="TWR550" s="83" t="s">
        <v>151</v>
      </c>
      <c r="TWS550" s="83" t="s">
        <v>151</v>
      </c>
      <c r="TWT550" s="83" t="s">
        <v>151</v>
      </c>
      <c r="TWU550" s="83" t="s">
        <v>151</v>
      </c>
      <c r="TWV550" s="83" t="s">
        <v>151</v>
      </c>
      <c r="TWW550" s="83" t="s">
        <v>151</v>
      </c>
      <c r="TWX550" s="83" t="s">
        <v>151</v>
      </c>
      <c r="TWY550" s="83" t="s">
        <v>151</v>
      </c>
      <c r="TWZ550" s="83" t="s">
        <v>151</v>
      </c>
      <c r="TXA550" s="83" t="s">
        <v>151</v>
      </c>
      <c r="TXB550" s="83" t="s">
        <v>151</v>
      </c>
      <c r="TXC550" s="83" t="s">
        <v>151</v>
      </c>
      <c r="TXD550" s="83" t="s">
        <v>151</v>
      </c>
      <c r="TXE550" s="83" t="s">
        <v>151</v>
      </c>
      <c r="TXF550" s="83" t="s">
        <v>151</v>
      </c>
      <c r="TXG550" s="83" t="s">
        <v>151</v>
      </c>
      <c r="TXH550" s="83" t="s">
        <v>151</v>
      </c>
      <c r="TXI550" s="83" t="s">
        <v>151</v>
      </c>
      <c r="TXJ550" s="83" t="s">
        <v>151</v>
      </c>
      <c r="TXK550" s="83" t="s">
        <v>151</v>
      </c>
      <c r="TXL550" s="83" t="s">
        <v>151</v>
      </c>
      <c r="TXM550" s="83" t="s">
        <v>151</v>
      </c>
      <c r="TXN550" s="83" t="s">
        <v>151</v>
      </c>
      <c r="TXO550" s="83" t="s">
        <v>151</v>
      </c>
      <c r="TXP550" s="83" t="s">
        <v>151</v>
      </c>
      <c r="TXQ550" s="83" t="s">
        <v>151</v>
      </c>
      <c r="TXR550" s="83" t="s">
        <v>151</v>
      </c>
      <c r="TXS550" s="83" t="s">
        <v>151</v>
      </c>
      <c r="TXT550" s="83" t="s">
        <v>151</v>
      </c>
      <c r="TXU550" s="83" t="s">
        <v>151</v>
      </c>
      <c r="TXV550" s="83" t="s">
        <v>151</v>
      </c>
      <c r="TXW550" s="83" t="s">
        <v>151</v>
      </c>
      <c r="TXX550" s="83" t="s">
        <v>151</v>
      </c>
      <c r="TXY550" s="83" t="s">
        <v>151</v>
      </c>
      <c r="TXZ550" s="83" t="s">
        <v>151</v>
      </c>
      <c r="TYA550" s="83" t="s">
        <v>151</v>
      </c>
      <c r="TYB550" s="83" t="s">
        <v>151</v>
      </c>
      <c r="TYC550" s="83" t="s">
        <v>151</v>
      </c>
      <c r="TYD550" s="83" t="s">
        <v>151</v>
      </c>
      <c r="TYE550" s="83" t="s">
        <v>151</v>
      </c>
      <c r="TYF550" s="83" t="s">
        <v>151</v>
      </c>
      <c r="TYG550" s="83" t="s">
        <v>151</v>
      </c>
      <c r="TYH550" s="83" t="s">
        <v>151</v>
      </c>
      <c r="TYI550" s="83" t="s">
        <v>151</v>
      </c>
      <c r="TYJ550" s="83" t="s">
        <v>151</v>
      </c>
      <c r="TYK550" s="83" t="s">
        <v>151</v>
      </c>
      <c r="TYL550" s="83" t="s">
        <v>151</v>
      </c>
      <c r="TYM550" s="83" t="s">
        <v>151</v>
      </c>
      <c r="TYN550" s="83" t="s">
        <v>151</v>
      </c>
      <c r="TYO550" s="83" t="s">
        <v>151</v>
      </c>
      <c r="TYP550" s="83" t="s">
        <v>151</v>
      </c>
      <c r="TYQ550" s="83" t="s">
        <v>151</v>
      </c>
      <c r="TYR550" s="83" t="s">
        <v>151</v>
      </c>
      <c r="TYS550" s="83" t="s">
        <v>151</v>
      </c>
      <c r="TYT550" s="83" t="s">
        <v>151</v>
      </c>
      <c r="TYU550" s="83" t="s">
        <v>151</v>
      </c>
      <c r="TYV550" s="83" t="s">
        <v>151</v>
      </c>
      <c r="TYW550" s="83" t="s">
        <v>151</v>
      </c>
      <c r="TYX550" s="83" t="s">
        <v>151</v>
      </c>
      <c r="TYY550" s="83" t="s">
        <v>151</v>
      </c>
      <c r="TYZ550" s="83" t="s">
        <v>151</v>
      </c>
      <c r="TZA550" s="83" t="s">
        <v>151</v>
      </c>
      <c r="TZB550" s="83" t="s">
        <v>151</v>
      </c>
      <c r="TZC550" s="83" t="s">
        <v>151</v>
      </c>
      <c r="TZD550" s="83" t="s">
        <v>151</v>
      </c>
      <c r="TZE550" s="83" t="s">
        <v>151</v>
      </c>
      <c r="TZF550" s="83" t="s">
        <v>151</v>
      </c>
      <c r="TZG550" s="83" t="s">
        <v>151</v>
      </c>
      <c r="TZH550" s="83" t="s">
        <v>151</v>
      </c>
      <c r="TZI550" s="83" t="s">
        <v>151</v>
      </c>
      <c r="TZJ550" s="83" t="s">
        <v>151</v>
      </c>
      <c r="TZK550" s="83" t="s">
        <v>151</v>
      </c>
      <c r="TZL550" s="83" t="s">
        <v>151</v>
      </c>
      <c r="TZM550" s="83" t="s">
        <v>151</v>
      </c>
      <c r="TZN550" s="83" t="s">
        <v>151</v>
      </c>
      <c r="TZO550" s="83" t="s">
        <v>151</v>
      </c>
      <c r="TZP550" s="83" t="s">
        <v>151</v>
      </c>
      <c r="TZQ550" s="83" t="s">
        <v>151</v>
      </c>
      <c r="TZR550" s="83" t="s">
        <v>151</v>
      </c>
      <c r="TZS550" s="83" t="s">
        <v>151</v>
      </c>
      <c r="TZT550" s="83" t="s">
        <v>151</v>
      </c>
      <c r="TZU550" s="83" t="s">
        <v>151</v>
      </c>
      <c r="TZV550" s="83" t="s">
        <v>151</v>
      </c>
      <c r="TZW550" s="83" t="s">
        <v>151</v>
      </c>
      <c r="TZX550" s="83" t="s">
        <v>151</v>
      </c>
      <c r="TZY550" s="83" t="s">
        <v>151</v>
      </c>
      <c r="TZZ550" s="83" t="s">
        <v>151</v>
      </c>
      <c r="UAA550" s="83" t="s">
        <v>151</v>
      </c>
      <c r="UAB550" s="83" t="s">
        <v>151</v>
      </c>
      <c r="UAC550" s="83" t="s">
        <v>151</v>
      </c>
      <c r="UAD550" s="83" t="s">
        <v>151</v>
      </c>
      <c r="UAE550" s="83" t="s">
        <v>151</v>
      </c>
      <c r="UAF550" s="83" t="s">
        <v>151</v>
      </c>
      <c r="UAG550" s="83" t="s">
        <v>151</v>
      </c>
      <c r="UAH550" s="83" t="s">
        <v>151</v>
      </c>
      <c r="UAI550" s="83" t="s">
        <v>151</v>
      </c>
      <c r="UAJ550" s="83" t="s">
        <v>151</v>
      </c>
      <c r="UAK550" s="83" t="s">
        <v>151</v>
      </c>
      <c r="UAL550" s="83" t="s">
        <v>151</v>
      </c>
      <c r="UAM550" s="83" t="s">
        <v>151</v>
      </c>
      <c r="UAN550" s="83" t="s">
        <v>151</v>
      </c>
      <c r="UAO550" s="83" t="s">
        <v>151</v>
      </c>
      <c r="UAP550" s="83" t="s">
        <v>151</v>
      </c>
      <c r="UAQ550" s="83" t="s">
        <v>151</v>
      </c>
      <c r="UAR550" s="83" t="s">
        <v>151</v>
      </c>
      <c r="UAS550" s="83" t="s">
        <v>151</v>
      </c>
      <c r="UAT550" s="83" t="s">
        <v>151</v>
      </c>
      <c r="UAU550" s="83" t="s">
        <v>151</v>
      </c>
      <c r="UAV550" s="83" t="s">
        <v>151</v>
      </c>
      <c r="UAW550" s="83" t="s">
        <v>151</v>
      </c>
      <c r="UAX550" s="83" t="s">
        <v>151</v>
      </c>
      <c r="UAY550" s="83" t="s">
        <v>151</v>
      </c>
      <c r="UAZ550" s="83" t="s">
        <v>151</v>
      </c>
      <c r="UBA550" s="83" t="s">
        <v>151</v>
      </c>
      <c r="UBB550" s="83" t="s">
        <v>151</v>
      </c>
      <c r="UBC550" s="83" t="s">
        <v>151</v>
      </c>
      <c r="UBD550" s="83" t="s">
        <v>151</v>
      </c>
      <c r="UBE550" s="83" t="s">
        <v>151</v>
      </c>
      <c r="UBF550" s="83" t="s">
        <v>151</v>
      </c>
      <c r="UBG550" s="83" t="s">
        <v>151</v>
      </c>
      <c r="UBH550" s="83" t="s">
        <v>151</v>
      </c>
      <c r="UBI550" s="83" t="s">
        <v>151</v>
      </c>
      <c r="UBJ550" s="83" t="s">
        <v>151</v>
      </c>
      <c r="UBK550" s="83" t="s">
        <v>151</v>
      </c>
      <c r="UBL550" s="83" t="s">
        <v>151</v>
      </c>
      <c r="UBM550" s="83" t="s">
        <v>151</v>
      </c>
      <c r="UBN550" s="83" t="s">
        <v>151</v>
      </c>
      <c r="UBO550" s="83" t="s">
        <v>151</v>
      </c>
      <c r="UBP550" s="83" t="s">
        <v>151</v>
      </c>
      <c r="UBQ550" s="83" t="s">
        <v>151</v>
      </c>
      <c r="UBR550" s="83" t="s">
        <v>151</v>
      </c>
      <c r="UBS550" s="83" t="s">
        <v>151</v>
      </c>
      <c r="UBT550" s="83" t="s">
        <v>151</v>
      </c>
      <c r="UBU550" s="83" t="s">
        <v>151</v>
      </c>
      <c r="UBV550" s="83" t="s">
        <v>151</v>
      </c>
      <c r="UBW550" s="83" t="s">
        <v>151</v>
      </c>
      <c r="UBX550" s="83" t="s">
        <v>151</v>
      </c>
      <c r="UBY550" s="83" t="s">
        <v>151</v>
      </c>
      <c r="UBZ550" s="83" t="s">
        <v>151</v>
      </c>
      <c r="UCA550" s="83" t="s">
        <v>151</v>
      </c>
      <c r="UCB550" s="83" t="s">
        <v>151</v>
      </c>
      <c r="UCC550" s="83" t="s">
        <v>151</v>
      </c>
      <c r="UCD550" s="83" t="s">
        <v>151</v>
      </c>
      <c r="UCE550" s="83" t="s">
        <v>151</v>
      </c>
      <c r="UCF550" s="83" t="s">
        <v>151</v>
      </c>
      <c r="UCG550" s="83" t="s">
        <v>151</v>
      </c>
      <c r="UCH550" s="83" t="s">
        <v>151</v>
      </c>
      <c r="UCI550" s="83" t="s">
        <v>151</v>
      </c>
      <c r="UCJ550" s="83" t="s">
        <v>151</v>
      </c>
      <c r="UCK550" s="83" t="s">
        <v>151</v>
      </c>
      <c r="UCL550" s="83" t="s">
        <v>151</v>
      </c>
      <c r="UCM550" s="83" t="s">
        <v>151</v>
      </c>
      <c r="UCN550" s="83" t="s">
        <v>151</v>
      </c>
      <c r="UCO550" s="83" t="s">
        <v>151</v>
      </c>
      <c r="UCP550" s="83" t="s">
        <v>151</v>
      </c>
      <c r="UCQ550" s="83" t="s">
        <v>151</v>
      </c>
      <c r="UCR550" s="83" t="s">
        <v>151</v>
      </c>
      <c r="UCS550" s="83" t="s">
        <v>151</v>
      </c>
      <c r="UCT550" s="83" t="s">
        <v>151</v>
      </c>
      <c r="UCU550" s="83" t="s">
        <v>151</v>
      </c>
      <c r="UCV550" s="83" t="s">
        <v>151</v>
      </c>
      <c r="UCW550" s="83" t="s">
        <v>151</v>
      </c>
      <c r="UCX550" s="83" t="s">
        <v>151</v>
      </c>
      <c r="UCY550" s="83" t="s">
        <v>151</v>
      </c>
      <c r="UCZ550" s="83" t="s">
        <v>151</v>
      </c>
      <c r="UDA550" s="83" t="s">
        <v>151</v>
      </c>
      <c r="UDB550" s="83" t="s">
        <v>151</v>
      </c>
      <c r="UDC550" s="83" t="s">
        <v>151</v>
      </c>
      <c r="UDD550" s="83" t="s">
        <v>151</v>
      </c>
      <c r="UDE550" s="83" t="s">
        <v>151</v>
      </c>
      <c r="UDF550" s="83" t="s">
        <v>151</v>
      </c>
      <c r="UDG550" s="83" t="s">
        <v>151</v>
      </c>
      <c r="UDH550" s="83" t="s">
        <v>151</v>
      </c>
      <c r="UDI550" s="83" t="s">
        <v>151</v>
      </c>
      <c r="UDJ550" s="83" t="s">
        <v>151</v>
      </c>
      <c r="UDK550" s="83" t="s">
        <v>151</v>
      </c>
      <c r="UDL550" s="83" t="s">
        <v>151</v>
      </c>
      <c r="UDM550" s="83" t="s">
        <v>151</v>
      </c>
      <c r="UDN550" s="83" t="s">
        <v>151</v>
      </c>
      <c r="UDO550" s="83" t="s">
        <v>151</v>
      </c>
      <c r="UDP550" s="83" t="s">
        <v>151</v>
      </c>
      <c r="UDQ550" s="83" t="s">
        <v>151</v>
      </c>
      <c r="UDR550" s="83" t="s">
        <v>151</v>
      </c>
      <c r="UDS550" s="83" t="s">
        <v>151</v>
      </c>
      <c r="UDT550" s="83" t="s">
        <v>151</v>
      </c>
      <c r="UDU550" s="83" t="s">
        <v>151</v>
      </c>
      <c r="UDV550" s="83" t="s">
        <v>151</v>
      </c>
      <c r="UDW550" s="83" t="s">
        <v>151</v>
      </c>
      <c r="UDX550" s="83" t="s">
        <v>151</v>
      </c>
      <c r="UDY550" s="83" t="s">
        <v>151</v>
      </c>
      <c r="UDZ550" s="83" t="s">
        <v>151</v>
      </c>
      <c r="UEA550" s="83" t="s">
        <v>151</v>
      </c>
      <c r="UEB550" s="83" t="s">
        <v>151</v>
      </c>
      <c r="UEC550" s="83" t="s">
        <v>151</v>
      </c>
      <c r="UED550" s="83" t="s">
        <v>151</v>
      </c>
      <c r="UEE550" s="83" t="s">
        <v>151</v>
      </c>
      <c r="UEF550" s="83" t="s">
        <v>151</v>
      </c>
      <c r="UEG550" s="83" t="s">
        <v>151</v>
      </c>
      <c r="UEH550" s="83" t="s">
        <v>151</v>
      </c>
      <c r="UEI550" s="83" t="s">
        <v>151</v>
      </c>
      <c r="UEJ550" s="83" t="s">
        <v>151</v>
      </c>
      <c r="UEK550" s="83" t="s">
        <v>151</v>
      </c>
      <c r="UEL550" s="83" t="s">
        <v>151</v>
      </c>
      <c r="UEM550" s="83" t="s">
        <v>151</v>
      </c>
      <c r="UEN550" s="83" t="s">
        <v>151</v>
      </c>
      <c r="UEO550" s="83" t="s">
        <v>151</v>
      </c>
      <c r="UEP550" s="83" t="s">
        <v>151</v>
      </c>
      <c r="UEQ550" s="83" t="s">
        <v>151</v>
      </c>
      <c r="UER550" s="83" t="s">
        <v>151</v>
      </c>
      <c r="UES550" s="83" t="s">
        <v>151</v>
      </c>
      <c r="UET550" s="83" t="s">
        <v>151</v>
      </c>
      <c r="UEU550" s="83" t="s">
        <v>151</v>
      </c>
      <c r="UEV550" s="83" t="s">
        <v>151</v>
      </c>
      <c r="UEW550" s="83" t="s">
        <v>151</v>
      </c>
      <c r="UEX550" s="83" t="s">
        <v>151</v>
      </c>
      <c r="UEY550" s="83" t="s">
        <v>151</v>
      </c>
      <c r="UEZ550" s="83" t="s">
        <v>151</v>
      </c>
      <c r="UFA550" s="83" t="s">
        <v>151</v>
      </c>
      <c r="UFB550" s="83" t="s">
        <v>151</v>
      </c>
      <c r="UFC550" s="83" t="s">
        <v>151</v>
      </c>
      <c r="UFD550" s="83" t="s">
        <v>151</v>
      </c>
      <c r="UFE550" s="83" t="s">
        <v>151</v>
      </c>
      <c r="UFF550" s="83" t="s">
        <v>151</v>
      </c>
      <c r="UFG550" s="83" t="s">
        <v>151</v>
      </c>
      <c r="UFH550" s="83" t="s">
        <v>151</v>
      </c>
      <c r="UFI550" s="83" t="s">
        <v>151</v>
      </c>
      <c r="UFJ550" s="83" t="s">
        <v>151</v>
      </c>
      <c r="UFK550" s="83" t="s">
        <v>151</v>
      </c>
      <c r="UFL550" s="83" t="s">
        <v>151</v>
      </c>
      <c r="UFM550" s="83" t="s">
        <v>151</v>
      </c>
      <c r="UFN550" s="83" t="s">
        <v>151</v>
      </c>
      <c r="UFO550" s="83" t="s">
        <v>151</v>
      </c>
      <c r="UFP550" s="83" t="s">
        <v>151</v>
      </c>
      <c r="UFQ550" s="83" t="s">
        <v>151</v>
      </c>
      <c r="UFR550" s="83" t="s">
        <v>151</v>
      </c>
      <c r="UFS550" s="83" t="s">
        <v>151</v>
      </c>
      <c r="UFT550" s="83" t="s">
        <v>151</v>
      </c>
      <c r="UFU550" s="83" t="s">
        <v>151</v>
      </c>
      <c r="UFV550" s="83" t="s">
        <v>151</v>
      </c>
      <c r="UFW550" s="83" t="s">
        <v>151</v>
      </c>
      <c r="UFX550" s="83" t="s">
        <v>151</v>
      </c>
      <c r="UFY550" s="83" t="s">
        <v>151</v>
      </c>
      <c r="UFZ550" s="83" t="s">
        <v>151</v>
      </c>
      <c r="UGA550" s="83" t="s">
        <v>151</v>
      </c>
      <c r="UGB550" s="83" t="s">
        <v>151</v>
      </c>
      <c r="UGC550" s="83" t="s">
        <v>151</v>
      </c>
      <c r="UGD550" s="83" t="s">
        <v>151</v>
      </c>
      <c r="UGE550" s="83" t="s">
        <v>151</v>
      </c>
      <c r="UGF550" s="83" t="s">
        <v>151</v>
      </c>
      <c r="UGG550" s="83" t="s">
        <v>151</v>
      </c>
      <c r="UGH550" s="83" t="s">
        <v>151</v>
      </c>
      <c r="UGI550" s="83" t="s">
        <v>151</v>
      </c>
      <c r="UGJ550" s="83" t="s">
        <v>151</v>
      </c>
      <c r="UGK550" s="83" t="s">
        <v>151</v>
      </c>
      <c r="UGL550" s="83" t="s">
        <v>151</v>
      </c>
      <c r="UGM550" s="83" t="s">
        <v>151</v>
      </c>
      <c r="UGN550" s="83" t="s">
        <v>151</v>
      </c>
      <c r="UGO550" s="83" t="s">
        <v>151</v>
      </c>
      <c r="UGP550" s="83" t="s">
        <v>151</v>
      </c>
      <c r="UGQ550" s="83" t="s">
        <v>151</v>
      </c>
      <c r="UGR550" s="83" t="s">
        <v>151</v>
      </c>
      <c r="UGS550" s="83" t="s">
        <v>151</v>
      </c>
      <c r="UGT550" s="83" t="s">
        <v>151</v>
      </c>
      <c r="UGU550" s="83" t="s">
        <v>151</v>
      </c>
      <c r="UGV550" s="83" t="s">
        <v>151</v>
      </c>
      <c r="UGW550" s="83" t="s">
        <v>151</v>
      </c>
      <c r="UGX550" s="83" t="s">
        <v>151</v>
      </c>
      <c r="UGY550" s="83" t="s">
        <v>151</v>
      </c>
      <c r="UGZ550" s="83" t="s">
        <v>151</v>
      </c>
      <c r="UHA550" s="83" t="s">
        <v>151</v>
      </c>
      <c r="UHB550" s="83" t="s">
        <v>151</v>
      </c>
      <c r="UHC550" s="83" t="s">
        <v>151</v>
      </c>
      <c r="UHD550" s="83" t="s">
        <v>151</v>
      </c>
      <c r="UHE550" s="83" t="s">
        <v>151</v>
      </c>
      <c r="UHF550" s="83" t="s">
        <v>151</v>
      </c>
      <c r="UHG550" s="83" t="s">
        <v>151</v>
      </c>
      <c r="UHH550" s="83" t="s">
        <v>151</v>
      </c>
      <c r="UHI550" s="83" t="s">
        <v>151</v>
      </c>
      <c r="UHJ550" s="83" t="s">
        <v>151</v>
      </c>
      <c r="UHK550" s="83" t="s">
        <v>151</v>
      </c>
      <c r="UHL550" s="83" t="s">
        <v>151</v>
      </c>
      <c r="UHM550" s="83" t="s">
        <v>151</v>
      </c>
      <c r="UHN550" s="83" t="s">
        <v>151</v>
      </c>
      <c r="UHO550" s="83" t="s">
        <v>151</v>
      </c>
      <c r="UHP550" s="83" t="s">
        <v>151</v>
      </c>
      <c r="UHQ550" s="83" t="s">
        <v>151</v>
      </c>
      <c r="UHR550" s="83" t="s">
        <v>151</v>
      </c>
      <c r="UHS550" s="83" t="s">
        <v>151</v>
      </c>
      <c r="UHT550" s="83" t="s">
        <v>151</v>
      </c>
      <c r="UHU550" s="83" t="s">
        <v>151</v>
      </c>
      <c r="UHV550" s="83" t="s">
        <v>151</v>
      </c>
      <c r="UHW550" s="83" t="s">
        <v>151</v>
      </c>
      <c r="UHX550" s="83" t="s">
        <v>151</v>
      </c>
      <c r="UHY550" s="83" t="s">
        <v>151</v>
      </c>
      <c r="UHZ550" s="83" t="s">
        <v>151</v>
      </c>
      <c r="UIA550" s="83" t="s">
        <v>151</v>
      </c>
      <c r="UIB550" s="83" t="s">
        <v>151</v>
      </c>
      <c r="UIC550" s="83" t="s">
        <v>151</v>
      </c>
      <c r="UID550" s="83" t="s">
        <v>151</v>
      </c>
      <c r="UIE550" s="83" t="s">
        <v>151</v>
      </c>
      <c r="UIF550" s="83" t="s">
        <v>151</v>
      </c>
      <c r="UIG550" s="83" t="s">
        <v>151</v>
      </c>
      <c r="UIH550" s="83" t="s">
        <v>151</v>
      </c>
      <c r="UII550" s="83" t="s">
        <v>151</v>
      </c>
      <c r="UIJ550" s="83" t="s">
        <v>151</v>
      </c>
      <c r="UIK550" s="83" t="s">
        <v>151</v>
      </c>
      <c r="UIL550" s="83" t="s">
        <v>151</v>
      </c>
      <c r="UIM550" s="83" t="s">
        <v>151</v>
      </c>
      <c r="UIN550" s="83" t="s">
        <v>151</v>
      </c>
      <c r="UIO550" s="83" t="s">
        <v>151</v>
      </c>
      <c r="UIP550" s="83" t="s">
        <v>151</v>
      </c>
      <c r="UIQ550" s="83" t="s">
        <v>151</v>
      </c>
      <c r="UIR550" s="83" t="s">
        <v>151</v>
      </c>
      <c r="UIS550" s="83" t="s">
        <v>151</v>
      </c>
      <c r="UIT550" s="83" t="s">
        <v>151</v>
      </c>
      <c r="UIU550" s="83" t="s">
        <v>151</v>
      </c>
      <c r="UIV550" s="83" t="s">
        <v>151</v>
      </c>
      <c r="UIW550" s="83" t="s">
        <v>151</v>
      </c>
      <c r="UIX550" s="83" t="s">
        <v>151</v>
      </c>
      <c r="UIY550" s="83" t="s">
        <v>151</v>
      </c>
      <c r="UIZ550" s="83" t="s">
        <v>151</v>
      </c>
      <c r="UJA550" s="83" t="s">
        <v>151</v>
      </c>
      <c r="UJB550" s="83" t="s">
        <v>151</v>
      </c>
      <c r="UJC550" s="83" t="s">
        <v>151</v>
      </c>
      <c r="UJD550" s="83" t="s">
        <v>151</v>
      </c>
      <c r="UJE550" s="83" t="s">
        <v>151</v>
      </c>
      <c r="UJF550" s="83" t="s">
        <v>151</v>
      </c>
      <c r="UJG550" s="83" t="s">
        <v>151</v>
      </c>
      <c r="UJH550" s="83" t="s">
        <v>151</v>
      </c>
      <c r="UJI550" s="83" t="s">
        <v>151</v>
      </c>
      <c r="UJJ550" s="83" t="s">
        <v>151</v>
      </c>
      <c r="UJK550" s="83" t="s">
        <v>151</v>
      </c>
      <c r="UJL550" s="83" t="s">
        <v>151</v>
      </c>
      <c r="UJM550" s="83" t="s">
        <v>151</v>
      </c>
      <c r="UJN550" s="83" t="s">
        <v>151</v>
      </c>
      <c r="UJO550" s="83" t="s">
        <v>151</v>
      </c>
      <c r="UJP550" s="83" t="s">
        <v>151</v>
      </c>
      <c r="UJQ550" s="83" t="s">
        <v>151</v>
      </c>
      <c r="UJR550" s="83" t="s">
        <v>151</v>
      </c>
      <c r="UJS550" s="83" t="s">
        <v>151</v>
      </c>
      <c r="UJT550" s="83" t="s">
        <v>151</v>
      </c>
      <c r="UJU550" s="83" t="s">
        <v>151</v>
      </c>
      <c r="UJV550" s="83" t="s">
        <v>151</v>
      </c>
      <c r="UJW550" s="83" t="s">
        <v>151</v>
      </c>
      <c r="UJX550" s="83" t="s">
        <v>151</v>
      </c>
      <c r="UJY550" s="83" t="s">
        <v>151</v>
      </c>
      <c r="UJZ550" s="83" t="s">
        <v>151</v>
      </c>
      <c r="UKA550" s="83" t="s">
        <v>151</v>
      </c>
      <c r="UKB550" s="83" t="s">
        <v>151</v>
      </c>
      <c r="UKC550" s="83" t="s">
        <v>151</v>
      </c>
      <c r="UKD550" s="83" t="s">
        <v>151</v>
      </c>
      <c r="UKE550" s="83" t="s">
        <v>151</v>
      </c>
      <c r="UKF550" s="83" t="s">
        <v>151</v>
      </c>
      <c r="UKG550" s="83" t="s">
        <v>151</v>
      </c>
      <c r="UKH550" s="83" t="s">
        <v>151</v>
      </c>
      <c r="UKI550" s="83" t="s">
        <v>151</v>
      </c>
      <c r="UKJ550" s="83" t="s">
        <v>151</v>
      </c>
      <c r="UKK550" s="83" t="s">
        <v>151</v>
      </c>
      <c r="UKL550" s="83" t="s">
        <v>151</v>
      </c>
      <c r="UKM550" s="83" t="s">
        <v>151</v>
      </c>
      <c r="UKN550" s="83" t="s">
        <v>151</v>
      </c>
      <c r="UKO550" s="83" t="s">
        <v>151</v>
      </c>
      <c r="UKP550" s="83" t="s">
        <v>151</v>
      </c>
      <c r="UKQ550" s="83" t="s">
        <v>151</v>
      </c>
      <c r="UKR550" s="83" t="s">
        <v>151</v>
      </c>
      <c r="UKS550" s="83" t="s">
        <v>151</v>
      </c>
      <c r="UKT550" s="83" t="s">
        <v>151</v>
      </c>
      <c r="UKU550" s="83" t="s">
        <v>151</v>
      </c>
      <c r="UKV550" s="83" t="s">
        <v>151</v>
      </c>
      <c r="UKW550" s="83" t="s">
        <v>151</v>
      </c>
      <c r="UKX550" s="83" t="s">
        <v>151</v>
      </c>
      <c r="UKY550" s="83" t="s">
        <v>151</v>
      </c>
      <c r="UKZ550" s="83" t="s">
        <v>151</v>
      </c>
      <c r="ULA550" s="83" t="s">
        <v>151</v>
      </c>
      <c r="ULB550" s="83" t="s">
        <v>151</v>
      </c>
      <c r="ULC550" s="83" t="s">
        <v>151</v>
      </c>
      <c r="ULD550" s="83" t="s">
        <v>151</v>
      </c>
      <c r="ULE550" s="83" t="s">
        <v>151</v>
      </c>
      <c r="ULF550" s="83" t="s">
        <v>151</v>
      </c>
      <c r="ULG550" s="83" t="s">
        <v>151</v>
      </c>
      <c r="ULH550" s="83" t="s">
        <v>151</v>
      </c>
      <c r="ULI550" s="83" t="s">
        <v>151</v>
      </c>
      <c r="ULJ550" s="83" t="s">
        <v>151</v>
      </c>
      <c r="ULK550" s="83" t="s">
        <v>151</v>
      </c>
      <c r="ULL550" s="83" t="s">
        <v>151</v>
      </c>
      <c r="ULM550" s="83" t="s">
        <v>151</v>
      </c>
      <c r="ULN550" s="83" t="s">
        <v>151</v>
      </c>
      <c r="ULO550" s="83" t="s">
        <v>151</v>
      </c>
      <c r="ULP550" s="83" t="s">
        <v>151</v>
      </c>
      <c r="ULQ550" s="83" t="s">
        <v>151</v>
      </c>
      <c r="ULR550" s="83" t="s">
        <v>151</v>
      </c>
      <c r="ULS550" s="83" t="s">
        <v>151</v>
      </c>
      <c r="ULT550" s="83" t="s">
        <v>151</v>
      </c>
      <c r="ULU550" s="83" t="s">
        <v>151</v>
      </c>
      <c r="ULV550" s="83" t="s">
        <v>151</v>
      </c>
      <c r="ULW550" s="83" t="s">
        <v>151</v>
      </c>
      <c r="ULX550" s="83" t="s">
        <v>151</v>
      </c>
      <c r="ULY550" s="83" t="s">
        <v>151</v>
      </c>
      <c r="ULZ550" s="83" t="s">
        <v>151</v>
      </c>
      <c r="UMA550" s="83" t="s">
        <v>151</v>
      </c>
      <c r="UMB550" s="83" t="s">
        <v>151</v>
      </c>
      <c r="UMC550" s="83" t="s">
        <v>151</v>
      </c>
      <c r="UMD550" s="83" t="s">
        <v>151</v>
      </c>
      <c r="UME550" s="83" t="s">
        <v>151</v>
      </c>
      <c r="UMF550" s="83" t="s">
        <v>151</v>
      </c>
      <c r="UMG550" s="83" t="s">
        <v>151</v>
      </c>
      <c r="UMH550" s="83" t="s">
        <v>151</v>
      </c>
      <c r="UMI550" s="83" t="s">
        <v>151</v>
      </c>
      <c r="UMJ550" s="83" t="s">
        <v>151</v>
      </c>
      <c r="UMK550" s="83" t="s">
        <v>151</v>
      </c>
      <c r="UML550" s="83" t="s">
        <v>151</v>
      </c>
      <c r="UMM550" s="83" t="s">
        <v>151</v>
      </c>
      <c r="UMN550" s="83" t="s">
        <v>151</v>
      </c>
      <c r="UMO550" s="83" t="s">
        <v>151</v>
      </c>
      <c r="UMP550" s="83" t="s">
        <v>151</v>
      </c>
      <c r="UMQ550" s="83" t="s">
        <v>151</v>
      </c>
      <c r="UMR550" s="83" t="s">
        <v>151</v>
      </c>
      <c r="UMS550" s="83" t="s">
        <v>151</v>
      </c>
      <c r="UMT550" s="83" t="s">
        <v>151</v>
      </c>
      <c r="UMU550" s="83" t="s">
        <v>151</v>
      </c>
      <c r="UMV550" s="83" t="s">
        <v>151</v>
      </c>
      <c r="UMW550" s="83" t="s">
        <v>151</v>
      </c>
      <c r="UMX550" s="83" t="s">
        <v>151</v>
      </c>
      <c r="UMY550" s="83" t="s">
        <v>151</v>
      </c>
      <c r="UMZ550" s="83" t="s">
        <v>151</v>
      </c>
      <c r="UNA550" s="83" t="s">
        <v>151</v>
      </c>
      <c r="UNB550" s="83" t="s">
        <v>151</v>
      </c>
      <c r="UNC550" s="83" t="s">
        <v>151</v>
      </c>
      <c r="UND550" s="83" t="s">
        <v>151</v>
      </c>
      <c r="UNE550" s="83" t="s">
        <v>151</v>
      </c>
      <c r="UNF550" s="83" t="s">
        <v>151</v>
      </c>
      <c r="UNG550" s="83" t="s">
        <v>151</v>
      </c>
      <c r="UNH550" s="83" t="s">
        <v>151</v>
      </c>
      <c r="UNI550" s="83" t="s">
        <v>151</v>
      </c>
      <c r="UNJ550" s="83" t="s">
        <v>151</v>
      </c>
      <c r="UNK550" s="83" t="s">
        <v>151</v>
      </c>
      <c r="UNL550" s="83" t="s">
        <v>151</v>
      </c>
      <c r="UNM550" s="83" t="s">
        <v>151</v>
      </c>
      <c r="UNN550" s="83" t="s">
        <v>151</v>
      </c>
      <c r="UNO550" s="83" t="s">
        <v>151</v>
      </c>
      <c r="UNP550" s="83" t="s">
        <v>151</v>
      </c>
      <c r="UNQ550" s="83" t="s">
        <v>151</v>
      </c>
      <c r="UNR550" s="83" t="s">
        <v>151</v>
      </c>
      <c r="UNS550" s="83" t="s">
        <v>151</v>
      </c>
      <c r="UNT550" s="83" t="s">
        <v>151</v>
      </c>
      <c r="UNU550" s="83" t="s">
        <v>151</v>
      </c>
      <c r="UNV550" s="83" t="s">
        <v>151</v>
      </c>
      <c r="UNW550" s="83" t="s">
        <v>151</v>
      </c>
      <c r="UNX550" s="83" t="s">
        <v>151</v>
      </c>
      <c r="UNY550" s="83" t="s">
        <v>151</v>
      </c>
      <c r="UNZ550" s="83" t="s">
        <v>151</v>
      </c>
      <c r="UOA550" s="83" t="s">
        <v>151</v>
      </c>
      <c r="UOB550" s="83" t="s">
        <v>151</v>
      </c>
      <c r="UOC550" s="83" t="s">
        <v>151</v>
      </c>
      <c r="UOD550" s="83" t="s">
        <v>151</v>
      </c>
      <c r="UOE550" s="83" t="s">
        <v>151</v>
      </c>
      <c r="UOF550" s="83" t="s">
        <v>151</v>
      </c>
      <c r="UOG550" s="83" t="s">
        <v>151</v>
      </c>
      <c r="UOH550" s="83" t="s">
        <v>151</v>
      </c>
      <c r="UOI550" s="83" t="s">
        <v>151</v>
      </c>
      <c r="UOJ550" s="83" t="s">
        <v>151</v>
      </c>
      <c r="UOK550" s="83" t="s">
        <v>151</v>
      </c>
      <c r="UOL550" s="83" t="s">
        <v>151</v>
      </c>
      <c r="UOM550" s="83" t="s">
        <v>151</v>
      </c>
      <c r="UON550" s="83" t="s">
        <v>151</v>
      </c>
      <c r="UOO550" s="83" t="s">
        <v>151</v>
      </c>
      <c r="UOP550" s="83" t="s">
        <v>151</v>
      </c>
      <c r="UOQ550" s="83" t="s">
        <v>151</v>
      </c>
      <c r="UOR550" s="83" t="s">
        <v>151</v>
      </c>
      <c r="UOS550" s="83" t="s">
        <v>151</v>
      </c>
      <c r="UOT550" s="83" t="s">
        <v>151</v>
      </c>
      <c r="UOU550" s="83" t="s">
        <v>151</v>
      </c>
      <c r="UOV550" s="83" t="s">
        <v>151</v>
      </c>
      <c r="UOW550" s="83" t="s">
        <v>151</v>
      </c>
      <c r="UOX550" s="83" t="s">
        <v>151</v>
      </c>
      <c r="UOY550" s="83" t="s">
        <v>151</v>
      </c>
      <c r="UOZ550" s="83" t="s">
        <v>151</v>
      </c>
      <c r="UPA550" s="83" t="s">
        <v>151</v>
      </c>
      <c r="UPB550" s="83" t="s">
        <v>151</v>
      </c>
      <c r="UPC550" s="83" t="s">
        <v>151</v>
      </c>
      <c r="UPD550" s="83" t="s">
        <v>151</v>
      </c>
      <c r="UPE550" s="83" t="s">
        <v>151</v>
      </c>
      <c r="UPF550" s="83" t="s">
        <v>151</v>
      </c>
      <c r="UPG550" s="83" t="s">
        <v>151</v>
      </c>
      <c r="UPH550" s="83" t="s">
        <v>151</v>
      </c>
      <c r="UPI550" s="83" t="s">
        <v>151</v>
      </c>
      <c r="UPJ550" s="83" t="s">
        <v>151</v>
      </c>
      <c r="UPK550" s="83" t="s">
        <v>151</v>
      </c>
      <c r="UPL550" s="83" t="s">
        <v>151</v>
      </c>
      <c r="UPM550" s="83" t="s">
        <v>151</v>
      </c>
      <c r="UPN550" s="83" t="s">
        <v>151</v>
      </c>
      <c r="UPO550" s="83" t="s">
        <v>151</v>
      </c>
      <c r="UPP550" s="83" t="s">
        <v>151</v>
      </c>
      <c r="UPQ550" s="83" t="s">
        <v>151</v>
      </c>
      <c r="UPR550" s="83" t="s">
        <v>151</v>
      </c>
      <c r="UPS550" s="83" t="s">
        <v>151</v>
      </c>
      <c r="UPT550" s="83" t="s">
        <v>151</v>
      </c>
      <c r="UPU550" s="83" t="s">
        <v>151</v>
      </c>
      <c r="UPV550" s="83" t="s">
        <v>151</v>
      </c>
      <c r="UPW550" s="83" t="s">
        <v>151</v>
      </c>
      <c r="UPX550" s="83" t="s">
        <v>151</v>
      </c>
      <c r="UPY550" s="83" t="s">
        <v>151</v>
      </c>
      <c r="UPZ550" s="83" t="s">
        <v>151</v>
      </c>
      <c r="UQA550" s="83" t="s">
        <v>151</v>
      </c>
      <c r="UQB550" s="83" t="s">
        <v>151</v>
      </c>
      <c r="UQC550" s="83" t="s">
        <v>151</v>
      </c>
      <c r="UQD550" s="83" t="s">
        <v>151</v>
      </c>
      <c r="UQE550" s="83" t="s">
        <v>151</v>
      </c>
      <c r="UQF550" s="83" t="s">
        <v>151</v>
      </c>
      <c r="UQG550" s="83" t="s">
        <v>151</v>
      </c>
      <c r="UQH550" s="83" t="s">
        <v>151</v>
      </c>
      <c r="UQI550" s="83" t="s">
        <v>151</v>
      </c>
      <c r="UQJ550" s="83" t="s">
        <v>151</v>
      </c>
      <c r="UQK550" s="83" t="s">
        <v>151</v>
      </c>
      <c r="UQL550" s="83" t="s">
        <v>151</v>
      </c>
      <c r="UQM550" s="83" t="s">
        <v>151</v>
      </c>
      <c r="UQN550" s="83" t="s">
        <v>151</v>
      </c>
      <c r="UQO550" s="83" t="s">
        <v>151</v>
      </c>
      <c r="UQP550" s="83" t="s">
        <v>151</v>
      </c>
      <c r="UQQ550" s="83" t="s">
        <v>151</v>
      </c>
      <c r="UQR550" s="83" t="s">
        <v>151</v>
      </c>
      <c r="UQS550" s="83" t="s">
        <v>151</v>
      </c>
      <c r="UQT550" s="83" t="s">
        <v>151</v>
      </c>
      <c r="UQU550" s="83" t="s">
        <v>151</v>
      </c>
      <c r="UQV550" s="83" t="s">
        <v>151</v>
      </c>
      <c r="UQW550" s="83" t="s">
        <v>151</v>
      </c>
      <c r="UQX550" s="83" t="s">
        <v>151</v>
      </c>
      <c r="UQY550" s="83" t="s">
        <v>151</v>
      </c>
      <c r="UQZ550" s="83" t="s">
        <v>151</v>
      </c>
      <c r="URA550" s="83" t="s">
        <v>151</v>
      </c>
      <c r="URB550" s="83" t="s">
        <v>151</v>
      </c>
      <c r="URC550" s="83" t="s">
        <v>151</v>
      </c>
      <c r="URD550" s="83" t="s">
        <v>151</v>
      </c>
      <c r="URE550" s="83" t="s">
        <v>151</v>
      </c>
      <c r="URF550" s="83" t="s">
        <v>151</v>
      </c>
      <c r="URG550" s="83" t="s">
        <v>151</v>
      </c>
      <c r="URH550" s="83" t="s">
        <v>151</v>
      </c>
      <c r="URI550" s="83" t="s">
        <v>151</v>
      </c>
      <c r="URJ550" s="83" t="s">
        <v>151</v>
      </c>
      <c r="URK550" s="83" t="s">
        <v>151</v>
      </c>
      <c r="URL550" s="83" t="s">
        <v>151</v>
      </c>
      <c r="URM550" s="83" t="s">
        <v>151</v>
      </c>
      <c r="URN550" s="83" t="s">
        <v>151</v>
      </c>
      <c r="URO550" s="83" t="s">
        <v>151</v>
      </c>
      <c r="URP550" s="83" t="s">
        <v>151</v>
      </c>
      <c r="URQ550" s="83" t="s">
        <v>151</v>
      </c>
      <c r="URR550" s="83" t="s">
        <v>151</v>
      </c>
      <c r="URS550" s="83" t="s">
        <v>151</v>
      </c>
      <c r="URT550" s="83" t="s">
        <v>151</v>
      </c>
      <c r="URU550" s="83" t="s">
        <v>151</v>
      </c>
      <c r="URV550" s="83" t="s">
        <v>151</v>
      </c>
      <c r="URW550" s="83" t="s">
        <v>151</v>
      </c>
      <c r="URX550" s="83" t="s">
        <v>151</v>
      </c>
      <c r="URY550" s="83" t="s">
        <v>151</v>
      </c>
      <c r="URZ550" s="83" t="s">
        <v>151</v>
      </c>
      <c r="USA550" s="83" t="s">
        <v>151</v>
      </c>
      <c r="USB550" s="83" t="s">
        <v>151</v>
      </c>
      <c r="USC550" s="83" t="s">
        <v>151</v>
      </c>
      <c r="USD550" s="83" t="s">
        <v>151</v>
      </c>
      <c r="USE550" s="83" t="s">
        <v>151</v>
      </c>
      <c r="USF550" s="83" t="s">
        <v>151</v>
      </c>
      <c r="USG550" s="83" t="s">
        <v>151</v>
      </c>
      <c r="USH550" s="83" t="s">
        <v>151</v>
      </c>
      <c r="USI550" s="83" t="s">
        <v>151</v>
      </c>
      <c r="USJ550" s="83" t="s">
        <v>151</v>
      </c>
      <c r="USK550" s="83" t="s">
        <v>151</v>
      </c>
      <c r="USL550" s="83" t="s">
        <v>151</v>
      </c>
      <c r="USM550" s="83" t="s">
        <v>151</v>
      </c>
      <c r="USN550" s="83" t="s">
        <v>151</v>
      </c>
      <c r="USO550" s="83" t="s">
        <v>151</v>
      </c>
      <c r="USP550" s="83" t="s">
        <v>151</v>
      </c>
      <c r="USQ550" s="83" t="s">
        <v>151</v>
      </c>
      <c r="USR550" s="83" t="s">
        <v>151</v>
      </c>
      <c r="USS550" s="83" t="s">
        <v>151</v>
      </c>
      <c r="UST550" s="83" t="s">
        <v>151</v>
      </c>
      <c r="USU550" s="83" t="s">
        <v>151</v>
      </c>
      <c r="USV550" s="83" t="s">
        <v>151</v>
      </c>
      <c r="USW550" s="83" t="s">
        <v>151</v>
      </c>
      <c r="USX550" s="83" t="s">
        <v>151</v>
      </c>
      <c r="USY550" s="83" t="s">
        <v>151</v>
      </c>
      <c r="USZ550" s="83" t="s">
        <v>151</v>
      </c>
      <c r="UTA550" s="83" t="s">
        <v>151</v>
      </c>
      <c r="UTB550" s="83" t="s">
        <v>151</v>
      </c>
      <c r="UTC550" s="83" t="s">
        <v>151</v>
      </c>
      <c r="UTD550" s="83" t="s">
        <v>151</v>
      </c>
      <c r="UTE550" s="83" t="s">
        <v>151</v>
      </c>
      <c r="UTF550" s="83" t="s">
        <v>151</v>
      </c>
      <c r="UTG550" s="83" t="s">
        <v>151</v>
      </c>
      <c r="UTH550" s="83" t="s">
        <v>151</v>
      </c>
      <c r="UTI550" s="83" t="s">
        <v>151</v>
      </c>
      <c r="UTJ550" s="83" t="s">
        <v>151</v>
      </c>
      <c r="UTK550" s="83" t="s">
        <v>151</v>
      </c>
      <c r="UTL550" s="83" t="s">
        <v>151</v>
      </c>
      <c r="UTM550" s="83" t="s">
        <v>151</v>
      </c>
      <c r="UTN550" s="83" t="s">
        <v>151</v>
      </c>
      <c r="UTO550" s="83" t="s">
        <v>151</v>
      </c>
      <c r="UTP550" s="83" t="s">
        <v>151</v>
      </c>
      <c r="UTQ550" s="83" t="s">
        <v>151</v>
      </c>
      <c r="UTR550" s="83" t="s">
        <v>151</v>
      </c>
      <c r="UTS550" s="83" t="s">
        <v>151</v>
      </c>
      <c r="UTT550" s="83" t="s">
        <v>151</v>
      </c>
      <c r="UTU550" s="83" t="s">
        <v>151</v>
      </c>
      <c r="UTV550" s="83" t="s">
        <v>151</v>
      </c>
      <c r="UTW550" s="83" t="s">
        <v>151</v>
      </c>
      <c r="UTX550" s="83" t="s">
        <v>151</v>
      </c>
      <c r="UTY550" s="83" t="s">
        <v>151</v>
      </c>
      <c r="UTZ550" s="83" t="s">
        <v>151</v>
      </c>
      <c r="UUA550" s="83" t="s">
        <v>151</v>
      </c>
      <c r="UUB550" s="83" t="s">
        <v>151</v>
      </c>
      <c r="UUC550" s="83" t="s">
        <v>151</v>
      </c>
      <c r="UUD550" s="83" t="s">
        <v>151</v>
      </c>
      <c r="UUE550" s="83" t="s">
        <v>151</v>
      </c>
      <c r="UUF550" s="83" t="s">
        <v>151</v>
      </c>
      <c r="UUG550" s="83" t="s">
        <v>151</v>
      </c>
      <c r="UUH550" s="83" t="s">
        <v>151</v>
      </c>
      <c r="UUI550" s="83" t="s">
        <v>151</v>
      </c>
      <c r="UUJ550" s="83" t="s">
        <v>151</v>
      </c>
      <c r="UUK550" s="83" t="s">
        <v>151</v>
      </c>
      <c r="UUL550" s="83" t="s">
        <v>151</v>
      </c>
      <c r="UUM550" s="83" t="s">
        <v>151</v>
      </c>
      <c r="UUN550" s="83" t="s">
        <v>151</v>
      </c>
      <c r="UUO550" s="83" t="s">
        <v>151</v>
      </c>
      <c r="UUP550" s="83" t="s">
        <v>151</v>
      </c>
      <c r="UUQ550" s="83" t="s">
        <v>151</v>
      </c>
      <c r="UUR550" s="83" t="s">
        <v>151</v>
      </c>
      <c r="UUS550" s="83" t="s">
        <v>151</v>
      </c>
      <c r="UUT550" s="83" t="s">
        <v>151</v>
      </c>
      <c r="UUU550" s="83" t="s">
        <v>151</v>
      </c>
      <c r="UUV550" s="83" t="s">
        <v>151</v>
      </c>
      <c r="UUW550" s="83" t="s">
        <v>151</v>
      </c>
      <c r="UUX550" s="83" t="s">
        <v>151</v>
      </c>
      <c r="UUY550" s="83" t="s">
        <v>151</v>
      </c>
      <c r="UUZ550" s="83" t="s">
        <v>151</v>
      </c>
      <c r="UVA550" s="83" t="s">
        <v>151</v>
      </c>
      <c r="UVB550" s="83" t="s">
        <v>151</v>
      </c>
      <c r="UVC550" s="83" t="s">
        <v>151</v>
      </c>
      <c r="UVD550" s="83" t="s">
        <v>151</v>
      </c>
      <c r="UVE550" s="83" t="s">
        <v>151</v>
      </c>
      <c r="UVF550" s="83" t="s">
        <v>151</v>
      </c>
      <c r="UVG550" s="83" t="s">
        <v>151</v>
      </c>
      <c r="UVH550" s="83" t="s">
        <v>151</v>
      </c>
      <c r="UVI550" s="83" t="s">
        <v>151</v>
      </c>
      <c r="UVJ550" s="83" t="s">
        <v>151</v>
      </c>
      <c r="UVK550" s="83" t="s">
        <v>151</v>
      </c>
      <c r="UVL550" s="83" t="s">
        <v>151</v>
      </c>
      <c r="UVM550" s="83" t="s">
        <v>151</v>
      </c>
      <c r="UVN550" s="83" t="s">
        <v>151</v>
      </c>
      <c r="UVO550" s="83" t="s">
        <v>151</v>
      </c>
      <c r="UVP550" s="83" t="s">
        <v>151</v>
      </c>
      <c r="UVQ550" s="83" t="s">
        <v>151</v>
      </c>
      <c r="UVR550" s="83" t="s">
        <v>151</v>
      </c>
      <c r="UVS550" s="83" t="s">
        <v>151</v>
      </c>
      <c r="UVT550" s="83" t="s">
        <v>151</v>
      </c>
      <c r="UVU550" s="83" t="s">
        <v>151</v>
      </c>
      <c r="UVV550" s="83" t="s">
        <v>151</v>
      </c>
      <c r="UVW550" s="83" t="s">
        <v>151</v>
      </c>
      <c r="UVX550" s="83" t="s">
        <v>151</v>
      </c>
      <c r="UVY550" s="83" t="s">
        <v>151</v>
      </c>
      <c r="UVZ550" s="83" t="s">
        <v>151</v>
      </c>
      <c r="UWA550" s="83" t="s">
        <v>151</v>
      </c>
      <c r="UWB550" s="83" t="s">
        <v>151</v>
      </c>
      <c r="UWC550" s="83" t="s">
        <v>151</v>
      </c>
      <c r="UWD550" s="83" t="s">
        <v>151</v>
      </c>
      <c r="UWE550" s="83" t="s">
        <v>151</v>
      </c>
      <c r="UWF550" s="83" t="s">
        <v>151</v>
      </c>
      <c r="UWG550" s="83" t="s">
        <v>151</v>
      </c>
      <c r="UWH550" s="83" t="s">
        <v>151</v>
      </c>
      <c r="UWI550" s="83" t="s">
        <v>151</v>
      </c>
      <c r="UWJ550" s="83" t="s">
        <v>151</v>
      </c>
      <c r="UWK550" s="83" t="s">
        <v>151</v>
      </c>
      <c r="UWL550" s="83" t="s">
        <v>151</v>
      </c>
      <c r="UWM550" s="83" t="s">
        <v>151</v>
      </c>
      <c r="UWN550" s="83" t="s">
        <v>151</v>
      </c>
      <c r="UWO550" s="83" t="s">
        <v>151</v>
      </c>
      <c r="UWP550" s="83" t="s">
        <v>151</v>
      </c>
      <c r="UWQ550" s="83" t="s">
        <v>151</v>
      </c>
      <c r="UWR550" s="83" t="s">
        <v>151</v>
      </c>
      <c r="UWS550" s="83" t="s">
        <v>151</v>
      </c>
      <c r="UWT550" s="83" t="s">
        <v>151</v>
      </c>
      <c r="UWU550" s="83" t="s">
        <v>151</v>
      </c>
      <c r="UWV550" s="83" t="s">
        <v>151</v>
      </c>
      <c r="UWW550" s="83" t="s">
        <v>151</v>
      </c>
      <c r="UWX550" s="83" t="s">
        <v>151</v>
      </c>
      <c r="UWY550" s="83" t="s">
        <v>151</v>
      </c>
      <c r="UWZ550" s="83" t="s">
        <v>151</v>
      </c>
      <c r="UXA550" s="83" t="s">
        <v>151</v>
      </c>
      <c r="UXB550" s="83" t="s">
        <v>151</v>
      </c>
      <c r="UXC550" s="83" t="s">
        <v>151</v>
      </c>
      <c r="UXD550" s="83" t="s">
        <v>151</v>
      </c>
      <c r="UXE550" s="83" t="s">
        <v>151</v>
      </c>
      <c r="UXF550" s="83" t="s">
        <v>151</v>
      </c>
      <c r="UXG550" s="83" t="s">
        <v>151</v>
      </c>
      <c r="UXH550" s="83" t="s">
        <v>151</v>
      </c>
      <c r="UXI550" s="83" t="s">
        <v>151</v>
      </c>
      <c r="UXJ550" s="83" t="s">
        <v>151</v>
      </c>
      <c r="UXK550" s="83" t="s">
        <v>151</v>
      </c>
      <c r="UXL550" s="83" t="s">
        <v>151</v>
      </c>
      <c r="UXM550" s="83" t="s">
        <v>151</v>
      </c>
      <c r="UXN550" s="83" t="s">
        <v>151</v>
      </c>
      <c r="UXO550" s="83" t="s">
        <v>151</v>
      </c>
      <c r="UXP550" s="83" t="s">
        <v>151</v>
      </c>
      <c r="UXQ550" s="83" t="s">
        <v>151</v>
      </c>
      <c r="UXR550" s="83" t="s">
        <v>151</v>
      </c>
      <c r="UXS550" s="83" t="s">
        <v>151</v>
      </c>
      <c r="UXT550" s="83" t="s">
        <v>151</v>
      </c>
      <c r="UXU550" s="83" t="s">
        <v>151</v>
      </c>
      <c r="UXV550" s="83" t="s">
        <v>151</v>
      </c>
      <c r="UXW550" s="83" t="s">
        <v>151</v>
      </c>
      <c r="UXX550" s="83" t="s">
        <v>151</v>
      </c>
      <c r="UXY550" s="83" t="s">
        <v>151</v>
      </c>
      <c r="UXZ550" s="83" t="s">
        <v>151</v>
      </c>
      <c r="UYA550" s="83" t="s">
        <v>151</v>
      </c>
      <c r="UYB550" s="83" t="s">
        <v>151</v>
      </c>
      <c r="UYC550" s="83" t="s">
        <v>151</v>
      </c>
      <c r="UYD550" s="83" t="s">
        <v>151</v>
      </c>
      <c r="UYE550" s="83" t="s">
        <v>151</v>
      </c>
      <c r="UYF550" s="83" t="s">
        <v>151</v>
      </c>
      <c r="UYG550" s="83" t="s">
        <v>151</v>
      </c>
      <c r="UYH550" s="83" t="s">
        <v>151</v>
      </c>
      <c r="UYI550" s="83" t="s">
        <v>151</v>
      </c>
      <c r="UYJ550" s="83" t="s">
        <v>151</v>
      </c>
      <c r="UYK550" s="83" t="s">
        <v>151</v>
      </c>
      <c r="UYL550" s="83" t="s">
        <v>151</v>
      </c>
      <c r="UYM550" s="83" t="s">
        <v>151</v>
      </c>
      <c r="UYN550" s="83" t="s">
        <v>151</v>
      </c>
      <c r="UYO550" s="83" t="s">
        <v>151</v>
      </c>
      <c r="UYP550" s="83" t="s">
        <v>151</v>
      </c>
      <c r="UYQ550" s="83" t="s">
        <v>151</v>
      </c>
      <c r="UYR550" s="83" t="s">
        <v>151</v>
      </c>
      <c r="UYS550" s="83" t="s">
        <v>151</v>
      </c>
      <c r="UYT550" s="83" t="s">
        <v>151</v>
      </c>
      <c r="UYU550" s="83" t="s">
        <v>151</v>
      </c>
      <c r="UYV550" s="83" t="s">
        <v>151</v>
      </c>
      <c r="UYW550" s="83" t="s">
        <v>151</v>
      </c>
      <c r="UYX550" s="83" t="s">
        <v>151</v>
      </c>
      <c r="UYY550" s="83" t="s">
        <v>151</v>
      </c>
      <c r="UYZ550" s="83" t="s">
        <v>151</v>
      </c>
      <c r="UZA550" s="83" t="s">
        <v>151</v>
      </c>
      <c r="UZB550" s="83" t="s">
        <v>151</v>
      </c>
      <c r="UZC550" s="83" t="s">
        <v>151</v>
      </c>
      <c r="UZD550" s="83" t="s">
        <v>151</v>
      </c>
      <c r="UZE550" s="83" t="s">
        <v>151</v>
      </c>
      <c r="UZF550" s="83" t="s">
        <v>151</v>
      </c>
      <c r="UZG550" s="83" t="s">
        <v>151</v>
      </c>
      <c r="UZH550" s="83" t="s">
        <v>151</v>
      </c>
      <c r="UZI550" s="83" t="s">
        <v>151</v>
      </c>
      <c r="UZJ550" s="83" t="s">
        <v>151</v>
      </c>
      <c r="UZK550" s="83" t="s">
        <v>151</v>
      </c>
      <c r="UZL550" s="83" t="s">
        <v>151</v>
      </c>
      <c r="UZM550" s="83" t="s">
        <v>151</v>
      </c>
      <c r="UZN550" s="83" t="s">
        <v>151</v>
      </c>
      <c r="UZO550" s="83" t="s">
        <v>151</v>
      </c>
      <c r="UZP550" s="83" t="s">
        <v>151</v>
      </c>
      <c r="UZQ550" s="83" t="s">
        <v>151</v>
      </c>
      <c r="UZR550" s="83" t="s">
        <v>151</v>
      </c>
      <c r="UZS550" s="83" t="s">
        <v>151</v>
      </c>
      <c r="UZT550" s="83" t="s">
        <v>151</v>
      </c>
      <c r="UZU550" s="83" t="s">
        <v>151</v>
      </c>
      <c r="UZV550" s="83" t="s">
        <v>151</v>
      </c>
      <c r="UZW550" s="83" t="s">
        <v>151</v>
      </c>
      <c r="UZX550" s="83" t="s">
        <v>151</v>
      </c>
      <c r="UZY550" s="83" t="s">
        <v>151</v>
      </c>
      <c r="UZZ550" s="83" t="s">
        <v>151</v>
      </c>
      <c r="VAA550" s="83" t="s">
        <v>151</v>
      </c>
      <c r="VAB550" s="83" t="s">
        <v>151</v>
      </c>
      <c r="VAC550" s="83" t="s">
        <v>151</v>
      </c>
      <c r="VAD550" s="83" t="s">
        <v>151</v>
      </c>
      <c r="VAE550" s="83" t="s">
        <v>151</v>
      </c>
      <c r="VAF550" s="83" t="s">
        <v>151</v>
      </c>
      <c r="VAG550" s="83" t="s">
        <v>151</v>
      </c>
      <c r="VAH550" s="83" t="s">
        <v>151</v>
      </c>
      <c r="VAI550" s="83" t="s">
        <v>151</v>
      </c>
      <c r="VAJ550" s="83" t="s">
        <v>151</v>
      </c>
      <c r="VAK550" s="83" t="s">
        <v>151</v>
      </c>
      <c r="VAL550" s="83" t="s">
        <v>151</v>
      </c>
      <c r="VAM550" s="83" t="s">
        <v>151</v>
      </c>
      <c r="VAN550" s="83" t="s">
        <v>151</v>
      </c>
      <c r="VAO550" s="83" t="s">
        <v>151</v>
      </c>
      <c r="VAP550" s="83" t="s">
        <v>151</v>
      </c>
      <c r="VAQ550" s="83" t="s">
        <v>151</v>
      </c>
      <c r="VAR550" s="83" t="s">
        <v>151</v>
      </c>
      <c r="VAS550" s="83" t="s">
        <v>151</v>
      </c>
      <c r="VAT550" s="83" t="s">
        <v>151</v>
      </c>
      <c r="VAU550" s="83" t="s">
        <v>151</v>
      </c>
      <c r="VAV550" s="83" t="s">
        <v>151</v>
      </c>
      <c r="VAW550" s="83" t="s">
        <v>151</v>
      </c>
      <c r="VAX550" s="83" t="s">
        <v>151</v>
      </c>
      <c r="VAY550" s="83" t="s">
        <v>151</v>
      </c>
      <c r="VAZ550" s="83" t="s">
        <v>151</v>
      </c>
      <c r="VBA550" s="83" t="s">
        <v>151</v>
      </c>
      <c r="VBB550" s="83" t="s">
        <v>151</v>
      </c>
      <c r="VBC550" s="83" t="s">
        <v>151</v>
      </c>
      <c r="VBD550" s="83" t="s">
        <v>151</v>
      </c>
      <c r="VBE550" s="83" t="s">
        <v>151</v>
      </c>
      <c r="VBF550" s="83" t="s">
        <v>151</v>
      </c>
      <c r="VBG550" s="83" t="s">
        <v>151</v>
      </c>
      <c r="VBH550" s="83" t="s">
        <v>151</v>
      </c>
      <c r="VBI550" s="83" t="s">
        <v>151</v>
      </c>
      <c r="VBJ550" s="83" t="s">
        <v>151</v>
      </c>
      <c r="VBK550" s="83" t="s">
        <v>151</v>
      </c>
      <c r="VBL550" s="83" t="s">
        <v>151</v>
      </c>
      <c r="VBM550" s="83" t="s">
        <v>151</v>
      </c>
      <c r="VBN550" s="83" t="s">
        <v>151</v>
      </c>
      <c r="VBO550" s="83" t="s">
        <v>151</v>
      </c>
      <c r="VBP550" s="83" t="s">
        <v>151</v>
      </c>
      <c r="VBQ550" s="83" t="s">
        <v>151</v>
      </c>
      <c r="VBR550" s="83" t="s">
        <v>151</v>
      </c>
      <c r="VBS550" s="83" t="s">
        <v>151</v>
      </c>
      <c r="VBT550" s="83" t="s">
        <v>151</v>
      </c>
      <c r="VBU550" s="83" t="s">
        <v>151</v>
      </c>
      <c r="VBV550" s="83" t="s">
        <v>151</v>
      </c>
      <c r="VBW550" s="83" t="s">
        <v>151</v>
      </c>
      <c r="VBX550" s="83" t="s">
        <v>151</v>
      </c>
      <c r="VBY550" s="83" t="s">
        <v>151</v>
      </c>
      <c r="VBZ550" s="83" t="s">
        <v>151</v>
      </c>
      <c r="VCA550" s="83" t="s">
        <v>151</v>
      </c>
      <c r="VCB550" s="83" t="s">
        <v>151</v>
      </c>
      <c r="VCC550" s="83" t="s">
        <v>151</v>
      </c>
      <c r="VCD550" s="83" t="s">
        <v>151</v>
      </c>
      <c r="VCE550" s="83" t="s">
        <v>151</v>
      </c>
      <c r="VCF550" s="83" t="s">
        <v>151</v>
      </c>
      <c r="VCG550" s="83" t="s">
        <v>151</v>
      </c>
      <c r="VCH550" s="83" t="s">
        <v>151</v>
      </c>
      <c r="VCI550" s="83" t="s">
        <v>151</v>
      </c>
      <c r="VCJ550" s="83" t="s">
        <v>151</v>
      </c>
      <c r="VCK550" s="83" t="s">
        <v>151</v>
      </c>
      <c r="VCL550" s="83" t="s">
        <v>151</v>
      </c>
      <c r="VCM550" s="83" t="s">
        <v>151</v>
      </c>
      <c r="VCN550" s="83" t="s">
        <v>151</v>
      </c>
      <c r="VCO550" s="83" t="s">
        <v>151</v>
      </c>
      <c r="VCP550" s="83" t="s">
        <v>151</v>
      </c>
      <c r="VCQ550" s="83" t="s">
        <v>151</v>
      </c>
      <c r="VCR550" s="83" t="s">
        <v>151</v>
      </c>
      <c r="VCS550" s="83" t="s">
        <v>151</v>
      </c>
      <c r="VCT550" s="83" t="s">
        <v>151</v>
      </c>
      <c r="VCU550" s="83" t="s">
        <v>151</v>
      </c>
      <c r="VCV550" s="83" t="s">
        <v>151</v>
      </c>
      <c r="VCW550" s="83" t="s">
        <v>151</v>
      </c>
      <c r="VCX550" s="83" t="s">
        <v>151</v>
      </c>
      <c r="VCY550" s="83" t="s">
        <v>151</v>
      </c>
      <c r="VCZ550" s="83" t="s">
        <v>151</v>
      </c>
      <c r="VDA550" s="83" t="s">
        <v>151</v>
      </c>
      <c r="VDB550" s="83" t="s">
        <v>151</v>
      </c>
      <c r="VDC550" s="83" t="s">
        <v>151</v>
      </c>
      <c r="VDD550" s="83" t="s">
        <v>151</v>
      </c>
      <c r="VDE550" s="83" t="s">
        <v>151</v>
      </c>
      <c r="VDF550" s="83" t="s">
        <v>151</v>
      </c>
      <c r="VDG550" s="83" t="s">
        <v>151</v>
      </c>
      <c r="VDH550" s="83" t="s">
        <v>151</v>
      </c>
      <c r="VDI550" s="83" t="s">
        <v>151</v>
      </c>
      <c r="VDJ550" s="83" t="s">
        <v>151</v>
      </c>
      <c r="VDK550" s="83" t="s">
        <v>151</v>
      </c>
      <c r="VDL550" s="83" t="s">
        <v>151</v>
      </c>
      <c r="VDM550" s="83" t="s">
        <v>151</v>
      </c>
      <c r="VDN550" s="83" t="s">
        <v>151</v>
      </c>
      <c r="VDO550" s="83" t="s">
        <v>151</v>
      </c>
      <c r="VDP550" s="83" t="s">
        <v>151</v>
      </c>
      <c r="VDQ550" s="83" t="s">
        <v>151</v>
      </c>
      <c r="VDR550" s="83" t="s">
        <v>151</v>
      </c>
      <c r="VDS550" s="83" t="s">
        <v>151</v>
      </c>
      <c r="VDT550" s="83" t="s">
        <v>151</v>
      </c>
      <c r="VDU550" s="83" t="s">
        <v>151</v>
      </c>
      <c r="VDV550" s="83" t="s">
        <v>151</v>
      </c>
      <c r="VDW550" s="83" t="s">
        <v>151</v>
      </c>
      <c r="VDX550" s="83" t="s">
        <v>151</v>
      </c>
      <c r="VDY550" s="83" t="s">
        <v>151</v>
      </c>
      <c r="VDZ550" s="83" t="s">
        <v>151</v>
      </c>
      <c r="VEA550" s="83" t="s">
        <v>151</v>
      </c>
      <c r="VEB550" s="83" t="s">
        <v>151</v>
      </c>
      <c r="VEC550" s="83" t="s">
        <v>151</v>
      </c>
      <c r="VED550" s="83" t="s">
        <v>151</v>
      </c>
      <c r="VEE550" s="83" t="s">
        <v>151</v>
      </c>
      <c r="VEF550" s="83" t="s">
        <v>151</v>
      </c>
      <c r="VEG550" s="83" t="s">
        <v>151</v>
      </c>
      <c r="VEH550" s="83" t="s">
        <v>151</v>
      </c>
      <c r="VEI550" s="83" t="s">
        <v>151</v>
      </c>
      <c r="VEJ550" s="83" t="s">
        <v>151</v>
      </c>
      <c r="VEK550" s="83" t="s">
        <v>151</v>
      </c>
      <c r="VEL550" s="83" t="s">
        <v>151</v>
      </c>
      <c r="VEM550" s="83" t="s">
        <v>151</v>
      </c>
      <c r="VEN550" s="83" t="s">
        <v>151</v>
      </c>
      <c r="VEO550" s="83" t="s">
        <v>151</v>
      </c>
      <c r="VEP550" s="83" t="s">
        <v>151</v>
      </c>
      <c r="VEQ550" s="83" t="s">
        <v>151</v>
      </c>
      <c r="VER550" s="83" t="s">
        <v>151</v>
      </c>
      <c r="VES550" s="83" t="s">
        <v>151</v>
      </c>
      <c r="VET550" s="83" t="s">
        <v>151</v>
      </c>
      <c r="VEU550" s="83" t="s">
        <v>151</v>
      </c>
      <c r="VEV550" s="83" t="s">
        <v>151</v>
      </c>
      <c r="VEW550" s="83" t="s">
        <v>151</v>
      </c>
      <c r="VEX550" s="83" t="s">
        <v>151</v>
      </c>
      <c r="VEY550" s="83" t="s">
        <v>151</v>
      </c>
      <c r="VEZ550" s="83" t="s">
        <v>151</v>
      </c>
      <c r="VFA550" s="83" t="s">
        <v>151</v>
      </c>
      <c r="VFB550" s="83" t="s">
        <v>151</v>
      </c>
      <c r="VFC550" s="83" t="s">
        <v>151</v>
      </c>
      <c r="VFD550" s="83" t="s">
        <v>151</v>
      </c>
      <c r="VFE550" s="83" t="s">
        <v>151</v>
      </c>
      <c r="VFF550" s="83" t="s">
        <v>151</v>
      </c>
      <c r="VFG550" s="83" t="s">
        <v>151</v>
      </c>
      <c r="VFH550" s="83" t="s">
        <v>151</v>
      </c>
      <c r="VFI550" s="83" t="s">
        <v>151</v>
      </c>
      <c r="VFJ550" s="83" t="s">
        <v>151</v>
      </c>
      <c r="VFK550" s="83" t="s">
        <v>151</v>
      </c>
      <c r="VFL550" s="83" t="s">
        <v>151</v>
      </c>
      <c r="VFM550" s="83" t="s">
        <v>151</v>
      </c>
      <c r="VFN550" s="83" t="s">
        <v>151</v>
      </c>
      <c r="VFO550" s="83" t="s">
        <v>151</v>
      </c>
      <c r="VFP550" s="83" t="s">
        <v>151</v>
      </c>
      <c r="VFQ550" s="83" t="s">
        <v>151</v>
      </c>
      <c r="VFR550" s="83" t="s">
        <v>151</v>
      </c>
      <c r="VFS550" s="83" t="s">
        <v>151</v>
      </c>
      <c r="VFT550" s="83" t="s">
        <v>151</v>
      </c>
      <c r="VFU550" s="83" t="s">
        <v>151</v>
      </c>
      <c r="VFV550" s="83" t="s">
        <v>151</v>
      </c>
      <c r="VFW550" s="83" t="s">
        <v>151</v>
      </c>
      <c r="VFX550" s="83" t="s">
        <v>151</v>
      </c>
      <c r="VFY550" s="83" t="s">
        <v>151</v>
      </c>
      <c r="VFZ550" s="83" t="s">
        <v>151</v>
      </c>
      <c r="VGA550" s="83" t="s">
        <v>151</v>
      </c>
      <c r="VGB550" s="83" t="s">
        <v>151</v>
      </c>
      <c r="VGC550" s="83" t="s">
        <v>151</v>
      </c>
      <c r="VGD550" s="83" t="s">
        <v>151</v>
      </c>
      <c r="VGE550" s="83" t="s">
        <v>151</v>
      </c>
      <c r="VGF550" s="83" t="s">
        <v>151</v>
      </c>
      <c r="VGG550" s="83" t="s">
        <v>151</v>
      </c>
      <c r="VGH550" s="83" t="s">
        <v>151</v>
      </c>
      <c r="VGI550" s="83" t="s">
        <v>151</v>
      </c>
      <c r="VGJ550" s="83" t="s">
        <v>151</v>
      </c>
      <c r="VGK550" s="83" t="s">
        <v>151</v>
      </c>
      <c r="VGL550" s="83" t="s">
        <v>151</v>
      </c>
      <c r="VGM550" s="83" t="s">
        <v>151</v>
      </c>
      <c r="VGN550" s="83" t="s">
        <v>151</v>
      </c>
      <c r="VGO550" s="83" t="s">
        <v>151</v>
      </c>
      <c r="VGP550" s="83" t="s">
        <v>151</v>
      </c>
      <c r="VGQ550" s="83" t="s">
        <v>151</v>
      </c>
      <c r="VGR550" s="83" t="s">
        <v>151</v>
      </c>
      <c r="VGS550" s="83" t="s">
        <v>151</v>
      </c>
      <c r="VGT550" s="83" t="s">
        <v>151</v>
      </c>
      <c r="VGU550" s="83" t="s">
        <v>151</v>
      </c>
      <c r="VGV550" s="83" t="s">
        <v>151</v>
      </c>
      <c r="VGW550" s="83" t="s">
        <v>151</v>
      </c>
      <c r="VGX550" s="83" t="s">
        <v>151</v>
      </c>
      <c r="VGY550" s="83" t="s">
        <v>151</v>
      </c>
      <c r="VGZ550" s="83" t="s">
        <v>151</v>
      </c>
      <c r="VHA550" s="83" t="s">
        <v>151</v>
      </c>
      <c r="VHB550" s="83" t="s">
        <v>151</v>
      </c>
      <c r="VHC550" s="83" t="s">
        <v>151</v>
      </c>
      <c r="VHD550" s="83" t="s">
        <v>151</v>
      </c>
      <c r="VHE550" s="83" t="s">
        <v>151</v>
      </c>
      <c r="VHF550" s="83" t="s">
        <v>151</v>
      </c>
      <c r="VHG550" s="83" t="s">
        <v>151</v>
      </c>
      <c r="VHH550" s="83" t="s">
        <v>151</v>
      </c>
      <c r="VHI550" s="83" t="s">
        <v>151</v>
      </c>
      <c r="VHJ550" s="83" t="s">
        <v>151</v>
      </c>
      <c r="VHK550" s="83" t="s">
        <v>151</v>
      </c>
      <c r="VHL550" s="83" t="s">
        <v>151</v>
      </c>
      <c r="VHM550" s="83" t="s">
        <v>151</v>
      </c>
      <c r="VHN550" s="83" t="s">
        <v>151</v>
      </c>
      <c r="VHO550" s="83" t="s">
        <v>151</v>
      </c>
      <c r="VHP550" s="83" t="s">
        <v>151</v>
      </c>
      <c r="VHQ550" s="83" t="s">
        <v>151</v>
      </c>
      <c r="VHR550" s="83" t="s">
        <v>151</v>
      </c>
      <c r="VHS550" s="83" t="s">
        <v>151</v>
      </c>
      <c r="VHT550" s="83" t="s">
        <v>151</v>
      </c>
      <c r="VHU550" s="83" t="s">
        <v>151</v>
      </c>
      <c r="VHV550" s="83" t="s">
        <v>151</v>
      </c>
      <c r="VHW550" s="83" t="s">
        <v>151</v>
      </c>
      <c r="VHX550" s="83" t="s">
        <v>151</v>
      </c>
      <c r="VHY550" s="83" t="s">
        <v>151</v>
      </c>
      <c r="VHZ550" s="83" t="s">
        <v>151</v>
      </c>
      <c r="VIA550" s="83" t="s">
        <v>151</v>
      </c>
      <c r="VIB550" s="83" t="s">
        <v>151</v>
      </c>
      <c r="VIC550" s="83" t="s">
        <v>151</v>
      </c>
      <c r="VID550" s="83" t="s">
        <v>151</v>
      </c>
      <c r="VIE550" s="83" t="s">
        <v>151</v>
      </c>
      <c r="VIF550" s="83" t="s">
        <v>151</v>
      </c>
      <c r="VIG550" s="83" t="s">
        <v>151</v>
      </c>
      <c r="VIH550" s="83" t="s">
        <v>151</v>
      </c>
      <c r="VII550" s="83" t="s">
        <v>151</v>
      </c>
      <c r="VIJ550" s="83" t="s">
        <v>151</v>
      </c>
      <c r="VIK550" s="83" t="s">
        <v>151</v>
      </c>
      <c r="VIL550" s="83" t="s">
        <v>151</v>
      </c>
      <c r="VIM550" s="83" t="s">
        <v>151</v>
      </c>
      <c r="VIN550" s="83" t="s">
        <v>151</v>
      </c>
      <c r="VIO550" s="83" t="s">
        <v>151</v>
      </c>
      <c r="VIP550" s="83" t="s">
        <v>151</v>
      </c>
      <c r="VIQ550" s="83" t="s">
        <v>151</v>
      </c>
      <c r="VIR550" s="83" t="s">
        <v>151</v>
      </c>
      <c r="VIS550" s="83" t="s">
        <v>151</v>
      </c>
      <c r="VIT550" s="83" t="s">
        <v>151</v>
      </c>
      <c r="VIU550" s="83" t="s">
        <v>151</v>
      </c>
      <c r="VIV550" s="83" t="s">
        <v>151</v>
      </c>
      <c r="VIW550" s="83" t="s">
        <v>151</v>
      </c>
      <c r="VIX550" s="83" t="s">
        <v>151</v>
      </c>
      <c r="VIY550" s="83" t="s">
        <v>151</v>
      </c>
      <c r="VIZ550" s="83" t="s">
        <v>151</v>
      </c>
      <c r="VJA550" s="83" t="s">
        <v>151</v>
      </c>
      <c r="VJB550" s="83" t="s">
        <v>151</v>
      </c>
      <c r="VJC550" s="83" t="s">
        <v>151</v>
      </c>
      <c r="VJD550" s="83" t="s">
        <v>151</v>
      </c>
      <c r="VJE550" s="83" t="s">
        <v>151</v>
      </c>
      <c r="VJF550" s="83" t="s">
        <v>151</v>
      </c>
      <c r="VJG550" s="83" t="s">
        <v>151</v>
      </c>
      <c r="VJH550" s="83" t="s">
        <v>151</v>
      </c>
      <c r="VJI550" s="83" t="s">
        <v>151</v>
      </c>
      <c r="VJJ550" s="83" t="s">
        <v>151</v>
      </c>
      <c r="VJK550" s="83" t="s">
        <v>151</v>
      </c>
      <c r="VJL550" s="83" t="s">
        <v>151</v>
      </c>
      <c r="VJM550" s="83" t="s">
        <v>151</v>
      </c>
      <c r="VJN550" s="83" t="s">
        <v>151</v>
      </c>
      <c r="VJO550" s="83" t="s">
        <v>151</v>
      </c>
      <c r="VJP550" s="83" t="s">
        <v>151</v>
      </c>
      <c r="VJQ550" s="83" t="s">
        <v>151</v>
      </c>
      <c r="VJR550" s="83" t="s">
        <v>151</v>
      </c>
      <c r="VJS550" s="83" t="s">
        <v>151</v>
      </c>
      <c r="VJT550" s="83" t="s">
        <v>151</v>
      </c>
      <c r="VJU550" s="83" t="s">
        <v>151</v>
      </c>
      <c r="VJV550" s="83" t="s">
        <v>151</v>
      </c>
      <c r="VJW550" s="83" t="s">
        <v>151</v>
      </c>
      <c r="VJX550" s="83" t="s">
        <v>151</v>
      </c>
      <c r="VJY550" s="83" t="s">
        <v>151</v>
      </c>
      <c r="VJZ550" s="83" t="s">
        <v>151</v>
      </c>
      <c r="VKA550" s="83" t="s">
        <v>151</v>
      </c>
      <c r="VKB550" s="83" t="s">
        <v>151</v>
      </c>
      <c r="VKC550" s="83" t="s">
        <v>151</v>
      </c>
      <c r="VKD550" s="83" t="s">
        <v>151</v>
      </c>
      <c r="VKE550" s="83" t="s">
        <v>151</v>
      </c>
      <c r="VKF550" s="83" t="s">
        <v>151</v>
      </c>
      <c r="VKG550" s="83" t="s">
        <v>151</v>
      </c>
      <c r="VKH550" s="83" t="s">
        <v>151</v>
      </c>
      <c r="VKI550" s="83" t="s">
        <v>151</v>
      </c>
      <c r="VKJ550" s="83" t="s">
        <v>151</v>
      </c>
      <c r="VKK550" s="83" t="s">
        <v>151</v>
      </c>
      <c r="VKL550" s="83" t="s">
        <v>151</v>
      </c>
      <c r="VKM550" s="83" t="s">
        <v>151</v>
      </c>
      <c r="VKN550" s="83" t="s">
        <v>151</v>
      </c>
      <c r="VKO550" s="83" t="s">
        <v>151</v>
      </c>
      <c r="VKP550" s="83" t="s">
        <v>151</v>
      </c>
      <c r="VKQ550" s="83" t="s">
        <v>151</v>
      </c>
      <c r="VKR550" s="83" t="s">
        <v>151</v>
      </c>
      <c r="VKS550" s="83" t="s">
        <v>151</v>
      </c>
      <c r="VKT550" s="83" t="s">
        <v>151</v>
      </c>
      <c r="VKU550" s="83" t="s">
        <v>151</v>
      </c>
      <c r="VKV550" s="83" t="s">
        <v>151</v>
      </c>
      <c r="VKW550" s="83" t="s">
        <v>151</v>
      </c>
      <c r="VKX550" s="83" t="s">
        <v>151</v>
      </c>
      <c r="VKY550" s="83" t="s">
        <v>151</v>
      </c>
      <c r="VKZ550" s="83" t="s">
        <v>151</v>
      </c>
      <c r="VLA550" s="83" t="s">
        <v>151</v>
      </c>
      <c r="VLB550" s="83" t="s">
        <v>151</v>
      </c>
      <c r="VLC550" s="83" t="s">
        <v>151</v>
      </c>
      <c r="VLD550" s="83" t="s">
        <v>151</v>
      </c>
      <c r="VLE550" s="83" t="s">
        <v>151</v>
      </c>
      <c r="VLF550" s="83" t="s">
        <v>151</v>
      </c>
      <c r="VLG550" s="83" t="s">
        <v>151</v>
      </c>
      <c r="VLH550" s="83" t="s">
        <v>151</v>
      </c>
      <c r="VLI550" s="83" t="s">
        <v>151</v>
      </c>
      <c r="VLJ550" s="83" t="s">
        <v>151</v>
      </c>
      <c r="VLK550" s="83" t="s">
        <v>151</v>
      </c>
      <c r="VLL550" s="83" t="s">
        <v>151</v>
      </c>
      <c r="VLM550" s="83" t="s">
        <v>151</v>
      </c>
      <c r="VLN550" s="83" t="s">
        <v>151</v>
      </c>
      <c r="VLO550" s="83" t="s">
        <v>151</v>
      </c>
      <c r="VLP550" s="83" t="s">
        <v>151</v>
      </c>
      <c r="VLQ550" s="83" t="s">
        <v>151</v>
      </c>
      <c r="VLR550" s="83" t="s">
        <v>151</v>
      </c>
      <c r="VLS550" s="83" t="s">
        <v>151</v>
      </c>
      <c r="VLT550" s="83" t="s">
        <v>151</v>
      </c>
      <c r="VLU550" s="83" t="s">
        <v>151</v>
      </c>
      <c r="VLV550" s="83" t="s">
        <v>151</v>
      </c>
      <c r="VLW550" s="83" t="s">
        <v>151</v>
      </c>
      <c r="VLX550" s="83" t="s">
        <v>151</v>
      </c>
      <c r="VLY550" s="83" t="s">
        <v>151</v>
      </c>
      <c r="VLZ550" s="83" t="s">
        <v>151</v>
      </c>
      <c r="VMA550" s="83" t="s">
        <v>151</v>
      </c>
      <c r="VMB550" s="83" t="s">
        <v>151</v>
      </c>
      <c r="VMC550" s="83" t="s">
        <v>151</v>
      </c>
      <c r="VMD550" s="83" t="s">
        <v>151</v>
      </c>
      <c r="VME550" s="83" t="s">
        <v>151</v>
      </c>
      <c r="VMF550" s="83" t="s">
        <v>151</v>
      </c>
      <c r="VMG550" s="83" t="s">
        <v>151</v>
      </c>
      <c r="VMH550" s="83" t="s">
        <v>151</v>
      </c>
      <c r="VMI550" s="83" t="s">
        <v>151</v>
      </c>
      <c r="VMJ550" s="83" t="s">
        <v>151</v>
      </c>
      <c r="VMK550" s="83" t="s">
        <v>151</v>
      </c>
      <c r="VML550" s="83" t="s">
        <v>151</v>
      </c>
      <c r="VMM550" s="83" t="s">
        <v>151</v>
      </c>
      <c r="VMN550" s="83" t="s">
        <v>151</v>
      </c>
      <c r="VMO550" s="83" t="s">
        <v>151</v>
      </c>
      <c r="VMP550" s="83" t="s">
        <v>151</v>
      </c>
      <c r="VMQ550" s="83" t="s">
        <v>151</v>
      </c>
      <c r="VMR550" s="83" t="s">
        <v>151</v>
      </c>
      <c r="VMS550" s="83" t="s">
        <v>151</v>
      </c>
      <c r="VMT550" s="83" t="s">
        <v>151</v>
      </c>
      <c r="VMU550" s="83" t="s">
        <v>151</v>
      </c>
      <c r="VMV550" s="83" t="s">
        <v>151</v>
      </c>
      <c r="VMW550" s="83" t="s">
        <v>151</v>
      </c>
      <c r="VMX550" s="83" t="s">
        <v>151</v>
      </c>
      <c r="VMY550" s="83" t="s">
        <v>151</v>
      </c>
      <c r="VMZ550" s="83" t="s">
        <v>151</v>
      </c>
      <c r="VNA550" s="83" t="s">
        <v>151</v>
      </c>
      <c r="VNB550" s="83" t="s">
        <v>151</v>
      </c>
      <c r="VNC550" s="83" t="s">
        <v>151</v>
      </c>
      <c r="VND550" s="83" t="s">
        <v>151</v>
      </c>
      <c r="VNE550" s="83" t="s">
        <v>151</v>
      </c>
      <c r="VNF550" s="83" t="s">
        <v>151</v>
      </c>
      <c r="VNG550" s="83" t="s">
        <v>151</v>
      </c>
      <c r="VNH550" s="83" t="s">
        <v>151</v>
      </c>
      <c r="VNI550" s="83" t="s">
        <v>151</v>
      </c>
      <c r="VNJ550" s="83" t="s">
        <v>151</v>
      </c>
      <c r="VNK550" s="83" t="s">
        <v>151</v>
      </c>
      <c r="VNL550" s="83" t="s">
        <v>151</v>
      </c>
      <c r="VNM550" s="83" t="s">
        <v>151</v>
      </c>
      <c r="VNN550" s="83" t="s">
        <v>151</v>
      </c>
      <c r="VNO550" s="83" t="s">
        <v>151</v>
      </c>
      <c r="VNP550" s="83" t="s">
        <v>151</v>
      </c>
      <c r="VNQ550" s="83" t="s">
        <v>151</v>
      </c>
      <c r="VNR550" s="83" t="s">
        <v>151</v>
      </c>
      <c r="VNS550" s="83" t="s">
        <v>151</v>
      </c>
      <c r="VNT550" s="83" t="s">
        <v>151</v>
      </c>
      <c r="VNU550" s="83" t="s">
        <v>151</v>
      </c>
      <c r="VNV550" s="83" t="s">
        <v>151</v>
      </c>
      <c r="VNW550" s="83" t="s">
        <v>151</v>
      </c>
      <c r="VNX550" s="83" t="s">
        <v>151</v>
      </c>
      <c r="VNY550" s="83" t="s">
        <v>151</v>
      </c>
      <c r="VNZ550" s="83" t="s">
        <v>151</v>
      </c>
      <c r="VOA550" s="83" t="s">
        <v>151</v>
      </c>
      <c r="VOB550" s="83" t="s">
        <v>151</v>
      </c>
      <c r="VOC550" s="83" t="s">
        <v>151</v>
      </c>
      <c r="VOD550" s="83" t="s">
        <v>151</v>
      </c>
      <c r="VOE550" s="83" t="s">
        <v>151</v>
      </c>
      <c r="VOF550" s="83" t="s">
        <v>151</v>
      </c>
      <c r="VOG550" s="83" t="s">
        <v>151</v>
      </c>
      <c r="VOH550" s="83" t="s">
        <v>151</v>
      </c>
      <c r="VOI550" s="83" t="s">
        <v>151</v>
      </c>
      <c r="VOJ550" s="83" t="s">
        <v>151</v>
      </c>
      <c r="VOK550" s="83" t="s">
        <v>151</v>
      </c>
      <c r="VOL550" s="83" t="s">
        <v>151</v>
      </c>
      <c r="VOM550" s="83" t="s">
        <v>151</v>
      </c>
      <c r="VON550" s="83" t="s">
        <v>151</v>
      </c>
      <c r="VOO550" s="83" t="s">
        <v>151</v>
      </c>
      <c r="VOP550" s="83" t="s">
        <v>151</v>
      </c>
      <c r="VOQ550" s="83" t="s">
        <v>151</v>
      </c>
      <c r="VOR550" s="83" t="s">
        <v>151</v>
      </c>
      <c r="VOS550" s="83" t="s">
        <v>151</v>
      </c>
      <c r="VOT550" s="83" t="s">
        <v>151</v>
      </c>
      <c r="VOU550" s="83" t="s">
        <v>151</v>
      </c>
      <c r="VOV550" s="83" t="s">
        <v>151</v>
      </c>
      <c r="VOW550" s="83" t="s">
        <v>151</v>
      </c>
      <c r="VOX550" s="83" t="s">
        <v>151</v>
      </c>
      <c r="VOY550" s="83" t="s">
        <v>151</v>
      </c>
      <c r="VOZ550" s="83" t="s">
        <v>151</v>
      </c>
      <c r="VPA550" s="83" t="s">
        <v>151</v>
      </c>
      <c r="VPB550" s="83" t="s">
        <v>151</v>
      </c>
      <c r="VPC550" s="83" t="s">
        <v>151</v>
      </c>
      <c r="VPD550" s="83" t="s">
        <v>151</v>
      </c>
      <c r="VPE550" s="83" t="s">
        <v>151</v>
      </c>
      <c r="VPF550" s="83" t="s">
        <v>151</v>
      </c>
      <c r="VPG550" s="83" t="s">
        <v>151</v>
      </c>
      <c r="VPH550" s="83" t="s">
        <v>151</v>
      </c>
      <c r="VPI550" s="83" t="s">
        <v>151</v>
      </c>
      <c r="VPJ550" s="83" t="s">
        <v>151</v>
      </c>
      <c r="VPK550" s="83" t="s">
        <v>151</v>
      </c>
      <c r="VPL550" s="83" t="s">
        <v>151</v>
      </c>
      <c r="VPM550" s="83" t="s">
        <v>151</v>
      </c>
      <c r="VPN550" s="83" t="s">
        <v>151</v>
      </c>
      <c r="VPO550" s="83" t="s">
        <v>151</v>
      </c>
      <c r="VPP550" s="83" t="s">
        <v>151</v>
      </c>
      <c r="VPQ550" s="83" t="s">
        <v>151</v>
      </c>
      <c r="VPR550" s="83" t="s">
        <v>151</v>
      </c>
      <c r="VPS550" s="83" t="s">
        <v>151</v>
      </c>
      <c r="VPT550" s="83" t="s">
        <v>151</v>
      </c>
      <c r="VPU550" s="83" t="s">
        <v>151</v>
      </c>
      <c r="VPV550" s="83" t="s">
        <v>151</v>
      </c>
      <c r="VPW550" s="83" t="s">
        <v>151</v>
      </c>
      <c r="VPX550" s="83" t="s">
        <v>151</v>
      </c>
      <c r="VPY550" s="83" t="s">
        <v>151</v>
      </c>
      <c r="VPZ550" s="83" t="s">
        <v>151</v>
      </c>
      <c r="VQA550" s="83" t="s">
        <v>151</v>
      </c>
      <c r="VQB550" s="83" t="s">
        <v>151</v>
      </c>
      <c r="VQC550" s="83" t="s">
        <v>151</v>
      </c>
      <c r="VQD550" s="83" t="s">
        <v>151</v>
      </c>
      <c r="VQE550" s="83" t="s">
        <v>151</v>
      </c>
      <c r="VQF550" s="83" t="s">
        <v>151</v>
      </c>
      <c r="VQG550" s="83" t="s">
        <v>151</v>
      </c>
      <c r="VQH550" s="83" t="s">
        <v>151</v>
      </c>
      <c r="VQI550" s="83" t="s">
        <v>151</v>
      </c>
      <c r="VQJ550" s="83" t="s">
        <v>151</v>
      </c>
      <c r="VQK550" s="83" t="s">
        <v>151</v>
      </c>
      <c r="VQL550" s="83" t="s">
        <v>151</v>
      </c>
      <c r="VQM550" s="83" t="s">
        <v>151</v>
      </c>
      <c r="VQN550" s="83" t="s">
        <v>151</v>
      </c>
      <c r="VQO550" s="83" t="s">
        <v>151</v>
      </c>
      <c r="VQP550" s="83" t="s">
        <v>151</v>
      </c>
      <c r="VQQ550" s="83" t="s">
        <v>151</v>
      </c>
      <c r="VQR550" s="83" t="s">
        <v>151</v>
      </c>
      <c r="VQS550" s="83" t="s">
        <v>151</v>
      </c>
      <c r="VQT550" s="83" t="s">
        <v>151</v>
      </c>
      <c r="VQU550" s="83" t="s">
        <v>151</v>
      </c>
      <c r="VQV550" s="83" t="s">
        <v>151</v>
      </c>
      <c r="VQW550" s="83" t="s">
        <v>151</v>
      </c>
      <c r="VQX550" s="83" t="s">
        <v>151</v>
      </c>
      <c r="VQY550" s="83" t="s">
        <v>151</v>
      </c>
      <c r="VQZ550" s="83" t="s">
        <v>151</v>
      </c>
      <c r="VRA550" s="83" t="s">
        <v>151</v>
      </c>
      <c r="VRB550" s="83" t="s">
        <v>151</v>
      </c>
      <c r="VRC550" s="83" t="s">
        <v>151</v>
      </c>
      <c r="VRD550" s="83" t="s">
        <v>151</v>
      </c>
      <c r="VRE550" s="83" t="s">
        <v>151</v>
      </c>
      <c r="VRF550" s="83" t="s">
        <v>151</v>
      </c>
      <c r="VRG550" s="83" t="s">
        <v>151</v>
      </c>
      <c r="VRH550" s="83" t="s">
        <v>151</v>
      </c>
      <c r="VRI550" s="83" t="s">
        <v>151</v>
      </c>
      <c r="VRJ550" s="83" t="s">
        <v>151</v>
      </c>
      <c r="VRK550" s="83" t="s">
        <v>151</v>
      </c>
      <c r="VRL550" s="83" t="s">
        <v>151</v>
      </c>
      <c r="VRM550" s="83" t="s">
        <v>151</v>
      </c>
      <c r="VRN550" s="83" t="s">
        <v>151</v>
      </c>
      <c r="VRO550" s="83" t="s">
        <v>151</v>
      </c>
      <c r="VRP550" s="83" t="s">
        <v>151</v>
      </c>
      <c r="VRQ550" s="83" t="s">
        <v>151</v>
      </c>
      <c r="VRR550" s="83" t="s">
        <v>151</v>
      </c>
      <c r="VRS550" s="83" t="s">
        <v>151</v>
      </c>
      <c r="VRT550" s="83" t="s">
        <v>151</v>
      </c>
      <c r="VRU550" s="83" t="s">
        <v>151</v>
      </c>
      <c r="VRV550" s="83" t="s">
        <v>151</v>
      </c>
      <c r="VRW550" s="83" t="s">
        <v>151</v>
      </c>
      <c r="VRX550" s="83" t="s">
        <v>151</v>
      </c>
      <c r="VRY550" s="83" t="s">
        <v>151</v>
      </c>
      <c r="VRZ550" s="83" t="s">
        <v>151</v>
      </c>
      <c r="VSA550" s="83" t="s">
        <v>151</v>
      </c>
      <c r="VSB550" s="83" t="s">
        <v>151</v>
      </c>
      <c r="VSC550" s="83" t="s">
        <v>151</v>
      </c>
      <c r="VSD550" s="83" t="s">
        <v>151</v>
      </c>
      <c r="VSE550" s="83" t="s">
        <v>151</v>
      </c>
      <c r="VSF550" s="83" t="s">
        <v>151</v>
      </c>
      <c r="VSG550" s="83" t="s">
        <v>151</v>
      </c>
      <c r="VSH550" s="83" t="s">
        <v>151</v>
      </c>
      <c r="VSI550" s="83" t="s">
        <v>151</v>
      </c>
      <c r="VSJ550" s="83" t="s">
        <v>151</v>
      </c>
      <c r="VSK550" s="83" t="s">
        <v>151</v>
      </c>
      <c r="VSL550" s="83" t="s">
        <v>151</v>
      </c>
      <c r="VSM550" s="83" t="s">
        <v>151</v>
      </c>
      <c r="VSN550" s="83" t="s">
        <v>151</v>
      </c>
      <c r="VSO550" s="83" t="s">
        <v>151</v>
      </c>
      <c r="VSP550" s="83" t="s">
        <v>151</v>
      </c>
      <c r="VSQ550" s="83" t="s">
        <v>151</v>
      </c>
      <c r="VSR550" s="83" t="s">
        <v>151</v>
      </c>
      <c r="VSS550" s="83" t="s">
        <v>151</v>
      </c>
      <c r="VST550" s="83" t="s">
        <v>151</v>
      </c>
      <c r="VSU550" s="83" t="s">
        <v>151</v>
      </c>
      <c r="VSV550" s="83" t="s">
        <v>151</v>
      </c>
      <c r="VSW550" s="83" t="s">
        <v>151</v>
      </c>
      <c r="VSX550" s="83" t="s">
        <v>151</v>
      </c>
      <c r="VSY550" s="83" t="s">
        <v>151</v>
      </c>
      <c r="VSZ550" s="83" t="s">
        <v>151</v>
      </c>
      <c r="VTA550" s="83" t="s">
        <v>151</v>
      </c>
      <c r="VTB550" s="83" t="s">
        <v>151</v>
      </c>
      <c r="VTC550" s="83" t="s">
        <v>151</v>
      </c>
      <c r="VTD550" s="83" t="s">
        <v>151</v>
      </c>
      <c r="VTE550" s="83" t="s">
        <v>151</v>
      </c>
      <c r="VTF550" s="83" t="s">
        <v>151</v>
      </c>
      <c r="VTG550" s="83" t="s">
        <v>151</v>
      </c>
      <c r="VTH550" s="83" t="s">
        <v>151</v>
      </c>
      <c r="VTI550" s="83" t="s">
        <v>151</v>
      </c>
      <c r="VTJ550" s="83" t="s">
        <v>151</v>
      </c>
      <c r="VTK550" s="83" t="s">
        <v>151</v>
      </c>
      <c r="VTL550" s="83" t="s">
        <v>151</v>
      </c>
      <c r="VTM550" s="83" t="s">
        <v>151</v>
      </c>
      <c r="VTN550" s="83" t="s">
        <v>151</v>
      </c>
      <c r="VTO550" s="83" t="s">
        <v>151</v>
      </c>
      <c r="VTP550" s="83" t="s">
        <v>151</v>
      </c>
      <c r="VTQ550" s="83" t="s">
        <v>151</v>
      </c>
      <c r="VTR550" s="83" t="s">
        <v>151</v>
      </c>
      <c r="VTS550" s="83" t="s">
        <v>151</v>
      </c>
      <c r="VTT550" s="83" t="s">
        <v>151</v>
      </c>
      <c r="VTU550" s="83" t="s">
        <v>151</v>
      </c>
      <c r="VTV550" s="83" t="s">
        <v>151</v>
      </c>
      <c r="VTW550" s="83" t="s">
        <v>151</v>
      </c>
      <c r="VTX550" s="83" t="s">
        <v>151</v>
      </c>
      <c r="VTY550" s="83" t="s">
        <v>151</v>
      </c>
      <c r="VTZ550" s="83" t="s">
        <v>151</v>
      </c>
      <c r="VUA550" s="83" t="s">
        <v>151</v>
      </c>
      <c r="VUB550" s="83" t="s">
        <v>151</v>
      </c>
      <c r="VUC550" s="83" t="s">
        <v>151</v>
      </c>
      <c r="VUD550" s="83" t="s">
        <v>151</v>
      </c>
      <c r="VUE550" s="83" t="s">
        <v>151</v>
      </c>
      <c r="VUF550" s="83" t="s">
        <v>151</v>
      </c>
      <c r="VUG550" s="83" t="s">
        <v>151</v>
      </c>
      <c r="VUH550" s="83" t="s">
        <v>151</v>
      </c>
      <c r="VUI550" s="83" t="s">
        <v>151</v>
      </c>
      <c r="VUJ550" s="83" t="s">
        <v>151</v>
      </c>
      <c r="VUK550" s="83" t="s">
        <v>151</v>
      </c>
      <c r="VUL550" s="83" t="s">
        <v>151</v>
      </c>
      <c r="VUM550" s="83" t="s">
        <v>151</v>
      </c>
      <c r="VUN550" s="83" t="s">
        <v>151</v>
      </c>
      <c r="VUO550" s="83" t="s">
        <v>151</v>
      </c>
      <c r="VUP550" s="83" t="s">
        <v>151</v>
      </c>
      <c r="VUQ550" s="83" t="s">
        <v>151</v>
      </c>
      <c r="VUR550" s="83" t="s">
        <v>151</v>
      </c>
      <c r="VUS550" s="83" t="s">
        <v>151</v>
      </c>
      <c r="VUT550" s="83" t="s">
        <v>151</v>
      </c>
      <c r="VUU550" s="83" t="s">
        <v>151</v>
      </c>
      <c r="VUV550" s="83" t="s">
        <v>151</v>
      </c>
      <c r="VUW550" s="83" t="s">
        <v>151</v>
      </c>
      <c r="VUX550" s="83" t="s">
        <v>151</v>
      </c>
      <c r="VUY550" s="83" t="s">
        <v>151</v>
      </c>
      <c r="VUZ550" s="83" t="s">
        <v>151</v>
      </c>
      <c r="VVA550" s="83" t="s">
        <v>151</v>
      </c>
      <c r="VVB550" s="83" t="s">
        <v>151</v>
      </c>
      <c r="VVC550" s="83" t="s">
        <v>151</v>
      </c>
      <c r="VVD550" s="83" t="s">
        <v>151</v>
      </c>
      <c r="VVE550" s="83" t="s">
        <v>151</v>
      </c>
      <c r="VVF550" s="83" t="s">
        <v>151</v>
      </c>
      <c r="VVG550" s="83" t="s">
        <v>151</v>
      </c>
      <c r="VVH550" s="83" t="s">
        <v>151</v>
      </c>
      <c r="VVI550" s="83" t="s">
        <v>151</v>
      </c>
      <c r="VVJ550" s="83" t="s">
        <v>151</v>
      </c>
      <c r="VVK550" s="83" t="s">
        <v>151</v>
      </c>
      <c r="VVL550" s="83" t="s">
        <v>151</v>
      </c>
      <c r="VVM550" s="83" t="s">
        <v>151</v>
      </c>
      <c r="VVN550" s="83" t="s">
        <v>151</v>
      </c>
      <c r="VVO550" s="83" t="s">
        <v>151</v>
      </c>
      <c r="VVP550" s="83" t="s">
        <v>151</v>
      </c>
      <c r="VVQ550" s="83" t="s">
        <v>151</v>
      </c>
      <c r="VVR550" s="83" t="s">
        <v>151</v>
      </c>
      <c r="VVS550" s="83" t="s">
        <v>151</v>
      </c>
      <c r="VVT550" s="83" t="s">
        <v>151</v>
      </c>
      <c r="VVU550" s="83" t="s">
        <v>151</v>
      </c>
      <c r="VVV550" s="83" t="s">
        <v>151</v>
      </c>
      <c r="VVW550" s="83" t="s">
        <v>151</v>
      </c>
      <c r="VVX550" s="83" t="s">
        <v>151</v>
      </c>
      <c r="VVY550" s="83" t="s">
        <v>151</v>
      </c>
      <c r="VVZ550" s="83" t="s">
        <v>151</v>
      </c>
      <c r="VWA550" s="83" t="s">
        <v>151</v>
      </c>
      <c r="VWB550" s="83" t="s">
        <v>151</v>
      </c>
      <c r="VWC550" s="83" t="s">
        <v>151</v>
      </c>
      <c r="VWD550" s="83" t="s">
        <v>151</v>
      </c>
      <c r="VWE550" s="83" t="s">
        <v>151</v>
      </c>
      <c r="VWF550" s="83" t="s">
        <v>151</v>
      </c>
      <c r="VWG550" s="83" t="s">
        <v>151</v>
      </c>
      <c r="VWH550" s="83" t="s">
        <v>151</v>
      </c>
      <c r="VWI550" s="83" t="s">
        <v>151</v>
      </c>
      <c r="VWJ550" s="83" t="s">
        <v>151</v>
      </c>
      <c r="VWK550" s="83" t="s">
        <v>151</v>
      </c>
      <c r="VWL550" s="83" t="s">
        <v>151</v>
      </c>
      <c r="VWM550" s="83" t="s">
        <v>151</v>
      </c>
      <c r="VWN550" s="83" t="s">
        <v>151</v>
      </c>
      <c r="VWO550" s="83" t="s">
        <v>151</v>
      </c>
      <c r="VWP550" s="83" t="s">
        <v>151</v>
      </c>
      <c r="VWQ550" s="83" t="s">
        <v>151</v>
      </c>
      <c r="VWR550" s="83" t="s">
        <v>151</v>
      </c>
      <c r="VWS550" s="83" t="s">
        <v>151</v>
      </c>
      <c r="VWT550" s="83" t="s">
        <v>151</v>
      </c>
      <c r="VWU550" s="83" t="s">
        <v>151</v>
      </c>
      <c r="VWV550" s="83" t="s">
        <v>151</v>
      </c>
      <c r="VWW550" s="83" t="s">
        <v>151</v>
      </c>
      <c r="VWX550" s="83" t="s">
        <v>151</v>
      </c>
      <c r="VWY550" s="83" t="s">
        <v>151</v>
      </c>
      <c r="VWZ550" s="83" t="s">
        <v>151</v>
      </c>
      <c r="VXA550" s="83" t="s">
        <v>151</v>
      </c>
      <c r="VXB550" s="83" t="s">
        <v>151</v>
      </c>
      <c r="VXC550" s="83" t="s">
        <v>151</v>
      </c>
      <c r="VXD550" s="83" t="s">
        <v>151</v>
      </c>
      <c r="VXE550" s="83" t="s">
        <v>151</v>
      </c>
      <c r="VXF550" s="83" t="s">
        <v>151</v>
      </c>
      <c r="VXG550" s="83" t="s">
        <v>151</v>
      </c>
      <c r="VXH550" s="83" t="s">
        <v>151</v>
      </c>
      <c r="VXI550" s="83" t="s">
        <v>151</v>
      </c>
      <c r="VXJ550" s="83" t="s">
        <v>151</v>
      </c>
      <c r="VXK550" s="83" t="s">
        <v>151</v>
      </c>
      <c r="VXL550" s="83" t="s">
        <v>151</v>
      </c>
      <c r="VXM550" s="83" t="s">
        <v>151</v>
      </c>
      <c r="VXN550" s="83" t="s">
        <v>151</v>
      </c>
      <c r="VXO550" s="83" t="s">
        <v>151</v>
      </c>
      <c r="VXP550" s="83" t="s">
        <v>151</v>
      </c>
      <c r="VXQ550" s="83" t="s">
        <v>151</v>
      </c>
      <c r="VXR550" s="83" t="s">
        <v>151</v>
      </c>
      <c r="VXS550" s="83" t="s">
        <v>151</v>
      </c>
      <c r="VXT550" s="83" t="s">
        <v>151</v>
      </c>
      <c r="VXU550" s="83" t="s">
        <v>151</v>
      </c>
      <c r="VXV550" s="83" t="s">
        <v>151</v>
      </c>
      <c r="VXW550" s="83" t="s">
        <v>151</v>
      </c>
      <c r="VXX550" s="83" t="s">
        <v>151</v>
      </c>
      <c r="VXY550" s="83" t="s">
        <v>151</v>
      </c>
      <c r="VXZ550" s="83" t="s">
        <v>151</v>
      </c>
      <c r="VYA550" s="83" t="s">
        <v>151</v>
      </c>
      <c r="VYB550" s="83" t="s">
        <v>151</v>
      </c>
      <c r="VYC550" s="83" t="s">
        <v>151</v>
      </c>
      <c r="VYD550" s="83" t="s">
        <v>151</v>
      </c>
      <c r="VYE550" s="83" t="s">
        <v>151</v>
      </c>
      <c r="VYF550" s="83" t="s">
        <v>151</v>
      </c>
      <c r="VYG550" s="83" t="s">
        <v>151</v>
      </c>
      <c r="VYH550" s="83" t="s">
        <v>151</v>
      </c>
      <c r="VYI550" s="83" t="s">
        <v>151</v>
      </c>
      <c r="VYJ550" s="83" t="s">
        <v>151</v>
      </c>
      <c r="VYK550" s="83" t="s">
        <v>151</v>
      </c>
      <c r="VYL550" s="83" t="s">
        <v>151</v>
      </c>
      <c r="VYM550" s="83" t="s">
        <v>151</v>
      </c>
      <c r="VYN550" s="83" t="s">
        <v>151</v>
      </c>
      <c r="VYO550" s="83" t="s">
        <v>151</v>
      </c>
      <c r="VYP550" s="83" t="s">
        <v>151</v>
      </c>
      <c r="VYQ550" s="83" t="s">
        <v>151</v>
      </c>
      <c r="VYR550" s="83" t="s">
        <v>151</v>
      </c>
      <c r="VYS550" s="83" t="s">
        <v>151</v>
      </c>
      <c r="VYT550" s="83" t="s">
        <v>151</v>
      </c>
      <c r="VYU550" s="83" t="s">
        <v>151</v>
      </c>
      <c r="VYV550" s="83" t="s">
        <v>151</v>
      </c>
      <c r="VYW550" s="83" t="s">
        <v>151</v>
      </c>
      <c r="VYX550" s="83" t="s">
        <v>151</v>
      </c>
      <c r="VYY550" s="83" t="s">
        <v>151</v>
      </c>
      <c r="VYZ550" s="83" t="s">
        <v>151</v>
      </c>
      <c r="VZA550" s="83" t="s">
        <v>151</v>
      </c>
      <c r="VZB550" s="83" t="s">
        <v>151</v>
      </c>
      <c r="VZC550" s="83" t="s">
        <v>151</v>
      </c>
      <c r="VZD550" s="83" t="s">
        <v>151</v>
      </c>
      <c r="VZE550" s="83" t="s">
        <v>151</v>
      </c>
      <c r="VZF550" s="83" t="s">
        <v>151</v>
      </c>
      <c r="VZG550" s="83" t="s">
        <v>151</v>
      </c>
      <c r="VZH550" s="83" t="s">
        <v>151</v>
      </c>
      <c r="VZI550" s="83" t="s">
        <v>151</v>
      </c>
      <c r="VZJ550" s="83" t="s">
        <v>151</v>
      </c>
      <c r="VZK550" s="83" t="s">
        <v>151</v>
      </c>
      <c r="VZL550" s="83" t="s">
        <v>151</v>
      </c>
      <c r="VZM550" s="83" t="s">
        <v>151</v>
      </c>
      <c r="VZN550" s="83" t="s">
        <v>151</v>
      </c>
      <c r="VZO550" s="83" t="s">
        <v>151</v>
      </c>
      <c r="VZP550" s="83" t="s">
        <v>151</v>
      </c>
      <c r="VZQ550" s="83" t="s">
        <v>151</v>
      </c>
      <c r="VZR550" s="83" t="s">
        <v>151</v>
      </c>
      <c r="VZS550" s="83" t="s">
        <v>151</v>
      </c>
      <c r="VZT550" s="83" t="s">
        <v>151</v>
      </c>
      <c r="VZU550" s="83" t="s">
        <v>151</v>
      </c>
      <c r="VZV550" s="83" t="s">
        <v>151</v>
      </c>
      <c r="VZW550" s="83" t="s">
        <v>151</v>
      </c>
      <c r="VZX550" s="83" t="s">
        <v>151</v>
      </c>
      <c r="VZY550" s="83" t="s">
        <v>151</v>
      </c>
      <c r="VZZ550" s="83" t="s">
        <v>151</v>
      </c>
      <c r="WAA550" s="83" t="s">
        <v>151</v>
      </c>
      <c r="WAB550" s="83" t="s">
        <v>151</v>
      </c>
      <c r="WAC550" s="83" t="s">
        <v>151</v>
      </c>
      <c r="WAD550" s="83" t="s">
        <v>151</v>
      </c>
      <c r="WAE550" s="83" t="s">
        <v>151</v>
      </c>
      <c r="WAF550" s="83" t="s">
        <v>151</v>
      </c>
      <c r="WAG550" s="83" t="s">
        <v>151</v>
      </c>
      <c r="WAH550" s="83" t="s">
        <v>151</v>
      </c>
      <c r="WAI550" s="83" t="s">
        <v>151</v>
      </c>
      <c r="WAJ550" s="83" t="s">
        <v>151</v>
      </c>
      <c r="WAK550" s="83" t="s">
        <v>151</v>
      </c>
      <c r="WAL550" s="83" t="s">
        <v>151</v>
      </c>
      <c r="WAM550" s="83" t="s">
        <v>151</v>
      </c>
      <c r="WAN550" s="83" t="s">
        <v>151</v>
      </c>
      <c r="WAO550" s="83" t="s">
        <v>151</v>
      </c>
      <c r="WAP550" s="83" t="s">
        <v>151</v>
      </c>
      <c r="WAQ550" s="83" t="s">
        <v>151</v>
      </c>
      <c r="WAR550" s="83" t="s">
        <v>151</v>
      </c>
      <c r="WAS550" s="83" t="s">
        <v>151</v>
      </c>
      <c r="WAT550" s="83" t="s">
        <v>151</v>
      </c>
      <c r="WAU550" s="83" t="s">
        <v>151</v>
      </c>
      <c r="WAV550" s="83" t="s">
        <v>151</v>
      </c>
      <c r="WAW550" s="83" t="s">
        <v>151</v>
      </c>
      <c r="WAX550" s="83" t="s">
        <v>151</v>
      </c>
      <c r="WAY550" s="83" t="s">
        <v>151</v>
      </c>
      <c r="WAZ550" s="83" t="s">
        <v>151</v>
      </c>
      <c r="WBA550" s="83" t="s">
        <v>151</v>
      </c>
      <c r="WBB550" s="83" t="s">
        <v>151</v>
      </c>
      <c r="WBC550" s="83" t="s">
        <v>151</v>
      </c>
      <c r="WBD550" s="83" t="s">
        <v>151</v>
      </c>
      <c r="WBE550" s="83" t="s">
        <v>151</v>
      </c>
      <c r="WBF550" s="83" t="s">
        <v>151</v>
      </c>
      <c r="WBG550" s="83" t="s">
        <v>151</v>
      </c>
      <c r="WBH550" s="83" t="s">
        <v>151</v>
      </c>
      <c r="WBI550" s="83" t="s">
        <v>151</v>
      </c>
      <c r="WBJ550" s="83" t="s">
        <v>151</v>
      </c>
      <c r="WBK550" s="83" t="s">
        <v>151</v>
      </c>
      <c r="WBL550" s="83" t="s">
        <v>151</v>
      </c>
      <c r="WBM550" s="83" t="s">
        <v>151</v>
      </c>
      <c r="WBN550" s="83" t="s">
        <v>151</v>
      </c>
      <c r="WBO550" s="83" t="s">
        <v>151</v>
      </c>
      <c r="WBP550" s="83" t="s">
        <v>151</v>
      </c>
      <c r="WBQ550" s="83" t="s">
        <v>151</v>
      </c>
      <c r="WBR550" s="83" t="s">
        <v>151</v>
      </c>
      <c r="WBS550" s="83" t="s">
        <v>151</v>
      </c>
      <c r="WBT550" s="83" t="s">
        <v>151</v>
      </c>
      <c r="WBU550" s="83" t="s">
        <v>151</v>
      </c>
      <c r="WBV550" s="83" t="s">
        <v>151</v>
      </c>
      <c r="WBW550" s="83" t="s">
        <v>151</v>
      </c>
      <c r="WBX550" s="83" t="s">
        <v>151</v>
      </c>
      <c r="WBY550" s="83" t="s">
        <v>151</v>
      </c>
      <c r="WBZ550" s="83" t="s">
        <v>151</v>
      </c>
      <c r="WCA550" s="83" t="s">
        <v>151</v>
      </c>
      <c r="WCB550" s="83" t="s">
        <v>151</v>
      </c>
      <c r="WCC550" s="83" t="s">
        <v>151</v>
      </c>
      <c r="WCD550" s="83" t="s">
        <v>151</v>
      </c>
      <c r="WCE550" s="83" t="s">
        <v>151</v>
      </c>
      <c r="WCF550" s="83" t="s">
        <v>151</v>
      </c>
      <c r="WCG550" s="83" t="s">
        <v>151</v>
      </c>
      <c r="WCH550" s="83" t="s">
        <v>151</v>
      </c>
      <c r="WCI550" s="83" t="s">
        <v>151</v>
      </c>
      <c r="WCJ550" s="83" t="s">
        <v>151</v>
      </c>
      <c r="WCK550" s="83" t="s">
        <v>151</v>
      </c>
      <c r="WCL550" s="83" t="s">
        <v>151</v>
      </c>
      <c r="WCM550" s="83" t="s">
        <v>151</v>
      </c>
      <c r="WCN550" s="83" t="s">
        <v>151</v>
      </c>
      <c r="WCO550" s="83" t="s">
        <v>151</v>
      </c>
      <c r="WCP550" s="83" t="s">
        <v>151</v>
      </c>
      <c r="WCQ550" s="83" t="s">
        <v>151</v>
      </c>
      <c r="WCR550" s="83" t="s">
        <v>151</v>
      </c>
      <c r="WCS550" s="83" t="s">
        <v>151</v>
      </c>
      <c r="WCT550" s="83" t="s">
        <v>151</v>
      </c>
      <c r="WCU550" s="83" t="s">
        <v>151</v>
      </c>
      <c r="WCV550" s="83" t="s">
        <v>151</v>
      </c>
      <c r="WCW550" s="83" t="s">
        <v>151</v>
      </c>
      <c r="WCX550" s="83" t="s">
        <v>151</v>
      </c>
      <c r="WCY550" s="83" t="s">
        <v>151</v>
      </c>
      <c r="WCZ550" s="83" t="s">
        <v>151</v>
      </c>
      <c r="WDA550" s="83" t="s">
        <v>151</v>
      </c>
      <c r="WDB550" s="83" t="s">
        <v>151</v>
      </c>
      <c r="WDC550" s="83" t="s">
        <v>151</v>
      </c>
      <c r="WDD550" s="83" t="s">
        <v>151</v>
      </c>
      <c r="WDE550" s="83" t="s">
        <v>151</v>
      </c>
      <c r="WDF550" s="83" t="s">
        <v>151</v>
      </c>
      <c r="WDG550" s="83" t="s">
        <v>151</v>
      </c>
      <c r="WDH550" s="83" t="s">
        <v>151</v>
      </c>
      <c r="WDI550" s="83" t="s">
        <v>151</v>
      </c>
      <c r="WDJ550" s="83" t="s">
        <v>151</v>
      </c>
      <c r="WDK550" s="83" t="s">
        <v>151</v>
      </c>
      <c r="WDL550" s="83" t="s">
        <v>151</v>
      </c>
      <c r="WDM550" s="83" t="s">
        <v>151</v>
      </c>
      <c r="WDN550" s="83" t="s">
        <v>151</v>
      </c>
      <c r="WDO550" s="83" t="s">
        <v>151</v>
      </c>
      <c r="WDP550" s="83" t="s">
        <v>151</v>
      </c>
      <c r="WDQ550" s="83" t="s">
        <v>151</v>
      </c>
      <c r="WDR550" s="83" t="s">
        <v>151</v>
      </c>
      <c r="WDS550" s="83" t="s">
        <v>151</v>
      </c>
      <c r="WDT550" s="83" t="s">
        <v>151</v>
      </c>
      <c r="WDU550" s="83" t="s">
        <v>151</v>
      </c>
      <c r="WDV550" s="83" t="s">
        <v>151</v>
      </c>
      <c r="WDW550" s="83" t="s">
        <v>151</v>
      </c>
      <c r="WDX550" s="83" t="s">
        <v>151</v>
      </c>
      <c r="WDY550" s="83" t="s">
        <v>151</v>
      </c>
      <c r="WDZ550" s="83" t="s">
        <v>151</v>
      </c>
      <c r="WEA550" s="83" t="s">
        <v>151</v>
      </c>
      <c r="WEB550" s="83" t="s">
        <v>151</v>
      </c>
      <c r="WEC550" s="83" t="s">
        <v>151</v>
      </c>
      <c r="WED550" s="83" t="s">
        <v>151</v>
      </c>
      <c r="WEE550" s="83" t="s">
        <v>151</v>
      </c>
      <c r="WEF550" s="83" t="s">
        <v>151</v>
      </c>
      <c r="WEG550" s="83" t="s">
        <v>151</v>
      </c>
      <c r="WEH550" s="83" t="s">
        <v>151</v>
      </c>
      <c r="WEI550" s="83" t="s">
        <v>151</v>
      </c>
      <c r="WEJ550" s="83" t="s">
        <v>151</v>
      </c>
      <c r="WEK550" s="83" t="s">
        <v>151</v>
      </c>
      <c r="WEL550" s="83" t="s">
        <v>151</v>
      </c>
      <c r="WEM550" s="83" t="s">
        <v>151</v>
      </c>
      <c r="WEN550" s="83" t="s">
        <v>151</v>
      </c>
      <c r="WEO550" s="83" t="s">
        <v>151</v>
      </c>
      <c r="WEP550" s="83" t="s">
        <v>151</v>
      </c>
      <c r="WEQ550" s="83" t="s">
        <v>151</v>
      </c>
      <c r="WER550" s="83" t="s">
        <v>151</v>
      </c>
      <c r="WES550" s="83" t="s">
        <v>151</v>
      </c>
      <c r="WET550" s="83" t="s">
        <v>151</v>
      </c>
      <c r="WEU550" s="83" t="s">
        <v>151</v>
      </c>
      <c r="WEV550" s="83" t="s">
        <v>151</v>
      </c>
      <c r="WEW550" s="83" t="s">
        <v>151</v>
      </c>
      <c r="WEX550" s="83" t="s">
        <v>151</v>
      </c>
      <c r="WEY550" s="83" t="s">
        <v>151</v>
      </c>
      <c r="WEZ550" s="83" t="s">
        <v>151</v>
      </c>
      <c r="WFA550" s="83" t="s">
        <v>151</v>
      </c>
      <c r="WFB550" s="83" t="s">
        <v>151</v>
      </c>
      <c r="WFC550" s="83" t="s">
        <v>151</v>
      </c>
      <c r="WFD550" s="83" t="s">
        <v>151</v>
      </c>
      <c r="WFE550" s="83" t="s">
        <v>151</v>
      </c>
      <c r="WFF550" s="83" t="s">
        <v>151</v>
      </c>
      <c r="WFG550" s="83" t="s">
        <v>151</v>
      </c>
      <c r="WFH550" s="83" t="s">
        <v>151</v>
      </c>
      <c r="WFI550" s="83" t="s">
        <v>151</v>
      </c>
      <c r="WFJ550" s="83" t="s">
        <v>151</v>
      </c>
      <c r="WFK550" s="83" t="s">
        <v>151</v>
      </c>
      <c r="WFL550" s="83" t="s">
        <v>151</v>
      </c>
      <c r="WFM550" s="83" t="s">
        <v>151</v>
      </c>
      <c r="WFN550" s="83" t="s">
        <v>151</v>
      </c>
      <c r="WFO550" s="83" t="s">
        <v>151</v>
      </c>
      <c r="WFP550" s="83" t="s">
        <v>151</v>
      </c>
      <c r="WFQ550" s="83" t="s">
        <v>151</v>
      </c>
      <c r="WFR550" s="83" t="s">
        <v>151</v>
      </c>
      <c r="WFS550" s="83" t="s">
        <v>151</v>
      </c>
      <c r="WFT550" s="83" t="s">
        <v>151</v>
      </c>
      <c r="WFU550" s="83" t="s">
        <v>151</v>
      </c>
      <c r="WFV550" s="83" t="s">
        <v>151</v>
      </c>
      <c r="WFW550" s="83" t="s">
        <v>151</v>
      </c>
      <c r="WFX550" s="83" t="s">
        <v>151</v>
      </c>
      <c r="WFY550" s="83" t="s">
        <v>151</v>
      </c>
      <c r="WFZ550" s="83" t="s">
        <v>151</v>
      </c>
      <c r="WGA550" s="83" t="s">
        <v>151</v>
      </c>
      <c r="WGB550" s="83" t="s">
        <v>151</v>
      </c>
      <c r="WGC550" s="83" t="s">
        <v>151</v>
      </c>
      <c r="WGD550" s="83" t="s">
        <v>151</v>
      </c>
      <c r="WGE550" s="83" t="s">
        <v>151</v>
      </c>
      <c r="WGF550" s="83" t="s">
        <v>151</v>
      </c>
      <c r="WGG550" s="83" t="s">
        <v>151</v>
      </c>
      <c r="WGH550" s="83" t="s">
        <v>151</v>
      </c>
      <c r="WGI550" s="83" t="s">
        <v>151</v>
      </c>
      <c r="WGJ550" s="83" t="s">
        <v>151</v>
      </c>
      <c r="WGK550" s="83" t="s">
        <v>151</v>
      </c>
      <c r="WGL550" s="83" t="s">
        <v>151</v>
      </c>
      <c r="WGM550" s="83" t="s">
        <v>151</v>
      </c>
      <c r="WGN550" s="83" t="s">
        <v>151</v>
      </c>
      <c r="WGO550" s="83" t="s">
        <v>151</v>
      </c>
      <c r="WGP550" s="83" t="s">
        <v>151</v>
      </c>
      <c r="WGQ550" s="83" t="s">
        <v>151</v>
      </c>
      <c r="WGR550" s="83" t="s">
        <v>151</v>
      </c>
      <c r="WGS550" s="83" t="s">
        <v>151</v>
      </c>
      <c r="WGT550" s="83" t="s">
        <v>151</v>
      </c>
      <c r="WGU550" s="83" t="s">
        <v>151</v>
      </c>
      <c r="WGV550" s="83" t="s">
        <v>151</v>
      </c>
      <c r="WGW550" s="83" t="s">
        <v>151</v>
      </c>
      <c r="WGX550" s="83" t="s">
        <v>151</v>
      </c>
      <c r="WGY550" s="83" t="s">
        <v>151</v>
      </c>
      <c r="WGZ550" s="83" t="s">
        <v>151</v>
      </c>
      <c r="WHA550" s="83" t="s">
        <v>151</v>
      </c>
      <c r="WHB550" s="83" t="s">
        <v>151</v>
      </c>
      <c r="WHC550" s="83" t="s">
        <v>151</v>
      </c>
      <c r="WHD550" s="83" t="s">
        <v>151</v>
      </c>
      <c r="WHE550" s="83" t="s">
        <v>151</v>
      </c>
      <c r="WHF550" s="83" t="s">
        <v>151</v>
      </c>
      <c r="WHG550" s="83" t="s">
        <v>151</v>
      </c>
      <c r="WHH550" s="83" t="s">
        <v>151</v>
      </c>
      <c r="WHI550" s="83" t="s">
        <v>151</v>
      </c>
      <c r="WHJ550" s="83" t="s">
        <v>151</v>
      </c>
      <c r="WHK550" s="83" t="s">
        <v>151</v>
      </c>
      <c r="WHL550" s="83" t="s">
        <v>151</v>
      </c>
      <c r="WHM550" s="83" t="s">
        <v>151</v>
      </c>
      <c r="WHN550" s="83" t="s">
        <v>151</v>
      </c>
      <c r="WHO550" s="83" t="s">
        <v>151</v>
      </c>
      <c r="WHP550" s="83" t="s">
        <v>151</v>
      </c>
      <c r="WHQ550" s="83" t="s">
        <v>151</v>
      </c>
      <c r="WHR550" s="83" t="s">
        <v>151</v>
      </c>
      <c r="WHS550" s="83" t="s">
        <v>151</v>
      </c>
      <c r="WHT550" s="83" t="s">
        <v>151</v>
      </c>
      <c r="WHU550" s="83" t="s">
        <v>151</v>
      </c>
      <c r="WHV550" s="83" t="s">
        <v>151</v>
      </c>
      <c r="WHW550" s="83" t="s">
        <v>151</v>
      </c>
      <c r="WHX550" s="83" t="s">
        <v>151</v>
      </c>
      <c r="WHY550" s="83" t="s">
        <v>151</v>
      </c>
      <c r="WHZ550" s="83" t="s">
        <v>151</v>
      </c>
      <c r="WIA550" s="83" t="s">
        <v>151</v>
      </c>
      <c r="WIB550" s="83" t="s">
        <v>151</v>
      </c>
      <c r="WIC550" s="83" t="s">
        <v>151</v>
      </c>
      <c r="WID550" s="83" t="s">
        <v>151</v>
      </c>
      <c r="WIE550" s="83" t="s">
        <v>151</v>
      </c>
      <c r="WIF550" s="83" t="s">
        <v>151</v>
      </c>
      <c r="WIG550" s="83" t="s">
        <v>151</v>
      </c>
      <c r="WIH550" s="83" t="s">
        <v>151</v>
      </c>
      <c r="WII550" s="83" t="s">
        <v>151</v>
      </c>
      <c r="WIJ550" s="83" t="s">
        <v>151</v>
      </c>
      <c r="WIK550" s="83" t="s">
        <v>151</v>
      </c>
      <c r="WIL550" s="83" t="s">
        <v>151</v>
      </c>
      <c r="WIM550" s="83" t="s">
        <v>151</v>
      </c>
      <c r="WIN550" s="83" t="s">
        <v>151</v>
      </c>
      <c r="WIO550" s="83" t="s">
        <v>151</v>
      </c>
      <c r="WIP550" s="83" t="s">
        <v>151</v>
      </c>
      <c r="WIQ550" s="83" t="s">
        <v>151</v>
      </c>
      <c r="WIR550" s="83" t="s">
        <v>151</v>
      </c>
      <c r="WIS550" s="83" t="s">
        <v>151</v>
      </c>
      <c r="WIT550" s="83" t="s">
        <v>151</v>
      </c>
      <c r="WIU550" s="83" t="s">
        <v>151</v>
      </c>
      <c r="WIV550" s="83" t="s">
        <v>151</v>
      </c>
      <c r="WIW550" s="83" t="s">
        <v>151</v>
      </c>
      <c r="WIX550" s="83" t="s">
        <v>151</v>
      </c>
      <c r="WIY550" s="83" t="s">
        <v>151</v>
      </c>
      <c r="WIZ550" s="83" t="s">
        <v>151</v>
      </c>
      <c r="WJA550" s="83" t="s">
        <v>151</v>
      </c>
      <c r="WJB550" s="83" t="s">
        <v>151</v>
      </c>
      <c r="WJC550" s="83" t="s">
        <v>151</v>
      </c>
      <c r="WJD550" s="83" t="s">
        <v>151</v>
      </c>
      <c r="WJE550" s="83" t="s">
        <v>151</v>
      </c>
      <c r="WJF550" s="83" t="s">
        <v>151</v>
      </c>
      <c r="WJG550" s="83" t="s">
        <v>151</v>
      </c>
      <c r="WJH550" s="83" t="s">
        <v>151</v>
      </c>
      <c r="WJI550" s="83" t="s">
        <v>151</v>
      </c>
      <c r="WJJ550" s="83" t="s">
        <v>151</v>
      </c>
      <c r="WJK550" s="83" t="s">
        <v>151</v>
      </c>
      <c r="WJL550" s="83" t="s">
        <v>151</v>
      </c>
      <c r="WJM550" s="83" t="s">
        <v>151</v>
      </c>
      <c r="WJN550" s="83" t="s">
        <v>151</v>
      </c>
      <c r="WJO550" s="83" t="s">
        <v>151</v>
      </c>
      <c r="WJP550" s="83" t="s">
        <v>151</v>
      </c>
      <c r="WJQ550" s="83" t="s">
        <v>151</v>
      </c>
      <c r="WJR550" s="83" t="s">
        <v>151</v>
      </c>
      <c r="WJS550" s="83" t="s">
        <v>151</v>
      </c>
      <c r="WJT550" s="83" t="s">
        <v>151</v>
      </c>
      <c r="WJU550" s="83" t="s">
        <v>151</v>
      </c>
      <c r="WJV550" s="83" t="s">
        <v>151</v>
      </c>
      <c r="WJW550" s="83" t="s">
        <v>151</v>
      </c>
      <c r="WJX550" s="83" t="s">
        <v>151</v>
      </c>
      <c r="WJY550" s="83" t="s">
        <v>151</v>
      </c>
      <c r="WJZ550" s="83" t="s">
        <v>151</v>
      </c>
      <c r="WKA550" s="83" t="s">
        <v>151</v>
      </c>
      <c r="WKB550" s="83" t="s">
        <v>151</v>
      </c>
      <c r="WKC550" s="83" t="s">
        <v>151</v>
      </c>
      <c r="WKD550" s="83" t="s">
        <v>151</v>
      </c>
      <c r="WKE550" s="83" t="s">
        <v>151</v>
      </c>
      <c r="WKF550" s="83" t="s">
        <v>151</v>
      </c>
      <c r="WKG550" s="83" t="s">
        <v>151</v>
      </c>
      <c r="WKH550" s="83" t="s">
        <v>151</v>
      </c>
      <c r="WKI550" s="83" t="s">
        <v>151</v>
      </c>
      <c r="WKJ550" s="83" t="s">
        <v>151</v>
      </c>
      <c r="WKK550" s="83" t="s">
        <v>151</v>
      </c>
      <c r="WKL550" s="83" t="s">
        <v>151</v>
      </c>
      <c r="WKM550" s="83" t="s">
        <v>151</v>
      </c>
      <c r="WKN550" s="83" t="s">
        <v>151</v>
      </c>
      <c r="WKO550" s="83" t="s">
        <v>151</v>
      </c>
      <c r="WKP550" s="83" t="s">
        <v>151</v>
      </c>
      <c r="WKQ550" s="83" t="s">
        <v>151</v>
      </c>
      <c r="WKR550" s="83" t="s">
        <v>151</v>
      </c>
      <c r="WKS550" s="83" t="s">
        <v>151</v>
      </c>
      <c r="WKT550" s="83" t="s">
        <v>151</v>
      </c>
      <c r="WKU550" s="83" t="s">
        <v>151</v>
      </c>
      <c r="WKV550" s="83" t="s">
        <v>151</v>
      </c>
      <c r="WKW550" s="83" t="s">
        <v>151</v>
      </c>
      <c r="WKX550" s="83" t="s">
        <v>151</v>
      </c>
      <c r="WKY550" s="83" t="s">
        <v>151</v>
      </c>
      <c r="WKZ550" s="83" t="s">
        <v>151</v>
      </c>
      <c r="WLA550" s="83" t="s">
        <v>151</v>
      </c>
      <c r="WLB550" s="83" t="s">
        <v>151</v>
      </c>
      <c r="WLC550" s="83" t="s">
        <v>151</v>
      </c>
      <c r="WLD550" s="83" t="s">
        <v>151</v>
      </c>
      <c r="WLE550" s="83" t="s">
        <v>151</v>
      </c>
      <c r="WLF550" s="83" t="s">
        <v>151</v>
      </c>
      <c r="WLG550" s="83" t="s">
        <v>151</v>
      </c>
      <c r="WLH550" s="83" t="s">
        <v>151</v>
      </c>
      <c r="WLI550" s="83" t="s">
        <v>151</v>
      </c>
      <c r="WLJ550" s="83" t="s">
        <v>151</v>
      </c>
      <c r="WLK550" s="83" t="s">
        <v>151</v>
      </c>
      <c r="WLL550" s="83" t="s">
        <v>151</v>
      </c>
      <c r="WLM550" s="83" t="s">
        <v>151</v>
      </c>
      <c r="WLN550" s="83" t="s">
        <v>151</v>
      </c>
      <c r="WLO550" s="83" t="s">
        <v>151</v>
      </c>
      <c r="WLP550" s="83" t="s">
        <v>151</v>
      </c>
      <c r="WLQ550" s="83" t="s">
        <v>151</v>
      </c>
      <c r="WLR550" s="83" t="s">
        <v>151</v>
      </c>
      <c r="WLS550" s="83" t="s">
        <v>151</v>
      </c>
      <c r="WLT550" s="83" t="s">
        <v>151</v>
      </c>
      <c r="WLU550" s="83" t="s">
        <v>151</v>
      </c>
      <c r="WLV550" s="83" t="s">
        <v>151</v>
      </c>
      <c r="WLW550" s="83" t="s">
        <v>151</v>
      </c>
      <c r="WLX550" s="83" t="s">
        <v>151</v>
      </c>
      <c r="WLY550" s="83" t="s">
        <v>151</v>
      </c>
      <c r="WLZ550" s="83" t="s">
        <v>151</v>
      </c>
      <c r="WMA550" s="83" t="s">
        <v>151</v>
      </c>
      <c r="WMB550" s="83" t="s">
        <v>151</v>
      </c>
      <c r="WMC550" s="83" t="s">
        <v>151</v>
      </c>
      <c r="WMD550" s="83" t="s">
        <v>151</v>
      </c>
      <c r="WME550" s="83" t="s">
        <v>151</v>
      </c>
      <c r="WMF550" s="83" t="s">
        <v>151</v>
      </c>
      <c r="WMG550" s="83" t="s">
        <v>151</v>
      </c>
      <c r="WMH550" s="83" t="s">
        <v>151</v>
      </c>
      <c r="WMI550" s="83" t="s">
        <v>151</v>
      </c>
      <c r="WMJ550" s="83" t="s">
        <v>151</v>
      </c>
      <c r="WMK550" s="83" t="s">
        <v>151</v>
      </c>
      <c r="WML550" s="83" t="s">
        <v>151</v>
      </c>
      <c r="WMM550" s="83" t="s">
        <v>151</v>
      </c>
      <c r="WMN550" s="83" t="s">
        <v>151</v>
      </c>
      <c r="WMO550" s="83" t="s">
        <v>151</v>
      </c>
      <c r="WMP550" s="83" t="s">
        <v>151</v>
      </c>
      <c r="WMQ550" s="83" t="s">
        <v>151</v>
      </c>
      <c r="WMR550" s="83" t="s">
        <v>151</v>
      </c>
      <c r="WMS550" s="83" t="s">
        <v>151</v>
      </c>
      <c r="WMT550" s="83" t="s">
        <v>151</v>
      </c>
      <c r="WMU550" s="83" t="s">
        <v>151</v>
      </c>
      <c r="WMV550" s="83" t="s">
        <v>151</v>
      </c>
      <c r="WMW550" s="83" t="s">
        <v>151</v>
      </c>
      <c r="WMX550" s="83" t="s">
        <v>151</v>
      </c>
      <c r="WMY550" s="83" t="s">
        <v>151</v>
      </c>
      <c r="WMZ550" s="83" t="s">
        <v>151</v>
      </c>
      <c r="WNA550" s="83" t="s">
        <v>151</v>
      </c>
      <c r="WNB550" s="83" t="s">
        <v>151</v>
      </c>
      <c r="WNC550" s="83" t="s">
        <v>151</v>
      </c>
      <c r="WND550" s="83" t="s">
        <v>151</v>
      </c>
      <c r="WNE550" s="83" t="s">
        <v>151</v>
      </c>
      <c r="WNF550" s="83" t="s">
        <v>151</v>
      </c>
      <c r="WNG550" s="83" t="s">
        <v>151</v>
      </c>
      <c r="WNH550" s="83" t="s">
        <v>151</v>
      </c>
      <c r="WNI550" s="83" t="s">
        <v>151</v>
      </c>
      <c r="WNJ550" s="83" t="s">
        <v>151</v>
      </c>
      <c r="WNK550" s="83" t="s">
        <v>151</v>
      </c>
      <c r="WNL550" s="83" t="s">
        <v>151</v>
      </c>
      <c r="WNM550" s="83" t="s">
        <v>151</v>
      </c>
      <c r="WNN550" s="83" t="s">
        <v>151</v>
      </c>
      <c r="WNO550" s="83" t="s">
        <v>151</v>
      </c>
      <c r="WNP550" s="83" t="s">
        <v>151</v>
      </c>
      <c r="WNQ550" s="83" t="s">
        <v>151</v>
      </c>
      <c r="WNR550" s="83" t="s">
        <v>151</v>
      </c>
      <c r="WNS550" s="83" t="s">
        <v>151</v>
      </c>
      <c r="WNT550" s="83" t="s">
        <v>151</v>
      </c>
      <c r="WNU550" s="83" t="s">
        <v>151</v>
      </c>
      <c r="WNV550" s="83" t="s">
        <v>151</v>
      </c>
      <c r="WNW550" s="83" t="s">
        <v>151</v>
      </c>
      <c r="WNX550" s="83" t="s">
        <v>151</v>
      </c>
      <c r="WNY550" s="83" t="s">
        <v>151</v>
      </c>
      <c r="WNZ550" s="83" t="s">
        <v>151</v>
      </c>
      <c r="WOA550" s="83" t="s">
        <v>151</v>
      </c>
      <c r="WOB550" s="83" t="s">
        <v>151</v>
      </c>
      <c r="WOC550" s="83" t="s">
        <v>151</v>
      </c>
      <c r="WOD550" s="83" t="s">
        <v>151</v>
      </c>
      <c r="WOE550" s="83" t="s">
        <v>151</v>
      </c>
      <c r="WOF550" s="83" t="s">
        <v>151</v>
      </c>
      <c r="WOG550" s="83" t="s">
        <v>151</v>
      </c>
      <c r="WOH550" s="83" t="s">
        <v>151</v>
      </c>
      <c r="WOI550" s="83" t="s">
        <v>151</v>
      </c>
      <c r="WOJ550" s="83" t="s">
        <v>151</v>
      </c>
      <c r="WOK550" s="83" t="s">
        <v>151</v>
      </c>
      <c r="WOL550" s="83" t="s">
        <v>151</v>
      </c>
      <c r="WOM550" s="83" t="s">
        <v>151</v>
      </c>
      <c r="WON550" s="83" t="s">
        <v>151</v>
      </c>
      <c r="WOO550" s="83" t="s">
        <v>151</v>
      </c>
      <c r="WOP550" s="83" t="s">
        <v>151</v>
      </c>
      <c r="WOQ550" s="83" t="s">
        <v>151</v>
      </c>
      <c r="WOR550" s="83" t="s">
        <v>151</v>
      </c>
      <c r="WOS550" s="83" t="s">
        <v>151</v>
      </c>
      <c r="WOT550" s="83" t="s">
        <v>151</v>
      </c>
      <c r="WOU550" s="83" t="s">
        <v>151</v>
      </c>
      <c r="WOV550" s="83" t="s">
        <v>151</v>
      </c>
      <c r="WOW550" s="83" t="s">
        <v>151</v>
      </c>
      <c r="WOX550" s="83" t="s">
        <v>151</v>
      </c>
      <c r="WOY550" s="83" t="s">
        <v>151</v>
      </c>
      <c r="WOZ550" s="83" t="s">
        <v>151</v>
      </c>
      <c r="WPA550" s="83" t="s">
        <v>151</v>
      </c>
      <c r="WPB550" s="83" t="s">
        <v>151</v>
      </c>
      <c r="WPC550" s="83" t="s">
        <v>151</v>
      </c>
      <c r="WPD550" s="83" t="s">
        <v>151</v>
      </c>
      <c r="WPE550" s="83" t="s">
        <v>151</v>
      </c>
      <c r="WPF550" s="83" t="s">
        <v>151</v>
      </c>
      <c r="WPG550" s="83" t="s">
        <v>151</v>
      </c>
      <c r="WPH550" s="83" t="s">
        <v>151</v>
      </c>
      <c r="WPI550" s="83" t="s">
        <v>151</v>
      </c>
      <c r="WPJ550" s="83" t="s">
        <v>151</v>
      </c>
      <c r="WPK550" s="83" t="s">
        <v>151</v>
      </c>
      <c r="WPL550" s="83" t="s">
        <v>151</v>
      </c>
      <c r="WPM550" s="83" t="s">
        <v>151</v>
      </c>
      <c r="WPN550" s="83" t="s">
        <v>151</v>
      </c>
      <c r="WPO550" s="83" t="s">
        <v>151</v>
      </c>
      <c r="WPP550" s="83" t="s">
        <v>151</v>
      </c>
      <c r="WPQ550" s="83" t="s">
        <v>151</v>
      </c>
      <c r="WPR550" s="83" t="s">
        <v>151</v>
      </c>
      <c r="WPS550" s="83" t="s">
        <v>151</v>
      </c>
      <c r="WPT550" s="83" t="s">
        <v>151</v>
      </c>
      <c r="WPU550" s="83" t="s">
        <v>151</v>
      </c>
      <c r="WPV550" s="83" t="s">
        <v>151</v>
      </c>
      <c r="WPW550" s="83" t="s">
        <v>151</v>
      </c>
      <c r="WPX550" s="83" t="s">
        <v>151</v>
      </c>
      <c r="WPY550" s="83" t="s">
        <v>151</v>
      </c>
      <c r="WPZ550" s="83" t="s">
        <v>151</v>
      </c>
      <c r="WQA550" s="83" t="s">
        <v>151</v>
      </c>
      <c r="WQB550" s="83" t="s">
        <v>151</v>
      </c>
      <c r="WQC550" s="83" t="s">
        <v>151</v>
      </c>
      <c r="WQD550" s="83" t="s">
        <v>151</v>
      </c>
      <c r="WQE550" s="83" t="s">
        <v>151</v>
      </c>
      <c r="WQF550" s="83" t="s">
        <v>151</v>
      </c>
      <c r="WQG550" s="83" t="s">
        <v>151</v>
      </c>
      <c r="WQH550" s="83" t="s">
        <v>151</v>
      </c>
      <c r="WQI550" s="83" t="s">
        <v>151</v>
      </c>
      <c r="WQJ550" s="83" t="s">
        <v>151</v>
      </c>
      <c r="WQK550" s="83" t="s">
        <v>151</v>
      </c>
      <c r="WQL550" s="83" t="s">
        <v>151</v>
      </c>
      <c r="WQM550" s="83" t="s">
        <v>151</v>
      </c>
      <c r="WQN550" s="83" t="s">
        <v>151</v>
      </c>
      <c r="WQO550" s="83" t="s">
        <v>151</v>
      </c>
      <c r="WQP550" s="83" t="s">
        <v>151</v>
      </c>
      <c r="WQQ550" s="83" t="s">
        <v>151</v>
      </c>
      <c r="WQR550" s="83" t="s">
        <v>151</v>
      </c>
      <c r="WQS550" s="83" t="s">
        <v>151</v>
      </c>
      <c r="WQT550" s="83" t="s">
        <v>151</v>
      </c>
      <c r="WQU550" s="83" t="s">
        <v>151</v>
      </c>
      <c r="WQV550" s="83" t="s">
        <v>151</v>
      </c>
      <c r="WQW550" s="83" t="s">
        <v>151</v>
      </c>
      <c r="WQX550" s="83" t="s">
        <v>151</v>
      </c>
      <c r="WQY550" s="83" t="s">
        <v>151</v>
      </c>
      <c r="WQZ550" s="83" t="s">
        <v>151</v>
      </c>
      <c r="WRA550" s="83" t="s">
        <v>151</v>
      </c>
      <c r="WRB550" s="83" t="s">
        <v>151</v>
      </c>
      <c r="WRC550" s="83" t="s">
        <v>151</v>
      </c>
      <c r="WRD550" s="83" t="s">
        <v>151</v>
      </c>
      <c r="WRE550" s="83" t="s">
        <v>151</v>
      </c>
      <c r="WRF550" s="83" t="s">
        <v>151</v>
      </c>
      <c r="WRG550" s="83" t="s">
        <v>151</v>
      </c>
      <c r="WRH550" s="83" t="s">
        <v>151</v>
      </c>
      <c r="WRI550" s="83" t="s">
        <v>151</v>
      </c>
      <c r="WRJ550" s="83" t="s">
        <v>151</v>
      </c>
      <c r="WRK550" s="83" t="s">
        <v>151</v>
      </c>
      <c r="WRL550" s="83" t="s">
        <v>151</v>
      </c>
      <c r="WRM550" s="83" t="s">
        <v>151</v>
      </c>
      <c r="WRN550" s="83" t="s">
        <v>151</v>
      </c>
      <c r="WRO550" s="83" t="s">
        <v>151</v>
      </c>
      <c r="WRP550" s="83" t="s">
        <v>151</v>
      </c>
      <c r="WRQ550" s="83" t="s">
        <v>151</v>
      </c>
      <c r="WRR550" s="83" t="s">
        <v>151</v>
      </c>
      <c r="WRS550" s="83" t="s">
        <v>151</v>
      </c>
      <c r="WRT550" s="83" t="s">
        <v>151</v>
      </c>
      <c r="WRU550" s="83" t="s">
        <v>151</v>
      </c>
      <c r="WRV550" s="83" t="s">
        <v>151</v>
      </c>
      <c r="WRW550" s="83" t="s">
        <v>151</v>
      </c>
      <c r="WRX550" s="83" t="s">
        <v>151</v>
      </c>
      <c r="WRY550" s="83" t="s">
        <v>151</v>
      </c>
      <c r="WRZ550" s="83" t="s">
        <v>151</v>
      </c>
      <c r="WSA550" s="83" t="s">
        <v>151</v>
      </c>
      <c r="WSB550" s="83" t="s">
        <v>151</v>
      </c>
      <c r="WSC550" s="83" t="s">
        <v>151</v>
      </c>
      <c r="WSD550" s="83" t="s">
        <v>151</v>
      </c>
      <c r="WSE550" s="83" t="s">
        <v>151</v>
      </c>
      <c r="WSF550" s="83" t="s">
        <v>151</v>
      </c>
      <c r="WSG550" s="83" t="s">
        <v>151</v>
      </c>
      <c r="WSH550" s="83" t="s">
        <v>151</v>
      </c>
      <c r="WSI550" s="83" t="s">
        <v>151</v>
      </c>
      <c r="WSJ550" s="83" t="s">
        <v>151</v>
      </c>
      <c r="WSK550" s="83" t="s">
        <v>151</v>
      </c>
      <c r="WSL550" s="83" t="s">
        <v>151</v>
      </c>
      <c r="WSM550" s="83" t="s">
        <v>151</v>
      </c>
      <c r="WSN550" s="83" t="s">
        <v>151</v>
      </c>
      <c r="WSO550" s="83" t="s">
        <v>151</v>
      </c>
      <c r="WSP550" s="83" t="s">
        <v>151</v>
      </c>
      <c r="WSQ550" s="83" t="s">
        <v>151</v>
      </c>
      <c r="WSR550" s="83" t="s">
        <v>151</v>
      </c>
      <c r="WSS550" s="83" t="s">
        <v>151</v>
      </c>
      <c r="WST550" s="83" t="s">
        <v>151</v>
      </c>
      <c r="WSU550" s="83" t="s">
        <v>151</v>
      </c>
      <c r="WSV550" s="83" t="s">
        <v>151</v>
      </c>
      <c r="WSW550" s="83" t="s">
        <v>151</v>
      </c>
      <c r="WSX550" s="83" t="s">
        <v>151</v>
      </c>
      <c r="WSY550" s="83" t="s">
        <v>151</v>
      </c>
      <c r="WSZ550" s="83" t="s">
        <v>151</v>
      </c>
      <c r="WTA550" s="83" t="s">
        <v>151</v>
      </c>
      <c r="WTB550" s="83" t="s">
        <v>151</v>
      </c>
      <c r="WTC550" s="83" t="s">
        <v>151</v>
      </c>
      <c r="WTD550" s="83" t="s">
        <v>151</v>
      </c>
      <c r="WTE550" s="83" t="s">
        <v>151</v>
      </c>
      <c r="WTF550" s="83" t="s">
        <v>151</v>
      </c>
      <c r="WTG550" s="83" t="s">
        <v>151</v>
      </c>
      <c r="WTH550" s="83" t="s">
        <v>151</v>
      </c>
      <c r="WTI550" s="83" t="s">
        <v>151</v>
      </c>
      <c r="WTJ550" s="83" t="s">
        <v>151</v>
      </c>
      <c r="WTK550" s="83" t="s">
        <v>151</v>
      </c>
      <c r="WTL550" s="83" t="s">
        <v>151</v>
      </c>
      <c r="WTM550" s="83" t="s">
        <v>151</v>
      </c>
      <c r="WTN550" s="83" t="s">
        <v>151</v>
      </c>
      <c r="WTO550" s="83" t="s">
        <v>151</v>
      </c>
      <c r="WTP550" s="83" t="s">
        <v>151</v>
      </c>
      <c r="WTQ550" s="83" t="s">
        <v>151</v>
      </c>
      <c r="WTR550" s="83" t="s">
        <v>151</v>
      </c>
      <c r="WTS550" s="83" t="s">
        <v>151</v>
      </c>
      <c r="WTT550" s="83" t="s">
        <v>151</v>
      </c>
      <c r="WTU550" s="83" t="s">
        <v>151</v>
      </c>
      <c r="WTV550" s="83" t="s">
        <v>151</v>
      </c>
      <c r="WTW550" s="83" t="s">
        <v>151</v>
      </c>
      <c r="WTX550" s="83" t="s">
        <v>151</v>
      </c>
      <c r="WTY550" s="83" t="s">
        <v>151</v>
      </c>
      <c r="WTZ550" s="83" t="s">
        <v>151</v>
      </c>
      <c r="WUA550" s="83" t="s">
        <v>151</v>
      </c>
      <c r="WUB550" s="83" t="s">
        <v>151</v>
      </c>
      <c r="WUC550" s="83" t="s">
        <v>151</v>
      </c>
      <c r="WUD550" s="83" t="s">
        <v>151</v>
      </c>
      <c r="WUE550" s="83" t="s">
        <v>151</v>
      </c>
      <c r="WUF550" s="83" t="s">
        <v>151</v>
      </c>
      <c r="WUG550" s="83" t="s">
        <v>151</v>
      </c>
      <c r="WUH550" s="83" t="s">
        <v>151</v>
      </c>
      <c r="WUI550" s="83" t="s">
        <v>151</v>
      </c>
      <c r="WUJ550" s="83" t="s">
        <v>151</v>
      </c>
      <c r="WUK550" s="83" t="s">
        <v>151</v>
      </c>
      <c r="WUL550" s="83" t="s">
        <v>151</v>
      </c>
      <c r="WUM550" s="83" t="s">
        <v>151</v>
      </c>
      <c r="WUN550" s="83" t="s">
        <v>151</v>
      </c>
      <c r="WUO550" s="83" t="s">
        <v>151</v>
      </c>
      <c r="WUP550" s="83" t="s">
        <v>151</v>
      </c>
      <c r="WUQ550" s="83" t="s">
        <v>151</v>
      </c>
      <c r="WUR550" s="83" t="s">
        <v>151</v>
      </c>
      <c r="WUS550" s="83" t="s">
        <v>151</v>
      </c>
      <c r="WUT550" s="83" t="s">
        <v>151</v>
      </c>
      <c r="WUU550" s="83" t="s">
        <v>151</v>
      </c>
      <c r="WUV550" s="83" t="s">
        <v>151</v>
      </c>
      <c r="WUW550" s="83" t="s">
        <v>151</v>
      </c>
      <c r="WUX550" s="83" t="s">
        <v>151</v>
      </c>
      <c r="WUY550" s="83" t="s">
        <v>151</v>
      </c>
      <c r="WUZ550" s="83" t="s">
        <v>151</v>
      </c>
      <c r="WVA550" s="83" t="s">
        <v>151</v>
      </c>
      <c r="WVB550" s="83" t="s">
        <v>151</v>
      </c>
      <c r="WVC550" s="83" t="s">
        <v>151</v>
      </c>
      <c r="WVD550" s="83" t="s">
        <v>151</v>
      </c>
      <c r="WVE550" s="83" t="s">
        <v>151</v>
      </c>
      <c r="WVF550" s="83" t="s">
        <v>151</v>
      </c>
      <c r="WVG550" s="83" t="s">
        <v>151</v>
      </c>
      <c r="WVH550" s="83" t="s">
        <v>151</v>
      </c>
      <c r="WVI550" s="83" t="s">
        <v>151</v>
      </c>
      <c r="WVJ550" s="83" t="s">
        <v>151</v>
      </c>
      <c r="WVK550" s="83" t="s">
        <v>151</v>
      </c>
      <c r="WVL550" s="83" t="s">
        <v>151</v>
      </c>
      <c r="WVM550" s="83" t="s">
        <v>151</v>
      </c>
      <c r="WVN550" s="83" t="s">
        <v>151</v>
      </c>
      <c r="WVO550" s="83" t="s">
        <v>151</v>
      </c>
      <c r="WVP550" s="83" t="s">
        <v>151</v>
      </c>
      <c r="WVQ550" s="83" t="s">
        <v>151</v>
      </c>
      <c r="WVR550" s="83" t="s">
        <v>151</v>
      </c>
      <c r="WVS550" s="83" t="s">
        <v>151</v>
      </c>
      <c r="WVT550" s="83" t="s">
        <v>151</v>
      </c>
      <c r="WVU550" s="83" t="s">
        <v>151</v>
      </c>
      <c r="WVV550" s="83" t="s">
        <v>151</v>
      </c>
      <c r="WVW550" s="83" t="s">
        <v>151</v>
      </c>
      <c r="WVX550" s="83" t="s">
        <v>151</v>
      </c>
      <c r="WVY550" s="83" t="s">
        <v>151</v>
      </c>
      <c r="WVZ550" s="83" t="s">
        <v>151</v>
      </c>
      <c r="WWA550" s="83" t="s">
        <v>151</v>
      </c>
      <c r="WWB550" s="83" t="s">
        <v>151</v>
      </c>
      <c r="WWC550" s="83" t="s">
        <v>151</v>
      </c>
      <c r="WWD550" s="83" t="s">
        <v>151</v>
      </c>
      <c r="WWE550" s="83" t="s">
        <v>151</v>
      </c>
      <c r="WWF550" s="83" t="s">
        <v>151</v>
      </c>
      <c r="WWG550" s="83" t="s">
        <v>151</v>
      </c>
      <c r="WWH550" s="83" t="s">
        <v>151</v>
      </c>
      <c r="WWI550" s="83" t="s">
        <v>151</v>
      </c>
      <c r="WWJ550" s="83" t="s">
        <v>151</v>
      </c>
      <c r="WWK550" s="83" t="s">
        <v>151</v>
      </c>
      <c r="WWL550" s="83" t="s">
        <v>151</v>
      </c>
      <c r="WWM550" s="83" t="s">
        <v>151</v>
      </c>
      <c r="WWN550" s="83" t="s">
        <v>151</v>
      </c>
      <c r="WWO550" s="83" t="s">
        <v>151</v>
      </c>
      <c r="WWP550" s="83" t="s">
        <v>151</v>
      </c>
      <c r="WWQ550" s="83" t="s">
        <v>151</v>
      </c>
      <c r="WWR550" s="83" t="s">
        <v>151</v>
      </c>
      <c r="WWS550" s="83" t="s">
        <v>151</v>
      </c>
      <c r="WWT550" s="83" t="s">
        <v>151</v>
      </c>
      <c r="WWU550" s="83" t="s">
        <v>151</v>
      </c>
      <c r="WWV550" s="83" t="s">
        <v>151</v>
      </c>
      <c r="WWW550" s="83" t="s">
        <v>151</v>
      </c>
      <c r="WWX550" s="83" t="s">
        <v>151</v>
      </c>
      <c r="WWY550" s="83" t="s">
        <v>151</v>
      </c>
      <c r="WWZ550" s="83" t="s">
        <v>151</v>
      </c>
      <c r="WXA550" s="83" t="s">
        <v>151</v>
      </c>
      <c r="WXB550" s="83" t="s">
        <v>151</v>
      </c>
      <c r="WXC550" s="83" t="s">
        <v>151</v>
      </c>
      <c r="WXD550" s="83" t="s">
        <v>151</v>
      </c>
      <c r="WXE550" s="83" t="s">
        <v>151</v>
      </c>
      <c r="WXF550" s="83" t="s">
        <v>151</v>
      </c>
      <c r="WXG550" s="83" t="s">
        <v>151</v>
      </c>
      <c r="WXH550" s="83" t="s">
        <v>151</v>
      </c>
      <c r="WXI550" s="83" t="s">
        <v>151</v>
      </c>
      <c r="WXJ550" s="83" t="s">
        <v>151</v>
      </c>
      <c r="WXK550" s="83" t="s">
        <v>151</v>
      </c>
      <c r="WXL550" s="83" t="s">
        <v>151</v>
      </c>
      <c r="WXM550" s="83" t="s">
        <v>151</v>
      </c>
      <c r="WXN550" s="83" t="s">
        <v>151</v>
      </c>
      <c r="WXO550" s="83" t="s">
        <v>151</v>
      </c>
      <c r="WXP550" s="83" t="s">
        <v>151</v>
      </c>
      <c r="WXQ550" s="83" t="s">
        <v>151</v>
      </c>
      <c r="WXR550" s="83" t="s">
        <v>151</v>
      </c>
      <c r="WXS550" s="83" t="s">
        <v>151</v>
      </c>
      <c r="WXT550" s="83" t="s">
        <v>151</v>
      </c>
      <c r="WXU550" s="83" t="s">
        <v>151</v>
      </c>
      <c r="WXV550" s="83" t="s">
        <v>151</v>
      </c>
      <c r="WXW550" s="83" t="s">
        <v>151</v>
      </c>
      <c r="WXX550" s="83" t="s">
        <v>151</v>
      </c>
      <c r="WXY550" s="83" t="s">
        <v>151</v>
      </c>
      <c r="WXZ550" s="83" t="s">
        <v>151</v>
      </c>
      <c r="WYA550" s="83" t="s">
        <v>151</v>
      </c>
      <c r="WYB550" s="83" t="s">
        <v>151</v>
      </c>
      <c r="WYC550" s="83" t="s">
        <v>151</v>
      </c>
      <c r="WYD550" s="83" t="s">
        <v>151</v>
      </c>
      <c r="WYE550" s="83" t="s">
        <v>151</v>
      </c>
      <c r="WYF550" s="83" t="s">
        <v>151</v>
      </c>
      <c r="WYG550" s="83" t="s">
        <v>151</v>
      </c>
      <c r="WYH550" s="83" t="s">
        <v>151</v>
      </c>
      <c r="WYI550" s="83" t="s">
        <v>151</v>
      </c>
      <c r="WYJ550" s="83" t="s">
        <v>151</v>
      </c>
      <c r="WYK550" s="83" t="s">
        <v>151</v>
      </c>
      <c r="WYL550" s="83" t="s">
        <v>151</v>
      </c>
      <c r="WYM550" s="83" t="s">
        <v>151</v>
      </c>
      <c r="WYN550" s="83" t="s">
        <v>151</v>
      </c>
      <c r="WYO550" s="83" t="s">
        <v>151</v>
      </c>
      <c r="WYP550" s="83" t="s">
        <v>151</v>
      </c>
      <c r="WYQ550" s="83" t="s">
        <v>151</v>
      </c>
      <c r="WYR550" s="83" t="s">
        <v>151</v>
      </c>
      <c r="WYS550" s="83" t="s">
        <v>151</v>
      </c>
      <c r="WYT550" s="83" t="s">
        <v>151</v>
      </c>
      <c r="WYU550" s="83" t="s">
        <v>151</v>
      </c>
      <c r="WYV550" s="83" t="s">
        <v>151</v>
      </c>
      <c r="WYW550" s="83" t="s">
        <v>151</v>
      </c>
      <c r="WYX550" s="83" t="s">
        <v>151</v>
      </c>
      <c r="WYY550" s="83" t="s">
        <v>151</v>
      </c>
      <c r="WYZ550" s="83" t="s">
        <v>151</v>
      </c>
      <c r="WZA550" s="83" t="s">
        <v>151</v>
      </c>
      <c r="WZB550" s="83" t="s">
        <v>151</v>
      </c>
      <c r="WZC550" s="83" t="s">
        <v>151</v>
      </c>
      <c r="WZD550" s="83" t="s">
        <v>151</v>
      </c>
      <c r="WZE550" s="83" t="s">
        <v>151</v>
      </c>
      <c r="WZF550" s="83" t="s">
        <v>151</v>
      </c>
      <c r="WZG550" s="83" t="s">
        <v>151</v>
      </c>
      <c r="WZH550" s="83" t="s">
        <v>151</v>
      </c>
      <c r="WZI550" s="83" t="s">
        <v>151</v>
      </c>
      <c r="WZJ550" s="83" t="s">
        <v>151</v>
      </c>
      <c r="WZK550" s="83" t="s">
        <v>151</v>
      </c>
      <c r="WZL550" s="83" t="s">
        <v>151</v>
      </c>
      <c r="WZM550" s="83" t="s">
        <v>151</v>
      </c>
      <c r="WZN550" s="83" t="s">
        <v>151</v>
      </c>
      <c r="WZO550" s="83" t="s">
        <v>151</v>
      </c>
      <c r="WZP550" s="83" t="s">
        <v>151</v>
      </c>
      <c r="WZQ550" s="83" t="s">
        <v>151</v>
      </c>
      <c r="WZR550" s="83" t="s">
        <v>151</v>
      </c>
      <c r="WZS550" s="83" t="s">
        <v>151</v>
      </c>
      <c r="WZT550" s="83" t="s">
        <v>151</v>
      </c>
      <c r="WZU550" s="83" t="s">
        <v>151</v>
      </c>
      <c r="WZV550" s="83" t="s">
        <v>151</v>
      </c>
      <c r="WZW550" s="83" t="s">
        <v>151</v>
      </c>
      <c r="WZX550" s="83" t="s">
        <v>151</v>
      </c>
      <c r="WZY550" s="83" t="s">
        <v>151</v>
      </c>
      <c r="WZZ550" s="83" t="s">
        <v>151</v>
      </c>
      <c r="XAA550" s="83" t="s">
        <v>151</v>
      </c>
      <c r="XAB550" s="83" t="s">
        <v>151</v>
      </c>
      <c r="XAC550" s="83" t="s">
        <v>151</v>
      </c>
      <c r="XAD550" s="83" t="s">
        <v>151</v>
      </c>
      <c r="XAE550" s="83" t="s">
        <v>151</v>
      </c>
      <c r="XAF550" s="83" t="s">
        <v>151</v>
      </c>
      <c r="XAG550" s="83" t="s">
        <v>151</v>
      </c>
      <c r="XAH550" s="83" t="s">
        <v>151</v>
      </c>
      <c r="XAI550" s="83" t="s">
        <v>151</v>
      </c>
      <c r="XAJ550" s="83" t="s">
        <v>151</v>
      </c>
      <c r="XAK550" s="83" t="s">
        <v>151</v>
      </c>
      <c r="XAL550" s="83" t="s">
        <v>151</v>
      </c>
      <c r="XAM550" s="83" t="s">
        <v>151</v>
      </c>
      <c r="XAN550" s="83" t="s">
        <v>151</v>
      </c>
      <c r="XAO550" s="83" t="s">
        <v>151</v>
      </c>
      <c r="XAP550" s="83" t="s">
        <v>151</v>
      </c>
      <c r="XAQ550" s="83" t="s">
        <v>151</v>
      </c>
      <c r="XAR550" s="83" t="s">
        <v>151</v>
      </c>
      <c r="XAS550" s="83" t="s">
        <v>151</v>
      </c>
      <c r="XAT550" s="83" t="s">
        <v>151</v>
      </c>
      <c r="XAU550" s="83" t="s">
        <v>151</v>
      </c>
      <c r="XAV550" s="83" t="s">
        <v>151</v>
      </c>
      <c r="XAW550" s="83" t="s">
        <v>151</v>
      </c>
      <c r="XAX550" s="83" t="s">
        <v>151</v>
      </c>
      <c r="XAY550" s="83" t="s">
        <v>151</v>
      </c>
      <c r="XAZ550" s="83" t="s">
        <v>151</v>
      </c>
      <c r="XBA550" s="83" t="s">
        <v>151</v>
      </c>
      <c r="XBB550" s="83" t="s">
        <v>151</v>
      </c>
      <c r="XBC550" s="83" t="s">
        <v>151</v>
      </c>
      <c r="XBD550" s="83" t="s">
        <v>151</v>
      </c>
      <c r="XBE550" s="83" t="s">
        <v>151</v>
      </c>
      <c r="XBF550" s="83" t="s">
        <v>151</v>
      </c>
      <c r="XBG550" s="83" t="s">
        <v>151</v>
      </c>
      <c r="XBH550" s="83" t="s">
        <v>151</v>
      </c>
      <c r="XBI550" s="83" t="s">
        <v>151</v>
      </c>
      <c r="XBJ550" s="83" t="s">
        <v>151</v>
      </c>
      <c r="XBK550" s="83" t="s">
        <v>151</v>
      </c>
      <c r="XBL550" s="83" t="s">
        <v>151</v>
      </c>
      <c r="XBM550" s="83" t="s">
        <v>151</v>
      </c>
      <c r="XBN550" s="83" t="s">
        <v>151</v>
      </c>
      <c r="XBO550" s="83" t="s">
        <v>151</v>
      </c>
      <c r="XBP550" s="83" t="s">
        <v>151</v>
      </c>
      <c r="XBQ550" s="83" t="s">
        <v>151</v>
      </c>
      <c r="XBR550" s="83" t="s">
        <v>151</v>
      </c>
      <c r="XBS550" s="83" t="s">
        <v>151</v>
      </c>
      <c r="XBT550" s="83" t="s">
        <v>151</v>
      </c>
      <c r="XBU550" s="83" t="s">
        <v>151</v>
      </c>
      <c r="XBV550" s="83" t="s">
        <v>151</v>
      </c>
      <c r="XBW550" s="83" t="s">
        <v>151</v>
      </c>
      <c r="XBX550" s="83" t="s">
        <v>151</v>
      </c>
      <c r="XBY550" s="83" t="s">
        <v>151</v>
      </c>
      <c r="XBZ550" s="83" t="s">
        <v>151</v>
      </c>
      <c r="XCA550" s="83" t="s">
        <v>151</v>
      </c>
      <c r="XCB550" s="83" t="s">
        <v>151</v>
      </c>
      <c r="XCC550" s="83" t="s">
        <v>151</v>
      </c>
      <c r="XCD550" s="83" t="s">
        <v>151</v>
      </c>
      <c r="XCE550" s="83" t="s">
        <v>151</v>
      </c>
      <c r="XCF550" s="83" t="s">
        <v>151</v>
      </c>
      <c r="XCG550" s="83" t="s">
        <v>151</v>
      </c>
      <c r="XCH550" s="83" t="s">
        <v>151</v>
      </c>
      <c r="XCI550" s="83" t="s">
        <v>151</v>
      </c>
      <c r="XCJ550" s="83" t="s">
        <v>151</v>
      </c>
      <c r="XCK550" s="83" t="s">
        <v>151</v>
      </c>
      <c r="XCL550" s="83" t="s">
        <v>151</v>
      </c>
      <c r="XCM550" s="83" t="s">
        <v>151</v>
      </c>
      <c r="XCN550" s="83" t="s">
        <v>151</v>
      </c>
      <c r="XCO550" s="83" t="s">
        <v>151</v>
      </c>
      <c r="XCP550" s="83" t="s">
        <v>151</v>
      </c>
      <c r="XCQ550" s="83" t="s">
        <v>151</v>
      </c>
      <c r="XCR550" s="83" t="s">
        <v>151</v>
      </c>
      <c r="XCS550" s="83" t="s">
        <v>151</v>
      </c>
      <c r="XCT550" s="83" t="s">
        <v>151</v>
      </c>
      <c r="XCU550" s="83" t="s">
        <v>151</v>
      </c>
      <c r="XCV550" s="83" t="s">
        <v>151</v>
      </c>
      <c r="XCW550" s="83" t="s">
        <v>151</v>
      </c>
      <c r="XCX550" s="83" t="s">
        <v>151</v>
      </c>
      <c r="XCY550" s="83" t="s">
        <v>151</v>
      </c>
      <c r="XCZ550" s="83" t="s">
        <v>151</v>
      </c>
      <c r="XDA550" s="83" t="s">
        <v>151</v>
      </c>
      <c r="XDB550" s="83" t="s">
        <v>151</v>
      </c>
      <c r="XDC550" s="83" t="s">
        <v>151</v>
      </c>
      <c r="XDD550" s="83" t="s">
        <v>151</v>
      </c>
      <c r="XDE550" s="83" t="s">
        <v>151</v>
      </c>
      <c r="XDF550" s="83" t="s">
        <v>151</v>
      </c>
      <c r="XDG550" s="83" t="s">
        <v>151</v>
      </c>
      <c r="XDH550" s="83" t="s">
        <v>151</v>
      </c>
      <c r="XDI550" s="83" t="s">
        <v>151</v>
      </c>
      <c r="XDJ550" s="83" t="s">
        <v>151</v>
      </c>
      <c r="XDK550" s="83" t="s">
        <v>151</v>
      </c>
      <c r="XDL550" s="83" t="s">
        <v>151</v>
      </c>
      <c r="XDM550" s="83" t="s">
        <v>151</v>
      </c>
      <c r="XDN550" s="83" t="s">
        <v>151</v>
      </c>
      <c r="XDO550" s="83" t="s">
        <v>151</v>
      </c>
      <c r="XDP550" s="83" t="s">
        <v>151</v>
      </c>
      <c r="XDQ550" s="83" t="s">
        <v>151</v>
      </c>
      <c r="XDR550" s="83" t="s">
        <v>151</v>
      </c>
      <c r="XDS550" s="83" t="s">
        <v>151</v>
      </c>
      <c r="XDT550" s="83" t="s">
        <v>151</v>
      </c>
      <c r="XDU550" s="83" t="s">
        <v>151</v>
      </c>
      <c r="XDV550" s="83" t="s">
        <v>151</v>
      </c>
      <c r="XDW550" s="83" t="s">
        <v>151</v>
      </c>
      <c r="XDX550" s="83" t="s">
        <v>151</v>
      </c>
      <c r="XDY550" s="83" t="s">
        <v>151</v>
      </c>
      <c r="XDZ550" s="83" t="s">
        <v>151</v>
      </c>
      <c r="XEA550" s="83" t="s">
        <v>151</v>
      </c>
      <c r="XEB550" s="83" t="s">
        <v>151</v>
      </c>
      <c r="XEC550" s="83" t="s">
        <v>151</v>
      </c>
      <c r="XED550" s="83" t="s">
        <v>151</v>
      </c>
      <c r="XEE550" s="83" t="s">
        <v>151</v>
      </c>
      <c r="XEF550" s="83" t="s">
        <v>151</v>
      </c>
      <c r="XEG550" s="83" t="s">
        <v>151</v>
      </c>
      <c r="XEH550" s="83" t="s">
        <v>151</v>
      </c>
      <c r="XEI550" s="83" t="s">
        <v>151</v>
      </c>
      <c r="XEJ550" s="83" t="s">
        <v>151</v>
      </c>
      <c r="XEK550" s="83" t="s">
        <v>151</v>
      </c>
      <c r="XEL550" s="83" t="s">
        <v>151</v>
      </c>
      <c r="XEM550" s="83" t="s">
        <v>151</v>
      </c>
      <c r="XEN550" s="83" t="s">
        <v>151</v>
      </c>
      <c r="XEO550" s="83" t="s">
        <v>151</v>
      </c>
      <c r="XEP550" s="83" t="s">
        <v>151</v>
      </c>
      <c r="XEQ550" s="83" t="s">
        <v>151</v>
      </c>
      <c r="XER550" s="83" t="s">
        <v>151</v>
      </c>
      <c r="XES550" s="83" t="s">
        <v>151</v>
      </c>
      <c r="XET550" s="83" t="s">
        <v>151</v>
      </c>
      <c r="XEU550" s="83" t="s">
        <v>151</v>
      </c>
      <c r="XEV550" s="83" t="s">
        <v>151</v>
      </c>
      <c r="XEW550" s="83" t="s">
        <v>151</v>
      </c>
      <c r="XEX550" s="83" t="s">
        <v>151</v>
      </c>
      <c r="XEY550" s="83" t="s">
        <v>151</v>
      </c>
      <c r="XEZ550" s="83" t="s">
        <v>151</v>
      </c>
      <c r="XFA550" s="83" t="s">
        <v>151</v>
      </c>
      <c r="XFB550" s="83" t="s">
        <v>151</v>
      </c>
      <c r="XFC550" s="83" t="s">
        <v>151</v>
      </c>
    </row>
    <row r="551" spans="14:16383" s="80" customFormat="1" hidden="1" x14ac:dyDescent="0.2"/>
    <row r="552" spans="14:16383" s="80" customFormat="1" hidden="1" x14ac:dyDescent="0.2"/>
    <row r="553" spans="14:16383" s="80" customFormat="1" hidden="1" x14ac:dyDescent="0.2"/>
    <row r="554" spans="14:16383" s="80" customFormat="1" hidden="1" x14ac:dyDescent="0.2"/>
    <row r="555" spans="14:16383" s="80" customFormat="1" hidden="1" x14ac:dyDescent="0.2"/>
    <row r="556" spans="14:16383" s="80" customFormat="1" hidden="1" x14ac:dyDescent="0.2"/>
    <row r="557" spans="14:16383" s="80" customFormat="1" hidden="1" x14ac:dyDescent="0.2"/>
    <row r="558" spans="14:16383" s="80" customFormat="1" hidden="1" x14ac:dyDescent="0.2"/>
    <row r="559" spans="14:16383" s="80" customFormat="1" hidden="1" x14ac:dyDescent="0.2"/>
    <row r="560" spans="14:16383" s="80" customFormat="1" hidden="1" x14ac:dyDescent="0.2"/>
    <row r="561" s="80" customFormat="1" hidden="1" x14ac:dyDescent="0.2"/>
    <row r="562" s="80" customFormat="1" hidden="1" x14ac:dyDescent="0.2"/>
    <row r="563" s="80" customFormat="1" hidden="1" x14ac:dyDescent="0.2"/>
    <row r="564" s="80" customFormat="1" hidden="1" x14ac:dyDescent="0.2"/>
    <row r="565" s="80" customFormat="1" hidden="1" x14ac:dyDescent="0.2"/>
    <row r="566" s="80" customFormat="1" hidden="1" x14ac:dyDescent="0.2"/>
    <row r="567" s="80" customFormat="1" hidden="1" x14ac:dyDescent="0.2"/>
    <row r="568" s="80" customFormat="1" hidden="1" x14ac:dyDescent="0.2"/>
    <row r="569" s="80" customFormat="1" hidden="1" x14ac:dyDescent="0.2"/>
    <row r="570" s="80" customFormat="1" hidden="1" x14ac:dyDescent="0.2"/>
    <row r="571" s="80" customFormat="1" hidden="1" x14ac:dyDescent="0.2"/>
    <row r="572" s="80" customFormat="1" hidden="1" x14ac:dyDescent="0.2"/>
    <row r="573" s="80" customFormat="1" hidden="1" x14ac:dyDescent="0.2"/>
    <row r="574" s="80" customFormat="1" hidden="1" x14ac:dyDescent="0.2"/>
    <row r="575" s="80" customFormat="1" hidden="1" x14ac:dyDescent="0.2"/>
    <row r="576" s="80" customFormat="1" hidden="1" x14ac:dyDescent="0.2"/>
    <row r="577" s="80" customFormat="1" hidden="1" x14ac:dyDescent="0.2"/>
    <row r="578" s="80" customFormat="1" hidden="1" x14ac:dyDescent="0.2"/>
    <row r="579" s="80" customFormat="1" hidden="1" x14ac:dyDescent="0.2"/>
    <row r="580" s="80" customFormat="1" hidden="1" x14ac:dyDescent="0.2"/>
    <row r="581" s="80" customFormat="1" hidden="1" x14ac:dyDescent="0.2"/>
    <row r="582" s="80" customFormat="1" hidden="1" x14ac:dyDescent="0.2"/>
    <row r="583" s="80" customFormat="1" hidden="1" x14ac:dyDescent="0.2"/>
    <row r="584" s="80" customFormat="1" hidden="1" x14ac:dyDescent="0.2"/>
    <row r="585" s="80" customFormat="1" hidden="1" x14ac:dyDescent="0.2"/>
    <row r="586" s="80" customFormat="1" hidden="1" x14ac:dyDescent="0.2"/>
    <row r="587" s="80" customFormat="1" hidden="1" x14ac:dyDescent="0.2"/>
    <row r="588" s="80" customFormat="1" hidden="1" x14ac:dyDescent="0.2"/>
    <row r="589" s="80" customFormat="1" hidden="1" x14ac:dyDescent="0.2"/>
    <row r="590" s="80" customFormat="1" hidden="1" x14ac:dyDescent="0.2"/>
    <row r="591" s="80" customFormat="1" hidden="1" x14ac:dyDescent="0.2"/>
    <row r="592" s="80" customFormat="1" hidden="1" x14ac:dyDescent="0.2"/>
    <row r="593" spans="1:13" s="80" customFormat="1" hidden="1" x14ac:dyDescent="0.2"/>
    <row r="594" spans="1:13" s="80" customFormat="1" hidden="1" x14ac:dyDescent="0.2"/>
    <row r="595" spans="1:13" s="80" customFormat="1" hidden="1" x14ac:dyDescent="0.2"/>
    <row r="596" spans="1:13" s="80" customFormat="1" hidden="1" x14ac:dyDescent="0.2">
      <c r="B596" s="77"/>
      <c r="C596" s="77"/>
      <c r="D596" s="77"/>
      <c r="E596" s="77"/>
      <c r="F596" s="77"/>
      <c r="G596" s="77"/>
      <c r="H596" s="77"/>
      <c r="I596" s="77"/>
      <c r="J596" s="77"/>
      <c r="K596" s="77"/>
    </row>
    <row r="597" spans="1:13" s="80" customFormat="1" hidden="1" x14ac:dyDescent="0.2">
      <c r="B597" s="77"/>
      <c r="C597" s="77"/>
      <c r="D597" s="77"/>
      <c r="E597" s="77"/>
      <c r="F597" s="77"/>
      <c r="G597" s="77"/>
      <c r="H597" s="77"/>
      <c r="I597" s="77"/>
      <c r="J597" s="77"/>
      <c r="K597" s="77"/>
    </row>
    <row r="598" spans="1:13" s="80" customFormat="1" hidden="1" x14ac:dyDescent="0.2">
      <c r="B598" s="77"/>
      <c r="C598" s="77"/>
      <c r="D598" s="77"/>
      <c r="E598" s="77"/>
      <c r="F598" s="77"/>
      <c r="G598" s="77"/>
      <c r="H598" s="77"/>
      <c r="I598" s="77"/>
      <c r="J598" s="77"/>
      <c r="K598" s="77"/>
    </row>
    <row r="599" spans="1:13" s="80" customFormat="1" hidden="1" x14ac:dyDescent="0.2">
      <c r="B599" s="77"/>
      <c r="C599" s="77"/>
      <c r="D599" s="77"/>
      <c r="E599" s="77"/>
      <c r="F599" s="77"/>
      <c r="G599" s="77"/>
      <c r="H599" s="77"/>
      <c r="I599" s="77"/>
      <c r="J599" s="77"/>
      <c r="K599" s="77"/>
      <c r="L599" s="77"/>
      <c r="M599" s="77"/>
    </row>
    <row r="600" spans="1:13" s="80" customFormat="1" hidden="1" x14ac:dyDescent="0.2">
      <c r="B600" s="77"/>
      <c r="C600" s="77"/>
      <c r="D600" s="77"/>
      <c r="E600" s="77"/>
      <c r="F600" s="77"/>
      <c r="G600" s="77"/>
      <c r="H600" s="77"/>
      <c r="I600" s="77"/>
      <c r="J600" s="77"/>
      <c r="K600" s="77"/>
      <c r="L600" s="77"/>
      <c r="M600" s="77"/>
    </row>
    <row r="601" spans="1:13" s="80" customFormat="1" hidden="1" x14ac:dyDescent="0.2">
      <c r="B601" s="77"/>
      <c r="C601" s="77"/>
      <c r="D601" s="77"/>
      <c r="E601" s="77"/>
      <c r="F601" s="77"/>
      <c r="G601" s="77"/>
      <c r="H601" s="77"/>
      <c r="I601" s="77"/>
      <c r="J601" s="77"/>
      <c r="K601" s="77"/>
      <c r="L601" s="77"/>
      <c r="M601" s="77"/>
    </row>
    <row r="602" spans="1:13" s="80" customFormat="1" hidden="1" x14ac:dyDescent="0.2">
      <c r="B602" s="77"/>
      <c r="C602" s="77"/>
      <c r="D602" s="77"/>
      <c r="E602" s="77"/>
      <c r="F602" s="77"/>
      <c r="G602" s="77"/>
      <c r="H602" s="77"/>
      <c r="I602" s="77"/>
      <c r="J602" s="77"/>
      <c r="K602" s="77"/>
      <c r="L602" s="77"/>
      <c r="M602" s="77"/>
    </row>
    <row r="603" spans="1:13" s="80" customFormat="1" hidden="1" x14ac:dyDescent="0.2">
      <c r="A603" s="77"/>
      <c r="B603" s="77"/>
      <c r="C603" s="77"/>
      <c r="D603" s="77"/>
      <c r="E603" s="77"/>
      <c r="F603" s="77"/>
      <c r="G603" s="77"/>
      <c r="H603" s="77"/>
      <c r="I603" s="77"/>
      <c r="J603" s="77"/>
      <c r="K603" s="77"/>
      <c r="L603" s="77"/>
      <c r="M603" s="77"/>
    </row>
    <row r="604" spans="1:13" s="80" customFormat="1" hidden="1" x14ac:dyDescent="0.2">
      <c r="A604" s="77"/>
      <c r="B604" s="77"/>
      <c r="C604" s="77"/>
      <c r="D604" s="77"/>
      <c r="E604" s="77"/>
      <c r="F604" s="77"/>
      <c r="G604" s="77"/>
      <c r="H604" s="77"/>
      <c r="I604" s="77"/>
      <c r="J604" s="77"/>
      <c r="K604" s="77"/>
      <c r="L604" s="77"/>
      <c r="M604" s="77"/>
    </row>
  </sheetData>
  <sheetProtection algorithmName="SHA-512" hashValue="w662+tGc/9JM58MyPHl7RTQgSeLMHJiKq2+keHJyIypjgUYDjHcZUu4WM8CE5Tq1P4iMyXowjKWQj82LudSkjw==" saltValue="ShnHfGGciyUjS+twZJByiQ==" spinCount="100000" sheet="1" objects="1" scenarios="1"/>
  <phoneticPr fontId="40" type="noConversion"/>
  <conditionalFormatting sqref="B332:B351">
    <cfRule type="expression" dxfId="59" priority="12" stopIfTrue="1">
      <formula>AND(COUNTIF(#REF!, B332)&gt;1,NOT(ISBLANK(B332)))</formula>
    </cfRule>
    <cfRule type="duplicateValues" dxfId="58" priority="13"/>
    <cfRule type="duplicateValues" dxfId="57" priority="14"/>
  </conditionalFormatting>
  <conditionalFormatting sqref="B417:B418">
    <cfRule type="duplicateValues" dxfId="56" priority="1"/>
  </conditionalFormatting>
  <conditionalFormatting sqref="B423:B1048576 B1 B419:B421 B397:B416">
    <cfRule type="duplicateValues" dxfId="55" priority="23"/>
  </conditionalFormatting>
  <conditionalFormatting sqref="C309:C320">
    <cfRule type="cellIs" dxfId="54" priority="19" operator="equal">
      <formula>763934.5</formula>
    </cfRule>
  </conditionalFormatting>
  <conditionalFormatting sqref="C332:C335">
    <cfRule type="duplicateValues" dxfId="53" priority="15"/>
    <cfRule type="duplicateValues" dxfId="52" priority="16"/>
    <cfRule type="duplicateValues" dxfId="51" priority="17"/>
    <cfRule type="duplicateValues" dxfId="50" priority="18"/>
  </conditionalFormatting>
  <conditionalFormatting sqref="C336:C351">
    <cfRule type="duplicateValues" dxfId="49" priority="10"/>
  </conditionalFormatting>
  <conditionalFormatting sqref="C352:C353">
    <cfRule type="duplicateValues" dxfId="48" priority="7"/>
    <cfRule type="duplicateValues" dxfId="47" priority="8"/>
    <cfRule type="duplicateValues" dxfId="46" priority="9"/>
  </conditionalFormatting>
  <conditionalFormatting sqref="C363:C383">
    <cfRule type="duplicateValues" dxfId="45" priority="22"/>
  </conditionalFormatting>
  <conditionalFormatting sqref="C386">
    <cfRule type="duplicateValues" dxfId="44" priority="2"/>
  </conditionalFormatting>
  <conditionalFormatting sqref="C387">
    <cfRule type="duplicateValues" dxfId="43" priority="4"/>
  </conditionalFormatting>
  <conditionalFormatting sqref="C393:C397 C389:C391 C2:C386">
    <cfRule type="duplicateValues" dxfId="42" priority="6"/>
  </conditionalFormatting>
  <conditionalFormatting sqref="C393:C397 C389:C391 C328:C331 C246:C308 C2:C242 C324 C354:C362">
    <cfRule type="duplicateValues" dxfId="41" priority="20"/>
  </conditionalFormatting>
  <conditionalFormatting sqref="E332:E351">
    <cfRule type="duplicateValues" dxfId="40" priority="11"/>
  </conditionalFormatting>
  <conditionalFormatting sqref="E386">
    <cfRule type="duplicateValues" dxfId="39" priority="3"/>
  </conditionalFormatting>
  <conditionalFormatting sqref="E387">
    <cfRule type="duplicateValues" dxfId="38" priority="5"/>
  </conditionalFormatting>
  <conditionalFormatting sqref="E388:E397 E2:E331 E354:E362">
    <cfRule type="duplicateValues" dxfId="37" priority="21"/>
  </conditionalFormatting>
  <pageMargins left="0.7" right="0.7" top="0.75" bottom="0.75" header="0.3" footer="0.3"/>
  <pageSetup paperSize="9" orientation="portrait" r:id="rId1"/>
  <legacy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Arkusz3"/>
  <dimension ref="A1:PB198"/>
  <sheetViews>
    <sheetView showGridLines="0" zoomScale="70" zoomScaleNormal="70" workbookViewId="0">
      <selection activeCell="A2" sqref="A2"/>
    </sheetView>
  </sheetViews>
  <sheetFormatPr defaultColWidth="0" defaultRowHeight="15" zeroHeight="1" x14ac:dyDescent="0.25"/>
  <cols>
    <col min="1" max="1" width="8.7109375" style="1" customWidth="1"/>
    <col min="2" max="2" width="2.140625" style="1" bestFit="1" customWidth="1"/>
    <col min="3" max="3" width="8.140625" style="1" customWidth="1"/>
    <col min="4" max="4" width="28.140625" style="1" bestFit="1" customWidth="1"/>
    <col min="5" max="5" width="11.42578125" style="1" bestFit="1" customWidth="1"/>
    <col min="6" max="6" width="2.140625" style="1" bestFit="1" customWidth="1"/>
    <col min="7" max="7" width="10.140625" style="1" bestFit="1" customWidth="1"/>
    <col min="8" max="8" width="2.140625" style="1" bestFit="1" customWidth="1"/>
    <col min="9" max="9" width="3.42578125" style="1" bestFit="1" customWidth="1"/>
    <col min="10" max="10" width="5.42578125" style="1" bestFit="1" customWidth="1"/>
    <col min="11" max="11" width="9.140625" style="1" customWidth="1"/>
    <col min="12" max="12" width="17.28515625" style="1" bestFit="1" customWidth="1"/>
    <col min="13" max="13" width="12.28515625" style="1" bestFit="1" customWidth="1"/>
    <col min="14" max="15" width="6" style="1" bestFit="1" customWidth="1"/>
    <col min="16" max="16" width="12.42578125" style="1" bestFit="1" customWidth="1"/>
    <col min="17" max="17" width="15" style="1" bestFit="1" customWidth="1"/>
    <col min="18" max="18" width="5.7109375" style="1" bestFit="1" customWidth="1"/>
    <col min="19" max="19" width="21.140625" style="1" bestFit="1" customWidth="1"/>
    <col min="20" max="20" width="23.85546875" style="1" bestFit="1" customWidth="1"/>
    <col min="21" max="21" width="13.5703125" style="1" bestFit="1" customWidth="1"/>
    <col min="22" max="22" width="9.140625" style="21" customWidth="1"/>
    <col min="23" max="23" width="11" style="21" bestFit="1" customWidth="1"/>
    <col min="24" max="33" width="9.140625" style="21" customWidth="1"/>
    <col min="34" max="34" width="12.42578125" style="21" customWidth="1"/>
    <col min="35" max="52" width="9.140625" style="21" hidden="1" customWidth="1"/>
    <col min="53" max="53" width="13.7109375" style="21" hidden="1" customWidth="1"/>
    <col min="54" max="104" width="4.28515625" style="21" hidden="1" customWidth="1"/>
    <col min="105" max="107" width="9.140625" style="87" hidden="1" customWidth="1"/>
    <col min="108" max="108" width="9.140625" style="21" hidden="1" customWidth="1"/>
    <col min="109" max="129" width="4.28515625" style="21" hidden="1" customWidth="1"/>
    <col min="130" max="133" width="9.140625" style="21" hidden="1" customWidth="1"/>
    <col min="134" max="184" width="4.28515625" style="21" hidden="1" customWidth="1"/>
    <col min="185" max="187" width="9.140625" style="21" hidden="1" customWidth="1"/>
    <col min="188" max="238" width="4.28515625" style="21" hidden="1" customWidth="1"/>
    <col min="239" max="240" width="9.140625" style="21" hidden="1" customWidth="1"/>
    <col min="241" max="267" width="3.7109375" style="21" hidden="1" customWidth="1"/>
    <col min="268" max="268" width="9.140625" style="21" hidden="1" customWidth="1"/>
    <col min="269" max="269" width="6.42578125" style="21" hidden="1" customWidth="1"/>
    <col min="270" max="270" width="5.42578125" style="21" hidden="1" customWidth="1"/>
    <col min="271" max="278" width="9.140625" style="21" hidden="1" customWidth="1"/>
    <col min="279" max="279" width="17.140625" style="21" hidden="1" customWidth="1"/>
    <col min="280" max="305" width="3.7109375" style="21" hidden="1" customWidth="1"/>
    <col min="306" max="306" width="9.140625" style="21" hidden="1" customWidth="1"/>
    <col min="307" max="307" width="16.42578125" style="21" hidden="1" customWidth="1"/>
    <col min="308" max="333" width="3.7109375" style="21" hidden="1" customWidth="1"/>
    <col min="334" max="334" width="9.140625" style="21" hidden="1" customWidth="1"/>
    <col min="335" max="335" width="16.42578125" style="21" hidden="1" customWidth="1"/>
    <col min="336" max="361" width="3.7109375" style="21" hidden="1" customWidth="1"/>
    <col min="362" max="362" width="9.140625" style="21" hidden="1" customWidth="1"/>
    <col min="363" max="363" width="17.140625" style="21" hidden="1" customWidth="1"/>
    <col min="364" max="389" width="3.7109375" style="21" hidden="1" customWidth="1"/>
    <col min="390" max="391" width="9.140625" style="21" hidden="1" customWidth="1"/>
    <col min="392" max="392" width="12.85546875" style="21" hidden="1" customWidth="1"/>
    <col min="393" max="393" width="9.5703125" style="21" hidden="1" customWidth="1"/>
    <col min="394" max="394" width="9.140625" style="21" hidden="1" customWidth="1"/>
    <col min="395" max="395" width="7.7109375" style="21" hidden="1" customWidth="1"/>
    <col min="396" max="396" width="5.5703125" style="21" hidden="1" customWidth="1"/>
    <col min="397" max="397" width="6.28515625" style="21" hidden="1" customWidth="1"/>
    <col min="398" max="418" width="3.7109375" style="21" hidden="1" customWidth="1"/>
    <col min="419" max="16384" width="9.140625" style="21" hidden="1"/>
  </cols>
  <sheetData>
    <row r="1" spans="1:418" ht="51.75" x14ac:dyDescent="0.25">
      <c r="A1" s="3" t="s">
        <v>120</v>
      </c>
      <c r="B1" s="3"/>
      <c r="C1" s="3" t="s">
        <v>121</v>
      </c>
      <c r="D1" s="4"/>
      <c r="E1" s="4"/>
      <c r="F1" s="4"/>
      <c r="G1" s="4"/>
      <c r="H1" s="4"/>
      <c r="I1" s="4"/>
      <c r="J1" s="4"/>
      <c r="K1" s="4"/>
      <c r="L1" s="360" t="str">
        <f>IF(E5="wertykalny","KONSTRUKCJA DS-V1N",IF(E5="horyzontalny","KONSTRUKCJA DS-H1N"))</f>
        <v>KONSTRUKCJA DS-H1N</v>
      </c>
      <c r="M1" s="360"/>
      <c r="N1" s="360"/>
      <c r="O1" s="360"/>
      <c r="P1" s="360"/>
      <c r="Q1" s="360"/>
      <c r="R1" s="360"/>
      <c r="S1" s="360"/>
      <c r="T1" s="360"/>
      <c r="U1" s="360"/>
      <c r="V1" s="20"/>
      <c r="W1" s="20" t="s">
        <v>160</v>
      </c>
      <c r="X1" s="25" t="s">
        <v>139</v>
      </c>
      <c r="Y1" s="20" t="s">
        <v>136</v>
      </c>
      <c r="Z1" s="20">
        <f>IF(E5=AB1,W5,IF(E5=AB2,W6))</f>
        <v>2300</v>
      </c>
      <c r="AA1" s="20"/>
      <c r="AB1" s="20" t="s">
        <v>123</v>
      </c>
      <c r="AC1" s="20" t="s">
        <v>130</v>
      </c>
      <c r="AD1" s="20" t="s">
        <v>125</v>
      </c>
      <c r="AE1" s="20"/>
      <c r="AF1" s="20"/>
      <c r="AG1" s="20"/>
      <c r="AH1" s="20"/>
      <c r="AI1" s="20"/>
      <c r="AJ1" s="20"/>
      <c r="AK1" s="20"/>
      <c r="AL1" s="20"/>
      <c r="AM1" s="358" t="s">
        <v>160</v>
      </c>
      <c r="AN1" s="358"/>
      <c r="AO1" s="358"/>
      <c r="AP1" s="358"/>
      <c r="AQ1" s="358"/>
      <c r="AR1" s="358"/>
      <c r="AS1" s="20"/>
      <c r="AZ1" s="20"/>
      <c r="BA1" s="20" t="s">
        <v>114</v>
      </c>
      <c r="BB1" s="20"/>
      <c r="BC1" s="20"/>
      <c r="BD1" s="20"/>
      <c r="BE1" s="20"/>
      <c r="BF1" s="20"/>
      <c r="BG1" s="20"/>
      <c r="BH1" s="20"/>
      <c r="BI1" s="20"/>
      <c r="BJ1" s="20"/>
      <c r="BK1" s="20"/>
      <c r="BL1" s="20"/>
      <c r="BM1" s="20"/>
      <c r="BN1" s="20"/>
      <c r="BO1" s="20"/>
      <c r="BP1" s="20"/>
      <c r="BQ1" s="20"/>
      <c r="BR1" s="20"/>
      <c r="BS1" s="20"/>
      <c r="BT1" s="20"/>
      <c r="BU1" s="20"/>
      <c r="BV1" s="20"/>
      <c r="BW1" s="20"/>
      <c r="BX1" s="20"/>
      <c r="BY1" s="20"/>
      <c r="BZ1" s="20"/>
      <c r="CA1" s="20"/>
      <c r="CB1" s="20"/>
      <c r="CC1" s="20"/>
      <c r="CD1" s="20"/>
      <c r="CE1" s="20"/>
      <c r="CF1" s="20"/>
      <c r="CG1" s="20"/>
      <c r="CH1" s="20"/>
      <c r="CI1" s="20"/>
      <c r="CJ1" s="20"/>
      <c r="CK1" s="20"/>
      <c r="CL1" s="20"/>
      <c r="CM1" s="20"/>
      <c r="CN1" s="20"/>
      <c r="CO1" s="20"/>
      <c r="CP1" s="20"/>
      <c r="CQ1" s="20"/>
      <c r="CR1" s="20"/>
      <c r="CS1" s="20"/>
      <c r="CT1" s="20"/>
      <c r="CU1" s="20"/>
      <c r="CV1" s="20"/>
      <c r="CW1" s="20"/>
      <c r="CX1" s="20"/>
      <c r="CY1" s="20"/>
      <c r="CZ1" s="20"/>
      <c r="DA1" s="54"/>
      <c r="DB1" s="54"/>
      <c r="DC1" s="54"/>
      <c r="DD1" s="20" t="s">
        <v>114</v>
      </c>
      <c r="DE1" s="20">
        <v>0</v>
      </c>
      <c r="DF1" s="20">
        <v>1</v>
      </c>
      <c r="DG1" s="20">
        <v>2</v>
      </c>
      <c r="DH1" s="20">
        <v>3</v>
      </c>
      <c r="DI1" s="20">
        <v>4</v>
      </c>
      <c r="DJ1" s="20">
        <v>5</v>
      </c>
      <c r="DK1" s="20">
        <v>6</v>
      </c>
      <c r="DL1" s="20">
        <v>7</v>
      </c>
      <c r="DM1" s="20">
        <v>8</v>
      </c>
      <c r="DN1" s="20">
        <v>9</v>
      </c>
      <c r="DO1" s="20">
        <v>10</v>
      </c>
      <c r="DP1" s="20">
        <v>11</v>
      </c>
      <c r="DQ1" s="20">
        <v>12</v>
      </c>
      <c r="DR1" s="20">
        <v>13</v>
      </c>
      <c r="DS1" s="20">
        <v>14</v>
      </c>
      <c r="DT1" s="20">
        <v>15</v>
      </c>
      <c r="DU1" s="20">
        <v>16</v>
      </c>
      <c r="DV1" s="20">
        <v>17</v>
      </c>
      <c r="DW1" s="20">
        <v>18</v>
      </c>
      <c r="DX1" s="20">
        <v>19</v>
      </c>
      <c r="DY1" s="20">
        <v>20</v>
      </c>
      <c r="DZ1" s="20"/>
      <c r="EA1" s="20"/>
      <c r="EB1" s="20" t="s">
        <v>111</v>
      </c>
      <c r="EC1" s="20"/>
      <c r="ED1" s="20"/>
      <c r="EE1" s="20"/>
      <c r="EF1" s="20"/>
      <c r="EG1" s="20"/>
      <c r="EH1" s="20"/>
      <c r="EI1" s="20"/>
      <c r="EJ1" s="20"/>
      <c r="EK1" s="20"/>
      <c r="EL1" s="20"/>
      <c r="EM1" s="20"/>
      <c r="EN1" s="20"/>
      <c r="EO1" s="20"/>
      <c r="EP1" s="20"/>
      <c r="EQ1" s="20"/>
      <c r="ER1" s="20"/>
      <c r="ES1" s="20"/>
      <c r="ET1" s="20"/>
      <c r="EU1" s="20"/>
      <c r="EV1" s="20"/>
      <c r="EW1" s="20"/>
      <c r="EX1" s="20"/>
      <c r="EY1" s="20"/>
      <c r="EZ1" s="20"/>
      <c r="FA1" s="20"/>
      <c r="FB1" s="20"/>
      <c r="FC1" s="20"/>
      <c r="FD1" s="20"/>
      <c r="FE1" s="20"/>
      <c r="FF1" s="20"/>
      <c r="FG1" s="20"/>
      <c r="FH1" s="20"/>
      <c r="FI1" s="20"/>
      <c r="FJ1" s="20"/>
      <c r="FK1" s="20"/>
      <c r="FL1" s="20"/>
      <c r="FM1" s="20"/>
      <c r="FN1" s="20"/>
      <c r="FO1" s="20"/>
      <c r="FP1" s="20"/>
      <c r="FQ1" s="20"/>
      <c r="FR1" s="20"/>
      <c r="FS1" s="20"/>
      <c r="FT1" s="20"/>
      <c r="FU1" s="20"/>
      <c r="FV1" s="20"/>
      <c r="FW1" s="20"/>
      <c r="FX1" s="20"/>
      <c r="FY1" s="20"/>
      <c r="FZ1" s="20"/>
      <c r="GA1" s="20"/>
      <c r="GC1" s="20"/>
      <c r="GD1" s="20"/>
      <c r="GE1" s="20" t="s">
        <v>471</v>
      </c>
      <c r="GF1" s="20"/>
      <c r="GG1" s="20"/>
      <c r="GH1" s="20"/>
      <c r="GI1" s="20"/>
      <c r="GJ1" s="20"/>
      <c r="GK1" s="20"/>
      <c r="GL1" s="20"/>
      <c r="GM1" s="20"/>
      <c r="GN1" s="20"/>
      <c r="GO1" s="20"/>
      <c r="GP1" s="20"/>
      <c r="GQ1" s="20"/>
      <c r="GR1" s="20"/>
      <c r="GS1" s="20"/>
      <c r="GT1" s="20"/>
      <c r="GU1" s="20"/>
      <c r="GV1" s="20"/>
      <c r="GW1" s="20"/>
      <c r="GX1" s="20"/>
      <c r="GY1" s="20"/>
      <c r="GZ1" s="20"/>
      <c r="HA1" s="20"/>
      <c r="HB1" s="20"/>
      <c r="HC1" s="20"/>
      <c r="HD1" s="20"/>
      <c r="HE1" s="20"/>
      <c r="HF1" s="20"/>
      <c r="HG1" s="20"/>
      <c r="HH1" s="20"/>
      <c r="HI1" s="20"/>
      <c r="HJ1" s="20"/>
      <c r="HK1" s="20"/>
      <c r="HL1" s="20"/>
      <c r="HM1" s="20"/>
      <c r="HN1" s="20"/>
      <c r="HO1" s="20"/>
      <c r="HP1" s="20"/>
      <c r="HQ1" s="20"/>
      <c r="HR1" s="20"/>
      <c r="HS1" s="20"/>
      <c r="HT1" s="20"/>
      <c r="HU1" s="20"/>
      <c r="HV1" s="20"/>
      <c r="HW1" s="20"/>
      <c r="HX1" s="20"/>
      <c r="HY1" s="20"/>
      <c r="HZ1" s="20"/>
      <c r="IA1" s="20"/>
      <c r="IB1" s="20"/>
      <c r="IC1" s="20"/>
      <c r="ID1" s="20"/>
      <c r="IF1" s="21" t="s">
        <v>763</v>
      </c>
      <c r="JI1" s="358" t="s">
        <v>160</v>
      </c>
      <c r="JJ1" s="358"/>
      <c r="JK1" s="358"/>
      <c r="JL1" s="358"/>
      <c r="JM1" s="358"/>
      <c r="JN1" s="358"/>
      <c r="JO1" s="358"/>
      <c r="JP1" s="27"/>
      <c r="JQ1" s="27"/>
      <c r="JS1" s="20" t="s">
        <v>114</v>
      </c>
      <c r="JT1" s="20"/>
      <c r="JU1" s="20"/>
      <c r="JV1" s="20"/>
      <c r="JW1" s="20"/>
      <c r="JX1" s="20"/>
      <c r="JY1" s="20"/>
      <c r="JZ1" s="20"/>
      <c r="KA1" s="20"/>
      <c r="KB1" s="20"/>
      <c r="KC1" s="20"/>
      <c r="KD1" s="20"/>
      <c r="KE1" s="20"/>
      <c r="KF1" s="20"/>
      <c r="KG1" s="20"/>
      <c r="KH1" s="20"/>
      <c r="KI1" s="20"/>
      <c r="KJ1" s="20"/>
      <c r="KK1" s="20"/>
      <c r="KL1" s="20"/>
      <c r="KM1" s="20"/>
      <c r="KN1" s="20"/>
      <c r="KO1" s="20"/>
      <c r="KP1" s="20"/>
      <c r="KQ1" s="20"/>
      <c r="KR1" s="20"/>
      <c r="KS1" s="20"/>
      <c r="KU1" s="20" t="s">
        <v>111</v>
      </c>
      <c r="KV1" s="20"/>
      <c r="KW1" s="20"/>
      <c r="KX1" s="20"/>
      <c r="KY1" s="20"/>
      <c r="KZ1" s="20"/>
      <c r="LA1" s="20"/>
      <c r="LB1" s="20"/>
      <c r="LC1" s="20"/>
      <c r="LD1" s="20"/>
      <c r="LE1" s="20"/>
      <c r="LF1" s="20"/>
      <c r="LG1" s="20"/>
      <c r="LH1" s="20"/>
      <c r="LI1" s="20"/>
      <c r="LJ1" s="20"/>
      <c r="LK1" s="20"/>
      <c r="LL1" s="20"/>
      <c r="LM1" s="20"/>
      <c r="LN1" s="20"/>
      <c r="LO1" s="20"/>
      <c r="LP1" s="20"/>
      <c r="LQ1" s="20"/>
      <c r="LR1" s="20"/>
      <c r="LS1" s="20"/>
      <c r="LT1" s="20"/>
      <c r="LU1" s="20"/>
      <c r="LW1" s="20" t="s">
        <v>471</v>
      </c>
      <c r="LX1" s="20"/>
      <c r="LY1" s="20"/>
      <c r="LZ1" s="20"/>
      <c r="MA1" s="20"/>
      <c r="MB1" s="20"/>
      <c r="MC1" s="20"/>
      <c r="MD1" s="20"/>
      <c r="ME1" s="20"/>
      <c r="MF1" s="20"/>
      <c r="MG1" s="20"/>
      <c r="MH1" s="20"/>
      <c r="MI1" s="20"/>
      <c r="MJ1" s="20"/>
      <c r="MK1" s="20"/>
      <c r="ML1" s="20"/>
      <c r="MM1" s="20"/>
      <c r="MN1" s="20"/>
      <c r="MO1" s="20"/>
      <c r="MP1" s="20"/>
      <c r="MQ1" s="20"/>
      <c r="MR1" s="20"/>
      <c r="MS1" s="20"/>
      <c r="MT1" s="20"/>
      <c r="MU1" s="20"/>
      <c r="MV1" s="20"/>
      <c r="MW1" s="20"/>
      <c r="MY1" s="21" t="s">
        <v>763</v>
      </c>
      <c r="OB1" s="20"/>
      <c r="OC1" s="20"/>
      <c r="OD1" s="20"/>
      <c r="OE1" s="20"/>
      <c r="OF1" s="20"/>
      <c r="OG1" s="20"/>
      <c r="OH1" s="20"/>
      <c r="OI1" s="20"/>
      <c r="OJ1" s="20"/>
      <c r="OK1" s="20"/>
      <c r="OL1" s="20"/>
      <c r="OM1" s="20"/>
      <c r="ON1" s="20"/>
      <c r="OO1" s="20"/>
      <c r="OP1" s="20"/>
      <c r="OQ1" s="20"/>
      <c r="OR1" s="20"/>
      <c r="OS1" s="20"/>
      <c r="OT1" s="20"/>
      <c r="OU1" s="20"/>
      <c r="OV1" s="20"/>
      <c r="OW1" s="20"/>
      <c r="OX1" s="20"/>
      <c r="OY1" s="20"/>
      <c r="OZ1" s="20"/>
      <c r="PA1" s="20"/>
      <c r="PB1" s="20"/>
    </row>
    <row r="2" spans="1:418" x14ac:dyDescent="0.25">
      <c r="A2" s="8"/>
      <c r="B2" s="5" t="s">
        <v>116</v>
      </c>
      <c r="C2" s="8"/>
      <c r="D2" s="4"/>
      <c r="E2" s="4"/>
      <c r="F2" s="4"/>
      <c r="G2" s="4"/>
      <c r="H2" s="4"/>
      <c r="I2" s="4"/>
      <c r="J2" s="4"/>
      <c r="K2" s="4"/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V2" s="20"/>
      <c r="W2" s="20" t="str">
        <f>IF(E5="WERTYKALNY",G3,IF(E5="HORYZONTALNY",E3,0))</f>
        <v>2250-2300</v>
      </c>
      <c r="X2" s="25">
        <f>(IF($E$5=$AB$1,(IF(A2=0,0,IF(A2&gt;0,IF((((INT(((A2*$W$5)+((A2-1)*20)+80)/$E$4))-1)*$E$4)+500&gt;=((A2*$W$5)+((A2-1)*20)+80),(INT(((A2*$W$5)+((A2-1)*20)+80)/$E$4))*2,((INT(((A2*$W$5)+((A2-1)*20)+80)/$E$4))+1)*2)))),IF($E$5=$AB$2,(IF(A2=0,0,IF(A2&gt;0,IF((((INT(((A2*$W$6)+((A2-1)*20)+80)/$E$4))-1)*$E$4)+500&gt;=((A2*$W$6)+((A2-1)*20)+80),(INT(((A2*$W$6)+((A2-1)*20)+80)/$E$4))*2,((INT(((A2*$W$6)+((A2-1)*20)+80)/$E$4))+1)*2)))))))</f>
        <v>0</v>
      </c>
      <c r="Y2" s="20" t="s">
        <v>141</v>
      </c>
      <c r="Z2" s="20"/>
      <c r="AA2" s="20"/>
      <c r="AB2" s="20" t="s">
        <v>133</v>
      </c>
      <c r="AC2" s="20" t="s">
        <v>140</v>
      </c>
      <c r="AD2" s="20" t="s">
        <v>144</v>
      </c>
      <c r="AE2" s="20"/>
      <c r="AF2" s="20"/>
      <c r="AG2" s="20"/>
      <c r="AH2" s="20"/>
      <c r="AI2" s="20"/>
      <c r="AJ2" s="20"/>
      <c r="AK2" s="20"/>
      <c r="AL2" s="20">
        <f>IF(X2=2,X2+2*C2,X2*C2)</f>
        <v>0</v>
      </c>
      <c r="AM2" s="26" t="s">
        <v>161</v>
      </c>
      <c r="AN2" s="27">
        <v>1.1499999999999999</v>
      </c>
      <c r="AO2" s="27">
        <v>2.1</v>
      </c>
      <c r="AP2" s="27">
        <v>2.2000000000000002</v>
      </c>
      <c r="AQ2" s="27">
        <v>3.15</v>
      </c>
      <c r="AR2" s="27">
        <v>3.3</v>
      </c>
      <c r="AS2" s="20"/>
      <c r="AT2" s="21" t="s">
        <v>1471</v>
      </c>
      <c r="AZ2" s="20"/>
      <c r="BA2" s="20"/>
      <c r="BB2" s="26">
        <v>0</v>
      </c>
      <c r="BC2" s="26">
        <v>1</v>
      </c>
      <c r="BD2" s="26">
        <v>2</v>
      </c>
      <c r="BE2" s="26">
        <v>3</v>
      </c>
      <c r="BF2" s="26">
        <v>4</v>
      </c>
      <c r="BG2" s="26">
        <v>5</v>
      </c>
      <c r="BH2" s="26">
        <v>6</v>
      </c>
      <c r="BI2" s="26">
        <v>7</v>
      </c>
      <c r="BJ2" s="26">
        <v>8</v>
      </c>
      <c r="BK2" s="26">
        <v>9</v>
      </c>
      <c r="BL2" s="26">
        <v>10</v>
      </c>
      <c r="BM2" s="26">
        <v>11</v>
      </c>
      <c r="BN2" s="26">
        <v>12</v>
      </c>
      <c r="BO2" s="26">
        <v>13</v>
      </c>
      <c r="BP2" s="26">
        <v>14</v>
      </c>
      <c r="BQ2" s="26">
        <v>15</v>
      </c>
      <c r="BR2" s="26">
        <v>16</v>
      </c>
      <c r="BS2" s="26">
        <v>17</v>
      </c>
      <c r="BT2" s="26">
        <v>18</v>
      </c>
      <c r="BU2" s="26">
        <v>19</v>
      </c>
      <c r="BV2" s="26">
        <v>20</v>
      </c>
      <c r="BW2" s="26">
        <v>21</v>
      </c>
      <c r="BX2" s="26">
        <v>22</v>
      </c>
      <c r="BY2" s="26">
        <v>23</v>
      </c>
      <c r="BZ2" s="26">
        <v>24</v>
      </c>
      <c r="CA2" s="26">
        <v>25</v>
      </c>
      <c r="CB2" s="26">
        <v>26</v>
      </c>
      <c r="CC2" s="26">
        <v>27</v>
      </c>
      <c r="CD2" s="26">
        <v>28</v>
      </c>
      <c r="CE2" s="26">
        <v>29</v>
      </c>
      <c r="CF2" s="26">
        <v>30</v>
      </c>
      <c r="CG2" s="26">
        <v>31</v>
      </c>
      <c r="CH2" s="26">
        <v>32</v>
      </c>
      <c r="CI2" s="26">
        <v>33</v>
      </c>
      <c r="CJ2" s="26">
        <v>34</v>
      </c>
      <c r="CK2" s="26">
        <v>35</v>
      </c>
      <c r="CL2" s="26">
        <v>36</v>
      </c>
      <c r="CM2" s="26">
        <v>37</v>
      </c>
      <c r="CN2" s="26">
        <v>38</v>
      </c>
      <c r="CO2" s="26">
        <v>39</v>
      </c>
      <c r="CP2" s="26">
        <v>40</v>
      </c>
      <c r="CQ2" s="26">
        <v>41</v>
      </c>
      <c r="CR2" s="26">
        <v>42</v>
      </c>
      <c r="CS2" s="26">
        <v>43</v>
      </c>
      <c r="CT2" s="26">
        <v>44</v>
      </c>
      <c r="CU2" s="26">
        <v>45</v>
      </c>
      <c r="CV2" s="26">
        <v>46</v>
      </c>
      <c r="CW2" s="26">
        <v>47</v>
      </c>
      <c r="CX2" s="26">
        <v>48</v>
      </c>
      <c r="CY2" s="26">
        <v>49</v>
      </c>
      <c r="CZ2" s="26">
        <v>50</v>
      </c>
      <c r="DA2" s="54"/>
      <c r="DB2" s="54">
        <v>1</v>
      </c>
      <c r="DC2" s="54"/>
      <c r="DD2" s="20" t="s">
        <v>127</v>
      </c>
      <c r="DE2" s="20">
        <v>0</v>
      </c>
      <c r="DF2" s="20">
        <v>2</v>
      </c>
      <c r="DG2" s="20">
        <v>2</v>
      </c>
      <c r="DH2" s="20">
        <v>0</v>
      </c>
      <c r="DI2" s="20">
        <v>4</v>
      </c>
      <c r="DJ2" s="20">
        <v>2</v>
      </c>
      <c r="DK2" s="20">
        <v>0</v>
      </c>
      <c r="DL2" s="20">
        <v>4</v>
      </c>
      <c r="DM2" s="20">
        <v>2</v>
      </c>
      <c r="DN2" s="20">
        <v>0</v>
      </c>
      <c r="DO2" s="20">
        <v>4</v>
      </c>
      <c r="DP2" s="20">
        <v>2</v>
      </c>
      <c r="DQ2" s="20">
        <v>0</v>
      </c>
      <c r="DR2" s="20">
        <v>4</v>
      </c>
      <c r="DS2" s="20">
        <v>2</v>
      </c>
      <c r="DT2" s="20">
        <v>2</v>
      </c>
      <c r="DU2" s="20">
        <v>0</v>
      </c>
      <c r="DV2" s="20">
        <v>4</v>
      </c>
      <c r="DW2" s="20">
        <v>2</v>
      </c>
      <c r="DX2" s="20">
        <v>0</v>
      </c>
      <c r="DY2" s="20">
        <v>4</v>
      </c>
      <c r="DZ2" s="20"/>
      <c r="EA2" s="20"/>
      <c r="EB2" s="20"/>
      <c r="EC2" s="20">
        <v>0</v>
      </c>
      <c r="ED2" s="20">
        <v>1</v>
      </c>
      <c r="EE2" s="20">
        <v>2</v>
      </c>
      <c r="EF2" s="20">
        <v>3</v>
      </c>
      <c r="EG2" s="20">
        <v>4</v>
      </c>
      <c r="EH2" s="20">
        <v>5</v>
      </c>
      <c r="EI2" s="20">
        <v>6</v>
      </c>
      <c r="EJ2" s="20">
        <v>7</v>
      </c>
      <c r="EK2" s="20">
        <v>8</v>
      </c>
      <c r="EL2" s="20">
        <v>9</v>
      </c>
      <c r="EM2" s="20">
        <v>10</v>
      </c>
      <c r="EN2" s="20">
        <v>11</v>
      </c>
      <c r="EO2" s="20">
        <v>12</v>
      </c>
      <c r="EP2" s="20">
        <v>13</v>
      </c>
      <c r="EQ2" s="20">
        <v>14</v>
      </c>
      <c r="ER2" s="20">
        <v>15</v>
      </c>
      <c r="ES2" s="20">
        <v>16</v>
      </c>
      <c r="ET2" s="20">
        <v>17</v>
      </c>
      <c r="EU2" s="20">
        <v>18</v>
      </c>
      <c r="EV2" s="20">
        <v>19</v>
      </c>
      <c r="EW2" s="20">
        <v>20</v>
      </c>
      <c r="EX2" s="20">
        <v>21</v>
      </c>
      <c r="EY2" s="20">
        <v>22</v>
      </c>
      <c r="EZ2" s="20">
        <v>23</v>
      </c>
      <c r="FA2" s="20">
        <v>24</v>
      </c>
      <c r="FB2" s="20">
        <v>25</v>
      </c>
      <c r="FC2" s="20">
        <v>26</v>
      </c>
      <c r="FD2" s="20">
        <v>27</v>
      </c>
      <c r="FE2" s="20">
        <v>28</v>
      </c>
      <c r="FF2" s="20">
        <v>29</v>
      </c>
      <c r="FG2" s="20">
        <v>30</v>
      </c>
      <c r="FH2" s="20">
        <v>31</v>
      </c>
      <c r="FI2" s="20">
        <v>32</v>
      </c>
      <c r="FJ2" s="20">
        <v>33</v>
      </c>
      <c r="FK2" s="20">
        <v>34</v>
      </c>
      <c r="FL2" s="20">
        <v>35</v>
      </c>
      <c r="FM2" s="20">
        <v>36</v>
      </c>
      <c r="FN2" s="20">
        <v>37</v>
      </c>
      <c r="FO2" s="20">
        <v>38</v>
      </c>
      <c r="FP2" s="20">
        <v>39</v>
      </c>
      <c r="FQ2" s="20">
        <v>40</v>
      </c>
      <c r="FR2" s="20">
        <v>41</v>
      </c>
      <c r="FS2" s="20">
        <v>42</v>
      </c>
      <c r="FT2" s="20">
        <v>43</v>
      </c>
      <c r="FU2" s="20">
        <v>44</v>
      </c>
      <c r="FV2" s="20">
        <v>45</v>
      </c>
      <c r="FW2" s="20">
        <v>46</v>
      </c>
      <c r="FX2" s="20">
        <v>47</v>
      </c>
      <c r="FY2" s="20">
        <v>48</v>
      </c>
      <c r="FZ2" s="20">
        <v>49</v>
      </c>
      <c r="GA2" s="20">
        <v>50</v>
      </c>
      <c r="GC2" s="20"/>
      <c r="GD2" s="20"/>
      <c r="GE2" s="20"/>
      <c r="GF2" s="20">
        <v>0</v>
      </c>
      <c r="GG2" s="20">
        <v>1</v>
      </c>
      <c r="GH2" s="20">
        <v>2</v>
      </c>
      <c r="GI2" s="20">
        <v>3</v>
      </c>
      <c r="GJ2" s="20">
        <v>4</v>
      </c>
      <c r="GK2" s="20">
        <v>5</v>
      </c>
      <c r="GL2" s="20">
        <v>6</v>
      </c>
      <c r="GM2" s="20">
        <v>7</v>
      </c>
      <c r="GN2" s="20">
        <v>8</v>
      </c>
      <c r="GO2" s="20">
        <v>9</v>
      </c>
      <c r="GP2" s="20">
        <v>10</v>
      </c>
      <c r="GQ2" s="20">
        <v>11</v>
      </c>
      <c r="GR2" s="20">
        <v>12</v>
      </c>
      <c r="GS2" s="20">
        <v>13</v>
      </c>
      <c r="GT2" s="20">
        <v>14</v>
      </c>
      <c r="GU2" s="20">
        <v>15</v>
      </c>
      <c r="GV2" s="20">
        <v>16</v>
      </c>
      <c r="GW2" s="20">
        <v>17</v>
      </c>
      <c r="GX2" s="20">
        <v>18</v>
      </c>
      <c r="GY2" s="20">
        <v>19</v>
      </c>
      <c r="GZ2" s="20">
        <v>20</v>
      </c>
      <c r="HA2" s="20">
        <v>21</v>
      </c>
      <c r="HB2" s="20">
        <v>22</v>
      </c>
      <c r="HC2" s="20">
        <v>23</v>
      </c>
      <c r="HD2" s="20">
        <v>24</v>
      </c>
      <c r="HE2" s="20">
        <v>25</v>
      </c>
      <c r="HF2" s="20">
        <v>26</v>
      </c>
      <c r="HG2" s="20">
        <v>27</v>
      </c>
      <c r="HH2" s="20">
        <v>28</v>
      </c>
      <c r="HI2" s="20">
        <v>29</v>
      </c>
      <c r="HJ2" s="20">
        <v>30</v>
      </c>
      <c r="HK2" s="20">
        <v>31</v>
      </c>
      <c r="HL2" s="20">
        <v>32</v>
      </c>
      <c r="HM2" s="20">
        <v>33</v>
      </c>
      <c r="HN2" s="20">
        <v>34</v>
      </c>
      <c r="HO2" s="20">
        <v>35</v>
      </c>
      <c r="HP2" s="20">
        <v>36</v>
      </c>
      <c r="HQ2" s="20">
        <v>37</v>
      </c>
      <c r="HR2" s="20">
        <v>38</v>
      </c>
      <c r="HS2" s="20">
        <v>39</v>
      </c>
      <c r="HT2" s="20">
        <v>40</v>
      </c>
      <c r="HU2" s="20">
        <v>41</v>
      </c>
      <c r="HV2" s="20">
        <v>42</v>
      </c>
      <c r="HW2" s="20">
        <v>43</v>
      </c>
      <c r="HX2" s="20">
        <v>44</v>
      </c>
      <c r="HY2" s="20">
        <v>45</v>
      </c>
      <c r="HZ2" s="20">
        <v>46</v>
      </c>
      <c r="IA2" s="20">
        <v>47</v>
      </c>
      <c r="IB2" s="20">
        <v>48</v>
      </c>
      <c r="IC2" s="20">
        <v>49</v>
      </c>
      <c r="ID2" s="20">
        <v>50</v>
      </c>
      <c r="IG2" s="21">
        <v>0</v>
      </c>
      <c r="IH2" s="21">
        <v>1</v>
      </c>
      <c r="II2" s="21">
        <v>2</v>
      </c>
      <c r="IJ2" s="21">
        <v>3</v>
      </c>
      <c r="IK2" s="21">
        <v>4</v>
      </c>
      <c r="IL2" s="21">
        <v>5</v>
      </c>
      <c r="IM2" s="21">
        <v>6</v>
      </c>
      <c r="IN2" s="21">
        <v>7</v>
      </c>
      <c r="IO2" s="21">
        <v>8</v>
      </c>
      <c r="IP2" s="21">
        <v>9</v>
      </c>
      <c r="IQ2" s="21">
        <v>10</v>
      </c>
      <c r="IR2" s="21">
        <v>11</v>
      </c>
      <c r="IS2" s="21">
        <v>12</v>
      </c>
      <c r="IT2" s="21">
        <v>13</v>
      </c>
      <c r="IU2" s="21">
        <v>14</v>
      </c>
      <c r="IV2" s="21">
        <v>15</v>
      </c>
      <c r="IW2" s="21">
        <v>16</v>
      </c>
      <c r="IX2" s="21">
        <v>17</v>
      </c>
      <c r="IY2" s="21">
        <v>18</v>
      </c>
      <c r="IZ2" s="21">
        <v>19</v>
      </c>
      <c r="JA2" s="21">
        <v>20</v>
      </c>
      <c r="JB2" s="21">
        <v>21</v>
      </c>
      <c r="JC2" s="21">
        <v>22</v>
      </c>
      <c r="JD2" s="21">
        <v>23</v>
      </c>
      <c r="JE2" s="21">
        <v>24</v>
      </c>
      <c r="JF2" s="21">
        <v>25</v>
      </c>
      <c r="JI2" s="26" t="s">
        <v>161</v>
      </c>
      <c r="JJ2" s="27">
        <v>1.1499999999999999</v>
      </c>
      <c r="JK2" s="27">
        <v>2.1</v>
      </c>
      <c r="JL2" s="27">
        <v>2.2000000000000002</v>
      </c>
      <c r="JM2" s="27">
        <v>2.4</v>
      </c>
      <c r="JN2" s="27">
        <v>3.15</v>
      </c>
      <c r="JO2" s="27">
        <v>3.3</v>
      </c>
      <c r="JP2" s="27">
        <v>3.6</v>
      </c>
      <c r="JQ2" s="27">
        <v>4.4000000000000004</v>
      </c>
      <c r="JS2" s="20"/>
      <c r="JT2" s="26">
        <v>0</v>
      </c>
      <c r="JU2" s="26">
        <v>1</v>
      </c>
      <c r="JV2" s="26">
        <v>2</v>
      </c>
      <c r="JW2" s="26">
        <v>3</v>
      </c>
      <c r="JX2" s="26">
        <v>4</v>
      </c>
      <c r="JY2" s="26">
        <v>5</v>
      </c>
      <c r="JZ2" s="26">
        <v>6</v>
      </c>
      <c r="KA2" s="26">
        <v>7</v>
      </c>
      <c r="KB2" s="26">
        <v>8</v>
      </c>
      <c r="KC2" s="26">
        <v>9</v>
      </c>
      <c r="KD2" s="26">
        <v>10</v>
      </c>
      <c r="KE2" s="26">
        <v>11</v>
      </c>
      <c r="KF2" s="26">
        <v>12</v>
      </c>
      <c r="KG2" s="26">
        <v>13</v>
      </c>
      <c r="KH2" s="26">
        <v>14</v>
      </c>
      <c r="KI2" s="26">
        <v>15</v>
      </c>
      <c r="KJ2" s="26">
        <v>16</v>
      </c>
      <c r="KK2" s="26">
        <v>17</v>
      </c>
      <c r="KL2" s="26">
        <v>18</v>
      </c>
      <c r="KM2" s="26">
        <v>19</v>
      </c>
      <c r="KN2" s="26">
        <v>20</v>
      </c>
      <c r="KO2" s="26">
        <v>21</v>
      </c>
      <c r="KP2" s="26">
        <v>22</v>
      </c>
      <c r="KQ2" s="26">
        <v>23</v>
      </c>
      <c r="KR2" s="26">
        <v>24</v>
      </c>
      <c r="KS2" s="26">
        <v>25</v>
      </c>
      <c r="KU2" s="20"/>
      <c r="KV2" s="20">
        <v>0</v>
      </c>
      <c r="KW2" s="20">
        <v>1</v>
      </c>
      <c r="KX2" s="20">
        <v>2</v>
      </c>
      <c r="KY2" s="20">
        <v>3</v>
      </c>
      <c r="KZ2" s="20">
        <v>4</v>
      </c>
      <c r="LA2" s="20">
        <v>5</v>
      </c>
      <c r="LB2" s="20">
        <v>6</v>
      </c>
      <c r="LC2" s="20">
        <v>7</v>
      </c>
      <c r="LD2" s="20">
        <v>8</v>
      </c>
      <c r="LE2" s="20">
        <v>9</v>
      </c>
      <c r="LF2" s="20">
        <v>10</v>
      </c>
      <c r="LG2" s="20">
        <v>11</v>
      </c>
      <c r="LH2" s="20">
        <v>12</v>
      </c>
      <c r="LI2" s="20">
        <v>13</v>
      </c>
      <c r="LJ2" s="20">
        <v>14</v>
      </c>
      <c r="LK2" s="20">
        <v>15</v>
      </c>
      <c r="LL2" s="20">
        <v>16</v>
      </c>
      <c r="LM2" s="20">
        <v>17</v>
      </c>
      <c r="LN2" s="20">
        <v>18</v>
      </c>
      <c r="LO2" s="20">
        <v>19</v>
      </c>
      <c r="LP2" s="20">
        <v>20</v>
      </c>
      <c r="LQ2" s="20">
        <v>21</v>
      </c>
      <c r="LR2" s="20">
        <v>22</v>
      </c>
      <c r="LS2" s="20">
        <v>23</v>
      </c>
      <c r="LT2" s="20">
        <v>24</v>
      </c>
      <c r="LU2" s="20">
        <v>25</v>
      </c>
      <c r="LW2" s="20"/>
      <c r="LX2" s="20">
        <v>0</v>
      </c>
      <c r="LY2" s="20">
        <v>1</v>
      </c>
      <c r="LZ2" s="20">
        <v>2</v>
      </c>
      <c r="MA2" s="20">
        <v>3</v>
      </c>
      <c r="MB2" s="20">
        <v>4</v>
      </c>
      <c r="MC2" s="20">
        <v>5</v>
      </c>
      <c r="MD2" s="20">
        <v>6</v>
      </c>
      <c r="ME2" s="20">
        <v>7</v>
      </c>
      <c r="MF2" s="20">
        <v>8</v>
      </c>
      <c r="MG2" s="20">
        <v>9</v>
      </c>
      <c r="MH2" s="20">
        <v>10</v>
      </c>
      <c r="MI2" s="20">
        <v>11</v>
      </c>
      <c r="MJ2" s="20">
        <v>12</v>
      </c>
      <c r="MK2" s="20">
        <v>13</v>
      </c>
      <c r="ML2" s="20">
        <v>14</v>
      </c>
      <c r="MM2" s="20">
        <v>15</v>
      </c>
      <c r="MN2" s="20">
        <v>16</v>
      </c>
      <c r="MO2" s="20">
        <v>17</v>
      </c>
      <c r="MP2" s="20">
        <v>18</v>
      </c>
      <c r="MQ2" s="20">
        <v>19</v>
      </c>
      <c r="MR2" s="20">
        <v>20</v>
      </c>
      <c r="MS2" s="20">
        <v>21</v>
      </c>
      <c r="MT2" s="20">
        <v>22</v>
      </c>
      <c r="MU2" s="20">
        <v>23</v>
      </c>
      <c r="MV2" s="20">
        <v>24</v>
      </c>
      <c r="MW2" s="20">
        <v>25</v>
      </c>
      <c r="MZ2" s="21">
        <v>0</v>
      </c>
      <c r="NA2" s="21">
        <v>1</v>
      </c>
      <c r="NB2" s="21">
        <v>2</v>
      </c>
      <c r="NC2" s="21">
        <v>3</v>
      </c>
      <c r="ND2" s="21">
        <v>4</v>
      </c>
      <c r="NE2" s="21">
        <v>5</v>
      </c>
      <c r="NF2" s="21">
        <v>6</v>
      </c>
      <c r="NG2" s="21">
        <v>7</v>
      </c>
      <c r="NH2" s="21">
        <v>8</v>
      </c>
      <c r="NI2" s="21">
        <v>9</v>
      </c>
      <c r="NJ2" s="21">
        <v>10</v>
      </c>
      <c r="NK2" s="21">
        <v>11</v>
      </c>
      <c r="NL2" s="21">
        <v>12</v>
      </c>
      <c r="NM2" s="21">
        <v>13</v>
      </c>
      <c r="NN2" s="21">
        <v>14</v>
      </c>
      <c r="NO2" s="21">
        <v>15</v>
      </c>
      <c r="NP2" s="21">
        <v>16</v>
      </c>
      <c r="NQ2" s="21">
        <v>17</v>
      </c>
      <c r="NR2" s="21">
        <v>18</v>
      </c>
      <c r="NS2" s="21">
        <v>19</v>
      </c>
      <c r="NT2" s="21">
        <v>20</v>
      </c>
      <c r="NU2" s="21">
        <v>21</v>
      </c>
      <c r="NV2" s="21">
        <v>22</v>
      </c>
      <c r="NW2" s="21">
        <v>23</v>
      </c>
      <c r="NX2" s="21">
        <v>24</v>
      </c>
      <c r="NY2" s="21">
        <v>25</v>
      </c>
      <c r="OB2" s="20"/>
      <c r="OC2" s="26">
        <v>0</v>
      </c>
      <c r="OD2" s="26">
        <v>1</v>
      </c>
      <c r="OE2" s="26">
        <v>2</v>
      </c>
      <c r="OF2" s="26">
        <v>3</v>
      </c>
      <c r="OG2" s="26">
        <v>4</v>
      </c>
      <c r="OH2" s="26">
        <v>5</v>
      </c>
      <c r="OI2" s="26">
        <v>6</v>
      </c>
      <c r="OJ2" s="26">
        <v>7</v>
      </c>
      <c r="OK2" s="26">
        <v>8</v>
      </c>
      <c r="OL2" s="26">
        <v>9</v>
      </c>
      <c r="OM2" s="26">
        <v>10</v>
      </c>
      <c r="ON2" s="26">
        <v>11</v>
      </c>
      <c r="OO2" s="26">
        <v>12</v>
      </c>
      <c r="OP2" s="26">
        <v>13</v>
      </c>
      <c r="OQ2" s="26">
        <v>14</v>
      </c>
      <c r="OR2" s="26">
        <v>15</v>
      </c>
      <c r="OS2" s="26">
        <v>16</v>
      </c>
      <c r="OT2" s="26">
        <v>17</v>
      </c>
      <c r="OU2" s="26">
        <v>18</v>
      </c>
      <c r="OV2" s="26">
        <v>19</v>
      </c>
      <c r="OW2" s="26">
        <v>20</v>
      </c>
      <c r="OX2" s="26">
        <v>21</v>
      </c>
      <c r="OY2" s="26">
        <v>22</v>
      </c>
      <c r="OZ2" s="26">
        <v>23</v>
      </c>
      <c r="PA2" s="26">
        <v>24</v>
      </c>
      <c r="PB2" s="26">
        <v>25</v>
      </c>
    </row>
    <row r="3" spans="1:418" x14ac:dyDescent="0.25">
      <c r="A3" s="8"/>
      <c r="B3" s="5" t="s">
        <v>116</v>
      </c>
      <c r="C3" s="8"/>
      <c r="D3" s="6" t="s">
        <v>118</v>
      </c>
      <c r="E3" s="8" t="s">
        <v>507</v>
      </c>
      <c r="F3" s="5" t="s">
        <v>116</v>
      </c>
      <c r="G3" s="8" t="s">
        <v>480</v>
      </c>
      <c r="H3" s="5" t="s">
        <v>116</v>
      </c>
      <c r="I3" s="8">
        <v>30</v>
      </c>
      <c r="J3" s="5" t="s">
        <v>119</v>
      </c>
      <c r="K3" s="4"/>
      <c r="L3" s="6" t="str">
        <f>IF($E$10=AK22,"PAL40H40/1,15",IF($E$10=AK23,"PAL30H32/1,15","-------"))</f>
        <v>PAL40H40/1,15</v>
      </c>
      <c r="M3" s="14">
        <f>INDEX(cennik!$A$2:$O$529,MATCH($L3,cennik!$B$2:$B$522,0),MATCH(M$2,cennik!$A$1:$O$1,0))</f>
        <v>894510</v>
      </c>
      <c r="N3" s="14" t="str">
        <f>INDEX(cennik!$A$2:$O$529,MATCH($L3,cennik!$B$2:$B$522,0),MATCH(N$2,cennik!$A$1:$O$1,0))</f>
        <v>szt.</v>
      </c>
      <c r="O3" s="14">
        <f>IF(L3="-------",0,SUM(JJ3:JJ18))</f>
        <v>0</v>
      </c>
      <c r="P3" s="22">
        <f>INDEX(cennik!$A$2:$O$529,MATCH($L3,cennik!$B$2:$B$522,0),MATCH(P$2,cennik!$A$1:$O$1,0))</f>
        <v>36.799999999999997</v>
      </c>
      <c r="Q3" s="22">
        <f>O3*P3</f>
        <v>0</v>
      </c>
      <c r="R3" s="23">
        <f>$E$9</f>
        <v>0</v>
      </c>
      <c r="S3" s="22">
        <f>P3*((100-$E$9)/100)</f>
        <v>36.799999999999997</v>
      </c>
      <c r="T3" s="22">
        <f>O3*S3</f>
        <v>0</v>
      </c>
      <c r="U3" s="22">
        <f>INDEX(cennik!$A$2:$O$529,MATCH($L3,cennik!$B$2:$B$522,0),MATCH(U$2,cennik!$A$1:$O$1,0))*O3</f>
        <v>0</v>
      </c>
      <c r="V3" s="20"/>
      <c r="W3" s="20"/>
      <c r="X3" s="25">
        <f t="shared" ref="X3:X17" si="0">(IF($E$5=$AB$1,(IF(A3=0,0,IF(A3&gt;0,IF((((INT(((A3*$W$5)+((A3-1)*20)+80)/$E$4))-1)*$E$4)+500&gt;=((A3*$W$5)+((A3-1)*20)+80),(INT(((A3*$W$5)+((A3-1)*20)+80)/$E$4))*2,((INT(((A3*$W$5)+((A3-1)*20)+80)/$E$4))+1)*2)))),IF($E$5=$AB$2,(IF(A3=0,0,IF(A3&gt;0,IF((((INT(((A3*$W$6)+((A3-1)*20)+80)/$E$4))-1)*$E$4)+500&gt;=((A3*$W$6)+((A3-1)*20)+80),(INT(((A3*$W$6)+((A3-1)*20)+80)/$E$4))*2,((INT(((A3*$W$6)+((A3-1)*20)+80)/$E$4))+1)*2)))))))</f>
        <v>0</v>
      </c>
      <c r="Y3" s="20" t="s">
        <v>142</v>
      </c>
      <c r="Z3" s="20"/>
      <c r="AA3" s="20"/>
      <c r="AB3" s="20"/>
      <c r="AC3" s="20"/>
      <c r="AD3" s="20"/>
      <c r="AE3" s="20"/>
      <c r="AF3" s="20"/>
      <c r="AG3" s="20"/>
      <c r="AH3" s="20"/>
      <c r="AI3" s="20"/>
      <c r="AJ3" s="20"/>
      <c r="AK3" s="20"/>
      <c r="AL3" s="20">
        <f t="shared" ref="AL3:AL17" si="1">IF(X3=2,X3+2*C3,X3*C3)</f>
        <v>0</v>
      </c>
      <c r="AM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2,$BB$2:$CA$2,0),MATCH($W$2,$AH$22:$AH$47,0)))*C2</f>
        <v>0</v>
      </c>
      <c r="AN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2,$BB$2:$CA$2,0),MATCH($W$2,$AH$22:$AH$47,0)))*C2</f>
        <v>0</v>
      </c>
      <c r="AO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2,$BB$2:$CA$2,0),MATCH($W$2,$AH$22:$AH$47,0)))*C2</f>
        <v>0</v>
      </c>
      <c r="AP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2,$BB$2:$CA$2,0),MATCH($W$2,$AH$22:$AH$47,0)))*C2</f>
        <v>0</v>
      </c>
      <c r="AQ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2,$BB$2:$CA$2,0),MATCH($W$2,$AH$22:$AH$47,0)))*C2</f>
        <v>0</v>
      </c>
      <c r="AR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2,$BB$2:$CA$2,0),MATCH($W$2,$AH$22:$AH$47,0)))*C2</f>
        <v>0</v>
      </c>
      <c r="AS3" s="20"/>
      <c r="AT3" s="21" t="s">
        <v>1472</v>
      </c>
      <c r="AZ3" s="20"/>
      <c r="BA3" s="20" t="s">
        <v>126</v>
      </c>
      <c r="BB3" s="20">
        <v>0</v>
      </c>
      <c r="BC3" s="20">
        <v>2</v>
      </c>
      <c r="BD3" s="20">
        <v>0</v>
      </c>
      <c r="BE3" s="20">
        <v>0</v>
      </c>
      <c r="BF3" s="20">
        <v>0</v>
      </c>
      <c r="BG3" s="20">
        <v>0</v>
      </c>
      <c r="BH3" s="20">
        <v>0</v>
      </c>
      <c r="BI3" s="20">
        <v>0</v>
      </c>
      <c r="BJ3" s="20">
        <v>0</v>
      </c>
      <c r="BK3" s="20">
        <v>0</v>
      </c>
      <c r="BL3" s="20">
        <v>0</v>
      </c>
      <c r="BM3" s="20">
        <v>0</v>
      </c>
      <c r="BN3" s="20">
        <v>0</v>
      </c>
      <c r="BO3" s="20">
        <v>0</v>
      </c>
      <c r="BP3" s="20">
        <v>0</v>
      </c>
      <c r="BQ3" s="20">
        <v>0</v>
      </c>
      <c r="BR3" s="20">
        <v>0</v>
      </c>
      <c r="BS3" s="20">
        <v>0</v>
      </c>
      <c r="BT3" s="20">
        <v>0</v>
      </c>
      <c r="BU3" s="20">
        <v>0</v>
      </c>
      <c r="BV3" s="20">
        <v>0</v>
      </c>
      <c r="BW3" s="20">
        <v>0</v>
      </c>
      <c r="BX3" s="20">
        <v>0</v>
      </c>
      <c r="BY3" s="20">
        <v>0</v>
      </c>
      <c r="BZ3" s="20">
        <v>0</v>
      </c>
      <c r="CA3" s="20">
        <v>0</v>
      </c>
      <c r="CB3" s="20">
        <v>0</v>
      </c>
      <c r="CC3" s="20">
        <v>0</v>
      </c>
      <c r="CD3" s="20">
        <v>0</v>
      </c>
      <c r="CE3" s="20">
        <v>0</v>
      </c>
      <c r="CF3" s="20">
        <v>0</v>
      </c>
      <c r="CG3" s="20">
        <v>0</v>
      </c>
      <c r="CH3" s="20">
        <v>0</v>
      </c>
      <c r="CI3" s="20">
        <v>0</v>
      </c>
      <c r="CJ3" s="20">
        <v>0</v>
      </c>
      <c r="CK3" s="20">
        <v>0</v>
      </c>
      <c r="CL3" s="20">
        <v>0</v>
      </c>
      <c r="CM3" s="20">
        <v>0</v>
      </c>
      <c r="CN3" s="20">
        <v>0</v>
      </c>
      <c r="CO3" s="20">
        <v>0</v>
      </c>
      <c r="CP3" s="20">
        <v>0</v>
      </c>
      <c r="CQ3" s="20">
        <v>0</v>
      </c>
      <c r="CR3" s="20">
        <v>0</v>
      </c>
      <c r="CS3" s="20">
        <v>0</v>
      </c>
      <c r="CT3" s="20">
        <v>0</v>
      </c>
      <c r="CU3" s="20">
        <v>0</v>
      </c>
      <c r="CV3" s="20">
        <v>0</v>
      </c>
      <c r="CW3" s="20">
        <v>0</v>
      </c>
      <c r="CX3" s="20">
        <v>0</v>
      </c>
      <c r="CY3" s="20">
        <v>0</v>
      </c>
      <c r="CZ3" s="20">
        <v>0</v>
      </c>
      <c r="DA3" s="54"/>
      <c r="DB3" s="54">
        <v>2</v>
      </c>
      <c r="DC3" s="54"/>
      <c r="DD3" s="20" t="s">
        <v>19</v>
      </c>
      <c r="DE3" s="20">
        <v>0</v>
      </c>
      <c r="DF3" s="20">
        <v>0</v>
      </c>
      <c r="DG3" s="20">
        <v>0</v>
      </c>
      <c r="DH3" s="20">
        <v>2</v>
      </c>
      <c r="DI3" s="20">
        <v>0</v>
      </c>
      <c r="DJ3" s="20">
        <v>2</v>
      </c>
      <c r="DK3" s="20">
        <v>4</v>
      </c>
      <c r="DL3" s="20">
        <v>2</v>
      </c>
      <c r="DM3" s="20">
        <v>4</v>
      </c>
      <c r="DN3" s="20">
        <v>6</v>
      </c>
      <c r="DO3" s="20">
        <v>4</v>
      </c>
      <c r="DP3" s="20">
        <v>6</v>
      </c>
      <c r="DQ3" s="20">
        <v>8</v>
      </c>
      <c r="DR3" s="20">
        <v>6</v>
      </c>
      <c r="DS3" s="20">
        <v>8</v>
      </c>
      <c r="DT3" s="20">
        <v>8</v>
      </c>
      <c r="DU3" s="20">
        <v>10</v>
      </c>
      <c r="DV3" s="20">
        <v>8</v>
      </c>
      <c r="DW3" s="20">
        <v>10</v>
      </c>
      <c r="DX3" s="20">
        <v>12</v>
      </c>
      <c r="DY3" s="20">
        <v>10</v>
      </c>
      <c r="DZ3" s="20"/>
      <c r="EA3" s="20"/>
      <c r="EB3" s="20" t="s">
        <v>126</v>
      </c>
      <c r="EC3" s="20">
        <v>0</v>
      </c>
      <c r="ED3" s="20">
        <v>0</v>
      </c>
      <c r="EE3" s="20">
        <v>6</v>
      </c>
      <c r="EF3" s="20">
        <v>0</v>
      </c>
      <c r="EG3" s="20">
        <v>0</v>
      </c>
      <c r="EH3" s="20">
        <v>0</v>
      </c>
      <c r="EI3" s="20">
        <v>0</v>
      </c>
      <c r="EJ3" s="20">
        <v>0</v>
      </c>
      <c r="EK3" s="20">
        <v>0</v>
      </c>
      <c r="EL3" s="20">
        <v>0</v>
      </c>
      <c r="EM3" s="20">
        <v>2</v>
      </c>
      <c r="EN3" s="20">
        <v>0</v>
      </c>
      <c r="EO3" s="20">
        <v>0</v>
      </c>
      <c r="EP3" s="20">
        <v>0</v>
      </c>
      <c r="EQ3" s="20">
        <v>0</v>
      </c>
      <c r="ER3" s="20">
        <v>0</v>
      </c>
      <c r="ES3" s="20">
        <v>0</v>
      </c>
      <c r="ET3" s="20">
        <v>0</v>
      </c>
      <c r="EU3" s="20">
        <v>0</v>
      </c>
      <c r="EV3" s="20">
        <v>0</v>
      </c>
      <c r="EW3" s="20">
        <v>0</v>
      </c>
      <c r="EX3" s="20">
        <v>0</v>
      </c>
      <c r="EY3" s="20">
        <v>0</v>
      </c>
      <c r="EZ3" s="20">
        <v>0</v>
      </c>
      <c r="FA3" s="20">
        <v>0</v>
      </c>
      <c r="FB3" s="20">
        <v>0</v>
      </c>
      <c r="FC3" s="20">
        <v>0</v>
      </c>
      <c r="FD3" s="20">
        <v>0</v>
      </c>
      <c r="FE3" s="20">
        <v>0</v>
      </c>
      <c r="FF3" s="20">
        <v>0</v>
      </c>
      <c r="FG3" s="20">
        <v>0</v>
      </c>
      <c r="FH3" s="20">
        <v>0</v>
      </c>
      <c r="FI3" s="20">
        <v>2</v>
      </c>
      <c r="FJ3" s="20">
        <v>0</v>
      </c>
      <c r="FK3" s="20">
        <v>0</v>
      </c>
      <c r="FL3" s="20">
        <v>0</v>
      </c>
      <c r="FM3" s="20">
        <v>0</v>
      </c>
      <c r="FN3" s="20">
        <v>0</v>
      </c>
      <c r="FO3" s="20">
        <v>0</v>
      </c>
      <c r="FP3" s="20">
        <v>0</v>
      </c>
      <c r="FQ3" s="20">
        <v>0</v>
      </c>
      <c r="FR3" s="20">
        <v>0</v>
      </c>
      <c r="FS3" s="20">
        <v>0</v>
      </c>
      <c r="FT3" s="20">
        <v>0</v>
      </c>
      <c r="FU3" s="20">
        <v>0</v>
      </c>
      <c r="FV3" s="20">
        <v>0</v>
      </c>
      <c r="FW3" s="20">
        <v>0</v>
      </c>
      <c r="FX3" s="20">
        <v>0</v>
      </c>
      <c r="FY3" s="20">
        <v>0</v>
      </c>
      <c r="FZ3" s="20">
        <v>0</v>
      </c>
      <c r="GA3" s="20">
        <v>0</v>
      </c>
      <c r="GC3" s="20"/>
      <c r="GD3" s="20"/>
      <c r="GE3" s="20" t="s">
        <v>126</v>
      </c>
      <c r="GF3" s="20">
        <v>0</v>
      </c>
      <c r="GG3" s="20">
        <v>0</v>
      </c>
      <c r="GH3" s="20">
        <v>0</v>
      </c>
      <c r="GI3" s="20">
        <v>0</v>
      </c>
      <c r="GJ3" s="20">
        <v>2</v>
      </c>
      <c r="GK3" s="20">
        <v>0</v>
      </c>
      <c r="GL3" s="20">
        <v>0</v>
      </c>
      <c r="GM3" s="20">
        <v>0</v>
      </c>
      <c r="GN3" s="20">
        <v>0</v>
      </c>
      <c r="GO3" s="20">
        <v>0</v>
      </c>
      <c r="GP3" s="20">
        <v>0</v>
      </c>
      <c r="GQ3" s="20">
        <v>0</v>
      </c>
      <c r="GR3" s="20">
        <v>0</v>
      </c>
      <c r="GS3" s="20">
        <v>0</v>
      </c>
      <c r="GT3" s="20">
        <v>0</v>
      </c>
      <c r="GU3" s="20">
        <v>0</v>
      </c>
      <c r="GV3" s="20">
        <v>0</v>
      </c>
      <c r="GW3" s="20">
        <v>0</v>
      </c>
      <c r="GX3" s="20">
        <v>0</v>
      </c>
      <c r="GY3" s="20">
        <v>0</v>
      </c>
      <c r="GZ3" s="20">
        <v>0</v>
      </c>
      <c r="HA3" s="20">
        <v>0</v>
      </c>
      <c r="HB3" s="20">
        <v>0</v>
      </c>
      <c r="HC3" s="20">
        <v>0</v>
      </c>
      <c r="HD3" s="20">
        <v>0</v>
      </c>
      <c r="HE3" s="20">
        <v>0</v>
      </c>
      <c r="HF3" s="20">
        <v>0</v>
      </c>
      <c r="HG3" s="20">
        <v>0</v>
      </c>
      <c r="HH3" s="20">
        <v>0</v>
      </c>
      <c r="HI3" s="20">
        <v>0</v>
      </c>
      <c r="HJ3" s="20">
        <v>0</v>
      </c>
      <c r="HK3" s="20">
        <v>0</v>
      </c>
      <c r="HL3" s="20">
        <v>0</v>
      </c>
      <c r="HM3" s="20">
        <v>0</v>
      </c>
      <c r="HN3" s="20">
        <v>0</v>
      </c>
      <c r="HO3" s="20">
        <v>0</v>
      </c>
      <c r="HP3" s="20">
        <v>0</v>
      </c>
      <c r="HQ3" s="20">
        <v>0</v>
      </c>
      <c r="HR3" s="20">
        <v>0</v>
      </c>
      <c r="HS3" s="20">
        <v>0</v>
      </c>
      <c r="HT3" s="20">
        <v>0</v>
      </c>
      <c r="HU3" s="20">
        <v>0</v>
      </c>
      <c r="HV3" s="20">
        <v>0</v>
      </c>
      <c r="HW3" s="20">
        <v>0</v>
      </c>
      <c r="HX3" s="20">
        <v>0</v>
      </c>
      <c r="HY3" s="20">
        <v>0</v>
      </c>
      <c r="HZ3" s="20">
        <v>0</v>
      </c>
      <c r="IA3" s="20">
        <v>0</v>
      </c>
      <c r="IB3" s="20">
        <v>0</v>
      </c>
      <c r="IC3" s="20">
        <v>0</v>
      </c>
      <c r="ID3" s="20">
        <v>0</v>
      </c>
      <c r="IF3" s="21" t="s">
        <v>126</v>
      </c>
      <c r="IG3" s="21">
        <v>0</v>
      </c>
      <c r="IH3" s="21">
        <v>0</v>
      </c>
      <c r="II3" s="21">
        <v>0</v>
      </c>
      <c r="IJ3" s="21">
        <v>0</v>
      </c>
      <c r="IK3" s="21">
        <v>0</v>
      </c>
      <c r="IL3" s="21">
        <v>0</v>
      </c>
      <c r="IM3" s="21">
        <v>0</v>
      </c>
      <c r="IN3" s="21">
        <v>0</v>
      </c>
      <c r="IO3" s="21">
        <v>0</v>
      </c>
      <c r="IP3" s="21">
        <v>0</v>
      </c>
      <c r="IQ3" s="21">
        <v>0</v>
      </c>
      <c r="IR3" s="21">
        <v>0</v>
      </c>
      <c r="IS3" s="21">
        <v>0</v>
      </c>
      <c r="IT3" s="21">
        <v>0</v>
      </c>
      <c r="IU3" s="21">
        <v>0</v>
      </c>
      <c r="IV3" s="21">
        <v>0</v>
      </c>
      <c r="IW3" s="21">
        <v>0</v>
      </c>
      <c r="IX3" s="21">
        <v>0</v>
      </c>
      <c r="IY3" s="21">
        <v>0</v>
      </c>
      <c r="IZ3" s="21">
        <v>0</v>
      </c>
      <c r="JA3" s="21">
        <v>0</v>
      </c>
      <c r="JB3" s="21">
        <v>0</v>
      </c>
      <c r="JC3" s="21">
        <v>0</v>
      </c>
      <c r="JD3" s="21">
        <v>0</v>
      </c>
      <c r="JE3" s="21">
        <v>0</v>
      </c>
      <c r="JF3" s="21">
        <v>0</v>
      </c>
      <c r="JI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2,$JT$2:$KS$2,0),MATCH($W$2,$AH$22:$AH$47,0)))*C2</f>
        <v>0</v>
      </c>
      <c r="JJ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2,$JT$2:$KS$2,0),MATCH($W$2,$AH$22:$AH$47,0)))*C2</f>
        <v>0</v>
      </c>
      <c r="JK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2,$JT$2:$KS$2,0),MATCH($W$2,$AH$22:$AH$47,0)))*C2</f>
        <v>0</v>
      </c>
      <c r="JL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2,$JT$2:$KS$2,0),MATCH($W$2,$AH$22:$AH$47,0)))*C2</f>
        <v>0</v>
      </c>
      <c r="JM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2,$JT$2:$KS$2,0),MATCH($W$2,$AH$22:$AH$47,0)))*C2</f>
        <v>0</v>
      </c>
      <c r="JN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2,$JT$2:$KS$2,0),MATCH($W$2,$AH$22:$AH$47,0)))*C2</f>
        <v>0</v>
      </c>
      <c r="JO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2,$JT$2:$KS$2,0),MATCH($W$2,$AH$22:$AH$47,0)))*C2</f>
        <v>0</v>
      </c>
      <c r="JP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2,$JT$2:$KS$2,0),MATCH($W$2,$AH$22:$AH$47,0)))*C2</f>
        <v>0</v>
      </c>
      <c r="JQ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2,$JT$2:$KS$2,0),MATCH($W$2,$AH$22:$AH$47,0)))*C2</f>
        <v>0</v>
      </c>
      <c r="JS3" s="20" t="s">
        <v>126</v>
      </c>
      <c r="JT3" s="20">
        <v>0</v>
      </c>
      <c r="JU3" s="20">
        <v>2</v>
      </c>
      <c r="JV3" s="20">
        <v>0</v>
      </c>
      <c r="JW3" s="20">
        <v>0</v>
      </c>
      <c r="JX3" s="20">
        <v>0</v>
      </c>
      <c r="JY3" s="20">
        <v>0</v>
      </c>
      <c r="JZ3" s="20">
        <v>0</v>
      </c>
      <c r="KA3" s="20">
        <v>0</v>
      </c>
      <c r="KB3" s="20">
        <v>2</v>
      </c>
      <c r="KC3" s="20">
        <v>0</v>
      </c>
      <c r="KD3" s="20">
        <v>0</v>
      </c>
      <c r="KE3" s="20">
        <v>0</v>
      </c>
      <c r="KF3" s="20">
        <v>0</v>
      </c>
      <c r="KG3" s="20">
        <v>0</v>
      </c>
      <c r="KH3" s="20">
        <v>0</v>
      </c>
      <c r="KI3" s="20">
        <v>0</v>
      </c>
      <c r="KJ3" s="20">
        <v>0</v>
      </c>
      <c r="KK3" s="20">
        <v>0</v>
      </c>
      <c r="KL3" s="20">
        <v>0</v>
      </c>
      <c r="KM3" s="20">
        <v>0</v>
      </c>
      <c r="KN3" s="20">
        <v>0</v>
      </c>
      <c r="KO3" s="20">
        <v>0</v>
      </c>
      <c r="KP3" s="20">
        <v>0</v>
      </c>
      <c r="KQ3" s="20">
        <v>0</v>
      </c>
      <c r="KR3" s="20">
        <v>0</v>
      </c>
      <c r="KS3" s="20">
        <v>0</v>
      </c>
      <c r="KU3" s="20" t="s">
        <v>126</v>
      </c>
      <c r="KV3" s="20">
        <v>0</v>
      </c>
      <c r="KW3" s="20">
        <v>0</v>
      </c>
      <c r="KX3" s="20">
        <v>0</v>
      </c>
      <c r="KY3" s="20">
        <v>0</v>
      </c>
      <c r="KZ3" s="20">
        <v>0</v>
      </c>
      <c r="LA3" s="20">
        <v>0</v>
      </c>
      <c r="LB3" s="20">
        <v>0</v>
      </c>
      <c r="LC3" s="20">
        <v>0</v>
      </c>
      <c r="LD3" s="20">
        <v>0</v>
      </c>
      <c r="LE3" s="20">
        <v>0</v>
      </c>
      <c r="LF3" s="20">
        <v>0</v>
      </c>
      <c r="LG3" s="20">
        <v>0</v>
      </c>
      <c r="LH3" s="20">
        <v>0</v>
      </c>
      <c r="LI3" s="20">
        <v>0</v>
      </c>
      <c r="LJ3" s="20">
        <v>0</v>
      </c>
      <c r="LK3" s="20">
        <v>0</v>
      </c>
      <c r="LL3" s="20">
        <v>0</v>
      </c>
      <c r="LM3" s="20">
        <v>0</v>
      </c>
      <c r="LN3" s="20">
        <v>0</v>
      </c>
      <c r="LO3" s="20">
        <v>0</v>
      </c>
      <c r="LP3" s="20">
        <v>0</v>
      </c>
      <c r="LQ3" s="20">
        <v>0</v>
      </c>
      <c r="LR3" s="20">
        <v>0</v>
      </c>
      <c r="LS3" s="20">
        <v>0</v>
      </c>
      <c r="LT3" s="20">
        <v>0</v>
      </c>
      <c r="LU3" s="20">
        <v>0</v>
      </c>
      <c r="LW3" s="20" t="s">
        <v>126</v>
      </c>
      <c r="LX3" s="20">
        <v>0</v>
      </c>
      <c r="LY3" s="20">
        <v>0</v>
      </c>
      <c r="LZ3" s="20">
        <v>0</v>
      </c>
      <c r="MA3" s="20">
        <v>0</v>
      </c>
      <c r="MB3" s="20">
        <v>0</v>
      </c>
      <c r="MC3" s="20">
        <v>0</v>
      </c>
      <c r="MD3" s="20">
        <v>0</v>
      </c>
      <c r="ME3" s="20">
        <v>0</v>
      </c>
      <c r="MF3" s="20">
        <v>0</v>
      </c>
      <c r="MG3" s="20">
        <v>0</v>
      </c>
      <c r="MH3" s="20">
        <v>0</v>
      </c>
      <c r="MI3" s="20">
        <v>0</v>
      </c>
      <c r="MJ3" s="20">
        <v>0</v>
      </c>
      <c r="MK3" s="20">
        <v>0</v>
      </c>
      <c r="ML3" s="20">
        <v>0</v>
      </c>
      <c r="MM3" s="20">
        <v>0</v>
      </c>
      <c r="MN3" s="20">
        <v>0</v>
      </c>
      <c r="MO3" s="20">
        <v>0</v>
      </c>
      <c r="MP3" s="20">
        <v>0</v>
      </c>
      <c r="MQ3" s="20">
        <v>0</v>
      </c>
      <c r="MR3" s="20">
        <v>0</v>
      </c>
      <c r="MS3" s="20">
        <v>0</v>
      </c>
      <c r="MT3" s="20">
        <v>0</v>
      </c>
      <c r="MU3" s="20">
        <v>0</v>
      </c>
      <c r="MV3" s="20">
        <v>0</v>
      </c>
      <c r="MW3" s="20">
        <v>0</v>
      </c>
      <c r="MY3" s="21" t="s">
        <v>126</v>
      </c>
      <c r="MZ3" s="21">
        <v>0</v>
      </c>
      <c r="NA3" s="21">
        <v>0</v>
      </c>
      <c r="NB3" s="21">
        <v>0</v>
      </c>
      <c r="NC3" s="21">
        <v>0</v>
      </c>
      <c r="ND3" s="21">
        <v>0</v>
      </c>
      <c r="NE3" s="21">
        <v>0</v>
      </c>
      <c r="NF3" s="21">
        <v>0</v>
      </c>
      <c r="NG3" s="21">
        <v>0</v>
      </c>
      <c r="NH3" s="21">
        <v>0</v>
      </c>
      <c r="NI3" s="21">
        <v>0</v>
      </c>
      <c r="NJ3" s="21">
        <v>0</v>
      </c>
      <c r="NK3" s="21">
        <v>0</v>
      </c>
      <c r="NL3" s="21">
        <v>0</v>
      </c>
      <c r="NM3" s="21">
        <v>0</v>
      </c>
      <c r="NN3" s="21">
        <v>0</v>
      </c>
      <c r="NO3" s="21">
        <v>0</v>
      </c>
      <c r="NP3" s="21">
        <v>0</v>
      </c>
      <c r="NQ3" s="21">
        <v>0</v>
      </c>
      <c r="NR3" s="21">
        <v>0</v>
      </c>
      <c r="NS3" s="21">
        <v>0</v>
      </c>
      <c r="NT3" s="21">
        <v>0</v>
      </c>
      <c r="NU3" s="21">
        <v>0</v>
      </c>
      <c r="NV3" s="21">
        <v>0</v>
      </c>
      <c r="NW3" s="21">
        <v>0</v>
      </c>
      <c r="NX3" s="21">
        <v>0</v>
      </c>
      <c r="NY3" s="21">
        <v>0</v>
      </c>
      <c r="OB3" s="20" t="s">
        <v>126</v>
      </c>
      <c r="OC3" s="20">
        <v>0</v>
      </c>
      <c r="OD3" s="20">
        <v>0</v>
      </c>
      <c r="OE3" s="20">
        <v>0</v>
      </c>
      <c r="OF3" s="20">
        <v>0</v>
      </c>
      <c r="OG3" s="20">
        <v>0</v>
      </c>
      <c r="OH3" s="20">
        <v>0</v>
      </c>
      <c r="OI3" s="20">
        <v>0</v>
      </c>
      <c r="OJ3" s="20">
        <v>0</v>
      </c>
      <c r="OK3" s="20">
        <v>0</v>
      </c>
      <c r="OL3" s="20">
        <v>0</v>
      </c>
      <c r="OM3" s="20">
        <v>0</v>
      </c>
      <c r="ON3" s="20">
        <v>0</v>
      </c>
      <c r="OO3" s="20">
        <v>0</v>
      </c>
      <c r="OP3" s="20">
        <v>0</v>
      </c>
      <c r="OQ3" s="20">
        <v>0</v>
      </c>
      <c r="OR3" s="20">
        <v>0</v>
      </c>
      <c r="OS3" s="20">
        <v>0</v>
      </c>
      <c r="OT3" s="20">
        <v>0</v>
      </c>
      <c r="OU3" s="20">
        <v>0</v>
      </c>
      <c r="OV3" s="20">
        <v>0</v>
      </c>
      <c r="OW3" s="20">
        <v>0</v>
      </c>
      <c r="OX3" s="20">
        <v>0</v>
      </c>
      <c r="OY3" s="20">
        <v>0</v>
      </c>
      <c r="OZ3" s="20">
        <v>0</v>
      </c>
      <c r="PA3" s="20">
        <v>0</v>
      </c>
      <c r="PB3" s="20">
        <v>0</v>
      </c>
    </row>
    <row r="4" spans="1:418" x14ac:dyDescent="0.25">
      <c r="A4" s="8"/>
      <c r="B4" s="5" t="s">
        <v>116</v>
      </c>
      <c r="C4" s="8"/>
      <c r="D4" s="6" t="s">
        <v>117</v>
      </c>
      <c r="E4" s="8">
        <v>1000</v>
      </c>
      <c r="F4" s="5"/>
      <c r="G4" s="5"/>
      <c r="H4" s="5"/>
      <c r="I4" s="5"/>
      <c r="J4" s="5" t="s">
        <v>119</v>
      </c>
      <c r="K4" s="4"/>
      <c r="L4" s="6" t="str">
        <f>IF($E$10=AK22,"PAL40H40/2,1",IF($E$10=AK23,"PAL30H32/2,1","-------"))</f>
        <v>PAL40H40/2,1</v>
      </c>
      <c r="M4" s="14">
        <f>INDEX(cennik!$A$2:$O$529,MATCH($L4,cennik!$B$2:$B$522,0),MATCH(M$2,cennik!$A$1:$O$1,0))</f>
        <v>894621</v>
      </c>
      <c r="N4" s="14" t="str">
        <f>INDEX(cennik!$A$2:$O$529,MATCH($L4,cennik!$B$2:$B$522,0),MATCH(N$2,cennik!$A$1:$O$1,0))</f>
        <v>szt.</v>
      </c>
      <c r="O4" s="14">
        <f>IF(L4="-------",0,SUM(JK3:JK18))</f>
        <v>0</v>
      </c>
      <c r="P4" s="22">
        <f>INDEX(cennik!$A$2:$O$529,MATCH($L4,cennik!$B$2:$B$522,0),MATCH(P$2,cennik!$A$1:$O$1,0))</f>
        <v>65.099999999999994</v>
      </c>
      <c r="Q4" s="22">
        <f t="shared" ref="Q4:Q8" si="2">O4*P4</f>
        <v>0</v>
      </c>
      <c r="R4" s="23">
        <f t="shared" ref="R4:R20" si="3">$E$9</f>
        <v>0</v>
      </c>
      <c r="S4" s="22">
        <f t="shared" ref="S4:S8" si="4">P4*((100-$E$9)/100)</f>
        <v>65.099999999999994</v>
      </c>
      <c r="T4" s="22">
        <f t="shared" ref="T4:T8" si="5">O4*S4</f>
        <v>0</v>
      </c>
      <c r="U4" s="22">
        <f>INDEX(cennik!$A$2:$O$529,MATCH($L4,cennik!$B$2:$B$522,0),MATCH(U$2,cennik!$A$1:$O$1,0))*O4</f>
        <v>0</v>
      </c>
      <c r="W4" s="20"/>
      <c r="X4" s="25">
        <f t="shared" si="0"/>
        <v>0</v>
      </c>
      <c r="Y4" s="20" t="s">
        <v>143</v>
      </c>
      <c r="Z4" s="20"/>
      <c r="AA4" s="20"/>
      <c r="AB4" s="27" t="s">
        <v>130</v>
      </c>
      <c r="AC4" s="27" t="s">
        <v>125</v>
      </c>
      <c r="AD4" s="27" t="s">
        <v>144</v>
      </c>
      <c r="AE4" s="27"/>
      <c r="AF4" s="27"/>
      <c r="AG4" s="27" t="s">
        <v>140</v>
      </c>
      <c r="AH4" s="27" t="s">
        <v>125</v>
      </c>
      <c r="AI4" s="27" t="s">
        <v>144</v>
      </c>
      <c r="AJ4" s="27"/>
      <c r="AK4" s="27"/>
      <c r="AL4" s="20">
        <f>IF(X4=2,X4+2*C4,X4*C4)</f>
        <v>0</v>
      </c>
      <c r="AM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3,$BB$2:$CA$2,0),MATCH($W$2,$AH$22:$AH$47,0)))*C3</f>
        <v>0</v>
      </c>
      <c r="AN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3,$BB$2:$CA$2,0),MATCH($W$2,$AH$22:$AH$47,0)))*C3</f>
        <v>0</v>
      </c>
      <c r="AO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3,$BB$2:$CA$2,0),MATCH($W$2,$AH$22:$AH$47,0)))*C3</f>
        <v>0</v>
      </c>
      <c r="AP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3,$BB$2:$CA$2,0),MATCH($W$2,$AH$22:$AH$47,0)))*C3</f>
        <v>0</v>
      </c>
      <c r="AQ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3,$BB$2:$CA$2,0),MATCH($W$2,$AH$22:$AH$47,0)))*C3</f>
        <v>0</v>
      </c>
      <c r="AR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3,$BB$2:$CA$2,0),MATCH($W$2,$AH$22:$AH$47,0)))*C3</f>
        <v>0</v>
      </c>
      <c r="AS4" s="20"/>
      <c r="AZ4" s="20"/>
      <c r="BA4" s="20" t="s">
        <v>12</v>
      </c>
      <c r="BB4" s="20">
        <v>0</v>
      </c>
      <c r="BC4" s="20">
        <v>0</v>
      </c>
      <c r="BD4" s="20">
        <v>2</v>
      </c>
      <c r="BE4" s="20">
        <v>0</v>
      </c>
      <c r="BF4" s="20">
        <v>4</v>
      </c>
      <c r="BG4" s="20">
        <v>2</v>
      </c>
      <c r="BH4" s="20">
        <v>0</v>
      </c>
      <c r="BI4" s="20">
        <v>4</v>
      </c>
      <c r="BJ4" s="20">
        <v>2</v>
      </c>
      <c r="BK4" s="20">
        <v>0</v>
      </c>
      <c r="BL4" s="20">
        <v>4</v>
      </c>
      <c r="BM4" s="20">
        <v>2</v>
      </c>
      <c r="BN4" s="20">
        <v>0</v>
      </c>
      <c r="BO4" s="20">
        <v>4</v>
      </c>
      <c r="BP4" s="20">
        <v>2</v>
      </c>
      <c r="BQ4" s="20">
        <v>0</v>
      </c>
      <c r="BR4" s="20">
        <v>0</v>
      </c>
      <c r="BS4" s="20">
        <v>0</v>
      </c>
      <c r="BT4" s="20">
        <v>2</v>
      </c>
      <c r="BU4" s="20">
        <v>0</v>
      </c>
      <c r="BV4" s="20">
        <v>2</v>
      </c>
      <c r="BW4" s="20">
        <v>0</v>
      </c>
      <c r="BX4" s="20">
        <v>0</v>
      </c>
      <c r="BY4" s="20">
        <v>0</v>
      </c>
      <c r="BZ4" s="20">
        <v>0</v>
      </c>
      <c r="CA4" s="20">
        <v>0</v>
      </c>
      <c r="CB4" s="20">
        <v>0</v>
      </c>
      <c r="CC4" s="20">
        <v>0</v>
      </c>
      <c r="CD4" s="20">
        <v>0</v>
      </c>
      <c r="CE4" s="20">
        <v>0</v>
      </c>
      <c r="CF4" s="20">
        <v>2</v>
      </c>
      <c r="CG4" s="20">
        <v>0</v>
      </c>
      <c r="CH4" s="20">
        <v>0</v>
      </c>
      <c r="CI4" s="20">
        <v>2</v>
      </c>
      <c r="CJ4" s="20">
        <v>0</v>
      </c>
      <c r="CK4" s="20">
        <v>0</v>
      </c>
      <c r="CL4" s="20">
        <v>0</v>
      </c>
      <c r="CM4" s="20">
        <v>0</v>
      </c>
      <c r="CN4" s="20">
        <v>0</v>
      </c>
      <c r="CO4" s="20">
        <v>0</v>
      </c>
      <c r="CP4" s="20">
        <v>0</v>
      </c>
      <c r="CQ4" s="20">
        <v>0</v>
      </c>
      <c r="CR4" s="20">
        <v>2</v>
      </c>
      <c r="CS4" s="20">
        <v>0</v>
      </c>
      <c r="CT4" s="20">
        <v>0</v>
      </c>
      <c r="CU4" s="20">
        <v>0</v>
      </c>
      <c r="CV4" s="20">
        <v>0</v>
      </c>
      <c r="CW4" s="20">
        <v>0</v>
      </c>
      <c r="CX4" s="20">
        <v>0</v>
      </c>
      <c r="CY4" s="20">
        <v>0</v>
      </c>
      <c r="CZ4" s="20">
        <v>0</v>
      </c>
      <c r="DA4" s="54"/>
      <c r="DB4" s="54">
        <v>3</v>
      </c>
      <c r="DC4" s="54"/>
      <c r="DD4" s="20" t="s">
        <v>408</v>
      </c>
      <c r="DE4" s="20">
        <v>0</v>
      </c>
      <c r="DF4" s="20">
        <v>0</v>
      </c>
      <c r="DG4" s="20">
        <v>0</v>
      </c>
      <c r="DH4" s="20">
        <v>0</v>
      </c>
      <c r="DI4" s="20">
        <v>4</v>
      </c>
      <c r="DJ4" s="20">
        <v>4</v>
      </c>
      <c r="DK4" s="20">
        <v>4</v>
      </c>
      <c r="DL4" s="20">
        <v>8</v>
      </c>
      <c r="DM4" s="20">
        <v>8</v>
      </c>
      <c r="DN4" s="20">
        <v>8</v>
      </c>
      <c r="DO4" s="20">
        <v>12</v>
      </c>
      <c r="DP4" s="20">
        <v>12</v>
      </c>
      <c r="DQ4" s="20">
        <v>12</v>
      </c>
      <c r="DR4" s="20">
        <v>16</v>
      </c>
      <c r="DS4" s="20">
        <v>16</v>
      </c>
      <c r="DT4" s="20">
        <v>16</v>
      </c>
      <c r="DU4" s="20">
        <v>16</v>
      </c>
      <c r="DV4" s="20">
        <v>20</v>
      </c>
      <c r="DW4" s="20">
        <v>20</v>
      </c>
      <c r="DX4" s="20">
        <v>20</v>
      </c>
      <c r="DY4" s="20">
        <v>24</v>
      </c>
      <c r="DZ4" s="20"/>
      <c r="EA4" s="20"/>
      <c r="EB4" s="20" t="s">
        <v>12</v>
      </c>
      <c r="EC4" s="20">
        <v>0</v>
      </c>
      <c r="ED4" s="20">
        <v>2</v>
      </c>
      <c r="EE4" s="20">
        <v>0</v>
      </c>
      <c r="EF4" s="20">
        <v>2</v>
      </c>
      <c r="EG4" s="20">
        <v>4</v>
      </c>
      <c r="EH4" s="20">
        <v>0</v>
      </c>
      <c r="EI4" s="20">
        <v>4</v>
      </c>
      <c r="EJ4" s="20">
        <v>2</v>
      </c>
      <c r="EK4" s="20">
        <v>4</v>
      </c>
      <c r="EL4" s="20">
        <v>2</v>
      </c>
      <c r="EM4" s="20">
        <v>0</v>
      </c>
      <c r="EN4" s="20">
        <v>2</v>
      </c>
      <c r="EO4" s="20">
        <v>4</v>
      </c>
      <c r="EP4" s="20">
        <v>2</v>
      </c>
      <c r="EQ4" s="20">
        <v>2</v>
      </c>
      <c r="ER4" s="20">
        <v>0</v>
      </c>
      <c r="ES4" s="20">
        <v>0</v>
      </c>
      <c r="ET4" s="20">
        <v>0</v>
      </c>
      <c r="EU4" s="20">
        <v>2</v>
      </c>
      <c r="EV4" s="20">
        <v>0</v>
      </c>
      <c r="EW4" s="20">
        <v>0</v>
      </c>
      <c r="EX4" s="20">
        <v>0</v>
      </c>
      <c r="EY4" s="20">
        <v>0</v>
      </c>
      <c r="EZ4" s="20">
        <v>0</v>
      </c>
      <c r="FA4" s="20">
        <v>2</v>
      </c>
      <c r="FB4" s="20">
        <v>0</v>
      </c>
      <c r="FC4" s="20">
        <v>0</v>
      </c>
      <c r="FD4" s="20">
        <v>0</v>
      </c>
      <c r="FE4" s="20">
        <v>0</v>
      </c>
      <c r="FF4" s="20">
        <v>0</v>
      </c>
      <c r="FG4" s="20">
        <v>0</v>
      </c>
      <c r="FH4" s="20">
        <v>0</v>
      </c>
      <c r="FI4" s="20">
        <v>0</v>
      </c>
      <c r="FJ4" s="20">
        <v>0</v>
      </c>
      <c r="FK4" s="20">
        <v>0</v>
      </c>
      <c r="FL4" s="20">
        <v>0</v>
      </c>
      <c r="FM4" s="20">
        <v>0</v>
      </c>
      <c r="FN4" s="20">
        <v>0</v>
      </c>
      <c r="FO4" s="20">
        <v>0</v>
      </c>
      <c r="FP4" s="20">
        <v>0</v>
      </c>
      <c r="FQ4" s="20">
        <v>0</v>
      </c>
      <c r="FR4" s="20">
        <v>0</v>
      </c>
      <c r="FS4" s="20">
        <v>4</v>
      </c>
      <c r="FT4" s="20">
        <v>0</v>
      </c>
      <c r="FU4" s="20">
        <v>0</v>
      </c>
      <c r="FV4" s="20">
        <v>0</v>
      </c>
      <c r="FW4" s="20">
        <v>0</v>
      </c>
      <c r="FX4" s="20">
        <v>0</v>
      </c>
      <c r="FY4" s="20">
        <v>0</v>
      </c>
      <c r="FZ4" s="20">
        <v>0</v>
      </c>
      <c r="GA4" s="20">
        <v>0</v>
      </c>
      <c r="GC4" s="20"/>
      <c r="GD4" s="20"/>
      <c r="GE4" s="20" t="s">
        <v>12</v>
      </c>
      <c r="GF4" s="20">
        <v>0</v>
      </c>
      <c r="GG4" s="20">
        <v>2</v>
      </c>
      <c r="GH4" s="20">
        <v>4</v>
      </c>
      <c r="GI4" s="20">
        <v>0</v>
      </c>
      <c r="GJ4" s="20">
        <v>0</v>
      </c>
      <c r="GK4" s="20">
        <v>0</v>
      </c>
      <c r="GL4" s="20">
        <v>0</v>
      </c>
      <c r="GM4" s="20">
        <v>4</v>
      </c>
      <c r="GN4" s="20">
        <v>0</v>
      </c>
      <c r="GO4" s="20">
        <v>2</v>
      </c>
      <c r="GP4" s="20">
        <v>0</v>
      </c>
      <c r="GQ4" s="20">
        <v>0</v>
      </c>
      <c r="GR4" s="20">
        <v>0</v>
      </c>
      <c r="GS4" s="20">
        <v>0</v>
      </c>
      <c r="GT4" s="20">
        <v>0</v>
      </c>
      <c r="GU4" s="20">
        <v>0</v>
      </c>
      <c r="GV4" s="20">
        <v>2</v>
      </c>
      <c r="GW4" s="20">
        <v>0</v>
      </c>
      <c r="GX4" s="20">
        <v>0</v>
      </c>
      <c r="GY4" s="20">
        <v>0</v>
      </c>
      <c r="GZ4" s="20">
        <v>0</v>
      </c>
      <c r="HA4" s="20">
        <v>0</v>
      </c>
      <c r="HB4" s="20">
        <v>0</v>
      </c>
      <c r="HC4" s="20">
        <v>0</v>
      </c>
      <c r="HD4" s="20">
        <v>0</v>
      </c>
      <c r="HE4" s="20">
        <v>0</v>
      </c>
      <c r="HF4" s="20">
        <v>0</v>
      </c>
      <c r="HG4" s="20">
        <v>0</v>
      </c>
      <c r="HH4" s="20">
        <v>0</v>
      </c>
      <c r="HI4" s="20">
        <v>0</v>
      </c>
      <c r="HJ4" s="20">
        <v>0</v>
      </c>
      <c r="HK4" s="20">
        <v>0</v>
      </c>
      <c r="HL4" s="20">
        <v>0</v>
      </c>
      <c r="HM4" s="20">
        <v>0</v>
      </c>
      <c r="HN4" s="20">
        <v>0</v>
      </c>
      <c r="HO4" s="20">
        <v>0</v>
      </c>
      <c r="HP4" s="20">
        <v>0</v>
      </c>
      <c r="HQ4" s="20">
        <v>0</v>
      </c>
      <c r="HR4" s="20">
        <v>0</v>
      </c>
      <c r="HS4" s="20">
        <v>0</v>
      </c>
      <c r="HT4" s="20">
        <v>0</v>
      </c>
      <c r="HU4" s="20">
        <v>0</v>
      </c>
      <c r="HV4" s="20">
        <v>0</v>
      </c>
      <c r="HW4" s="20">
        <v>0</v>
      </c>
      <c r="HX4" s="20">
        <v>0</v>
      </c>
      <c r="HY4" s="20">
        <v>0</v>
      </c>
      <c r="HZ4" s="20">
        <v>0</v>
      </c>
      <c r="IA4" s="20">
        <v>0</v>
      </c>
      <c r="IB4" s="20">
        <v>0</v>
      </c>
      <c r="IC4" s="20">
        <v>0</v>
      </c>
      <c r="ID4" s="20">
        <v>0</v>
      </c>
      <c r="IF4" s="21" t="s">
        <v>12</v>
      </c>
      <c r="IG4" s="21">
        <v>0</v>
      </c>
      <c r="IH4" s="21">
        <v>0</v>
      </c>
      <c r="II4" s="21">
        <v>2</v>
      </c>
      <c r="IJ4" s="21">
        <v>4</v>
      </c>
      <c r="IK4" s="21">
        <v>0</v>
      </c>
      <c r="IL4" s="21">
        <v>2</v>
      </c>
      <c r="IM4" s="21">
        <v>0</v>
      </c>
      <c r="IN4" s="21">
        <v>4</v>
      </c>
      <c r="IO4" s="21">
        <v>0</v>
      </c>
      <c r="IP4" s="21">
        <v>2</v>
      </c>
      <c r="IQ4" s="21">
        <v>4</v>
      </c>
      <c r="IR4" s="21">
        <v>0</v>
      </c>
      <c r="IS4" s="21">
        <v>0</v>
      </c>
      <c r="IT4" s="21">
        <v>0</v>
      </c>
      <c r="IU4" s="21">
        <v>2</v>
      </c>
      <c r="IV4" s="21">
        <v>0</v>
      </c>
      <c r="IW4" s="21">
        <v>0</v>
      </c>
      <c r="IX4" s="21">
        <v>4</v>
      </c>
      <c r="IY4" s="21">
        <v>0</v>
      </c>
      <c r="IZ4" s="21">
        <v>0</v>
      </c>
      <c r="JA4" s="21">
        <v>0</v>
      </c>
      <c r="JB4" s="21">
        <v>0</v>
      </c>
      <c r="JC4" s="21">
        <v>0</v>
      </c>
      <c r="JD4" s="21">
        <v>0</v>
      </c>
      <c r="JE4" s="21">
        <v>0</v>
      </c>
      <c r="JF4" s="21">
        <v>0</v>
      </c>
      <c r="JI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3,$JT$2:$KS$2,0),MATCH($W$2,$AH$22:$AH$47,0)))*C3</f>
        <v>0</v>
      </c>
      <c r="JJ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3,$JT$2:$KS$2,0),MATCH($W$2,$AH$22:$AH$47,0)))*C3</f>
        <v>0</v>
      </c>
      <c r="JK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3,$JT$2:$KS$2,0),MATCH($W$2,$AH$22:$AH$47,0)))*C3</f>
        <v>0</v>
      </c>
      <c r="JL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3,$JT$2:$KS$2,0),MATCH($W$2,$AH$22:$AH$47,0)))*C3</f>
        <v>0</v>
      </c>
      <c r="JM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3,$JT$2:$KS$2,0),MATCH($W$2,$AH$22:$AH$47,0)))*C3</f>
        <v>0</v>
      </c>
      <c r="JN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3,$JT$2:$KS$2,0),MATCH($W$2,$AH$22:$AH$47,0)))*C3</f>
        <v>0</v>
      </c>
      <c r="JO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3,$JT$2:$KS$2,0),MATCH($W$2,$AH$22:$AH$47,0)))*C3</f>
        <v>0</v>
      </c>
      <c r="JP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3,$JT$2:$KS$2,0),MATCH($W$2,$AH$22:$AH$47,0)))*C3</f>
        <v>0</v>
      </c>
      <c r="JQ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3,$JT$2:$KS$2,0),MATCH($W$2,$AH$22:$AH$47,0)))*C3</f>
        <v>0</v>
      </c>
      <c r="JS4" s="20" t="s">
        <v>12</v>
      </c>
      <c r="JT4" s="20">
        <v>0</v>
      </c>
      <c r="JU4" s="20">
        <v>0</v>
      </c>
      <c r="JV4" s="20">
        <v>2</v>
      </c>
      <c r="JW4" s="20">
        <v>0</v>
      </c>
      <c r="JX4" s="20">
        <v>4</v>
      </c>
      <c r="JY4" s="20">
        <v>2</v>
      </c>
      <c r="JZ4" s="20">
        <v>0</v>
      </c>
      <c r="KA4" s="20">
        <v>0</v>
      </c>
      <c r="KB4" s="20">
        <v>0</v>
      </c>
      <c r="KC4" s="20">
        <v>2</v>
      </c>
      <c r="KD4" s="20">
        <v>0</v>
      </c>
      <c r="KE4" s="20">
        <v>4</v>
      </c>
      <c r="KF4" s="20">
        <v>0</v>
      </c>
      <c r="KG4" s="20">
        <v>0</v>
      </c>
      <c r="KH4" s="20">
        <v>0</v>
      </c>
      <c r="KI4" s="20">
        <v>0</v>
      </c>
      <c r="KJ4" s="20">
        <v>2</v>
      </c>
      <c r="KK4" s="20">
        <v>0</v>
      </c>
      <c r="KL4" s="20">
        <v>4</v>
      </c>
      <c r="KM4" s="20">
        <v>0</v>
      </c>
      <c r="KN4" s="20">
        <v>0</v>
      </c>
      <c r="KO4" s="20">
        <v>0</v>
      </c>
      <c r="KP4" s="20">
        <v>0</v>
      </c>
      <c r="KQ4" s="20">
        <v>2</v>
      </c>
      <c r="KR4" s="20">
        <v>0</v>
      </c>
      <c r="KS4" s="20">
        <v>4</v>
      </c>
      <c r="KU4" s="20" t="s">
        <v>12</v>
      </c>
      <c r="KV4" s="20">
        <v>0</v>
      </c>
      <c r="KW4" s="20">
        <v>2</v>
      </c>
      <c r="KX4" s="20">
        <v>0</v>
      </c>
      <c r="KY4" s="20">
        <v>2</v>
      </c>
      <c r="KZ4" s="20">
        <v>0</v>
      </c>
      <c r="LA4" s="20">
        <v>0</v>
      </c>
      <c r="LB4" s="20">
        <v>0</v>
      </c>
      <c r="LC4" s="20">
        <v>2</v>
      </c>
      <c r="LD4" s="20">
        <v>0</v>
      </c>
      <c r="LE4" s="20">
        <v>0</v>
      </c>
      <c r="LF4" s="20">
        <v>0</v>
      </c>
      <c r="LG4" s="20">
        <v>2</v>
      </c>
      <c r="LH4" s="20">
        <v>0</v>
      </c>
      <c r="LI4" s="20">
        <v>2</v>
      </c>
      <c r="LJ4" s="20">
        <v>0</v>
      </c>
      <c r="LK4" s="20">
        <v>0</v>
      </c>
      <c r="LL4" s="20">
        <v>2</v>
      </c>
      <c r="LM4" s="20">
        <v>0</v>
      </c>
      <c r="LN4" s="20">
        <v>0</v>
      </c>
      <c r="LO4" s="20">
        <v>0</v>
      </c>
      <c r="LP4" s="20">
        <v>0</v>
      </c>
      <c r="LQ4" s="20">
        <v>0</v>
      </c>
      <c r="LR4" s="20">
        <v>0</v>
      </c>
      <c r="LS4" s="20">
        <v>0</v>
      </c>
      <c r="LT4" s="20">
        <v>2</v>
      </c>
      <c r="LU4" s="20">
        <v>0</v>
      </c>
      <c r="LW4" s="20" t="s">
        <v>12</v>
      </c>
      <c r="LX4" s="20">
        <v>0</v>
      </c>
      <c r="LY4" s="20">
        <v>2</v>
      </c>
      <c r="LZ4" s="20">
        <v>4</v>
      </c>
      <c r="MA4" s="20">
        <v>0</v>
      </c>
      <c r="MB4" s="20">
        <v>4</v>
      </c>
      <c r="MC4" s="20">
        <v>0</v>
      </c>
      <c r="MD4" s="20">
        <v>0</v>
      </c>
      <c r="ME4" s="20">
        <v>0</v>
      </c>
      <c r="MF4" s="20">
        <v>0</v>
      </c>
      <c r="MG4" s="20">
        <v>0</v>
      </c>
      <c r="MH4" s="20">
        <v>0</v>
      </c>
      <c r="MI4" s="20">
        <v>0</v>
      </c>
      <c r="MJ4" s="20">
        <v>0</v>
      </c>
      <c r="MK4" s="20">
        <v>0</v>
      </c>
      <c r="ML4" s="20">
        <v>0</v>
      </c>
      <c r="MM4" s="20">
        <v>4</v>
      </c>
      <c r="MN4" s="20">
        <v>0</v>
      </c>
      <c r="MO4" s="20">
        <v>4</v>
      </c>
      <c r="MP4" s="20">
        <v>0</v>
      </c>
      <c r="MQ4" s="20">
        <v>2</v>
      </c>
      <c r="MR4" s="20">
        <v>0</v>
      </c>
      <c r="MS4" s="20">
        <v>0</v>
      </c>
      <c r="MT4" s="20">
        <v>0</v>
      </c>
      <c r="MU4" s="20">
        <v>0</v>
      </c>
      <c r="MV4" s="20">
        <v>0</v>
      </c>
      <c r="MW4" s="20">
        <v>0</v>
      </c>
      <c r="MY4" s="21" t="s">
        <v>12</v>
      </c>
      <c r="MZ4" s="21">
        <v>0</v>
      </c>
      <c r="NA4" s="21">
        <v>0</v>
      </c>
      <c r="NB4" s="21">
        <v>0</v>
      </c>
      <c r="NC4" s="21">
        <v>0</v>
      </c>
      <c r="ND4" s="21">
        <v>0</v>
      </c>
      <c r="NE4" s="21">
        <v>2</v>
      </c>
      <c r="NF4" s="21">
        <v>0</v>
      </c>
      <c r="NG4" s="21">
        <v>0</v>
      </c>
      <c r="NH4" s="21">
        <v>2</v>
      </c>
      <c r="NI4" s="21">
        <v>0</v>
      </c>
      <c r="NJ4" s="21">
        <v>0</v>
      </c>
      <c r="NK4" s="21">
        <v>2</v>
      </c>
      <c r="NL4" s="21">
        <v>0</v>
      </c>
      <c r="NM4" s="21">
        <v>0</v>
      </c>
      <c r="NN4" s="21">
        <v>0</v>
      </c>
      <c r="NO4" s="21">
        <v>0</v>
      </c>
      <c r="NP4" s="21">
        <v>0</v>
      </c>
      <c r="NQ4" s="21">
        <v>0</v>
      </c>
      <c r="NR4" s="21">
        <v>0</v>
      </c>
      <c r="NS4" s="21">
        <v>0</v>
      </c>
      <c r="NT4" s="21">
        <v>0</v>
      </c>
      <c r="NU4" s="21">
        <v>0</v>
      </c>
      <c r="NV4" s="21">
        <v>0</v>
      </c>
      <c r="NW4" s="21">
        <v>0</v>
      </c>
      <c r="NX4" s="21">
        <v>0</v>
      </c>
      <c r="NY4" s="21">
        <v>0</v>
      </c>
      <c r="OB4" s="20" t="s">
        <v>12</v>
      </c>
      <c r="OC4" s="20">
        <v>0</v>
      </c>
      <c r="OD4" s="20">
        <v>0</v>
      </c>
      <c r="OE4" s="20">
        <v>2</v>
      </c>
      <c r="OF4" s="20">
        <v>0</v>
      </c>
      <c r="OG4" s="20">
        <v>0</v>
      </c>
      <c r="OH4" s="20">
        <v>0</v>
      </c>
      <c r="OI4" s="20">
        <v>2</v>
      </c>
      <c r="OJ4" s="20">
        <v>0</v>
      </c>
      <c r="OK4" s="20">
        <v>0</v>
      </c>
      <c r="OL4" s="20">
        <v>0</v>
      </c>
      <c r="OM4" s="20">
        <v>4</v>
      </c>
      <c r="ON4" s="20">
        <v>0</v>
      </c>
      <c r="OO4" s="20">
        <v>0</v>
      </c>
      <c r="OP4" s="20">
        <v>2</v>
      </c>
      <c r="OQ4" s="20">
        <v>0</v>
      </c>
      <c r="OR4" s="20">
        <v>0</v>
      </c>
      <c r="OS4" s="20">
        <v>0</v>
      </c>
      <c r="OT4" s="20">
        <v>0</v>
      </c>
      <c r="OU4" s="20">
        <v>0</v>
      </c>
      <c r="OV4" s="20">
        <v>0</v>
      </c>
      <c r="OW4" s="20">
        <v>0</v>
      </c>
      <c r="OX4" s="20">
        <v>0</v>
      </c>
      <c r="OY4" s="20">
        <v>0</v>
      </c>
      <c r="OZ4" s="20">
        <v>0</v>
      </c>
      <c r="PA4" s="20">
        <v>0</v>
      </c>
      <c r="PB4" s="20">
        <v>0</v>
      </c>
    </row>
    <row r="5" spans="1:418" x14ac:dyDescent="0.25">
      <c r="A5" s="8"/>
      <c r="B5" s="5" t="s">
        <v>116</v>
      </c>
      <c r="C5" s="8"/>
      <c r="D5" s="6" t="s">
        <v>122</v>
      </c>
      <c r="E5" s="8" t="s">
        <v>133</v>
      </c>
      <c r="F5" s="5"/>
      <c r="G5" s="5"/>
      <c r="H5" s="5"/>
      <c r="I5" s="5"/>
      <c r="J5" s="5"/>
      <c r="K5" s="4"/>
      <c r="L5" s="6" t="str">
        <f>IF($E$10=AK22,"PAL40H40/2,2",IF($E$10=AK23,"PAL30H32/2,2",IF($E$10=AK24,"CWP40H35/2,2MC","-------")))</f>
        <v>PAL40H40/2,2</v>
      </c>
      <c r="M5" s="14">
        <f>INDEX(cennik!$A$2:$O$529,MATCH($L5,cennik!$B$2:$B$522,0),MATCH(M$2,cennik!$A$1:$O$1,0))</f>
        <v>894622</v>
      </c>
      <c r="N5" s="14" t="str">
        <f>INDEX(cennik!$A$2:$O$529,MATCH($L5,cennik!$B$2:$B$522,0),MATCH(N$2,cennik!$A$1:$O$1,0))</f>
        <v>szt.</v>
      </c>
      <c r="O5" s="14">
        <f>SUM(JL3:JL18)</f>
        <v>0</v>
      </c>
      <c r="P5" s="22">
        <f>INDEX(cennik!$A$2:$O$529,MATCH($L5,cennik!$B$2:$B$522,0),MATCH(P$2,cennik!$A$1:$O$1,0))</f>
        <v>68.2</v>
      </c>
      <c r="Q5" s="22">
        <f t="shared" si="2"/>
        <v>0</v>
      </c>
      <c r="R5" s="23">
        <f t="shared" si="3"/>
        <v>0</v>
      </c>
      <c r="S5" s="22">
        <f t="shared" si="4"/>
        <v>68.2</v>
      </c>
      <c r="T5" s="22">
        <f t="shared" si="5"/>
        <v>0</v>
      </c>
      <c r="U5" s="22">
        <f>INDEX(cennik!$A$2:$O$529,MATCH($L5,cennik!$B$2:$B$522,0),MATCH(U$2,cennik!$A$1:$O$1,0))*O5</f>
        <v>0</v>
      </c>
      <c r="V5" s="20" t="s">
        <v>841</v>
      </c>
      <c r="W5" s="20">
        <f>IF(G3=$AH$22,$AJ$22,IF(G3=$AH$23,$AJ$23,IF(G3=$AH$24,$AJ$24,IF(G3=$AH$25,$AJ$25,IF(G3=$AH$26,$AJ$26,IF(G3=$AH$27,$AJ$27,IF(G3=$AH$28,$AJ$28,IF(G3=$AH$29,$AJ$29,0))))))))</f>
        <v>1150</v>
      </c>
      <c r="X5" s="25">
        <f>(IF($E$5=$AB$1,(IF(A5=0,0,IF(A5&gt;0,IF((((INT(((A5*$W$5)+((A5-1)*20)+80)/$E$4))-1)*$E$4)+500&gt;=((A5*$W$5)+((A5-1)*20)+80),(INT(((A5*$W$5)+((A5-1)*20)+80)/$E$4))*2,((INT(((A5*$W$5)+((A5-1)*20)+80)/$E$4))+1)*2)))),IF($E$5=$AB$2,(IF(A5=0,0,IF(A5&gt;0,IF((((INT(((A5*$W$6)+((A5-1)*20)+80)/$E$4))-1)*$E$4)+500&gt;=((A5*$W$6)+((A5-1)*20)+80),(INT(((A5*$W$6)+((A5-1)*20)+80)/$E$4))*2,((INT(((A5*$W$6)+((A5-1)*20)+80)/$E$4))+1)*2)))))))</f>
        <v>0</v>
      </c>
      <c r="Y5" s="20"/>
      <c r="Z5" s="20"/>
      <c r="AA5" s="20"/>
      <c r="AB5" s="26">
        <v>30</v>
      </c>
      <c r="AC5" s="356" t="s">
        <v>475</v>
      </c>
      <c r="AD5" s="356" t="s">
        <v>476</v>
      </c>
      <c r="AE5" s="356" t="s">
        <v>477</v>
      </c>
      <c r="AF5" s="20" t="s">
        <v>14</v>
      </c>
      <c r="AG5" s="356">
        <v>30</v>
      </c>
      <c r="AH5" s="356" t="s">
        <v>506</v>
      </c>
      <c r="AI5" s="356" t="s">
        <v>506</v>
      </c>
      <c r="AJ5" s="357" t="s">
        <v>151</v>
      </c>
      <c r="AK5" s="357" t="s">
        <v>151</v>
      </c>
      <c r="AL5" s="20">
        <f>IF(X5=2,X5+2*C5,X5*C5)</f>
        <v>0</v>
      </c>
      <c r="AM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4,$BB$2:$CA$2,0),MATCH($W$2,$AH$22:$AH$47,0)))*C4</f>
        <v>0</v>
      </c>
      <c r="AN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4,$BB$2:$CA$2,0),MATCH($W$2,$AH$22:$AH$47,0)))*C4</f>
        <v>0</v>
      </c>
      <c r="AO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4,$BB$2:$CA$2,0),MATCH($W$2,$AH$22:$AH$47,0)))*C4</f>
        <v>0</v>
      </c>
      <c r="AP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4,$BB$2:$CA$2,0),MATCH($W$2,$AH$22:$AH$47,0)))*C4</f>
        <v>0</v>
      </c>
      <c r="AQ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4,$BB$2:$CA$2,0),MATCH($W$2,$AH$22:$AH$47,0)))*C4</f>
        <v>0</v>
      </c>
      <c r="AR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4,$BB$2:$CA$2,0),MATCH($W$2,$AH$22:$AH$47,0)))*C4</f>
        <v>0</v>
      </c>
      <c r="AS5" s="20"/>
      <c r="AZ5" s="20"/>
      <c r="BA5" s="20" t="s">
        <v>127</v>
      </c>
      <c r="BB5" s="20">
        <v>0</v>
      </c>
      <c r="BC5" s="20">
        <v>0</v>
      </c>
      <c r="BD5" s="20">
        <v>0</v>
      </c>
      <c r="BE5" s="20">
        <v>0</v>
      </c>
      <c r="BF5" s="20">
        <v>0</v>
      </c>
      <c r="BG5" s="20">
        <v>0</v>
      </c>
      <c r="BH5" s="20">
        <v>0</v>
      </c>
      <c r="BI5" s="20">
        <v>0</v>
      </c>
      <c r="BJ5" s="20">
        <v>0</v>
      </c>
      <c r="BK5" s="20">
        <v>0</v>
      </c>
      <c r="BL5" s="20">
        <v>0</v>
      </c>
      <c r="BM5" s="20">
        <v>0</v>
      </c>
      <c r="BN5" s="20">
        <v>0</v>
      </c>
      <c r="BO5" s="20">
        <v>0</v>
      </c>
      <c r="BP5" s="20">
        <v>0</v>
      </c>
      <c r="BQ5" s="20">
        <v>2</v>
      </c>
      <c r="BR5" s="20">
        <v>0</v>
      </c>
      <c r="BS5" s="20">
        <v>4</v>
      </c>
      <c r="BT5" s="20">
        <v>0</v>
      </c>
      <c r="BU5" s="20">
        <v>0</v>
      </c>
      <c r="BV5" s="20">
        <v>2</v>
      </c>
      <c r="BW5" s="20">
        <v>2</v>
      </c>
      <c r="BX5" s="20">
        <v>0</v>
      </c>
      <c r="BY5" s="20">
        <v>4</v>
      </c>
      <c r="BZ5" s="20">
        <v>4</v>
      </c>
      <c r="CA5" s="20">
        <v>0</v>
      </c>
      <c r="CB5" s="20">
        <v>4</v>
      </c>
      <c r="CC5" s="20">
        <v>2</v>
      </c>
      <c r="CD5" s="20">
        <v>0</v>
      </c>
      <c r="CE5" s="20">
        <v>0</v>
      </c>
      <c r="CF5" s="20">
        <v>0</v>
      </c>
      <c r="CG5" s="20">
        <v>0</v>
      </c>
      <c r="CH5" s="20">
        <v>0</v>
      </c>
      <c r="CI5" s="20">
        <v>0</v>
      </c>
      <c r="CJ5" s="20">
        <v>0</v>
      </c>
      <c r="CK5" s="20">
        <v>0</v>
      </c>
      <c r="CL5" s="20">
        <v>4</v>
      </c>
      <c r="CM5" s="20">
        <v>2</v>
      </c>
      <c r="CN5" s="20">
        <v>0</v>
      </c>
      <c r="CO5" s="20">
        <v>4</v>
      </c>
      <c r="CP5" s="20">
        <v>0</v>
      </c>
      <c r="CQ5" s="20">
        <v>0</v>
      </c>
      <c r="CR5" s="20">
        <v>0</v>
      </c>
      <c r="CS5" s="20">
        <v>2</v>
      </c>
      <c r="CT5" s="20">
        <v>0</v>
      </c>
      <c r="CU5" s="20">
        <v>0</v>
      </c>
      <c r="CV5" s="20">
        <v>4</v>
      </c>
      <c r="CW5" s="20">
        <v>0</v>
      </c>
      <c r="CX5" s="20">
        <v>0</v>
      </c>
      <c r="CY5" s="20">
        <v>0</v>
      </c>
      <c r="CZ5" s="20">
        <v>2</v>
      </c>
      <c r="DA5" s="54"/>
      <c r="DB5" s="54">
        <v>4</v>
      </c>
      <c r="DC5" s="54"/>
      <c r="DD5" s="20" t="s">
        <v>518</v>
      </c>
      <c r="DE5" s="20">
        <v>0</v>
      </c>
      <c r="DF5" s="20">
        <v>2</v>
      </c>
      <c r="DG5" s="20">
        <v>2</v>
      </c>
      <c r="DH5" s="20">
        <v>0</v>
      </c>
      <c r="DI5" s="20">
        <v>4</v>
      </c>
      <c r="DJ5" s="20">
        <v>2</v>
      </c>
      <c r="DK5" s="20">
        <v>0</v>
      </c>
      <c r="DL5" s="20">
        <v>4</v>
      </c>
      <c r="DM5" s="20">
        <v>2</v>
      </c>
      <c r="DN5" s="20">
        <v>0</v>
      </c>
      <c r="DO5" s="20">
        <v>4</v>
      </c>
      <c r="DP5" s="20">
        <v>2</v>
      </c>
      <c r="DQ5" s="20">
        <v>0</v>
      </c>
      <c r="DR5" s="20">
        <v>4</v>
      </c>
      <c r="DS5" s="20">
        <v>2</v>
      </c>
      <c r="DT5" s="20">
        <v>2</v>
      </c>
      <c r="DU5" s="20">
        <v>0</v>
      </c>
      <c r="DV5" s="20">
        <v>4</v>
      </c>
      <c r="DW5" s="20">
        <v>2</v>
      </c>
      <c r="DX5" s="20">
        <v>0</v>
      </c>
      <c r="DY5" s="20">
        <v>4</v>
      </c>
      <c r="DZ5" s="20"/>
      <c r="EA5" s="20"/>
      <c r="EB5" s="20" t="s">
        <v>127</v>
      </c>
      <c r="EC5" s="20">
        <v>0</v>
      </c>
      <c r="ED5" s="20">
        <v>0</v>
      </c>
      <c r="EE5" s="20">
        <v>0</v>
      </c>
      <c r="EF5" s="20">
        <v>0</v>
      </c>
      <c r="EG5" s="20">
        <v>0</v>
      </c>
      <c r="EH5" s="20">
        <v>2</v>
      </c>
      <c r="EI5" s="20">
        <v>0</v>
      </c>
      <c r="EJ5" s="20">
        <v>0</v>
      </c>
      <c r="EK5" s="20">
        <v>0</v>
      </c>
      <c r="EL5" s="20">
        <v>0</v>
      </c>
      <c r="EM5" s="20">
        <v>0</v>
      </c>
      <c r="EN5" s="20">
        <v>0</v>
      </c>
      <c r="EO5" s="20">
        <v>0</v>
      </c>
      <c r="EP5" s="20">
        <v>0</v>
      </c>
      <c r="EQ5" s="20">
        <v>2</v>
      </c>
      <c r="ER5" s="20">
        <v>0</v>
      </c>
      <c r="ES5" s="20">
        <v>4</v>
      </c>
      <c r="ET5" s="20">
        <v>2</v>
      </c>
      <c r="EU5" s="20">
        <v>2</v>
      </c>
      <c r="EV5" s="20">
        <v>0</v>
      </c>
      <c r="EW5" s="20">
        <v>2</v>
      </c>
      <c r="EX5" s="20">
        <v>0</v>
      </c>
      <c r="EY5" s="20">
        <v>4</v>
      </c>
      <c r="EZ5" s="20">
        <v>0</v>
      </c>
      <c r="FA5" s="20">
        <v>0</v>
      </c>
      <c r="FB5" s="20">
        <v>0</v>
      </c>
      <c r="FC5" s="20">
        <v>2</v>
      </c>
      <c r="FD5" s="20">
        <v>0</v>
      </c>
      <c r="FE5" s="20">
        <v>0</v>
      </c>
      <c r="FF5" s="20">
        <v>0</v>
      </c>
      <c r="FG5" s="20">
        <v>2</v>
      </c>
      <c r="FH5" s="20">
        <v>0</v>
      </c>
      <c r="FI5" s="20">
        <v>0</v>
      </c>
      <c r="FJ5" s="20">
        <v>0</v>
      </c>
      <c r="FK5" s="20">
        <v>2</v>
      </c>
      <c r="FL5" s="20">
        <v>0</v>
      </c>
      <c r="FM5" s="20">
        <v>0</v>
      </c>
      <c r="FN5" s="20">
        <v>0</v>
      </c>
      <c r="FO5" s="20">
        <v>2</v>
      </c>
      <c r="FP5" s="20">
        <v>0</v>
      </c>
      <c r="FQ5" s="20">
        <v>0</v>
      </c>
      <c r="FR5" s="20">
        <v>0</v>
      </c>
      <c r="FS5" s="20">
        <v>0</v>
      </c>
      <c r="FT5" s="20">
        <v>0</v>
      </c>
      <c r="FU5" s="20">
        <v>0</v>
      </c>
      <c r="FV5" s="20">
        <v>0</v>
      </c>
      <c r="FW5" s="20">
        <v>2</v>
      </c>
      <c r="FX5" s="20">
        <v>0</v>
      </c>
      <c r="FY5" s="20">
        <v>0</v>
      </c>
      <c r="FZ5" s="20">
        <v>0</v>
      </c>
      <c r="GA5" s="20">
        <v>2</v>
      </c>
      <c r="GC5" s="20"/>
      <c r="GD5" s="20"/>
      <c r="GE5" s="20" t="s">
        <v>127</v>
      </c>
      <c r="GF5" s="20">
        <v>0</v>
      </c>
      <c r="GG5" s="20">
        <v>0</v>
      </c>
      <c r="GH5" s="20">
        <v>0</v>
      </c>
      <c r="GI5" s="20">
        <v>0</v>
      </c>
      <c r="GJ5" s="20">
        <v>0</v>
      </c>
      <c r="GK5" s="20">
        <v>0</v>
      </c>
      <c r="GL5" s="20">
        <v>2</v>
      </c>
      <c r="GM5" s="20">
        <v>0</v>
      </c>
      <c r="GN5" s="20">
        <v>0</v>
      </c>
      <c r="GO5" s="20">
        <v>2</v>
      </c>
      <c r="GP5" s="20">
        <v>0</v>
      </c>
      <c r="GQ5" s="20">
        <v>2</v>
      </c>
      <c r="GR5" s="20">
        <v>0</v>
      </c>
      <c r="GS5" s="20">
        <v>0</v>
      </c>
      <c r="GT5" s="20">
        <v>4</v>
      </c>
      <c r="GU5" s="20">
        <v>0</v>
      </c>
      <c r="GV5" s="20">
        <v>0</v>
      </c>
      <c r="GW5" s="20">
        <v>0</v>
      </c>
      <c r="GX5" s="20">
        <v>0</v>
      </c>
      <c r="GY5" s="20">
        <v>2</v>
      </c>
      <c r="GZ5" s="20">
        <v>0</v>
      </c>
      <c r="HA5" s="20">
        <v>2</v>
      </c>
      <c r="HB5" s="20">
        <v>0</v>
      </c>
      <c r="HC5" s="20">
        <v>2</v>
      </c>
      <c r="HD5" s="20">
        <v>0</v>
      </c>
      <c r="HE5" s="20">
        <v>0</v>
      </c>
      <c r="HF5" s="20">
        <v>0</v>
      </c>
      <c r="HG5" s="20">
        <v>0</v>
      </c>
      <c r="HH5" s="20">
        <v>0</v>
      </c>
      <c r="HI5" s="20">
        <v>0</v>
      </c>
      <c r="HJ5" s="20">
        <v>0</v>
      </c>
      <c r="HK5" s="20">
        <v>0</v>
      </c>
      <c r="HL5" s="20">
        <v>0</v>
      </c>
      <c r="HM5" s="20">
        <v>0</v>
      </c>
      <c r="HN5" s="20">
        <v>0</v>
      </c>
      <c r="HO5" s="20">
        <v>2</v>
      </c>
      <c r="HP5" s="20">
        <v>0</v>
      </c>
      <c r="HQ5" s="20">
        <v>0</v>
      </c>
      <c r="HR5" s="20">
        <v>2</v>
      </c>
      <c r="HS5" s="20">
        <v>0</v>
      </c>
      <c r="HT5" s="20">
        <v>0</v>
      </c>
      <c r="HU5" s="20">
        <v>0</v>
      </c>
      <c r="HV5" s="20">
        <v>0</v>
      </c>
      <c r="HW5" s="20">
        <v>0</v>
      </c>
      <c r="HX5" s="20">
        <v>0</v>
      </c>
      <c r="HY5" s="20">
        <v>0</v>
      </c>
      <c r="HZ5" s="20">
        <v>0</v>
      </c>
      <c r="IA5" s="20">
        <v>0</v>
      </c>
      <c r="IB5" s="20">
        <v>0</v>
      </c>
      <c r="IC5" s="20">
        <v>0</v>
      </c>
      <c r="ID5" s="20">
        <v>2</v>
      </c>
      <c r="IF5" s="21" t="s">
        <v>127</v>
      </c>
      <c r="IG5" s="21">
        <v>0</v>
      </c>
      <c r="IH5" s="21">
        <v>0</v>
      </c>
      <c r="II5" s="21">
        <v>0</v>
      </c>
      <c r="IJ5" s="21">
        <v>0</v>
      </c>
      <c r="IK5" s="21">
        <v>0</v>
      </c>
      <c r="IL5" s="21">
        <v>0</v>
      </c>
      <c r="IM5" s="21">
        <v>4</v>
      </c>
      <c r="IN5" s="21">
        <v>0</v>
      </c>
      <c r="IO5" s="21">
        <v>0</v>
      </c>
      <c r="IP5" s="21">
        <v>0</v>
      </c>
      <c r="IQ5" s="21">
        <v>0</v>
      </c>
      <c r="IR5" s="21">
        <v>0</v>
      </c>
      <c r="IS5" s="21">
        <v>0</v>
      </c>
      <c r="IT5" s="21">
        <v>2</v>
      </c>
      <c r="IU5" s="21">
        <v>2</v>
      </c>
      <c r="IV5" s="21">
        <v>0</v>
      </c>
      <c r="IW5" s="21">
        <v>2</v>
      </c>
      <c r="IX5" s="21">
        <v>0</v>
      </c>
      <c r="IY5" s="21">
        <v>0</v>
      </c>
      <c r="IZ5" s="21">
        <v>0</v>
      </c>
      <c r="JA5" s="21">
        <v>0</v>
      </c>
      <c r="JB5" s="21">
        <v>4</v>
      </c>
      <c r="JC5" s="21">
        <v>0</v>
      </c>
      <c r="JD5" s="21">
        <v>0</v>
      </c>
      <c r="JE5" s="21">
        <v>0</v>
      </c>
      <c r="JF5" s="21">
        <v>0</v>
      </c>
      <c r="JI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4,$JT$2:$KS$2,0),MATCH($W$2,$AH$22:$AH$47,0)))*C4</f>
        <v>0</v>
      </c>
      <c r="JJ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4,$JT$2:$KS$2,0),MATCH($W$2,$AH$22:$AH$47,0)))*C4</f>
        <v>0</v>
      </c>
      <c r="JK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4,$JT$2:$KS$2,0),MATCH($W$2,$AH$22:$AH$47,0)))*C4</f>
        <v>0</v>
      </c>
      <c r="JL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4,$JT$2:$KS$2,0),MATCH($W$2,$AH$22:$AH$47,0)))*C4</f>
        <v>0</v>
      </c>
      <c r="JM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4,$JT$2:$KS$2,0),MATCH($W$2,$AH$22:$AH$47,0)))*C4</f>
        <v>0</v>
      </c>
      <c r="JN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4,$JT$2:$KS$2,0),MATCH($W$2,$AH$22:$AH$47,0)))*C4</f>
        <v>0</v>
      </c>
      <c r="JO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4,$JT$2:$KS$2,0),MATCH($W$2,$AH$22:$AH$47,0)))*C4</f>
        <v>0</v>
      </c>
      <c r="JP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4,$JT$2:$KS$2,0),MATCH($W$2,$AH$22:$AH$47,0)))*C4</f>
        <v>0</v>
      </c>
      <c r="JQ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4,$JT$2:$KS$2,0),MATCH($W$2,$AH$22:$AH$47,0)))*C4</f>
        <v>0</v>
      </c>
      <c r="JS5" s="20" t="s">
        <v>127</v>
      </c>
      <c r="JT5" s="20">
        <v>0</v>
      </c>
      <c r="JU5" s="20">
        <v>0</v>
      </c>
      <c r="JV5" s="20">
        <v>0</v>
      </c>
      <c r="JW5" s="20">
        <v>0</v>
      </c>
      <c r="JX5" s="20">
        <v>0</v>
      </c>
      <c r="JY5" s="20">
        <v>0</v>
      </c>
      <c r="JZ5" s="20">
        <v>0</v>
      </c>
      <c r="KA5" s="20">
        <v>0</v>
      </c>
      <c r="KB5" s="20">
        <v>0</v>
      </c>
      <c r="KC5" s="20">
        <v>0</v>
      </c>
      <c r="KD5" s="20">
        <v>0</v>
      </c>
      <c r="KE5" s="20">
        <v>0</v>
      </c>
      <c r="KF5" s="20">
        <v>0</v>
      </c>
      <c r="KG5" s="20">
        <v>0</v>
      </c>
      <c r="KH5" s="20">
        <v>0</v>
      </c>
      <c r="KI5" s="20">
        <v>2</v>
      </c>
      <c r="KJ5" s="20">
        <v>0</v>
      </c>
      <c r="KK5" s="20">
        <v>0</v>
      </c>
      <c r="KL5" s="20">
        <v>0</v>
      </c>
      <c r="KM5" s="20">
        <v>2</v>
      </c>
      <c r="KN5" s="20">
        <v>0</v>
      </c>
      <c r="KO5" s="20">
        <v>0</v>
      </c>
      <c r="KP5" s="20">
        <v>0</v>
      </c>
      <c r="KQ5" s="20">
        <v>0</v>
      </c>
      <c r="KR5" s="20">
        <v>0</v>
      </c>
      <c r="KS5" s="20">
        <v>0</v>
      </c>
      <c r="KU5" s="20" t="s">
        <v>127</v>
      </c>
      <c r="KV5" s="20">
        <v>0</v>
      </c>
      <c r="KW5" s="20">
        <v>0</v>
      </c>
      <c r="KX5" s="20">
        <v>0</v>
      </c>
      <c r="KY5" s="20">
        <v>0</v>
      </c>
      <c r="KZ5" s="20">
        <v>0</v>
      </c>
      <c r="LA5" s="20">
        <v>2</v>
      </c>
      <c r="LB5" s="20">
        <v>0</v>
      </c>
      <c r="LC5" s="20">
        <v>0</v>
      </c>
      <c r="LD5" s="20">
        <v>0</v>
      </c>
      <c r="LE5" s="20">
        <v>4</v>
      </c>
      <c r="LF5" s="20">
        <v>0</v>
      </c>
      <c r="LG5" s="20">
        <v>0</v>
      </c>
      <c r="LH5" s="20">
        <v>0</v>
      </c>
      <c r="LI5" s="20">
        <v>0</v>
      </c>
      <c r="LJ5" s="20">
        <v>2</v>
      </c>
      <c r="LK5" s="20">
        <v>0</v>
      </c>
      <c r="LL5" s="20">
        <v>0</v>
      </c>
      <c r="LM5" s="20">
        <v>0</v>
      </c>
      <c r="LN5" s="20">
        <v>2</v>
      </c>
      <c r="LO5" s="20">
        <v>0</v>
      </c>
      <c r="LP5" s="20">
        <v>2</v>
      </c>
      <c r="LQ5" s="20">
        <v>0</v>
      </c>
      <c r="LR5" s="20">
        <v>4</v>
      </c>
      <c r="LS5" s="20">
        <v>0</v>
      </c>
      <c r="LT5" s="20">
        <v>0</v>
      </c>
      <c r="LU5" s="20">
        <v>0</v>
      </c>
      <c r="LW5" s="20" t="s">
        <v>127</v>
      </c>
      <c r="LX5" s="20">
        <v>0</v>
      </c>
      <c r="LY5" s="20">
        <v>0</v>
      </c>
      <c r="LZ5" s="20">
        <v>0</v>
      </c>
      <c r="MA5" s="20">
        <v>0</v>
      </c>
      <c r="MB5" s="20">
        <v>0</v>
      </c>
      <c r="MC5" s="20">
        <v>0</v>
      </c>
      <c r="MD5" s="20">
        <v>4</v>
      </c>
      <c r="ME5" s="20">
        <v>0</v>
      </c>
      <c r="MF5" s="20">
        <v>2</v>
      </c>
      <c r="MG5" s="20">
        <v>0</v>
      </c>
      <c r="MH5" s="20">
        <v>2</v>
      </c>
      <c r="MI5" s="20">
        <v>0</v>
      </c>
      <c r="MJ5" s="20">
        <v>0</v>
      </c>
      <c r="MK5" s="20">
        <v>0</v>
      </c>
      <c r="ML5" s="20">
        <v>2</v>
      </c>
      <c r="MM5" s="20">
        <v>0</v>
      </c>
      <c r="MN5" s="20">
        <v>2</v>
      </c>
      <c r="MO5" s="20">
        <v>0</v>
      </c>
      <c r="MP5" s="20">
        <v>0</v>
      </c>
      <c r="MQ5" s="20">
        <v>0</v>
      </c>
      <c r="MR5" s="20">
        <v>0</v>
      </c>
      <c r="MS5" s="20">
        <v>2</v>
      </c>
      <c r="MT5" s="20">
        <v>0</v>
      </c>
      <c r="MU5" s="20">
        <v>2</v>
      </c>
      <c r="MV5" s="20">
        <v>0</v>
      </c>
      <c r="MW5" s="20">
        <v>2</v>
      </c>
      <c r="MY5" s="21" t="s">
        <v>127</v>
      </c>
      <c r="MZ5" s="21">
        <v>0</v>
      </c>
      <c r="NA5" s="21">
        <v>0</v>
      </c>
      <c r="NB5" s="21">
        <v>0</v>
      </c>
      <c r="NC5" s="21">
        <v>0</v>
      </c>
      <c r="ND5" s="21">
        <v>0</v>
      </c>
      <c r="NE5" s="21">
        <v>0</v>
      </c>
      <c r="NF5" s="21">
        <v>0</v>
      </c>
      <c r="NG5" s="21">
        <v>0</v>
      </c>
      <c r="NH5" s="21">
        <v>0</v>
      </c>
      <c r="NI5" s="21">
        <v>0</v>
      </c>
      <c r="NJ5" s="21">
        <v>0</v>
      </c>
      <c r="NK5" s="21">
        <v>0</v>
      </c>
      <c r="NL5" s="21">
        <v>0</v>
      </c>
      <c r="NM5" s="21">
        <v>2</v>
      </c>
      <c r="NN5" s="21">
        <v>2</v>
      </c>
      <c r="NO5" s="21">
        <v>0</v>
      </c>
      <c r="NP5" s="21">
        <v>2</v>
      </c>
      <c r="NQ5" s="21">
        <v>0</v>
      </c>
      <c r="NR5" s="21">
        <v>0</v>
      </c>
      <c r="NS5" s="21">
        <v>2</v>
      </c>
      <c r="NT5" s="21">
        <v>2</v>
      </c>
      <c r="NU5" s="21">
        <v>0</v>
      </c>
      <c r="NV5" s="21">
        <v>0</v>
      </c>
      <c r="NW5" s="21">
        <v>2</v>
      </c>
      <c r="NX5" s="21">
        <v>0</v>
      </c>
      <c r="NY5" s="21">
        <v>2</v>
      </c>
      <c r="OB5" s="20" t="s">
        <v>127</v>
      </c>
      <c r="OC5" s="20">
        <v>0</v>
      </c>
      <c r="OD5" s="20">
        <v>0</v>
      </c>
      <c r="OE5" s="20">
        <v>0</v>
      </c>
      <c r="OF5" s="20">
        <v>4</v>
      </c>
      <c r="OG5" s="20">
        <v>0</v>
      </c>
      <c r="OH5" s="20">
        <v>2</v>
      </c>
      <c r="OI5" s="20">
        <v>0</v>
      </c>
      <c r="OJ5" s="20">
        <v>0</v>
      </c>
      <c r="OK5" s="20">
        <v>0</v>
      </c>
      <c r="OL5" s="20">
        <v>2</v>
      </c>
      <c r="OM5" s="20">
        <v>0</v>
      </c>
      <c r="ON5" s="20">
        <v>0</v>
      </c>
      <c r="OO5" s="20">
        <v>0</v>
      </c>
      <c r="OP5" s="20">
        <v>2</v>
      </c>
      <c r="OQ5" s="20">
        <v>0</v>
      </c>
      <c r="OR5" s="20">
        <v>2</v>
      </c>
      <c r="OS5" s="20">
        <v>2</v>
      </c>
      <c r="OT5" s="20">
        <v>0</v>
      </c>
      <c r="OU5" s="20">
        <v>0</v>
      </c>
      <c r="OV5" s="20">
        <v>2</v>
      </c>
      <c r="OW5" s="20">
        <v>4</v>
      </c>
      <c r="OX5" s="20">
        <v>0</v>
      </c>
      <c r="OY5" s="20">
        <v>0</v>
      </c>
      <c r="OZ5" s="20">
        <v>2</v>
      </c>
      <c r="PA5" s="20">
        <v>0</v>
      </c>
      <c r="PB5" s="20">
        <v>0</v>
      </c>
    </row>
    <row r="6" spans="1:418" x14ac:dyDescent="0.25">
      <c r="A6" s="8"/>
      <c r="B6" s="5" t="s">
        <v>116</v>
      </c>
      <c r="C6" s="8"/>
      <c r="D6" s="6" t="s">
        <v>129</v>
      </c>
      <c r="E6" s="8" t="s">
        <v>130</v>
      </c>
      <c r="F6" s="63" t="str">
        <f>IF(E10="40x35 stal","niekompatybilne z profilem stalowym","")</f>
        <v/>
      </c>
      <c r="G6" s="5"/>
      <c r="H6" s="5"/>
      <c r="I6" s="5"/>
      <c r="J6" s="5"/>
      <c r="K6" s="4"/>
      <c r="L6" s="6" t="str">
        <f>IF($E$10=AK22,"PAL40H40/2,4",IF($E$10=AK23,"-------",IF($E$10=AK24,"-------","-------")))</f>
        <v>PAL40H40/2,4</v>
      </c>
      <c r="M6" s="14">
        <f>INDEX(cennik!$A$2:$O$529,MATCH($L6,cennik!$B$2:$B$522,0),MATCH(M$2,cennik!$A$1:$O$1,0))</f>
        <v>894624</v>
      </c>
      <c r="N6" s="14" t="str">
        <f>INDEX(cennik!$A$2:$O$529,MATCH($L6,cennik!$B$2:$B$522,0),MATCH(N$2,cennik!$A$1:$O$1,0))</f>
        <v>szt.</v>
      </c>
      <c r="O6" s="14">
        <f>IF(L6="-------",0,SUM(JM3:JM18))</f>
        <v>0</v>
      </c>
      <c r="P6" s="22">
        <f>INDEX(cennik!$A$2:$O$529,MATCH($L6,cennik!$B$2:$B$522,0),MATCH(P$2,cennik!$A$1:$O$1,0))</f>
        <v>74.400000000000006</v>
      </c>
      <c r="Q6" s="22">
        <f t="shared" ref="Q6" si="6">O6*P6</f>
        <v>0</v>
      </c>
      <c r="R6" s="23">
        <f>$E$9</f>
        <v>0</v>
      </c>
      <c r="S6" s="22">
        <f t="shared" ref="S6" si="7">P6*((100-$E$9)/100)</f>
        <v>74.400000000000006</v>
      </c>
      <c r="T6" s="22">
        <f t="shared" ref="T6" si="8">O6*S6</f>
        <v>0</v>
      </c>
      <c r="U6" s="22">
        <f>INDEX(cennik!$A$2:$O$529,MATCH($L6,cennik!$B$2:$B$522,0),MATCH(U$2,cennik!$A$1:$O$1,0))*O6</f>
        <v>0</v>
      </c>
      <c r="V6" s="20" t="s">
        <v>842</v>
      </c>
      <c r="W6" s="20">
        <f>IF(E3=$AH$30,$AJ$30,IF(E3=$AH$31,$AJ$31,IF(E3=$AH$32,$AJ$32,IF(E3=$AH$33,$AJ$33,IF(E3=$AH$34,$AJ$34,IF(E3=$AH$35,$AJ$35,IF(E3=$AH$36,$AJ$36,IF(E3=$AH$37,$AJ$37,IF(E3=$AH$38,$AJ$38,IF(E3=$AH$39,$AJ$39,IF(E3=$AH$40,$AJ$40,IF(E3=$AH$41,$AJ$41,IF(E3=$AH$42,$AJ$42,IF(E3=$AH$43,$AJ$43,IF(E3=$AH$44,$AJ$44,IF(E3=$AH$45,$AJ$45,IF(E3=$AH$46,$AJ$46,IF(E3=$AH$47,$AJ$47,0))))))))))))))))))</f>
        <v>2300</v>
      </c>
      <c r="X6" s="25">
        <f t="shared" si="0"/>
        <v>0</v>
      </c>
      <c r="Y6" s="20"/>
      <c r="Z6" s="20"/>
      <c r="AA6" s="20"/>
      <c r="AB6" s="26">
        <v>32</v>
      </c>
      <c r="AC6" s="356" t="s">
        <v>26</v>
      </c>
      <c r="AD6" s="356" t="s">
        <v>27</v>
      </c>
      <c r="AE6" s="356" t="s">
        <v>110</v>
      </c>
      <c r="AF6" s="20" t="s">
        <v>14</v>
      </c>
      <c r="AG6" s="20">
        <v>32</v>
      </c>
      <c r="AH6" s="356" t="s">
        <v>38</v>
      </c>
      <c r="AI6" s="356" t="s">
        <v>39</v>
      </c>
      <c r="AJ6" s="357" t="s">
        <v>151</v>
      </c>
      <c r="AK6" s="357" t="s">
        <v>151</v>
      </c>
      <c r="AL6" s="20">
        <f t="shared" si="1"/>
        <v>0</v>
      </c>
      <c r="AM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5,$BB$2:$CA$2,0),MATCH($W$2,$AH$22:$AH$47,0)))*C5</f>
        <v>0</v>
      </c>
      <c r="AN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5,$BB$2:$CA$2,0),MATCH($W$2,$AH$22:$AH$47,0)))*C5</f>
        <v>0</v>
      </c>
      <c r="AO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5,$BB$2:$CA$2,0),MATCH($W$2,$AH$22:$AH$47,0)))*C5</f>
        <v>0</v>
      </c>
      <c r="AP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5,$BB$2:$CA$2,0),MATCH($W$2,$AH$22:$AH$47,0)))*C5</f>
        <v>0</v>
      </c>
      <c r="AQ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5,$BB$2:$CA$2,0),MATCH($W$2,$AH$22:$AH$47,0)))*C5</f>
        <v>0</v>
      </c>
      <c r="AR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5,$BB$2:$CA$2,0),MATCH($W$2,$AH$22:$AH$47,0)))*C5</f>
        <v>0</v>
      </c>
      <c r="AS6" s="20"/>
      <c r="AZ6" s="20"/>
      <c r="BA6" s="20" t="s">
        <v>15</v>
      </c>
      <c r="BB6" s="20">
        <v>0</v>
      </c>
      <c r="BC6" s="20">
        <v>0</v>
      </c>
      <c r="BD6" s="20">
        <v>0</v>
      </c>
      <c r="BE6" s="20">
        <v>2</v>
      </c>
      <c r="BF6" s="20">
        <v>0</v>
      </c>
      <c r="BG6" s="20">
        <v>2</v>
      </c>
      <c r="BH6" s="20">
        <v>4</v>
      </c>
      <c r="BI6" s="20">
        <v>2</v>
      </c>
      <c r="BJ6" s="20">
        <v>4</v>
      </c>
      <c r="BK6" s="20">
        <v>6</v>
      </c>
      <c r="BL6" s="20">
        <v>4</v>
      </c>
      <c r="BM6" s="20">
        <v>6</v>
      </c>
      <c r="BN6" s="20">
        <v>8</v>
      </c>
      <c r="BO6" s="20">
        <v>6</v>
      </c>
      <c r="BP6" s="20">
        <v>8</v>
      </c>
      <c r="BQ6" s="20">
        <v>0</v>
      </c>
      <c r="BR6" s="20">
        <v>0</v>
      </c>
      <c r="BS6" s="20">
        <v>0</v>
      </c>
      <c r="BT6" s="20">
        <v>0</v>
      </c>
      <c r="BU6" s="20">
        <v>2</v>
      </c>
      <c r="BV6" s="20">
        <v>2</v>
      </c>
      <c r="BW6" s="20">
        <v>4</v>
      </c>
      <c r="BX6" s="20">
        <v>6</v>
      </c>
      <c r="BY6" s="20">
        <v>6</v>
      </c>
      <c r="BZ6" s="20">
        <v>6</v>
      </c>
      <c r="CA6" s="20">
        <v>8</v>
      </c>
      <c r="CB6" s="20">
        <v>12</v>
      </c>
      <c r="CC6" s="20">
        <v>10</v>
      </c>
      <c r="CD6" s="20">
        <v>12</v>
      </c>
      <c r="CE6" s="20">
        <v>0</v>
      </c>
      <c r="CF6" s="20">
        <v>12</v>
      </c>
      <c r="CG6" s="20">
        <v>14</v>
      </c>
      <c r="CH6" s="20">
        <v>0</v>
      </c>
      <c r="CI6" s="20">
        <v>14</v>
      </c>
      <c r="CJ6" s="20">
        <v>16</v>
      </c>
      <c r="CK6" s="20">
        <v>4</v>
      </c>
      <c r="CL6" s="20">
        <v>8</v>
      </c>
      <c r="CM6" s="20">
        <v>4</v>
      </c>
      <c r="CN6" s="20">
        <v>6</v>
      </c>
      <c r="CO6" s="20">
        <v>6</v>
      </c>
      <c r="CP6" s="20">
        <v>22</v>
      </c>
      <c r="CQ6" s="20">
        <v>8</v>
      </c>
      <c r="CR6" s="20">
        <v>22</v>
      </c>
      <c r="CS6" s="20">
        <v>10</v>
      </c>
      <c r="CT6" s="20">
        <v>12</v>
      </c>
      <c r="CU6" s="20">
        <v>0</v>
      </c>
      <c r="CV6" s="20">
        <v>4</v>
      </c>
      <c r="CW6" s="20">
        <v>14</v>
      </c>
      <c r="CX6" s="20">
        <v>0</v>
      </c>
      <c r="CY6" s="20">
        <v>30</v>
      </c>
      <c r="CZ6" s="20">
        <v>2</v>
      </c>
      <c r="DA6" s="54"/>
      <c r="DB6" s="54">
        <v>5</v>
      </c>
      <c r="DC6" s="54"/>
      <c r="DD6" s="20" t="s">
        <v>520</v>
      </c>
      <c r="DE6" s="20">
        <v>0</v>
      </c>
      <c r="DF6" s="20">
        <v>0</v>
      </c>
      <c r="DG6" s="20">
        <v>0</v>
      </c>
      <c r="DH6" s="20">
        <v>2</v>
      </c>
      <c r="DI6" s="20">
        <v>0</v>
      </c>
      <c r="DJ6" s="20">
        <v>2</v>
      </c>
      <c r="DK6" s="20">
        <v>4</v>
      </c>
      <c r="DL6" s="20">
        <v>2</v>
      </c>
      <c r="DM6" s="20">
        <v>4</v>
      </c>
      <c r="DN6" s="20">
        <v>6</v>
      </c>
      <c r="DO6" s="20">
        <v>4</v>
      </c>
      <c r="DP6" s="20">
        <v>6</v>
      </c>
      <c r="DQ6" s="20">
        <v>8</v>
      </c>
      <c r="DR6" s="20">
        <v>6</v>
      </c>
      <c r="DS6" s="20">
        <v>8</v>
      </c>
      <c r="DT6" s="20">
        <v>8</v>
      </c>
      <c r="DU6" s="20">
        <v>10</v>
      </c>
      <c r="DV6" s="20">
        <v>8</v>
      </c>
      <c r="DW6" s="20">
        <v>10</v>
      </c>
      <c r="DX6" s="20">
        <v>12</v>
      </c>
      <c r="DY6" s="20">
        <v>10</v>
      </c>
      <c r="DZ6" s="20"/>
      <c r="EA6" s="20"/>
      <c r="EB6" s="20" t="s">
        <v>15</v>
      </c>
      <c r="EC6" s="20">
        <v>0</v>
      </c>
      <c r="ED6" s="20">
        <v>0</v>
      </c>
      <c r="EE6" s="20">
        <v>0</v>
      </c>
      <c r="EF6" s="20">
        <v>2</v>
      </c>
      <c r="EG6" s="20">
        <v>2</v>
      </c>
      <c r="EH6" s="20">
        <v>4</v>
      </c>
      <c r="EI6" s="20">
        <v>4</v>
      </c>
      <c r="EJ6" s="20">
        <v>2</v>
      </c>
      <c r="EK6" s="20">
        <v>6</v>
      </c>
      <c r="EL6" s="20">
        <v>2</v>
      </c>
      <c r="EM6" s="20">
        <v>10</v>
      </c>
      <c r="EN6" s="20">
        <v>0</v>
      </c>
      <c r="EO6" s="20">
        <v>8</v>
      </c>
      <c r="EP6" s="20">
        <v>0</v>
      </c>
      <c r="EQ6" s="20">
        <v>6</v>
      </c>
      <c r="ER6" s="20">
        <v>14</v>
      </c>
      <c r="ES6" s="20">
        <v>6</v>
      </c>
      <c r="ET6" s="20">
        <v>2</v>
      </c>
      <c r="EU6" s="20">
        <v>4</v>
      </c>
      <c r="EV6" s="20">
        <v>12</v>
      </c>
      <c r="EW6" s="20">
        <v>20</v>
      </c>
      <c r="EX6" s="20">
        <v>12</v>
      </c>
      <c r="EY6" s="20">
        <v>8</v>
      </c>
      <c r="EZ6" s="20">
        <v>10</v>
      </c>
      <c r="FA6" s="20">
        <v>16</v>
      </c>
      <c r="FB6" s="20">
        <v>10</v>
      </c>
      <c r="FC6" s="20">
        <v>16</v>
      </c>
      <c r="FD6" s="20">
        <v>8</v>
      </c>
      <c r="FE6" s="20">
        <v>30</v>
      </c>
      <c r="FF6" s="20">
        <v>8</v>
      </c>
      <c r="FG6" s="20">
        <v>14</v>
      </c>
      <c r="FH6" s="20">
        <v>6</v>
      </c>
      <c r="FI6" s="20">
        <v>6</v>
      </c>
      <c r="FJ6" s="20">
        <v>6</v>
      </c>
      <c r="FK6" s="20">
        <v>12</v>
      </c>
      <c r="FL6" s="20">
        <v>4</v>
      </c>
      <c r="FM6" s="20">
        <v>26</v>
      </c>
      <c r="FN6" s="20">
        <v>4</v>
      </c>
      <c r="FO6" s="20">
        <v>10</v>
      </c>
      <c r="FP6" s="20">
        <v>2</v>
      </c>
      <c r="FQ6" s="20">
        <v>24</v>
      </c>
      <c r="FR6" s="20">
        <v>2</v>
      </c>
      <c r="FS6" s="20">
        <v>0</v>
      </c>
      <c r="FT6" s="20">
        <v>0</v>
      </c>
      <c r="FU6" s="20">
        <v>22</v>
      </c>
      <c r="FV6" s="20">
        <v>0</v>
      </c>
      <c r="FW6" s="20">
        <v>6</v>
      </c>
      <c r="FX6" s="20">
        <v>0</v>
      </c>
      <c r="FY6" s="20">
        <v>20</v>
      </c>
      <c r="FZ6" s="20">
        <v>0</v>
      </c>
      <c r="GA6" s="20">
        <v>4</v>
      </c>
      <c r="GC6" s="20"/>
      <c r="GD6" s="20"/>
      <c r="GE6" s="20" t="s">
        <v>15</v>
      </c>
      <c r="GF6" s="20">
        <v>0</v>
      </c>
      <c r="GG6" s="20">
        <v>0</v>
      </c>
      <c r="GH6" s="20">
        <v>0</v>
      </c>
      <c r="GI6" s="20">
        <v>4</v>
      </c>
      <c r="GJ6" s="20">
        <v>0</v>
      </c>
      <c r="GK6" s="20">
        <v>2</v>
      </c>
      <c r="GL6" s="20">
        <v>6</v>
      </c>
      <c r="GM6" s="20">
        <v>6</v>
      </c>
      <c r="GN6" s="20">
        <v>10</v>
      </c>
      <c r="GO6" s="20">
        <v>0</v>
      </c>
      <c r="GP6" s="20">
        <v>6</v>
      </c>
      <c r="GQ6" s="20">
        <v>8</v>
      </c>
      <c r="GR6" s="20">
        <v>0</v>
      </c>
      <c r="GS6" s="20">
        <v>16</v>
      </c>
      <c r="GT6" s="20">
        <v>4</v>
      </c>
      <c r="GU6" s="20">
        <v>8</v>
      </c>
      <c r="GV6" s="20">
        <v>10</v>
      </c>
      <c r="GW6" s="20">
        <v>0</v>
      </c>
      <c r="GX6" s="20">
        <v>18</v>
      </c>
      <c r="GY6" s="20">
        <v>22</v>
      </c>
      <c r="GZ6" s="20">
        <v>10</v>
      </c>
      <c r="HA6" s="20">
        <v>14</v>
      </c>
      <c r="HB6" s="20">
        <v>4</v>
      </c>
      <c r="HC6" s="20">
        <v>6</v>
      </c>
      <c r="HD6" s="20">
        <v>0</v>
      </c>
      <c r="HE6" s="20">
        <v>14</v>
      </c>
      <c r="HF6" s="20">
        <v>32</v>
      </c>
      <c r="HG6" s="20">
        <v>6</v>
      </c>
      <c r="HH6" s="20">
        <v>24</v>
      </c>
      <c r="HI6" s="20">
        <v>0</v>
      </c>
      <c r="HJ6" s="20">
        <v>16</v>
      </c>
      <c r="HK6" s="20">
        <v>34</v>
      </c>
      <c r="HL6" s="20">
        <v>8</v>
      </c>
      <c r="HM6" s="20">
        <v>26</v>
      </c>
      <c r="HN6" s="20">
        <v>0</v>
      </c>
      <c r="HO6" s="20">
        <v>4</v>
      </c>
      <c r="HP6" s="20">
        <v>0</v>
      </c>
      <c r="HQ6" s="20">
        <v>12</v>
      </c>
      <c r="HR6" s="20">
        <v>14</v>
      </c>
      <c r="HS6" s="20">
        <v>4</v>
      </c>
      <c r="HT6" s="20">
        <v>22</v>
      </c>
      <c r="HU6" s="20">
        <v>0</v>
      </c>
      <c r="HV6" s="20">
        <v>14</v>
      </c>
      <c r="HW6" s="20">
        <v>32</v>
      </c>
      <c r="HX6" s="20">
        <v>6</v>
      </c>
      <c r="HY6" s="20">
        <v>24</v>
      </c>
      <c r="HZ6" s="20">
        <v>0</v>
      </c>
      <c r="IA6" s="20">
        <v>16</v>
      </c>
      <c r="IB6" s="20">
        <v>0</v>
      </c>
      <c r="IC6" s="20">
        <v>10</v>
      </c>
      <c r="ID6" s="20">
        <v>12</v>
      </c>
      <c r="IF6" s="21" t="s">
        <v>15</v>
      </c>
      <c r="IG6" s="21">
        <v>0</v>
      </c>
      <c r="IH6" s="21">
        <v>2</v>
      </c>
      <c r="II6" s="21">
        <v>2</v>
      </c>
      <c r="IJ6" s="21">
        <v>2</v>
      </c>
      <c r="IK6" s="21">
        <v>4</v>
      </c>
      <c r="IL6" s="21">
        <v>0</v>
      </c>
      <c r="IM6" s="21">
        <v>0</v>
      </c>
      <c r="IN6" s="21">
        <v>8</v>
      </c>
      <c r="IO6" s="21">
        <v>8</v>
      </c>
      <c r="IP6" s="21">
        <v>4</v>
      </c>
      <c r="IQ6" s="21">
        <v>0</v>
      </c>
      <c r="IR6" s="21">
        <v>0</v>
      </c>
      <c r="IS6" s="21">
        <v>16</v>
      </c>
      <c r="IT6" s="21">
        <v>10</v>
      </c>
      <c r="IU6" s="21">
        <v>6</v>
      </c>
      <c r="IV6" s="21">
        <v>6</v>
      </c>
      <c r="IW6" s="21">
        <v>2</v>
      </c>
      <c r="IX6" s="21">
        <v>2</v>
      </c>
      <c r="IY6" s="21">
        <v>0</v>
      </c>
      <c r="IZ6" s="21">
        <v>10</v>
      </c>
      <c r="JA6" s="21">
        <v>22</v>
      </c>
      <c r="JB6" s="21">
        <v>4</v>
      </c>
      <c r="JC6" s="21">
        <v>2</v>
      </c>
      <c r="JD6" s="21">
        <v>14</v>
      </c>
      <c r="JE6" s="21">
        <v>26</v>
      </c>
      <c r="JF6" s="21">
        <v>0</v>
      </c>
      <c r="JI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5,$JT$2:$KS$2,0),MATCH($W$2,$AH$22:$AH$47,0)))*C5</f>
        <v>0</v>
      </c>
      <c r="JJ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5,$JT$2:$KS$2,0),MATCH($W$2,$AH$22:$AH$47,0)))*C5</f>
        <v>0</v>
      </c>
      <c r="JK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5,$JT$2:$KS$2,0),MATCH($W$2,$AH$22:$AH$47,0)))*C5</f>
        <v>0</v>
      </c>
      <c r="JL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5,$JT$2:$KS$2,0),MATCH($W$2,$AH$22:$AH$47,0)))*C5</f>
        <v>0</v>
      </c>
      <c r="JM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5,$JT$2:$KS$2,0),MATCH($W$2,$AH$22:$AH$47,0)))*C5</f>
        <v>0</v>
      </c>
      <c r="JN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5,$JT$2:$KS$2,0),MATCH($W$2,$AH$22:$AH$47,0)))*C5</f>
        <v>0</v>
      </c>
      <c r="JO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5,$JT$2:$KS$2,0),MATCH($W$2,$AH$22:$AH$47,0)))*C5</f>
        <v>0</v>
      </c>
      <c r="JP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5,$JT$2:$KS$2,0),MATCH($W$2,$AH$22:$AH$47,0)))*C5</f>
        <v>0</v>
      </c>
      <c r="JQ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5,$JT$2:$KS$2,0),MATCH($W$2,$AH$22:$AH$47,0)))*C5</f>
        <v>0</v>
      </c>
      <c r="JS6" s="20" t="s">
        <v>1024</v>
      </c>
      <c r="JT6" s="20">
        <v>0</v>
      </c>
      <c r="JU6" s="20">
        <v>0</v>
      </c>
      <c r="JV6" s="20">
        <v>0</v>
      </c>
      <c r="JW6" s="20">
        <v>0</v>
      </c>
      <c r="JX6" s="20">
        <v>0</v>
      </c>
      <c r="JY6" s="20">
        <v>0</v>
      </c>
      <c r="JZ6" s="20">
        <v>0</v>
      </c>
      <c r="KA6" s="20">
        <v>0</v>
      </c>
      <c r="KB6" s="20">
        <v>0</v>
      </c>
      <c r="KC6" s="20">
        <v>0</v>
      </c>
      <c r="KD6" s="20">
        <v>0</v>
      </c>
      <c r="KE6" s="20">
        <v>0</v>
      </c>
      <c r="KF6" s="20">
        <v>2</v>
      </c>
      <c r="KG6" s="20">
        <v>0</v>
      </c>
      <c r="KH6" s="20">
        <v>0</v>
      </c>
      <c r="KI6" s="20">
        <v>0</v>
      </c>
      <c r="KJ6" s="20">
        <v>0</v>
      </c>
      <c r="KK6" s="20">
        <v>0</v>
      </c>
      <c r="KL6" s="20">
        <v>0</v>
      </c>
      <c r="KM6" s="20">
        <v>0</v>
      </c>
      <c r="KN6" s="20">
        <v>0</v>
      </c>
      <c r="KO6" s="20">
        <v>0</v>
      </c>
      <c r="KP6" s="20">
        <v>4</v>
      </c>
      <c r="KQ6" s="20">
        <v>0</v>
      </c>
      <c r="KR6" s="20">
        <v>0</v>
      </c>
      <c r="KS6" s="20">
        <v>0</v>
      </c>
      <c r="KU6" s="20" t="s">
        <v>1024</v>
      </c>
      <c r="KV6" s="20">
        <v>0</v>
      </c>
      <c r="KW6" s="20">
        <v>0</v>
      </c>
      <c r="KX6" s="20">
        <v>0</v>
      </c>
      <c r="KY6" s="20">
        <v>0</v>
      </c>
      <c r="KZ6" s="20">
        <v>0</v>
      </c>
      <c r="LA6" s="20">
        <v>0</v>
      </c>
      <c r="LB6" s="20">
        <v>0</v>
      </c>
      <c r="LC6" s="20">
        <v>0</v>
      </c>
      <c r="LD6" s="20">
        <v>0</v>
      </c>
      <c r="LE6" s="20">
        <v>0</v>
      </c>
      <c r="LF6" s="20">
        <v>0</v>
      </c>
      <c r="LG6" s="20">
        <v>0</v>
      </c>
      <c r="LH6" s="20">
        <v>2</v>
      </c>
      <c r="LI6" s="20">
        <v>0</v>
      </c>
      <c r="LJ6" s="20">
        <v>0</v>
      </c>
      <c r="LK6" s="20">
        <v>0</v>
      </c>
      <c r="LL6" s="20">
        <v>0</v>
      </c>
      <c r="LM6" s="20">
        <v>0</v>
      </c>
      <c r="LN6" s="20">
        <v>0</v>
      </c>
      <c r="LO6" s="20">
        <v>0</v>
      </c>
      <c r="LP6" s="20">
        <v>0</v>
      </c>
      <c r="LQ6" s="20">
        <v>0</v>
      </c>
      <c r="LR6" s="20">
        <v>0</v>
      </c>
      <c r="LS6" s="20">
        <v>0</v>
      </c>
      <c r="LT6" s="20">
        <v>0</v>
      </c>
      <c r="LU6" s="20">
        <v>0</v>
      </c>
      <c r="LW6" s="20" t="s">
        <v>1024</v>
      </c>
      <c r="LX6" s="20">
        <v>0</v>
      </c>
      <c r="LY6" s="20">
        <v>0</v>
      </c>
      <c r="LZ6" s="20">
        <v>0</v>
      </c>
      <c r="MA6" s="20">
        <v>2</v>
      </c>
      <c r="MB6" s="20">
        <v>0</v>
      </c>
      <c r="MC6" s="20">
        <v>0</v>
      </c>
      <c r="MD6" s="20">
        <v>0</v>
      </c>
      <c r="ME6" s="20">
        <v>0</v>
      </c>
      <c r="MF6" s="20">
        <v>0</v>
      </c>
      <c r="MG6" s="20">
        <v>0</v>
      </c>
      <c r="MH6" s="20">
        <v>0</v>
      </c>
      <c r="MI6" s="20">
        <v>0</v>
      </c>
      <c r="MJ6" s="20">
        <v>2</v>
      </c>
      <c r="MK6" s="20">
        <v>0</v>
      </c>
      <c r="ML6" s="20">
        <v>0</v>
      </c>
      <c r="MM6" s="20">
        <v>0</v>
      </c>
      <c r="MN6" s="20">
        <v>0</v>
      </c>
      <c r="MO6" s="20">
        <v>0</v>
      </c>
      <c r="MP6" s="20">
        <v>0</v>
      </c>
      <c r="MQ6" s="20">
        <v>0</v>
      </c>
      <c r="MR6" s="20">
        <v>0</v>
      </c>
      <c r="MS6" s="20">
        <v>0</v>
      </c>
      <c r="MT6" s="20">
        <v>0</v>
      </c>
      <c r="MU6" s="20">
        <v>0</v>
      </c>
      <c r="MV6" s="20">
        <v>0</v>
      </c>
      <c r="MW6" s="20">
        <v>0</v>
      </c>
      <c r="MY6" s="20" t="s">
        <v>1024</v>
      </c>
      <c r="MZ6" s="21">
        <v>0</v>
      </c>
      <c r="NA6" s="21">
        <v>0</v>
      </c>
      <c r="NB6" s="21">
        <v>4</v>
      </c>
      <c r="NC6" s="21">
        <v>0</v>
      </c>
      <c r="ND6" s="21">
        <v>2</v>
      </c>
      <c r="NE6" s="21">
        <v>0</v>
      </c>
      <c r="NF6" s="21">
        <v>0</v>
      </c>
      <c r="NG6" s="21">
        <v>0</v>
      </c>
      <c r="NH6" s="21">
        <v>0</v>
      </c>
      <c r="NI6" s="21">
        <v>0</v>
      </c>
      <c r="NJ6" s="21">
        <v>0</v>
      </c>
      <c r="NK6" s="21">
        <v>0</v>
      </c>
      <c r="NL6" s="21">
        <v>0</v>
      </c>
      <c r="NM6" s="21">
        <v>0</v>
      </c>
      <c r="NN6" s="21">
        <v>0</v>
      </c>
      <c r="NO6" s="21">
        <v>0</v>
      </c>
      <c r="NP6" s="21">
        <v>0</v>
      </c>
      <c r="NQ6" s="21">
        <v>4</v>
      </c>
      <c r="NR6" s="21">
        <v>0</v>
      </c>
      <c r="NS6" s="21">
        <v>0</v>
      </c>
      <c r="NT6" s="21">
        <v>0</v>
      </c>
      <c r="NU6" s="21">
        <v>0</v>
      </c>
      <c r="NV6" s="21">
        <v>2</v>
      </c>
      <c r="NW6" s="21">
        <v>0</v>
      </c>
      <c r="NX6" s="21">
        <v>0</v>
      </c>
      <c r="NY6" s="21">
        <v>0</v>
      </c>
      <c r="OB6" s="20" t="s">
        <v>1024</v>
      </c>
      <c r="OC6" s="20">
        <v>0</v>
      </c>
      <c r="OD6" s="20">
        <v>0</v>
      </c>
      <c r="OE6" s="20">
        <v>0</v>
      </c>
      <c r="OF6" s="20">
        <v>0</v>
      </c>
      <c r="OG6" s="20">
        <v>0</v>
      </c>
      <c r="OH6" s="20">
        <v>0</v>
      </c>
      <c r="OI6" s="20">
        <v>0</v>
      </c>
      <c r="OJ6" s="20">
        <v>0</v>
      </c>
      <c r="OK6" s="20">
        <v>0</v>
      </c>
      <c r="OL6" s="20">
        <v>0</v>
      </c>
      <c r="OM6" s="20">
        <v>0</v>
      </c>
      <c r="ON6" s="20">
        <v>0</v>
      </c>
      <c r="OO6" s="20">
        <v>2</v>
      </c>
      <c r="OP6" s="20">
        <v>0</v>
      </c>
      <c r="OQ6" s="20">
        <v>0</v>
      </c>
      <c r="OR6" s="20">
        <v>0</v>
      </c>
      <c r="OS6" s="20">
        <v>0</v>
      </c>
      <c r="OT6" s="20">
        <v>0</v>
      </c>
      <c r="OU6" s="20">
        <v>0</v>
      </c>
      <c r="OV6" s="20">
        <v>0</v>
      </c>
      <c r="OW6" s="20">
        <v>0</v>
      </c>
      <c r="OX6" s="20">
        <v>0</v>
      </c>
      <c r="OY6" s="20">
        <v>2</v>
      </c>
      <c r="OZ6" s="20">
        <v>0</v>
      </c>
      <c r="PA6" s="20">
        <v>0</v>
      </c>
      <c r="PB6" s="20">
        <v>0</v>
      </c>
    </row>
    <row r="7" spans="1:418" x14ac:dyDescent="0.25">
      <c r="A7" s="8"/>
      <c r="B7" s="5" t="s">
        <v>116</v>
      </c>
      <c r="C7" s="8"/>
      <c r="D7" s="6" t="s">
        <v>124</v>
      </c>
      <c r="E7" s="8" t="s">
        <v>125</v>
      </c>
      <c r="F7" s="5"/>
      <c r="G7" s="5"/>
      <c r="H7" s="5"/>
      <c r="I7" s="5"/>
      <c r="J7" s="5"/>
      <c r="K7" s="4"/>
      <c r="L7" s="6" t="str">
        <f>IF($E$10=AK22,"PAL40H40/3,15",IF($E$10=AK23,"PAL30H32/3,15","-------"))</f>
        <v>PAL40H40/3,15</v>
      </c>
      <c r="M7" s="14">
        <f>INDEX(cennik!$A$2:$O$529,MATCH($L7,cennik!$B$2:$B$522,0),MATCH(M$2,cennik!$A$1:$O$1,0))</f>
        <v>894631</v>
      </c>
      <c r="N7" s="14" t="str">
        <f>INDEX(cennik!$A$2:$O$529,MATCH($L7,cennik!$B$2:$B$522,0),MATCH(N$2,cennik!$A$1:$O$1,0))</f>
        <v>szt.</v>
      </c>
      <c r="O7" s="14">
        <f>IF(L7="-------",0,SUM(JN3:JN18))</f>
        <v>0</v>
      </c>
      <c r="P7" s="22">
        <f>INDEX(cennik!$A$2:$O$529,MATCH($L7,cennik!$B$2:$B$522,0),MATCH(P$2,cennik!$A$1:$O$1,0))</f>
        <v>97.65</v>
      </c>
      <c r="Q7" s="22">
        <f t="shared" si="2"/>
        <v>0</v>
      </c>
      <c r="R7" s="23">
        <f t="shared" si="3"/>
        <v>0</v>
      </c>
      <c r="S7" s="22">
        <f t="shared" si="4"/>
        <v>97.65</v>
      </c>
      <c r="T7" s="22">
        <f t="shared" si="5"/>
        <v>0</v>
      </c>
      <c r="U7" s="22">
        <f>INDEX(cennik!$A$2:$O$529,MATCH($L7,cennik!$B$2:$B$522,0),MATCH(U$2,cennik!$A$1:$O$1,0))*O7</f>
        <v>0</v>
      </c>
      <c r="V7" s="20"/>
      <c r="W7" s="20"/>
      <c r="X7" s="25">
        <f t="shared" si="0"/>
        <v>0</v>
      </c>
      <c r="Y7" s="20"/>
      <c r="Z7" s="20"/>
      <c r="AA7" s="20"/>
      <c r="AB7" s="26">
        <v>33</v>
      </c>
      <c r="AC7" s="356" t="s">
        <v>28</v>
      </c>
      <c r="AE7" s="356" t="s">
        <v>110</v>
      </c>
      <c r="AF7" s="20" t="s">
        <v>14</v>
      </c>
      <c r="AG7" s="20">
        <v>33</v>
      </c>
      <c r="AJ7" s="357" t="s">
        <v>151</v>
      </c>
      <c r="AK7" s="357" t="s">
        <v>151</v>
      </c>
      <c r="AL7" s="20">
        <f t="shared" si="1"/>
        <v>0</v>
      </c>
      <c r="AM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6,$BB$2:$CA$2,0),MATCH($W$2,$AH$22:$AH$47,0)))*C6</f>
        <v>0</v>
      </c>
      <c r="AN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6,$BB$2:$CA$2,0),MATCH($W$2,$AH$22:$AH$47,0)))*C6</f>
        <v>0</v>
      </c>
      <c r="AO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6,$BB$2:$CA$2,0),MATCH($W$2,$AH$22:$AH$47,0)))*C6</f>
        <v>0</v>
      </c>
      <c r="AP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6,$BB$2:$CA$2,0),MATCH($W$2,$AH$22:$AH$47,0)))*C6</f>
        <v>0</v>
      </c>
      <c r="AQ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6,$BB$2:$CA$2,0),MATCH($W$2,$AH$22:$AH$47,0)))*C6</f>
        <v>0</v>
      </c>
      <c r="AR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6,$BB$2:$CA$2,0),MATCH($W$2,$AH$22:$AH$47,0)))*C6</f>
        <v>0</v>
      </c>
      <c r="AS7" s="20"/>
      <c r="AZ7" s="20"/>
      <c r="BA7" s="20" t="s">
        <v>19</v>
      </c>
      <c r="BB7" s="20">
        <v>0</v>
      </c>
      <c r="BC7" s="20">
        <v>0</v>
      </c>
      <c r="BD7" s="20">
        <v>0</v>
      </c>
      <c r="BE7" s="20">
        <v>0</v>
      </c>
      <c r="BF7" s="20">
        <v>0</v>
      </c>
      <c r="BG7" s="20">
        <v>0</v>
      </c>
      <c r="BH7" s="20">
        <v>0</v>
      </c>
      <c r="BI7" s="20">
        <v>0</v>
      </c>
      <c r="BJ7" s="20">
        <v>0</v>
      </c>
      <c r="BK7" s="20">
        <v>0</v>
      </c>
      <c r="BL7" s="20">
        <v>0</v>
      </c>
      <c r="BM7" s="20">
        <v>0</v>
      </c>
      <c r="BN7" s="20">
        <v>0</v>
      </c>
      <c r="BO7" s="20">
        <v>0</v>
      </c>
      <c r="BP7" s="20">
        <v>0</v>
      </c>
      <c r="BQ7" s="20">
        <v>8</v>
      </c>
      <c r="BR7" s="20">
        <v>10</v>
      </c>
      <c r="BS7" s="20">
        <v>8</v>
      </c>
      <c r="BT7" s="20">
        <v>10</v>
      </c>
      <c r="BU7" s="20">
        <v>10</v>
      </c>
      <c r="BV7" s="20">
        <v>8</v>
      </c>
      <c r="BW7" s="20">
        <v>8</v>
      </c>
      <c r="BX7" s="20">
        <v>8</v>
      </c>
      <c r="BY7" s="20">
        <v>6</v>
      </c>
      <c r="BZ7" s="20">
        <v>6</v>
      </c>
      <c r="CA7" s="20">
        <v>8</v>
      </c>
      <c r="CB7" s="20">
        <v>2</v>
      </c>
      <c r="CC7" s="20">
        <v>6</v>
      </c>
      <c r="CD7" s="20">
        <v>6</v>
      </c>
      <c r="CE7" s="20">
        <v>18</v>
      </c>
      <c r="CF7" s="20">
        <v>6</v>
      </c>
      <c r="CG7" s="20">
        <v>6</v>
      </c>
      <c r="CH7" s="20">
        <v>20</v>
      </c>
      <c r="CI7" s="20">
        <v>6</v>
      </c>
      <c r="CJ7" s="20">
        <v>6</v>
      </c>
      <c r="CK7" s="20">
        <v>18</v>
      </c>
      <c r="CL7" s="20">
        <v>12</v>
      </c>
      <c r="CM7" s="20">
        <v>18</v>
      </c>
      <c r="CN7" s="20">
        <v>18</v>
      </c>
      <c r="CO7" s="20">
        <v>16</v>
      </c>
      <c r="CP7" s="20">
        <v>4</v>
      </c>
      <c r="CQ7" s="20">
        <v>18</v>
      </c>
      <c r="CR7" s="20">
        <v>4</v>
      </c>
      <c r="CS7" s="20">
        <v>16</v>
      </c>
      <c r="CT7" s="20">
        <v>16</v>
      </c>
      <c r="CU7" s="20">
        <v>28</v>
      </c>
      <c r="CV7" s="20">
        <v>22</v>
      </c>
      <c r="CW7" s="20">
        <v>16</v>
      </c>
      <c r="CX7" s="20">
        <v>30</v>
      </c>
      <c r="CY7" s="20">
        <v>2</v>
      </c>
      <c r="CZ7" s="20">
        <v>28</v>
      </c>
      <c r="DA7" s="54"/>
      <c r="DB7" s="54">
        <v>6</v>
      </c>
      <c r="DC7" s="54"/>
      <c r="DD7" s="20" t="s">
        <v>521</v>
      </c>
      <c r="DE7" s="20">
        <v>0</v>
      </c>
      <c r="DF7" s="20">
        <v>0</v>
      </c>
      <c r="DG7" s="20">
        <v>0</v>
      </c>
      <c r="DH7" s="20">
        <v>0</v>
      </c>
      <c r="DI7" s="20">
        <v>4</v>
      </c>
      <c r="DJ7" s="20">
        <v>4</v>
      </c>
      <c r="DK7" s="20">
        <v>4</v>
      </c>
      <c r="DL7" s="20">
        <v>8</v>
      </c>
      <c r="DM7" s="20">
        <v>8</v>
      </c>
      <c r="DN7" s="20">
        <v>8</v>
      </c>
      <c r="DO7" s="20">
        <v>12</v>
      </c>
      <c r="DP7" s="20">
        <v>12</v>
      </c>
      <c r="DQ7" s="20">
        <v>12</v>
      </c>
      <c r="DR7" s="20">
        <v>16</v>
      </c>
      <c r="DS7" s="20">
        <v>16</v>
      </c>
      <c r="DT7" s="20">
        <v>16</v>
      </c>
      <c r="DU7" s="20">
        <v>16</v>
      </c>
      <c r="DV7" s="20">
        <v>20</v>
      </c>
      <c r="DW7" s="20">
        <v>20</v>
      </c>
      <c r="DX7" s="20">
        <v>20</v>
      </c>
      <c r="DY7" s="20">
        <v>24</v>
      </c>
      <c r="DZ7" s="20"/>
      <c r="EA7" s="20"/>
      <c r="EB7" s="20" t="s">
        <v>19</v>
      </c>
      <c r="EC7" s="20">
        <v>0</v>
      </c>
      <c r="ED7" s="20">
        <v>0</v>
      </c>
      <c r="EE7" s="20">
        <v>0</v>
      </c>
      <c r="EF7" s="20">
        <v>0</v>
      </c>
      <c r="EG7" s="20">
        <v>0</v>
      </c>
      <c r="EH7" s="20">
        <v>0</v>
      </c>
      <c r="EI7" s="20">
        <v>0</v>
      </c>
      <c r="EJ7" s="20">
        <v>4</v>
      </c>
      <c r="EK7" s="20">
        <v>0</v>
      </c>
      <c r="EL7" s="20">
        <v>6</v>
      </c>
      <c r="EM7" s="20">
        <v>0</v>
      </c>
      <c r="EN7" s="20">
        <v>10</v>
      </c>
      <c r="EO7" s="20">
        <v>2</v>
      </c>
      <c r="EP7" s="20">
        <v>12</v>
      </c>
      <c r="EQ7" s="20">
        <v>6</v>
      </c>
      <c r="ER7" s="20">
        <v>2</v>
      </c>
      <c r="ES7" s="20">
        <v>8</v>
      </c>
      <c r="ET7" s="20">
        <v>14</v>
      </c>
      <c r="EU7" s="20">
        <v>12</v>
      </c>
      <c r="EV7" s="20">
        <v>8</v>
      </c>
      <c r="EW7" s="20">
        <v>0</v>
      </c>
      <c r="EX7" s="20">
        <v>10</v>
      </c>
      <c r="EY7" s="20">
        <v>12</v>
      </c>
      <c r="EZ7" s="20">
        <v>14</v>
      </c>
      <c r="FA7" s="20">
        <v>8</v>
      </c>
      <c r="FB7" s="20">
        <v>16</v>
      </c>
      <c r="FC7" s="20">
        <v>10</v>
      </c>
      <c r="FD7" s="20">
        <v>20</v>
      </c>
      <c r="FE7" s="20">
        <v>0</v>
      </c>
      <c r="FF7" s="20">
        <v>22</v>
      </c>
      <c r="FG7" s="20">
        <v>16</v>
      </c>
      <c r="FH7" s="20">
        <v>26</v>
      </c>
      <c r="FI7" s="20">
        <v>26</v>
      </c>
      <c r="FJ7" s="20">
        <v>28</v>
      </c>
      <c r="FK7" s="20">
        <v>22</v>
      </c>
      <c r="FL7" s="20">
        <v>32</v>
      </c>
      <c r="FM7" s="20">
        <v>12</v>
      </c>
      <c r="FN7" s="20">
        <v>34</v>
      </c>
      <c r="FO7" s="20">
        <v>28</v>
      </c>
      <c r="FP7" s="20">
        <v>38</v>
      </c>
      <c r="FQ7" s="20">
        <v>18</v>
      </c>
      <c r="FR7" s="20">
        <v>40</v>
      </c>
      <c r="FS7" s="20">
        <v>40</v>
      </c>
      <c r="FT7" s="20">
        <v>44</v>
      </c>
      <c r="FU7" s="20">
        <v>24</v>
      </c>
      <c r="FV7" s="20">
        <v>46</v>
      </c>
      <c r="FW7" s="20">
        <v>40</v>
      </c>
      <c r="FX7" s="20">
        <v>48</v>
      </c>
      <c r="FY7" s="20">
        <v>30</v>
      </c>
      <c r="FZ7" s="20">
        <v>50</v>
      </c>
      <c r="GA7" s="20">
        <v>46</v>
      </c>
      <c r="GC7" s="20"/>
      <c r="GD7" s="20"/>
      <c r="GE7" s="20" t="s">
        <v>19</v>
      </c>
      <c r="GF7" s="20">
        <v>0</v>
      </c>
      <c r="GG7" s="20">
        <v>0</v>
      </c>
      <c r="GH7" s="20">
        <v>0</v>
      </c>
      <c r="GI7" s="20">
        <v>0</v>
      </c>
      <c r="GJ7" s="20">
        <v>4</v>
      </c>
      <c r="GK7" s="20">
        <v>4</v>
      </c>
      <c r="GL7" s="20">
        <v>0</v>
      </c>
      <c r="GM7" s="20">
        <v>0</v>
      </c>
      <c r="GN7" s="20">
        <v>0</v>
      </c>
      <c r="GO7" s="20">
        <v>8</v>
      </c>
      <c r="GP7" s="20">
        <v>6</v>
      </c>
      <c r="GQ7" s="20">
        <v>4</v>
      </c>
      <c r="GR7" s="20">
        <v>14</v>
      </c>
      <c r="GS7" s="20">
        <v>0</v>
      </c>
      <c r="GT7" s="20">
        <v>10</v>
      </c>
      <c r="GU7" s="20">
        <v>10</v>
      </c>
      <c r="GV7" s="20">
        <v>8</v>
      </c>
      <c r="GW7" s="20">
        <v>20</v>
      </c>
      <c r="GX7" s="20">
        <v>4</v>
      </c>
      <c r="GY7" s="20">
        <v>0</v>
      </c>
      <c r="GZ7" s="20">
        <v>14</v>
      </c>
      <c r="HA7" s="20">
        <v>10</v>
      </c>
      <c r="HB7" s="20">
        <v>22</v>
      </c>
      <c r="HC7" s="20">
        <v>20</v>
      </c>
      <c r="HD7" s="20">
        <v>28</v>
      </c>
      <c r="HE7" s="20">
        <v>16</v>
      </c>
      <c r="HF7" s="20">
        <v>0</v>
      </c>
      <c r="HG7" s="20">
        <v>26</v>
      </c>
      <c r="HH7" s="20">
        <v>10</v>
      </c>
      <c r="HI7" s="20">
        <v>34</v>
      </c>
      <c r="HJ7" s="20">
        <v>20</v>
      </c>
      <c r="HK7" s="20">
        <v>4</v>
      </c>
      <c r="HL7" s="20">
        <v>30</v>
      </c>
      <c r="HM7" s="20">
        <v>14</v>
      </c>
      <c r="HN7" s="20">
        <v>40</v>
      </c>
      <c r="HO7" s="20">
        <v>36</v>
      </c>
      <c r="HP7" s="20">
        <v>42</v>
      </c>
      <c r="HQ7" s="20">
        <v>32</v>
      </c>
      <c r="HR7" s="20">
        <v>30</v>
      </c>
      <c r="HS7" s="20">
        <v>42</v>
      </c>
      <c r="HT7" s="20">
        <v>26</v>
      </c>
      <c r="HU7" s="20">
        <v>48</v>
      </c>
      <c r="HV7" s="20">
        <v>36</v>
      </c>
      <c r="HW7" s="20">
        <v>20</v>
      </c>
      <c r="HX7" s="20">
        <v>46</v>
      </c>
      <c r="HY7" s="20">
        <v>30</v>
      </c>
      <c r="HZ7" s="20">
        <v>54</v>
      </c>
      <c r="IA7" s="20">
        <v>40</v>
      </c>
      <c r="IB7" s="20">
        <v>56</v>
      </c>
      <c r="IC7" s="20">
        <v>48</v>
      </c>
      <c r="ID7" s="20">
        <v>46</v>
      </c>
      <c r="IF7" s="21" t="s">
        <v>19</v>
      </c>
      <c r="IG7" s="21">
        <v>0</v>
      </c>
      <c r="IH7" s="21">
        <v>0</v>
      </c>
      <c r="II7" s="21">
        <v>0</v>
      </c>
      <c r="IJ7" s="21">
        <v>0</v>
      </c>
      <c r="IK7" s="21">
        <v>2</v>
      </c>
      <c r="IL7" s="21">
        <v>6</v>
      </c>
      <c r="IM7" s="21">
        <v>6</v>
      </c>
      <c r="IN7" s="21">
        <v>0</v>
      </c>
      <c r="IO7" s="21">
        <v>4</v>
      </c>
      <c r="IP7" s="21">
        <v>8</v>
      </c>
      <c r="IQ7" s="21">
        <v>12</v>
      </c>
      <c r="IR7" s="21">
        <v>16</v>
      </c>
      <c r="IS7" s="21">
        <v>2</v>
      </c>
      <c r="IT7" s="21">
        <v>8</v>
      </c>
      <c r="IU7" s="21">
        <v>12</v>
      </c>
      <c r="IV7" s="21">
        <v>16</v>
      </c>
      <c r="IW7" s="21">
        <v>20</v>
      </c>
      <c r="IX7" s="21">
        <v>20</v>
      </c>
      <c r="IY7" s="21">
        <v>26</v>
      </c>
      <c r="IZ7" s="21">
        <v>18</v>
      </c>
      <c r="JA7" s="21">
        <v>8</v>
      </c>
      <c r="JB7" s="21">
        <v>24</v>
      </c>
      <c r="JC7" s="21">
        <v>30</v>
      </c>
      <c r="JD7" s="21">
        <v>20</v>
      </c>
      <c r="JE7" s="21">
        <v>10</v>
      </c>
      <c r="JF7" s="21">
        <v>36</v>
      </c>
      <c r="JI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6,$JT$2:$KS$2,0),MATCH($W$2,$AH$22:$AH$47,0)))*C6</f>
        <v>0</v>
      </c>
      <c r="JJ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6,$JT$2:$KS$2,0),MATCH($W$2,$AH$22:$AH$47,0)))*C6</f>
        <v>0</v>
      </c>
      <c r="JK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6,$JT$2:$KS$2,0),MATCH($W$2,$AH$22:$AH$47,0)))*C6</f>
        <v>0</v>
      </c>
      <c r="JL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6,$JT$2:$KS$2,0),MATCH($W$2,$AH$22:$AH$47,0)))*C6</f>
        <v>0</v>
      </c>
      <c r="JM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6,$JT$2:$KS$2,0),MATCH($W$2,$AH$22:$AH$47,0)))*C6</f>
        <v>0</v>
      </c>
      <c r="JN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6,$JT$2:$KS$2,0),MATCH($W$2,$AH$22:$AH$47,0)))*C6</f>
        <v>0</v>
      </c>
      <c r="JO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6,$JT$2:$KS$2,0),MATCH($W$2,$AH$22:$AH$47,0)))*C6</f>
        <v>0</v>
      </c>
      <c r="JP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6,$JT$2:$KS$2,0),MATCH($W$2,$AH$22:$AH$47,0)))*C6</f>
        <v>0</v>
      </c>
      <c r="JQ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6,$JT$2:$KS$2,0),MATCH($W$2,$AH$22:$AH$47,0)))*C6</f>
        <v>0</v>
      </c>
      <c r="JS7" s="20" t="s">
        <v>15</v>
      </c>
      <c r="JT7" s="20">
        <v>0</v>
      </c>
      <c r="JU7" s="20">
        <v>0</v>
      </c>
      <c r="JV7" s="20">
        <v>0</v>
      </c>
      <c r="JW7" s="20">
        <v>2</v>
      </c>
      <c r="JX7" s="20">
        <v>0</v>
      </c>
      <c r="JY7" s="20">
        <v>2</v>
      </c>
      <c r="JZ7" s="20">
        <v>4</v>
      </c>
      <c r="KA7" s="20">
        <v>0</v>
      </c>
      <c r="KB7" s="20">
        <v>0</v>
      </c>
      <c r="KC7" s="20">
        <v>0</v>
      </c>
      <c r="KD7" s="20">
        <v>2</v>
      </c>
      <c r="KE7" s="20">
        <v>0</v>
      </c>
      <c r="KF7" s="20">
        <v>0</v>
      </c>
      <c r="KG7" s="20">
        <v>2</v>
      </c>
      <c r="KH7" s="20">
        <v>0</v>
      </c>
      <c r="KI7" s="20">
        <v>0</v>
      </c>
      <c r="KJ7" s="20">
        <v>0</v>
      </c>
      <c r="KK7" s="20">
        <v>0</v>
      </c>
      <c r="KL7" s="20">
        <v>0</v>
      </c>
      <c r="KM7" s="20">
        <v>0</v>
      </c>
      <c r="KN7" s="20">
        <v>2</v>
      </c>
      <c r="KO7" s="20">
        <v>0</v>
      </c>
      <c r="KP7" s="20">
        <v>0</v>
      </c>
      <c r="KQ7" s="20">
        <v>0</v>
      </c>
      <c r="KR7" s="20">
        <v>0</v>
      </c>
      <c r="KS7" s="20">
        <v>0</v>
      </c>
      <c r="KU7" s="20" t="s">
        <v>15</v>
      </c>
      <c r="KV7" s="20">
        <v>0</v>
      </c>
      <c r="KW7" s="20">
        <v>0</v>
      </c>
      <c r="KX7" s="20">
        <v>0</v>
      </c>
      <c r="KY7" s="20">
        <v>2</v>
      </c>
      <c r="KZ7" s="20">
        <v>2</v>
      </c>
      <c r="LA7" s="20">
        <v>4</v>
      </c>
      <c r="LB7" s="20">
        <v>0</v>
      </c>
      <c r="LC7" s="20">
        <v>2</v>
      </c>
      <c r="LD7" s="20">
        <v>0</v>
      </c>
      <c r="LE7" s="20">
        <v>0</v>
      </c>
      <c r="LF7" s="20">
        <v>0</v>
      </c>
      <c r="LG7" s="20">
        <v>0</v>
      </c>
      <c r="LH7" s="20">
        <v>0</v>
      </c>
      <c r="LI7" s="20">
        <v>0</v>
      </c>
      <c r="LJ7" s="20">
        <v>0</v>
      </c>
      <c r="LK7" s="20">
        <v>0</v>
      </c>
      <c r="LL7" s="20">
        <v>0</v>
      </c>
      <c r="LM7" s="20">
        <v>0</v>
      </c>
      <c r="LN7" s="20">
        <v>0</v>
      </c>
      <c r="LO7" s="20">
        <v>0</v>
      </c>
      <c r="LP7" s="20">
        <v>0</v>
      </c>
      <c r="LQ7" s="20">
        <v>0</v>
      </c>
      <c r="LR7" s="20">
        <v>0</v>
      </c>
      <c r="LS7" s="20">
        <v>0</v>
      </c>
      <c r="LT7" s="20">
        <v>0</v>
      </c>
      <c r="LU7" s="20">
        <v>0</v>
      </c>
      <c r="LW7" s="20" t="s">
        <v>15</v>
      </c>
      <c r="LX7" s="20">
        <v>0</v>
      </c>
      <c r="LY7" s="20">
        <v>0</v>
      </c>
      <c r="LZ7" s="20">
        <v>0</v>
      </c>
      <c r="MA7" s="20">
        <v>0</v>
      </c>
      <c r="MB7" s="20">
        <v>0</v>
      </c>
      <c r="MC7" s="20">
        <v>2</v>
      </c>
      <c r="MD7" s="20">
        <v>0</v>
      </c>
      <c r="ME7" s="20">
        <v>0</v>
      </c>
      <c r="MF7" s="20">
        <v>2</v>
      </c>
      <c r="MG7" s="20">
        <v>0</v>
      </c>
      <c r="MH7" s="20">
        <v>0</v>
      </c>
      <c r="MI7" s="20">
        <v>0</v>
      </c>
      <c r="MJ7" s="20">
        <v>0</v>
      </c>
      <c r="MK7" s="20">
        <v>0</v>
      </c>
      <c r="ML7" s="20">
        <v>0</v>
      </c>
      <c r="MM7" s="20">
        <v>0</v>
      </c>
      <c r="MN7" s="20">
        <v>0</v>
      </c>
      <c r="MO7" s="20">
        <v>0</v>
      </c>
      <c r="MP7" s="20">
        <v>0</v>
      </c>
      <c r="MQ7" s="20">
        <v>0</v>
      </c>
      <c r="MR7" s="20">
        <v>0</v>
      </c>
      <c r="MS7" s="20">
        <v>0</v>
      </c>
      <c r="MT7" s="20">
        <v>0</v>
      </c>
      <c r="MU7" s="20">
        <v>0</v>
      </c>
      <c r="MV7" s="20">
        <v>0</v>
      </c>
      <c r="MW7" s="20">
        <v>0</v>
      </c>
      <c r="MY7" s="21" t="s">
        <v>15</v>
      </c>
      <c r="MZ7" s="21">
        <v>0</v>
      </c>
      <c r="NA7" s="21">
        <v>2</v>
      </c>
      <c r="NB7" s="21">
        <v>0</v>
      </c>
      <c r="NC7" s="21">
        <v>0</v>
      </c>
      <c r="ND7" s="21">
        <v>0</v>
      </c>
      <c r="NE7" s="21">
        <v>0</v>
      </c>
      <c r="NF7" s="21">
        <v>0</v>
      </c>
      <c r="NG7" s="21">
        <v>2</v>
      </c>
      <c r="NH7" s="21">
        <v>0</v>
      </c>
      <c r="NI7" s="21">
        <v>0</v>
      </c>
      <c r="NJ7" s="21">
        <v>0</v>
      </c>
      <c r="NK7" s="21">
        <v>0</v>
      </c>
      <c r="NL7" s="21">
        <v>0</v>
      </c>
      <c r="NM7" s="21">
        <v>0</v>
      </c>
      <c r="NN7" s="21">
        <v>0</v>
      </c>
      <c r="NO7" s="21">
        <v>0</v>
      </c>
      <c r="NP7" s="21">
        <v>0</v>
      </c>
      <c r="NQ7" s="21">
        <v>2</v>
      </c>
      <c r="NR7" s="21">
        <v>0</v>
      </c>
      <c r="NS7" s="21">
        <v>0</v>
      </c>
      <c r="NT7" s="21">
        <v>0</v>
      </c>
      <c r="NU7" s="21">
        <v>0</v>
      </c>
      <c r="NV7" s="21">
        <v>0</v>
      </c>
      <c r="NW7" s="21">
        <v>0</v>
      </c>
      <c r="NX7" s="21">
        <v>0</v>
      </c>
      <c r="NY7" s="21">
        <v>0</v>
      </c>
      <c r="OB7" s="20" t="s">
        <v>15</v>
      </c>
      <c r="OC7" s="20">
        <v>0</v>
      </c>
      <c r="OD7" s="20">
        <v>2</v>
      </c>
      <c r="OE7" s="20">
        <v>2</v>
      </c>
      <c r="OF7" s="20">
        <v>0</v>
      </c>
      <c r="OG7" s="20">
        <v>0</v>
      </c>
      <c r="OH7" s="20">
        <v>0</v>
      </c>
      <c r="OI7" s="20">
        <v>0</v>
      </c>
      <c r="OJ7" s="20">
        <v>0</v>
      </c>
      <c r="OK7" s="20">
        <v>0</v>
      </c>
      <c r="OL7" s="20">
        <v>0</v>
      </c>
      <c r="OM7" s="20">
        <v>0</v>
      </c>
      <c r="ON7" s="20">
        <v>0</v>
      </c>
      <c r="OO7" s="20">
        <v>0</v>
      </c>
      <c r="OP7" s="20">
        <v>0</v>
      </c>
      <c r="OQ7" s="20">
        <v>0</v>
      </c>
      <c r="OR7" s="20">
        <v>0</v>
      </c>
      <c r="OS7" s="20">
        <v>0</v>
      </c>
      <c r="OT7" s="20">
        <v>0</v>
      </c>
      <c r="OU7" s="20">
        <v>0</v>
      </c>
      <c r="OV7" s="20">
        <v>0</v>
      </c>
      <c r="OW7" s="20">
        <v>0</v>
      </c>
      <c r="OX7" s="20">
        <v>0</v>
      </c>
      <c r="OY7" s="20">
        <v>0</v>
      </c>
      <c r="OZ7" s="20">
        <v>0</v>
      </c>
      <c r="PA7" s="20">
        <v>0</v>
      </c>
      <c r="PB7" s="20">
        <v>0</v>
      </c>
    </row>
    <row r="8" spans="1:418" x14ac:dyDescent="0.25">
      <c r="A8" s="8"/>
      <c r="B8" s="5" t="s">
        <v>116</v>
      </c>
      <c r="C8" s="8"/>
      <c r="D8" s="6" t="s">
        <v>131</v>
      </c>
      <c r="E8" s="8" t="s">
        <v>141</v>
      </c>
      <c r="F8" s="5"/>
      <c r="G8" s="5"/>
      <c r="H8" s="5"/>
      <c r="I8" s="5"/>
      <c r="J8" s="5" t="s">
        <v>119</v>
      </c>
      <c r="K8" s="4"/>
      <c r="L8" s="6" t="str">
        <f>IF($E$10=AK22,"PAL40H40/3,3",IF($E$10=AK23,"PAL30H32/3,3",IF($E$10=AK24,"CWP40H35/3,3MC","-------")))</f>
        <v>PAL40H40/3,3</v>
      </c>
      <c r="M8" s="14">
        <f>INDEX(cennik!$A$2:$O$529,MATCH($L8,cennik!$B$2:$B$522,0),MATCH(M$2,cennik!$A$1:$O$1,0))</f>
        <v>894633</v>
      </c>
      <c r="N8" s="14" t="str">
        <f>INDEX(cennik!$A$2:$O$529,MATCH($L8,cennik!$B$2:$B$522,0),MATCH(N$2,cennik!$A$1:$O$1,0))</f>
        <v>szt.</v>
      </c>
      <c r="O8" s="14">
        <f>SUM(JO3:JO18)</f>
        <v>0</v>
      </c>
      <c r="P8" s="22">
        <f>INDEX(cennik!$A$2:$O$529,MATCH($L8,cennik!$B$2:$B$522,0),MATCH(P$2,cennik!$A$1:$O$1,0))</f>
        <v>102.3</v>
      </c>
      <c r="Q8" s="22">
        <f t="shared" si="2"/>
        <v>0</v>
      </c>
      <c r="R8" s="23">
        <f t="shared" si="3"/>
        <v>0</v>
      </c>
      <c r="S8" s="22">
        <f t="shared" si="4"/>
        <v>102.3</v>
      </c>
      <c r="T8" s="22">
        <f t="shared" si="5"/>
        <v>0</v>
      </c>
      <c r="U8" s="22">
        <f>INDEX(cennik!$A$2:$O$529,MATCH($L8,cennik!$B$2:$B$522,0),MATCH(U$2,cennik!$A$1:$O$1,0))*O8</f>
        <v>0</v>
      </c>
      <c r="V8" s="20"/>
      <c r="W8" s="20"/>
      <c r="X8" s="25">
        <f t="shared" si="0"/>
        <v>0</v>
      </c>
      <c r="Y8" s="20" t="s">
        <v>134</v>
      </c>
      <c r="Z8" s="20"/>
      <c r="AA8" s="20"/>
      <c r="AB8" s="26">
        <v>34</v>
      </c>
      <c r="AC8" s="356"/>
      <c r="AE8" s="356" t="s">
        <v>110</v>
      </c>
      <c r="AF8" s="20" t="s">
        <v>14</v>
      </c>
      <c r="AG8" s="20">
        <v>34</v>
      </c>
      <c r="AH8" s="356" t="s">
        <v>40</v>
      </c>
      <c r="AJ8" s="357" t="s">
        <v>151</v>
      </c>
      <c r="AK8" s="357" t="s">
        <v>151</v>
      </c>
      <c r="AL8" s="20">
        <f t="shared" si="1"/>
        <v>0</v>
      </c>
      <c r="AM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7,$BB$2:$CA$2,0),MATCH($W$2,$AH$22:$AH$47,0)))*C7</f>
        <v>0</v>
      </c>
      <c r="AN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7,$BB$2:$CA$2,0),MATCH($W$2,$AH$22:$AH$47,0)))*C7</f>
        <v>0</v>
      </c>
      <c r="AO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7,$BB$2:$CA$2,0),MATCH($W$2,$AH$22:$AH$47,0)))*C7</f>
        <v>0</v>
      </c>
      <c r="AP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7,$BB$2:$CA$2,0),MATCH($W$2,$AH$22:$AH$47,0)))*C7</f>
        <v>0</v>
      </c>
      <c r="AQ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7,$BB$2:$CA$2,0),MATCH($W$2,$AH$22:$AH$47,0)))*C7</f>
        <v>0</v>
      </c>
      <c r="AR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7,$BB$2:$CA$2,0),MATCH($W$2,$AH$22:$AH$47,0)))*C7</f>
        <v>0</v>
      </c>
      <c r="AS8" s="20"/>
      <c r="AZ8" s="20"/>
      <c r="BA8" s="20" t="s">
        <v>408</v>
      </c>
      <c r="BB8" s="20">
        <v>0</v>
      </c>
      <c r="BC8" s="20">
        <f>((((SUM(BC3:BC7))/2)-1))*4</f>
        <v>0</v>
      </c>
      <c r="BD8" s="20">
        <f t="shared" ref="BD8:CZ8" si="9">((((SUM(BD3:BD7))/2)-1))*4</f>
        <v>0</v>
      </c>
      <c r="BE8" s="20">
        <f t="shared" si="9"/>
        <v>0</v>
      </c>
      <c r="BF8" s="20">
        <f t="shared" si="9"/>
        <v>4</v>
      </c>
      <c r="BG8" s="20">
        <f t="shared" si="9"/>
        <v>4</v>
      </c>
      <c r="BH8" s="20">
        <f t="shared" si="9"/>
        <v>4</v>
      </c>
      <c r="BI8" s="20">
        <f t="shared" si="9"/>
        <v>8</v>
      </c>
      <c r="BJ8" s="20">
        <f t="shared" si="9"/>
        <v>8</v>
      </c>
      <c r="BK8" s="20">
        <f t="shared" si="9"/>
        <v>8</v>
      </c>
      <c r="BL8" s="20">
        <f t="shared" si="9"/>
        <v>12</v>
      </c>
      <c r="BM8" s="20">
        <f t="shared" si="9"/>
        <v>12</v>
      </c>
      <c r="BN8" s="20">
        <f t="shared" si="9"/>
        <v>12</v>
      </c>
      <c r="BO8" s="20">
        <f t="shared" si="9"/>
        <v>16</v>
      </c>
      <c r="BP8" s="20">
        <f t="shared" si="9"/>
        <v>16</v>
      </c>
      <c r="BQ8" s="20">
        <f t="shared" si="9"/>
        <v>16</v>
      </c>
      <c r="BR8" s="20">
        <f t="shared" si="9"/>
        <v>16</v>
      </c>
      <c r="BS8" s="20">
        <f t="shared" si="9"/>
        <v>20</v>
      </c>
      <c r="BT8" s="20">
        <f t="shared" si="9"/>
        <v>20</v>
      </c>
      <c r="BU8" s="20">
        <f t="shared" si="9"/>
        <v>20</v>
      </c>
      <c r="BV8" s="20">
        <f t="shared" si="9"/>
        <v>24</v>
      </c>
      <c r="BW8" s="20">
        <f t="shared" si="9"/>
        <v>24</v>
      </c>
      <c r="BX8" s="20">
        <f t="shared" si="9"/>
        <v>24</v>
      </c>
      <c r="BY8" s="20">
        <f t="shared" si="9"/>
        <v>28</v>
      </c>
      <c r="BZ8" s="20">
        <f t="shared" si="9"/>
        <v>28</v>
      </c>
      <c r="CA8" s="20">
        <f t="shared" si="9"/>
        <v>28</v>
      </c>
      <c r="CB8" s="20">
        <f t="shared" si="9"/>
        <v>32</v>
      </c>
      <c r="CC8" s="20">
        <f t="shared" si="9"/>
        <v>32</v>
      </c>
      <c r="CD8" s="20">
        <f t="shared" si="9"/>
        <v>32</v>
      </c>
      <c r="CE8" s="20">
        <f t="shared" si="9"/>
        <v>32</v>
      </c>
      <c r="CF8" s="20">
        <f t="shared" si="9"/>
        <v>36</v>
      </c>
      <c r="CG8" s="20">
        <f t="shared" si="9"/>
        <v>36</v>
      </c>
      <c r="CH8" s="20">
        <f t="shared" si="9"/>
        <v>36</v>
      </c>
      <c r="CI8" s="20">
        <f t="shared" si="9"/>
        <v>40</v>
      </c>
      <c r="CJ8" s="20">
        <f t="shared" si="9"/>
        <v>40</v>
      </c>
      <c r="CK8" s="20">
        <f t="shared" si="9"/>
        <v>40</v>
      </c>
      <c r="CL8" s="20">
        <f t="shared" si="9"/>
        <v>44</v>
      </c>
      <c r="CM8" s="20">
        <f t="shared" si="9"/>
        <v>44</v>
      </c>
      <c r="CN8" s="20">
        <f t="shared" si="9"/>
        <v>44</v>
      </c>
      <c r="CO8" s="20">
        <f t="shared" si="9"/>
        <v>48</v>
      </c>
      <c r="CP8" s="20">
        <f t="shared" si="9"/>
        <v>48</v>
      </c>
      <c r="CQ8" s="20">
        <f t="shared" si="9"/>
        <v>48</v>
      </c>
      <c r="CR8" s="20">
        <f t="shared" si="9"/>
        <v>52</v>
      </c>
      <c r="CS8" s="20">
        <f t="shared" si="9"/>
        <v>52</v>
      </c>
      <c r="CT8" s="20">
        <f t="shared" si="9"/>
        <v>52</v>
      </c>
      <c r="CU8" s="20">
        <f t="shared" si="9"/>
        <v>52</v>
      </c>
      <c r="CV8" s="20">
        <f t="shared" si="9"/>
        <v>56</v>
      </c>
      <c r="CW8" s="20">
        <f t="shared" si="9"/>
        <v>56</v>
      </c>
      <c r="CX8" s="20">
        <f t="shared" si="9"/>
        <v>56</v>
      </c>
      <c r="CY8" s="20">
        <f t="shared" si="9"/>
        <v>60</v>
      </c>
      <c r="CZ8" s="20">
        <f t="shared" si="9"/>
        <v>60</v>
      </c>
      <c r="DA8" s="54"/>
      <c r="DB8" s="54">
        <v>7</v>
      </c>
      <c r="DC8" s="54"/>
      <c r="DD8" s="26" t="s">
        <v>710</v>
      </c>
      <c r="DE8" s="20">
        <v>0</v>
      </c>
      <c r="DF8" s="20"/>
      <c r="DG8" s="20"/>
      <c r="DH8" s="20"/>
      <c r="DI8" s="20"/>
      <c r="DJ8" s="20"/>
      <c r="DK8" s="20"/>
      <c r="DL8" s="20"/>
      <c r="DM8" s="20"/>
      <c r="DN8" s="20"/>
      <c r="DO8" s="20"/>
      <c r="DP8" s="20"/>
      <c r="DQ8" s="20"/>
      <c r="DR8" s="20"/>
      <c r="DS8" s="20"/>
      <c r="DT8" s="20"/>
      <c r="DU8" s="20"/>
      <c r="DV8" s="20"/>
      <c r="DW8" s="20"/>
      <c r="DX8" s="20"/>
      <c r="DY8" s="20"/>
      <c r="DZ8" s="20"/>
      <c r="EA8" s="20"/>
      <c r="EB8" s="20" t="s">
        <v>408</v>
      </c>
      <c r="EC8" s="20">
        <v>0</v>
      </c>
      <c r="ED8" s="20">
        <f>((((SUM(ED3:ED7))/2)-1))*4</f>
        <v>0</v>
      </c>
      <c r="EE8" s="20">
        <f t="shared" ref="EE8:GA8" si="10">((((SUM(EE3:EE7))/2)-1))*4</f>
        <v>8</v>
      </c>
      <c r="EF8" s="20">
        <f t="shared" si="10"/>
        <v>4</v>
      </c>
      <c r="EG8" s="20">
        <f t="shared" si="10"/>
        <v>8</v>
      </c>
      <c r="EH8" s="20">
        <f t="shared" si="10"/>
        <v>8</v>
      </c>
      <c r="EI8" s="20">
        <f t="shared" si="10"/>
        <v>12</v>
      </c>
      <c r="EJ8" s="20">
        <f t="shared" si="10"/>
        <v>12</v>
      </c>
      <c r="EK8" s="20">
        <f t="shared" si="10"/>
        <v>16</v>
      </c>
      <c r="EL8" s="20">
        <f t="shared" si="10"/>
        <v>16</v>
      </c>
      <c r="EM8" s="20">
        <f t="shared" si="10"/>
        <v>20</v>
      </c>
      <c r="EN8" s="20">
        <f t="shared" si="10"/>
        <v>20</v>
      </c>
      <c r="EO8" s="20">
        <f t="shared" si="10"/>
        <v>24</v>
      </c>
      <c r="EP8" s="20">
        <f t="shared" si="10"/>
        <v>24</v>
      </c>
      <c r="EQ8" s="20">
        <f t="shared" si="10"/>
        <v>28</v>
      </c>
      <c r="ER8" s="20">
        <f t="shared" si="10"/>
        <v>28</v>
      </c>
      <c r="ES8" s="20">
        <f t="shared" si="10"/>
        <v>32</v>
      </c>
      <c r="ET8" s="20">
        <f t="shared" si="10"/>
        <v>32</v>
      </c>
      <c r="EU8" s="20">
        <f t="shared" si="10"/>
        <v>36</v>
      </c>
      <c r="EV8" s="20">
        <f t="shared" si="10"/>
        <v>36</v>
      </c>
      <c r="EW8" s="20">
        <f t="shared" si="10"/>
        <v>40</v>
      </c>
      <c r="EX8" s="20">
        <f t="shared" si="10"/>
        <v>40</v>
      </c>
      <c r="EY8" s="20">
        <f t="shared" si="10"/>
        <v>44</v>
      </c>
      <c r="EZ8" s="20">
        <f t="shared" si="10"/>
        <v>44</v>
      </c>
      <c r="FA8" s="20">
        <f t="shared" si="10"/>
        <v>48</v>
      </c>
      <c r="FB8" s="20">
        <f t="shared" si="10"/>
        <v>48</v>
      </c>
      <c r="FC8" s="20">
        <f t="shared" si="10"/>
        <v>52</v>
      </c>
      <c r="FD8" s="20">
        <f t="shared" si="10"/>
        <v>52</v>
      </c>
      <c r="FE8" s="20">
        <f t="shared" si="10"/>
        <v>56</v>
      </c>
      <c r="FF8" s="20">
        <f t="shared" si="10"/>
        <v>56</v>
      </c>
      <c r="FG8" s="20">
        <f t="shared" si="10"/>
        <v>60</v>
      </c>
      <c r="FH8" s="20">
        <f t="shared" si="10"/>
        <v>60</v>
      </c>
      <c r="FI8" s="20">
        <f t="shared" si="10"/>
        <v>64</v>
      </c>
      <c r="FJ8" s="20">
        <f t="shared" si="10"/>
        <v>64</v>
      </c>
      <c r="FK8" s="20">
        <f t="shared" si="10"/>
        <v>68</v>
      </c>
      <c r="FL8" s="20">
        <f t="shared" si="10"/>
        <v>68</v>
      </c>
      <c r="FM8" s="20">
        <f t="shared" si="10"/>
        <v>72</v>
      </c>
      <c r="FN8" s="20">
        <f t="shared" si="10"/>
        <v>72</v>
      </c>
      <c r="FO8" s="20">
        <f t="shared" si="10"/>
        <v>76</v>
      </c>
      <c r="FP8" s="20">
        <f t="shared" si="10"/>
        <v>76</v>
      </c>
      <c r="FQ8" s="20">
        <f t="shared" si="10"/>
        <v>80</v>
      </c>
      <c r="FR8" s="20">
        <f t="shared" si="10"/>
        <v>80</v>
      </c>
      <c r="FS8" s="20">
        <f t="shared" si="10"/>
        <v>84</v>
      </c>
      <c r="FT8" s="20">
        <f t="shared" si="10"/>
        <v>84</v>
      </c>
      <c r="FU8" s="20">
        <f t="shared" si="10"/>
        <v>88</v>
      </c>
      <c r="FV8" s="20">
        <f t="shared" si="10"/>
        <v>88</v>
      </c>
      <c r="FW8" s="20">
        <f t="shared" si="10"/>
        <v>92</v>
      </c>
      <c r="FX8" s="20">
        <f t="shared" si="10"/>
        <v>92</v>
      </c>
      <c r="FY8" s="20">
        <f t="shared" si="10"/>
        <v>96</v>
      </c>
      <c r="FZ8" s="20">
        <f t="shared" si="10"/>
        <v>96</v>
      </c>
      <c r="GA8" s="20">
        <f t="shared" si="10"/>
        <v>100</v>
      </c>
      <c r="GC8" s="20"/>
      <c r="GD8" s="20"/>
      <c r="GE8" s="20" t="s">
        <v>408</v>
      </c>
      <c r="GF8" s="20">
        <v>0</v>
      </c>
      <c r="GG8" s="20">
        <v>0</v>
      </c>
      <c r="GH8" s="20">
        <v>4</v>
      </c>
      <c r="GI8" s="20">
        <v>4</v>
      </c>
      <c r="GJ8" s="20">
        <v>8</v>
      </c>
      <c r="GK8" s="20">
        <v>8</v>
      </c>
      <c r="GL8" s="20">
        <v>12</v>
      </c>
      <c r="GM8" s="20">
        <v>16</v>
      </c>
      <c r="GN8" s="20">
        <v>16</v>
      </c>
      <c r="GO8" s="20">
        <v>20</v>
      </c>
      <c r="GP8" s="20">
        <v>20</v>
      </c>
      <c r="GQ8" s="20">
        <v>24</v>
      </c>
      <c r="GR8" s="20">
        <v>24</v>
      </c>
      <c r="GS8" s="20">
        <v>28</v>
      </c>
      <c r="GT8" s="20">
        <v>32</v>
      </c>
      <c r="GU8" s="20">
        <v>32</v>
      </c>
      <c r="GV8" s="20">
        <v>36</v>
      </c>
      <c r="GW8" s="20">
        <v>36</v>
      </c>
      <c r="GX8" s="20">
        <v>40</v>
      </c>
      <c r="GY8" s="20">
        <v>44</v>
      </c>
      <c r="GZ8" s="20">
        <v>44</v>
      </c>
      <c r="HA8" s="20">
        <v>48</v>
      </c>
      <c r="HB8" s="20">
        <v>48</v>
      </c>
      <c r="HC8" s="20">
        <v>52</v>
      </c>
      <c r="HD8" s="20">
        <v>52</v>
      </c>
      <c r="HE8" s="20">
        <v>56</v>
      </c>
      <c r="HF8" s="20">
        <v>60</v>
      </c>
      <c r="HG8" s="20">
        <v>60</v>
      </c>
      <c r="HH8" s="20">
        <v>64</v>
      </c>
      <c r="HI8" s="20">
        <v>64</v>
      </c>
      <c r="HJ8" s="20">
        <v>68</v>
      </c>
      <c r="HK8" s="20">
        <v>72</v>
      </c>
      <c r="HL8" s="20">
        <v>72</v>
      </c>
      <c r="HM8" s="20">
        <v>76</v>
      </c>
      <c r="HN8" s="20">
        <v>76</v>
      </c>
      <c r="HO8" s="20">
        <v>80</v>
      </c>
      <c r="HP8" s="20">
        <v>80</v>
      </c>
      <c r="HQ8" s="20">
        <v>84</v>
      </c>
      <c r="HR8" s="20">
        <v>88</v>
      </c>
      <c r="HS8" s="20">
        <v>88</v>
      </c>
      <c r="HT8" s="20">
        <v>92</v>
      </c>
      <c r="HU8" s="20">
        <v>92</v>
      </c>
      <c r="HV8" s="20">
        <v>96</v>
      </c>
      <c r="HW8" s="20">
        <v>100</v>
      </c>
      <c r="HX8" s="20">
        <v>100</v>
      </c>
      <c r="HY8" s="20">
        <v>104</v>
      </c>
      <c r="HZ8" s="20">
        <v>104</v>
      </c>
      <c r="IA8" s="20">
        <v>108</v>
      </c>
      <c r="IB8" s="20">
        <v>108</v>
      </c>
      <c r="IC8" s="20">
        <v>112</v>
      </c>
      <c r="ID8" s="20">
        <v>116</v>
      </c>
      <c r="IF8" s="21" t="s">
        <v>408</v>
      </c>
      <c r="IG8" s="21">
        <v>0</v>
      </c>
      <c r="IH8" s="21">
        <v>0</v>
      </c>
      <c r="II8" s="21">
        <v>4</v>
      </c>
      <c r="IJ8" s="21">
        <v>8</v>
      </c>
      <c r="IK8" s="21">
        <v>8</v>
      </c>
      <c r="IL8" s="21">
        <v>12</v>
      </c>
      <c r="IM8" s="21">
        <v>16</v>
      </c>
      <c r="IN8" s="21">
        <v>20</v>
      </c>
      <c r="IO8" s="21">
        <v>20</v>
      </c>
      <c r="IP8" s="21">
        <v>24</v>
      </c>
      <c r="IQ8" s="21">
        <v>28</v>
      </c>
      <c r="IR8" s="21">
        <v>28</v>
      </c>
      <c r="IS8" s="21">
        <v>32</v>
      </c>
      <c r="IT8" s="21">
        <v>36</v>
      </c>
      <c r="IU8" s="21">
        <v>40</v>
      </c>
      <c r="IV8" s="21">
        <v>40</v>
      </c>
      <c r="IW8" s="21">
        <v>44</v>
      </c>
      <c r="IX8" s="21">
        <v>48</v>
      </c>
      <c r="IY8" s="21">
        <v>48</v>
      </c>
      <c r="IZ8" s="21">
        <v>52</v>
      </c>
      <c r="JA8" s="21">
        <v>56</v>
      </c>
      <c r="JB8" s="21">
        <v>60</v>
      </c>
      <c r="JC8" s="21">
        <v>60</v>
      </c>
      <c r="JD8" s="21">
        <v>64</v>
      </c>
      <c r="JE8" s="21">
        <v>68</v>
      </c>
      <c r="JF8" s="21">
        <v>68</v>
      </c>
      <c r="JI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7,$JT$2:$KS$2,0),MATCH($W$2,$AH$22:$AH$47,0)))*C7</f>
        <v>0</v>
      </c>
      <c r="JJ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7,$JT$2:$KS$2,0),MATCH($W$2,$AH$22:$AH$47,0)))*C7</f>
        <v>0</v>
      </c>
      <c r="JK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7,$JT$2:$KS$2,0),MATCH($W$2,$AH$22:$AH$47,0)))*C7</f>
        <v>0</v>
      </c>
      <c r="JL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7,$JT$2:$KS$2,0),MATCH($W$2,$AH$22:$AH$47,0)))*C7</f>
        <v>0</v>
      </c>
      <c r="JM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7,$JT$2:$KS$2,0),MATCH($W$2,$AH$22:$AH$47,0)))*C7</f>
        <v>0</v>
      </c>
      <c r="JN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7,$JT$2:$KS$2,0),MATCH($W$2,$AH$22:$AH$47,0)))*C7</f>
        <v>0</v>
      </c>
      <c r="JO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7,$JT$2:$KS$2,0),MATCH($W$2,$AH$22:$AH$47,0)))*C7</f>
        <v>0</v>
      </c>
      <c r="JP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7,$JT$2:$KS$2,0),MATCH($W$2,$AH$22:$AH$47,0)))*C7</f>
        <v>0</v>
      </c>
      <c r="JQ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7,$JT$2:$KS$2,0),MATCH($W$2,$AH$22:$AH$47,0)))*C7</f>
        <v>0</v>
      </c>
      <c r="JS8" s="20" t="s">
        <v>19</v>
      </c>
      <c r="JT8" s="20">
        <v>0</v>
      </c>
      <c r="JU8" s="20">
        <v>0</v>
      </c>
      <c r="JV8" s="20">
        <v>0</v>
      </c>
      <c r="JW8" s="20">
        <v>0</v>
      </c>
      <c r="JX8" s="20">
        <v>0</v>
      </c>
      <c r="JY8" s="20">
        <v>0</v>
      </c>
      <c r="JZ8" s="20">
        <v>0</v>
      </c>
      <c r="KA8" s="20">
        <v>0</v>
      </c>
      <c r="KB8" s="20">
        <v>0</v>
      </c>
      <c r="KC8" s="20">
        <v>0</v>
      </c>
      <c r="KD8" s="20">
        <v>0</v>
      </c>
      <c r="KE8" s="20">
        <v>0</v>
      </c>
      <c r="KF8" s="20">
        <v>6</v>
      </c>
      <c r="KG8" s="20">
        <v>4</v>
      </c>
      <c r="KH8" s="20">
        <v>0</v>
      </c>
      <c r="KI8" s="20">
        <v>8</v>
      </c>
      <c r="KJ8" s="20">
        <v>0</v>
      </c>
      <c r="KK8" s="20">
        <v>4</v>
      </c>
      <c r="KL8" s="20">
        <v>0</v>
      </c>
      <c r="KM8" s="20">
        <v>4</v>
      </c>
      <c r="KN8" s="20">
        <v>4</v>
      </c>
      <c r="KO8" s="20">
        <v>0</v>
      </c>
      <c r="KP8" s="20">
        <v>2</v>
      </c>
      <c r="KQ8" s="20">
        <v>0</v>
      </c>
      <c r="KR8" s="20">
        <v>4</v>
      </c>
      <c r="KS8" s="20">
        <v>0</v>
      </c>
      <c r="KU8" s="20" t="s">
        <v>19</v>
      </c>
      <c r="KV8" s="20">
        <v>0</v>
      </c>
      <c r="KW8" s="20">
        <v>0</v>
      </c>
      <c r="KX8" s="20">
        <v>0</v>
      </c>
      <c r="KY8" s="20">
        <v>0</v>
      </c>
      <c r="KZ8" s="20">
        <v>0</v>
      </c>
      <c r="LA8" s="20">
        <v>0</v>
      </c>
      <c r="LB8" s="20">
        <v>4</v>
      </c>
      <c r="LC8" s="20">
        <v>4</v>
      </c>
      <c r="LD8" s="20">
        <v>6</v>
      </c>
      <c r="LE8" s="20">
        <v>0</v>
      </c>
      <c r="LF8" s="20">
        <v>8</v>
      </c>
      <c r="LG8" s="20">
        <v>10</v>
      </c>
      <c r="LH8" s="20">
        <v>2</v>
      </c>
      <c r="LI8" s="20">
        <v>12</v>
      </c>
      <c r="LJ8" s="20">
        <v>2</v>
      </c>
      <c r="LK8" s="20">
        <v>0</v>
      </c>
      <c r="LL8" s="20">
        <v>2</v>
      </c>
      <c r="LM8" s="20">
        <v>2</v>
      </c>
      <c r="LN8" s="20">
        <v>4</v>
      </c>
      <c r="LO8" s="20">
        <v>2</v>
      </c>
      <c r="LP8" s="20">
        <v>6</v>
      </c>
      <c r="LQ8" s="20">
        <v>4</v>
      </c>
      <c r="LR8" s="20">
        <v>0</v>
      </c>
      <c r="LS8" s="20">
        <v>6</v>
      </c>
      <c r="LT8" s="20">
        <v>8</v>
      </c>
      <c r="LU8" s="20">
        <v>8</v>
      </c>
      <c r="LW8" s="20" t="s">
        <v>19</v>
      </c>
      <c r="LX8" s="20">
        <v>0</v>
      </c>
      <c r="LY8" s="20">
        <v>0</v>
      </c>
      <c r="LZ8" s="20">
        <v>0</v>
      </c>
      <c r="MA8" s="20">
        <v>0</v>
      </c>
      <c r="MB8" s="20">
        <v>0</v>
      </c>
      <c r="MC8" s="20">
        <v>4</v>
      </c>
      <c r="MD8" s="20">
        <v>0</v>
      </c>
      <c r="ME8" s="20">
        <v>6</v>
      </c>
      <c r="MF8" s="20">
        <v>4</v>
      </c>
      <c r="MG8" s="20">
        <v>4</v>
      </c>
      <c r="MH8" s="20">
        <v>6</v>
      </c>
      <c r="MI8" s="20">
        <v>2</v>
      </c>
      <c r="MJ8" s="20">
        <v>6</v>
      </c>
      <c r="MK8" s="20">
        <v>0</v>
      </c>
      <c r="ML8" s="20">
        <v>2</v>
      </c>
      <c r="MM8" s="20">
        <v>2</v>
      </c>
      <c r="MN8" s="20">
        <v>0</v>
      </c>
      <c r="MO8" s="20">
        <v>2</v>
      </c>
      <c r="MP8" s="20">
        <v>8</v>
      </c>
      <c r="MQ8" s="20">
        <v>8</v>
      </c>
      <c r="MR8" s="20">
        <v>6</v>
      </c>
      <c r="MS8" s="20">
        <v>8</v>
      </c>
      <c r="MT8" s="20">
        <v>6</v>
      </c>
      <c r="MU8" s="20">
        <v>6</v>
      </c>
      <c r="MV8" s="20">
        <v>2</v>
      </c>
      <c r="MW8" s="20">
        <v>4</v>
      </c>
      <c r="MY8" s="21" t="s">
        <v>19</v>
      </c>
      <c r="MZ8" s="21">
        <v>0</v>
      </c>
      <c r="NA8" s="21">
        <v>0</v>
      </c>
      <c r="NB8" s="21">
        <v>0</v>
      </c>
      <c r="NC8" s="21">
        <v>0</v>
      </c>
      <c r="ND8" s="21">
        <v>0</v>
      </c>
      <c r="NE8" s="21">
        <v>6</v>
      </c>
      <c r="NF8" s="21">
        <v>0</v>
      </c>
      <c r="NG8" s="21">
        <v>6</v>
      </c>
      <c r="NH8" s="21">
        <v>6</v>
      </c>
      <c r="NI8" s="21">
        <v>0</v>
      </c>
      <c r="NJ8" s="21">
        <v>8</v>
      </c>
      <c r="NK8" s="21">
        <v>6</v>
      </c>
      <c r="NL8" s="21">
        <v>2</v>
      </c>
      <c r="NM8" s="21">
        <v>0</v>
      </c>
      <c r="NN8" s="21">
        <v>8</v>
      </c>
      <c r="NO8" s="21">
        <v>2</v>
      </c>
      <c r="NP8" s="21">
        <v>0</v>
      </c>
      <c r="NQ8" s="21">
        <v>0</v>
      </c>
      <c r="NR8" s="21">
        <v>2</v>
      </c>
      <c r="NS8" s="21">
        <v>0</v>
      </c>
      <c r="NT8" s="21">
        <v>8</v>
      </c>
      <c r="NU8" s="21">
        <v>2</v>
      </c>
      <c r="NV8" s="21">
        <v>4</v>
      </c>
      <c r="NW8" s="21">
        <v>8</v>
      </c>
      <c r="NX8" s="21">
        <v>2</v>
      </c>
      <c r="NY8" s="21">
        <v>0</v>
      </c>
      <c r="OB8" s="20" t="s">
        <v>19</v>
      </c>
      <c r="OC8" s="20">
        <v>0</v>
      </c>
      <c r="OD8" s="20">
        <v>0</v>
      </c>
      <c r="OE8" s="20">
        <v>0</v>
      </c>
      <c r="OF8" s="20">
        <v>2</v>
      </c>
      <c r="OG8" s="20">
        <v>4</v>
      </c>
      <c r="OH8" s="20">
        <v>2</v>
      </c>
      <c r="OI8" s="20">
        <v>8</v>
      </c>
      <c r="OJ8" s="20">
        <v>2</v>
      </c>
      <c r="OK8" s="20">
        <v>8</v>
      </c>
      <c r="OL8" s="20">
        <v>6</v>
      </c>
      <c r="OM8" s="20">
        <v>2</v>
      </c>
      <c r="ON8" s="20">
        <v>6</v>
      </c>
      <c r="OO8" s="20">
        <v>6</v>
      </c>
      <c r="OP8" s="20">
        <v>0</v>
      </c>
      <c r="OQ8" s="20">
        <v>2</v>
      </c>
      <c r="OR8" s="20">
        <v>0</v>
      </c>
      <c r="OS8" s="20">
        <v>8</v>
      </c>
      <c r="OT8" s="20">
        <v>2</v>
      </c>
      <c r="OU8" s="20">
        <v>8</v>
      </c>
      <c r="OV8" s="20">
        <v>4</v>
      </c>
      <c r="OW8" s="20">
        <v>2</v>
      </c>
      <c r="OX8" s="20">
        <v>4</v>
      </c>
      <c r="OY8" s="20">
        <v>6</v>
      </c>
      <c r="OZ8" s="20">
        <v>8</v>
      </c>
      <c r="PA8" s="20">
        <v>2</v>
      </c>
      <c r="PB8" s="20">
        <v>8</v>
      </c>
    </row>
    <row r="9" spans="1:418" ht="15" customHeight="1" x14ac:dyDescent="0.25">
      <c r="A9" s="8"/>
      <c r="B9" s="5" t="s">
        <v>116</v>
      </c>
      <c r="C9" s="8"/>
      <c r="D9" s="6" t="s">
        <v>162</v>
      </c>
      <c r="E9" s="8">
        <v>0</v>
      </c>
      <c r="F9" s="6"/>
      <c r="G9" s="6"/>
      <c r="H9" s="6"/>
      <c r="I9" s="6"/>
      <c r="J9" s="5" t="s">
        <v>163</v>
      </c>
      <c r="K9" s="4"/>
      <c r="L9" s="6" t="str">
        <f>IF($E$10=AK22,"PAL40H40/3,6",IF($E$10=AK23,"-------",IF($E$10=AK24,"-------","-------")))</f>
        <v>PAL40H40/3,6</v>
      </c>
      <c r="M9" s="14">
        <f>INDEX(cennik!$A$2:$O$529,MATCH($L9,cennik!$B$2:$B$522,0),MATCH(M$2,cennik!$A$1:$O$1,0))</f>
        <v>894636</v>
      </c>
      <c r="N9" s="14" t="str">
        <f>INDEX(cennik!$A$2:$O$529,MATCH($L9,cennik!$B$2:$B$522,0),MATCH(N$2,cennik!$A$1:$O$1,0))</f>
        <v>szt.</v>
      </c>
      <c r="O9" s="14">
        <f>IF(L9="-------",0,SUM(JP3:JP18))</f>
        <v>0</v>
      </c>
      <c r="P9" s="22">
        <f>INDEX(cennik!$A$2:$O$529,MATCH($L9,cennik!$B$2:$B$522,0),MATCH(P$2,cennik!$A$1:$O$1,0))</f>
        <v>111.6</v>
      </c>
      <c r="Q9" s="22">
        <f t="shared" ref="Q9:Q10" si="11">O9*P9</f>
        <v>0</v>
      </c>
      <c r="R9" s="23">
        <f t="shared" si="3"/>
        <v>0</v>
      </c>
      <c r="S9" s="22">
        <f t="shared" ref="S9:S10" si="12">P9*((100-$E$9)/100)</f>
        <v>111.6</v>
      </c>
      <c r="T9" s="22">
        <f t="shared" ref="T9:T10" si="13">O9*S9</f>
        <v>0</v>
      </c>
      <c r="U9" s="22">
        <f>INDEX(cennik!$A$2:$O$529,MATCH($L9,cennik!$B$2:$B$522,0),MATCH(U$2,cennik!$A$1:$O$1,0))*O9</f>
        <v>0</v>
      </c>
      <c r="V9" s="20"/>
      <c r="W9" s="20"/>
      <c r="X9" s="25">
        <f t="shared" si="0"/>
        <v>0</v>
      </c>
      <c r="Y9" s="20" t="s">
        <v>147</v>
      </c>
      <c r="Z9" s="20"/>
      <c r="AA9" s="20">
        <f>INT(((A2*IF(G3=AH22,1000,IF(G3=AH23,1050,IF(G3=AH24,1100,IF(G3=AH25,1150)))))+((A2-1)*20)+80)/E4)</f>
        <v>0</v>
      </c>
      <c r="AB9" s="26">
        <v>35</v>
      </c>
      <c r="AC9" s="356" t="s">
        <v>29</v>
      </c>
      <c r="AD9" s="356" t="s">
        <v>30</v>
      </c>
      <c r="AE9" s="356" t="s">
        <v>110</v>
      </c>
      <c r="AF9" s="20" t="s">
        <v>14</v>
      </c>
      <c r="AG9" s="20">
        <v>35</v>
      </c>
      <c r="AH9" s="356" t="s">
        <v>41</v>
      </c>
      <c r="AI9" s="356" t="s">
        <v>42</v>
      </c>
      <c r="AJ9" s="357" t="s">
        <v>151</v>
      </c>
      <c r="AK9" s="357" t="s">
        <v>151</v>
      </c>
      <c r="AL9" s="20">
        <f t="shared" si="1"/>
        <v>0</v>
      </c>
      <c r="AM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8,$BB$2:$CA$2,0),MATCH($W$2,$AH$22:$AH$47,0)))*C8</f>
        <v>0</v>
      </c>
      <c r="AN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8,$BB$2:$CA$2,0),MATCH($W$2,$AH$22:$AH$47,0)))*C8</f>
        <v>0</v>
      </c>
      <c r="AO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8,$BB$2:$CA$2,0),MATCH($W$2,$AH$22:$AH$47,0)))*C8</f>
        <v>0</v>
      </c>
      <c r="AP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8,$BB$2:$CA$2,0),MATCH($W$2,$AH$22:$AH$47,0)))*C8</f>
        <v>0</v>
      </c>
      <c r="AQ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8,$BB$2:$CA$2,0),MATCH($W$2,$AH$22:$AH$47,0)))*C8</f>
        <v>0</v>
      </c>
      <c r="AR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8,$BB$2:$CA$2,0),MATCH($W$2,$AH$22:$AH$47,0)))*C8</f>
        <v>0</v>
      </c>
      <c r="AS9" s="20"/>
      <c r="AZ9" s="20"/>
      <c r="BA9" s="26" t="s">
        <v>516</v>
      </c>
      <c r="BB9" s="20">
        <v>0</v>
      </c>
      <c r="BC9" s="20">
        <v>2</v>
      </c>
      <c r="BD9" s="20">
        <v>0</v>
      </c>
      <c r="BE9" s="20">
        <v>0</v>
      </c>
      <c r="BF9" s="20">
        <v>0</v>
      </c>
      <c r="BG9" s="20">
        <v>0</v>
      </c>
      <c r="BH9" s="20">
        <v>0</v>
      </c>
      <c r="BI9" s="20">
        <v>0</v>
      </c>
      <c r="BJ9" s="20">
        <v>0</v>
      </c>
      <c r="BK9" s="20">
        <v>0</v>
      </c>
      <c r="BL9" s="20">
        <v>0</v>
      </c>
      <c r="BM9" s="20">
        <v>0</v>
      </c>
      <c r="BN9" s="20">
        <v>0</v>
      </c>
      <c r="BO9" s="20">
        <v>0</v>
      </c>
      <c r="BP9" s="20">
        <v>0</v>
      </c>
      <c r="BQ9" s="20">
        <v>0</v>
      </c>
      <c r="BR9" s="20">
        <v>0</v>
      </c>
      <c r="BS9" s="20">
        <v>0</v>
      </c>
      <c r="BT9" s="20">
        <v>0</v>
      </c>
      <c r="BU9" s="20">
        <v>0</v>
      </c>
      <c r="BV9" s="20">
        <v>0</v>
      </c>
      <c r="BW9" s="20">
        <v>0</v>
      </c>
      <c r="BX9" s="20">
        <v>0</v>
      </c>
      <c r="BY9" s="20">
        <v>0</v>
      </c>
      <c r="BZ9" s="20">
        <v>0</v>
      </c>
      <c r="CA9" s="20">
        <v>0</v>
      </c>
      <c r="CB9" s="20">
        <v>0</v>
      </c>
      <c r="CC9" s="20">
        <v>0</v>
      </c>
      <c r="CD9" s="20">
        <v>0</v>
      </c>
      <c r="CE9" s="20">
        <v>0</v>
      </c>
      <c r="CF9" s="20">
        <v>0</v>
      </c>
      <c r="CG9" s="20">
        <v>0</v>
      </c>
      <c r="CH9" s="20">
        <v>0</v>
      </c>
      <c r="CI9" s="20">
        <v>0</v>
      </c>
      <c r="CJ9" s="20">
        <v>0</v>
      </c>
      <c r="CK9" s="20">
        <v>0</v>
      </c>
      <c r="CL9" s="20">
        <v>0</v>
      </c>
      <c r="CM9" s="20">
        <v>0</v>
      </c>
      <c r="CN9" s="20">
        <v>0</v>
      </c>
      <c r="CO9" s="20">
        <v>0</v>
      </c>
      <c r="CP9" s="20">
        <v>0</v>
      </c>
      <c r="CQ9" s="20">
        <v>0</v>
      </c>
      <c r="CR9" s="20">
        <v>0</v>
      </c>
      <c r="CS9" s="20">
        <v>0</v>
      </c>
      <c r="CT9" s="20">
        <v>0</v>
      </c>
      <c r="CU9" s="20">
        <v>0</v>
      </c>
      <c r="CV9" s="20">
        <v>0</v>
      </c>
      <c r="CW9" s="20">
        <v>0</v>
      </c>
      <c r="CX9" s="20">
        <v>0</v>
      </c>
      <c r="CY9" s="20">
        <v>0</v>
      </c>
      <c r="CZ9" s="20">
        <v>0</v>
      </c>
      <c r="DA9" s="54"/>
      <c r="DB9" s="54">
        <v>8</v>
      </c>
      <c r="DC9" s="54"/>
      <c r="DD9" s="26" t="s">
        <v>711</v>
      </c>
      <c r="DE9" s="20">
        <v>0</v>
      </c>
      <c r="DF9" s="20"/>
      <c r="DG9" s="20"/>
      <c r="DH9" s="20"/>
      <c r="DI9" s="20"/>
      <c r="DJ9" s="20"/>
      <c r="DK9" s="20"/>
      <c r="DL9" s="20"/>
      <c r="DM9" s="20"/>
      <c r="DN9" s="20"/>
      <c r="DO9" s="20"/>
      <c r="DP9" s="20"/>
      <c r="DQ9" s="20"/>
      <c r="DR9" s="20"/>
      <c r="DS9" s="20"/>
      <c r="DT9" s="20"/>
      <c r="DU9" s="20"/>
      <c r="DV9" s="20"/>
      <c r="DW9" s="20"/>
      <c r="DX9" s="20"/>
      <c r="DY9" s="20"/>
      <c r="DZ9" s="20"/>
      <c r="EA9" s="20"/>
      <c r="EB9" s="26" t="s">
        <v>516</v>
      </c>
      <c r="EC9" s="20">
        <v>0</v>
      </c>
      <c r="ED9" s="20">
        <v>0</v>
      </c>
      <c r="EE9" s="20">
        <v>6</v>
      </c>
      <c r="EF9" s="20">
        <v>0</v>
      </c>
      <c r="EG9" s="20">
        <v>0</v>
      </c>
      <c r="EH9" s="20">
        <v>0</v>
      </c>
      <c r="EI9" s="20">
        <v>0</v>
      </c>
      <c r="EJ9" s="20">
        <v>0</v>
      </c>
      <c r="EK9" s="20">
        <v>0</v>
      </c>
      <c r="EL9" s="20">
        <v>0</v>
      </c>
      <c r="EM9" s="20">
        <v>2</v>
      </c>
      <c r="EN9" s="20">
        <v>0</v>
      </c>
      <c r="EO9" s="20">
        <v>0</v>
      </c>
      <c r="EP9" s="20">
        <v>0</v>
      </c>
      <c r="EQ9" s="20">
        <v>0</v>
      </c>
      <c r="ER9" s="20">
        <v>0</v>
      </c>
      <c r="ES9" s="20">
        <v>0</v>
      </c>
      <c r="ET9" s="20">
        <v>0</v>
      </c>
      <c r="EU9" s="20">
        <v>0</v>
      </c>
      <c r="EV9" s="20">
        <v>0</v>
      </c>
      <c r="EW9" s="20">
        <v>0</v>
      </c>
      <c r="EX9" s="20">
        <v>0</v>
      </c>
      <c r="EY9" s="20">
        <v>0</v>
      </c>
      <c r="EZ9" s="20">
        <v>0</v>
      </c>
      <c r="FA9" s="20">
        <v>0</v>
      </c>
      <c r="FB9" s="20">
        <v>0</v>
      </c>
      <c r="FC9" s="20">
        <v>0</v>
      </c>
      <c r="FD9" s="20">
        <v>0</v>
      </c>
      <c r="FE9" s="20">
        <v>0</v>
      </c>
      <c r="FF9" s="20">
        <v>0</v>
      </c>
      <c r="FG9" s="20">
        <v>0</v>
      </c>
      <c r="FH9" s="20">
        <v>0</v>
      </c>
      <c r="FI9" s="20">
        <v>2</v>
      </c>
      <c r="FJ9" s="20">
        <v>0</v>
      </c>
      <c r="FK9" s="20">
        <v>0</v>
      </c>
      <c r="FL9" s="20">
        <v>0</v>
      </c>
      <c r="FM9" s="20">
        <v>0</v>
      </c>
      <c r="FN9" s="20">
        <v>0</v>
      </c>
      <c r="FO9" s="20">
        <v>0</v>
      </c>
      <c r="FP9" s="20">
        <v>0</v>
      </c>
      <c r="FQ9" s="20">
        <v>0</v>
      </c>
      <c r="FR9" s="20">
        <v>0</v>
      </c>
      <c r="FS9" s="20">
        <v>0</v>
      </c>
      <c r="FT9" s="20">
        <v>0</v>
      </c>
      <c r="FU9" s="20">
        <v>0</v>
      </c>
      <c r="FV9" s="20">
        <v>0</v>
      </c>
      <c r="FW9" s="20">
        <v>0</v>
      </c>
      <c r="FX9" s="20">
        <v>0</v>
      </c>
      <c r="FY9" s="20">
        <v>0</v>
      </c>
      <c r="FZ9" s="20">
        <v>0</v>
      </c>
      <c r="GA9" s="20">
        <v>0</v>
      </c>
      <c r="GC9" s="20"/>
      <c r="GD9" s="20"/>
      <c r="GE9" s="26" t="s">
        <v>516</v>
      </c>
      <c r="GF9" s="20">
        <v>0</v>
      </c>
      <c r="GG9" s="20">
        <v>0</v>
      </c>
      <c r="GH9" s="20">
        <v>0</v>
      </c>
      <c r="GI9" s="20">
        <v>0</v>
      </c>
      <c r="GJ9" s="20">
        <v>2</v>
      </c>
      <c r="GK9" s="20">
        <v>0</v>
      </c>
      <c r="GL9" s="20">
        <v>0</v>
      </c>
      <c r="GM9" s="20">
        <v>0</v>
      </c>
      <c r="GN9" s="20">
        <v>0</v>
      </c>
      <c r="GO9" s="20">
        <v>0</v>
      </c>
      <c r="GP9" s="20">
        <v>0</v>
      </c>
      <c r="GQ9" s="20">
        <v>0</v>
      </c>
      <c r="GR9" s="20">
        <v>0</v>
      </c>
      <c r="GS9" s="20">
        <v>0</v>
      </c>
      <c r="GT9" s="20">
        <v>0</v>
      </c>
      <c r="GU9" s="20">
        <v>0</v>
      </c>
      <c r="GV9" s="20">
        <v>0</v>
      </c>
      <c r="GW9" s="20">
        <v>0</v>
      </c>
      <c r="GX9" s="20">
        <v>0</v>
      </c>
      <c r="GY9" s="20">
        <v>0</v>
      </c>
      <c r="GZ9" s="20">
        <v>0</v>
      </c>
      <c r="HA9" s="20">
        <v>0</v>
      </c>
      <c r="HB9" s="20">
        <v>0</v>
      </c>
      <c r="HC9" s="20">
        <v>0</v>
      </c>
      <c r="HD9" s="20">
        <v>0</v>
      </c>
      <c r="HE9" s="20">
        <v>0</v>
      </c>
      <c r="HF9" s="20">
        <v>0</v>
      </c>
      <c r="HG9" s="20">
        <v>0</v>
      </c>
      <c r="HH9" s="20">
        <v>0</v>
      </c>
      <c r="HI9" s="20">
        <v>0</v>
      </c>
      <c r="HJ9" s="20">
        <v>0</v>
      </c>
      <c r="HK9" s="20">
        <v>0</v>
      </c>
      <c r="HL9" s="20">
        <v>0</v>
      </c>
      <c r="HM9" s="20">
        <v>0</v>
      </c>
      <c r="HN9" s="20">
        <v>0</v>
      </c>
      <c r="HO9" s="20">
        <v>0</v>
      </c>
      <c r="HP9" s="20">
        <v>0</v>
      </c>
      <c r="HQ9" s="20">
        <v>0</v>
      </c>
      <c r="HR9" s="20">
        <v>0</v>
      </c>
      <c r="HS9" s="20">
        <v>0</v>
      </c>
      <c r="HT9" s="20">
        <v>0</v>
      </c>
      <c r="HU9" s="20">
        <v>0</v>
      </c>
      <c r="HV9" s="20">
        <v>0</v>
      </c>
      <c r="HW9" s="20">
        <v>0</v>
      </c>
      <c r="HX9" s="20">
        <v>0</v>
      </c>
      <c r="HY9" s="20">
        <v>0</v>
      </c>
      <c r="HZ9" s="20">
        <v>0</v>
      </c>
      <c r="IA9" s="20">
        <v>0</v>
      </c>
      <c r="IB9" s="20">
        <v>0</v>
      </c>
      <c r="IC9" s="20">
        <v>0</v>
      </c>
      <c r="ID9" s="20">
        <v>0</v>
      </c>
      <c r="IF9" s="21" t="s">
        <v>516</v>
      </c>
      <c r="IG9" s="21">
        <v>0</v>
      </c>
      <c r="IH9" s="21">
        <v>0</v>
      </c>
      <c r="II9" s="21">
        <v>0</v>
      </c>
      <c r="IJ9" s="21">
        <v>0</v>
      </c>
      <c r="IK9" s="21">
        <v>0</v>
      </c>
      <c r="IL9" s="21">
        <v>0</v>
      </c>
      <c r="IM9" s="21">
        <v>0</v>
      </c>
      <c r="IN9" s="21">
        <v>0</v>
      </c>
      <c r="IO9" s="21">
        <v>0</v>
      </c>
      <c r="IP9" s="21">
        <v>0</v>
      </c>
      <c r="IQ9" s="21">
        <v>0</v>
      </c>
      <c r="IR9" s="21">
        <v>0</v>
      </c>
      <c r="IS9" s="21">
        <v>0</v>
      </c>
      <c r="IT9" s="21">
        <v>0</v>
      </c>
      <c r="IU9" s="21">
        <v>0</v>
      </c>
      <c r="IV9" s="21">
        <v>0</v>
      </c>
      <c r="IW9" s="21">
        <v>0</v>
      </c>
      <c r="IX9" s="21">
        <v>0</v>
      </c>
      <c r="IY9" s="21">
        <v>0</v>
      </c>
      <c r="IZ9" s="21">
        <v>0</v>
      </c>
      <c r="JA9" s="21">
        <v>0</v>
      </c>
      <c r="JB9" s="21">
        <v>0</v>
      </c>
      <c r="JC9" s="21">
        <v>0</v>
      </c>
      <c r="JD9" s="21">
        <v>0</v>
      </c>
      <c r="JE9" s="21">
        <v>0</v>
      </c>
      <c r="JF9" s="21">
        <v>0</v>
      </c>
      <c r="JI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8,$JT$2:$KS$2,0),MATCH($W$2,$AH$22:$AH$47,0)))*C8</f>
        <v>0</v>
      </c>
      <c r="JJ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8,$JT$2:$KS$2,0),MATCH($W$2,$AH$22:$AH$47,0)))*C8</f>
        <v>0</v>
      </c>
      <c r="JK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8,$JT$2:$KS$2,0),MATCH($W$2,$AH$22:$AH$47,0)))*C8</f>
        <v>0</v>
      </c>
      <c r="JL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8,$JT$2:$KS$2,0),MATCH($W$2,$AH$22:$AH$47,0)))*C8</f>
        <v>0</v>
      </c>
      <c r="JM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8,$JT$2:$KS$2,0),MATCH($W$2,$AH$22:$AH$47,0)))*C8</f>
        <v>0</v>
      </c>
      <c r="JN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8,$JT$2:$KS$2,0),MATCH($W$2,$AH$22:$AH$47,0)))*C8</f>
        <v>0</v>
      </c>
      <c r="JO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8,$JT$2:$KS$2,0),MATCH($W$2,$AH$22:$AH$47,0)))*C8</f>
        <v>0</v>
      </c>
      <c r="JP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8,$JT$2:$KS$2,0),MATCH($W$2,$AH$22:$AH$47,0)))*C8</f>
        <v>0</v>
      </c>
      <c r="JQ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8,$JT$2:$KS$2,0),MATCH($W$2,$AH$22:$AH$47,0)))*C8</f>
        <v>0</v>
      </c>
      <c r="JS9" s="20" t="s">
        <v>1298</v>
      </c>
      <c r="JT9" s="20">
        <v>0</v>
      </c>
      <c r="JU9" s="20">
        <v>0</v>
      </c>
      <c r="JV9" s="20">
        <v>0</v>
      </c>
      <c r="JW9" s="20">
        <v>0</v>
      </c>
      <c r="JX9" s="20">
        <v>0</v>
      </c>
      <c r="JY9" s="20">
        <v>0</v>
      </c>
      <c r="JZ9" s="20">
        <v>0</v>
      </c>
      <c r="KA9" s="20">
        <v>4</v>
      </c>
      <c r="KB9" s="20">
        <v>4</v>
      </c>
      <c r="KC9" s="20">
        <v>4</v>
      </c>
      <c r="KD9" s="20">
        <v>4</v>
      </c>
      <c r="KE9" s="20">
        <v>4</v>
      </c>
      <c r="KF9" s="20">
        <v>0</v>
      </c>
      <c r="KG9" s="20">
        <v>2</v>
      </c>
      <c r="KH9" s="20">
        <v>8</v>
      </c>
      <c r="KI9" s="20">
        <v>0</v>
      </c>
      <c r="KJ9" s="20">
        <v>8</v>
      </c>
      <c r="KK9" s="20">
        <v>6</v>
      </c>
      <c r="KL9" s="20">
        <v>8</v>
      </c>
      <c r="KM9" s="20">
        <v>6</v>
      </c>
      <c r="KN9" s="20">
        <v>6</v>
      </c>
      <c r="KO9" s="20">
        <v>12</v>
      </c>
      <c r="KP9" s="20">
        <v>8</v>
      </c>
      <c r="KQ9" s="20">
        <v>12</v>
      </c>
      <c r="KR9" s="20">
        <v>10</v>
      </c>
      <c r="KS9" s="20">
        <v>12</v>
      </c>
      <c r="KU9" s="20" t="s">
        <v>1298</v>
      </c>
      <c r="KV9" s="20">
        <v>0</v>
      </c>
      <c r="KW9" s="20">
        <v>0</v>
      </c>
      <c r="KX9" s="20">
        <v>2</v>
      </c>
      <c r="KY9" s="20">
        <v>0</v>
      </c>
      <c r="KZ9" s="20">
        <v>2</v>
      </c>
      <c r="LA9" s="20">
        <v>0</v>
      </c>
      <c r="LB9" s="20">
        <v>2</v>
      </c>
      <c r="LC9" s="20">
        <v>0</v>
      </c>
      <c r="LD9" s="20">
        <v>2</v>
      </c>
      <c r="LE9" s="20">
        <v>6</v>
      </c>
      <c r="LF9" s="20">
        <v>2</v>
      </c>
      <c r="LG9" s="20">
        <v>0</v>
      </c>
      <c r="LH9" s="20">
        <v>8</v>
      </c>
      <c r="LI9" s="20">
        <v>0</v>
      </c>
      <c r="LJ9" s="20">
        <v>10</v>
      </c>
      <c r="LK9" s="20">
        <v>14</v>
      </c>
      <c r="LL9" s="20">
        <v>12</v>
      </c>
      <c r="LM9" s="20">
        <v>14</v>
      </c>
      <c r="LN9" s="20">
        <v>12</v>
      </c>
      <c r="LO9" s="20">
        <v>16</v>
      </c>
      <c r="LP9" s="20">
        <v>12</v>
      </c>
      <c r="LQ9" s="20">
        <v>16</v>
      </c>
      <c r="LR9" s="20">
        <v>18</v>
      </c>
      <c r="LS9" s="20">
        <v>16</v>
      </c>
      <c r="LT9" s="20">
        <v>14</v>
      </c>
      <c r="LU9" s="20">
        <v>16</v>
      </c>
      <c r="LW9" s="20" t="s">
        <v>1298</v>
      </c>
      <c r="LX9" s="20">
        <v>0</v>
      </c>
      <c r="LY9" s="20">
        <v>0</v>
      </c>
      <c r="LZ9" s="20">
        <v>0</v>
      </c>
      <c r="MA9" s="20">
        <v>2</v>
      </c>
      <c r="MB9" s="20">
        <v>2</v>
      </c>
      <c r="MC9" s="20">
        <v>0</v>
      </c>
      <c r="MD9" s="20">
        <v>4</v>
      </c>
      <c r="ME9" s="20">
        <v>2</v>
      </c>
      <c r="MF9" s="20">
        <v>2</v>
      </c>
      <c r="MG9" s="20">
        <v>6</v>
      </c>
      <c r="MH9" s="20">
        <v>4</v>
      </c>
      <c r="MI9" s="20">
        <v>10</v>
      </c>
      <c r="MJ9" s="20">
        <v>6</v>
      </c>
      <c r="MK9" s="20">
        <v>14</v>
      </c>
      <c r="ML9" s="20">
        <v>12</v>
      </c>
      <c r="MM9" s="20">
        <v>12</v>
      </c>
      <c r="MN9" s="20">
        <v>16</v>
      </c>
      <c r="MO9" s="20">
        <v>14</v>
      </c>
      <c r="MP9" s="20">
        <v>12</v>
      </c>
      <c r="MQ9" s="20">
        <v>12</v>
      </c>
      <c r="MR9" s="20">
        <v>16</v>
      </c>
      <c r="MS9" s="20">
        <v>14</v>
      </c>
      <c r="MT9" s="20">
        <v>18</v>
      </c>
      <c r="MU9" s="20">
        <v>18</v>
      </c>
      <c r="MV9" s="20">
        <v>24</v>
      </c>
      <c r="MW9" s="20">
        <v>22</v>
      </c>
      <c r="MY9" s="20" t="s">
        <v>1298</v>
      </c>
      <c r="MZ9" s="21">
        <v>0</v>
      </c>
      <c r="NA9" s="21">
        <v>0</v>
      </c>
      <c r="NB9" s="21">
        <v>0</v>
      </c>
      <c r="NC9" s="21">
        <v>4</v>
      </c>
      <c r="ND9" s="21">
        <v>4</v>
      </c>
      <c r="NE9" s="21">
        <v>0</v>
      </c>
      <c r="NF9" s="21">
        <v>8</v>
      </c>
      <c r="NG9" s="21">
        <v>2</v>
      </c>
      <c r="NH9" s="21">
        <v>4</v>
      </c>
      <c r="NI9" s="21">
        <v>12</v>
      </c>
      <c r="NJ9" s="21">
        <v>6</v>
      </c>
      <c r="NK9" s="21">
        <v>8</v>
      </c>
      <c r="NL9" s="21">
        <v>14</v>
      </c>
      <c r="NM9" s="21">
        <v>16</v>
      </c>
      <c r="NN9" s="21">
        <v>10</v>
      </c>
      <c r="NO9" s="21">
        <v>18</v>
      </c>
      <c r="NP9" s="21">
        <v>20</v>
      </c>
      <c r="NQ9" s="21">
        <v>18</v>
      </c>
      <c r="NR9" s="21">
        <v>22</v>
      </c>
      <c r="NS9" s="21">
        <v>24</v>
      </c>
      <c r="NT9" s="21">
        <v>18</v>
      </c>
      <c r="NU9" s="21">
        <v>26</v>
      </c>
      <c r="NV9" s="21">
        <v>24</v>
      </c>
      <c r="NW9" s="21">
        <v>22</v>
      </c>
      <c r="NX9" s="21">
        <v>30</v>
      </c>
      <c r="NY9" s="21">
        <v>32</v>
      </c>
      <c r="OB9" s="20" t="s">
        <v>1298</v>
      </c>
      <c r="OC9" s="20">
        <v>0</v>
      </c>
      <c r="OD9" s="20">
        <v>0</v>
      </c>
      <c r="OE9" s="20">
        <v>0</v>
      </c>
      <c r="OF9" s="20">
        <v>0</v>
      </c>
      <c r="OG9" s="20">
        <v>2</v>
      </c>
      <c r="OH9" s="20">
        <v>4</v>
      </c>
      <c r="OI9" s="20">
        <v>0</v>
      </c>
      <c r="OJ9" s="20">
        <v>8</v>
      </c>
      <c r="OK9" s="20">
        <v>4</v>
      </c>
      <c r="OL9" s="20">
        <v>6</v>
      </c>
      <c r="OM9" s="20">
        <v>10</v>
      </c>
      <c r="ON9" s="20">
        <v>10</v>
      </c>
      <c r="OO9" s="20">
        <v>10</v>
      </c>
      <c r="OP9" s="20">
        <v>16</v>
      </c>
      <c r="OQ9" s="20">
        <v>18</v>
      </c>
      <c r="OR9" s="20">
        <v>20</v>
      </c>
      <c r="OS9" s="20">
        <v>14</v>
      </c>
      <c r="OT9" s="20">
        <v>22</v>
      </c>
      <c r="OU9" s="20">
        <v>18</v>
      </c>
      <c r="OV9" s="20">
        <v>22</v>
      </c>
      <c r="OW9" s="20">
        <v>24</v>
      </c>
      <c r="OX9" s="20">
        <v>26</v>
      </c>
      <c r="OY9" s="20">
        <v>24</v>
      </c>
      <c r="OZ9" s="20">
        <v>24</v>
      </c>
      <c r="PA9" s="20">
        <v>32</v>
      </c>
      <c r="PB9" s="20">
        <v>28</v>
      </c>
    </row>
    <row r="10" spans="1:418" ht="15" customHeight="1" x14ac:dyDescent="0.25">
      <c r="A10" s="8"/>
      <c r="B10" s="5" t="s">
        <v>116</v>
      </c>
      <c r="C10" s="8"/>
      <c r="D10" s="6" t="s">
        <v>709</v>
      </c>
      <c r="E10" s="8" t="s">
        <v>781</v>
      </c>
      <c r="F10" s="359" t="str">
        <f>IF(E10="30x32 alu","możliwość stosowania w 1 strefie wiatrowej oraz 1,2,3 strefie śniegowej przy max. rozstawie podpór wynoszącym 0,8m","")</f>
        <v/>
      </c>
      <c r="G10" s="359"/>
      <c r="H10" s="359"/>
      <c r="I10" s="359"/>
      <c r="J10" s="4"/>
      <c r="K10" s="4"/>
      <c r="L10" s="6" t="str">
        <f>IF($E$10=AK22,"PAL40H40/4,4",IF($E$10=AK23,"-------",IF($E$10=AK24,"-------","-------")))</f>
        <v>PAL40H40/4,4</v>
      </c>
      <c r="M10" s="14">
        <f>INDEX(cennik!$A$2:$O$529,MATCH($L10,cennik!$B$2:$B$522,0),MATCH(M$2,cennik!$A$1:$O$1,0))</f>
        <v>894644</v>
      </c>
      <c r="N10" s="14" t="str">
        <f>INDEX(cennik!$A$2:$O$529,MATCH($L10,cennik!$B$2:$B$522,0),MATCH(N$2,cennik!$A$1:$O$1,0))</f>
        <v>szt.</v>
      </c>
      <c r="O10" s="14">
        <f>IF(L10="-------",0,SUM(JQ3:JQ18))</f>
        <v>0</v>
      </c>
      <c r="P10" s="22">
        <f>INDEX(cennik!$A$2:$O$529,MATCH($L10,cennik!$B$2:$B$522,0),MATCH(P$2,cennik!$A$1:$O$1,0))</f>
        <v>140.80000000000001</v>
      </c>
      <c r="Q10" s="22">
        <f t="shared" si="11"/>
        <v>0</v>
      </c>
      <c r="R10" s="23">
        <f t="shared" si="3"/>
        <v>0</v>
      </c>
      <c r="S10" s="22">
        <f t="shared" si="12"/>
        <v>140.80000000000001</v>
      </c>
      <c r="T10" s="22">
        <f t="shared" si="13"/>
        <v>0</v>
      </c>
      <c r="U10" s="22">
        <f>INDEX(cennik!$A$2:$O$529,MATCH($L10,cennik!$B$2:$B$522,0),MATCH(U$2,cennik!$A$1:$O$1,0))*O10</f>
        <v>0</v>
      </c>
      <c r="V10" s="20"/>
      <c r="W10" s="20"/>
      <c r="X10" s="25">
        <f t="shared" si="0"/>
        <v>0</v>
      </c>
      <c r="Y10" s="20" t="s">
        <v>145</v>
      </c>
      <c r="Z10" s="20"/>
      <c r="AA10" s="20">
        <f>((A2*IF(G3=AH22,1000,IF(G3=AH23,1050)))+((A2-1)*20)+80)</f>
        <v>60</v>
      </c>
      <c r="AB10" s="26">
        <v>38</v>
      </c>
      <c r="AC10" s="356" t="s">
        <v>31</v>
      </c>
      <c r="AE10" s="356" t="s">
        <v>110</v>
      </c>
      <c r="AF10" s="20" t="s">
        <v>14</v>
      </c>
      <c r="AG10" s="20">
        <v>38</v>
      </c>
      <c r="AH10" s="356" t="s">
        <v>43</v>
      </c>
      <c r="AJ10" s="357" t="s">
        <v>151</v>
      </c>
      <c r="AK10" s="357" t="s">
        <v>151</v>
      </c>
      <c r="AL10" s="20">
        <f t="shared" si="1"/>
        <v>0</v>
      </c>
      <c r="AM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9,$BB$2:$CA$2,0),MATCH($W$2,$AH$22:$AH$47,0)))*C9</f>
        <v>0</v>
      </c>
      <c r="AN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9,$BB$2:$CA$2,0),MATCH($W$2,$AH$22:$AH$47,0)))*C9</f>
        <v>0</v>
      </c>
      <c r="AO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9,$BB$2:$CA$2,0),MATCH($W$2,$AH$22:$AH$47,0)))*C9</f>
        <v>0</v>
      </c>
      <c r="AP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9,$BB$2:$CA$2,0),MATCH($W$2,$AH$22:$AH$47,0)))*C9</f>
        <v>0</v>
      </c>
      <c r="AQ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9,$BB$2:$CA$2,0),MATCH($W$2,$AH$22:$AH$47,0)))*C9</f>
        <v>0</v>
      </c>
      <c r="AR1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9,$BB$2:$CA$2,0),MATCH($W$2,$AH$22:$AH$47,0)))*C9</f>
        <v>0</v>
      </c>
      <c r="AS10" s="20"/>
      <c r="AZ10" s="20"/>
      <c r="BA10" s="26" t="s">
        <v>517</v>
      </c>
      <c r="BB10" s="20">
        <v>0</v>
      </c>
      <c r="BC10" s="20">
        <v>0</v>
      </c>
      <c r="BD10" s="20">
        <v>2</v>
      </c>
      <c r="BE10" s="20">
        <v>0</v>
      </c>
      <c r="BF10" s="20">
        <v>4</v>
      </c>
      <c r="BG10" s="20">
        <v>2</v>
      </c>
      <c r="BH10" s="20">
        <v>0</v>
      </c>
      <c r="BI10" s="20">
        <v>4</v>
      </c>
      <c r="BJ10" s="20">
        <v>2</v>
      </c>
      <c r="BK10" s="20">
        <v>0</v>
      </c>
      <c r="BL10" s="20">
        <v>4</v>
      </c>
      <c r="BM10" s="20">
        <v>2</v>
      </c>
      <c r="BN10" s="20">
        <v>0</v>
      </c>
      <c r="BO10" s="20">
        <v>4</v>
      </c>
      <c r="BP10" s="20">
        <v>2</v>
      </c>
      <c r="BQ10" s="20">
        <v>0</v>
      </c>
      <c r="BR10" s="20">
        <v>0</v>
      </c>
      <c r="BS10" s="20">
        <v>0</v>
      </c>
      <c r="BT10" s="20">
        <v>2</v>
      </c>
      <c r="BU10" s="20">
        <v>0</v>
      </c>
      <c r="BV10" s="20">
        <v>2</v>
      </c>
      <c r="BW10" s="20">
        <v>0</v>
      </c>
      <c r="BX10" s="20">
        <v>0</v>
      </c>
      <c r="BY10" s="20">
        <v>0</v>
      </c>
      <c r="BZ10" s="20">
        <v>0</v>
      </c>
      <c r="CA10" s="20">
        <v>0</v>
      </c>
      <c r="CB10" s="20">
        <v>0</v>
      </c>
      <c r="CC10" s="20">
        <v>0</v>
      </c>
      <c r="CD10" s="20">
        <v>0</v>
      </c>
      <c r="CE10" s="20">
        <v>0</v>
      </c>
      <c r="CF10" s="20">
        <v>2</v>
      </c>
      <c r="CG10" s="20">
        <v>0</v>
      </c>
      <c r="CH10" s="20">
        <v>0</v>
      </c>
      <c r="CI10" s="20">
        <v>2</v>
      </c>
      <c r="CJ10" s="20">
        <v>0</v>
      </c>
      <c r="CK10" s="20">
        <v>0</v>
      </c>
      <c r="CL10" s="20">
        <v>0</v>
      </c>
      <c r="CM10" s="20">
        <v>0</v>
      </c>
      <c r="CN10" s="20">
        <v>0</v>
      </c>
      <c r="CO10" s="20">
        <v>0</v>
      </c>
      <c r="CP10" s="20">
        <v>0</v>
      </c>
      <c r="CQ10" s="20">
        <v>0</v>
      </c>
      <c r="CR10" s="20">
        <v>2</v>
      </c>
      <c r="CS10" s="20">
        <v>0</v>
      </c>
      <c r="CT10" s="20">
        <v>0</v>
      </c>
      <c r="CU10" s="20">
        <v>0</v>
      </c>
      <c r="CV10" s="20">
        <v>0</v>
      </c>
      <c r="CW10" s="20">
        <v>0</v>
      </c>
      <c r="CX10" s="20">
        <v>0</v>
      </c>
      <c r="CY10" s="20">
        <v>0</v>
      </c>
      <c r="CZ10" s="20">
        <v>0</v>
      </c>
      <c r="DA10" s="54"/>
      <c r="DB10" s="54">
        <v>9</v>
      </c>
      <c r="DC10" s="54"/>
      <c r="DD10" s="26" t="s">
        <v>712</v>
      </c>
      <c r="DE10" s="20">
        <v>0</v>
      </c>
      <c r="DF10" s="20"/>
      <c r="DG10" s="20"/>
      <c r="DH10" s="20"/>
      <c r="DI10" s="20"/>
      <c r="DJ10" s="20"/>
      <c r="DK10" s="20"/>
      <c r="DL10" s="20"/>
      <c r="DM10" s="20"/>
      <c r="DN10" s="20"/>
      <c r="DO10" s="20"/>
      <c r="DP10" s="20"/>
      <c r="DQ10" s="20"/>
      <c r="DR10" s="20"/>
      <c r="DS10" s="20"/>
      <c r="DT10" s="20"/>
      <c r="DU10" s="20"/>
      <c r="DV10" s="20"/>
      <c r="DW10" s="20"/>
      <c r="DX10" s="20"/>
      <c r="DY10" s="20"/>
      <c r="DZ10" s="20"/>
      <c r="EA10" s="20"/>
      <c r="EB10" s="26" t="s">
        <v>517</v>
      </c>
      <c r="EC10" s="20">
        <v>0</v>
      </c>
      <c r="ED10" s="20">
        <v>2</v>
      </c>
      <c r="EE10" s="20">
        <v>0</v>
      </c>
      <c r="EF10" s="20">
        <v>2</v>
      </c>
      <c r="EG10" s="20">
        <v>4</v>
      </c>
      <c r="EH10" s="20">
        <v>0</v>
      </c>
      <c r="EI10" s="20">
        <v>4</v>
      </c>
      <c r="EJ10" s="20">
        <v>2</v>
      </c>
      <c r="EK10" s="20">
        <v>4</v>
      </c>
      <c r="EL10" s="20">
        <v>2</v>
      </c>
      <c r="EM10" s="20">
        <v>0</v>
      </c>
      <c r="EN10" s="20">
        <v>2</v>
      </c>
      <c r="EO10" s="20">
        <v>4</v>
      </c>
      <c r="EP10" s="20">
        <v>2</v>
      </c>
      <c r="EQ10" s="20">
        <v>2</v>
      </c>
      <c r="ER10" s="20">
        <v>0</v>
      </c>
      <c r="ES10" s="20">
        <v>0</v>
      </c>
      <c r="ET10" s="20">
        <v>0</v>
      </c>
      <c r="EU10" s="20">
        <v>2</v>
      </c>
      <c r="EV10" s="20">
        <v>0</v>
      </c>
      <c r="EW10" s="20">
        <v>0</v>
      </c>
      <c r="EX10" s="20">
        <v>0</v>
      </c>
      <c r="EY10" s="20">
        <v>0</v>
      </c>
      <c r="EZ10" s="20">
        <v>0</v>
      </c>
      <c r="FA10" s="20">
        <v>2</v>
      </c>
      <c r="FB10" s="20">
        <v>0</v>
      </c>
      <c r="FC10" s="20">
        <v>0</v>
      </c>
      <c r="FD10" s="20">
        <v>0</v>
      </c>
      <c r="FE10" s="20">
        <v>0</v>
      </c>
      <c r="FF10" s="20">
        <v>0</v>
      </c>
      <c r="FG10" s="20">
        <v>0</v>
      </c>
      <c r="FH10" s="20">
        <v>0</v>
      </c>
      <c r="FI10" s="20">
        <v>0</v>
      </c>
      <c r="FJ10" s="20">
        <v>0</v>
      </c>
      <c r="FK10" s="20">
        <v>0</v>
      </c>
      <c r="FL10" s="20">
        <v>0</v>
      </c>
      <c r="FM10" s="20">
        <v>0</v>
      </c>
      <c r="FN10" s="20">
        <v>0</v>
      </c>
      <c r="FO10" s="20">
        <v>0</v>
      </c>
      <c r="FP10" s="20">
        <v>0</v>
      </c>
      <c r="FQ10" s="20">
        <v>0</v>
      </c>
      <c r="FR10" s="20">
        <v>0</v>
      </c>
      <c r="FS10" s="20">
        <v>4</v>
      </c>
      <c r="FT10" s="20">
        <v>0</v>
      </c>
      <c r="FU10" s="20">
        <v>0</v>
      </c>
      <c r="FV10" s="20">
        <v>0</v>
      </c>
      <c r="FW10" s="20">
        <v>0</v>
      </c>
      <c r="FX10" s="20">
        <v>0</v>
      </c>
      <c r="FY10" s="20">
        <v>0</v>
      </c>
      <c r="FZ10" s="20">
        <v>0</v>
      </c>
      <c r="GA10" s="20">
        <v>0</v>
      </c>
      <c r="GC10" s="20"/>
      <c r="GD10" s="20"/>
      <c r="GE10" s="26" t="s">
        <v>517</v>
      </c>
      <c r="GF10" s="20">
        <v>0</v>
      </c>
      <c r="GG10" s="20">
        <v>2</v>
      </c>
      <c r="GH10" s="20">
        <v>4</v>
      </c>
      <c r="GI10" s="20">
        <v>0</v>
      </c>
      <c r="GJ10" s="20">
        <v>0</v>
      </c>
      <c r="GK10" s="20">
        <v>0</v>
      </c>
      <c r="GL10" s="20">
        <v>0</v>
      </c>
      <c r="GM10" s="20">
        <v>4</v>
      </c>
      <c r="GN10" s="20">
        <v>0</v>
      </c>
      <c r="GO10" s="20">
        <v>2</v>
      </c>
      <c r="GP10" s="20">
        <v>0</v>
      </c>
      <c r="GQ10" s="20">
        <v>0</v>
      </c>
      <c r="GR10" s="20">
        <v>0</v>
      </c>
      <c r="GS10" s="20">
        <v>0</v>
      </c>
      <c r="GT10" s="20">
        <v>0</v>
      </c>
      <c r="GU10" s="20">
        <v>0</v>
      </c>
      <c r="GV10" s="20">
        <v>2</v>
      </c>
      <c r="GW10" s="20">
        <v>0</v>
      </c>
      <c r="GX10" s="20">
        <v>0</v>
      </c>
      <c r="GY10" s="20">
        <v>0</v>
      </c>
      <c r="GZ10" s="20">
        <v>0</v>
      </c>
      <c r="HA10" s="20">
        <v>0</v>
      </c>
      <c r="HB10" s="20">
        <v>0</v>
      </c>
      <c r="HC10" s="20">
        <v>0</v>
      </c>
      <c r="HD10" s="20">
        <v>0</v>
      </c>
      <c r="HE10" s="20">
        <v>0</v>
      </c>
      <c r="HF10" s="20">
        <v>0</v>
      </c>
      <c r="HG10" s="20">
        <v>0</v>
      </c>
      <c r="HH10" s="20">
        <v>0</v>
      </c>
      <c r="HI10" s="20">
        <v>0</v>
      </c>
      <c r="HJ10" s="20">
        <v>0</v>
      </c>
      <c r="HK10" s="20">
        <v>0</v>
      </c>
      <c r="HL10" s="20">
        <v>0</v>
      </c>
      <c r="HM10" s="20">
        <v>0</v>
      </c>
      <c r="HN10" s="20">
        <v>0</v>
      </c>
      <c r="HO10" s="20">
        <v>0</v>
      </c>
      <c r="HP10" s="20">
        <v>0</v>
      </c>
      <c r="HQ10" s="20">
        <v>0</v>
      </c>
      <c r="HR10" s="20">
        <v>0</v>
      </c>
      <c r="HS10" s="20">
        <v>0</v>
      </c>
      <c r="HT10" s="20">
        <v>0</v>
      </c>
      <c r="HU10" s="20">
        <v>0</v>
      </c>
      <c r="HV10" s="20">
        <v>0</v>
      </c>
      <c r="HW10" s="20">
        <v>0</v>
      </c>
      <c r="HX10" s="20">
        <v>0</v>
      </c>
      <c r="HY10" s="20">
        <v>0</v>
      </c>
      <c r="HZ10" s="20">
        <v>0</v>
      </c>
      <c r="IA10" s="20">
        <v>0</v>
      </c>
      <c r="IB10" s="20">
        <v>0</v>
      </c>
      <c r="IC10" s="20">
        <v>0</v>
      </c>
      <c r="ID10" s="20">
        <v>0</v>
      </c>
      <c r="IF10" s="21" t="s">
        <v>517</v>
      </c>
      <c r="IG10" s="21">
        <v>0</v>
      </c>
      <c r="IH10" s="21">
        <v>0</v>
      </c>
      <c r="II10" s="21">
        <v>2</v>
      </c>
      <c r="IJ10" s="21">
        <v>4</v>
      </c>
      <c r="IK10" s="21">
        <v>0</v>
      </c>
      <c r="IL10" s="21">
        <v>2</v>
      </c>
      <c r="IM10" s="21">
        <v>0</v>
      </c>
      <c r="IN10" s="21">
        <v>4</v>
      </c>
      <c r="IO10" s="21">
        <v>0</v>
      </c>
      <c r="IP10" s="21">
        <v>2</v>
      </c>
      <c r="IQ10" s="21">
        <v>4</v>
      </c>
      <c r="IR10" s="21">
        <v>0</v>
      </c>
      <c r="IS10" s="21">
        <v>0</v>
      </c>
      <c r="IT10" s="21">
        <v>0</v>
      </c>
      <c r="IU10" s="21">
        <v>2</v>
      </c>
      <c r="IV10" s="21">
        <v>0</v>
      </c>
      <c r="IW10" s="21">
        <v>0</v>
      </c>
      <c r="IX10" s="21">
        <v>4</v>
      </c>
      <c r="IY10" s="21">
        <v>0</v>
      </c>
      <c r="IZ10" s="21">
        <v>0</v>
      </c>
      <c r="JA10" s="21">
        <v>0</v>
      </c>
      <c r="JB10" s="21">
        <v>0</v>
      </c>
      <c r="JC10" s="21">
        <v>0</v>
      </c>
      <c r="JD10" s="21">
        <v>0</v>
      </c>
      <c r="JE10" s="21">
        <v>0</v>
      </c>
      <c r="JF10" s="21">
        <v>0</v>
      </c>
      <c r="JI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9,$JT$2:$KS$2,0),MATCH($W$2,$AH$22:$AH$47,0)))*C9</f>
        <v>0</v>
      </c>
      <c r="JJ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9,$JT$2:$KS$2,0),MATCH($W$2,$AH$22:$AH$47,0)))*C9</f>
        <v>0</v>
      </c>
      <c r="JK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9,$JT$2:$KS$2,0),MATCH($W$2,$AH$22:$AH$47,0)))*C9</f>
        <v>0</v>
      </c>
      <c r="JL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9,$JT$2:$KS$2,0),MATCH($W$2,$AH$22:$AH$47,0)))*C9</f>
        <v>0</v>
      </c>
      <c r="JM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9,$JT$2:$KS$2,0),MATCH($W$2,$AH$22:$AH$47,0)))*C9</f>
        <v>0</v>
      </c>
      <c r="JN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9,$JT$2:$KS$2,0),MATCH($W$2,$AH$22:$AH$47,0)))*C9</f>
        <v>0</v>
      </c>
      <c r="JO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9,$JT$2:$KS$2,0),MATCH($W$2,$AH$22:$AH$47,0)))*C9</f>
        <v>0</v>
      </c>
      <c r="JP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9,$JT$2:$KS$2,0),MATCH($W$2,$AH$22:$AH$47,0)))*C9</f>
        <v>0</v>
      </c>
      <c r="JQ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9,$JT$2:$KS$2,0),MATCH($W$2,$AH$22:$AH$47,0)))*C9</f>
        <v>0</v>
      </c>
      <c r="JS10" s="20" t="s">
        <v>1026</v>
      </c>
      <c r="JT10" s="20">
        <v>0</v>
      </c>
      <c r="JU10" s="20">
        <v>0</v>
      </c>
      <c r="JV10" s="20">
        <v>0</v>
      </c>
      <c r="JW10" s="20">
        <v>0</v>
      </c>
      <c r="JX10" s="20">
        <v>0</v>
      </c>
      <c r="JY10" s="20">
        <v>0</v>
      </c>
      <c r="JZ10" s="20">
        <v>0</v>
      </c>
      <c r="KA10" s="20">
        <v>0</v>
      </c>
      <c r="KB10" s="20">
        <v>0</v>
      </c>
      <c r="KC10" s="20">
        <v>0</v>
      </c>
      <c r="KD10" s="20">
        <v>0</v>
      </c>
      <c r="KE10" s="20">
        <v>0</v>
      </c>
      <c r="KF10" s="20">
        <v>0</v>
      </c>
      <c r="KG10" s="20">
        <v>0</v>
      </c>
      <c r="KH10" s="20">
        <v>0</v>
      </c>
      <c r="KI10" s="20">
        <v>0</v>
      </c>
      <c r="KJ10" s="20">
        <v>0</v>
      </c>
      <c r="KK10" s="20">
        <v>0</v>
      </c>
      <c r="KL10" s="20">
        <v>0</v>
      </c>
      <c r="KM10" s="20">
        <v>0</v>
      </c>
      <c r="KN10" s="20">
        <v>0</v>
      </c>
      <c r="KO10" s="20">
        <v>0</v>
      </c>
      <c r="KP10" s="20">
        <v>0</v>
      </c>
      <c r="KQ10" s="20">
        <v>0</v>
      </c>
      <c r="KR10" s="20">
        <v>0</v>
      </c>
      <c r="KS10" s="20">
        <v>0</v>
      </c>
      <c r="KU10" s="20" t="s">
        <v>1026</v>
      </c>
      <c r="KV10" s="20">
        <v>0</v>
      </c>
      <c r="KW10" s="20">
        <v>0</v>
      </c>
      <c r="KX10" s="20">
        <v>0</v>
      </c>
      <c r="KY10" s="20">
        <v>0</v>
      </c>
      <c r="KZ10" s="20">
        <v>0</v>
      </c>
      <c r="LA10" s="20">
        <v>0</v>
      </c>
      <c r="LB10" s="20">
        <v>0</v>
      </c>
      <c r="LC10" s="20">
        <v>0</v>
      </c>
      <c r="LD10" s="20">
        <v>0</v>
      </c>
      <c r="LE10" s="20">
        <v>0</v>
      </c>
      <c r="LF10" s="20">
        <v>0</v>
      </c>
      <c r="LG10" s="20">
        <v>0</v>
      </c>
      <c r="LH10" s="20">
        <v>0</v>
      </c>
      <c r="LI10" s="20">
        <v>0</v>
      </c>
      <c r="LJ10" s="20">
        <v>0</v>
      </c>
      <c r="LK10" s="20">
        <v>0</v>
      </c>
      <c r="LL10" s="20">
        <v>0</v>
      </c>
      <c r="LM10" s="20">
        <v>0</v>
      </c>
      <c r="LN10" s="20">
        <v>0</v>
      </c>
      <c r="LO10" s="20">
        <v>0</v>
      </c>
      <c r="LP10" s="20">
        <v>0</v>
      </c>
      <c r="LQ10" s="20">
        <v>0</v>
      </c>
      <c r="LR10" s="20">
        <v>0</v>
      </c>
      <c r="LS10" s="20">
        <v>0</v>
      </c>
      <c r="LT10" s="20">
        <v>0</v>
      </c>
      <c r="LU10" s="20">
        <v>0</v>
      </c>
      <c r="LW10" s="20" t="s">
        <v>1026</v>
      </c>
      <c r="LX10" s="20">
        <v>0</v>
      </c>
      <c r="LY10" s="20">
        <v>0</v>
      </c>
      <c r="LZ10" s="20">
        <v>0</v>
      </c>
      <c r="MA10" s="20">
        <v>0</v>
      </c>
      <c r="MB10" s="20">
        <v>0</v>
      </c>
      <c r="MC10" s="20">
        <v>0</v>
      </c>
      <c r="MD10" s="20">
        <v>0</v>
      </c>
      <c r="ME10" s="20">
        <v>0</v>
      </c>
      <c r="MF10" s="20">
        <v>0</v>
      </c>
      <c r="MG10" s="20">
        <v>0</v>
      </c>
      <c r="MH10" s="20">
        <v>0</v>
      </c>
      <c r="MI10" s="20">
        <v>0</v>
      </c>
      <c r="MJ10" s="20">
        <v>0</v>
      </c>
      <c r="MK10" s="20">
        <v>0</v>
      </c>
      <c r="ML10" s="20">
        <v>0</v>
      </c>
      <c r="MM10" s="20">
        <v>0</v>
      </c>
      <c r="MN10" s="20">
        <v>0</v>
      </c>
      <c r="MO10" s="20">
        <v>0</v>
      </c>
      <c r="MP10" s="20">
        <v>0</v>
      </c>
      <c r="MQ10" s="20">
        <v>0</v>
      </c>
      <c r="MR10" s="20">
        <v>0</v>
      </c>
      <c r="MS10" s="20">
        <v>0</v>
      </c>
      <c r="MT10" s="20">
        <v>0</v>
      </c>
      <c r="MU10" s="20">
        <v>0</v>
      </c>
      <c r="MV10" s="20">
        <v>0</v>
      </c>
      <c r="MW10" s="20">
        <v>0</v>
      </c>
      <c r="MY10" s="20" t="s">
        <v>1026</v>
      </c>
      <c r="MZ10" s="21">
        <v>0</v>
      </c>
      <c r="NA10" s="21">
        <v>0</v>
      </c>
      <c r="NB10" s="21">
        <v>0</v>
      </c>
      <c r="NC10" s="21">
        <v>0</v>
      </c>
      <c r="ND10" s="21">
        <v>0</v>
      </c>
      <c r="NE10" s="21">
        <v>0</v>
      </c>
      <c r="NF10" s="21">
        <v>0</v>
      </c>
      <c r="NG10" s="21">
        <v>0</v>
      </c>
      <c r="NH10" s="21">
        <v>0</v>
      </c>
      <c r="NI10" s="21">
        <v>0</v>
      </c>
      <c r="NJ10" s="21">
        <v>0</v>
      </c>
      <c r="NK10" s="21">
        <v>0</v>
      </c>
      <c r="NL10" s="21">
        <v>0</v>
      </c>
      <c r="NM10" s="21">
        <v>0</v>
      </c>
      <c r="NN10" s="21">
        <v>0</v>
      </c>
      <c r="NO10" s="21">
        <v>0</v>
      </c>
      <c r="NP10" s="21">
        <v>0</v>
      </c>
      <c r="NQ10" s="21">
        <v>0</v>
      </c>
      <c r="NR10" s="21">
        <v>0</v>
      </c>
      <c r="NS10" s="21">
        <v>0</v>
      </c>
      <c r="NT10" s="21">
        <v>0</v>
      </c>
      <c r="NU10" s="21">
        <v>0</v>
      </c>
      <c r="NV10" s="21">
        <v>0</v>
      </c>
      <c r="NW10" s="21">
        <v>0</v>
      </c>
      <c r="NX10" s="21">
        <v>0</v>
      </c>
      <c r="NY10" s="21">
        <v>0</v>
      </c>
      <c r="OB10" s="20" t="s">
        <v>1026</v>
      </c>
      <c r="OC10" s="20">
        <v>0</v>
      </c>
      <c r="OD10" s="20">
        <v>0</v>
      </c>
      <c r="OE10" s="20">
        <v>0</v>
      </c>
      <c r="OF10" s="20">
        <v>0</v>
      </c>
      <c r="OG10" s="20">
        <v>0</v>
      </c>
      <c r="OH10" s="20">
        <v>0</v>
      </c>
      <c r="OI10" s="20">
        <v>0</v>
      </c>
      <c r="OJ10" s="20">
        <v>0</v>
      </c>
      <c r="OK10" s="20">
        <v>0</v>
      </c>
      <c r="OL10" s="20">
        <v>0</v>
      </c>
      <c r="OM10" s="20">
        <v>0</v>
      </c>
      <c r="ON10" s="20">
        <v>0</v>
      </c>
      <c r="OO10" s="20">
        <v>0</v>
      </c>
      <c r="OP10" s="20">
        <v>0</v>
      </c>
      <c r="OQ10" s="20">
        <v>0</v>
      </c>
      <c r="OR10" s="20">
        <v>0</v>
      </c>
      <c r="OS10" s="20">
        <v>0</v>
      </c>
      <c r="OT10" s="20">
        <v>0</v>
      </c>
      <c r="OU10" s="20">
        <v>0</v>
      </c>
      <c r="OV10" s="20">
        <v>0</v>
      </c>
      <c r="OW10" s="20">
        <v>0</v>
      </c>
      <c r="OX10" s="20">
        <v>0</v>
      </c>
      <c r="OY10" s="20">
        <v>0</v>
      </c>
      <c r="OZ10" s="20">
        <v>0</v>
      </c>
      <c r="PA10" s="20">
        <v>0</v>
      </c>
      <c r="PB10" s="20">
        <v>0</v>
      </c>
    </row>
    <row r="11" spans="1:418" x14ac:dyDescent="0.25">
      <c r="A11" s="8"/>
      <c r="B11" s="5" t="s">
        <v>116</v>
      </c>
      <c r="C11" s="8"/>
      <c r="D11" s="6" t="s">
        <v>784</v>
      </c>
      <c r="E11" s="8">
        <v>0</v>
      </c>
      <c r="F11" s="359"/>
      <c r="G11" s="359"/>
      <c r="H11" s="359"/>
      <c r="I11" s="359"/>
      <c r="J11" s="5" t="s">
        <v>509</v>
      </c>
      <c r="K11" s="4"/>
      <c r="L11" s="6" t="str">
        <f>IF(E10=$AK$22,"LPAN40",IF(E10=$AK$23,"LPAN30",IF(E10=$AK$24,"LC40H35MC",0)))</f>
        <v>LPAN40</v>
      </c>
      <c r="M11" s="14">
        <f>INDEX(cennik!$A$2:$O$529,MATCH($L11,cennik!$B$2:$B$522,0),MATCH(M$2,cennik!$A$1:$O$1,0))</f>
        <v>890512</v>
      </c>
      <c r="N11" s="14" t="str">
        <f>INDEX(cennik!$A$2:$O$529,MATCH($L11,cennik!$B$2:$B$522,0),MATCH(N$2,cennik!$A$1:$O$1,0))</f>
        <v>szt.</v>
      </c>
      <c r="O11" s="41">
        <f>SUM(JI3:JI18)</f>
        <v>0</v>
      </c>
      <c r="P11" s="22">
        <f>INDEX(cennik!$A$2:$O$529,MATCH($L11,cennik!$B$2:$B$522,0),MATCH(P$2,cennik!$A$1:$O$1,0))</f>
        <v>4.28</v>
      </c>
      <c r="Q11" s="22">
        <f t="shared" ref="Q11:Q24" si="14">O11*P11</f>
        <v>0</v>
      </c>
      <c r="R11" s="23">
        <f t="shared" si="3"/>
        <v>0</v>
      </c>
      <c r="S11" s="22">
        <f t="shared" ref="S11:S24" si="15">P11*((100-$E$9)/100)</f>
        <v>4.28</v>
      </c>
      <c r="T11" s="22">
        <f t="shared" ref="T11:T24" si="16">O11*S11</f>
        <v>0</v>
      </c>
      <c r="U11" s="22">
        <f>INDEX(cennik!$A$2:$O$529,MATCH($L11,cennik!$B$2:$B$522,0),MATCH(U$2,cennik!$A$1:$O$1,0))*O11</f>
        <v>0</v>
      </c>
      <c r="V11" s="20"/>
      <c r="W11" s="20"/>
      <c r="X11" s="25">
        <f t="shared" si="0"/>
        <v>0</v>
      </c>
      <c r="Y11" s="20" t="s">
        <v>146</v>
      </c>
      <c r="Z11" s="20"/>
      <c r="AA11" s="20">
        <f>(IF(A2=0,0,IF(A2&gt;0,IF((((INT(((A2*IF($G$3=$AH$22,1000,IF($G$3=$AH$23,1050)))+((A2-1)*20)+80)/$E$4))-1)*$E$4)+500&gt;=((A2*IF($G$3=$AH$22,1000,IF($G$3=$AH$23,1050)))+((A2-1)*20)+80),(INT(((A2*IF($G$3=$AH$22,1000,IF($G$3=$AH$23,1050)))+((A2-1)*20)+80)/$E$4))*2,((INT(((A2*IF($G$3=$AH$22,1000,IF($G$3=$AH$23,1050)))+((A2-1)*20)+80)/$E$4))+1)*2))))</f>
        <v>0</v>
      </c>
      <c r="AB11" s="26">
        <v>40</v>
      </c>
      <c r="AC11" s="356" t="s">
        <v>32</v>
      </c>
      <c r="AD11" s="356" t="s">
        <v>33</v>
      </c>
      <c r="AE11" s="356" t="s">
        <v>109</v>
      </c>
      <c r="AF11" s="20" t="s">
        <v>14</v>
      </c>
      <c r="AG11" s="20">
        <v>40</v>
      </c>
      <c r="AH11" s="356" t="s">
        <v>44</v>
      </c>
      <c r="AI11" s="356" t="s">
        <v>45</v>
      </c>
      <c r="AJ11" s="357" t="s">
        <v>151</v>
      </c>
      <c r="AK11" s="357" t="s">
        <v>151</v>
      </c>
      <c r="AL11" s="20">
        <f t="shared" si="1"/>
        <v>0</v>
      </c>
      <c r="AM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10,$BB$2:$CA$2,0),MATCH($W$2,$AH$22:$AH$47,0)))*C10</f>
        <v>0</v>
      </c>
      <c r="AN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10,$BB$2:$CA$2,0),MATCH($W$2,$AH$22:$AH$47,0)))*C10</f>
        <v>0</v>
      </c>
      <c r="AO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10,$BB$2:$CA$2,0),MATCH($W$2,$AH$22:$AH$47,0)))*C10</f>
        <v>0</v>
      </c>
      <c r="AP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10,$BB$2:$CA$2,0),MATCH($W$2,$AH$22:$AH$47,0)))*C10</f>
        <v>0</v>
      </c>
      <c r="AQ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10,$BB$2:$CA$2,0),MATCH($W$2,$AH$22:$AH$47,0)))*C10</f>
        <v>0</v>
      </c>
      <c r="AR1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10,$BB$2:$CA$2,0),MATCH($W$2,$AH$22:$AH$47,0)))*C10</f>
        <v>0</v>
      </c>
      <c r="AS11" s="20"/>
      <c r="AZ11" s="20"/>
      <c r="BA11" s="26" t="s">
        <v>518</v>
      </c>
      <c r="BB11" s="20">
        <v>0</v>
      </c>
      <c r="BC11" s="20">
        <v>0</v>
      </c>
      <c r="BD11" s="20">
        <v>0</v>
      </c>
      <c r="BE11" s="20">
        <v>0</v>
      </c>
      <c r="BF11" s="20">
        <v>0</v>
      </c>
      <c r="BG11" s="20">
        <v>0</v>
      </c>
      <c r="BH11" s="20">
        <v>0</v>
      </c>
      <c r="BI11" s="20">
        <v>0</v>
      </c>
      <c r="BJ11" s="20">
        <v>0</v>
      </c>
      <c r="BK11" s="20">
        <v>0</v>
      </c>
      <c r="BL11" s="20">
        <v>0</v>
      </c>
      <c r="BM11" s="20">
        <v>0</v>
      </c>
      <c r="BN11" s="20">
        <v>0</v>
      </c>
      <c r="BO11" s="20">
        <v>0</v>
      </c>
      <c r="BP11" s="20">
        <v>0</v>
      </c>
      <c r="BQ11" s="20">
        <v>2</v>
      </c>
      <c r="BR11" s="20">
        <v>0</v>
      </c>
      <c r="BS11" s="20">
        <v>4</v>
      </c>
      <c r="BT11" s="20">
        <v>0</v>
      </c>
      <c r="BU11" s="20">
        <v>0</v>
      </c>
      <c r="BV11" s="20">
        <v>2</v>
      </c>
      <c r="BW11" s="20">
        <v>2</v>
      </c>
      <c r="BX11" s="20">
        <v>0</v>
      </c>
      <c r="BY11" s="20">
        <v>4</v>
      </c>
      <c r="BZ11" s="20">
        <v>4</v>
      </c>
      <c r="CA11" s="20">
        <v>0</v>
      </c>
      <c r="CB11" s="20">
        <v>4</v>
      </c>
      <c r="CC11" s="20">
        <v>2</v>
      </c>
      <c r="CD11" s="20">
        <v>0</v>
      </c>
      <c r="CE11" s="20">
        <v>0</v>
      </c>
      <c r="CF11" s="20">
        <v>0</v>
      </c>
      <c r="CG11" s="20">
        <v>0</v>
      </c>
      <c r="CH11" s="20">
        <v>0</v>
      </c>
      <c r="CI11" s="20">
        <v>0</v>
      </c>
      <c r="CJ11" s="20">
        <v>0</v>
      </c>
      <c r="CK11" s="20">
        <v>0</v>
      </c>
      <c r="CL11" s="20">
        <v>4</v>
      </c>
      <c r="CM11" s="20">
        <v>2</v>
      </c>
      <c r="CN11" s="20">
        <v>0</v>
      </c>
      <c r="CO11" s="20">
        <v>4</v>
      </c>
      <c r="CP11" s="20">
        <v>0</v>
      </c>
      <c r="CQ11" s="20">
        <v>0</v>
      </c>
      <c r="CR11" s="20">
        <v>0</v>
      </c>
      <c r="CS11" s="20">
        <v>2</v>
      </c>
      <c r="CT11" s="20">
        <v>0</v>
      </c>
      <c r="CU11" s="20">
        <v>0</v>
      </c>
      <c r="CV11" s="20">
        <v>4</v>
      </c>
      <c r="CW11" s="20">
        <v>0</v>
      </c>
      <c r="CX11" s="20">
        <v>0</v>
      </c>
      <c r="CY11" s="20">
        <v>0</v>
      </c>
      <c r="CZ11" s="20">
        <v>2</v>
      </c>
      <c r="DA11" s="54"/>
      <c r="DB11" s="54">
        <v>10</v>
      </c>
      <c r="DC11" s="54"/>
      <c r="DD11" s="20"/>
      <c r="DE11" s="20"/>
      <c r="DF11" s="20"/>
      <c r="DG11" s="20"/>
      <c r="DH11" s="20"/>
      <c r="DI11" s="20"/>
      <c r="DJ11" s="20"/>
      <c r="DK11" s="20"/>
      <c r="DL11" s="20"/>
      <c r="DM11" s="20"/>
      <c r="DN11" s="20"/>
      <c r="DO11" s="20"/>
      <c r="DP11" s="20"/>
      <c r="DQ11" s="20"/>
      <c r="DR11" s="20"/>
      <c r="DS11" s="20"/>
      <c r="DT11" s="20"/>
      <c r="DU11" s="20"/>
      <c r="DV11" s="20"/>
      <c r="DW11" s="20"/>
      <c r="DX11" s="20"/>
      <c r="DY11" s="20"/>
      <c r="DZ11" s="20"/>
      <c r="EA11" s="20"/>
      <c r="EB11" s="26" t="s">
        <v>518</v>
      </c>
      <c r="EC11" s="20">
        <v>0</v>
      </c>
      <c r="ED11" s="20">
        <v>0</v>
      </c>
      <c r="EE11" s="20">
        <v>0</v>
      </c>
      <c r="EF11" s="20">
        <v>0</v>
      </c>
      <c r="EG11" s="20">
        <v>0</v>
      </c>
      <c r="EH11" s="20">
        <v>2</v>
      </c>
      <c r="EI11" s="20">
        <v>0</v>
      </c>
      <c r="EJ11" s="20">
        <v>0</v>
      </c>
      <c r="EK11" s="20">
        <v>0</v>
      </c>
      <c r="EL11" s="20">
        <v>0</v>
      </c>
      <c r="EM11" s="20">
        <v>0</v>
      </c>
      <c r="EN11" s="20">
        <v>0</v>
      </c>
      <c r="EO11" s="20">
        <v>0</v>
      </c>
      <c r="EP11" s="20">
        <v>0</v>
      </c>
      <c r="EQ11" s="20">
        <v>2</v>
      </c>
      <c r="ER11" s="20">
        <v>0</v>
      </c>
      <c r="ES11" s="20">
        <v>4</v>
      </c>
      <c r="ET11" s="20">
        <v>2</v>
      </c>
      <c r="EU11" s="20">
        <v>2</v>
      </c>
      <c r="EV11" s="20">
        <v>0</v>
      </c>
      <c r="EW11" s="20">
        <v>2</v>
      </c>
      <c r="EX11" s="20">
        <v>0</v>
      </c>
      <c r="EY11" s="20">
        <v>4</v>
      </c>
      <c r="EZ11" s="20">
        <v>0</v>
      </c>
      <c r="FA11" s="20">
        <v>0</v>
      </c>
      <c r="FB11" s="20">
        <v>0</v>
      </c>
      <c r="FC11" s="20">
        <v>2</v>
      </c>
      <c r="FD11" s="20">
        <v>0</v>
      </c>
      <c r="FE11" s="20">
        <v>0</v>
      </c>
      <c r="FF11" s="20">
        <v>0</v>
      </c>
      <c r="FG11" s="20">
        <v>2</v>
      </c>
      <c r="FH11" s="20">
        <v>0</v>
      </c>
      <c r="FI11" s="20">
        <v>0</v>
      </c>
      <c r="FJ11" s="20">
        <v>0</v>
      </c>
      <c r="FK11" s="20">
        <v>2</v>
      </c>
      <c r="FL11" s="20">
        <v>0</v>
      </c>
      <c r="FM11" s="20">
        <v>0</v>
      </c>
      <c r="FN11" s="20">
        <v>0</v>
      </c>
      <c r="FO11" s="20">
        <v>2</v>
      </c>
      <c r="FP11" s="20">
        <v>0</v>
      </c>
      <c r="FQ11" s="20">
        <v>0</v>
      </c>
      <c r="FR11" s="20">
        <v>0</v>
      </c>
      <c r="FS11" s="20">
        <v>0</v>
      </c>
      <c r="FT11" s="20">
        <v>0</v>
      </c>
      <c r="FU11" s="20">
        <v>0</v>
      </c>
      <c r="FV11" s="20">
        <v>0</v>
      </c>
      <c r="FW11" s="20">
        <v>2</v>
      </c>
      <c r="FX11" s="20">
        <v>0</v>
      </c>
      <c r="FY11" s="20">
        <v>0</v>
      </c>
      <c r="FZ11" s="20">
        <v>0</v>
      </c>
      <c r="GA11" s="20">
        <v>2</v>
      </c>
      <c r="GC11" s="20"/>
      <c r="GD11" s="20"/>
      <c r="GE11" s="26" t="s">
        <v>518</v>
      </c>
      <c r="GF11" s="20">
        <v>0</v>
      </c>
      <c r="GG11" s="20">
        <v>0</v>
      </c>
      <c r="GH11" s="20">
        <v>0</v>
      </c>
      <c r="GI11" s="20">
        <v>0</v>
      </c>
      <c r="GJ11" s="20">
        <v>0</v>
      </c>
      <c r="GK11" s="20">
        <v>0</v>
      </c>
      <c r="GL11" s="20">
        <v>2</v>
      </c>
      <c r="GM11" s="20">
        <v>0</v>
      </c>
      <c r="GN11" s="20">
        <v>0</v>
      </c>
      <c r="GO11" s="20">
        <v>2</v>
      </c>
      <c r="GP11" s="20">
        <v>0</v>
      </c>
      <c r="GQ11" s="20">
        <v>2</v>
      </c>
      <c r="GR11" s="20">
        <v>0</v>
      </c>
      <c r="GS11" s="20">
        <v>0</v>
      </c>
      <c r="GT11" s="20">
        <v>4</v>
      </c>
      <c r="GU11" s="20">
        <v>0</v>
      </c>
      <c r="GV11" s="20">
        <v>0</v>
      </c>
      <c r="GW11" s="20">
        <v>0</v>
      </c>
      <c r="GX11" s="20">
        <v>0</v>
      </c>
      <c r="GY11" s="20">
        <v>2</v>
      </c>
      <c r="GZ11" s="20">
        <v>0</v>
      </c>
      <c r="HA11" s="20">
        <v>2</v>
      </c>
      <c r="HB11" s="20">
        <v>0</v>
      </c>
      <c r="HC11" s="20">
        <v>2</v>
      </c>
      <c r="HD11" s="20">
        <v>0</v>
      </c>
      <c r="HE11" s="20">
        <v>0</v>
      </c>
      <c r="HF11" s="20">
        <v>0</v>
      </c>
      <c r="HG11" s="20">
        <v>0</v>
      </c>
      <c r="HH11" s="20">
        <v>0</v>
      </c>
      <c r="HI11" s="20">
        <v>0</v>
      </c>
      <c r="HJ11" s="20">
        <v>0</v>
      </c>
      <c r="HK11" s="20">
        <v>0</v>
      </c>
      <c r="HL11" s="20">
        <v>0</v>
      </c>
      <c r="HM11" s="20">
        <v>0</v>
      </c>
      <c r="HN11" s="20">
        <v>0</v>
      </c>
      <c r="HO11" s="20">
        <v>2</v>
      </c>
      <c r="HP11" s="20">
        <v>0</v>
      </c>
      <c r="HQ11" s="20">
        <v>0</v>
      </c>
      <c r="HR11" s="20">
        <v>2</v>
      </c>
      <c r="HS11" s="20">
        <v>0</v>
      </c>
      <c r="HT11" s="20">
        <v>0</v>
      </c>
      <c r="HU11" s="20">
        <v>0</v>
      </c>
      <c r="HV11" s="20">
        <v>0</v>
      </c>
      <c r="HW11" s="20">
        <v>0</v>
      </c>
      <c r="HX11" s="20">
        <v>0</v>
      </c>
      <c r="HY11" s="20">
        <v>0</v>
      </c>
      <c r="HZ11" s="20">
        <v>0</v>
      </c>
      <c r="IA11" s="20">
        <v>0</v>
      </c>
      <c r="IB11" s="20">
        <v>0</v>
      </c>
      <c r="IC11" s="20">
        <v>0</v>
      </c>
      <c r="ID11" s="20">
        <v>2</v>
      </c>
      <c r="IF11" s="21" t="s">
        <v>518</v>
      </c>
      <c r="IG11" s="21">
        <v>0</v>
      </c>
      <c r="IH11" s="21">
        <v>0</v>
      </c>
      <c r="II11" s="21">
        <v>0</v>
      </c>
      <c r="IJ11" s="21">
        <v>0</v>
      </c>
      <c r="IK11" s="21">
        <v>0</v>
      </c>
      <c r="IL11" s="21">
        <v>0</v>
      </c>
      <c r="IM11" s="21">
        <v>4</v>
      </c>
      <c r="IN11" s="21">
        <v>0</v>
      </c>
      <c r="IO11" s="21">
        <v>0</v>
      </c>
      <c r="IP11" s="21">
        <v>0</v>
      </c>
      <c r="IQ11" s="21">
        <v>0</v>
      </c>
      <c r="IR11" s="21">
        <v>0</v>
      </c>
      <c r="IS11" s="21">
        <v>0</v>
      </c>
      <c r="IT11" s="21">
        <v>2</v>
      </c>
      <c r="IU11" s="21">
        <v>2</v>
      </c>
      <c r="IV11" s="21">
        <v>0</v>
      </c>
      <c r="IW11" s="21">
        <v>2</v>
      </c>
      <c r="IX11" s="21">
        <v>0</v>
      </c>
      <c r="IY11" s="21">
        <v>0</v>
      </c>
      <c r="IZ11" s="21">
        <v>0</v>
      </c>
      <c r="JA11" s="21">
        <v>0</v>
      </c>
      <c r="JB11" s="21">
        <v>4</v>
      </c>
      <c r="JC11" s="21">
        <v>0</v>
      </c>
      <c r="JD11" s="21">
        <v>0</v>
      </c>
      <c r="JE11" s="21">
        <v>0</v>
      </c>
      <c r="JF11" s="21">
        <v>0</v>
      </c>
      <c r="JI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10,$JT$2:$KS$2,0),MATCH($W$2,$AH$22:$AH$47,0)))*C10</f>
        <v>0</v>
      </c>
      <c r="JJ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10,$JT$2:$KS$2,0),MATCH($W$2,$AH$22:$AH$47,0)))*C10</f>
        <v>0</v>
      </c>
      <c r="JK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10,$JT$2:$KS$2,0),MATCH($W$2,$AH$22:$AH$47,0)))*C10</f>
        <v>0</v>
      </c>
      <c r="JL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10,$JT$2:$KS$2,0),MATCH($W$2,$AH$22:$AH$47,0)))*C10</f>
        <v>0</v>
      </c>
      <c r="JM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10,$JT$2:$KS$2,0),MATCH($W$2,$AH$22:$AH$47,0)))*C10</f>
        <v>0</v>
      </c>
      <c r="JN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10,$JT$2:$KS$2,0),MATCH($W$2,$AH$22:$AH$47,0)))*C10</f>
        <v>0</v>
      </c>
      <c r="JO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10,$JT$2:$KS$2,0),MATCH($W$2,$AH$22:$AH$47,0)))*C10</f>
        <v>0</v>
      </c>
      <c r="JP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10,$JT$2:$KS$2,0),MATCH($W$2,$AH$22:$AH$47,0)))*C10</f>
        <v>0</v>
      </c>
      <c r="JQ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10,$JT$2:$KS$2,0),MATCH($W$2,$AH$22:$AH$47,0)))*C10</f>
        <v>0</v>
      </c>
      <c r="JS11" s="20" t="s">
        <v>408</v>
      </c>
      <c r="JT11" s="20">
        <v>0</v>
      </c>
      <c r="JU11" s="20">
        <f t="shared" ref="JU11:KS11" si="17">((((SUM(JU3:JU10))/2)-1))*4</f>
        <v>0</v>
      </c>
      <c r="JV11" s="20">
        <f t="shared" si="17"/>
        <v>0</v>
      </c>
      <c r="JW11" s="20">
        <f t="shared" si="17"/>
        <v>0</v>
      </c>
      <c r="JX11" s="20">
        <f t="shared" si="17"/>
        <v>4</v>
      </c>
      <c r="JY11" s="20">
        <f t="shared" si="17"/>
        <v>4</v>
      </c>
      <c r="JZ11" s="20">
        <f t="shared" si="17"/>
        <v>4</v>
      </c>
      <c r="KA11" s="20">
        <f t="shared" si="17"/>
        <v>4</v>
      </c>
      <c r="KB11" s="20">
        <f t="shared" si="17"/>
        <v>8</v>
      </c>
      <c r="KC11" s="20">
        <f t="shared" si="17"/>
        <v>8</v>
      </c>
      <c r="KD11" s="20">
        <f t="shared" si="17"/>
        <v>8</v>
      </c>
      <c r="KE11" s="20">
        <f t="shared" si="17"/>
        <v>12</v>
      </c>
      <c r="KF11" s="20">
        <f t="shared" si="17"/>
        <v>12</v>
      </c>
      <c r="KG11" s="20">
        <f t="shared" si="17"/>
        <v>12</v>
      </c>
      <c r="KH11" s="20">
        <f t="shared" si="17"/>
        <v>12</v>
      </c>
      <c r="KI11" s="20">
        <f t="shared" si="17"/>
        <v>16</v>
      </c>
      <c r="KJ11" s="20">
        <f t="shared" si="17"/>
        <v>16</v>
      </c>
      <c r="KK11" s="20">
        <f t="shared" si="17"/>
        <v>16</v>
      </c>
      <c r="KL11" s="20">
        <f t="shared" si="17"/>
        <v>20</v>
      </c>
      <c r="KM11" s="20">
        <f t="shared" si="17"/>
        <v>20</v>
      </c>
      <c r="KN11" s="20">
        <f t="shared" si="17"/>
        <v>20</v>
      </c>
      <c r="KO11" s="20">
        <f t="shared" si="17"/>
        <v>20</v>
      </c>
      <c r="KP11" s="20">
        <f t="shared" si="17"/>
        <v>24</v>
      </c>
      <c r="KQ11" s="20">
        <f t="shared" si="17"/>
        <v>24</v>
      </c>
      <c r="KR11" s="20">
        <f t="shared" si="17"/>
        <v>24</v>
      </c>
      <c r="KS11" s="20">
        <f t="shared" si="17"/>
        <v>28</v>
      </c>
      <c r="KU11" s="20" t="s">
        <v>408</v>
      </c>
      <c r="KV11" s="20">
        <v>0</v>
      </c>
      <c r="KW11" s="20">
        <f t="shared" ref="KW11:LU11" si="18">((((SUM(KW3:KW10))/2)-1))*4</f>
        <v>0</v>
      </c>
      <c r="KX11" s="20">
        <f t="shared" si="18"/>
        <v>0</v>
      </c>
      <c r="KY11" s="20">
        <f t="shared" si="18"/>
        <v>4</v>
      </c>
      <c r="KZ11" s="20">
        <f t="shared" si="18"/>
        <v>4</v>
      </c>
      <c r="LA11" s="20">
        <f t="shared" si="18"/>
        <v>8</v>
      </c>
      <c r="LB11" s="20">
        <f t="shared" si="18"/>
        <v>8</v>
      </c>
      <c r="LC11" s="20">
        <f t="shared" si="18"/>
        <v>12</v>
      </c>
      <c r="LD11" s="20">
        <f t="shared" si="18"/>
        <v>12</v>
      </c>
      <c r="LE11" s="20">
        <f t="shared" si="18"/>
        <v>16</v>
      </c>
      <c r="LF11" s="20">
        <f t="shared" si="18"/>
        <v>16</v>
      </c>
      <c r="LG11" s="20">
        <f t="shared" si="18"/>
        <v>20</v>
      </c>
      <c r="LH11" s="20">
        <f t="shared" si="18"/>
        <v>20</v>
      </c>
      <c r="LI11" s="20">
        <f t="shared" si="18"/>
        <v>24</v>
      </c>
      <c r="LJ11" s="20">
        <f t="shared" si="18"/>
        <v>24</v>
      </c>
      <c r="LK11" s="20">
        <f t="shared" si="18"/>
        <v>24</v>
      </c>
      <c r="LL11" s="20">
        <f t="shared" si="18"/>
        <v>28</v>
      </c>
      <c r="LM11" s="20">
        <f t="shared" si="18"/>
        <v>28</v>
      </c>
      <c r="LN11" s="20">
        <f t="shared" si="18"/>
        <v>32</v>
      </c>
      <c r="LO11" s="20">
        <f t="shared" si="18"/>
        <v>32</v>
      </c>
      <c r="LP11" s="20">
        <f t="shared" si="18"/>
        <v>36</v>
      </c>
      <c r="LQ11" s="20">
        <f t="shared" si="18"/>
        <v>36</v>
      </c>
      <c r="LR11" s="20">
        <f t="shared" si="18"/>
        <v>40</v>
      </c>
      <c r="LS11" s="20">
        <f t="shared" si="18"/>
        <v>40</v>
      </c>
      <c r="LT11" s="20">
        <f t="shared" si="18"/>
        <v>44</v>
      </c>
      <c r="LU11" s="20">
        <f t="shared" si="18"/>
        <v>44</v>
      </c>
      <c r="LW11" s="20" t="s">
        <v>408</v>
      </c>
      <c r="LX11" s="20">
        <v>0</v>
      </c>
      <c r="LY11" s="20">
        <f t="shared" ref="LY11:MW11" si="19">((((SUM(LY3:LY10))/2)-1))*4</f>
        <v>0</v>
      </c>
      <c r="LZ11" s="20">
        <f t="shared" si="19"/>
        <v>4</v>
      </c>
      <c r="MA11" s="20">
        <f t="shared" si="19"/>
        <v>4</v>
      </c>
      <c r="MB11" s="20">
        <f t="shared" si="19"/>
        <v>8</v>
      </c>
      <c r="MC11" s="20">
        <f t="shared" si="19"/>
        <v>8</v>
      </c>
      <c r="MD11" s="20">
        <f t="shared" si="19"/>
        <v>12</v>
      </c>
      <c r="ME11" s="20">
        <f t="shared" si="19"/>
        <v>12</v>
      </c>
      <c r="MF11" s="20">
        <f t="shared" si="19"/>
        <v>16</v>
      </c>
      <c r="MG11" s="20">
        <f t="shared" si="19"/>
        <v>16</v>
      </c>
      <c r="MH11" s="20">
        <f t="shared" si="19"/>
        <v>20</v>
      </c>
      <c r="MI11" s="20">
        <f t="shared" si="19"/>
        <v>20</v>
      </c>
      <c r="MJ11" s="20">
        <f t="shared" si="19"/>
        <v>24</v>
      </c>
      <c r="MK11" s="20">
        <f t="shared" si="19"/>
        <v>24</v>
      </c>
      <c r="ML11" s="20">
        <f t="shared" si="19"/>
        <v>28</v>
      </c>
      <c r="MM11" s="20">
        <f t="shared" si="19"/>
        <v>32</v>
      </c>
      <c r="MN11" s="20">
        <f t="shared" si="19"/>
        <v>32</v>
      </c>
      <c r="MO11" s="20">
        <f t="shared" si="19"/>
        <v>36</v>
      </c>
      <c r="MP11" s="20">
        <f t="shared" si="19"/>
        <v>36</v>
      </c>
      <c r="MQ11" s="20">
        <f t="shared" si="19"/>
        <v>40</v>
      </c>
      <c r="MR11" s="20">
        <f t="shared" si="19"/>
        <v>40</v>
      </c>
      <c r="MS11" s="20">
        <f t="shared" si="19"/>
        <v>44</v>
      </c>
      <c r="MT11" s="20">
        <f t="shared" si="19"/>
        <v>44</v>
      </c>
      <c r="MU11" s="20">
        <f t="shared" si="19"/>
        <v>48</v>
      </c>
      <c r="MV11" s="20">
        <f t="shared" si="19"/>
        <v>48</v>
      </c>
      <c r="MW11" s="20">
        <f t="shared" si="19"/>
        <v>52</v>
      </c>
      <c r="MY11" s="21" t="s">
        <v>408</v>
      </c>
      <c r="MZ11" s="21">
        <v>0</v>
      </c>
      <c r="NA11" s="20">
        <f t="shared" ref="NA11:NY11" si="20">((((SUM(NA3:NA10))/2)-1))*4</f>
        <v>0</v>
      </c>
      <c r="NB11" s="20">
        <f t="shared" si="20"/>
        <v>4</v>
      </c>
      <c r="NC11" s="20">
        <f t="shared" si="20"/>
        <v>4</v>
      </c>
      <c r="ND11" s="20">
        <f t="shared" si="20"/>
        <v>8</v>
      </c>
      <c r="NE11" s="20">
        <f t="shared" si="20"/>
        <v>12</v>
      </c>
      <c r="NF11" s="20">
        <f t="shared" si="20"/>
        <v>12</v>
      </c>
      <c r="NG11" s="20">
        <f t="shared" si="20"/>
        <v>16</v>
      </c>
      <c r="NH11" s="20">
        <f t="shared" si="20"/>
        <v>20</v>
      </c>
      <c r="NI11" s="20">
        <f t="shared" si="20"/>
        <v>20</v>
      </c>
      <c r="NJ11" s="20">
        <f t="shared" si="20"/>
        <v>24</v>
      </c>
      <c r="NK11" s="20">
        <f t="shared" si="20"/>
        <v>28</v>
      </c>
      <c r="NL11" s="20">
        <f t="shared" si="20"/>
        <v>28</v>
      </c>
      <c r="NM11" s="20">
        <f t="shared" si="20"/>
        <v>32</v>
      </c>
      <c r="NN11" s="20">
        <f t="shared" si="20"/>
        <v>36</v>
      </c>
      <c r="NO11" s="20">
        <f t="shared" si="20"/>
        <v>36</v>
      </c>
      <c r="NP11" s="20">
        <f t="shared" si="20"/>
        <v>40</v>
      </c>
      <c r="NQ11" s="20">
        <f t="shared" si="20"/>
        <v>44</v>
      </c>
      <c r="NR11" s="20">
        <f t="shared" si="20"/>
        <v>44</v>
      </c>
      <c r="NS11" s="20">
        <f t="shared" si="20"/>
        <v>48</v>
      </c>
      <c r="NT11" s="20">
        <f t="shared" si="20"/>
        <v>52</v>
      </c>
      <c r="NU11" s="20">
        <f t="shared" si="20"/>
        <v>52</v>
      </c>
      <c r="NV11" s="20">
        <f t="shared" si="20"/>
        <v>56</v>
      </c>
      <c r="NW11" s="20">
        <f t="shared" si="20"/>
        <v>60</v>
      </c>
      <c r="NX11" s="20">
        <f t="shared" si="20"/>
        <v>60</v>
      </c>
      <c r="NY11" s="20">
        <f t="shared" si="20"/>
        <v>64</v>
      </c>
    </row>
    <row r="12" spans="1:418" x14ac:dyDescent="0.25">
      <c r="A12" s="8"/>
      <c r="B12" s="5" t="s">
        <v>116</v>
      </c>
      <c r="C12" s="8"/>
      <c r="D12" s="6" t="s">
        <v>511</v>
      </c>
      <c r="E12" s="4"/>
      <c r="F12" s="359"/>
      <c r="G12" s="359"/>
      <c r="H12" s="359"/>
      <c r="I12" s="359"/>
      <c r="J12" s="4"/>
      <c r="K12" s="4"/>
      <c r="L12" s="6" t="str">
        <f>IF(E8="10X200","SWDM10X200E",IF(E8="10X250","SWDM10X250E",IF(E8="10X300","SWDM10X300E",IF(E8="12X300","SWDM12X300E",0))))</f>
        <v>SWDM10X250E</v>
      </c>
      <c r="M12" s="14">
        <f>INDEX(cennik!$A$2:$O$529,MATCH($L12,cennik!$B$2:$B$522,0),MATCH(M$2,cennik!$A$1:$O$1,0))</f>
        <v>898825</v>
      </c>
      <c r="N12" s="14" t="str">
        <f>INDEX(cennik!$A$2:$O$529,MATCH($L12,cennik!$B$2:$B$522,0),MATCH(N$2,cennik!$A$1:$O$1,0))</f>
        <v>szt.</v>
      </c>
      <c r="O12" s="14">
        <f>SUM(AL2:AL17)</f>
        <v>0</v>
      </c>
      <c r="P12" s="22">
        <f>INDEX(cennik!$A$2:$O$529,MATCH($L12,cennik!$B$2:$B$522,0),MATCH(P$2,cennik!$A$1:$O$1,0))</f>
        <v>6.99</v>
      </c>
      <c r="Q12" s="22">
        <f t="shared" si="14"/>
        <v>0</v>
      </c>
      <c r="R12" s="23">
        <f>$E$9</f>
        <v>0</v>
      </c>
      <c r="S12" s="22">
        <f t="shared" si="15"/>
        <v>6.99</v>
      </c>
      <c r="T12" s="22">
        <f t="shared" si="16"/>
        <v>0</v>
      </c>
      <c r="U12" s="22">
        <f>INDEX(cennik!$A$2:$O$529,MATCH($L12,cennik!$B$2:$B$522,0),MATCH(U$2,cennik!$A$1:$O$1,0))*O12</f>
        <v>0</v>
      </c>
      <c r="V12" s="20"/>
      <c r="W12" s="20"/>
      <c r="X12" s="25">
        <f t="shared" si="0"/>
        <v>0</v>
      </c>
      <c r="Y12" s="20" t="s">
        <v>135</v>
      </c>
      <c r="Z12" s="20"/>
      <c r="AA12" s="20"/>
      <c r="AB12" s="26">
        <v>42</v>
      </c>
      <c r="AC12" s="356" t="s">
        <v>34</v>
      </c>
      <c r="AE12" s="356" t="s">
        <v>109</v>
      </c>
      <c r="AF12" s="20" t="s">
        <v>14</v>
      </c>
      <c r="AG12" s="20">
        <v>42</v>
      </c>
      <c r="AH12" s="356" t="s">
        <v>46</v>
      </c>
      <c r="AJ12" s="357" t="s">
        <v>151</v>
      </c>
      <c r="AK12" s="357" t="s">
        <v>151</v>
      </c>
      <c r="AL12" s="20">
        <f t="shared" si="1"/>
        <v>0</v>
      </c>
      <c r="AM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11,$BB$2:$CA$2,0),MATCH($W$2,$AH$22:$AH$47,0)))*C11</f>
        <v>0</v>
      </c>
      <c r="AN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11,$BB$2:$CA$2,0),MATCH($W$2,$AH$22:$AH$47,0)))*C11</f>
        <v>0</v>
      </c>
      <c r="AO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11,$BB$2:$CA$2,0),MATCH($W$2,$AH$22:$AH$47,0)))*C11</f>
        <v>0</v>
      </c>
      <c r="AP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11,$BB$2:$CA$2,0),MATCH($W$2,$AH$22:$AH$47,0)))*C11</f>
        <v>0</v>
      </c>
      <c r="AQ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11,$BB$2:$CA$2,0),MATCH($W$2,$AH$22:$AH$47,0)))*C11</f>
        <v>0</v>
      </c>
      <c r="AR1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11,$BB$2:$CA$2,0),MATCH($W$2,$AH$22:$AH$47,0)))*C11</f>
        <v>0</v>
      </c>
      <c r="AS12" s="20"/>
      <c r="AZ12" s="20"/>
      <c r="BA12" s="26" t="s">
        <v>519</v>
      </c>
      <c r="BB12" s="20">
        <v>0</v>
      </c>
      <c r="BC12" s="20">
        <v>0</v>
      </c>
      <c r="BD12" s="20">
        <v>0</v>
      </c>
      <c r="BE12" s="20">
        <v>2</v>
      </c>
      <c r="BF12" s="20">
        <v>0</v>
      </c>
      <c r="BG12" s="20">
        <v>2</v>
      </c>
      <c r="BH12" s="20">
        <v>4</v>
      </c>
      <c r="BI12" s="20">
        <v>2</v>
      </c>
      <c r="BJ12" s="20">
        <v>4</v>
      </c>
      <c r="BK12" s="20">
        <v>6</v>
      </c>
      <c r="BL12" s="20">
        <v>4</v>
      </c>
      <c r="BM12" s="20">
        <v>6</v>
      </c>
      <c r="BN12" s="20">
        <v>8</v>
      </c>
      <c r="BO12" s="20">
        <v>6</v>
      </c>
      <c r="BP12" s="20">
        <v>8</v>
      </c>
      <c r="BQ12" s="20">
        <v>0</v>
      </c>
      <c r="BR12" s="20">
        <v>0</v>
      </c>
      <c r="BS12" s="20">
        <v>0</v>
      </c>
      <c r="BT12" s="20">
        <v>0</v>
      </c>
      <c r="BU12" s="20">
        <v>2</v>
      </c>
      <c r="BV12" s="20">
        <v>2</v>
      </c>
      <c r="BW12" s="20">
        <v>4</v>
      </c>
      <c r="BX12" s="20">
        <v>6</v>
      </c>
      <c r="BY12" s="20">
        <v>6</v>
      </c>
      <c r="BZ12" s="20">
        <v>6</v>
      </c>
      <c r="CA12" s="20">
        <v>8</v>
      </c>
      <c r="CB12" s="20">
        <v>12</v>
      </c>
      <c r="CC12" s="20">
        <v>10</v>
      </c>
      <c r="CD12" s="20">
        <v>12</v>
      </c>
      <c r="CE12" s="20">
        <v>0</v>
      </c>
      <c r="CF12" s="20">
        <v>12</v>
      </c>
      <c r="CG12" s="20">
        <v>14</v>
      </c>
      <c r="CH12" s="20">
        <v>0</v>
      </c>
      <c r="CI12" s="20">
        <v>14</v>
      </c>
      <c r="CJ12" s="20">
        <v>16</v>
      </c>
      <c r="CK12" s="20">
        <v>4</v>
      </c>
      <c r="CL12" s="20">
        <v>8</v>
      </c>
      <c r="CM12" s="20">
        <v>4</v>
      </c>
      <c r="CN12" s="20">
        <v>6</v>
      </c>
      <c r="CO12" s="20">
        <v>6</v>
      </c>
      <c r="CP12" s="20">
        <v>22</v>
      </c>
      <c r="CQ12" s="20">
        <v>8</v>
      </c>
      <c r="CR12" s="20">
        <v>22</v>
      </c>
      <c r="CS12" s="20">
        <v>10</v>
      </c>
      <c r="CT12" s="20">
        <v>12</v>
      </c>
      <c r="CU12" s="20">
        <v>0</v>
      </c>
      <c r="CV12" s="20">
        <v>4</v>
      </c>
      <c r="CW12" s="20">
        <v>14</v>
      </c>
      <c r="CX12" s="20">
        <v>0</v>
      </c>
      <c r="CY12" s="20">
        <v>30</v>
      </c>
      <c r="CZ12" s="20">
        <v>2</v>
      </c>
      <c r="DA12" s="54"/>
      <c r="DB12" s="54">
        <v>11</v>
      </c>
      <c r="DC12" s="54"/>
      <c r="DD12" s="20" t="s">
        <v>115</v>
      </c>
      <c r="DE12" s="20">
        <v>0</v>
      </c>
      <c r="DF12" s="20">
        <v>1</v>
      </c>
      <c r="DG12" s="20">
        <v>2</v>
      </c>
      <c r="DH12" s="20">
        <v>3</v>
      </c>
      <c r="DI12" s="20">
        <v>4</v>
      </c>
      <c r="DJ12" s="20">
        <v>5</v>
      </c>
      <c r="DK12" s="20">
        <v>6</v>
      </c>
      <c r="DL12" s="20">
        <v>7</v>
      </c>
      <c r="DM12" s="20">
        <v>8</v>
      </c>
      <c r="DN12" s="20">
        <v>9</v>
      </c>
      <c r="DO12" s="20">
        <v>10</v>
      </c>
      <c r="DP12" s="20">
        <v>11</v>
      </c>
      <c r="DQ12" s="20">
        <v>12</v>
      </c>
      <c r="DR12" s="20">
        <v>13</v>
      </c>
      <c r="DS12" s="20">
        <v>14</v>
      </c>
      <c r="DT12" s="20">
        <v>15</v>
      </c>
      <c r="DU12" s="20">
        <v>16</v>
      </c>
      <c r="DV12" s="20">
        <v>17</v>
      </c>
      <c r="DW12" s="20">
        <v>18</v>
      </c>
      <c r="DX12" s="20">
        <v>19</v>
      </c>
      <c r="DY12" s="20">
        <v>20</v>
      </c>
      <c r="DZ12" s="20"/>
      <c r="EA12" s="20"/>
      <c r="EB12" s="26" t="s">
        <v>519</v>
      </c>
      <c r="EC12" s="20">
        <v>0</v>
      </c>
      <c r="ED12" s="20">
        <v>0</v>
      </c>
      <c r="EE12" s="20">
        <v>0</v>
      </c>
      <c r="EF12" s="20">
        <v>2</v>
      </c>
      <c r="EG12" s="20">
        <v>2</v>
      </c>
      <c r="EH12" s="20">
        <v>4</v>
      </c>
      <c r="EI12" s="20">
        <v>4</v>
      </c>
      <c r="EJ12" s="20">
        <v>2</v>
      </c>
      <c r="EK12" s="20">
        <v>6</v>
      </c>
      <c r="EL12" s="20">
        <v>2</v>
      </c>
      <c r="EM12" s="20">
        <v>10</v>
      </c>
      <c r="EN12" s="20">
        <v>0</v>
      </c>
      <c r="EO12" s="20">
        <v>8</v>
      </c>
      <c r="EP12" s="20">
        <v>0</v>
      </c>
      <c r="EQ12" s="20">
        <v>6</v>
      </c>
      <c r="ER12" s="20">
        <v>14</v>
      </c>
      <c r="ES12" s="20">
        <v>6</v>
      </c>
      <c r="ET12" s="20">
        <v>2</v>
      </c>
      <c r="EU12" s="20">
        <v>4</v>
      </c>
      <c r="EV12" s="20">
        <v>12</v>
      </c>
      <c r="EW12" s="20">
        <v>20</v>
      </c>
      <c r="EX12" s="20">
        <v>12</v>
      </c>
      <c r="EY12" s="20">
        <v>8</v>
      </c>
      <c r="EZ12" s="20">
        <v>10</v>
      </c>
      <c r="FA12" s="20">
        <v>16</v>
      </c>
      <c r="FB12" s="20">
        <v>10</v>
      </c>
      <c r="FC12" s="20">
        <v>16</v>
      </c>
      <c r="FD12" s="20">
        <v>8</v>
      </c>
      <c r="FE12" s="20">
        <v>30</v>
      </c>
      <c r="FF12" s="20">
        <v>8</v>
      </c>
      <c r="FG12" s="20">
        <v>14</v>
      </c>
      <c r="FH12" s="20">
        <v>6</v>
      </c>
      <c r="FI12" s="20">
        <v>6</v>
      </c>
      <c r="FJ12" s="20">
        <v>6</v>
      </c>
      <c r="FK12" s="20">
        <v>12</v>
      </c>
      <c r="FL12" s="20">
        <v>4</v>
      </c>
      <c r="FM12" s="20">
        <v>26</v>
      </c>
      <c r="FN12" s="20">
        <v>4</v>
      </c>
      <c r="FO12" s="20">
        <v>10</v>
      </c>
      <c r="FP12" s="20">
        <v>2</v>
      </c>
      <c r="FQ12" s="20">
        <v>24</v>
      </c>
      <c r="FR12" s="20">
        <v>2</v>
      </c>
      <c r="FS12" s="20">
        <v>0</v>
      </c>
      <c r="FT12" s="20">
        <v>0</v>
      </c>
      <c r="FU12" s="20">
        <v>22</v>
      </c>
      <c r="FV12" s="20">
        <v>0</v>
      </c>
      <c r="FW12" s="20">
        <v>6</v>
      </c>
      <c r="FX12" s="20">
        <v>0</v>
      </c>
      <c r="FY12" s="20">
        <v>20</v>
      </c>
      <c r="FZ12" s="20">
        <v>0</v>
      </c>
      <c r="GA12" s="20">
        <v>4</v>
      </c>
      <c r="GC12" s="20"/>
      <c r="GD12" s="20"/>
      <c r="GE12" s="26" t="s">
        <v>519</v>
      </c>
      <c r="GF12" s="20">
        <v>0</v>
      </c>
      <c r="GG12" s="20">
        <v>0</v>
      </c>
      <c r="GH12" s="20">
        <v>0</v>
      </c>
      <c r="GI12" s="20">
        <v>4</v>
      </c>
      <c r="GJ12" s="20">
        <v>0</v>
      </c>
      <c r="GK12" s="20">
        <v>2</v>
      </c>
      <c r="GL12" s="20">
        <v>6</v>
      </c>
      <c r="GM12" s="20">
        <v>6</v>
      </c>
      <c r="GN12" s="20">
        <v>10</v>
      </c>
      <c r="GO12" s="20">
        <v>0</v>
      </c>
      <c r="GP12" s="20">
        <v>6</v>
      </c>
      <c r="GQ12" s="20">
        <v>8</v>
      </c>
      <c r="GR12" s="20">
        <v>0</v>
      </c>
      <c r="GS12" s="20">
        <v>16</v>
      </c>
      <c r="GT12" s="20">
        <v>4</v>
      </c>
      <c r="GU12" s="20">
        <v>8</v>
      </c>
      <c r="GV12" s="20">
        <v>10</v>
      </c>
      <c r="GW12" s="20">
        <v>0</v>
      </c>
      <c r="GX12" s="20">
        <v>18</v>
      </c>
      <c r="GY12" s="20">
        <v>22</v>
      </c>
      <c r="GZ12" s="20">
        <v>10</v>
      </c>
      <c r="HA12" s="20">
        <v>14</v>
      </c>
      <c r="HB12" s="20">
        <v>4</v>
      </c>
      <c r="HC12" s="20">
        <v>6</v>
      </c>
      <c r="HD12" s="20">
        <v>0</v>
      </c>
      <c r="HE12" s="20">
        <v>14</v>
      </c>
      <c r="HF12" s="20">
        <v>32</v>
      </c>
      <c r="HG12" s="20">
        <v>6</v>
      </c>
      <c r="HH12" s="20">
        <v>24</v>
      </c>
      <c r="HI12" s="20">
        <v>0</v>
      </c>
      <c r="HJ12" s="20">
        <v>16</v>
      </c>
      <c r="HK12" s="20">
        <v>34</v>
      </c>
      <c r="HL12" s="20">
        <v>8</v>
      </c>
      <c r="HM12" s="20">
        <v>26</v>
      </c>
      <c r="HN12" s="20">
        <v>0</v>
      </c>
      <c r="HO12" s="20">
        <v>4</v>
      </c>
      <c r="HP12" s="20">
        <v>0</v>
      </c>
      <c r="HQ12" s="20">
        <v>12</v>
      </c>
      <c r="HR12" s="20">
        <v>14</v>
      </c>
      <c r="HS12" s="20">
        <v>4</v>
      </c>
      <c r="HT12" s="20">
        <v>22</v>
      </c>
      <c r="HU12" s="20">
        <v>0</v>
      </c>
      <c r="HV12" s="20">
        <v>14</v>
      </c>
      <c r="HW12" s="20">
        <v>32</v>
      </c>
      <c r="HX12" s="20">
        <v>6</v>
      </c>
      <c r="HY12" s="20">
        <v>24</v>
      </c>
      <c r="HZ12" s="20">
        <v>0</v>
      </c>
      <c r="IA12" s="20">
        <v>16</v>
      </c>
      <c r="IB12" s="20">
        <v>0</v>
      </c>
      <c r="IC12" s="20">
        <v>10</v>
      </c>
      <c r="ID12" s="20">
        <v>12</v>
      </c>
      <c r="IF12" s="21" t="s">
        <v>519</v>
      </c>
      <c r="IG12" s="21">
        <v>0</v>
      </c>
      <c r="IH12" s="21">
        <v>2</v>
      </c>
      <c r="II12" s="21">
        <v>2</v>
      </c>
      <c r="IJ12" s="21">
        <v>2</v>
      </c>
      <c r="IK12" s="21">
        <v>4</v>
      </c>
      <c r="IL12" s="21">
        <v>0</v>
      </c>
      <c r="IM12" s="21">
        <v>0</v>
      </c>
      <c r="IN12" s="21">
        <v>8</v>
      </c>
      <c r="IO12" s="21">
        <v>8</v>
      </c>
      <c r="IP12" s="21">
        <v>4</v>
      </c>
      <c r="IQ12" s="21">
        <v>0</v>
      </c>
      <c r="IR12" s="21">
        <v>0</v>
      </c>
      <c r="IS12" s="21">
        <v>16</v>
      </c>
      <c r="IT12" s="21">
        <v>10</v>
      </c>
      <c r="IU12" s="21">
        <v>6</v>
      </c>
      <c r="IV12" s="21">
        <v>6</v>
      </c>
      <c r="IW12" s="21">
        <v>2</v>
      </c>
      <c r="IX12" s="21">
        <v>2</v>
      </c>
      <c r="IY12" s="21">
        <v>0</v>
      </c>
      <c r="IZ12" s="21">
        <v>10</v>
      </c>
      <c r="JA12" s="21">
        <v>22</v>
      </c>
      <c r="JB12" s="21">
        <v>4</v>
      </c>
      <c r="JC12" s="21">
        <v>2</v>
      </c>
      <c r="JD12" s="21">
        <v>14</v>
      </c>
      <c r="JE12" s="21">
        <v>26</v>
      </c>
      <c r="JF12" s="21">
        <v>0</v>
      </c>
      <c r="JI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11,$JT$2:$KS$2,0),MATCH($W$2,$AH$22:$AH$47,0)))*C11</f>
        <v>0</v>
      </c>
      <c r="JJ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11,$JT$2:$KS$2,0),MATCH($W$2,$AH$22:$AH$47,0)))*C11</f>
        <v>0</v>
      </c>
      <c r="JK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11,$JT$2:$KS$2,0),MATCH($W$2,$AH$22:$AH$47,0)))*C11</f>
        <v>0</v>
      </c>
      <c r="JL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11,$JT$2:$KS$2,0),MATCH($W$2,$AH$22:$AH$47,0)))*C11</f>
        <v>0</v>
      </c>
      <c r="JM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11,$JT$2:$KS$2,0),MATCH($W$2,$AH$22:$AH$47,0)))*C11</f>
        <v>0</v>
      </c>
      <c r="JN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11,$JT$2:$KS$2,0),MATCH($W$2,$AH$22:$AH$47,0)))*C11</f>
        <v>0</v>
      </c>
      <c r="JO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11,$JT$2:$KS$2,0),MATCH($W$2,$AH$22:$AH$47,0)))*C11</f>
        <v>0</v>
      </c>
      <c r="JP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11,$JT$2:$KS$2,0),MATCH($W$2,$AH$22:$AH$47,0)))*C11</f>
        <v>0</v>
      </c>
      <c r="JQ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11,$JT$2:$KS$2,0),MATCH($W$2,$AH$22:$AH$47,0)))*C11</f>
        <v>0</v>
      </c>
      <c r="JS12" s="26" t="s">
        <v>516</v>
      </c>
      <c r="JT12" s="20">
        <v>0</v>
      </c>
      <c r="JU12" s="20">
        <v>2</v>
      </c>
      <c r="JV12" s="20">
        <v>0</v>
      </c>
      <c r="JW12" s="20">
        <v>0</v>
      </c>
      <c r="JX12" s="20">
        <v>0</v>
      </c>
      <c r="JY12" s="20">
        <v>0</v>
      </c>
      <c r="JZ12" s="20">
        <v>0</v>
      </c>
      <c r="KA12" s="20">
        <v>0</v>
      </c>
      <c r="KB12" s="20">
        <v>0</v>
      </c>
      <c r="KC12" s="20">
        <v>0</v>
      </c>
      <c r="KD12" s="20">
        <v>0</v>
      </c>
      <c r="KE12" s="20">
        <v>0</v>
      </c>
      <c r="KF12" s="20">
        <v>0</v>
      </c>
      <c r="KG12" s="20">
        <v>0</v>
      </c>
      <c r="KH12" s="20">
        <v>0</v>
      </c>
      <c r="KI12" s="20">
        <v>0</v>
      </c>
      <c r="KJ12" s="20">
        <v>0</v>
      </c>
      <c r="KK12" s="20">
        <v>0</v>
      </c>
      <c r="KL12" s="20">
        <v>0</v>
      </c>
      <c r="KM12" s="20">
        <v>0</v>
      </c>
      <c r="KN12" s="20">
        <v>0</v>
      </c>
      <c r="KO12" s="20">
        <v>0</v>
      </c>
      <c r="KP12" s="20">
        <v>0</v>
      </c>
      <c r="KQ12" s="20">
        <v>0</v>
      </c>
      <c r="KR12" s="20">
        <v>0</v>
      </c>
      <c r="KS12" s="20">
        <v>0</v>
      </c>
      <c r="KU12" s="26" t="s">
        <v>516</v>
      </c>
      <c r="KV12" s="20">
        <v>0</v>
      </c>
      <c r="KW12" s="20">
        <v>0</v>
      </c>
      <c r="KX12" s="20">
        <v>6</v>
      </c>
      <c r="KY12" s="20">
        <v>0</v>
      </c>
      <c r="KZ12" s="20">
        <v>0</v>
      </c>
      <c r="LA12" s="20">
        <v>0</v>
      </c>
      <c r="LB12" s="20">
        <v>0</v>
      </c>
      <c r="LC12" s="20">
        <v>0</v>
      </c>
      <c r="LD12" s="20">
        <v>0</v>
      </c>
      <c r="LE12" s="20">
        <v>0</v>
      </c>
      <c r="LF12" s="20">
        <v>2</v>
      </c>
      <c r="LG12" s="20">
        <v>0</v>
      </c>
      <c r="LH12" s="20">
        <v>0</v>
      </c>
      <c r="LI12" s="20">
        <v>0</v>
      </c>
      <c r="LJ12" s="20">
        <v>0</v>
      </c>
      <c r="LK12" s="20">
        <v>0</v>
      </c>
      <c r="LL12" s="20">
        <v>0</v>
      </c>
      <c r="LM12" s="20">
        <v>0</v>
      </c>
      <c r="LN12" s="20">
        <v>0</v>
      </c>
      <c r="LO12" s="20">
        <v>0</v>
      </c>
      <c r="LP12" s="20">
        <v>0</v>
      </c>
      <c r="LQ12" s="20">
        <v>0</v>
      </c>
      <c r="LR12" s="20">
        <v>0</v>
      </c>
      <c r="LS12" s="20">
        <v>0</v>
      </c>
      <c r="LT12" s="20">
        <v>0</v>
      </c>
      <c r="LU12" s="20">
        <v>0</v>
      </c>
      <c r="LW12" s="26" t="s">
        <v>516</v>
      </c>
      <c r="LX12" s="20">
        <v>0</v>
      </c>
      <c r="LY12" s="20">
        <v>0</v>
      </c>
      <c r="LZ12" s="20">
        <v>0</v>
      </c>
      <c r="MA12" s="20">
        <v>0</v>
      </c>
      <c r="MB12" s="20">
        <v>2</v>
      </c>
      <c r="MC12" s="20">
        <v>0</v>
      </c>
      <c r="MD12" s="20">
        <v>0</v>
      </c>
      <c r="ME12" s="20">
        <v>0</v>
      </c>
      <c r="MF12" s="20">
        <v>0</v>
      </c>
      <c r="MG12" s="20">
        <v>0</v>
      </c>
      <c r="MH12" s="20">
        <v>0</v>
      </c>
      <c r="MI12" s="20">
        <v>0</v>
      </c>
      <c r="MJ12" s="20">
        <v>0</v>
      </c>
      <c r="MK12" s="20">
        <v>0</v>
      </c>
      <c r="ML12" s="20">
        <v>0</v>
      </c>
      <c r="MM12" s="20">
        <v>0</v>
      </c>
      <c r="MN12" s="20">
        <v>0</v>
      </c>
      <c r="MO12" s="20">
        <v>0</v>
      </c>
      <c r="MP12" s="20">
        <v>0</v>
      </c>
      <c r="MQ12" s="20">
        <v>0</v>
      </c>
      <c r="MR12" s="20">
        <v>0</v>
      </c>
      <c r="MS12" s="20">
        <v>0</v>
      </c>
      <c r="MT12" s="20">
        <v>0</v>
      </c>
      <c r="MU12" s="20">
        <v>0</v>
      </c>
      <c r="MV12" s="20">
        <v>0</v>
      </c>
      <c r="MW12" s="20">
        <v>0</v>
      </c>
      <c r="MY12" s="21" t="s">
        <v>516</v>
      </c>
      <c r="MZ12" s="21">
        <v>0</v>
      </c>
      <c r="NA12" s="21">
        <v>0</v>
      </c>
      <c r="NB12" s="21">
        <v>0</v>
      </c>
      <c r="NC12" s="21">
        <v>0</v>
      </c>
      <c r="ND12" s="21">
        <v>0</v>
      </c>
      <c r="NE12" s="21">
        <v>0</v>
      </c>
      <c r="NF12" s="21">
        <v>0</v>
      </c>
      <c r="NG12" s="21">
        <v>0</v>
      </c>
      <c r="NH12" s="21">
        <v>0</v>
      </c>
      <c r="NI12" s="21">
        <v>0</v>
      </c>
      <c r="NJ12" s="21">
        <v>0</v>
      </c>
      <c r="NK12" s="21">
        <v>0</v>
      </c>
      <c r="NL12" s="21">
        <v>0</v>
      </c>
      <c r="NM12" s="21">
        <v>0</v>
      </c>
      <c r="NN12" s="21">
        <v>0</v>
      </c>
      <c r="NO12" s="21">
        <v>0</v>
      </c>
      <c r="NP12" s="21">
        <v>0</v>
      </c>
      <c r="NQ12" s="21">
        <v>0</v>
      </c>
      <c r="NR12" s="21">
        <v>0</v>
      </c>
      <c r="NS12" s="21">
        <v>0</v>
      </c>
      <c r="NT12" s="21">
        <v>0</v>
      </c>
      <c r="NU12" s="21">
        <v>0</v>
      </c>
      <c r="NV12" s="21">
        <v>0</v>
      </c>
      <c r="NW12" s="21">
        <v>0</v>
      </c>
      <c r="NX12" s="21">
        <v>0</v>
      </c>
      <c r="NY12" s="21">
        <v>0</v>
      </c>
    </row>
    <row r="13" spans="1:418" x14ac:dyDescent="0.25">
      <c r="A13" s="8"/>
      <c r="B13" s="5" t="s">
        <v>116</v>
      </c>
      <c r="C13" s="8"/>
      <c r="D13" s="6" t="s">
        <v>1470</v>
      </c>
      <c r="E13" s="8" t="s">
        <v>1471</v>
      </c>
      <c r="F13" s="359"/>
      <c r="G13" s="359"/>
      <c r="H13" s="359"/>
      <c r="I13" s="359"/>
      <c r="J13" s="4"/>
      <c r="K13" s="4"/>
      <c r="L13" s="6" t="str">
        <f>IF(E8="10X200","AD11E",IF(E8="10X250","AD11E",IF(E8="10X300","AD11E",IF(E8="12X300","AD13E",0))))</f>
        <v>AD11E</v>
      </c>
      <c r="M13" s="14">
        <f>INDEX(cennik!$A$2:$O$529,MATCH($L13,cennik!$B$2:$B$522,0),MATCH(M$2,cennik!$A$1:$O$1,0))</f>
        <v>898311</v>
      </c>
      <c r="N13" s="14" t="str">
        <f>INDEX(cennik!$A$2:$O$529,MATCH($L13,cennik!$B$2:$B$522,0),MATCH(N$2,cennik!$A$1:$O$1,0))</f>
        <v>szt.</v>
      </c>
      <c r="O13" s="14">
        <f>O12</f>
        <v>0</v>
      </c>
      <c r="P13" s="22">
        <f>INDEX(cennik!$A$2:$O$529,MATCH($L13,cennik!$B$2:$B$522,0),MATCH(P$2,cennik!$A$1:$O$1,0))</f>
        <v>4.93</v>
      </c>
      <c r="Q13" s="22">
        <f t="shared" si="14"/>
        <v>0</v>
      </c>
      <c r="R13" s="23">
        <f t="shared" si="3"/>
        <v>0</v>
      </c>
      <c r="S13" s="22">
        <f t="shared" si="15"/>
        <v>4.93</v>
      </c>
      <c r="T13" s="22">
        <f t="shared" si="16"/>
        <v>0</v>
      </c>
      <c r="U13" s="22">
        <f>INDEX(cennik!$A$2:$O$529,MATCH($L13,cennik!$B$2:$B$522,0),MATCH(U$2,cennik!$A$1:$O$1,0))*O13</f>
        <v>0</v>
      </c>
      <c r="V13" s="20"/>
      <c r="W13" s="20"/>
      <c r="X13" s="25">
        <f t="shared" si="0"/>
        <v>0</v>
      </c>
      <c r="Y13" s="20" t="s">
        <v>147</v>
      </c>
      <c r="Z13" s="20"/>
      <c r="AA13" s="20">
        <f>INT(((A2*IF(E3=AH30,1650,IF(E3=AH31,1700,IF(E3=AH32,1750,IF(E3=AH33,1800,IF(E3=AH34,1850,IF(E3=AH35,1900,IF(E3=AH36,1950,IF(E3=AH37,2000,IF(E3=AH38,2050,IF(E3=AH39,2100,IF(E3=AH40,2150,IF(E3=AH41,2200,IF(E3=AH42,2250,IF(E3=AH43,2300)))))))))))))))+((A2-1)*20)+80)/E4)</f>
        <v>0</v>
      </c>
      <c r="AB13" s="26">
        <v>45</v>
      </c>
      <c r="AC13" s="356" t="s">
        <v>35</v>
      </c>
      <c r="AE13" s="356" t="s">
        <v>149</v>
      </c>
      <c r="AF13" s="20" t="s">
        <v>14</v>
      </c>
      <c r="AG13" s="20">
        <v>45</v>
      </c>
      <c r="AH13" s="356" t="s">
        <v>47</v>
      </c>
      <c r="AJ13" s="357" t="s">
        <v>151</v>
      </c>
      <c r="AK13" s="357" t="s">
        <v>151</v>
      </c>
      <c r="AL13" s="20">
        <f t="shared" si="1"/>
        <v>0</v>
      </c>
      <c r="AM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12,$BB$2:$CA$2,0),MATCH($W$2,$AH$22:$AH$47,0)))*C12</f>
        <v>0</v>
      </c>
      <c r="AN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12,$BB$2:$CA$2,0),MATCH($W$2,$AH$22:$AH$47,0)))*C12</f>
        <v>0</v>
      </c>
      <c r="AO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12,$BB$2:$CA$2,0),MATCH($W$2,$AH$22:$AH$47,0)))*C12</f>
        <v>0</v>
      </c>
      <c r="AP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12,$BB$2:$CA$2,0),MATCH($W$2,$AH$22:$AH$47,0)))*C12</f>
        <v>0</v>
      </c>
      <c r="AQ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12,$BB$2:$CA$2,0),MATCH($W$2,$AH$22:$AH$47,0)))*C12</f>
        <v>0</v>
      </c>
      <c r="AR1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12,$BB$2:$CA$2,0),MATCH($W$2,$AH$22:$AH$47,0)))*C12</f>
        <v>0</v>
      </c>
      <c r="AS13" s="20"/>
      <c r="AZ13" s="20"/>
      <c r="BA13" s="26" t="s">
        <v>520</v>
      </c>
      <c r="BB13" s="20">
        <v>0</v>
      </c>
      <c r="BC13" s="20">
        <v>0</v>
      </c>
      <c r="BD13" s="20">
        <v>0</v>
      </c>
      <c r="BE13" s="20">
        <v>0</v>
      </c>
      <c r="BF13" s="20">
        <v>0</v>
      </c>
      <c r="BG13" s="20">
        <v>0</v>
      </c>
      <c r="BH13" s="20">
        <v>0</v>
      </c>
      <c r="BI13" s="20">
        <v>0</v>
      </c>
      <c r="BJ13" s="20">
        <v>0</v>
      </c>
      <c r="BK13" s="20">
        <v>0</v>
      </c>
      <c r="BL13" s="20">
        <v>0</v>
      </c>
      <c r="BM13" s="20">
        <v>0</v>
      </c>
      <c r="BN13" s="20">
        <v>0</v>
      </c>
      <c r="BO13" s="20">
        <v>0</v>
      </c>
      <c r="BP13" s="20">
        <v>0</v>
      </c>
      <c r="BQ13" s="20">
        <v>8</v>
      </c>
      <c r="BR13" s="20">
        <v>10</v>
      </c>
      <c r="BS13" s="20">
        <v>8</v>
      </c>
      <c r="BT13" s="20">
        <v>10</v>
      </c>
      <c r="BU13" s="20">
        <v>10</v>
      </c>
      <c r="BV13" s="20">
        <v>8</v>
      </c>
      <c r="BW13" s="20">
        <v>8</v>
      </c>
      <c r="BX13" s="20">
        <v>8</v>
      </c>
      <c r="BY13" s="20">
        <v>6</v>
      </c>
      <c r="BZ13" s="20">
        <v>6</v>
      </c>
      <c r="CA13" s="20">
        <v>8</v>
      </c>
      <c r="CB13" s="20">
        <v>2</v>
      </c>
      <c r="CC13" s="20">
        <v>6</v>
      </c>
      <c r="CD13" s="20">
        <v>6</v>
      </c>
      <c r="CE13" s="20">
        <v>18</v>
      </c>
      <c r="CF13" s="20">
        <v>6</v>
      </c>
      <c r="CG13" s="20">
        <v>6</v>
      </c>
      <c r="CH13" s="20">
        <v>20</v>
      </c>
      <c r="CI13" s="20">
        <v>6</v>
      </c>
      <c r="CJ13" s="20">
        <v>6</v>
      </c>
      <c r="CK13" s="20">
        <v>18</v>
      </c>
      <c r="CL13" s="20">
        <v>12</v>
      </c>
      <c r="CM13" s="20">
        <v>18</v>
      </c>
      <c r="CN13" s="20">
        <v>18</v>
      </c>
      <c r="CO13" s="20">
        <v>16</v>
      </c>
      <c r="CP13" s="20">
        <v>4</v>
      </c>
      <c r="CQ13" s="20">
        <v>18</v>
      </c>
      <c r="CR13" s="20">
        <v>4</v>
      </c>
      <c r="CS13" s="20">
        <v>16</v>
      </c>
      <c r="CT13" s="20">
        <v>16</v>
      </c>
      <c r="CU13" s="20">
        <v>28</v>
      </c>
      <c r="CV13" s="20">
        <v>22</v>
      </c>
      <c r="CW13" s="20">
        <v>16</v>
      </c>
      <c r="CX13" s="20">
        <v>30</v>
      </c>
      <c r="CY13" s="20">
        <v>2</v>
      </c>
      <c r="CZ13" s="20">
        <v>28</v>
      </c>
      <c r="DA13" s="54"/>
      <c r="DB13" s="54">
        <v>12</v>
      </c>
      <c r="DC13" s="54"/>
      <c r="DD13" s="20" t="s">
        <v>127</v>
      </c>
      <c r="DE13" s="20">
        <v>0</v>
      </c>
      <c r="DF13" s="20">
        <v>2</v>
      </c>
      <c r="DG13" s="20">
        <v>2</v>
      </c>
      <c r="DH13" s="20">
        <v>0</v>
      </c>
      <c r="DI13" s="20">
        <v>4</v>
      </c>
      <c r="DJ13" s="20">
        <v>2</v>
      </c>
      <c r="DK13" s="20">
        <v>0</v>
      </c>
      <c r="DL13" s="20">
        <v>4</v>
      </c>
      <c r="DM13" s="20">
        <v>2</v>
      </c>
      <c r="DN13" s="20">
        <v>0</v>
      </c>
      <c r="DO13" s="20">
        <v>4</v>
      </c>
      <c r="DP13" s="20">
        <v>2</v>
      </c>
      <c r="DQ13" s="20">
        <v>0</v>
      </c>
      <c r="DR13" s="20">
        <v>4</v>
      </c>
      <c r="DS13" s="20">
        <v>2</v>
      </c>
      <c r="DT13" s="20">
        <v>0</v>
      </c>
      <c r="DU13" s="20">
        <v>4</v>
      </c>
      <c r="DV13" s="20">
        <v>2</v>
      </c>
      <c r="DW13" s="20">
        <v>0</v>
      </c>
      <c r="DX13" s="20">
        <v>4</v>
      </c>
      <c r="DY13" s="20">
        <v>2</v>
      </c>
      <c r="DZ13" s="20"/>
      <c r="EA13" s="20"/>
      <c r="EB13" s="26" t="s">
        <v>520</v>
      </c>
      <c r="EC13" s="20">
        <v>0</v>
      </c>
      <c r="ED13" s="20">
        <v>0</v>
      </c>
      <c r="EE13" s="20">
        <v>0</v>
      </c>
      <c r="EF13" s="20">
        <v>0</v>
      </c>
      <c r="EG13" s="20">
        <v>0</v>
      </c>
      <c r="EH13" s="20">
        <v>0</v>
      </c>
      <c r="EI13" s="20">
        <v>0</v>
      </c>
      <c r="EJ13" s="20">
        <v>4</v>
      </c>
      <c r="EK13" s="20">
        <v>0</v>
      </c>
      <c r="EL13" s="20">
        <v>6</v>
      </c>
      <c r="EM13" s="20">
        <v>0</v>
      </c>
      <c r="EN13" s="20">
        <v>10</v>
      </c>
      <c r="EO13" s="20">
        <v>2</v>
      </c>
      <c r="EP13" s="20">
        <v>12</v>
      </c>
      <c r="EQ13" s="20">
        <v>6</v>
      </c>
      <c r="ER13" s="20">
        <v>2</v>
      </c>
      <c r="ES13" s="20">
        <v>8</v>
      </c>
      <c r="ET13" s="20">
        <v>14</v>
      </c>
      <c r="EU13" s="20">
        <v>12</v>
      </c>
      <c r="EV13" s="20">
        <v>8</v>
      </c>
      <c r="EW13" s="20">
        <v>0</v>
      </c>
      <c r="EX13" s="20">
        <v>10</v>
      </c>
      <c r="EY13" s="20">
        <v>12</v>
      </c>
      <c r="EZ13" s="20">
        <v>14</v>
      </c>
      <c r="FA13" s="20">
        <v>8</v>
      </c>
      <c r="FB13" s="20">
        <v>16</v>
      </c>
      <c r="FC13" s="20">
        <v>10</v>
      </c>
      <c r="FD13" s="20">
        <v>20</v>
      </c>
      <c r="FE13" s="20">
        <v>0</v>
      </c>
      <c r="FF13" s="20">
        <v>22</v>
      </c>
      <c r="FG13" s="20">
        <v>16</v>
      </c>
      <c r="FH13" s="20">
        <v>26</v>
      </c>
      <c r="FI13" s="20">
        <v>26</v>
      </c>
      <c r="FJ13" s="20">
        <v>28</v>
      </c>
      <c r="FK13" s="20">
        <v>22</v>
      </c>
      <c r="FL13" s="20">
        <v>32</v>
      </c>
      <c r="FM13" s="20">
        <v>12</v>
      </c>
      <c r="FN13" s="20">
        <v>34</v>
      </c>
      <c r="FO13" s="20">
        <v>28</v>
      </c>
      <c r="FP13" s="20">
        <v>38</v>
      </c>
      <c r="FQ13" s="20">
        <v>18</v>
      </c>
      <c r="FR13" s="20">
        <v>40</v>
      </c>
      <c r="FS13" s="20">
        <v>40</v>
      </c>
      <c r="FT13" s="20">
        <v>44</v>
      </c>
      <c r="FU13" s="20">
        <v>24</v>
      </c>
      <c r="FV13" s="20">
        <v>46</v>
      </c>
      <c r="FW13" s="20">
        <v>40</v>
      </c>
      <c r="FX13" s="20">
        <v>48</v>
      </c>
      <c r="FY13" s="20">
        <v>30</v>
      </c>
      <c r="FZ13" s="20">
        <v>50</v>
      </c>
      <c r="GA13" s="20">
        <v>46</v>
      </c>
      <c r="GC13" s="20"/>
      <c r="GD13" s="20"/>
      <c r="GE13" s="26" t="s">
        <v>520</v>
      </c>
      <c r="GF13" s="20">
        <v>0</v>
      </c>
      <c r="GG13" s="20">
        <v>0</v>
      </c>
      <c r="GH13" s="20">
        <v>0</v>
      </c>
      <c r="GI13" s="20">
        <v>0</v>
      </c>
      <c r="GJ13" s="20">
        <v>4</v>
      </c>
      <c r="GK13" s="20">
        <v>4</v>
      </c>
      <c r="GL13" s="20">
        <v>0</v>
      </c>
      <c r="GM13" s="20">
        <v>0</v>
      </c>
      <c r="GN13" s="20">
        <v>0</v>
      </c>
      <c r="GO13" s="20">
        <v>8</v>
      </c>
      <c r="GP13" s="20">
        <v>6</v>
      </c>
      <c r="GQ13" s="20">
        <v>4</v>
      </c>
      <c r="GR13" s="20">
        <v>14</v>
      </c>
      <c r="GS13" s="20">
        <v>0</v>
      </c>
      <c r="GT13" s="20">
        <v>10</v>
      </c>
      <c r="GU13" s="20">
        <v>10</v>
      </c>
      <c r="GV13" s="20">
        <v>8</v>
      </c>
      <c r="GW13" s="20">
        <v>20</v>
      </c>
      <c r="GX13" s="20">
        <v>4</v>
      </c>
      <c r="GY13" s="20">
        <v>0</v>
      </c>
      <c r="GZ13" s="20">
        <v>14</v>
      </c>
      <c r="HA13" s="20">
        <v>10</v>
      </c>
      <c r="HB13" s="20">
        <v>22</v>
      </c>
      <c r="HC13" s="20">
        <v>20</v>
      </c>
      <c r="HD13" s="20">
        <v>28</v>
      </c>
      <c r="HE13" s="20">
        <v>16</v>
      </c>
      <c r="HF13" s="20">
        <v>0</v>
      </c>
      <c r="HG13" s="20">
        <v>26</v>
      </c>
      <c r="HH13" s="20">
        <v>10</v>
      </c>
      <c r="HI13" s="20">
        <v>34</v>
      </c>
      <c r="HJ13" s="20">
        <v>20</v>
      </c>
      <c r="HK13" s="20">
        <v>4</v>
      </c>
      <c r="HL13" s="20">
        <v>30</v>
      </c>
      <c r="HM13" s="20">
        <v>14</v>
      </c>
      <c r="HN13" s="20">
        <v>40</v>
      </c>
      <c r="HO13" s="20">
        <v>36</v>
      </c>
      <c r="HP13" s="20">
        <v>42</v>
      </c>
      <c r="HQ13" s="20">
        <v>32</v>
      </c>
      <c r="HR13" s="20">
        <v>30</v>
      </c>
      <c r="HS13" s="20">
        <v>42</v>
      </c>
      <c r="HT13" s="20">
        <v>26</v>
      </c>
      <c r="HU13" s="20">
        <v>48</v>
      </c>
      <c r="HV13" s="20">
        <v>36</v>
      </c>
      <c r="HW13" s="20">
        <v>20</v>
      </c>
      <c r="HX13" s="20">
        <v>46</v>
      </c>
      <c r="HY13" s="20">
        <v>30</v>
      </c>
      <c r="HZ13" s="20">
        <v>54</v>
      </c>
      <c r="IA13" s="20">
        <v>40</v>
      </c>
      <c r="IB13" s="20">
        <v>56</v>
      </c>
      <c r="IC13" s="20">
        <v>48</v>
      </c>
      <c r="ID13" s="20">
        <v>46</v>
      </c>
      <c r="IF13" s="21" t="s">
        <v>520</v>
      </c>
      <c r="IG13" s="21">
        <v>0</v>
      </c>
      <c r="IH13" s="21">
        <v>0</v>
      </c>
      <c r="II13" s="21">
        <v>0</v>
      </c>
      <c r="IJ13" s="21">
        <v>0</v>
      </c>
      <c r="IK13" s="21">
        <v>2</v>
      </c>
      <c r="IL13" s="21">
        <v>6</v>
      </c>
      <c r="IM13" s="21">
        <v>6</v>
      </c>
      <c r="IN13" s="21">
        <v>0</v>
      </c>
      <c r="IO13" s="21">
        <v>4</v>
      </c>
      <c r="IP13" s="21">
        <v>8</v>
      </c>
      <c r="IQ13" s="21">
        <v>12</v>
      </c>
      <c r="IR13" s="21">
        <v>16</v>
      </c>
      <c r="IS13" s="21">
        <v>2</v>
      </c>
      <c r="IT13" s="21">
        <v>8</v>
      </c>
      <c r="IU13" s="21">
        <v>12</v>
      </c>
      <c r="IV13" s="21">
        <v>16</v>
      </c>
      <c r="IW13" s="21">
        <v>20</v>
      </c>
      <c r="IX13" s="21">
        <v>20</v>
      </c>
      <c r="IY13" s="21">
        <v>26</v>
      </c>
      <c r="IZ13" s="21">
        <v>18</v>
      </c>
      <c r="JA13" s="21">
        <v>8</v>
      </c>
      <c r="JB13" s="21">
        <v>24</v>
      </c>
      <c r="JC13" s="21">
        <v>30</v>
      </c>
      <c r="JD13" s="21">
        <v>20</v>
      </c>
      <c r="JE13" s="21">
        <v>10</v>
      </c>
      <c r="JF13" s="21">
        <v>36</v>
      </c>
      <c r="JI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12,$JT$2:$KS$2,0),MATCH($W$2,$AH$22:$AH$47,0)))*C12</f>
        <v>0</v>
      </c>
      <c r="JJ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12,$JT$2:$KS$2,0),MATCH($W$2,$AH$22:$AH$47,0)))*C12</f>
        <v>0</v>
      </c>
      <c r="JK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12,$JT$2:$KS$2,0),MATCH($W$2,$AH$22:$AH$47,0)))*C12</f>
        <v>0</v>
      </c>
      <c r="JL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12,$JT$2:$KS$2,0),MATCH($W$2,$AH$22:$AH$47,0)))*C12</f>
        <v>0</v>
      </c>
      <c r="JM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12,$JT$2:$KS$2,0),MATCH($W$2,$AH$22:$AH$47,0)))*C12</f>
        <v>0</v>
      </c>
      <c r="JN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12,$JT$2:$KS$2,0),MATCH($W$2,$AH$22:$AH$47,0)))*C12</f>
        <v>0</v>
      </c>
      <c r="JO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12,$JT$2:$KS$2,0),MATCH($W$2,$AH$22:$AH$47,0)))*C12</f>
        <v>0</v>
      </c>
      <c r="JP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12,$JT$2:$KS$2,0),MATCH($W$2,$AH$22:$AH$47,0)))*C12</f>
        <v>0</v>
      </c>
      <c r="JQ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12,$JT$2:$KS$2,0),MATCH($W$2,$AH$22:$AH$47,0)))*C12</f>
        <v>0</v>
      </c>
      <c r="JS13" s="26" t="s">
        <v>517</v>
      </c>
      <c r="JT13" s="20">
        <v>0</v>
      </c>
      <c r="JU13" s="20">
        <v>0</v>
      </c>
      <c r="JV13" s="20">
        <v>2</v>
      </c>
      <c r="JW13" s="20">
        <v>0</v>
      </c>
      <c r="JX13" s="20">
        <v>4</v>
      </c>
      <c r="JY13" s="20">
        <v>2</v>
      </c>
      <c r="JZ13" s="20">
        <v>0</v>
      </c>
      <c r="KA13" s="20">
        <v>4</v>
      </c>
      <c r="KB13" s="20">
        <v>2</v>
      </c>
      <c r="KC13" s="20">
        <v>0</v>
      </c>
      <c r="KD13" s="20">
        <v>4</v>
      </c>
      <c r="KE13" s="20">
        <v>2</v>
      </c>
      <c r="KF13" s="20">
        <v>0</v>
      </c>
      <c r="KG13" s="20">
        <v>4</v>
      </c>
      <c r="KH13" s="20">
        <v>2</v>
      </c>
      <c r="KI13" s="20">
        <v>0</v>
      </c>
      <c r="KJ13" s="20">
        <v>0</v>
      </c>
      <c r="KK13" s="20">
        <v>0</v>
      </c>
      <c r="KL13" s="20">
        <v>2</v>
      </c>
      <c r="KM13" s="20">
        <v>0</v>
      </c>
      <c r="KN13" s="20">
        <v>2</v>
      </c>
      <c r="KO13" s="20">
        <v>0</v>
      </c>
      <c r="KP13" s="20">
        <v>0</v>
      </c>
      <c r="KQ13" s="20">
        <v>0</v>
      </c>
      <c r="KR13" s="20">
        <v>0</v>
      </c>
      <c r="KS13" s="20">
        <v>0</v>
      </c>
      <c r="KU13" s="26" t="s">
        <v>517</v>
      </c>
      <c r="KV13" s="20">
        <v>0</v>
      </c>
      <c r="KW13" s="20">
        <v>2</v>
      </c>
      <c r="KX13" s="20">
        <v>0</v>
      </c>
      <c r="KY13" s="20">
        <v>2</v>
      </c>
      <c r="KZ13" s="20">
        <v>4</v>
      </c>
      <c r="LA13" s="20">
        <v>0</v>
      </c>
      <c r="LB13" s="20">
        <v>4</v>
      </c>
      <c r="LC13" s="20">
        <v>2</v>
      </c>
      <c r="LD13" s="20">
        <v>4</v>
      </c>
      <c r="LE13" s="20">
        <v>2</v>
      </c>
      <c r="LF13" s="20">
        <v>0</v>
      </c>
      <c r="LG13" s="20">
        <v>2</v>
      </c>
      <c r="LH13" s="20">
        <v>4</v>
      </c>
      <c r="LI13" s="20">
        <v>2</v>
      </c>
      <c r="LJ13" s="20">
        <v>2</v>
      </c>
      <c r="LK13" s="20">
        <v>0</v>
      </c>
      <c r="LL13" s="20">
        <v>0</v>
      </c>
      <c r="LM13" s="20">
        <v>0</v>
      </c>
      <c r="LN13" s="20">
        <v>2</v>
      </c>
      <c r="LO13" s="20">
        <v>0</v>
      </c>
      <c r="LP13" s="20">
        <v>0</v>
      </c>
      <c r="LQ13" s="20">
        <v>0</v>
      </c>
      <c r="LR13" s="20">
        <v>0</v>
      </c>
      <c r="LS13" s="20">
        <v>0</v>
      </c>
      <c r="LT13" s="20">
        <v>2</v>
      </c>
      <c r="LU13" s="20">
        <v>0</v>
      </c>
      <c r="LW13" s="26" t="s">
        <v>517</v>
      </c>
      <c r="LX13" s="20">
        <v>0</v>
      </c>
      <c r="LY13" s="20">
        <v>2</v>
      </c>
      <c r="LZ13" s="20">
        <v>4</v>
      </c>
      <c r="MA13" s="20">
        <v>0</v>
      </c>
      <c r="MB13" s="20">
        <v>0</v>
      </c>
      <c r="MC13" s="20">
        <v>0</v>
      </c>
      <c r="MD13" s="20">
        <v>0</v>
      </c>
      <c r="ME13" s="20">
        <v>4</v>
      </c>
      <c r="MF13" s="20">
        <v>0</v>
      </c>
      <c r="MG13" s="20">
        <v>2</v>
      </c>
      <c r="MH13" s="20">
        <v>0</v>
      </c>
      <c r="MI13" s="20">
        <v>0</v>
      </c>
      <c r="MJ13" s="20">
        <v>0</v>
      </c>
      <c r="MK13" s="20">
        <v>0</v>
      </c>
      <c r="ML13" s="20">
        <v>0</v>
      </c>
      <c r="MM13" s="20">
        <v>0</v>
      </c>
      <c r="MN13" s="20">
        <v>2</v>
      </c>
      <c r="MO13" s="20">
        <v>0</v>
      </c>
      <c r="MP13" s="20">
        <v>0</v>
      </c>
      <c r="MQ13" s="20">
        <v>0</v>
      </c>
      <c r="MR13" s="20">
        <v>0</v>
      </c>
      <c r="MS13" s="20">
        <v>0</v>
      </c>
      <c r="MT13" s="20">
        <v>0</v>
      </c>
      <c r="MU13" s="20">
        <v>0</v>
      </c>
      <c r="MV13" s="20">
        <v>0</v>
      </c>
      <c r="MW13" s="20">
        <v>0</v>
      </c>
      <c r="MY13" s="21" t="s">
        <v>517</v>
      </c>
      <c r="MZ13" s="21">
        <v>0</v>
      </c>
      <c r="NA13" s="21">
        <v>0</v>
      </c>
      <c r="NB13" s="21">
        <v>2</v>
      </c>
      <c r="NC13" s="21">
        <v>4</v>
      </c>
      <c r="ND13" s="21">
        <v>0</v>
      </c>
      <c r="NE13" s="21">
        <v>2</v>
      </c>
      <c r="NF13" s="21">
        <v>0</v>
      </c>
      <c r="NG13" s="21">
        <v>4</v>
      </c>
      <c r="NH13" s="21">
        <v>0</v>
      </c>
      <c r="NI13" s="21">
        <v>2</v>
      </c>
      <c r="NJ13" s="21">
        <v>4</v>
      </c>
      <c r="NK13" s="21">
        <v>0</v>
      </c>
      <c r="NL13" s="21">
        <v>0</v>
      </c>
      <c r="NM13" s="21">
        <v>0</v>
      </c>
      <c r="NN13" s="21">
        <v>2</v>
      </c>
      <c r="NO13" s="21">
        <v>0</v>
      </c>
      <c r="NP13" s="21">
        <v>0</v>
      </c>
      <c r="NQ13" s="21">
        <v>4</v>
      </c>
      <c r="NR13" s="21">
        <v>0</v>
      </c>
      <c r="NS13" s="21">
        <v>0</v>
      </c>
      <c r="NT13" s="21">
        <v>0</v>
      </c>
      <c r="NU13" s="21">
        <v>0</v>
      </c>
      <c r="NV13" s="21">
        <v>0</v>
      </c>
      <c r="NW13" s="21">
        <v>0</v>
      </c>
      <c r="NX13" s="21">
        <v>0</v>
      </c>
      <c r="NY13" s="21">
        <v>0</v>
      </c>
    </row>
    <row r="14" spans="1:418" x14ac:dyDescent="0.25">
      <c r="A14" s="8"/>
      <c r="B14" s="5" t="s">
        <v>116</v>
      </c>
      <c r="C14" s="8"/>
      <c r="D14" s="6" t="s">
        <v>1469</v>
      </c>
      <c r="E14" s="4"/>
      <c r="F14" s="359"/>
      <c r="G14" s="359"/>
      <c r="H14" s="359"/>
      <c r="I14" s="359"/>
      <c r="J14" s="4"/>
      <c r="K14" s="4"/>
      <c r="L14" s="6" t="str">
        <f>IF(E13=$AT$2,(IF(E10=$AK$22,"SSZ10x20E A2",IF(E10=$AK$23,"SSZ10x20E A2",IF(E10=$AK$24,"SGKFM10X20PV",0)))),IF(E13=$AT$3,(IF(E10=$AK$22,"SMHM10X33E",IF(E10=$AK$23,"SMHM10X33E",IF(E10=$AK$24,"SGKFM10X20PV",0))))))</f>
        <v>SSZ10x20E A2</v>
      </c>
      <c r="M14" s="14">
        <f>INDEX(cennik!$A$2:$O$529,MATCH($L14,cennik!$B$2:$B$522,0),MATCH(M$2,cennik!$A$1:$O$1,0))</f>
        <v>991020</v>
      </c>
      <c r="N14" s="14" t="str">
        <f>INDEX(cennik!$A$2:$O$529,MATCH($L14,cennik!$B$2:$B$522,0),MATCH(N$2,cennik!$A$1:$O$1,0))</f>
        <v>100 szt.</v>
      </c>
      <c r="O14" s="14">
        <f>ROUNDUP(((O12+IF(E10=$AK$24,E11+O11*4,0))/100),0)</f>
        <v>0</v>
      </c>
      <c r="P14" s="22">
        <f>INDEX(cennik!$A$2:$O$529,MATCH($L14,cennik!$B$2:$B$522,0),MATCH(P$2,cennik!$A$1:$O$1,0))</f>
        <v>69.75</v>
      </c>
      <c r="Q14" s="22">
        <f t="shared" si="14"/>
        <v>0</v>
      </c>
      <c r="R14" s="23">
        <f t="shared" si="3"/>
        <v>0</v>
      </c>
      <c r="S14" s="22">
        <f t="shared" si="15"/>
        <v>69.75</v>
      </c>
      <c r="T14" s="22">
        <f t="shared" si="16"/>
        <v>0</v>
      </c>
      <c r="U14" s="22">
        <f>INDEX(cennik!$A$2:$O$529,MATCH($L14,cennik!$B$2:$B$522,0),MATCH(U$2,cennik!$A$1:$O$1,0))*O14</f>
        <v>0</v>
      </c>
      <c r="V14" s="20"/>
      <c r="W14" s="20"/>
      <c r="X14" s="25">
        <f t="shared" si="0"/>
        <v>0</v>
      </c>
      <c r="Y14" s="20" t="s">
        <v>145</v>
      </c>
      <c r="Z14" s="20"/>
      <c r="AA14" s="20">
        <f>((A2*IF(E3=AH30,1650,IF(E3=AH31,1700,IF(E3=AH32,1750,IF(E3=AH37,2000,IF(E3=AH38,2050,IF(E3=AH39,2100)))))))+((A2-1)*20)+80)</f>
        <v>60</v>
      </c>
      <c r="AB14" s="26">
        <v>50</v>
      </c>
      <c r="AC14" s="356" t="s">
        <v>36</v>
      </c>
      <c r="AD14" s="356" t="s">
        <v>37</v>
      </c>
      <c r="AE14" s="356" t="s">
        <v>150</v>
      </c>
      <c r="AF14" s="20" t="s">
        <v>14</v>
      </c>
      <c r="AG14" s="20">
        <v>50</v>
      </c>
      <c r="AH14" s="356" t="s">
        <v>48</v>
      </c>
      <c r="AJ14" s="357" t="s">
        <v>151</v>
      </c>
      <c r="AK14" s="357" t="s">
        <v>151</v>
      </c>
      <c r="AL14" s="20">
        <f t="shared" si="1"/>
        <v>0</v>
      </c>
      <c r="AM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13,$BB$2:$CA$2,0),MATCH($W$2,$AH$22:$AH$47,0)))*C13</f>
        <v>0</v>
      </c>
      <c r="AN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13,$BB$2:$CA$2,0),MATCH($W$2,$AH$22:$AH$47,0)))*C13</f>
        <v>0</v>
      </c>
      <c r="AO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13,$BB$2:$CA$2,0),MATCH($W$2,$AH$22:$AH$47,0)))*C13</f>
        <v>0</v>
      </c>
      <c r="AP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13,$BB$2:$CA$2,0),MATCH($W$2,$AH$22:$AH$47,0)))*C13</f>
        <v>0</v>
      </c>
      <c r="AQ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13,$BB$2:$CA$2,0),MATCH($W$2,$AH$22:$AH$47,0)))*C13</f>
        <v>0</v>
      </c>
      <c r="AR1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13,$BB$2:$CA$2,0),MATCH($W$2,$AH$22:$AH$47,0)))*C13</f>
        <v>0</v>
      </c>
      <c r="AS14" s="20"/>
      <c r="AT14" s="20"/>
      <c r="AU14" s="20"/>
      <c r="AV14" s="20"/>
      <c r="AW14" s="20"/>
      <c r="AX14" s="20"/>
      <c r="AY14" s="20"/>
      <c r="AZ14" s="20"/>
      <c r="BA14" s="26" t="s">
        <v>521</v>
      </c>
      <c r="BB14" s="20">
        <v>0</v>
      </c>
      <c r="BC14" s="20">
        <v>0</v>
      </c>
      <c r="BD14" s="20">
        <v>0</v>
      </c>
      <c r="BE14" s="20">
        <v>0</v>
      </c>
      <c r="BF14" s="20">
        <v>4</v>
      </c>
      <c r="BG14" s="20">
        <v>4</v>
      </c>
      <c r="BH14" s="20">
        <v>4</v>
      </c>
      <c r="BI14" s="20">
        <v>8</v>
      </c>
      <c r="BJ14" s="20">
        <v>8</v>
      </c>
      <c r="BK14" s="20">
        <v>8</v>
      </c>
      <c r="BL14" s="20">
        <v>12</v>
      </c>
      <c r="BM14" s="20">
        <v>12</v>
      </c>
      <c r="BN14" s="20">
        <v>12</v>
      </c>
      <c r="BO14" s="20">
        <v>16</v>
      </c>
      <c r="BP14" s="20">
        <v>16</v>
      </c>
      <c r="BQ14" s="20">
        <v>16</v>
      </c>
      <c r="BR14" s="20">
        <v>16</v>
      </c>
      <c r="BS14" s="20">
        <v>20</v>
      </c>
      <c r="BT14" s="20">
        <v>20</v>
      </c>
      <c r="BU14" s="20">
        <v>20</v>
      </c>
      <c r="BV14" s="20">
        <v>24</v>
      </c>
      <c r="BW14" s="20">
        <v>24</v>
      </c>
      <c r="BX14" s="20">
        <v>24</v>
      </c>
      <c r="BY14" s="20">
        <v>28</v>
      </c>
      <c r="BZ14" s="20">
        <v>28</v>
      </c>
      <c r="CA14" s="20">
        <v>28</v>
      </c>
      <c r="CB14" s="20">
        <v>32</v>
      </c>
      <c r="CC14" s="20">
        <v>32</v>
      </c>
      <c r="CD14" s="20">
        <v>32</v>
      </c>
      <c r="CE14" s="20">
        <v>32</v>
      </c>
      <c r="CF14" s="20">
        <v>36</v>
      </c>
      <c r="CG14" s="20">
        <v>36</v>
      </c>
      <c r="CH14" s="20">
        <v>36</v>
      </c>
      <c r="CI14" s="20">
        <v>40</v>
      </c>
      <c r="CJ14" s="20">
        <v>40</v>
      </c>
      <c r="CK14" s="20">
        <v>40</v>
      </c>
      <c r="CL14" s="20">
        <v>44</v>
      </c>
      <c r="CM14" s="20">
        <v>44</v>
      </c>
      <c r="CN14" s="20">
        <v>44</v>
      </c>
      <c r="CO14" s="20">
        <v>48</v>
      </c>
      <c r="CP14" s="20">
        <v>48</v>
      </c>
      <c r="CQ14" s="20">
        <v>48</v>
      </c>
      <c r="CR14" s="20">
        <v>52</v>
      </c>
      <c r="CS14" s="20">
        <v>52</v>
      </c>
      <c r="CT14" s="20">
        <v>52</v>
      </c>
      <c r="CU14" s="20">
        <v>52</v>
      </c>
      <c r="CV14" s="20">
        <v>56</v>
      </c>
      <c r="CW14" s="20">
        <v>56</v>
      </c>
      <c r="CX14" s="20">
        <v>56</v>
      </c>
      <c r="CY14" s="20">
        <v>60</v>
      </c>
      <c r="CZ14" s="20">
        <v>60</v>
      </c>
      <c r="DA14" s="54"/>
      <c r="DB14" s="54">
        <v>13</v>
      </c>
      <c r="DC14" s="54"/>
      <c r="DD14" s="20" t="s">
        <v>19</v>
      </c>
      <c r="DE14" s="20">
        <v>0</v>
      </c>
      <c r="DF14" s="20">
        <v>0</v>
      </c>
      <c r="DG14" s="20">
        <v>0</v>
      </c>
      <c r="DH14" s="20">
        <v>2</v>
      </c>
      <c r="DI14" s="20">
        <v>0</v>
      </c>
      <c r="DJ14" s="20">
        <v>2</v>
      </c>
      <c r="DK14" s="20">
        <v>4</v>
      </c>
      <c r="DL14" s="20">
        <v>2</v>
      </c>
      <c r="DM14" s="20">
        <v>4</v>
      </c>
      <c r="DN14" s="20">
        <v>6</v>
      </c>
      <c r="DO14" s="20">
        <v>4</v>
      </c>
      <c r="DP14" s="20">
        <v>6</v>
      </c>
      <c r="DQ14" s="20">
        <v>8</v>
      </c>
      <c r="DR14" s="20">
        <v>6</v>
      </c>
      <c r="DS14" s="20">
        <v>8</v>
      </c>
      <c r="DT14" s="20">
        <v>10</v>
      </c>
      <c r="DU14" s="20">
        <v>8</v>
      </c>
      <c r="DV14" s="20">
        <v>10</v>
      </c>
      <c r="DW14" s="20">
        <v>12</v>
      </c>
      <c r="DX14" s="20">
        <v>10</v>
      </c>
      <c r="DY14" s="20">
        <v>12</v>
      </c>
      <c r="DZ14" s="20"/>
      <c r="EA14" s="20"/>
      <c r="EB14" s="26" t="s">
        <v>521</v>
      </c>
      <c r="EC14" s="20">
        <v>0</v>
      </c>
      <c r="ED14" s="20">
        <v>0</v>
      </c>
      <c r="EE14" s="20">
        <v>8</v>
      </c>
      <c r="EF14" s="20">
        <v>4</v>
      </c>
      <c r="EG14" s="20">
        <v>8</v>
      </c>
      <c r="EH14" s="20">
        <v>8</v>
      </c>
      <c r="EI14" s="20">
        <v>12</v>
      </c>
      <c r="EJ14" s="20">
        <v>12</v>
      </c>
      <c r="EK14" s="20">
        <v>16</v>
      </c>
      <c r="EL14" s="20">
        <v>16</v>
      </c>
      <c r="EM14" s="20">
        <v>20</v>
      </c>
      <c r="EN14" s="20">
        <v>20</v>
      </c>
      <c r="EO14" s="20">
        <v>24</v>
      </c>
      <c r="EP14" s="20">
        <v>24</v>
      </c>
      <c r="EQ14" s="20">
        <v>28</v>
      </c>
      <c r="ER14" s="20">
        <v>28</v>
      </c>
      <c r="ES14" s="20">
        <v>32</v>
      </c>
      <c r="ET14" s="20">
        <v>32</v>
      </c>
      <c r="EU14" s="20">
        <v>36</v>
      </c>
      <c r="EV14" s="20">
        <v>36</v>
      </c>
      <c r="EW14" s="20">
        <v>40</v>
      </c>
      <c r="EX14" s="20">
        <v>40</v>
      </c>
      <c r="EY14" s="20">
        <v>44</v>
      </c>
      <c r="EZ14" s="20">
        <v>44</v>
      </c>
      <c r="FA14" s="20">
        <v>48</v>
      </c>
      <c r="FB14" s="20">
        <v>48</v>
      </c>
      <c r="FC14" s="20">
        <v>52</v>
      </c>
      <c r="FD14" s="20">
        <v>52</v>
      </c>
      <c r="FE14" s="20">
        <v>56</v>
      </c>
      <c r="FF14" s="20">
        <v>56</v>
      </c>
      <c r="FG14" s="20">
        <v>60</v>
      </c>
      <c r="FH14" s="20">
        <v>60</v>
      </c>
      <c r="FI14" s="20">
        <v>64</v>
      </c>
      <c r="FJ14" s="20">
        <v>64</v>
      </c>
      <c r="FK14" s="20">
        <v>68</v>
      </c>
      <c r="FL14" s="20">
        <v>68</v>
      </c>
      <c r="FM14" s="20">
        <v>72</v>
      </c>
      <c r="FN14" s="20">
        <v>72</v>
      </c>
      <c r="FO14" s="20">
        <v>76</v>
      </c>
      <c r="FP14" s="20">
        <v>76</v>
      </c>
      <c r="FQ14" s="20">
        <v>80</v>
      </c>
      <c r="FR14" s="20">
        <v>80</v>
      </c>
      <c r="FS14" s="20">
        <v>84</v>
      </c>
      <c r="FT14" s="20">
        <v>84</v>
      </c>
      <c r="FU14" s="20">
        <v>88</v>
      </c>
      <c r="FV14" s="20">
        <v>88</v>
      </c>
      <c r="FW14" s="20">
        <v>92</v>
      </c>
      <c r="FX14" s="20">
        <v>92</v>
      </c>
      <c r="FY14" s="20">
        <v>96</v>
      </c>
      <c r="FZ14" s="20">
        <v>96</v>
      </c>
      <c r="GA14" s="20">
        <v>100</v>
      </c>
      <c r="GC14" s="20"/>
      <c r="GD14" s="20"/>
      <c r="GE14" s="26" t="s">
        <v>521</v>
      </c>
      <c r="GF14" s="20">
        <v>0</v>
      </c>
      <c r="GG14" s="20">
        <v>0</v>
      </c>
      <c r="GH14" s="20">
        <v>4</v>
      </c>
      <c r="GI14" s="20">
        <v>4</v>
      </c>
      <c r="GJ14" s="20">
        <v>8</v>
      </c>
      <c r="GK14" s="20">
        <v>8</v>
      </c>
      <c r="GL14" s="20">
        <v>12</v>
      </c>
      <c r="GM14" s="20">
        <v>16</v>
      </c>
      <c r="GN14" s="20">
        <v>16</v>
      </c>
      <c r="GO14" s="20">
        <v>20</v>
      </c>
      <c r="GP14" s="20">
        <v>20</v>
      </c>
      <c r="GQ14" s="20">
        <v>24</v>
      </c>
      <c r="GR14" s="20">
        <v>24</v>
      </c>
      <c r="GS14" s="20">
        <v>28</v>
      </c>
      <c r="GT14" s="20">
        <v>32</v>
      </c>
      <c r="GU14" s="20">
        <v>32</v>
      </c>
      <c r="GV14" s="20">
        <v>36</v>
      </c>
      <c r="GW14" s="20">
        <v>36</v>
      </c>
      <c r="GX14" s="20">
        <v>40</v>
      </c>
      <c r="GY14" s="20">
        <v>44</v>
      </c>
      <c r="GZ14" s="20">
        <v>44</v>
      </c>
      <c r="HA14" s="20">
        <v>48</v>
      </c>
      <c r="HB14" s="20">
        <v>48</v>
      </c>
      <c r="HC14" s="20">
        <v>52</v>
      </c>
      <c r="HD14" s="20">
        <v>52</v>
      </c>
      <c r="HE14" s="20">
        <v>56</v>
      </c>
      <c r="HF14" s="20">
        <v>60</v>
      </c>
      <c r="HG14" s="20">
        <v>60</v>
      </c>
      <c r="HH14" s="20">
        <v>64</v>
      </c>
      <c r="HI14" s="20">
        <v>64</v>
      </c>
      <c r="HJ14" s="20">
        <v>68</v>
      </c>
      <c r="HK14" s="20">
        <v>72</v>
      </c>
      <c r="HL14" s="20">
        <v>72</v>
      </c>
      <c r="HM14" s="20">
        <v>76</v>
      </c>
      <c r="HN14" s="20">
        <v>76</v>
      </c>
      <c r="HO14" s="20">
        <v>80</v>
      </c>
      <c r="HP14" s="20">
        <v>80</v>
      </c>
      <c r="HQ14" s="20">
        <v>84</v>
      </c>
      <c r="HR14" s="20">
        <v>88</v>
      </c>
      <c r="HS14" s="20">
        <v>88</v>
      </c>
      <c r="HT14" s="20">
        <v>92</v>
      </c>
      <c r="HU14" s="20">
        <v>92</v>
      </c>
      <c r="HV14" s="20">
        <v>96</v>
      </c>
      <c r="HW14" s="20">
        <v>100</v>
      </c>
      <c r="HX14" s="20">
        <v>100</v>
      </c>
      <c r="HY14" s="20">
        <v>104</v>
      </c>
      <c r="HZ14" s="20">
        <v>104</v>
      </c>
      <c r="IA14" s="20">
        <v>108</v>
      </c>
      <c r="IB14" s="20">
        <v>108</v>
      </c>
      <c r="IC14" s="20">
        <v>112</v>
      </c>
      <c r="ID14" s="20">
        <v>116</v>
      </c>
      <c r="IF14" s="21" t="s">
        <v>521</v>
      </c>
      <c r="IG14" s="21">
        <v>0</v>
      </c>
      <c r="IH14" s="21">
        <v>0</v>
      </c>
      <c r="II14" s="21">
        <v>4</v>
      </c>
      <c r="IJ14" s="21">
        <v>8</v>
      </c>
      <c r="IK14" s="21">
        <v>8</v>
      </c>
      <c r="IL14" s="21">
        <v>12</v>
      </c>
      <c r="IM14" s="21">
        <v>16</v>
      </c>
      <c r="IN14" s="21">
        <v>20</v>
      </c>
      <c r="IO14" s="21">
        <v>20</v>
      </c>
      <c r="IP14" s="21">
        <v>24</v>
      </c>
      <c r="IQ14" s="21">
        <v>28</v>
      </c>
      <c r="IR14" s="21">
        <v>28</v>
      </c>
      <c r="IS14" s="21">
        <v>32</v>
      </c>
      <c r="IT14" s="21">
        <v>36</v>
      </c>
      <c r="IU14" s="21">
        <v>40</v>
      </c>
      <c r="IV14" s="21">
        <v>40</v>
      </c>
      <c r="IW14" s="21">
        <v>44</v>
      </c>
      <c r="IX14" s="21">
        <v>48</v>
      </c>
      <c r="IY14" s="21">
        <v>48</v>
      </c>
      <c r="IZ14" s="21">
        <v>52</v>
      </c>
      <c r="JA14" s="21">
        <v>56</v>
      </c>
      <c r="JB14" s="21">
        <v>60</v>
      </c>
      <c r="JC14" s="21">
        <v>60</v>
      </c>
      <c r="JD14" s="21">
        <v>64</v>
      </c>
      <c r="JE14" s="21">
        <v>68</v>
      </c>
      <c r="JF14" s="21">
        <v>68</v>
      </c>
      <c r="JI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13,$JT$2:$KS$2,0),MATCH($W$2,$AH$22:$AH$47,0)))*C13</f>
        <v>0</v>
      </c>
      <c r="JJ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13,$JT$2:$KS$2,0),MATCH($W$2,$AH$22:$AH$47,0)))*C13</f>
        <v>0</v>
      </c>
      <c r="JK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13,$JT$2:$KS$2,0),MATCH($W$2,$AH$22:$AH$47,0)))*C13</f>
        <v>0</v>
      </c>
      <c r="JL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13,$JT$2:$KS$2,0),MATCH($W$2,$AH$22:$AH$47,0)))*C13</f>
        <v>0</v>
      </c>
      <c r="JM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13,$JT$2:$KS$2,0),MATCH($W$2,$AH$22:$AH$47,0)))*C13</f>
        <v>0</v>
      </c>
      <c r="JN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13,$JT$2:$KS$2,0),MATCH($W$2,$AH$22:$AH$47,0)))*C13</f>
        <v>0</v>
      </c>
      <c r="JO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13,$JT$2:$KS$2,0),MATCH($W$2,$AH$22:$AH$47,0)))*C13</f>
        <v>0</v>
      </c>
      <c r="JP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13,$JT$2:$KS$2,0),MATCH($W$2,$AH$22:$AH$47,0)))*C13</f>
        <v>0</v>
      </c>
      <c r="JQ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13,$JT$2:$KS$2,0),MATCH($W$2,$AH$22:$AH$47,0)))*C13</f>
        <v>0</v>
      </c>
      <c r="JS14" s="26" t="s">
        <v>518</v>
      </c>
      <c r="JT14" s="20">
        <v>0</v>
      </c>
      <c r="JU14" s="20">
        <v>0</v>
      </c>
      <c r="JV14" s="20">
        <v>0</v>
      </c>
      <c r="JW14" s="20">
        <v>0</v>
      </c>
      <c r="JX14" s="20">
        <v>0</v>
      </c>
      <c r="JY14" s="20">
        <v>0</v>
      </c>
      <c r="JZ14" s="20">
        <v>0</v>
      </c>
      <c r="KA14" s="20">
        <v>0</v>
      </c>
      <c r="KB14" s="20">
        <v>0</v>
      </c>
      <c r="KC14" s="20">
        <v>0</v>
      </c>
      <c r="KD14" s="20">
        <v>0</v>
      </c>
      <c r="KE14" s="20">
        <v>0</v>
      </c>
      <c r="KF14" s="20">
        <v>0</v>
      </c>
      <c r="KG14" s="20">
        <v>0</v>
      </c>
      <c r="KH14" s="20">
        <v>0</v>
      </c>
      <c r="KI14" s="20">
        <v>2</v>
      </c>
      <c r="KJ14" s="20">
        <v>0</v>
      </c>
      <c r="KK14" s="20">
        <v>4</v>
      </c>
      <c r="KL14" s="20">
        <v>0</v>
      </c>
      <c r="KM14" s="20">
        <v>0</v>
      </c>
      <c r="KN14" s="20">
        <v>2</v>
      </c>
      <c r="KO14" s="20">
        <v>2</v>
      </c>
      <c r="KP14" s="20">
        <v>0</v>
      </c>
      <c r="KQ14" s="20">
        <v>4</v>
      </c>
      <c r="KR14" s="20">
        <v>4</v>
      </c>
      <c r="KS14" s="20">
        <v>0</v>
      </c>
      <c r="KU14" s="26" t="s">
        <v>518</v>
      </c>
      <c r="KV14" s="20">
        <v>0</v>
      </c>
      <c r="KW14" s="20">
        <v>0</v>
      </c>
      <c r="KX14" s="20">
        <v>0</v>
      </c>
      <c r="KY14" s="20">
        <v>0</v>
      </c>
      <c r="KZ14" s="20">
        <v>0</v>
      </c>
      <c r="LA14" s="20">
        <v>2</v>
      </c>
      <c r="LB14" s="20">
        <v>0</v>
      </c>
      <c r="LC14" s="20">
        <v>0</v>
      </c>
      <c r="LD14" s="20">
        <v>0</v>
      </c>
      <c r="LE14" s="20">
        <v>0</v>
      </c>
      <c r="LF14" s="20">
        <v>0</v>
      </c>
      <c r="LG14" s="20">
        <v>0</v>
      </c>
      <c r="LH14" s="20">
        <v>0</v>
      </c>
      <c r="LI14" s="20">
        <v>0</v>
      </c>
      <c r="LJ14" s="20">
        <v>2</v>
      </c>
      <c r="LK14" s="20">
        <v>0</v>
      </c>
      <c r="LL14" s="20">
        <v>4</v>
      </c>
      <c r="LM14" s="20">
        <v>2</v>
      </c>
      <c r="LN14" s="20">
        <v>2</v>
      </c>
      <c r="LO14" s="20">
        <v>0</v>
      </c>
      <c r="LP14" s="20">
        <v>2</v>
      </c>
      <c r="LQ14" s="20">
        <v>0</v>
      </c>
      <c r="LR14" s="20">
        <v>4</v>
      </c>
      <c r="LS14" s="20">
        <v>0</v>
      </c>
      <c r="LT14" s="20">
        <v>0</v>
      </c>
      <c r="LU14" s="20">
        <v>0</v>
      </c>
      <c r="LW14" s="26" t="s">
        <v>518</v>
      </c>
      <c r="LX14" s="20">
        <v>0</v>
      </c>
      <c r="LY14" s="20">
        <v>0</v>
      </c>
      <c r="LZ14" s="20">
        <v>0</v>
      </c>
      <c r="MA14" s="20">
        <v>0</v>
      </c>
      <c r="MB14" s="20">
        <v>0</v>
      </c>
      <c r="MC14" s="20">
        <v>0</v>
      </c>
      <c r="MD14" s="20">
        <v>2</v>
      </c>
      <c r="ME14" s="20">
        <v>0</v>
      </c>
      <c r="MF14" s="20">
        <v>0</v>
      </c>
      <c r="MG14" s="20">
        <v>2</v>
      </c>
      <c r="MH14" s="20">
        <v>0</v>
      </c>
      <c r="MI14" s="20">
        <v>2</v>
      </c>
      <c r="MJ14" s="20">
        <v>0</v>
      </c>
      <c r="MK14" s="20">
        <v>0</v>
      </c>
      <c r="ML14" s="20">
        <v>4</v>
      </c>
      <c r="MM14" s="20">
        <v>0</v>
      </c>
      <c r="MN14" s="20">
        <v>0</v>
      </c>
      <c r="MO14" s="20">
        <v>0</v>
      </c>
      <c r="MP14" s="20">
        <v>0</v>
      </c>
      <c r="MQ14" s="20">
        <v>2</v>
      </c>
      <c r="MR14" s="20">
        <v>0</v>
      </c>
      <c r="MS14" s="20">
        <v>2</v>
      </c>
      <c r="MT14" s="20">
        <v>0</v>
      </c>
      <c r="MU14" s="20">
        <v>2</v>
      </c>
      <c r="MV14" s="20">
        <v>0</v>
      </c>
      <c r="MW14" s="20">
        <v>0</v>
      </c>
      <c r="MY14" s="21" t="s">
        <v>518</v>
      </c>
      <c r="MZ14" s="21">
        <v>0</v>
      </c>
      <c r="NA14" s="21">
        <v>0</v>
      </c>
      <c r="NB14" s="21">
        <v>0</v>
      </c>
      <c r="NC14" s="21">
        <v>0</v>
      </c>
      <c r="ND14" s="21">
        <v>0</v>
      </c>
      <c r="NE14" s="21">
        <v>0</v>
      </c>
      <c r="NF14" s="21">
        <v>4</v>
      </c>
      <c r="NG14" s="21">
        <v>0</v>
      </c>
      <c r="NH14" s="21">
        <v>0</v>
      </c>
      <c r="NI14" s="21">
        <v>0</v>
      </c>
      <c r="NJ14" s="21">
        <v>0</v>
      </c>
      <c r="NK14" s="21">
        <v>0</v>
      </c>
      <c r="NL14" s="21">
        <v>0</v>
      </c>
      <c r="NM14" s="21">
        <v>2</v>
      </c>
      <c r="NN14" s="21">
        <v>2</v>
      </c>
      <c r="NO14" s="21">
        <v>0</v>
      </c>
      <c r="NP14" s="21">
        <v>2</v>
      </c>
      <c r="NQ14" s="21">
        <v>0</v>
      </c>
      <c r="NR14" s="21">
        <v>0</v>
      </c>
      <c r="NS14" s="21">
        <v>0</v>
      </c>
      <c r="NT14" s="21">
        <v>0</v>
      </c>
      <c r="NU14" s="21">
        <v>4</v>
      </c>
      <c r="NV14" s="21">
        <v>0</v>
      </c>
      <c r="NW14" s="21">
        <v>0</v>
      </c>
      <c r="NX14" s="21">
        <v>0</v>
      </c>
      <c r="NY14" s="21">
        <v>0</v>
      </c>
      <c r="OG14" s="21" t="s">
        <v>1468</v>
      </c>
    </row>
    <row r="15" spans="1:418" x14ac:dyDescent="0.25">
      <c r="A15" s="8"/>
      <c r="B15" s="5" t="s">
        <v>116</v>
      </c>
      <c r="C15" s="8"/>
      <c r="D15" s="40" t="s">
        <v>944</v>
      </c>
      <c r="E15" s="4"/>
      <c r="F15" s="4"/>
      <c r="G15" s="4"/>
      <c r="H15" s="4"/>
      <c r="I15" s="4"/>
      <c r="J15" s="4"/>
      <c r="K15" s="4"/>
      <c r="L15" s="6" t="str">
        <f>IF(E10=$AK$22,"NKZM10E A2",IF(E10=$AK$23,"NKZM10E A2",IF(E10=$AK$24,"-------",0)))</f>
        <v>NKZM10E A2</v>
      </c>
      <c r="M15" s="14">
        <f>INDEX(cennik!$A$2:$O$529,MATCH($L15,cennik!$B$2:$B$522,0),MATCH(M$2,cennik!$A$1:$O$1,0))</f>
        <v>890009</v>
      </c>
      <c r="N15" s="14" t="str">
        <f>INDEX(cennik!$A$2:$O$529,MATCH($L15,cennik!$B$2:$B$522,0),MATCH(N$2,cennik!$A$1:$O$1,0))</f>
        <v>100 szt.</v>
      </c>
      <c r="O15" s="14">
        <f>IF(L15="-------",0,ROUNDUP((O12/100),0))</f>
        <v>0</v>
      </c>
      <c r="P15" s="22">
        <f>INDEX(cennik!$A$2:$O$529,MATCH($L15,cennik!$B$2:$B$522,0),MATCH(P$2,cennik!$A$1:$O$1,0))</f>
        <v>46.15</v>
      </c>
      <c r="Q15" s="22">
        <f t="shared" si="14"/>
        <v>0</v>
      </c>
      <c r="R15" s="23">
        <f>$E$9</f>
        <v>0</v>
      </c>
      <c r="S15" s="22">
        <f t="shared" si="15"/>
        <v>46.15</v>
      </c>
      <c r="T15" s="22">
        <f t="shared" si="16"/>
        <v>0</v>
      </c>
      <c r="U15" s="22">
        <f>INDEX(cennik!$A$2:$O$529,MATCH($L15,cennik!$B$2:$B$522,0),MATCH(U$2,cennik!$A$1:$O$1,0))*O15</f>
        <v>0</v>
      </c>
      <c r="V15" s="20"/>
      <c r="W15" s="20"/>
      <c r="X15" s="25">
        <f t="shared" si="0"/>
        <v>0</v>
      </c>
      <c r="Y15" s="20" t="s">
        <v>148</v>
      </c>
      <c r="Z15" s="20"/>
      <c r="AA15" s="20">
        <f>(IF(A2=0,0,IF(A2&gt;0,IF((((INT(((((A2*(IF($E$3=$AH$30,1650,IF($E$3=$AH$31,1700,IF($E$3=$AH$32,1750,IF($E$3=$AH$37,2000,IF($E$3=$AH$38,2050,IF($E$3=$AH$39,2100))))+((A2-1)*20)+80))/$E$4)))))))-1)*$E$4)+500&gt;=((A2*IF($E$3=$AH$30,1650,IF($E$3=$AH$31,1700,IF($E$3=$AH$32,1750,IF($E$3=$AH$37,2000,IF($E$3=$AH$38,2050,IF($E$3=$AH$39,2100)))))))+((A2-1)*20)+80),(INT(((((A2*(IF($E$3=$AH$30,1650,IF($E$3=$AH$31,1700,IF($E$3=$AH$32,1750,IF($E$3=$AH$37,2000,IF($E$3=$AH$38,2050,IF($E$3=$AH$39,2100))))+((A2-1)*20)+80))/$E$4)))))))*2,((INT(((((A2*(IF($E$3=$AH$30,1650,IF($E$3=$AH$31,1700,IF($E$3=$AH$32,1750,IF($E$3=$AH$37,2000,IF($E$3=$AH$38,2050,IF($E$3=$AH$39,2100))))+((A2-1)*20)+80))/$E$4)))))))+1)*2))))</f>
        <v>0</v>
      </c>
      <c r="AB15" s="26"/>
      <c r="AC15" s="20" t="s">
        <v>13</v>
      </c>
      <c r="AD15" s="20" t="s">
        <v>77</v>
      </c>
      <c r="AE15" s="20"/>
      <c r="AF15" s="20"/>
      <c r="AG15" s="20"/>
      <c r="AH15" s="20" t="s">
        <v>6</v>
      </c>
      <c r="AI15" s="20" t="s">
        <v>78</v>
      </c>
      <c r="AJ15" s="20"/>
      <c r="AK15" s="20"/>
      <c r="AL15" s="20">
        <f>IF(X15=2,X15+2*C15,X15*C15)</f>
        <v>0</v>
      </c>
      <c r="AM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14,$BB$2:$CA$2,0),MATCH($W$2,$AH$22:$AH$47,0)))*C14</f>
        <v>0</v>
      </c>
      <c r="AN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14,$BB$2:$CA$2,0),MATCH($W$2,$AH$22:$AH$47,0)))*C14</f>
        <v>0</v>
      </c>
      <c r="AO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14,$BB$2:$CA$2,0),MATCH($W$2,$AH$22:$AH$47,0)))*C14</f>
        <v>0</v>
      </c>
      <c r="AP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14,$BB$2:$CA$2,0),MATCH($W$2,$AH$22:$AH$47,0)))*C14</f>
        <v>0</v>
      </c>
      <c r="AQ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14,$BB$2:$CA$2,0),MATCH($W$2,$AH$22:$AH$47,0)))*C14</f>
        <v>0</v>
      </c>
      <c r="AR1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14,$BB$2:$CA$2,0),MATCH($W$2,$AH$22:$AH$47,0)))*C14</f>
        <v>0</v>
      </c>
      <c r="AS15" s="20"/>
      <c r="AT15" s="20" t="s">
        <v>159</v>
      </c>
      <c r="AU15" s="20"/>
      <c r="AV15" s="20"/>
      <c r="AW15" s="20"/>
      <c r="AX15" s="20"/>
      <c r="AY15" s="20"/>
      <c r="AZ15" s="20"/>
      <c r="BA15" s="26" t="s">
        <v>710</v>
      </c>
      <c r="BB15" s="20">
        <v>0</v>
      </c>
      <c r="BC15" s="20">
        <v>2</v>
      </c>
      <c r="BD15" s="20">
        <v>2</v>
      </c>
      <c r="BE15" s="20">
        <v>0</v>
      </c>
      <c r="BF15" s="20">
        <v>4</v>
      </c>
      <c r="BG15" s="20">
        <v>2</v>
      </c>
      <c r="BH15" s="20">
        <v>0</v>
      </c>
      <c r="BI15" s="20">
        <v>4</v>
      </c>
      <c r="BJ15" s="20">
        <v>2</v>
      </c>
      <c r="BK15" s="20">
        <v>0</v>
      </c>
      <c r="BL15" s="20">
        <v>4</v>
      </c>
      <c r="BM15" s="20">
        <v>2</v>
      </c>
      <c r="BN15" s="20">
        <v>0</v>
      </c>
      <c r="BO15" s="20">
        <v>4</v>
      </c>
      <c r="BP15" s="20">
        <v>2</v>
      </c>
      <c r="BQ15" s="20">
        <v>2</v>
      </c>
      <c r="BR15" s="20">
        <v>0</v>
      </c>
      <c r="BS15" s="20">
        <v>4</v>
      </c>
      <c r="BT15" s="20">
        <v>2</v>
      </c>
      <c r="BU15" s="20">
        <f>2*BQ15</f>
        <v>4</v>
      </c>
      <c r="BV15" s="20">
        <v>4</v>
      </c>
      <c r="BW15" s="20">
        <v>2</v>
      </c>
      <c r="BX15" s="20">
        <v>0</v>
      </c>
      <c r="BY15" s="20">
        <v>4</v>
      </c>
      <c r="BZ15" s="20">
        <v>2</v>
      </c>
      <c r="CA15" s="20">
        <v>0</v>
      </c>
      <c r="CB15" s="20">
        <v>4</v>
      </c>
      <c r="CC15" s="20">
        <v>2</v>
      </c>
      <c r="CD15" s="20">
        <v>0</v>
      </c>
      <c r="CE15" s="20">
        <v>0</v>
      </c>
      <c r="CF15" s="20">
        <v>4</v>
      </c>
      <c r="CG15" s="20">
        <v>2</v>
      </c>
      <c r="CH15" s="20">
        <v>0</v>
      </c>
      <c r="CI15" s="20">
        <v>4</v>
      </c>
      <c r="CJ15" s="20">
        <v>2</v>
      </c>
      <c r="CK15" s="20">
        <v>0</v>
      </c>
      <c r="CL15" s="20">
        <v>4</v>
      </c>
      <c r="CM15" s="20">
        <v>2</v>
      </c>
      <c r="CN15" s="20">
        <v>0</v>
      </c>
      <c r="CO15" s="20">
        <v>4</v>
      </c>
      <c r="CP15" s="20">
        <v>2</v>
      </c>
      <c r="CQ15" s="20">
        <v>0</v>
      </c>
      <c r="CR15" s="20">
        <v>0</v>
      </c>
      <c r="CS15" s="20">
        <v>4</v>
      </c>
      <c r="CT15" s="20">
        <v>2</v>
      </c>
      <c r="CU15" s="20">
        <v>0</v>
      </c>
      <c r="CV15" s="20">
        <v>4</v>
      </c>
      <c r="CW15" s="20">
        <v>2</v>
      </c>
      <c r="CX15" s="20">
        <v>0</v>
      </c>
      <c r="CY15" s="20">
        <v>4</v>
      </c>
      <c r="CZ15" s="20">
        <v>2</v>
      </c>
      <c r="DA15" s="54"/>
      <c r="DB15" s="54">
        <v>14</v>
      </c>
      <c r="DC15" s="54"/>
      <c r="DD15" s="20" t="s">
        <v>408</v>
      </c>
      <c r="DE15" s="20">
        <v>0</v>
      </c>
      <c r="DF15" s="20">
        <v>0</v>
      </c>
      <c r="DG15" s="20">
        <v>0</v>
      </c>
      <c r="DH15" s="20">
        <v>0</v>
      </c>
      <c r="DI15" s="20">
        <v>4</v>
      </c>
      <c r="DJ15" s="20">
        <v>4</v>
      </c>
      <c r="DK15" s="20">
        <v>4</v>
      </c>
      <c r="DL15" s="20">
        <v>8</v>
      </c>
      <c r="DM15" s="20">
        <v>8</v>
      </c>
      <c r="DN15" s="20">
        <v>8</v>
      </c>
      <c r="DO15" s="20">
        <v>12</v>
      </c>
      <c r="DP15" s="20">
        <v>12</v>
      </c>
      <c r="DQ15" s="20">
        <v>12</v>
      </c>
      <c r="DR15" s="20">
        <v>16</v>
      </c>
      <c r="DS15" s="20">
        <v>16</v>
      </c>
      <c r="DT15" s="20">
        <v>16</v>
      </c>
      <c r="DU15" s="20">
        <v>20</v>
      </c>
      <c r="DV15" s="20">
        <v>20</v>
      </c>
      <c r="DW15" s="20">
        <v>20</v>
      </c>
      <c r="DX15" s="20">
        <v>24</v>
      </c>
      <c r="DY15" s="20">
        <v>24</v>
      </c>
      <c r="DZ15" s="20"/>
      <c r="EA15" s="20"/>
      <c r="EB15" s="26" t="s">
        <v>710</v>
      </c>
      <c r="EC15" s="20">
        <v>0</v>
      </c>
      <c r="ED15" s="20">
        <v>0</v>
      </c>
      <c r="EE15" s="20">
        <v>2</v>
      </c>
      <c r="EF15" s="20">
        <v>4</v>
      </c>
      <c r="EG15" s="20">
        <v>2</v>
      </c>
      <c r="EH15" s="20">
        <v>4</v>
      </c>
      <c r="EI15" s="20">
        <v>2</v>
      </c>
      <c r="EJ15" s="20">
        <v>4</v>
      </c>
      <c r="EK15" s="20">
        <v>2</v>
      </c>
      <c r="EL15" s="20">
        <v>4</v>
      </c>
      <c r="EM15" s="20">
        <v>2</v>
      </c>
      <c r="EN15" s="20">
        <v>4</v>
      </c>
      <c r="EO15" s="20">
        <v>2</v>
      </c>
      <c r="EP15" s="20">
        <v>4</v>
      </c>
      <c r="EQ15" s="20">
        <v>2</v>
      </c>
      <c r="ER15" s="20">
        <v>4</v>
      </c>
      <c r="ES15" s="20">
        <v>2</v>
      </c>
      <c r="ET15" s="20">
        <v>4</v>
      </c>
      <c r="EU15" s="20">
        <v>2</v>
      </c>
      <c r="EV15" s="20">
        <v>4</v>
      </c>
      <c r="EW15" s="20">
        <v>2</v>
      </c>
      <c r="EX15" s="20">
        <v>4</v>
      </c>
      <c r="EY15" s="20">
        <v>2</v>
      </c>
      <c r="EZ15" s="20">
        <v>4</v>
      </c>
      <c r="FA15" s="20">
        <v>2</v>
      </c>
      <c r="FB15" s="20">
        <v>4</v>
      </c>
      <c r="FC15" s="20">
        <v>0</v>
      </c>
      <c r="FD15" s="20"/>
      <c r="FE15" s="20"/>
      <c r="FF15" s="20"/>
      <c r="FG15" s="20"/>
      <c r="FH15" s="20"/>
      <c r="FI15" s="20"/>
      <c r="FJ15" s="20"/>
      <c r="FK15" s="20"/>
      <c r="FL15" s="20"/>
      <c r="FM15" s="20"/>
      <c r="FN15" s="20"/>
      <c r="FO15" s="20"/>
      <c r="FP15" s="20"/>
      <c r="FQ15" s="20"/>
      <c r="FR15" s="20"/>
      <c r="FS15" s="20"/>
      <c r="FT15" s="20"/>
      <c r="FU15" s="20"/>
      <c r="FV15" s="20"/>
      <c r="FW15" s="20"/>
      <c r="FX15" s="20"/>
      <c r="FY15" s="20"/>
      <c r="FZ15" s="20"/>
      <c r="GA15" s="20"/>
      <c r="GC15" s="20"/>
      <c r="GD15" s="20"/>
      <c r="GE15" s="26" t="s">
        <v>710</v>
      </c>
      <c r="GF15" s="20">
        <v>0</v>
      </c>
      <c r="GG15" s="20">
        <v>2</v>
      </c>
      <c r="GH15" s="20">
        <v>4</v>
      </c>
      <c r="GI15" s="20">
        <v>0</v>
      </c>
      <c r="GJ15" s="20">
        <v>2</v>
      </c>
      <c r="GK15" s="20">
        <v>0</v>
      </c>
      <c r="GL15" s="20">
        <v>2</v>
      </c>
      <c r="GM15" s="20">
        <v>4</v>
      </c>
      <c r="GN15" s="20">
        <v>0</v>
      </c>
      <c r="GO15" s="20">
        <v>4</v>
      </c>
      <c r="GP15" s="20">
        <v>0</v>
      </c>
      <c r="GQ15" s="20">
        <v>2</v>
      </c>
      <c r="GR15" s="20">
        <v>0</v>
      </c>
      <c r="GS15" s="20">
        <v>2</v>
      </c>
      <c r="GT15" s="20">
        <v>4</v>
      </c>
      <c r="GU15" s="20">
        <v>0</v>
      </c>
      <c r="GV15" s="20">
        <v>4</v>
      </c>
      <c r="GW15" s="20">
        <v>0</v>
      </c>
      <c r="GX15" s="20">
        <v>2</v>
      </c>
      <c r="GY15" s="20">
        <v>4</v>
      </c>
      <c r="GZ15" s="20">
        <v>2</v>
      </c>
      <c r="HA15" s="20">
        <v>4</v>
      </c>
      <c r="HB15" s="20">
        <v>0</v>
      </c>
      <c r="HC15" s="20">
        <v>2</v>
      </c>
      <c r="HD15" s="20">
        <v>0</v>
      </c>
      <c r="HE15" s="20">
        <v>2</v>
      </c>
      <c r="HF15" s="20"/>
      <c r="HG15" s="20"/>
      <c r="HH15" s="20"/>
      <c r="HI15" s="20"/>
      <c r="HJ15" s="20"/>
      <c r="HK15" s="20"/>
      <c r="HL15" s="20"/>
      <c r="HM15" s="20"/>
      <c r="HN15" s="20"/>
      <c r="HO15" s="20"/>
      <c r="HP15" s="20"/>
      <c r="HQ15" s="20"/>
      <c r="HR15" s="20"/>
      <c r="HS15" s="20"/>
      <c r="HT15" s="20"/>
      <c r="HU15" s="20"/>
      <c r="HV15" s="20"/>
      <c r="HW15" s="20"/>
      <c r="HX15" s="20"/>
      <c r="HY15" s="20"/>
      <c r="HZ15" s="20"/>
      <c r="IA15" s="20"/>
      <c r="IB15" s="20"/>
      <c r="IC15" s="20"/>
      <c r="ID15" s="20"/>
      <c r="IF15" s="21" t="s">
        <v>710</v>
      </c>
      <c r="IG15" s="21">
        <v>0</v>
      </c>
      <c r="IH15" s="21">
        <v>0</v>
      </c>
      <c r="II15" s="21">
        <v>2</v>
      </c>
      <c r="IJ15" s="21">
        <v>4</v>
      </c>
      <c r="IK15" s="21">
        <v>0</v>
      </c>
      <c r="IL15" s="21">
        <v>2</v>
      </c>
      <c r="IM15" s="21">
        <v>4</v>
      </c>
      <c r="IN15" s="21">
        <v>4</v>
      </c>
      <c r="IO15" s="21">
        <v>0</v>
      </c>
      <c r="IP15" s="21">
        <v>2</v>
      </c>
      <c r="IQ15" s="21">
        <v>4</v>
      </c>
      <c r="IR15" s="21">
        <v>0</v>
      </c>
      <c r="IS15" s="21">
        <v>2</v>
      </c>
      <c r="IT15" s="21">
        <v>2</v>
      </c>
      <c r="IU15" s="21">
        <v>4</v>
      </c>
      <c r="IV15" s="21">
        <v>0</v>
      </c>
      <c r="IW15" s="21">
        <v>2</v>
      </c>
      <c r="IX15" s="21">
        <v>4</v>
      </c>
      <c r="IY15" s="21">
        <v>0</v>
      </c>
      <c r="IZ15" s="21">
        <v>2</v>
      </c>
      <c r="JA15" s="21">
        <v>2</v>
      </c>
      <c r="JB15" s="21">
        <v>4</v>
      </c>
      <c r="JC15" s="21">
        <v>0</v>
      </c>
      <c r="JD15" s="21">
        <v>2</v>
      </c>
      <c r="JE15" s="21">
        <v>4</v>
      </c>
      <c r="JF15" s="21">
        <v>0</v>
      </c>
      <c r="JI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14,$JT$2:$KS$2,0),MATCH($W$2,$AH$22:$AH$47,0)))*C14</f>
        <v>0</v>
      </c>
      <c r="JJ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14,$JT$2:$KS$2,0),MATCH($W$2,$AH$22:$AH$47,0)))*C14</f>
        <v>0</v>
      </c>
      <c r="JK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14,$JT$2:$KS$2,0),MATCH($W$2,$AH$22:$AH$47,0)))*C14</f>
        <v>0</v>
      </c>
      <c r="JL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14,$JT$2:$KS$2,0),MATCH($W$2,$AH$22:$AH$47,0)))*C14</f>
        <v>0</v>
      </c>
      <c r="JM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14,$JT$2:$KS$2,0),MATCH($W$2,$AH$22:$AH$47,0)))*C14</f>
        <v>0</v>
      </c>
      <c r="JN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14,$JT$2:$KS$2,0),MATCH($W$2,$AH$22:$AH$47,0)))*C14</f>
        <v>0</v>
      </c>
      <c r="JO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14,$JT$2:$KS$2,0),MATCH($W$2,$AH$22:$AH$47,0)))*C14</f>
        <v>0</v>
      </c>
      <c r="JP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14,$JT$2:$KS$2,0),MATCH($W$2,$AH$22:$AH$47,0)))*C14</f>
        <v>0</v>
      </c>
      <c r="JQ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14,$JT$2:$KS$2,0),MATCH($W$2,$AH$22:$AH$47,0)))*C14</f>
        <v>0</v>
      </c>
      <c r="JS15" s="26" t="s">
        <v>519</v>
      </c>
      <c r="JT15" s="20">
        <v>0</v>
      </c>
      <c r="JU15" s="20">
        <v>0</v>
      </c>
      <c r="JV15" s="20">
        <v>0</v>
      </c>
      <c r="JW15" s="20">
        <v>2</v>
      </c>
      <c r="JX15" s="20">
        <v>0</v>
      </c>
      <c r="JY15" s="20">
        <v>2</v>
      </c>
      <c r="JZ15" s="20">
        <v>4</v>
      </c>
      <c r="KA15" s="20">
        <v>2</v>
      </c>
      <c r="KB15" s="20">
        <v>4</v>
      </c>
      <c r="KC15" s="20">
        <v>6</v>
      </c>
      <c r="KD15" s="20">
        <v>4</v>
      </c>
      <c r="KE15" s="20">
        <v>6</v>
      </c>
      <c r="KF15" s="20">
        <v>8</v>
      </c>
      <c r="KG15" s="20">
        <v>6</v>
      </c>
      <c r="KH15" s="20">
        <v>8</v>
      </c>
      <c r="KI15" s="20">
        <v>0</v>
      </c>
      <c r="KJ15" s="20">
        <v>0</v>
      </c>
      <c r="KK15" s="20">
        <v>0</v>
      </c>
      <c r="KL15" s="20">
        <v>0</v>
      </c>
      <c r="KM15" s="20">
        <v>2</v>
      </c>
      <c r="KN15" s="20">
        <v>2</v>
      </c>
      <c r="KO15" s="20">
        <v>4</v>
      </c>
      <c r="KP15" s="20">
        <v>6</v>
      </c>
      <c r="KQ15" s="20">
        <v>6</v>
      </c>
      <c r="KR15" s="20">
        <v>6</v>
      </c>
      <c r="KS15" s="20">
        <v>8</v>
      </c>
      <c r="KU15" s="26" t="s">
        <v>519</v>
      </c>
      <c r="KV15" s="20">
        <v>0</v>
      </c>
      <c r="KW15" s="20">
        <v>0</v>
      </c>
      <c r="KX15" s="20">
        <v>0</v>
      </c>
      <c r="KY15" s="20">
        <v>2</v>
      </c>
      <c r="KZ15" s="20">
        <v>2</v>
      </c>
      <c r="LA15" s="20">
        <v>4</v>
      </c>
      <c r="LB15" s="20">
        <v>4</v>
      </c>
      <c r="LC15" s="20">
        <v>2</v>
      </c>
      <c r="LD15" s="20">
        <v>6</v>
      </c>
      <c r="LE15" s="20">
        <v>2</v>
      </c>
      <c r="LF15" s="20">
        <v>10</v>
      </c>
      <c r="LG15" s="20">
        <v>0</v>
      </c>
      <c r="LH15" s="20">
        <v>8</v>
      </c>
      <c r="LI15" s="20">
        <v>0</v>
      </c>
      <c r="LJ15" s="20">
        <v>6</v>
      </c>
      <c r="LK15" s="20">
        <v>14</v>
      </c>
      <c r="LL15" s="20">
        <v>6</v>
      </c>
      <c r="LM15" s="20">
        <v>2</v>
      </c>
      <c r="LN15" s="20">
        <v>4</v>
      </c>
      <c r="LO15" s="20">
        <v>12</v>
      </c>
      <c r="LP15" s="20">
        <v>20</v>
      </c>
      <c r="LQ15" s="20">
        <v>12</v>
      </c>
      <c r="LR15" s="20">
        <v>8</v>
      </c>
      <c r="LS15" s="20">
        <v>10</v>
      </c>
      <c r="LT15" s="20">
        <v>16</v>
      </c>
      <c r="LU15" s="20">
        <v>10</v>
      </c>
      <c r="LW15" s="26" t="s">
        <v>519</v>
      </c>
      <c r="LX15" s="20">
        <v>0</v>
      </c>
      <c r="LY15" s="20">
        <v>0</v>
      </c>
      <c r="LZ15" s="20">
        <v>0</v>
      </c>
      <c r="MA15" s="20">
        <v>4</v>
      </c>
      <c r="MB15" s="20">
        <v>0</v>
      </c>
      <c r="MC15" s="20">
        <v>2</v>
      </c>
      <c r="MD15" s="20">
        <v>6</v>
      </c>
      <c r="ME15" s="20">
        <v>6</v>
      </c>
      <c r="MF15" s="20">
        <v>10</v>
      </c>
      <c r="MG15" s="20">
        <v>0</v>
      </c>
      <c r="MH15" s="20">
        <v>6</v>
      </c>
      <c r="MI15" s="20">
        <v>8</v>
      </c>
      <c r="MJ15" s="20">
        <v>0</v>
      </c>
      <c r="MK15" s="20">
        <v>16</v>
      </c>
      <c r="ML15" s="20">
        <v>4</v>
      </c>
      <c r="MM15" s="20">
        <v>8</v>
      </c>
      <c r="MN15" s="20">
        <v>10</v>
      </c>
      <c r="MO15" s="20">
        <v>0</v>
      </c>
      <c r="MP15" s="20">
        <v>18</v>
      </c>
      <c r="MQ15" s="20">
        <v>22</v>
      </c>
      <c r="MR15" s="20">
        <v>10</v>
      </c>
      <c r="MS15" s="20">
        <v>14</v>
      </c>
      <c r="MT15" s="20">
        <v>4</v>
      </c>
      <c r="MU15" s="20">
        <v>6</v>
      </c>
      <c r="MV15" s="20">
        <v>0</v>
      </c>
      <c r="MW15" s="20">
        <v>14</v>
      </c>
      <c r="MY15" s="21" t="s">
        <v>519</v>
      </c>
      <c r="MZ15" s="21">
        <v>0</v>
      </c>
      <c r="NA15" s="21">
        <v>2</v>
      </c>
      <c r="NB15" s="21">
        <v>2</v>
      </c>
      <c r="NC15" s="21">
        <v>2</v>
      </c>
      <c r="ND15" s="21">
        <v>4</v>
      </c>
      <c r="NE15" s="21">
        <v>0</v>
      </c>
      <c r="NF15" s="21">
        <v>0</v>
      </c>
      <c r="NG15" s="21">
        <v>8</v>
      </c>
      <c r="NH15" s="21">
        <v>8</v>
      </c>
      <c r="NI15" s="21">
        <v>4</v>
      </c>
      <c r="NJ15" s="21">
        <v>0</v>
      </c>
      <c r="NK15" s="21">
        <v>0</v>
      </c>
      <c r="NL15" s="21">
        <v>16</v>
      </c>
      <c r="NM15" s="21">
        <v>10</v>
      </c>
      <c r="NN15" s="21">
        <v>6</v>
      </c>
      <c r="NO15" s="21">
        <v>6</v>
      </c>
      <c r="NP15" s="21">
        <v>2</v>
      </c>
      <c r="NQ15" s="21">
        <v>2</v>
      </c>
      <c r="NR15" s="21">
        <v>0</v>
      </c>
      <c r="NS15" s="21">
        <v>10</v>
      </c>
      <c r="NT15" s="21">
        <v>22</v>
      </c>
      <c r="NU15" s="21">
        <v>4</v>
      </c>
      <c r="NV15" s="21">
        <v>2</v>
      </c>
      <c r="NW15" s="21">
        <v>14</v>
      </c>
      <c r="NX15" s="21">
        <v>26</v>
      </c>
      <c r="NY15" s="21">
        <v>0</v>
      </c>
      <c r="OB15" s="20" t="s">
        <v>159</v>
      </c>
    </row>
    <row r="16" spans="1:418" x14ac:dyDescent="0.25">
      <c r="A16" s="8"/>
      <c r="B16" s="5" t="s">
        <v>116</v>
      </c>
      <c r="C16" s="8"/>
      <c r="D16" s="4"/>
      <c r="E16" s="4"/>
      <c r="F16" s="4"/>
      <c r="G16" s="4"/>
      <c r="H16" s="4"/>
      <c r="I16" s="4"/>
      <c r="J16" s="4"/>
      <c r="K16" s="4"/>
      <c r="L16" s="6" t="str">
        <f>IF(E6=$AC$1,INDEX(($AN$28:$AO$37,$AN$42:$AO$51,$AN$56:$AO$65),MATCH(I3,$AM$28:$AM$37,0),MATCH(E7,$AN$27:$AO$27,0),MATCH(E10,$AK$22:$AK$24,0)),IF(E6=$AC$2,INDEX(($AT$28:$AU$37,$AT$42:$AU$51,$AT$56:$AU$65),MATCH(I3,$AS$28:$AS$37,0),MATCH(E7,$AT$27:$AU$27,0),MATCH(E10,$AK$22:$AK$24,0)),0))</f>
        <v>BUF30</v>
      </c>
      <c r="M16" s="14">
        <f>INDEX(cennik!$A$2:$O$529,MATCH($L16,cennik!$B$2:$B$522,0),MATCH(M$2,cennik!$A$1:$O$1,0))</f>
        <v>897330</v>
      </c>
      <c r="N16" s="14" t="str">
        <f>INDEX(cennik!$A$2:$O$529,MATCH($L16,cennik!$B$2:$B$522,0),MATCH(N$2,cennik!$A$1:$O$1,0))</f>
        <v>szt.</v>
      </c>
      <c r="O16" s="14">
        <f>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</f>
        <v>0</v>
      </c>
      <c r="P16" s="22">
        <f>INDEX(cennik!$A$2:$O$529,MATCH($L16,cennik!$B$2:$B$522,0),MATCH(P$2,cennik!$A$1:$O$1,0))</f>
        <v>1.92</v>
      </c>
      <c r="Q16" s="22">
        <f t="shared" si="14"/>
        <v>0</v>
      </c>
      <c r="R16" s="23">
        <f t="shared" si="3"/>
        <v>0</v>
      </c>
      <c r="S16" s="22">
        <f t="shared" si="15"/>
        <v>1.92</v>
      </c>
      <c r="T16" s="22">
        <f t="shared" si="16"/>
        <v>0</v>
      </c>
      <c r="U16" s="22">
        <f>INDEX(cennik!$A$2:$O$529,MATCH($L16,cennik!$B$2:$B$522,0),MATCH(U$2,cennik!$A$1:$O$1,0))*O16</f>
        <v>0</v>
      </c>
      <c r="V16" s="20"/>
      <c r="W16" s="20"/>
      <c r="X16" s="25">
        <f t="shared" si="0"/>
        <v>0</v>
      </c>
      <c r="Y16" s="20"/>
      <c r="Z16" s="20"/>
      <c r="AA16" s="20"/>
      <c r="AB16" s="20"/>
      <c r="AC16" s="356"/>
      <c r="AD16" s="20"/>
      <c r="AE16" s="187"/>
      <c r="AF16" s="20"/>
      <c r="AG16" s="20"/>
      <c r="AH16" s="20"/>
      <c r="AI16" s="20"/>
      <c r="AJ16" s="20"/>
      <c r="AK16" s="20"/>
      <c r="AL16" s="20">
        <f t="shared" si="1"/>
        <v>0</v>
      </c>
      <c r="AM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15,$BB$2:$CA$2,0),MATCH($W$2,$AH$22:$AH$47,0)))*C15</f>
        <v>0</v>
      </c>
      <c r="AN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15,$BB$2:$CA$2,0),MATCH($W$2,$AH$22:$AH$47,0)))*C15</f>
        <v>0</v>
      </c>
      <c r="AO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15,$BB$2:$CA$2,0),MATCH($W$2,$AH$22:$AH$47,0)))*C15</f>
        <v>0</v>
      </c>
      <c r="AP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15,$BB$2:$CA$2,0),MATCH($W$2,$AH$22:$AH$47,0)))*C15</f>
        <v>0</v>
      </c>
      <c r="AQ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15,$BB$2:$CA$2,0),MATCH($W$2,$AH$22:$AH$47,0)))*C15</f>
        <v>0</v>
      </c>
      <c r="AR1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15,$BB$2:$CA$2,0),MATCH($W$2,$AH$22:$AH$47,0)))*C15</f>
        <v>0</v>
      </c>
      <c r="AS16" s="20"/>
      <c r="AT16" s="26" t="s">
        <v>152</v>
      </c>
      <c r="AU16" s="26" t="s">
        <v>153</v>
      </c>
      <c r="AV16" s="20"/>
      <c r="AW16" s="20"/>
      <c r="AX16" s="20"/>
      <c r="AY16" s="20"/>
      <c r="AZ16" s="20"/>
      <c r="BA16" s="26" t="s">
        <v>711</v>
      </c>
      <c r="BB16" s="20">
        <v>0</v>
      </c>
      <c r="BC16" s="20">
        <v>0</v>
      </c>
      <c r="BD16" s="20">
        <v>0</v>
      </c>
      <c r="BE16" s="20">
        <v>2</v>
      </c>
      <c r="BF16" s="20">
        <v>0</v>
      </c>
      <c r="BG16" s="20">
        <v>2</v>
      </c>
      <c r="BH16" s="20">
        <v>4</v>
      </c>
      <c r="BI16" s="20">
        <v>2</v>
      </c>
      <c r="BJ16" s="20">
        <v>4</v>
      </c>
      <c r="BK16" s="20">
        <v>6</v>
      </c>
      <c r="BL16" s="20">
        <v>4</v>
      </c>
      <c r="BM16" s="20">
        <v>6</v>
      </c>
      <c r="BN16" s="20">
        <v>8</v>
      </c>
      <c r="BO16" s="20">
        <v>6</v>
      </c>
      <c r="BP16" s="20">
        <v>8</v>
      </c>
      <c r="BQ16" s="20">
        <v>8</v>
      </c>
      <c r="BR16" s="20">
        <v>10</v>
      </c>
      <c r="BS16" s="20">
        <v>8</v>
      </c>
      <c r="BT16" s="20">
        <v>10</v>
      </c>
      <c r="BU16" s="20">
        <f>2*BQ16</f>
        <v>16</v>
      </c>
      <c r="BV16" s="20">
        <v>10</v>
      </c>
      <c r="BW16" s="20">
        <v>12</v>
      </c>
      <c r="BX16" s="20">
        <v>14</v>
      </c>
      <c r="BY16" s="20">
        <v>12</v>
      </c>
      <c r="BZ16" s="20">
        <v>14</v>
      </c>
      <c r="CA16" s="20">
        <v>16</v>
      </c>
      <c r="CB16" s="20">
        <v>14</v>
      </c>
      <c r="CC16" s="20">
        <v>16</v>
      </c>
      <c r="CD16" s="20">
        <v>18</v>
      </c>
      <c r="CE16" s="20">
        <v>18</v>
      </c>
      <c r="CF16" s="20">
        <v>16</v>
      </c>
      <c r="CG16" s="20">
        <v>18</v>
      </c>
      <c r="CH16" s="20">
        <v>20</v>
      </c>
      <c r="CI16" s="20">
        <v>18</v>
      </c>
      <c r="CJ16" s="20">
        <v>20</v>
      </c>
      <c r="CK16" s="20">
        <v>22</v>
      </c>
      <c r="CL16" s="20">
        <v>20</v>
      </c>
      <c r="CM16" s="20">
        <v>22</v>
      </c>
      <c r="CN16" s="20">
        <v>24</v>
      </c>
      <c r="CO16" s="20">
        <v>22</v>
      </c>
      <c r="CP16" s="20">
        <v>24</v>
      </c>
      <c r="CQ16" s="20">
        <v>26</v>
      </c>
      <c r="CR16" s="20">
        <v>26</v>
      </c>
      <c r="CS16" s="20">
        <v>24</v>
      </c>
      <c r="CT16" s="20">
        <v>26</v>
      </c>
      <c r="CU16" s="20">
        <v>28</v>
      </c>
      <c r="CV16" s="20">
        <v>26</v>
      </c>
      <c r="CW16" s="20">
        <v>28</v>
      </c>
      <c r="CX16" s="20">
        <v>30</v>
      </c>
      <c r="CY16" s="20">
        <v>28</v>
      </c>
      <c r="CZ16" s="20">
        <v>30</v>
      </c>
      <c r="DA16" s="54"/>
      <c r="DB16" s="54">
        <v>15</v>
      </c>
      <c r="DC16" s="54"/>
      <c r="DD16" s="20" t="s">
        <v>518</v>
      </c>
      <c r="DE16" s="20">
        <v>0</v>
      </c>
      <c r="DF16" s="20">
        <v>2</v>
      </c>
      <c r="DG16" s="20">
        <v>2</v>
      </c>
      <c r="DH16" s="20">
        <v>0</v>
      </c>
      <c r="DI16" s="20">
        <v>4</v>
      </c>
      <c r="DJ16" s="20">
        <v>2</v>
      </c>
      <c r="DK16" s="20">
        <v>0</v>
      </c>
      <c r="DL16" s="20">
        <v>4</v>
      </c>
      <c r="DM16" s="20">
        <v>2</v>
      </c>
      <c r="DN16" s="20">
        <v>0</v>
      </c>
      <c r="DO16" s="20">
        <v>4</v>
      </c>
      <c r="DP16" s="20">
        <v>2</v>
      </c>
      <c r="DQ16" s="20">
        <v>0</v>
      </c>
      <c r="DR16" s="20">
        <v>4</v>
      </c>
      <c r="DS16" s="20">
        <v>2</v>
      </c>
      <c r="DT16" s="20">
        <v>0</v>
      </c>
      <c r="DU16" s="20">
        <v>4</v>
      </c>
      <c r="DV16" s="20">
        <v>2</v>
      </c>
      <c r="DW16" s="20">
        <v>0</v>
      </c>
      <c r="DX16" s="20">
        <v>4</v>
      </c>
      <c r="DY16" s="20">
        <v>2</v>
      </c>
      <c r="DZ16" s="20"/>
      <c r="EA16" s="20"/>
      <c r="EB16" s="26" t="s">
        <v>711</v>
      </c>
      <c r="EC16" s="20">
        <v>0</v>
      </c>
      <c r="ED16" s="20">
        <v>0</v>
      </c>
      <c r="EE16" s="20">
        <v>0</v>
      </c>
      <c r="EF16" s="20">
        <v>0</v>
      </c>
      <c r="EG16" s="20">
        <v>2</v>
      </c>
      <c r="EH16" s="20">
        <v>2</v>
      </c>
      <c r="EI16" s="20">
        <v>4</v>
      </c>
      <c r="EJ16" s="20">
        <v>4</v>
      </c>
      <c r="EK16" s="20">
        <v>6</v>
      </c>
      <c r="EL16" s="20">
        <v>6</v>
      </c>
      <c r="EM16" s="20">
        <v>8</v>
      </c>
      <c r="EN16" s="20">
        <v>8</v>
      </c>
      <c r="EO16" s="20">
        <v>10</v>
      </c>
      <c r="EP16" s="20">
        <v>10</v>
      </c>
      <c r="EQ16" s="20">
        <v>12</v>
      </c>
      <c r="ER16" s="20">
        <v>12</v>
      </c>
      <c r="ES16" s="20">
        <v>14</v>
      </c>
      <c r="ET16" s="20">
        <v>14</v>
      </c>
      <c r="EU16" s="20">
        <v>16</v>
      </c>
      <c r="EV16" s="20">
        <v>16</v>
      </c>
      <c r="EW16" s="20">
        <v>18</v>
      </c>
      <c r="EX16" s="20">
        <v>18</v>
      </c>
      <c r="EY16" s="20">
        <v>20</v>
      </c>
      <c r="EZ16" s="20">
        <v>20</v>
      </c>
      <c r="FA16" s="20">
        <v>22</v>
      </c>
      <c r="FB16" s="20">
        <v>22</v>
      </c>
      <c r="FC16" s="20">
        <v>26</v>
      </c>
      <c r="FD16" s="20"/>
      <c r="FE16" s="20"/>
      <c r="FF16" s="20"/>
      <c r="FG16" s="20"/>
      <c r="FH16" s="20"/>
      <c r="FI16" s="20"/>
      <c r="FJ16" s="20"/>
      <c r="FK16" s="20"/>
      <c r="FL16" s="20"/>
      <c r="FM16" s="20"/>
      <c r="FN16" s="20"/>
      <c r="FO16" s="20"/>
      <c r="FP16" s="20"/>
      <c r="FQ16" s="20"/>
      <c r="FR16" s="20"/>
      <c r="FS16" s="20"/>
      <c r="FT16" s="20"/>
      <c r="FU16" s="20"/>
      <c r="FV16" s="20"/>
      <c r="FW16" s="20"/>
      <c r="FX16" s="20"/>
      <c r="FY16" s="20"/>
      <c r="FZ16" s="20"/>
      <c r="GA16" s="20"/>
      <c r="GC16" s="20"/>
      <c r="GD16" s="20"/>
      <c r="GE16" s="26" t="s">
        <v>711</v>
      </c>
      <c r="GF16" s="20">
        <v>0</v>
      </c>
      <c r="GG16" s="20">
        <v>0</v>
      </c>
      <c r="GH16" s="20">
        <v>0</v>
      </c>
      <c r="GI16" s="20">
        <v>4</v>
      </c>
      <c r="GJ16" s="20">
        <v>4</v>
      </c>
      <c r="GK16" s="20">
        <v>6</v>
      </c>
      <c r="GL16" s="20">
        <v>6</v>
      </c>
      <c r="GM16" s="20">
        <v>6</v>
      </c>
      <c r="GN16" s="20">
        <v>10</v>
      </c>
      <c r="GO16" s="20">
        <v>8</v>
      </c>
      <c r="GP16" s="20">
        <v>12</v>
      </c>
      <c r="GQ16" s="20">
        <v>12</v>
      </c>
      <c r="GR16" s="20">
        <v>14</v>
      </c>
      <c r="GS16" s="20">
        <v>14</v>
      </c>
      <c r="GT16" s="20">
        <v>14</v>
      </c>
      <c r="GU16" s="20">
        <v>18</v>
      </c>
      <c r="GV16" s="20">
        <v>16</v>
      </c>
      <c r="GW16" s="20">
        <v>20</v>
      </c>
      <c r="GX16" s="20">
        <v>20</v>
      </c>
      <c r="GY16" s="20">
        <v>20</v>
      </c>
      <c r="GZ16" s="20">
        <v>22</v>
      </c>
      <c r="HA16" s="20">
        <v>22</v>
      </c>
      <c r="HB16" s="20">
        <v>26</v>
      </c>
      <c r="HC16" s="20">
        <v>26</v>
      </c>
      <c r="HD16" s="20">
        <v>28</v>
      </c>
      <c r="HE16" s="20">
        <v>28</v>
      </c>
      <c r="HF16" s="20"/>
      <c r="HG16" s="20"/>
      <c r="HH16" s="20"/>
      <c r="HI16" s="20"/>
      <c r="HJ16" s="20"/>
      <c r="HK16" s="20"/>
      <c r="HL16" s="20"/>
      <c r="HM16" s="20"/>
      <c r="HN16" s="20"/>
      <c r="HO16" s="20"/>
      <c r="HP16" s="20"/>
      <c r="HQ16" s="20"/>
      <c r="HR16" s="20"/>
      <c r="HS16" s="20"/>
      <c r="HT16" s="20"/>
      <c r="HU16" s="20"/>
      <c r="HV16" s="20"/>
      <c r="HW16" s="20"/>
      <c r="HX16" s="20"/>
      <c r="HY16" s="20"/>
      <c r="HZ16" s="20"/>
      <c r="IA16" s="20"/>
      <c r="IB16" s="20"/>
      <c r="IC16" s="20"/>
      <c r="ID16" s="20"/>
      <c r="IF16" s="21" t="s">
        <v>711</v>
      </c>
      <c r="IG16" s="21">
        <v>0</v>
      </c>
      <c r="IH16" s="21">
        <v>2</v>
      </c>
      <c r="II16" s="21">
        <v>2</v>
      </c>
      <c r="IJ16" s="21">
        <v>2</v>
      </c>
      <c r="IK16" s="21">
        <v>6</v>
      </c>
      <c r="IL16" s="21">
        <v>6</v>
      </c>
      <c r="IM16" s="21">
        <v>6</v>
      </c>
      <c r="IN16" s="21">
        <v>8</v>
      </c>
      <c r="IO16" s="21">
        <v>12</v>
      </c>
      <c r="IP16" s="21">
        <v>12</v>
      </c>
      <c r="IQ16" s="21">
        <v>12</v>
      </c>
      <c r="IR16" s="21">
        <v>16</v>
      </c>
      <c r="IS16" s="21">
        <v>16</v>
      </c>
      <c r="IT16" s="21">
        <v>18</v>
      </c>
      <c r="IU16" s="21">
        <v>18</v>
      </c>
      <c r="IV16" s="21">
        <v>22</v>
      </c>
      <c r="IW16" s="21">
        <v>22</v>
      </c>
      <c r="IX16" s="21">
        <v>22</v>
      </c>
      <c r="IY16" s="21">
        <v>26</v>
      </c>
      <c r="IZ16" s="21">
        <v>26</v>
      </c>
      <c r="JA16" s="21">
        <v>28</v>
      </c>
      <c r="JB16" s="21">
        <v>28</v>
      </c>
      <c r="JC16" s="21">
        <v>32</v>
      </c>
      <c r="JD16" s="21">
        <v>32</v>
      </c>
      <c r="JE16" s="21">
        <v>32</v>
      </c>
      <c r="JF16" s="21">
        <v>36</v>
      </c>
      <c r="JI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15,$JT$2:$KS$2,0),MATCH($W$2,$AH$22:$AH$47,0)))*C15</f>
        <v>0</v>
      </c>
      <c r="JJ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15,$JT$2:$KS$2,0),MATCH($W$2,$AH$22:$AH$47,0)))*C15</f>
        <v>0</v>
      </c>
      <c r="JK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15,$JT$2:$KS$2,0),MATCH($W$2,$AH$22:$AH$47,0)))*C15</f>
        <v>0</v>
      </c>
      <c r="JL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15,$JT$2:$KS$2,0),MATCH($W$2,$AH$22:$AH$47,0)))*C15</f>
        <v>0</v>
      </c>
      <c r="JM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15,$JT$2:$KS$2,0),MATCH($W$2,$AH$22:$AH$47,0)))*C15</f>
        <v>0</v>
      </c>
      <c r="JN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15,$JT$2:$KS$2,0),MATCH($W$2,$AH$22:$AH$47,0)))*C15</f>
        <v>0</v>
      </c>
      <c r="JO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15,$JT$2:$KS$2,0),MATCH($W$2,$AH$22:$AH$47,0)))*C15</f>
        <v>0</v>
      </c>
      <c r="JP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15,$JT$2:$KS$2,0),MATCH($W$2,$AH$22:$AH$47,0)))*C15</f>
        <v>0</v>
      </c>
      <c r="JQ1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15,$JT$2:$KS$2,0),MATCH($W$2,$AH$22:$AH$47,0)))*C15</f>
        <v>0</v>
      </c>
      <c r="JS16" s="26" t="s">
        <v>520</v>
      </c>
      <c r="JT16" s="20">
        <v>0</v>
      </c>
      <c r="JU16" s="20">
        <v>0</v>
      </c>
      <c r="JV16" s="20">
        <v>0</v>
      </c>
      <c r="JW16" s="20">
        <v>0</v>
      </c>
      <c r="JX16" s="20">
        <v>0</v>
      </c>
      <c r="JY16" s="20">
        <v>0</v>
      </c>
      <c r="JZ16" s="20">
        <v>0</v>
      </c>
      <c r="KA16" s="20">
        <v>0</v>
      </c>
      <c r="KB16" s="20">
        <v>0</v>
      </c>
      <c r="KC16" s="20">
        <v>0</v>
      </c>
      <c r="KD16" s="20">
        <v>0</v>
      </c>
      <c r="KE16" s="20">
        <v>0</v>
      </c>
      <c r="KF16" s="20">
        <v>0</v>
      </c>
      <c r="KG16" s="20">
        <v>0</v>
      </c>
      <c r="KH16" s="20">
        <v>0</v>
      </c>
      <c r="KI16" s="20">
        <v>8</v>
      </c>
      <c r="KJ16" s="20">
        <v>10</v>
      </c>
      <c r="KK16" s="20">
        <v>8</v>
      </c>
      <c r="KL16" s="20">
        <v>10</v>
      </c>
      <c r="KM16" s="20">
        <v>10</v>
      </c>
      <c r="KN16" s="20">
        <v>8</v>
      </c>
      <c r="KO16" s="20">
        <v>8</v>
      </c>
      <c r="KP16" s="20">
        <v>8</v>
      </c>
      <c r="KQ16" s="20">
        <v>6</v>
      </c>
      <c r="KR16" s="20">
        <v>6</v>
      </c>
      <c r="KS16" s="20">
        <v>8</v>
      </c>
      <c r="KU16" s="26" t="s">
        <v>520</v>
      </c>
      <c r="KV16" s="20">
        <v>0</v>
      </c>
      <c r="KW16" s="20">
        <v>0</v>
      </c>
      <c r="KX16" s="20">
        <v>0</v>
      </c>
      <c r="KY16" s="20">
        <v>0</v>
      </c>
      <c r="KZ16" s="20">
        <v>0</v>
      </c>
      <c r="LA16" s="20">
        <v>0</v>
      </c>
      <c r="LB16" s="20">
        <v>0</v>
      </c>
      <c r="LC16" s="20">
        <v>4</v>
      </c>
      <c r="LD16" s="20">
        <v>0</v>
      </c>
      <c r="LE16" s="20">
        <v>6</v>
      </c>
      <c r="LF16" s="20">
        <v>0</v>
      </c>
      <c r="LG16" s="20">
        <v>10</v>
      </c>
      <c r="LH16" s="20">
        <v>2</v>
      </c>
      <c r="LI16" s="20">
        <v>12</v>
      </c>
      <c r="LJ16" s="20">
        <v>6</v>
      </c>
      <c r="LK16" s="20">
        <v>2</v>
      </c>
      <c r="LL16" s="20">
        <v>8</v>
      </c>
      <c r="LM16" s="20">
        <v>14</v>
      </c>
      <c r="LN16" s="20">
        <v>12</v>
      </c>
      <c r="LO16" s="20">
        <v>8</v>
      </c>
      <c r="LP16" s="20">
        <v>0</v>
      </c>
      <c r="LQ16" s="20">
        <v>10</v>
      </c>
      <c r="LR16" s="20">
        <v>12</v>
      </c>
      <c r="LS16" s="20">
        <v>14</v>
      </c>
      <c r="LT16" s="20">
        <v>8</v>
      </c>
      <c r="LU16" s="20">
        <v>16</v>
      </c>
      <c r="LW16" s="26" t="s">
        <v>520</v>
      </c>
      <c r="LX16" s="20">
        <v>0</v>
      </c>
      <c r="LY16" s="20">
        <v>0</v>
      </c>
      <c r="LZ16" s="20">
        <v>0</v>
      </c>
      <c r="MA16" s="20">
        <v>0</v>
      </c>
      <c r="MB16" s="20">
        <v>4</v>
      </c>
      <c r="MC16" s="20">
        <v>4</v>
      </c>
      <c r="MD16" s="20">
        <v>0</v>
      </c>
      <c r="ME16" s="20">
        <v>0</v>
      </c>
      <c r="MF16" s="20">
        <v>0</v>
      </c>
      <c r="MG16" s="20">
        <v>8</v>
      </c>
      <c r="MH16" s="20">
        <v>6</v>
      </c>
      <c r="MI16" s="20">
        <v>4</v>
      </c>
      <c r="MJ16" s="20">
        <v>14</v>
      </c>
      <c r="MK16" s="20">
        <v>0</v>
      </c>
      <c r="ML16" s="20">
        <v>10</v>
      </c>
      <c r="MM16" s="20">
        <v>10</v>
      </c>
      <c r="MN16" s="20">
        <v>8</v>
      </c>
      <c r="MO16" s="20">
        <v>20</v>
      </c>
      <c r="MP16" s="20">
        <v>4</v>
      </c>
      <c r="MQ16" s="20">
        <v>0</v>
      </c>
      <c r="MR16" s="20">
        <v>14</v>
      </c>
      <c r="MS16" s="20">
        <v>10</v>
      </c>
      <c r="MT16" s="20">
        <v>22</v>
      </c>
      <c r="MU16" s="20">
        <v>20</v>
      </c>
      <c r="MV16" s="20">
        <v>28</v>
      </c>
      <c r="MW16" s="20">
        <v>16</v>
      </c>
      <c r="MY16" s="21" t="s">
        <v>520</v>
      </c>
      <c r="MZ16" s="21">
        <v>0</v>
      </c>
      <c r="NA16" s="21">
        <v>0</v>
      </c>
      <c r="NB16" s="21">
        <v>0</v>
      </c>
      <c r="NC16" s="21">
        <v>0</v>
      </c>
      <c r="ND16" s="21">
        <v>2</v>
      </c>
      <c r="NE16" s="21">
        <v>6</v>
      </c>
      <c r="NF16" s="21">
        <v>6</v>
      </c>
      <c r="NG16" s="21">
        <v>0</v>
      </c>
      <c r="NH16" s="21">
        <v>4</v>
      </c>
      <c r="NI16" s="21">
        <v>8</v>
      </c>
      <c r="NJ16" s="21">
        <v>12</v>
      </c>
      <c r="NK16" s="21">
        <v>16</v>
      </c>
      <c r="NL16" s="21">
        <v>2</v>
      </c>
      <c r="NM16" s="21">
        <v>8</v>
      </c>
      <c r="NN16" s="21">
        <v>12</v>
      </c>
      <c r="NO16" s="21">
        <v>16</v>
      </c>
      <c r="NP16" s="21">
        <v>20</v>
      </c>
      <c r="NQ16" s="21">
        <v>20</v>
      </c>
      <c r="NR16" s="21">
        <v>26</v>
      </c>
      <c r="NS16" s="21">
        <v>18</v>
      </c>
      <c r="NT16" s="21">
        <v>8</v>
      </c>
      <c r="NU16" s="21">
        <v>24</v>
      </c>
      <c r="NV16" s="21">
        <v>30</v>
      </c>
      <c r="NW16" s="21">
        <v>20</v>
      </c>
      <c r="NX16" s="21">
        <v>10</v>
      </c>
      <c r="NY16" s="21">
        <v>36</v>
      </c>
      <c r="OB16" s="26" t="s">
        <v>152</v>
      </c>
      <c r="OC16" s="26" t="s">
        <v>153</v>
      </c>
    </row>
    <row r="17" spans="1:397" x14ac:dyDescent="0.25">
      <c r="A17" s="8"/>
      <c r="B17" s="5" t="s">
        <v>116</v>
      </c>
      <c r="C17" s="8"/>
      <c r="D17" s="4"/>
      <c r="E17" s="4"/>
      <c r="F17" s="4"/>
      <c r="G17" s="4"/>
      <c r="H17" s="4"/>
      <c r="I17" s="4"/>
      <c r="J17" s="4"/>
      <c r="K17" s="4"/>
      <c r="L17" s="6" t="str">
        <f>IF(E6=$AC$1,INDEX(($AN$38:$AO$38,$AN$52:$AO$52,$AN$66:$AO$66),1,MATCH($E$7,$AN$27:$AO$27,0),MATCH($E$10,$AK$22:$AK$24,0)),IF(E6=$AC$2,INDEX(($AT$38:$AU$38,$AT$52:$AU$52,$AT$66:$AU$66),1,MATCH($E$7,$AT$27:$AU$27,0),MATCH($E$10,$AK$22:$AK$24,0)),0))</f>
        <v>PUF</v>
      </c>
      <c r="M17" s="14">
        <f>INDEX(cennik!$A$2:$O$529,MATCH($L17,cennik!$B$2:$B$522,0),MATCH(M$2,cennik!$A$1:$O$1,0))</f>
        <v>897300</v>
      </c>
      <c r="N17" s="14" t="str">
        <f>INDEX(cennik!$A$2:$O$529,MATCH($L17,cennik!$B$2:$B$522,0),MATCH(N$2,cennik!$A$1:$O$1,0))</f>
        <v>szt.</v>
      </c>
      <c r="O17" s="14">
        <f>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</f>
        <v>0</v>
      </c>
      <c r="P17" s="22">
        <f>INDEX(cennik!$A$2:$O$529,MATCH($L17,cennik!$B$2:$B$522,0),MATCH(P$2,cennik!$A$1:$O$1,0))</f>
        <v>2.06</v>
      </c>
      <c r="Q17" s="22">
        <f t="shared" si="14"/>
        <v>0</v>
      </c>
      <c r="R17" s="23">
        <f t="shared" si="3"/>
        <v>0</v>
      </c>
      <c r="S17" s="22">
        <f t="shared" si="15"/>
        <v>2.06</v>
      </c>
      <c r="T17" s="22">
        <f t="shared" si="16"/>
        <v>0</v>
      </c>
      <c r="U17" s="22">
        <f>INDEX(cennik!$A$2:$O$529,MATCH($L17,cennik!$B$2:$B$522,0),MATCH(U$2,cennik!$A$1:$O$1,0))*O17</f>
        <v>0</v>
      </c>
      <c r="V17" s="20"/>
      <c r="W17" s="20"/>
      <c r="X17" s="25">
        <f t="shared" si="0"/>
        <v>0</v>
      </c>
      <c r="Y17" s="20"/>
      <c r="Z17" s="20"/>
      <c r="AA17" s="20"/>
      <c r="AB17" s="20"/>
      <c r="AC17" s="356"/>
      <c r="AD17" s="20"/>
      <c r="AE17" s="20" t="str">
        <f>INDEX(($AH$53:$AI$62),MATCH(I3,$AG$53:$AG$62,0),MATCH(E6,$AH$52:$AI$52,0))</f>
        <v>suma</v>
      </c>
      <c r="AF17" s="20"/>
      <c r="AG17" s="20"/>
      <c r="AH17" s="20"/>
      <c r="AI17" s="20"/>
      <c r="AJ17" s="20"/>
      <c r="AK17" s="20"/>
      <c r="AL17" s="20">
        <f t="shared" si="1"/>
        <v>0</v>
      </c>
      <c r="AM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16,$BB$2:$CA$2,0),MATCH($W$2,$AH$22:$AH$47,0)))*C16</f>
        <v>0</v>
      </c>
      <c r="AN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16,$BB$2:$CA$2,0),MATCH($W$2,$AH$22:$AH$47,0)))*C16</f>
        <v>0</v>
      </c>
      <c r="AO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16,$BB$2:$CA$2,0),MATCH($W$2,$AH$22:$AH$47,0)))*C16</f>
        <v>0</v>
      </c>
      <c r="AP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16,$BB$2:$CA$2,0),MATCH($W$2,$AH$22:$AH$47,0)))*C16</f>
        <v>0</v>
      </c>
      <c r="AQ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16,$BB$2:$CA$2,0),MATCH($W$2,$AH$22:$AH$47,0)))*C16</f>
        <v>0</v>
      </c>
      <c r="AR1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16,$BB$2:$CA$2,0),MATCH($W$2,$AH$22:$AH$47,0)))*C16</f>
        <v>0</v>
      </c>
      <c r="AS17" s="20"/>
      <c r="AT17" s="20">
        <v>50</v>
      </c>
      <c r="AU17" s="20">
        <v>1000</v>
      </c>
      <c r="AV17" s="20"/>
      <c r="AW17" s="20"/>
      <c r="AX17" s="20"/>
      <c r="AY17" s="20"/>
      <c r="AZ17" s="20"/>
      <c r="BA17" s="26" t="s">
        <v>712</v>
      </c>
      <c r="BB17" s="20">
        <v>0</v>
      </c>
      <c r="BC17" s="20">
        <v>0</v>
      </c>
      <c r="BD17" s="20">
        <v>0</v>
      </c>
      <c r="BE17" s="20">
        <v>0</v>
      </c>
      <c r="BF17" s="20">
        <v>2</v>
      </c>
      <c r="BG17" s="20">
        <v>2</v>
      </c>
      <c r="BH17" s="20">
        <v>2</v>
      </c>
      <c r="BI17" s="20">
        <v>4</v>
      </c>
      <c r="BJ17" s="20">
        <v>4</v>
      </c>
      <c r="BK17" s="20">
        <v>4</v>
      </c>
      <c r="BL17" s="20">
        <v>6</v>
      </c>
      <c r="BM17" s="20">
        <v>6</v>
      </c>
      <c r="BN17" s="20">
        <v>6</v>
      </c>
      <c r="BO17" s="20">
        <v>8</v>
      </c>
      <c r="BP17" s="20">
        <v>8</v>
      </c>
      <c r="BQ17" s="20">
        <v>8</v>
      </c>
      <c r="BR17" s="20">
        <v>8</v>
      </c>
      <c r="BS17" s="20">
        <v>10</v>
      </c>
      <c r="BT17" s="20">
        <v>10</v>
      </c>
      <c r="BU17" s="20">
        <f>BQ17</f>
        <v>8</v>
      </c>
      <c r="BV17" s="20">
        <v>12</v>
      </c>
      <c r="BW17" s="20">
        <v>12</v>
      </c>
      <c r="BX17" s="20">
        <v>12</v>
      </c>
      <c r="BY17" s="20">
        <v>14</v>
      </c>
      <c r="BZ17" s="20">
        <v>14</v>
      </c>
      <c r="CA17" s="20">
        <v>14</v>
      </c>
      <c r="CB17" s="20">
        <v>16</v>
      </c>
      <c r="CC17" s="20">
        <v>16</v>
      </c>
      <c r="CD17" s="20">
        <v>16</v>
      </c>
      <c r="CE17" s="20">
        <v>16</v>
      </c>
      <c r="CF17" s="20">
        <v>18</v>
      </c>
      <c r="CG17" s="20">
        <v>18</v>
      </c>
      <c r="CH17" s="20">
        <v>18</v>
      </c>
      <c r="CI17" s="20">
        <v>20</v>
      </c>
      <c r="CJ17" s="20">
        <v>20</v>
      </c>
      <c r="CK17" s="20">
        <v>20</v>
      </c>
      <c r="CL17" s="20">
        <v>22</v>
      </c>
      <c r="CM17" s="20">
        <v>22</v>
      </c>
      <c r="CN17" s="20">
        <v>22</v>
      </c>
      <c r="CO17" s="20">
        <v>24</v>
      </c>
      <c r="CP17" s="20">
        <v>24</v>
      </c>
      <c r="CQ17" s="20">
        <v>24</v>
      </c>
      <c r="CR17" s="20">
        <v>24</v>
      </c>
      <c r="CS17" s="20">
        <v>26</v>
      </c>
      <c r="CT17" s="20">
        <v>26</v>
      </c>
      <c r="CU17" s="20">
        <v>26</v>
      </c>
      <c r="CV17" s="20">
        <v>28</v>
      </c>
      <c r="CW17" s="20">
        <v>28</v>
      </c>
      <c r="CX17" s="20">
        <v>28</v>
      </c>
      <c r="CY17" s="20">
        <v>30</v>
      </c>
      <c r="CZ17" s="20">
        <v>30</v>
      </c>
      <c r="DA17" s="54"/>
      <c r="DB17" s="54">
        <v>16</v>
      </c>
      <c r="DC17" s="54"/>
      <c r="DD17" s="20" t="s">
        <v>520</v>
      </c>
      <c r="DE17" s="20">
        <v>0</v>
      </c>
      <c r="DF17" s="20">
        <v>0</v>
      </c>
      <c r="DG17" s="20">
        <v>0</v>
      </c>
      <c r="DH17" s="20">
        <v>2</v>
      </c>
      <c r="DI17" s="20">
        <v>0</v>
      </c>
      <c r="DJ17" s="20">
        <v>2</v>
      </c>
      <c r="DK17" s="20">
        <v>4</v>
      </c>
      <c r="DL17" s="20">
        <v>2</v>
      </c>
      <c r="DM17" s="20">
        <v>4</v>
      </c>
      <c r="DN17" s="20">
        <v>6</v>
      </c>
      <c r="DO17" s="20">
        <v>4</v>
      </c>
      <c r="DP17" s="20">
        <v>6</v>
      </c>
      <c r="DQ17" s="20">
        <v>8</v>
      </c>
      <c r="DR17" s="20">
        <v>6</v>
      </c>
      <c r="DS17" s="20">
        <v>8</v>
      </c>
      <c r="DT17" s="20">
        <v>10</v>
      </c>
      <c r="DU17" s="20">
        <v>8</v>
      </c>
      <c r="DV17" s="20">
        <v>10</v>
      </c>
      <c r="DW17" s="20">
        <v>12</v>
      </c>
      <c r="DX17" s="20">
        <v>10</v>
      </c>
      <c r="DY17" s="20">
        <v>12</v>
      </c>
      <c r="DZ17" s="20"/>
      <c r="EA17" s="20"/>
      <c r="EB17" s="26" t="s">
        <v>712</v>
      </c>
      <c r="EC17" s="20">
        <v>0</v>
      </c>
      <c r="ED17" s="20">
        <v>0</v>
      </c>
      <c r="EE17" s="20">
        <v>0</v>
      </c>
      <c r="EF17" s="20">
        <v>2</v>
      </c>
      <c r="EG17" s="20">
        <v>2</v>
      </c>
      <c r="EH17" s="20">
        <v>4</v>
      </c>
      <c r="EI17" s="20">
        <v>4</v>
      </c>
      <c r="EJ17" s="20">
        <v>6</v>
      </c>
      <c r="EK17" s="20">
        <v>6</v>
      </c>
      <c r="EL17" s="20">
        <v>8</v>
      </c>
      <c r="EM17" s="20">
        <v>8</v>
      </c>
      <c r="EN17" s="20">
        <v>10</v>
      </c>
      <c r="EO17" s="20">
        <v>10</v>
      </c>
      <c r="EP17" s="20">
        <v>12</v>
      </c>
      <c r="EQ17" s="20">
        <v>12</v>
      </c>
      <c r="ER17" s="20">
        <v>14</v>
      </c>
      <c r="ES17" s="20">
        <v>14</v>
      </c>
      <c r="ET17" s="20">
        <v>16</v>
      </c>
      <c r="EU17" s="20">
        <v>16</v>
      </c>
      <c r="EV17" s="20">
        <v>18</v>
      </c>
      <c r="EW17" s="20">
        <v>18</v>
      </c>
      <c r="EX17" s="20">
        <v>20</v>
      </c>
      <c r="EY17" s="20">
        <v>20</v>
      </c>
      <c r="EZ17" s="20">
        <v>22</v>
      </c>
      <c r="FA17" s="20">
        <v>22</v>
      </c>
      <c r="FB17" s="20">
        <v>24</v>
      </c>
      <c r="FC17" s="20">
        <v>24</v>
      </c>
      <c r="FD17" s="20"/>
      <c r="FE17" s="20"/>
      <c r="FF17" s="20"/>
      <c r="FG17" s="20"/>
      <c r="FH17" s="20"/>
      <c r="FI17" s="20"/>
      <c r="FJ17" s="20"/>
      <c r="FK17" s="20"/>
      <c r="FL17" s="20"/>
      <c r="FM17" s="20"/>
      <c r="FN17" s="20"/>
      <c r="FO17" s="20"/>
      <c r="FP17" s="20"/>
      <c r="FQ17" s="20"/>
      <c r="FR17" s="20"/>
      <c r="FS17" s="20"/>
      <c r="FT17" s="20"/>
      <c r="FU17" s="20"/>
      <c r="FV17" s="20"/>
      <c r="FW17" s="20"/>
      <c r="FX17" s="20"/>
      <c r="FY17" s="20"/>
      <c r="FZ17" s="20"/>
      <c r="GA17" s="20"/>
      <c r="GC17" s="20"/>
      <c r="GD17" s="20"/>
      <c r="GE17" s="26" t="s">
        <v>712</v>
      </c>
      <c r="GF17" s="20">
        <v>0</v>
      </c>
      <c r="GG17" s="20">
        <v>0</v>
      </c>
      <c r="GH17" s="20">
        <v>2</v>
      </c>
      <c r="GI17" s="20">
        <v>2</v>
      </c>
      <c r="GJ17" s="20">
        <v>4</v>
      </c>
      <c r="GK17" s="20">
        <v>4</v>
      </c>
      <c r="GL17" s="20">
        <v>6</v>
      </c>
      <c r="GM17" s="20">
        <v>8</v>
      </c>
      <c r="GN17" s="20">
        <v>8</v>
      </c>
      <c r="GO17" s="20">
        <v>10</v>
      </c>
      <c r="GP17" s="20">
        <v>10</v>
      </c>
      <c r="GQ17" s="20">
        <v>12</v>
      </c>
      <c r="GR17" s="20">
        <v>12</v>
      </c>
      <c r="GS17" s="20">
        <v>14</v>
      </c>
      <c r="GT17" s="20">
        <v>16</v>
      </c>
      <c r="GU17" s="20">
        <v>16</v>
      </c>
      <c r="GV17" s="20">
        <v>18</v>
      </c>
      <c r="GW17" s="20">
        <v>18</v>
      </c>
      <c r="GX17" s="20">
        <v>20</v>
      </c>
      <c r="GY17" s="20">
        <v>22</v>
      </c>
      <c r="GZ17" s="20">
        <v>22</v>
      </c>
      <c r="HA17" s="20">
        <v>24</v>
      </c>
      <c r="HB17" s="20">
        <v>24</v>
      </c>
      <c r="HC17" s="20">
        <v>26</v>
      </c>
      <c r="HD17" s="20">
        <v>26</v>
      </c>
      <c r="HE17" s="20">
        <v>28</v>
      </c>
      <c r="HF17" s="20"/>
      <c r="HG17" s="20"/>
      <c r="HH17" s="20"/>
      <c r="HI17" s="20"/>
      <c r="HJ17" s="20"/>
      <c r="HK17" s="20"/>
      <c r="HL17" s="20"/>
      <c r="HM17" s="20"/>
      <c r="HN17" s="20"/>
      <c r="HO17" s="20"/>
      <c r="HP17" s="20"/>
      <c r="HQ17" s="20"/>
      <c r="HR17" s="20"/>
      <c r="HS17" s="20"/>
      <c r="HT17" s="20"/>
      <c r="HU17" s="20"/>
      <c r="HV17" s="20"/>
      <c r="HW17" s="20"/>
      <c r="HX17" s="20"/>
      <c r="HY17" s="20"/>
      <c r="HZ17" s="20"/>
      <c r="IA17" s="20"/>
      <c r="IB17" s="20"/>
      <c r="IC17" s="20"/>
      <c r="ID17" s="20"/>
      <c r="IF17" s="21" t="s">
        <v>712</v>
      </c>
      <c r="IG17" s="21">
        <v>0</v>
      </c>
      <c r="IH17" s="21">
        <v>0</v>
      </c>
      <c r="II17" s="21">
        <v>2</v>
      </c>
      <c r="IJ17" s="21">
        <v>4</v>
      </c>
      <c r="IK17" s="21">
        <v>4</v>
      </c>
      <c r="IL17" s="21">
        <v>6</v>
      </c>
      <c r="IM17" s="21">
        <v>8</v>
      </c>
      <c r="IN17" s="21">
        <v>10</v>
      </c>
      <c r="IO17" s="21">
        <v>10</v>
      </c>
      <c r="IP17" s="21">
        <v>12</v>
      </c>
      <c r="IQ17" s="21">
        <v>14</v>
      </c>
      <c r="IR17" s="21">
        <v>14</v>
      </c>
      <c r="IS17" s="21">
        <v>16</v>
      </c>
      <c r="IT17" s="21">
        <v>18</v>
      </c>
      <c r="IU17" s="21">
        <v>20</v>
      </c>
      <c r="IV17" s="21">
        <v>20</v>
      </c>
      <c r="IW17" s="21">
        <v>22</v>
      </c>
      <c r="IX17" s="21">
        <v>24</v>
      </c>
      <c r="IY17" s="21">
        <v>24</v>
      </c>
      <c r="IZ17" s="21">
        <v>26</v>
      </c>
      <c r="JA17" s="21">
        <v>28</v>
      </c>
      <c r="JB17" s="21">
        <v>30</v>
      </c>
      <c r="JC17" s="21">
        <v>30</v>
      </c>
      <c r="JD17" s="21">
        <v>32</v>
      </c>
      <c r="JE17" s="21">
        <v>34</v>
      </c>
      <c r="JF17" s="21">
        <v>34</v>
      </c>
      <c r="JI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16,$JT$2:$KS$2,0),MATCH($W$2,$AH$22:$AH$47,0)))*C16</f>
        <v>0</v>
      </c>
      <c r="JJ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16,$JT$2:$KS$2,0),MATCH($W$2,$AH$22:$AH$47,0)))*C16</f>
        <v>0</v>
      </c>
      <c r="JK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16,$JT$2:$KS$2,0),MATCH($W$2,$AH$22:$AH$47,0)))*C16</f>
        <v>0</v>
      </c>
      <c r="JL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16,$JT$2:$KS$2,0),MATCH($W$2,$AH$22:$AH$47,0)))*C16</f>
        <v>0</v>
      </c>
      <c r="JM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16,$JT$2:$KS$2,0),MATCH($W$2,$AH$22:$AH$47,0)))*C16</f>
        <v>0</v>
      </c>
      <c r="JN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16,$JT$2:$KS$2,0),MATCH($W$2,$AH$22:$AH$47,0)))*C16</f>
        <v>0</v>
      </c>
      <c r="JO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16,$JT$2:$KS$2,0),MATCH($W$2,$AH$22:$AH$47,0)))*C16</f>
        <v>0</v>
      </c>
      <c r="JP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16,$JT$2:$KS$2,0),MATCH($W$2,$AH$22:$AH$47,0)))*C16</f>
        <v>0</v>
      </c>
      <c r="JQ1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16,$JT$2:$KS$2,0),MATCH($W$2,$AH$22:$AH$47,0)))*C16</f>
        <v>0</v>
      </c>
      <c r="JS17" s="26" t="s">
        <v>521</v>
      </c>
      <c r="JT17" s="20">
        <v>0</v>
      </c>
      <c r="JU17" s="20">
        <v>0</v>
      </c>
      <c r="JV17" s="20">
        <v>0</v>
      </c>
      <c r="JW17" s="20">
        <v>0</v>
      </c>
      <c r="JX17" s="20">
        <v>4</v>
      </c>
      <c r="JY17" s="20">
        <v>4</v>
      </c>
      <c r="JZ17" s="20">
        <v>4</v>
      </c>
      <c r="KA17" s="20">
        <v>8</v>
      </c>
      <c r="KB17" s="20">
        <v>8</v>
      </c>
      <c r="KC17" s="20">
        <v>8</v>
      </c>
      <c r="KD17" s="20">
        <v>12</v>
      </c>
      <c r="KE17" s="20">
        <v>12</v>
      </c>
      <c r="KF17" s="20">
        <v>12</v>
      </c>
      <c r="KG17" s="20">
        <v>16</v>
      </c>
      <c r="KH17" s="20">
        <v>16</v>
      </c>
      <c r="KI17" s="20">
        <v>16</v>
      </c>
      <c r="KJ17" s="20">
        <v>16</v>
      </c>
      <c r="KK17" s="20">
        <v>20</v>
      </c>
      <c r="KL17" s="20">
        <v>20</v>
      </c>
      <c r="KM17" s="20">
        <v>20</v>
      </c>
      <c r="KN17" s="20">
        <v>24</v>
      </c>
      <c r="KO17" s="20">
        <v>24</v>
      </c>
      <c r="KP17" s="20">
        <v>24</v>
      </c>
      <c r="KQ17" s="20">
        <v>28</v>
      </c>
      <c r="KR17" s="20">
        <v>28</v>
      </c>
      <c r="KS17" s="20">
        <v>28</v>
      </c>
      <c r="KU17" s="26" t="s">
        <v>521</v>
      </c>
      <c r="KV17" s="20">
        <v>0</v>
      </c>
      <c r="KW17" s="20">
        <v>0</v>
      </c>
      <c r="KX17" s="20">
        <v>8</v>
      </c>
      <c r="KY17" s="20">
        <v>4</v>
      </c>
      <c r="KZ17" s="20">
        <v>8</v>
      </c>
      <c r="LA17" s="20">
        <v>8</v>
      </c>
      <c r="LB17" s="20">
        <v>12</v>
      </c>
      <c r="LC17" s="20">
        <v>12</v>
      </c>
      <c r="LD17" s="20">
        <v>16</v>
      </c>
      <c r="LE17" s="20">
        <v>16</v>
      </c>
      <c r="LF17" s="20">
        <v>20</v>
      </c>
      <c r="LG17" s="20">
        <v>20</v>
      </c>
      <c r="LH17" s="20">
        <v>24</v>
      </c>
      <c r="LI17" s="20">
        <v>24</v>
      </c>
      <c r="LJ17" s="20">
        <v>28</v>
      </c>
      <c r="LK17" s="20">
        <v>28</v>
      </c>
      <c r="LL17" s="20">
        <v>32</v>
      </c>
      <c r="LM17" s="20">
        <v>32</v>
      </c>
      <c r="LN17" s="20">
        <v>36</v>
      </c>
      <c r="LO17" s="20">
        <v>36</v>
      </c>
      <c r="LP17" s="20">
        <v>40</v>
      </c>
      <c r="LQ17" s="20">
        <v>40</v>
      </c>
      <c r="LR17" s="20">
        <v>44</v>
      </c>
      <c r="LS17" s="20">
        <v>44</v>
      </c>
      <c r="LT17" s="20">
        <v>48</v>
      </c>
      <c r="LU17" s="20">
        <v>48</v>
      </c>
      <c r="LW17" s="26" t="s">
        <v>521</v>
      </c>
      <c r="LX17" s="20">
        <v>0</v>
      </c>
      <c r="LY17" s="20">
        <v>0</v>
      </c>
      <c r="LZ17" s="20">
        <v>4</v>
      </c>
      <c r="MA17" s="20">
        <v>4</v>
      </c>
      <c r="MB17" s="20">
        <v>8</v>
      </c>
      <c r="MC17" s="20">
        <v>8</v>
      </c>
      <c r="MD17" s="20">
        <v>12</v>
      </c>
      <c r="ME17" s="20">
        <v>16</v>
      </c>
      <c r="MF17" s="20">
        <v>16</v>
      </c>
      <c r="MG17" s="20">
        <v>20</v>
      </c>
      <c r="MH17" s="20">
        <v>20</v>
      </c>
      <c r="MI17" s="20">
        <v>24</v>
      </c>
      <c r="MJ17" s="20">
        <v>24</v>
      </c>
      <c r="MK17" s="20">
        <v>28</v>
      </c>
      <c r="ML17" s="20">
        <v>32</v>
      </c>
      <c r="MM17" s="20">
        <v>32</v>
      </c>
      <c r="MN17" s="20">
        <v>36</v>
      </c>
      <c r="MO17" s="20">
        <v>36</v>
      </c>
      <c r="MP17" s="20">
        <v>40</v>
      </c>
      <c r="MQ17" s="20">
        <v>44</v>
      </c>
      <c r="MR17" s="20">
        <v>44</v>
      </c>
      <c r="MS17" s="20">
        <v>48</v>
      </c>
      <c r="MT17" s="20">
        <v>48</v>
      </c>
      <c r="MU17" s="20">
        <v>52</v>
      </c>
      <c r="MV17" s="20">
        <v>52</v>
      </c>
      <c r="MW17" s="20">
        <v>56</v>
      </c>
      <c r="MY17" s="21" t="s">
        <v>521</v>
      </c>
      <c r="MZ17" s="21">
        <v>0</v>
      </c>
      <c r="NA17" s="21">
        <v>0</v>
      </c>
      <c r="NB17" s="21">
        <v>4</v>
      </c>
      <c r="NC17" s="21">
        <v>8</v>
      </c>
      <c r="ND17" s="21">
        <v>8</v>
      </c>
      <c r="NE17" s="21">
        <v>12</v>
      </c>
      <c r="NF17" s="21">
        <v>16</v>
      </c>
      <c r="NG17" s="21">
        <v>20</v>
      </c>
      <c r="NH17" s="21">
        <v>20</v>
      </c>
      <c r="NI17" s="21">
        <v>24</v>
      </c>
      <c r="NJ17" s="21">
        <v>28</v>
      </c>
      <c r="NK17" s="21">
        <v>28</v>
      </c>
      <c r="NL17" s="21">
        <v>32</v>
      </c>
      <c r="NM17" s="21">
        <v>36</v>
      </c>
      <c r="NN17" s="21">
        <v>40</v>
      </c>
      <c r="NO17" s="21">
        <v>40</v>
      </c>
      <c r="NP17" s="21">
        <v>44</v>
      </c>
      <c r="NQ17" s="21">
        <v>48</v>
      </c>
      <c r="NR17" s="21">
        <v>48</v>
      </c>
      <c r="NS17" s="21">
        <v>52</v>
      </c>
      <c r="NT17" s="21">
        <v>56</v>
      </c>
      <c r="NU17" s="21">
        <v>60</v>
      </c>
      <c r="NV17" s="21">
        <v>60</v>
      </c>
      <c r="NW17" s="21">
        <v>64</v>
      </c>
      <c r="NX17" s="21">
        <v>68</v>
      </c>
      <c r="NY17" s="21">
        <v>68</v>
      </c>
      <c r="OB17" s="20">
        <v>25</v>
      </c>
      <c r="OC17" s="20">
        <v>2500</v>
      </c>
      <c r="OD17" s="20"/>
      <c r="OE17" s="20"/>
      <c r="OF17" s="20"/>
      <c r="OG17" s="20"/>
    </row>
    <row r="18" spans="1:397" x14ac:dyDescent="0.25">
      <c r="A18" s="4"/>
      <c r="B18" s="6"/>
      <c r="C18" s="4"/>
      <c r="D18" s="4"/>
      <c r="E18" s="4"/>
      <c r="F18" s="4"/>
      <c r="G18" s="4"/>
      <c r="H18" s="4"/>
      <c r="I18" s="4"/>
      <c r="J18" s="4"/>
      <c r="K18" s="4"/>
      <c r="L18" s="6" t="str">
        <f>IF(E6=$AC$1,INDEX(($AP$28:$AP$37,$AP$42:$AP$51,$AP$56:$AP$65),MATCH(I3,$AM$28:$AM$37,0),1,MATCH(E10,$AK$22:$AK$24,0)),IF(E6=$AC$2,INDEX(($AV$28:$AV$37,$AV$42:$AV$51,$AV$56:$AV$65),MATCH(I3,$AS$28:$AS$37,0),1,MATCH(E10,$AK$22:$AK$24,0)),0))</f>
        <v>SAM8X25E</v>
      </c>
      <c r="M18" s="14">
        <f>INDEX(cennik!$A$2:$O$529,MATCH($L18,cennik!$B$2:$B$522,0),MATCH(M$2,cennik!$A$1:$O$1,0))</f>
        <v>898525</v>
      </c>
      <c r="N18" s="14" t="str">
        <f>INDEX(cennik!$A$2:$O$529,MATCH($L18,cennik!$B$2:$B$522,0),MATCH(N$2,cennik!$A$1:$O$1,0))</f>
        <v>szt.</v>
      </c>
      <c r="O18" s="14">
        <f>IF(AE17="suma",SUM(O16:O17),IF(AE17="tylko buf",O16,IF(AE17=0,0,0)))</f>
        <v>0</v>
      </c>
      <c r="P18" s="22">
        <f>INDEX(cennik!$A$2:$O$529,MATCH($L18,cennik!$B$2:$B$522,0),MATCH(P$2,cennik!$A$1:$O$1,0))</f>
        <v>0.45</v>
      </c>
      <c r="Q18" s="22">
        <f t="shared" si="14"/>
        <v>0</v>
      </c>
      <c r="R18" s="23">
        <f t="shared" si="3"/>
        <v>0</v>
      </c>
      <c r="S18" s="22">
        <f t="shared" si="15"/>
        <v>0.45</v>
      </c>
      <c r="T18" s="22">
        <f t="shared" si="16"/>
        <v>0</v>
      </c>
      <c r="U18" s="22">
        <f>INDEX(cennik!$A$2:$O$529,MATCH($L18,cennik!$B$2:$B$522,0),MATCH(U$2,cennik!$A$1:$O$1,0))*O18</f>
        <v>0</v>
      </c>
      <c r="V18" s="20"/>
      <c r="W18" s="20"/>
      <c r="X18" s="25"/>
      <c r="Y18" s="20"/>
      <c r="Z18" s="20"/>
      <c r="AA18" s="20"/>
      <c r="AB18" s="20"/>
      <c r="AC18" s="356"/>
      <c r="AD18" s="20"/>
      <c r="AE18" s="187"/>
      <c r="AF18" s="20"/>
      <c r="AG18" s="20"/>
      <c r="AH18" s="20"/>
      <c r="AI18" s="20"/>
      <c r="AJ18" s="20"/>
      <c r="AK18" s="20"/>
      <c r="AL18" s="20"/>
      <c r="AM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,$BA$3:$BA$17,0),MATCH(A17,$BB$2:$CA$2,0),MATCH($W$2,$AH$22:$AH$47,0)))*C17</f>
        <v>0</v>
      </c>
      <c r="AN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,$BA$3:$BA$17,0),MATCH(A17,$BB$2:$CA$2,0),MATCH($W$2,$AH$22:$AH$47,0)))*C17</f>
        <v>0</v>
      </c>
      <c r="AO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$4,$BA$3:$BA$17,0),MATCH(A17,$BB$2:$CA$2,0),MATCH($W$2,$AH$22:$AH$47,0)))*C17</f>
        <v>0</v>
      </c>
      <c r="AP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,$BA$3:$BA$17,0),MATCH(A17,$BB$2:$CA$2,0),MATCH($W$2,$AH$22:$AH$47,0)))*C17</f>
        <v>0</v>
      </c>
      <c r="AQ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,$BA$3:$BA$17,0),MATCH(A17,$BB$2:$CA$2,0),MATCH($W$2,$AH$22:$AH$47,0)))*C17</f>
        <v>0</v>
      </c>
      <c r="AR1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,$BA$3:$BA$17,0),MATCH(A17,$BB$2:$CA$2,0),MATCH($W$2,$AH$22:$AH$47,0)))*C17</f>
        <v>0</v>
      </c>
      <c r="AS18" s="20"/>
      <c r="AT18" s="20">
        <f>((AT17*AU17)+((AT17-1)*20))+80</f>
        <v>51060</v>
      </c>
      <c r="AU18" s="26" t="s">
        <v>158</v>
      </c>
      <c r="AV18" s="26" t="s">
        <v>156</v>
      </c>
      <c r="AW18" s="26" t="s">
        <v>155</v>
      </c>
      <c r="AX18" s="20"/>
      <c r="AY18" s="20" t="s">
        <v>157</v>
      </c>
      <c r="AZ18" s="20"/>
      <c r="BA18" s="20"/>
      <c r="BB18" s="20"/>
      <c r="BC18" s="20"/>
      <c r="BD18" s="20"/>
      <c r="BE18" s="20"/>
      <c r="BF18" s="20"/>
      <c r="BG18" s="20"/>
      <c r="BH18" s="20"/>
      <c r="BI18" s="20"/>
      <c r="BJ18" s="20"/>
      <c r="BK18" s="20"/>
      <c r="BL18" s="20"/>
      <c r="BM18" s="20"/>
      <c r="BN18" s="20"/>
      <c r="BO18" s="20"/>
      <c r="BP18" s="20"/>
      <c r="BQ18" s="20"/>
      <c r="BR18" s="20"/>
      <c r="BS18" s="20"/>
      <c r="BT18" s="20"/>
      <c r="BU18" s="20"/>
      <c r="BV18" s="20"/>
      <c r="BW18" s="20"/>
      <c r="BX18" s="20"/>
      <c r="BY18" s="20"/>
      <c r="BZ18" s="20"/>
      <c r="CA18" s="20"/>
      <c r="CB18" s="20"/>
      <c r="CC18" s="20"/>
      <c r="CD18" s="20"/>
      <c r="CE18" s="20"/>
      <c r="CF18" s="20"/>
      <c r="CG18" s="20"/>
      <c r="CH18" s="20"/>
      <c r="CI18" s="20"/>
      <c r="CJ18" s="20"/>
      <c r="CK18" s="20"/>
      <c r="CL18" s="20"/>
      <c r="CM18" s="20"/>
      <c r="CN18" s="20"/>
      <c r="CO18" s="20"/>
      <c r="CP18" s="20"/>
      <c r="CQ18" s="20"/>
      <c r="CR18" s="20"/>
      <c r="CS18" s="20"/>
      <c r="CT18" s="20"/>
      <c r="CU18" s="20"/>
      <c r="CV18" s="20"/>
      <c r="CW18" s="20"/>
      <c r="CX18" s="20"/>
      <c r="CY18" s="20"/>
      <c r="CZ18" s="20"/>
      <c r="DA18" s="54"/>
      <c r="DB18" s="54">
        <v>17</v>
      </c>
      <c r="DC18" s="54"/>
      <c r="DD18" s="20" t="s">
        <v>521</v>
      </c>
      <c r="DE18" s="20">
        <v>0</v>
      </c>
      <c r="DF18" s="20">
        <v>0</v>
      </c>
      <c r="DG18" s="20">
        <v>0</v>
      </c>
      <c r="DH18" s="20">
        <v>0</v>
      </c>
      <c r="DI18" s="20">
        <v>4</v>
      </c>
      <c r="DJ18" s="20">
        <v>4</v>
      </c>
      <c r="DK18" s="20">
        <v>4</v>
      </c>
      <c r="DL18" s="20">
        <v>8</v>
      </c>
      <c r="DM18" s="20">
        <v>8</v>
      </c>
      <c r="DN18" s="20">
        <v>8</v>
      </c>
      <c r="DO18" s="20">
        <v>12</v>
      </c>
      <c r="DP18" s="20">
        <v>12</v>
      </c>
      <c r="DQ18" s="20">
        <v>12</v>
      </c>
      <c r="DR18" s="20">
        <v>16</v>
      </c>
      <c r="DS18" s="20">
        <v>16</v>
      </c>
      <c r="DT18" s="20">
        <v>16</v>
      </c>
      <c r="DU18" s="20">
        <v>20</v>
      </c>
      <c r="DV18" s="20">
        <v>20</v>
      </c>
      <c r="DW18" s="20">
        <v>20</v>
      </c>
      <c r="DX18" s="20">
        <v>24</v>
      </c>
      <c r="DY18" s="20">
        <v>24</v>
      </c>
      <c r="DZ18" s="20"/>
      <c r="EA18" s="20"/>
      <c r="EB18" s="20"/>
      <c r="EC18" s="20"/>
      <c r="ED18" s="20"/>
      <c r="EE18" s="20"/>
      <c r="EF18" s="20"/>
      <c r="EG18" s="20"/>
      <c r="EH18" s="20"/>
      <c r="EI18" s="20"/>
      <c r="EJ18" s="20"/>
      <c r="EK18" s="20"/>
      <c r="EL18" s="20"/>
      <c r="EM18" s="20"/>
      <c r="EN18" s="20"/>
      <c r="EO18" s="20"/>
      <c r="EP18" s="20"/>
      <c r="EQ18" s="20"/>
      <c r="ER18" s="20"/>
      <c r="ES18" s="20"/>
      <c r="ET18" s="20"/>
      <c r="EU18" s="20"/>
      <c r="EV18" s="20"/>
      <c r="EW18" s="20"/>
      <c r="EX18" s="20"/>
      <c r="EY18" s="20"/>
      <c r="EZ18" s="20"/>
      <c r="FA18" s="20"/>
      <c r="FB18" s="20"/>
      <c r="FC18" s="20"/>
      <c r="FD18" s="20"/>
      <c r="FE18" s="20"/>
      <c r="FF18" s="20"/>
      <c r="FG18" s="20"/>
      <c r="FH18" s="20"/>
      <c r="FI18" s="20"/>
      <c r="FJ18" s="20"/>
      <c r="FK18" s="20"/>
      <c r="FL18" s="20"/>
      <c r="FM18" s="20"/>
      <c r="FN18" s="20"/>
      <c r="FO18" s="20"/>
      <c r="FP18" s="20"/>
      <c r="FQ18" s="20"/>
      <c r="FR18" s="20"/>
      <c r="FS18" s="20"/>
      <c r="FT18" s="20"/>
      <c r="FU18" s="20"/>
      <c r="FV18" s="20"/>
      <c r="FW18" s="20"/>
      <c r="FX18" s="20"/>
      <c r="FY18" s="20"/>
      <c r="FZ18" s="20"/>
      <c r="GA18" s="20"/>
      <c r="GC18" s="20"/>
      <c r="GD18" s="20"/>
      <c r="GE18" s="20"/>
      <c r="GF18" s="20"/>
      <c r="GG18" s="20"/>
      <c r="GH18" s="20"/>
      <c r="GI18" s="20"/>
      <c r="GJ18" s="20"/>
      <c r="GK18" s="20"/>
      <c r="GL18" s="20"/>
      <c r="GM18" s="20"/>
      <c r="GN18" s="20"/>
      <c r="GO18" s="20"/>
      <c r="GP18" s="20"/>
      <c r="GQ18" s="20"/>
      <c r="GR18" s="20"/>
      <c r="GS18" s="20"/>
      <c r="GT18" s="20"/>
      <c r="GU18" s="20"/>
      <c r="GV18" s="20"/>
      <c r="GW18" s="20"/>
      <c r="GX18" s="20"/>
      <c r="GY18" s="20"/>
      <c r="GZ18" s="20"/>
      <c r="HA18" s="20"/>
      <c r="HB18" s="20"/>
      <c r="HC18" s="20"/>
      <c r="HD18" s="20"/>
      <c r="HE18" s="20"/>
      <c r="HF18" s="20"/>
      <c r="HG18" s="20"/>
      <c r="HH18" s="20"/>
      <c r="HI18" s="20"/>
      <c r="HJ18" s="20"/>
      <c r="HK18" s="20"/>
      <c r="HL18" s="20"/>
      <c r="HM18" s="20"/>
      <c r="HN18" s="20"/>
      <c r="HO18" s="20"/>
      <c r="HP18" s="20"/>
      <c r="HQ18" s="20"/>
      <c r="HR18" s="20"/>
      <c r="HS18" s="20"/>
      <c r="HT18" s="20"/>
      <c r="HU18" s="20"/>
      <c r="HV18" s="20"/>
      <c r="HW18" s="20"/>
      <c r="HX18" s="20"/>
      <c r="HY18" s="20"/>
      <c r="HZ18" s="20"/>
      <c r="IA18" s="20"/>
      <c r="IB18" s="20"/>
      <c r="IC18" s="20"/>
      <c r="ID18" s="20"/>
      <c r="JI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,$JS$3:$JS$20,0),MATCH(A17,$JT$2:$KS$2,0),MATCH($W$2,$AH$22:$AH$47,0)))*C17</f>
        <v>0</v>
      </c>
      <c r="JJ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,$JS$3:$JS$20,0),MATCH(A17,$JT$2:$KS$2,0),MATCH($W$2,$AH$22:$AH$47,0)))*C17</f>
        <v>0</v>
      </c>
      <c r="JK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$4,$JS$3:$JS$20,0),MATCH(A17,$JT$2:$KS$2,0),MATCH($W$2,$AH$22:$AH$47,0)))*C17</f>
        <v>0</v>
      </c>
      <c r="JL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,$JS$3:$JS$20,0),MATCH(A17,$JT$2:$KS$2,0),MATCH($W$2,$AH$22:$AH$47,0)))*C17</f>
        <v>0</v>
      </c>
      <c r="JM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,$JS$3:$JS$20,0),MATCH(A17,$JT$2:$KS$2,0),MATCH($W$2,$AH$22:$AH$47,0)))*C17</f>
        <v>0</v>
      </c>
      <c r="JN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,$JS$3:$JS$20,0),MATCH(A17,$JT$2:$KS$2,0),MATCH($W$2,$AH$22:$AH$47,0)))*C17</f>
        <v>0</v>
      </c>
      <c r="JO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,$JS$3:$JS$20,0),MATCH(A17,$JT$2:$KS$2,0),MATCH($W$2,$AH$22:$AH$47,0)))*C17</f>
        <v>0</v>
      </c>
      <c r="JP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$9,$JS$3:$JS$20,0),MATCH(A17,$JT$2:$KS$2,0),MATCH($W$2,$AH$22:$AH$47,0)))*C17</f>
        <v>0</v>
      </c>
      <c r="JQ1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,$JS$3:$JS$20,0),MATCH(A17,$JT$2:$KS$2,0),MATCH($W$2,$AH$22:$AH$47,0)))*C17</f>
        <v>0</v>
      </c>
      <c r="JS18" s="26" t="s">
        <v>710</v>
      </c>
      <c r="JT18" s="20">
        <v>0</v>
      </c>
      <c r="JU18" s="20">
        <v>2</v>
      </c>
      <c r="JV18" s="20">
        <v>2</v>
      </c>
      <c r="JW18" s="20">
        <v>0</v>
      </c>
      <c r="JX18" s="20">
        <v>4</v>
      </c>
      <c r="JY18" s="20">
        <v>2</v>
      </c>
      <c r="JZ18" s="20">
        <v>0</v>
      </c>
      <c r="KA18" s="20">
        <v>4</v>
      </c>
      <c r="KB18" s="20">
        <v>2</v>
      </c>
      <c r="KC18" s="20">
        <v>0</v>
      </c>
      <c r="KD18" s="20">
        <v>4</v>
      </c>
      <c r="KE18" s="20">
        <v>2</v>
      </c>
      <c r="KF18" s="20">
        <v>0</v>
      </c>
      <c r="KG18" s="20">
        <v>4</v>
      </c>
      <c r="KH18" s="20">
        <v>2</v>
      </c>
      <c r="KI18" s="20">
        <v>2</v>
      </c>
      <c r="KJ18" s="20">
        <v>0</v>
      </c>
      <c r="KK18" s="20">
        <v>4</v>
      </c>
      <c r="KL18" s="20">
        <v>2</v>
      </c>
      <c r="KM18" s="20">
        <f>2*KI18</f>
        <v>4</v>
      </c>
      <c r="KN18" s="20">
        <v>4</v>
      </c>
      <c r="KO18" s="20">
        <v>2</v>
      </c>
      <c r="KP18" s="20">
        <v>0</v>
      </c>
      <c r="KQ18" s="20">
        <v>4</v>
      </c>
      <c r="KR18" s="20">
        <v>2</v>
      </c>
      <c r="KS18" s="20">
        <v>0</v>
      </c>
      <c r="KU18" s="26" t="s">
        <v>710</v>
      </c>
      <c r="KV18" s="20">
        <v>0</v>
      </c>
      <c r="KW18" s="20">
        <v>0</v>
      </c>
      <c r="KX18" s="20">
        <v>2</v>
      </c>
      <c r="KY18" s="20">
        <v>4</v>
      </c>
      <c r="KZ18" s="20">
        <v>2</v>
      </c>
      <c r="LA18" s="20">
        <v>4</v>
      </c>
      <c r="LB18" s="20">
        <v>2</v>
      </c>
      <c r="LC18" s="20">
        <v>4</v>
      </c>
      <c r="LD18" s="20">
        <v>2</v>
      </c>
      <c r="LE18" s="20">
        <v>4</v>
      </c>
      <c r="LF18" s="20">
        <v>2</v>
      </c>
      <c r="LG18" s="20">
        <v>4</v>
      </c>
      <c r="LH18" s="20">
        <v>2</v>
      </c>
      <c r="LI18" s="20">
        <v>4</v>
      </c>
      <c r="LJ18" s="20">
        <v>2</v>
      </c>
      <c r="LK18" s="20">
        <v>4</v>
      </c>
      <c r="LL18" s="20">
        <v>2</v>
      </c>
      <c r="LM18" s="20">
        <v>4</v>
      </c>
      <c r="LN18" s="20">
        <v>2</v>
      </c>
      <c r="LO18" s="20">
        <v>4</v>
      </c>
      <c r="LP18" s="20">
        <v>2</v>
      </c>
      <c r="LQ18" s="20">
        <v>4</v>
      </c>
      <c r="LR18" s="20">
        <v>2</v>
      </c>
      <c r="LS18" s="20">
        <v>4</v>
      </c>
      <c r="LT18" s="20">
        <v>2</v>
      </c>
      <c r="LU18" s="20">
        <v>4</v>
      </c>
      <c r="LW18" s="26" t="s">
        <v>710</v>
      </c>
      <c r="LX18" s="20">
        <v>0</v>
      </c>
      <c r="LY18" s="20">
        <v>2</v>
      </c>
      <c r="LZ18" s="20">
        <v>4</v>
      </c>
      <c r="MA18" s="20">
        <v>0</v>
      </c>
      <c r="MB18" s="20">
        <v>2</v>
      </c>
      <c r="MC18" s="20">
        <v>0</v>
      </c>
      <c r="MD18" s="20">
        <v>2</v>
      </c>
      <c r="ME18" s="20">
        <v>4</v>
      </c>
      <c r="MF18" s="20">
        <v>0</v>
      </c>
      <c r="MG18" s="20">
        <v>4</v>
      </c>
      <c r="MH18" s="20">
        <v>0</v>
      </c>
      <c r="MI18" s="20">
        <v>2</v>
      </c>
      <c r="MJ18" s="20">
        <v>0</v>
      </c>
      <c r="MK18" s="20">
        <v>2</v>
      </c>
      <c r="ML18" s="20">
        <v>4</v>
      </c>
      <c r="MM18" s="20">
        <v>0</v>
      </c>
      <c r="MN18" s="20">
        <v>4</v>
      </c>
      <c r="MO18" s="20">
        <v>0</v>
      </c>
      <c r="MP18" s="20">
        <v>2</v>
      </c>
      <c r="MQ18" s="20">
        <v>4</v>
      </c>
      <c r="MR18" s="20">
        <v>2</v>
      </c>
      <c r="MS18" s="20">
        <v>4</v>
      </c>
      <c r="MT18" s="20">
        <v>0</v>
      </c>
      <c r="MU18" s="20">
        <v>2</v>
      </c>
      <c r="MV18" s="20">
        <v>0</v>
      </c>
      <c r="MW18" s="20">
        <v>2</v>
      </c>
      <c r="MY18" s="21" t="s">
        <v>710</v>
      </c>
      <c r="MZ18" s="21">
        <v>0</v>
      </c>
      <c r="NA18" s="21">
        <v>0</v>
      </c>
      <c r="NB18" s="21">
        <v>2</v>
      </c>
      <c r="NC18" s="21">
        <v>4</v>
      </c>
      <c r="ND18" s="21">
        <v>0</v>
      </c>
      <c r="NE18" s="21">
        <v>2</v>
      </c>
      <c r="NF18" s="21">
        <v>4</v>
      </c>
      <c r="NG18" s="21">
        <v>4</v>
      </c>
      <c r="NH18" s="21">
        <v>0</v>
      </c>
      <c r="NI18" s="21">
        <v>2</v>
      </c>
      <c r="NJ18" s="21">
        <v>4</v>
      </c>
      <c r="NK18" s="21">
        <v>0</v>
      </c>
      <c r="NL18" s="21">
        <v>2</v>
      </c>
      <c r="NM18" s="21">
        <v>2</v>
      </c>
      <c r="NN18" s="21">
        <v>4</v>
      </c>
      <c r="NO18" s="21">
        <v>0</v>
      </c>
      <c r="NP18" s="21">
        <v>2</v>
      </c>
      <c r="NQ18" s="21">
        <v>4</v>
      </c>
      <c r="NR18" s="21">
        <v>0</v>
      </c>
      <c r="NS18" s="21">
        <v>2</v>
      </c>
      <c r="NT18" s="21">
        <v>2</v>
      </c>
      <c r="NU18" s="21">
        <v>4</v>
      </c>
      <c r="NV18" s="21">
        <v>0</v>
      </c>
      <c r="NW18" s="21">
        <v>2</v>
      </c>
      <c r="NX18" s="21">
        <v>4</v>
      </c>
      <c r="NY18" s="21">
        <v>0</v>
      </c>
      <c r="OB18" s="20">
        <f>((OB17*OC17)+((OB17-1)*20))+80</f>
        <v>63060</v>
      </c>
      <c r="OC18" s="26" t="s">
        <v>158</v>
      </c>
      <c r="OD18" s="26" t="s">
        <v>156</v>
      </c>
      <c r="OE18" s="26" t="s">
        <v>155</v>
      </c>
      <c r="OF18" s="20"/>
      <c r="OG18" s="20" t="s">
        <v>157</v>
      </c>
    </row>
    <row r="19" spans="1:397" x14ac:dyDescent="0.25">
      <c r="A19" s="4"/>
      <c r="B19" s="6"/>
      <c r="C19" s="4"/>
      <c r="D19" s="2"/>
      <c r="E19" s="4"/>
      <c r="F19" s="4"/>
      <c r="G19" s="4"/>
      <c r="H19" s="4"/>
      <c r="I19" s="4"/>
      <c r="J19" s="4"/>
      <c r="K19" s="4"/>
      <c r="L19" s="6" t="str">
        <f>IF(E6=$AC$1,INDEX(($AQ$28:$AQ$37,$AQ$42:$AQ$51,$AQ$56:$AQ$65),MATCH(I3,$AM$28:$AM$37,0),1,MATCH(E10,$AK$22:$AK$24,0)),IF(E6=$AC$2,INDEX(($AW$28:$AW$37,$AW$42:$AW$51,$AW$56:$AW$65),MATCH(I3,$AS$28:$AS$37,0),1,MATCH(E10,$AK$22:$AK$24,0)),0))</f>
        <v>NKWSM8A</v>
      </c>
      <c r="M19" s="14">
        <f>INDEX(cennik!$A$2:$O$529,MATCH($L19,cennik!$B$2:$B$522,0),MATCH(M$2,cennik!$A$1:$O$1,0))</f>
        <v>600909</v>
      </c>
      <c r="N19" s="14" t="str">
        <f>INDEX(cennik!$A$2:$O$529,MATCH($L19,cennik!$B$2:$B$522,0),MATCH(N$2,cennik!$A$1:$O$1,0))</f>
        <v>szt.</v>
      </c>
      <c r="O19" s="14">
        <f>O18</f>
        <v>0</v>
      </c>
      <c r="P19" s="22">
        <f>INDEX(cennik!$A$2:$O$529,MATCH($L19,cennik!$B$2:$B$522,0),MATCH(P$2,cennik!$A$1:$O$1,0))</f>
        <v>0.6</v>
      </c>
      <c r="Q19" s="22">
        <f t="shared" si="14"/>
        <v>0</v>
      </c>
      <c r="R19" s="23">
        <f t="shared" si="3"/>
        <v>0</v>
      </c>
      <c r="S19" s="22">
        <f t="shared" si="15"/>
        <v>0.6</v>
      </c>
      <c r="T19" s="22">
        <f t="shared" si="16"/>
        <v>0</v>
      </c>
      <c r="U19" s="22">
        <f>INDEX(cennik!$A$2:$O$529,MATCH($L19,cennik!$B$2:$B$522,0),MATCH(U$2,cennik!$A$1:$O$1,0))*O19</f>
        <v>0</v>
      </c>
      <c r="V19" s="20"/>
      <c r="W19" s="20"/>
      <c r="X19" s="25"/>
      <c r="Y19" s="20"/>
      <c r="Z19" s="20"/>
      <c r="AA19" s="20"/>
      <c r="AB19" s="20"/>
      <c r="AC19" s="356"/>
      <c r="AD19" s="20"/>
      <c r="AE19" s="187"/>
      <c r="AF19" s="20"/>
      <c r="AG19" s="20">
        <v>30</v>
      </c>
      <c r="AH19" s="20"/>
      <c r="AI19" s="20"/>
      <c r="AJ19" s="20"/>
      <c r="AK19" s="20"/>
      <c r="AL19" s="20"/>
      <c r="AM19" s="25"/>
      <c r="AN19" s="25"/>
      <c r="AO19" s="25"/>
      <c r="AP19" s="25"/>
      <c r="AQ19" s="25"/>
      <c r="AR19" s="25"/>
      <c r="AS19" s="20"/>
      <c r="AT19" s="20">
        <v>2200</v>
      </c>
      <c r="AU19" s="20">
        <v>1</v>
      </c>
      <c r="AV19" s="20">
        <f>AT19*AU19</f>
        <v>2200</v>
      </c>
      <c r="AW19" s="187">
        <v>46.73</v>
      </c>
      <c r="AX19" s="20">
        <f>AU19*AW19</f>
        <v>46.73</v>
      </c>
      <c r="AY19" s="20">
        <f>2*AU19</f>
        <v>2</v>
      </c>
      <c r="AZ19" s="20"/>
      <c r="BA19" s="20" t="s">
        <v>115</v>
      </c>
      <c r="BB19" s="20"/>
      <c r="BC19" s="20"/>
      <c r="BD19" s="20"/>
      <c r="BE19" s="20"/>
      <c r="BF19" s="20"/>
      <c r="BG19" s="20"/>
      <c r="BH19" s="20"/>
      <c r="BI19" s="20"/>
      <c r="BJ19" s="20"/>
      <c r="BK19" s="20"/>
      <c r="BL19" s="20"/>
      <c r="BM19" s="20"/>
      <c r="BN19" s="20"/>
      <c r="BO19" s="20"/>
      <c r="BP19" s="20"/>
      <c r="BQ19" s="20"/>
      <c r="BR19" s="20"/>
      <c r="BS19" s="20"/>
      <c r="BT19" s="20"/>
      <c r="BU19" s="20"/>
      <c r="BV19" s="20"/>
      <c r="BW19" s="20"/>
      <c r="BX19" s="20"/>
      <c r="BY19" s="20"/>
      <c r="BZ19" s="20"/>
      <c r="CA19" s="20"/>
      <c r="CB19" s="20"/>
      <c r="CC19" s="20"/>
      <c r="CD19" s="20"/>
      <c r="CE19" s="20"/>
      <c r="CF19" s="20"/>
      <c r="CG19" s="20"/>
      <c r="CH19" s="20"/>
      <c r="CI19" s="20"/>
      <c r="CJ19" s="20"/>
      <c r="CK19" s="20"/>
      <c r="CL19" s="20"/>
      <c r="CM19" s="20"/>
      <c r="CN19" s="20"/>
      <c r="CO19" s="20"/>
      <c r="CP19" s="20"/>
      <c r="CQ19" s="20"/>
      <c r="CR19" s="20"/>
      <c r="CS19" s="20"/>
      <c r="CT19" s="20"/>
      <c r="CU19" s="20"/>
      <c r="CV19" s="20"/>
      <c r="CW19" s="20"/>
      <c r="CX19" s="20"/>
      <c r="CY19" s="20"/>
      <c r="CZ19" s="20"/>
      <c r="DA19" s="54"/>
      <c r="DB19" s="54">
        <v>18</v>
      </c>
      <c r="DC19" s="54"/>
      <c r="DD19" s="26" t="s">
        <v>710</v>
      </c>
      <c r="DE19" s="20">
        <v>0</v>
      </c>
      <c r="DF19" s="20"/>
      <c r="DG19" s="20"/>
      <c r="DH19" s="20"/>
      <c r="DI19" s="20"/>
      <c r="DJ19" s="20"/>
      <c r="DK19" s="20"/>
      <c r="DL19" s="20"/>
      <c r="DM19" s="20"/>
      <c r="DN19" s="20"/>
      <c r="DO19" s="20"/>
      <c r="DP19" s="20"/>
      <c r="DQ19" s="20"/>
      <c r="DR19" s="20"/>
      <c r="DS19" s="20"/>
      <c r="DT19" s="20"/>
      <c r="DU19" s="20"/>
      <c r="DV19" s="20"/>
      <c r="DW19" s="20"/>
      <c r="DX19" s="20"/>
      <c r="DY19" s="20"/>
      <c r="DZ19" s="20"/>
      <c r="EA19" s="20"/>
      <c r="EB19" s="20" t="s">
        <v>112</v>
      </c>
      <c r="EC19" s="20"/>
      <c r="ED19" s="20"/>
      <c r="EE19" s="20"/>
      <c r="EF19" s="20"/>
      <c r="EG19" s="20"/>
      <c r="EH19" s="20"/>
      <c r="EI19" s="20"/>
      <c r="EJ19" s="20"/>
      <c r="EK19" s="20"/>
      <c r="EL19" s="20"/>
      <c r="EM19" s="20"/>
      <c r="EN19" s="20"/>
      <c r="EO19" s="20"/>
      <c r="EP19" s="20"/>
      <c r="EQ19" s="20"/>
      <c r="ER19" s="20"/>
      <c r="ES19" s="20"/>
      <c r="ET19" s="20"/>
      <c r="EU19" s="20"/>
      <c r="EV19" s="20"/>
      <c r="EW19" s="20"/>
      <c r="EX19" s="20"/>
      <c r="EY19" s="20"/>
      <c r="EZ19" s="20"/>
      <c r="FA19" s="20"/>
      <c r="FB19" s="20"/>
      <c r="FC19" s="20"/>
      <c r="FD19" s="20"/>
      <c r="FE19" s="20"/>
      <c r="FF19" s="20"/>
      <c r="FG19" s="20"/>
      <c r="FH19" s="20"/>
      <c r="FI19" s="20"/>
      <c r="FJ19" s="20"/>
      <c r="FK19" s="20"/>
      <c r="FL19" s="20"/>
      <c r="FM19" s="20"/>
      <c r="FN19" s="20"/>
      <c r="FO19" s="20"/>
      <c r="FP19" s="20"/>
      <c r="FQ19" s="20"/>
      <c r="FR19" s="20"/>
      <c r="FS19" s="20"/>
      <c r="FT19" s="20"/>
      <c r="FU19" s="20"/>
      <c r="FV19" s="20"/>
      <c r="FW19" s="20"/>
      <c r="FX19" s="20"/>
      <c r="FY19" s="20"/>
      <c r="FZ19" s="20"/>
      <c r="GA19" s="20"/>
      <c r="GC19" s="20"/>
      <c r="GD19" s="20"/>
      <c r="GE19" s="20" t="s">
        <v>473</v>
      </c>
      <c r="GF19" s="20"/>
      <c r="GG19" s="20"/>
      <c r="GH19" s="20"/>
      <c r="GI19" s="20"/>
      <c r="GJ19" s="20"/>
      <c r="GK19" s="20"/>
      <c r="GL19" s="20"/>
      <c r="GM19" s="20"/>
      <c r="GN19" s="20"/>
      <c r="GO19" s="20"/>
      <c r="GP19" s="20"/>
      <c r="GQ19" s="20"/>
      <c r="GR19" s="20"/>
      <c r="GS19" s="20"/>
      <c r="GT19" s="20"/>
      <c r="GU19" s="20"/>
      <c r="GV19" s="20"/>
      <c r="GW19" s="20"/>
      <c r="GX19" s="20"/>
      <c r="GY19" s="20"/>
      <c r="GZ19" s="20"/>
      <c r="HA19" s="20"/>
      <c r="HB19" s="20"/>
      <c r="HC19" s="20"/>
      <c r="HD19" s="20"/>
      <c r="HE19" s="20"/>
      <c r="HF19" s="20"/>
      <c r="HG19" s="20"/>
      <c r="HH19" s="20"/>
      <c r="HI19" s="20"/>
      <c r="HJ19" s="20"/>
      <c r="HK19" s="20"/>
      <c r="HL19" s="20"/>
      <c r="HM19" s="20"/>
      <c r="HN19" s="20"/>
      <c r="HO19" s="20"/>
      <c r="HP19" s="20"/>
      <c r="HQ19" s="20"/>
      <c r="HR19" s="20"/>
      <c r="HS19" s="20"/>
      <c r="HT19" s="20"/>
      <c r="HU19" s="20"/>
      <c r="HV19" s="20"/>
      <c r="HW19" s="20"/>
      <c r="HX19" s="20"/>
      <c r="HY19" s="20"/>
      <c r="HZ19" s="20"/>
      <c r="IA19" s="20"/>
      <c r="IB19" s="20"/>
      <c r="IC19" s="20"/>
      <c r="ID19" s="20"/>
      <c r="IF19" s="21" t="s">
        <v>764</v>
      </c>
      <c r="JS19" s="26" t="s">
        <v>711</v>
      </c>
      <c r="JT19" s="20">
        <v>0</v>
      </c>
      <c r="JU19" s="20">
        <v>0</v>
      </c>
      <c r="JV19" s="20">
        <v>0</v>
      </c>
      <c r="JW19" s="20">
        <v>2</v>
      </c>
      <c r="JX19" s="20">
        <v>0</v>
      </c>
      <c r="JY19" s="20">
        <v>2</v>
      </c>
      <c r="JZ19" s="20">
        <v>4</v>
      </c>
      <c r="KA19" s="20">
        <v>2</v>
      </c>
      <c r="KB19" s="20">
        <v>4</v>
      </c>
      <c r="KC19" s="20">
        <v>6</v>
      </c>
      <c r="KD19" s="20">
        <v>4</v>
      </c>
      <c r="KE19" s="20">
        <v>6</v>
      </c>
      <c r="KF19" s="20">
        <v>8</v>
      </c>
      <c r="KG19" s="20">
        <v>6</v>
      </c>
      <c r="KH19" s="20">
        <v>8</v>
      </c>
      <c r="KI19" s="20">
        <v>8</v>
      </c>
      <c r="KJ19" s="20">
        <v>10</v>
      </c>
      <c r="KK19" s="20">
        <v>8</v>
      </c>
      <c r="KL19" s="20">
        <v>10</v>
      </c>
      <c r="KM19" s="20">
        <f>2*KI19</f>
        <v>16</v>
      </c>
      <c r="KN19" s="20">
        <v>10</v>
      </c>
      <c r="KO19" s="20">
        <v>12</v>
      </c>
      <c r="KP19" s="20">
        <v>14</v>
      </c>
      <c r="KQ19" s="20">
        <v>12</v>
      </c>
      <c r="KR19" s="20">
        <v>14</v>
      </c>
      <c r="KS19" s="20">
        <v>16</v>
      </c>
      <c r="KU19" s="26" t="s">
        <v>711</v>
      </c>
      <c r="KV19" s="20">
        <v>0</v>
      </c>
      <c r="KW19" s="20">
        <v>0</v>
      </c>
      <c r="KX19" s="20">
        <v>0</v>
      </c>
      <c r="KY19" s="20">
        <v>0</v>
      </c>
      <c r="KZ19" s="20">
        <v>2</v>
      </c>
      <c r="LA19" s="20">
        <v>2</v>
      </c>
      <c r="LB19" s="20">
        <v>4</v>
      </c>
      <c r="LC19" s="20">
        <v>4</v>
      </c>
      <c r="LD19" s="20">
        <v>6</v>
      </c>
      <c r="LE19" s="20">
        <v>6</v>
      </c>
      <c r="LF19" s="20">
        <v>8</v>
      </c>
      <c r="LG19" s="20">
        <v>8</v>
      </c>
      <c r="LH19" s="20">
        <v>10</v>
      </c>
      <c r="LI19" s="20">
        <v>10</v>
      </c>
      <c r="LJ19" s="20">
        <v>12</v>
      </c>
      <c r="LK19" s="20">
        <v>12</v>
      </c>
      <c r="LL19" s="20">
        <v>14</v>
      </c>
      <c r="LM19" s="20">
        <v>14</v>
      </c>
      <c r="LN19" s="20">
        <v>16</v>
      </c>
      <c r="LO19" s="20">
        <v>16</v>
      </c>
      <c r="LP19" s="20">
        <v>18</v>
      </c>
      <c r="LQ19" s="20">
        <v>18</v>
      </c>
      <c r="LR19" s="20">
        <v>20</v>
      </c>
      <c r="LS19" s="20">
        <v>20</v>
      </c>
      <c r="LT19" s="20">
        <v>22</v>
      </c>
      <c r="LU19" s="20">
        <v>22</v>
      </c>
      <c r="LW19" s="26" t="s">
        <v>711</v>
      </c>
      <c r="LX19" s="20">
        <v>0</v>
      </c>
      <c r="LY19" s="20">
        <v>0</v>
      </c>
      <c r="LZ19" s="20">
        <v>0</v>
      </c>
      <c r="MA19" s="20">
        <v>4</v>
      </c>
      <c r="MB19" s="20">
        <v>4</v>
      </c>
      <c r="MC19" s="20">
        <v>6</v>
      </c>
      <c r="MD19" s="20">
        <v>6</v>
      </c>
      <c r="ME19" s="20">
        <v>6</v>
      </c>
      <c r="MF19" s="20">
        <v>10</v>
      </c>
      <c r="MG19" s="20">
        <v>8</v>
      </c>
      <c r="MH19" s="20">
        <v>12</v>
      </c>
      <c r="MI19" s="20">
        <v>12</v>
      </c>
      <c r="MJ19" s="20">
        <v>14</v>
      </c>
      <c r="MK19" s="20">
        <v>14</v>
      </c>
      <c r="ML19" s="20">
        <v>14</v>
      </c>
      <c r="MM19" s="20">
        <v>18</v>
      </c>
      <c r="MN19" s="20">
        <v>16</v>
      </c>
      <c r="MO19" s="20">
        <v>20</v>
      </c>
      <c r="MP19" s="20">
        <v>20</v>
      </c>
      <c r="MQ19" s="20">
        <v>20</v>
      </c>
      <c r="MR19" s="20">
        <v>22</v>
      </c>
      <c r="MS19" s="20">
        <v>22</v>
      </c>
      <c r="MT19" s="20">
        <v>26</v>
      </c>
      <c r="MU19" s="20">
        <v>26</v>
      </c>
      <c r="MV19" s="20">
        <v>28</v>
      </c>
      <c r="MW19" s="20">
        <v>28</v>
      </c>
      <c r="MY19" s="21" t="s">
        <v>711</v>
      </c>
      <c r="MZ19" s="21">
        <v>0</v>
      </c>
      <c r="NA19" s="21">
        <v>2</v>
      </c>
      <c r="NB19" s="21">
        <v>2</v>
      </c>
      <c r="NC19" s="21">
        <v>2</v>
      </c>
      <c r="ND19" s="21">
        <v>6</v>
      </c>
      <c r="NE19" s="21">
        <v>6</v>
      </c>
      <c r="NF19" s="21">
        <v>6</v>
      </c>
      <c r="NG19" s="21">
        <v>8</v>
      </c>
      <c r="NH19" s="21">
        <v>12</v>
      </c>
      <c r="NI19" s="21">
        <v>12</v>
      </c>
      <c r="NJ19" s="21">
        <v>12</v>
      </c>
      <c r="NK19" s="21">
        <v>16</v>
      </c>
      <c r="NL19" s="21">
        <v>16</v>
      </c>
      <c r="NM19" s="21">
        <v>18</v>
      </c>
      <c r="NN19" s="21">
        <v>18</v>
      </c>
      <c r="NO19" s="21">
        <v>22</v>
      </c>
      <c r="NP19" s="21">
        <v>22</v>
      </c>
      <c r="NQ19" s="21">
        <v>22</v>
      </c>
      <c r="NR19" s="21">
        <v>26</v>
      </c>
      <c r="NS19" s="21">
        <v>26</v>
      </c>
      <c r="NT19" s="21">
        <v>28</v>
      </c>
      <c r="NU19" s="21">
        <v>28</v>
      </c>
      <c r="NV19" s="21">
        <v>32</v>
      </c>
      <c r="NW19" s="21">
        <v>32</v>
      </c>
      <c r="NX19" s="21">
        <v>32</v>
      </c>
      <c r="NY19" s="21">
        <v>36</v>
      </c>
      <c r="OB19" s="20">
        <v>1150</v>
      </c>
      <c r="OC19" s="20">
        <v>0</v>
      </c>
      <c r="OD19" s="20">
        <f t="shared" ref="OD19:OD25" si="21">OB19*OC19</f>
        <v>0</v>
      </c>
      <c r="OE19" s="187">
        <f>OC30</f>
        <v>32</v>
      </c>
      <c r="OF19" s="20">
        <f t="shared" ref="OF19:OF24" si="22">OC19*OE19</f>
        <v>0</v>
      </c>
      <c r="OG19" s="20">
        <f t="shared" ref="OG19:OG25" si="23">2*OC19</f>
        <v>0</v>
      </c>
    </row>
    <row r="20" spans="1:397" x14ac:dyDescent="0.25">
      <c r="A20" s="4"/>
      <c r="B20" s="6"/>
      <c r="C20" s="4"/>
      <c r="D20" s="4"/>
      <c r="E20" s="4"/>
      <c r="F20" s="4"/>
      <c r="G20" s="4"/>
      <c r="H20" s="4"/>
      <c r="I20" s="4"/>
      <c r="J20" s="4"/>
      <c r="K20" s="4"/>
      <c r="L20" s="6" t="str">
        <f>IF(L17="PUFK","PUPK",IF(L17="PUFKL","PUPK","PUP"))</f>
        <v>PUP</v>
      </c>
      <c r="M20" s="14">
        <f>INDEX(cennik!$A$2:$O$529,MATCH($L20,cennik!$B$2:$B$522,0),MATCH(M$2,cennik!$A$1:$O$1,0))</f>
        <v>897303</v>
      </c>
      <c r="N20" s="14" t="str">
        <f>INDEX(cennik!$A$2:$O$529,MATCH($L20,cennik!$B$2:$B$522,0),MATCH(N$2,cennik!$A$1:$O$1,0))</f>
        <v>szt.</v>
      </c>
      <c r="O20" s="14">
        <f>SUM((IF(MOD(A2,2)=0,A2/2,IF(MOD(A2,2)=1,FLOOR(A2/2,1)+1,0))*C2),(IF(MOD(A3,2)=0,A3/2,IF(MOD(A3,2)=1,FLOOR(A3/2,1)+1,0))*C3),(IF(MOD(A4,2)=0,A4/2,IF(MOD(A4,2)=1,FLOOR(A4/2,1)+1,0))*C4),(IF(MOD(A5,2)=0,A5/2,IF(MOD(A5,2)=1,FLOOR(A5/2,1)+1,0))*C5),(IF(MOD(A6,2)=0,A6/2,IF(MOD(A6,2)=1,FLOOR(A6/2,1)+1,0))*C6),(IF(MOD(A7,2)=0,A7/2,IF(MOD(A7,2)=1,FLOOR(A7/2,1)+1,0))*C7),(IF(MOD(A8,2)=0,A8/2,IF(MOD(A8,2)=1,FLOOR(A8/2,1)+1,0))*C8),(IF(MOD(A9,2)=0,A9/2,IF(MOD(A9,2)=1,FLOOR(A9/2,1)+1,0))*C9),(IF(MOD(A10,2)=0,A10/2,IF(MOD(A10,2)=1,FLOOR(A10/2,1)+1,0))*C10),(IF(MOD(A11,2)=0,A11/2,IF(MOD(A11,2)=1,FLOOR(A11/2,1)+1,0))*C11),(IF(MOD(A12,2)=0,A12/2,IF(MOD(A12,2)=1,FLOOR(A12/2,1)+1,0))*C12),(IF(MOD(A13,2)=0,A13/2,IF(MOD(A13,2)=1,FLOOR(A13/2,1)+1,0))*C13),(IF(MOD(A14,2)=0,A14/2,IF(MOD(A14,2)=1,FLOOR(A14/2,1)+1,0))*C14),(IF(MOD(A15,2)=0,A15/2,IF(MOD(A15,2)=1,FLOOR(A15/2,1)+1,0))*C15),(IF(MOD(A16,2)=0,A16/2,IF(MOD(A16,2)=1,FLOOR(A16/2,1)+1,0))*C16),(IF(MOD(A17,2)=0,A17/2,IF(MOD(A17,2)=1,FLOOR(A17/2,1)+1,0))*C17))</f>
        <v>0</v>
      </c>
      <c r="P20" s="22">
        <f>INDEX(cennik!$A$2:$O$529,MATCH($L20,cennik!$B$2:$B$522,0),MATCH(P$2,cennik!$A$1:$O$1,0))</f>
        <v>2.4</v>
      </c>
      <c r="Q20" s="22">
        <f t="shared" si="14"/>
        <v>0</v>
      </c>
      <c r="R20" s="23">
        <f t="shared" si="3"/>
        <v>0</v>
      </c>
      <c r="S20" s="22">
        <f t="shared" si="15"/>
        <v>2.4</v>
      </c>
      <c r="T20" s="22">
        <f t="shared" si="16"/>
        <v>0</v>
      </c>
      <c r="U20" s="22">
        <f>INDEX(cennik!$A$2:$O$529,MATCH($L20,cennik!$B$2:$B$522,0),MATCH(U$2,cennik!$A$1:$O$1,0))*O20</f>
        <v>0</v>
      </c>
      <c r="V20" s="20"/>
      <c r="W20" s="20"/>
      <c r="X20" s="20"/>
      <c r="Y20" s="20"/>
      <c r="Z20" s="20"/>
      <c r="AA20" s="20"/>
      <c r="AB20" s="20"/>
      <c r="AC20" s="356"/>
      <c r="AD20" s="20"/>
      <c r="AE20" s="187"/>
      <c r="AF20" s="20"/>
      <c r="AG20" s="20" t="s">
        <v>140</v>
      </c>
      <c r="AH20" s="20" t="s">
        <v>130</v>
      </c>
      <c r="AI20" s="20"/>
      <c r="AJ20" s="20"/>
      <c r="AK20" s="20"/>
      <c r="AL20" s="20"/>
      <c r="AM20" s="20"/>
      <c r="AN20" s="20"/>
      <c r="AO20" s="20"/>
      <c r="AP20" s="20"/>
      <c r="AQ20" s="20"/>
      <c r="AR20" s="20"/>
      <c r="AS20" s="20"/>
      <c r="AT20" s="20">
        <v>3300</v>
      </c>
      <c r="AU20" s="20">
        <v>15</v>
      </c>
      <c r="AV20" s="20">
        <f>AT20*AU20</f>
        <v>49500</v>
      </c>
      <c r="AW20" s="187">
        <v>70.11</v>
      </c>
      <c r="AX20" s="20">
        <f>AU20*AW20</f>
        <v>1051.6500000000001</v>
      </c>
      <c r="AY20" s="20">
        <f>2*AU20</f>
        <v>30</v>
      </c>
      <c r="AZ20" s="20"/>
      <c r="BA20" s="20"/>
      <c r="BB20" s="20">
        <v>0</v>
      </c>
      <c r="BC20" s="20">
        <v>1</v>
      </c>
      <c r="BD20" s="20">
        <v>2</v>
      </c>
      <c r="BE20" s="20">
        <v>3</v>
      </c>
      <c r="BF20" s="20">
        <v>4</v>
      </c>
      <c r="BG20" s="20">
        <v>5</v>
      </c>
      <c r="BH20" s="20">
        <v>6</v>
      </c>
      <c r="BI20" s="20">
        <v>7</v>
      </c>
      <c r="BJ20" s="20">
        <v>8</v>
      </c>
      <c r="BK20" s="20">
        <v>9</v>
      </c>
      <c r="BL20" s="20">
        <v>10</v>
      </c>
      <c r="BM20" s="20">
        <v>11</v>
      </c>
      <c r="BN20" s="20">
        <v>12</v>
      </c>
      <c r="BO20" s="20">
        <v>13</v>
      </c>
      <c r="BP20" s="20">
        <v>14</v>
      </c>
      <c r="BQ20" s="20">
        <v>15</v>
      </c>
      <c r="BR20" s="20">
        <v>16</v>
      </c>
      <c r="BS20" s="20">
        <v>17</v>
      </c>
      <c r="BT20" s="20">
        <v>18</v>
      </c>
      <c r="BU20" s="20">
        <v>19</v>
      </c>
      <c r="BV20" s="20">
        <v>20</v>
      </c>
      <c r="BW20" s="20">
        <v>21</v>
      </c>
      <c r="BX20" s="20">
        <v>22</v>
      </c>
      <c r="BY20" s="20">
        <v>23</v>
      </c>
      <c r="BZ20" s="20">
        <v>24</v>
      </c>
      <c r="CA20" s="20">
        <v>25</v>
      </c>
      <c r="CB20" s="20">
        <v>26</v>
      </c>
      <c r="CC20" s="20">
        <v>27</v>
      </c>
      <c r="CD20" s="20">
        <v>28</v>
      </c>
      <c r="CE20" s="20">
        <v>29</v>
      </c>
      <c r="CF20" s="20">
        <v>30</v>
      </c>
      <c r="CG20" s="20">
        <v>31</v>
      </c>
      <c r="CH20" s="20">
        <v>32</v>
      </c>
      <c r="CI20" s="20">
        <v>33</v>
      </c>
      <c r="CJ20" s="20">
        <v>34</v>
      </c>
      <c r="CK20" s="20">
        <v>35</v>
      </c>
      <c r="CL20" s="20">
        <v>36</v>
      </c>
      <c r="CM20" s="20">
        <v>37</v>
      </c>
      <c r="CN20" s="20">
        <v>38</v>
      </c>
      <c r="CO20" s="20">
        <v>39</v>
      </c>
      <c r="CP20" s="20">
        <v>40</v>
      </c>
      <c r="CQ20" s="20">
        <v>41</v>
      </c>
      <c r="CR20" s="20">
        <v>42</v>
      </c>
      <c r="CS20" s="20">
        <v>43</v>
      </c>
      <c r="CT20" s="20">
        <v>44</v>
      </c>
      <c r="CU20" s="20">
        <v>45</v>
      </c>
      <c r="CV20" s="20">
        <v>46</v>
      </c>
      <c r="CW20" s="20">
        <v>47</v>
      </c>
      <c r="CX20" s="20">
        <v>48</v>
      </c>
      <c r="CY20" s="20">
        <v>49</v>
      </c>
      <c r="CZ20" s="20">
        <v>50</v>
      </c>
      <c r="DA20" s="54"/>
      <c r="DB20" s="54">
        <v>19</v>
      </c>
      <c r="DC20" s="54"/>
      <c r="DD20" s="26" t="s">
        <v>711</v>
      </c>
      <c r="DE20" s="20">
        <v>0</v>
      </c>
      <c r="DF20" s="20"/>
      <c r="DG20" s="20"/>
      <c r="DH20" s="20"/>
      <c r="DI20" s="20"/>
      <c r="DJ20" s="20"/>
      <c r="DK20" s="20"/>
      <c r="DL20" s="20"/>
      <c r="DM20" s="20"/>
      <c r="DN20" s="20"/>
      <c r="DO20" s="20"/>
      <c r="DP20" s="20"/>
      <c r="DQ20" s="20"/>
      <c r="DR20" s="20"/>
      <c r="DS20" s="20"/>
      <c r="DT20" s="20"/>
      <c r="DU20" s="20"/>
      <c r="DV20" s="20"/>
      <c r="DW20" s="20"/>
      <c r="DX20" s="20"/>
      <c r="DY20" s="20"/>
      <c r="DZ20" s="20"/>
      <c r="EA20" s="20"/>
      <c r="EB20" s="20"/>
      <c r="EC20" s="20">
        <v>0</v>
      </c>
      <c r="ED20" s="20">
        <v>1</v>
      </c>
      <c r="EE20" s="20">
        <v>2</v>
      </c>
      <c r="EF20" s="20">
        <v>3</v>
      </c>
      <c r="EG20" s="20">
        <v>4</v>
      </c>
      <c r="EH20" s="20">
        <v>5</v>
      </c>
      <c r="EI20" s="20">
        <v>6</v>
      </c>
      <c r="EJ20" s="20">
        <v>7</v>
      </c>
      <c r="EK20" s="20">
        <v>8</v>
      </c>
      <c r="EL20" s="20">
        <v>9</v>
      </c>
      <c r="EM20" s="20">
        <v>10</v>
      </c>
      <c r="EN20" s="20">
        <v>11</v>
      </c>
      <c r="EO20" s="20">
        <v>12</v>
      </c>
      <c r="EP20" s="20">
        <v>13</v>
      </c>
      <c r="EQ20" s="20">
        <v>14</v>
      </c>
      <c r="ER20" s="20">
        <v>15</v>
      </c>
      <c r="ES20" s="20">
        <v>16</v>
      </c>
      <c r="ET20" s="20">
        <v>17</v>
      </c>
      <c r="EU20" s="20">
        <v>18</v>
      </c>
      <c r="EV20" s="20">
        <v>19</v>
      </c>
      <c r="EW20" s="20">
        <v>20</v>
      </c>
      <c r="EX20" s="20">
        <v>21</v>
      </c>
      <c r="EY20" s="20">
        <v>22</v>
      </c>
      <c r="EZ20" s="20">
        <v>23</v>
      </c>
      <c r="FA20" s="20">
        <v>24</v>
      </c>
      <c r="FB20" s="20">
        <v>25</v>
      </c>
      <c r="FC20" s="20">
        <v>26</v>
      </c>
      <c r="FD20" s="20">
        <v>27</v>
      </c>
      <c r="FE20" s="20">
        <v>28</v>
      </c>
      <c r="FF20" s="20">
        <v>29</v>
      </c>
      <c r="FG20" s="20">
        <v>30</v>
      </c>
      <c r="FH20" s="20">
        <v>31</v>
      </c>
      <c r="FI20" s="20">
        <v>32</v>
      </c>
      <c r="FJ20" s="20">
        <v>33</v>
      </c>
      <c r="FK20" s="20">
        <v>34</v>
      </c>
      <c r="FL20" s="20">
        <v>35</v>
      </c>
      <c r="FM20" s="20">
        <v>36</v>
      </c>
      <c r="FN20" s="20">
        <v>37</v>
      </c>
      <c r="FO20" s="20">
        <v>38</v>
      </c>
      <c r="FP20" s="20">
        <v>39</v>
      </c>
      <c r="FQ20" s="20">
        <v>40</v>
      </c>
      <c r="FR20" s="20">
        <v>41</v>
      </c>
      <c r="FS20" s="20">
        <v>42</v>
      </c>
      <c r="FT20" s="20">
        <v>43</v>
      </c>
      <c r="FU20" s="20">
        <v>44</v>
      </c>
      <c r="FV20" s="20">
        <v>45</v>
      </c>
      <c r="FW20" s="20">
        <v>46</v>
      </c>
      <c r="FX20" s="20">
        <v>47</v>
      </c>
      <c r="FY20" s="20">
        <v>48</v>
      </c>
      <c r="FZ20" s="20">
        <v>49</v>
      </c>
      <c r="GA20" s="20">
        <v>50</v>
      </c>
      <c r="GC20" s="20"/>
      <c r="GD20" s="20"/>
      <c r="GE20" s="20"/>
      <c r="GF20" s="20">
        <v>0</v>
      </c>
      <c r="GG20" s="20">
        <v>1</v>
      </c>
      <c r="GH20" s="20">
        <v>2</v>
      </c>
      <c r="GI20" s="20">
        <v>3</v>
      </c>
      <c r="GJ20" s="20">
        <v>4</v>
      </c>
      <c r="GK20" s="20">
        <v>5</v>
      </c>
      <c r="GL20" s="20">
        <v>6</v>
      </c>
      <c r="GM20" s="20">
        <v>7</v>
      </c>
      <c r="GN20" s="20">
        <v>8</v>
      </c>
      <c r="GO20" s="20">
        <v>9</v>
      </c>
      <c r="GP20" s="20">
        <v>10</v>
      </c>
      <c r="GQ20" s="20">
        <v>11</v>
      </c>
      <c r="GR20" s="20">
        <v>12</v>
      </c>
      <c r="GS20" s="20">
        <v>13</v>
      </c>
      <c r="GT20" s="20">
        <v>14</v>
      </c>
      <c r="GU20" s="20">
        <v>15</v>
      </c>
      <c r="GV20" s="20">
        <v>16</v>
      </c>
      <c r="GW20" s="20">
        <v>17</v>
      </c>
      <c r="GX20" s="20">
        <v>18</v>
      </c>
      <c r="GY20" s="20">
        <v>19</v>
      </c>
      <c r="GZ20" s="20">
        <v>20</v>
      </c>
      <c r="HA20" s="20">
        <v>21</v>
      </c>
      <c r="HB20" s="20">
        <v>22</v>
      </c>
      <c r="HC20" s="20">
        <v>23</v>
      </c>
      <c r="HD20" s="20">
        <v>24</v>
      </c>
      <c r="HE20" s="20">
        <v>25</v>
      </c>
      <c r="HF20" s="20">
        <v>26</v>
      </c>
      <c r="HG20" s="20">
        <v>27</v>
      </c>
      <c r="HH20" s="20">
        <v>28</v>
      </c>
      <c r="HI20" s="20">
        <v>29</v>
      </c>
      <c r="HJ20" s="20">
        <v>30</v>
      </c>
      <c r="HK20" s="20">
        <v>31</v>
      </c>
      <c r="HL20" s="20">
        <v>32</v>
      </c>
      <c r="HM20" s="20">
        <v>33</v>
      </c>
      <c r="HN20" s="20">
        <v>34</v>
      </c>
      <c r="HO20" s="20">
        <v>35</v>
      </c>
      <c r="HP20" s="20">
        <v>36</v>
      </c>
      <c r="HQ20" s="20">
        <v>37</v>
      </c>
      <c r="HR20" s="20">
        <v>38</v>
      </c>
      <c r="HS20" s="20">
        <v>39</v>
      </c>
      <c r="HT20" s="20">
        <v>40</v>
      </c>
      <c r="HU20" s="20">
        <v>41</v>
      </c>
      <c r="HV20" s="20">
        <v>42</v>
      </c>
      <c r="HW20" s="20">
        <v>43</v>
      </c>
      <c r="HX20" s="20">
        <v>44</v>
      </c>
      <c r="HY20" s="20">
        <v>45</v>
      </c>
      <c r="HZ20" s="20">
        <v>46</v>
      </c>
      <c r="IA20" s="20">
        <v>47</v>
      </c>
      <c r="IB20" s="20">
        <v>48</v>
      </c>
      <c r="IC20" s="20">
        <v>49</v>
      </c>
      <c r="ID20" s="20">
        <v>50</v>
      </c>
      <c r="IG20" s="21">
        <v>0</v>
      </c>
      <c r="IH20" s="21">
        <v>1</v>
      </c>
      <c r="II20" s="21">
        <v>2</v>
      </c>
      <c r="IJ20" s="21">
        <v>3</v>
      </c>
      <c r="IK20" s="21">
        <v>4</v>
      </c>
      <c r="IL20" s="21">
        <v>5</v>
      </c>
      <c r="IM20" s="21">
        <v>6</v>
      </c>
      <c r="IN20" s="21">
        <v>7</v>
      </c>
      <c r="IO20" s="21">
        <v>8</v>
      </c>
      <c r="IP20" s="21">
        <v>9</v>
      </c>
      <c r="IQ20" s="21">
        <v>10</v>
      </c>
      <c r="IR20" s="21">
        <v>11</v>
      </c>
      <c r="IS20" s="21">
        <v>12</v>
      </c>
      <c r="IT20" s="21">
        <v>13</v>
      </c>
      <c r="IU20" s="21">
        <v>14</v>
      </c>
      <c r="IV20" s="21">
        <v>15</v>
      </c>
      <c r="IW20" s="21">
        <v>16</v>
      </c>
      <c r="IX20" s="21">
        <v>17</v>
      </c>
      <c r="IY20" s="21">
        <v>18</v>
      </c>
      <c r="IZ20" s="21">
        <v>19</v>
      </c>
      <c r="JA20" s="21">
        <v>20</v>
      </c>
      <c r="JB20" s="21">
        <v>21</v>
      </c>
      <c r="JC20" s="21">
        <v>22</v>
      </c>
      <c r="JD20" s="21">
        <v>23</v>
      </c>
      <c r="JE20" s="21">
        <v>24</v>
      </c>
      <c r="JF20" s="21">
        <v>25</v>
      </c>
      <c r="JS20" s="26" t="s">
        <v>712</v>
      </c>
      <c r="JT20" s="20">
        <v>0</v>
      </c>
      <c r="JU20" s="20">
        <v>0</v>
      </c>
      <c r="JV20" s="20">
        <v>0</v>
      </c>
      <c r="JW20" s="20">
        <v>0</v>
      </c>
      <c r="JX20" s="20">
        <v>2</v>
      </c>
      <c r="JY20" s="20">
        <v>2</v>
      </c>
      <c r="JZ20" s="20">
        <v>2</v>
      </c>
      <c r="KA20" s="20">
        <v>4</v>
      </c>
      <c r="KB20" s="20">
        <v>4</v>
      </c>
      <c r="KC20" s="20">
        <v>4</v>
      </c>
      <c r="KD20" s="20">
        <v>6</v>
      </c>
      <c r="KE20" s="20">
        <v>6</v>
      </c>
      <c r="KF20" s="20">
        <v>6</v>
      </c>
      <c r="KG20" s="20">
        <v>8</v>
      </c>
      <c r="KH20" s="20">
        <v>8</v>
      </c>
      <c r="KI20" s="20">
        <v>8</v>
      </c>
      <c r="KJ20" s="20">
        <v>8</v>
      </c>
      <c r="KK20" s="20">
        <v>10</v>
      </c>
      <c r="KL20" s="20">
        <v>10</v>
      </c>
      <c r="KM20" s="20">
        <f>KI20</f>
        <v>8</v>
      </c>
      <c r="KN20" s="20">
        <v>12</v>
      </c>
      <c r="KO20" s="20">
        <v>12</v>
      </c>
      <c r="KP20" s="20">
        <v>12</v>
      </c>
      <c r="KQ20" s="20">
        <v>14</v>
      </c>
      <c r="KR20" s="20">
        <v>14</v>
      </c>
      <c r="KS20" s="20">
        <v>14</v>
      </c>
      <c r="KU20" s="26" t="s">
        <v>712</v>
      </c>
      <c r="KV20" s="20">
        <v>0</v>
      </c>
      <c r="KW20" s="20">
        <v>0</v>
      </c>
      <c r="KX20" s="20">
        <v>0</v>
      </c>
      <c r="KY20" s="20">
        <v>2</v>
      </c>
      <c r="KZ20" s="20">
        <v>2</v>
      </c>
      <c r="LA20" s="20">
        <v>4</v>
      </c>
      <c r="LB20" s="20">
        <v>4</v>
      </c>
      <c r="LC20" s="20">
        <v>6</v>
      </c>
      <c r="LD20" s="20">
        <v>6</v>
      </c>
      <c r="LE20" s="20">
        <v>8</v>
      </c>
      <c r="LF20" s="20">
        <v>8</v>
      </c>
      <c r="LG20" s="20">
        <v>10</v>
      </c>
      <c r="LH20" s="20">
        <v>10</v>
      </c>
      <c r="LI20" s="20">
        <v>12</v>
      </c>
      <c r="LJ20" s="20">
        <v>12</v>
      </c>
      <c r="LK20" s="20">
        <v>14</v>
      </c>
      <c r="LL20" s="20">
        <v>14</v>
      </c>
      <c r="LM20" s="20">
        <v>16</v>
      </c>
      <c r="LN20" s="20">
        <v>16</v>
      </c>
      <c r="LO20" s="20">
        <v>18</v>
      </c>
      <c r="LP20" s="20">
        <v>18</v>
      </c>
      <c r="LQ20" s="20">
        <v>20</v>
      </c>
      <c r="LR20" s="20">
        <v>20</v>
      </c>
      <c r="LS20" s="20">
        <v>22</v>
      </c>
      <c r="LT20" s="20">
        <v>22</v>
      </c>
      <c r="LU20" s="20">
        <v>24</v>
      </c>
      <c r="LW20" s="26" t="s">
        <v>712</v>
      </c>
      <c r="LX20" s="20">
        <v>0</v>
      </c>
      <c r="LY20" s="20">
        <v>0</v>
      </c>
      <c r="LZ20" s="20">
        <v>2</v>
      </c>
      <c r="MA20" s="20">
        <v>2</v>
      </c>
      <c r="MB20" s="20">
        <v>4</v>
      </c>
      <c r="MC20" s="20">
        <v>4</v>
      </c>
      <c r="MD20" s="20">
        <v>6</v>
      </c>
      <c r="ME20" s="20">
        <v>8</v>
      </c>
      <c r="MF20" s="20">
        <v>8</v>
      </c>
      <c r="MG20" s="20">
        <v>10</v>
      </c>
      <c r="MH20" s="20">
        <v>10</v>
      </c>
      <c r="MI20" s="20">
        <v>12</v>
      </c>
      <c r="MJ20" s="20">
        <v>12</v>
      </c>
      <c r="MK20" s="20">
        <v>14</v>
      </c>
      <c r="ML20" s="20">
        <v>16</v>
      </c>
      <c r="MM20" s="20">
        <v>16</v>
      </c>
      <c r="MN20" s="20">
        <v>18</v>
      </c>
      <c r="MO20" s="20">
        <v>18</v>
      </c>
      <c r="MP20" s="20">
        <v>20</v>
      </c>
      <c r="MQ20" s="20">
        <v>22</v>
      </c>
      <c r="MR20" s="20">
        <v>22</v>
      </c>
      <c r="MS20" s="20">
        <v>24</v>
      </c>
      <c r="MT20" s="20">
        <v>24</v>
      </c>
      <c r="MU20" s="20">
        <v>26</v>
      </c>
      <c r="MV20" s="20">
        <v>26</v>
      </c>
      <c r="MW20" s="20">
        <v>28</v>
      </c>
      <c r="MY20" s="21" t="s">
        <v>712</v>
      </c>
      <c r="MZ20" s="21">
        <v>0</v>
      </c>
      <c r="NA20" s="21">
        <v>0</v>
      </c>
      <c r="NB20" s="21">
        <v>2</v>
      </c>
      <c r="NC20" s="21">
        <v>4</v>
      </c>
      <c r="ND20" s="21">
        <v>4</v>
      </c>
      <c r="NE20" s="21">
        <v>6</v>
      </c>
      <c r="NF20" s="21">
        <v>8</v>
      </c>
      <c r="NG20" s="21">
        <v>10</v>
      </c>
      <c r="NH20" s="21">
        <v>10</v>
      </c>
      <c r="NI20" s="21">
        <v>12</v>
      </c>
      <c r="NJ20" s="21">
        <v>14</v>
      </c>
      <c r="NK20" s="21">
        <v>14</v>
      </c>
      <c r="NL20" s="21">
        <v>16</v>
      </c>
      <c r="NM20" s="21">
        <v>18</v>
      </c>
      <c r="NN20" s="21">
        <v>20</v>
      </c>
      <c r="NO20" s="21">
        <v>20</v>
      </c>
      <c r="NP20" s="21">
        <v>22</v>
      </c>
      <c r="NQ20" s="21">
        <v>24</v>
      </c>
      <c r="NR20" s="21">
        <v>24</v>
      </c>
      <c r="NS20" s="21">
        <v>26</v>
      </c>
      <c r="NT20" s="21">
        <v>28</v>
      </c>
      <c r="NU20" s="21">
        <v>30</v>
      </c>
      <c r="NV20" s="21">
        <v>30</v>
      </c>
      <c r="NW20" s="21">
        <v>32</v>
      </c>
      <c r="NX20" s="21">
        <v>34</v>
      </c>
      <c r="NY20" s="21">
        <v>34</v>
      </c>
      <c r="OB20" s="20">
        <v>2100</v>
      </c>
      <c r="OC20" s="20">
        <v>0</v>
      </c>
      <c r="OD20" s="20">
        <f t="shared" si="21"/>
        <v>0</v>
      </c>
      <c r="OE20" s="187">
        <f>OC32</f>
        <v>58</v>
      </c>
      <c r="OF20" s="20">
        <f t="shared" si="22"/>
        <v>0</v>
      </c>
      <c r="OG20" s="20">
        <f t="shared" si="23"/>
        <v>0</v>
      </c>
    </row>
    <row r="21" spans="1:397" x14ac:dyDescent="0.25">
      <c r="A21" s="4"/>
      <c r="B21" s="6"/>
      <c r="C21" s="4"/>
      <c r="D21" s="4"/>
      <c r="E21" s="4"/>
      <c r="F21" s="4"/>
      <c r="G21" s="4"/>
      <c r="H21" s="4"/>
      <c r="I21" s="4"/>
      <c r="J21" s="4"/>
      <c r="K21" s="4"/>
      <c r="L21" s="6" t="s">
        <v>512</v>
      </c>
      <c r="M21" s="14">
        <f>INDEX(cennik!$A$2:$O$529,MATCH($L21,cennik!$B$2:$B$522,0),MATCH(M$2,cennik!$A$1:$O$1,0))</f>
        <v>808251</v>
      </c>
      <c r="N21" s="14" t="str">
        <f>INDEX(cennik!$A$2:$O$529,MATCH($L21,cennik!$B$2:$B$522,0),MATCH(N$2,cennik!$A$1:$O$1,0))</f>
        <v>szt.</v>
      </c>
      <c r="O21" s="14">
        <f>IF(E10=$AK$24,0,E11)</f>
        <v>0</v>
      </c>
      <c r="P21" s="22">
        <f>INDEX(cennik!$A$2:$O$529,MATCH($L21,cennik!$B$2:$B$522,0),MATCH(P$2,cennik!$A$1:$O$1,0))</f>
        <v>0.63</v>
      </c>
      <c r="Q21" s="22">
        <f t="shared" si="14"/>
        <v>0</v>
      </c>
      <c r="R21" s="23">
        <f>$E$9</f>
        <v>0</v>
      </c>
      <c r="S21" s="22">
        <f t="shared" si="15"/>
        <v>0.63</v>
      </c>
      <c r="T21" s="22">
        <f t="shared" si="16"/>
        <v>0</v>
      </c>
      <c r="U21" s="22">
        <f>INDEX(cennik!$A$2:$O$529,MATCH($L21,cennik!$B$2:$B$522,0),MATCH(U$2,cennik!$A$1:$O$1,0))*O21</f>
        <v>0</v>
      </c>
      <c r="V21" s="20"/>
      <c r="W21" s="27" t="s">
        <v>160</v>
      </c>
      <c r="X21" s="27" t="s">
        <v>292</v>
      </c>
      <c r="Y21" s="358" t="s">
        <v>160</v>
      </c>
      <c r="Z21" s="358"/>
      <c r="AA21" s="358"/>
      <c r="AB21" s="358"/>
      <c r="AC21" s="358"/>
      <c r="AD21" s="358"/>
      <c r="AE21" s="187"/>
      <c r="AF21" s="20"/>
      <c r="AG21" s="20"/>
      <c r="AH21" s="20"/>
      <c r="AI21" s="20"/>
      <c r="AJ21" s="20"/>
      <c r="AK21" s="20"/>
      <c r="AL21" s="20"/>
      <c r="AM21" s="20">
        <f>(INDEX(($BB$3:$CA$17,$BB$21:$CA$34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$161),MATCH($L$11,$BA$3:$BA$17,0),MATCH(A2,$BB$2:$CA$2,0),MATCH($W$2,$AH$22:$AH$43,0)))*C2</f>
        <v>0</v>
      </c>
      <c r="AN21" s="20"/>
      <c r="AO21" s="20"/>
      <c r="AP21" s="20"/>
      <c r="AQ21" s="20"/>
      <c r="AR21" s="20"/>
      <c r="AS21" s="20"/>
      <c r="AT21" s="20" t="s">
        <v>154</v>
      </c>
      <c r="AU21" s="20">
        <f>((((SUM(AU19:AU20)))-1))*2</f>
        <v>30</v>
      </c>
      <c r="AV21" s="187">
        <v>3.92</v>
      </c>
      <c r="AW21" s="187"/>
      <c r="AX21" s="20">
        <f>AU21*AV21</f>
        <v>117.6</v>
      </c>
      <c r="AY21" s="20">
        <f>AU21</f>
        <v>30</v>
      </c>
      <c r="AZ21" s="20"/>
      <c r="BA21" s="20" t="s">
        <v>126</v>
      </c>
      <c r="BB21" s="20">
        <v>0</v>
      </c>
      <c r="BC21" s="20">
        <v>2</v>
      </c>
      <c r="BD21" s="20">
        <v>0</v>
      </c>
      <c r="BE21" s="20">
        <v>0</v>
      </c>
      <c r="BF21" s="20">
        <v>0</v>
      </c>
      <c r="BG21" s="20">
        <v>0</v>
      </c>
      <c r="BH21" s="20">
        <v>0</v>
      </c>
      <c r="BI21" s="20">
        <v>0</v>
      </c>
      <c r="BJ21" s="20">
        <v>0</v>
      </c>
      <c r="BK21" s="20">
        <v>0</v>
      </c>
      <c r="BL21" s="20">
        <v>0</v>
      </c>
      <c r="BM21" s="20">
        <v>0</v>
      </c>
      <c r="BN21" s="20">
        <v>0</v>
      </c>
      <c r="BO21" s="20">
        <v>0</v>
      </c>
      <c r="BP21" s="20">
        <v>0</v>
      </c>
      <c r="BQ21" s="20">
        <v>0</v>
      </c>
      <c r="BR21" s="20">
        <v>0</v>
      </c>
      <c r="BS21" s="20">
        <v>0</v>
      </c>
      <c r="BT21" s="20">
        <v>0</v>
      </c>
      <c r="BU21" s="20">
        <v>0</v>
      </c>
      <c r="BV21" s="20">
        <v>0</v>
      </c>
      <c r="BW21" s="20">
        <v>0</v>
      </c>
      <c r="BX21" s="20">
        <v>0</v>
      </c>
      <c r="BY21" s="20">
        <v>0</v>
      </c>
      <c r="BZ21" s="20">
        <v>0</v>
      </c>
      <c r="CA21" s="20">
        <v>0</v>
      </c>
      <c r="CB21" s="20">
        <v>0</v>
      </c>
      <c r="CC21" s="20">
        <v>0</v>
      </c>
      <c r="CD21" s="20">
        <v>0</v>
      </c>
      <c r="CE21" s="20">
        <v>0</v>
      </c>
      <c r="CF21" s="20">
        <v>0</v>
      </c>
      <c r="CG21" s="20">
        <v>0</v>
      </c>
      <c r="CH21" s="20">
        <v>0</v>
      </c>
      <c r="CI21" s="20">
        <v>0</v>
      </c>
      <c r="CJ21" s="20">
        <v>0</v>
      </c>
      <c r="CK21" s="20">
        <v>0</v>
      </c>
      <c r="CL21" s="20">
        <v>0</v>
      </c>
      <c r="CM21" s="20">
        <v>2</v>
      </c>
      <c r="CN21" s="20">
        <v>0</v>
      </c>
      <c r="CO21" s="20">
        <v>0</v>
      </c>
      <c r="CP21" s="20">
        <v>0</v>
      </c>
      <c r="CQ21" s="20">
        <v>0</v>
      </c>
      <c r="CR21" s="20">
        <v>0</v>
      </c>
      <c r="CS21" s="20">
        <v>0</v>
      </c>
      <c r="CT21" s="20">
        <v>0</v>
      </c>
      <c r="CU21" s="20">
        <v>0</v>
      </c>
      <c r="CV21" s="20">
        <v>0</v>
      </c>
      <c r="CW21" s="20">
        <v>2</v>
      </c>
      <c r="CX21" s="20">
        <v>0</v>
      </c>
      <c r="CY21" s="20">
        <v>0</v>
      </c>
      <c r="CZ21" s="20">
        <v>0</v>
      </c>
      <c r="DA21" s="54"/>
      <c r="DB21" s="54">
        <v>20</v>
      </c>
      <c r="DC21" s="54"/>
      <c r="DD21" s="26" t="s">
        <v>712</v>
      </c>
      <c r="DE21" s="20">
        <v>0</v>
      </c>
      <c r="DF21" s="20"/>
      <c r="DG21" s="20"/>
      <c r="DH21" s="20"/>
      <c r="DI21" s="20"/>
      <c r="DJ21" s="20"/>
      <c r="DK21" s="20"/>
      <c r="DL21" s="20"/>
      <c r="DM21" s="20"/>
      <c r="DN21" s="20"/>
      <c r="DO21" s="20"/>
      <c r="DP21" s="20"/>
      <c r="DQ21" s="20"/>
      <c r="DR21" s="20"/>
      <c r="DS21" s="20"/>
      <c r="DT21" s="20"/>
      <c r="DU21" s="20"/>
      <c r="DV21" s="20"/>
      <c r="DW21" s="20"/>
      <c r="DX21" s="20"/>
      <c r="DY21" s="20"/>
      <c r="DZ21" s="20"/>
      <c r="EA21" s="20"/>
      <c r="EB21" s="20" t="s">
        <v>126</v>
      </c>
      <c r="EC21" s="20">
        <v>0</v>
      </c>
      <c r="ED21" s="20">
        <v>0</v>
      </c>
      <c r="EE21" s="20">
        <v>0</v>
      </c>
      <c r="EF21" s="20">
        <v>0</v>
      </c>
      <c r="EG21" s="20">
        <v>0</v>
      </c>
      <c r="EH21" s="20">
        <v>0</v>
      </c>
      <c r="EI21" s="20">
        <v>0</v>
      </c>
      <c r="EJ21" s="20">
        <v>0</v>
      </c>
      <c r="EK21" s="20">
        <v>0</v>
      </c>
      <c r="EL21" s="20">
        <v>0</v>
      </c>
      <c r="EM21" s="20">
        <v>0</v>
      </c>
      <c r="EN21" s="20">
        <v>0</v>
      </c>
      <c r="EO21" s="20">
        <v>0</v>
      </c>
      <c r="EP21" s="20">
        <v>0</v>
      </c>
      <c r="EQ21" s="20">
        <v>0</v>
      </c>
      <c r="ER21" s="20">
        <v>0</v>
      </c>
      <c r="ES21" s="20">
        <v>0</v>
      </c>
      <c r="ET21" s="20">
        <v>0</v>
      </c>
      <c r="EU21" s="20">
        <v>0</v>
      </c>
      <c r="EV21" s="20">
        <v>0</v>
      </c>
      <c r="EW21" s="20">
        <v>0</v>
      </c>
      <c r="EX21" s="20">
        <v>0</v>
      </c>
      <c r="EY21" s="20">
        <v>0</v>
      </c>
      <c r="EZ21" s="20">
        <v>0</v>
      </c>
      <c r="FA21" s="20">
        <v>0</v>
      </c>
      <c r="FB21" s="20">
        <v>0</v>
      </c>
      <c r="FC21" s="20">
        <v>0</v>
      </c>
      <c r="FD21" s="20">
        <v>0</v>
      </c>
      <c r="FE21" s="20">
        <v>0</v>
      </c>
      <c r="FF21" s="20">
        <v>0</v>
      </c>
      <c r="FG21" s="20">
        <v>0</v>
      </c>
      <c r="FH21" s="20">
        <v>0</v>
      </c>
      <c r="FI21" s="20">
        <v>0</v>
      </c>
      <c r="FJ21" s="20">
        <v>0</v>
      </c>
      <c r="FK21" s="20">
        <v>0</v>
      </c>
      <c r="FL21" s="20">
        <v>0</v>
      </c>
      <c r="FM21" s="20">
        <v>0</v>
      </c>
      <c r="FN21" s="20">
        <v>2</v>
      </c>
      <c r="FO21" s="20">
        <v>0</v>
      </c>
      <c r="FP21" s="20">
        <v>0</v>
      </c>
      <c r="FQ21" s="20">
        <v>0</v>
      </c>
      <c r="FR21" s="20">
        <v>0</v>
      </c>
      <c r="FS21" s="20">
        <v>0</v>
      </c>
      <c r="FT21" s="20">
        <v>0</v>
      </c>
      <c r="FU21" s="20">
        <v>0</v>
      </c>
      <c r="FV21" s="20">
        <v>0</v>
      </c>
      <c r="FW21" s="20">
        <v>0</v>
      </c>
      <c r="FX21" s="20">
        <v>0</v>
      </c>
      <c r="FY21" s="20">
        <v>0</v>
      </c>
      <c r="FZ21" s="20">
        <v>0</v>
      </c>
      <c r="GA21" s="20">
        <v>0</v>
      </c>
      <c r="GC21" s="20"/>
      <c r="GD21" s="20"/>
      <c r="GE21" s="20" t="s">
        <v>126</v>
      </c>
      <c r="GF21" s="20">
        <v>0</v>
      </c>
      <c r="GG21" s="20">
        <v>0</v>
      </c>
      <c r="GH21" s="20">
        <v>0</v>
      </c>
      <c r="GI21" s="20">
        <v>0</v>
      </c>
      <c r="GJ21" s="20">
        <v>0</v>
      </c>
      <c r="GK21" s="20">
        <v>2</v>
      </c>
      <c r="GL21" s="20">
        <v>0</v>
      </c>
      <c r="GM21" s="20">
        <v>0</v>
      </c>
      <c r="GN21" s="20">
        <v>0</v>
      </c>
      <c r="GO21" s="20">
        <v>0</v>
      </c>
      <c r="GP21" s="20">
        <v>0</v>
      </c>
      <c r="GQ21" s="20">
        <v>0</v>
      </c>
      <c r="GR21" s="20">
        <v>0</v>
      </c>
      <c r="GS21" s="20">
        <v>0</v>
      </c>
      <c r="GT21" s="20">
        <v>0</v>
      </c>
      <c r="GU21" s="20">
        <v>0</v>
      </c>
      <c r="GV21" s="20">
        <v>0</v>
      </c>
      <c r="GW21" s="20">
        <v>2</v>
      </c>
      <c r="GX21" s="20">
        <v>0</v>
      </c>
      <c r="GY21" s="20">
        <v>0</v>
      </c>
      <c r="GZ21" s="20">
        <v>0</v>
      </c>
      <c r="HA21" s="20">
        <v>0</v>
      </c>
      <c r="HB21" s="20">
        <v>0</v>
      </c>
      <c r="HC21" s="20">
        <v>0</v>
      </c>
      <c r="HD21" s="20">
        <v>0</v>
      </c>
      <c r="HE21" s="20">
        <v>0</v>
      </c>
      <c r="HF21" s="20">
        <v>0</v>
      </c>
      <c r="HG21" s="20">
        <v>0</v>
      </c>
      <c r="HH21" s="20">
        <v>0</v>
      </c>
      <c r="HI21" s="20">
        <v>0</v>
      </c>
      <c r="HJ21" s="20">
        <v>0</v>
      </c>
      <c r="HK21" s="20">
        <v>0</v>
      </c>
      <c r="HL21" s="20">
        <v>2</v>
      </c>
      <c r="HM21" s="20">
        <v>0</v>
      </c>
      <c r="HN21" s="20">
        <v>0</v>
      </c>
      <c r="HO21" s="20">
        <v>0</v>
      </c>
      <c r="HP21" s="20">
        <v>0</v>
      </c>
      <c r="HQ21" s="20">
        <v>0</v>
      </c>
      <c r="HR21" s="20">
        <v>0</v>
      </c>
      <c r="HS21" s="20">
        <v>0</v>
      </c>
      <c r="HT21" s="20">
        <v>0</v>
      </c>
      <c r="HU21" s="20">
        <v>0</v>
      </c>
      <c r="HV21" s="20">
        <v>0</v>
      </c>
      <c r="HW21" s="20">
        <v>0</v>
      </c>
      <c r="HX21" s="20">
        <v>0</v>
      </c>
      <c r="HY21" s="20">
        <v>0</v>
      </c>
      <c r="HZ21" s="20">
        <v>0</v>
      </c>
      <c r="IA21" s="20">
        <v>2</v>
      </c>
      <c r="IB21" s="20">
        <v>0</v>
      </c>
      <c r="IC21" s="20">
        <v>0</v>
      </c>
      <c r="ID21" s="20">
        <v>0</v>
      </c>
      <c r="IF21" s="21" t="s">
        <v>126</v>
      </c>
      <c r="IG21" s="21">
        <v>0</v>
      </c>
      <c r="IH21" s="21">
        <v>0</v>
      </c>
      <c r="II21" s="21">
        <v>0</v>
      </c>
      <c r="IJ21" s="21">
        <v>0</v>
      </c>
      <c r="IK21" s="21">
        <v>0</v>
      </c>
      <c r="IL21" s="21">
        <v>0</v>
      </c>
      <c r="IM21" s="21">
        <v>0</v>
      </c>
      <c r="IN21" s="21">
        <v>0</v>
      </c>
      <c r="IO21" s="21">
        <v>0</v>
      </c>
      <c r="IP21" s="21">
        <v>0</v>
      </c>
      <c r="IQ21" s="21">
        <v>0</v>
      </c>
      <c r="IR21" s="21">
        <v>0</v>
      </c>
      <c r="IS21" s="21">
        <v>0</v>
      </c>
      <c r="IT21" s="21">
        <v>0</v>
      </c>
      <c r="IU21" s="21">
        <v>0</v>
      </c>
      <c r="IV21" s="21">
        <v>0</v>
      </c>
      <c r="IW21" s="21">
        <v>0</v>
      </c>
      <c r="IX21" s="21">
        <v>0</v>
      </c>
      <c r="IY21" s="21">
        <v>0</v>
      </c>
      <c r="IZ21" s="21">
        <v>0</v>
      </c>
      <c r="JA21" s="21">
        <v>0</v>
      </c>
      <c r="JB21" s="21">
        <v>0</v>
      </c>
      <c r="JC21" s="21">
        <v>0</v>
      </c>
      <c r="JD21" s="21">
        <v>0</v>
      </c>
      <c r="JE21" s="21">
        <v>0</v>
      </c>
      <c r="JF21" s="21">
        <v>0</v>
      </c>
      <c r="JI21" s="358" t="s">
        <v>160</v>
      </c>
      <c r="JJ21" s="358"/>
      <c r="JK21" s="358"/>
      <c r="JL21" s="358"/>
      <c r="JM21" s="358"/>
      <c r="JN21" s="358"/>
      <c r="JO21" s="358"/>
      <c r="JP21" s="27"/>
      <c r="JQ21" s="27"/>
      <c r="JS21" s="20"/>
      <c r="JT21" s="20"/>
      <c r="JU21" s="20"/>
      <c r="JV21" s="20"/>
      <c r="JW21" s="20"/>
      <c r="JX21" s="20"/>
      <c r="JY21" s="20"/>
      <c r="JZ21" s="20"/>
      <c r="KA21" s="20"/>
      <c r="KB21" s="20"/>
      <c r="KC21" s="20"/>
      <c r="KD21" s="20"/>
      <c r="KE21" s="20"/>
      <c r="KF21" s="20"/>
      <c r="KG21" s="20"/>
      <c r="KH21" s="20"/>
      <c r="KI21" s="20"/>
      <c r="KJ21" s="20"/>
      <c r="KK21" s="20"/>
      <c r="KL21" s="20"/>
      <c r="KM21" s="20"/>
      <c r="KN21" s="20"/>
      <c r="KO21" s="20"/>
      <c r="KP21" s="20"/>
      <c r="KQ21" s="20"/>
      <c r="KR21" s="20"/>
      <c r="KS21" s="20"/>
      <c r="KU21" s="20"/>
      <c r="KV21" s="20"/>
      <c r="KW21" s="20"/>
      <c r="KX21" s="20"/>
      <c r="KY21" s="20"/>
      <c r="KZ21" s="20"/>
      <c r="LA21" s="20"/>
      <c r="LB21" s="20"/>
      <c r="LC21" s="20"/>
      <c r="LD21" s="20"/>
      <c r="LE21" s="20"/>
      <c r="LF21" s="20"/>
      <c r="LG21" s="20"/>
      <c r="LH21" s="20"/>
      <c r="LI21" s="20"/>
      <c r="LJ21" s="20"/>
      <c r="LK21" s="20"/>
      <c r="LL21" s="20"/>
      <c r="LM21" s="20"/>
      <c r="LN21" s="20"/>
      <c r="LO21" s="20"/>
      <c r="LP21" s="20"/>
      <c r="LQ21" s="20"/>
      <c r="LR21" s="20"/>
      <c r="LS21" s="20"/>
      <c r="LT21" s="20"/>
      <c r="LU21" s="20"/>
      <c r="LW21" s="20"/>
      <c r="LX21" s="20"/>
      <c r="LY21" s="20"/>
      <c r="LZ21" s="20"/>
      <c r="MA21" s="20"/>
      <c r="MB21" s="20"/>
      <c r="MC21" s="20"/>
      <c r="MD21" s="20"/>
      <c r="ME21" s="20"/>
      <c r="MF21" s="20"/>
      <c r="MG21" s="20"/>
      <c r="MH21" s="20"/>
      <c r="MI21" s="20"/>
      <c r="MJ21" s="20"/>
      <c r="MK21" s="20"/>
      <c r="ML21" s="20"/>
      <c r="MM21" s="20"/>
      <c r="MN21" s="20"/>
      <c r="MO21" s="20"/>
      <c r="MP21" s="20"/>
      <c r="MQ21" s="20"/>
      <c r="MR21" s="20"/>
      <c r="MS21" s="20"/>
      <c r="MT21" s="20"/>
      <c r="MU21" s="20"/>
      <c r="MV21" s="20"/>
      <c r="MW21" s="20"/>
      <c r="OB21" s="20">
        <v>2200</v>
      </c>
      <c r="OC21" s="20">
        <v>0</v>
      </c>
      <c r="OD21" s="20">
        <f t="shared" si="21"/>
        <v>0</v>
      </c>
      <c r="OE21" s="187">
        <f>OC33</f>
        <v>61</v>
      </c>
      <c r="OF21" s="20">
        <f t="shared" si="22"/>
        <v>0</v>
      </c>
      <c r="OG21" s="20">
        <f t="shared" si="23"/>
        <v>0</v>
      </c>
    </row>
    <row r="22" spans="1:397" x14ac:dyDescent="0.25">
      <c r="A22" s="4"/>
      <c r="B22" s="6"/>
      <c r="C22" s="4"/>
      <c r="D22" s="4"/>
      <c r="E22" s="4"/>
      <c r="F22" s="4"/>
      <c r="G22" s="4"/>
      <c r="H22" s="4"/>
      <c r="I22" s="4"/>
      <c r="J22" s="4"/>
      <c r="K22" s="4"/>
      <c r="L22" s="6" t="s">
        <v>67</v>
      </c>
      <c r="M22" s="14">
        <f>INDEX(cennik!$A$2:$O$529,MATCH($L22,cennik!$B$2:$B$522,0),MATCH(M$2,cennik!$A$1:$O$1,0))</f>
        <v>890008</v>
      </c>
      <c r="N22" s="14" t="str">
        <f>INDEX(cennik!$A$2:$O$529,MATCH($L22,cennik!$B$2:$B$522,0),MATCH(N$2,cennik!$A$1:$O$1,0))</f>
        <v>100 szt.</v>
      </c>
      <c r="O22" s="14">
        <f>ROUNDUP((O21/100),0)</f>
        <v>0</v>
      </c>
      <c r="P22" s="22">
        <f>INDEX(cennik!$A$2:$O$529,MATCH($L22,cennik!$B$2:$B$522,0),MATCH(P$2,cennik!$A$1:$O$1,0))</f>
        <v>28.15</v>
      </c>
      <c r="Q22" s="22">
        <f t="shared" si="14"/>
        <v>0</v>
      </c>
      <c r="R22" s="23">
        <f>$E$9</f>
        <v>0</v>
      </c>
      <c r="S22" s="22">
        <f t="shared" si="15"/>
        <v>28.15</v>
      </c>
      <c r="T22" s="22">
        <f t="shared" si="16"/>
        <v>0</v>
      </c>
      <c r="U22" s="22">
        <f>INDEX(cennik!$A$2:$O$529,MATCH($L22,cennik!$B$2:$B$522,0),MATCH(U$2,cennik!$A$1:$O$1,0))*O22</f>
        <v>0</v>
      </c>
      <c r="V22" s="20"/>
      <c r="W22" s="25" t="str">
        <f>IF(E30="WERTYKALNY",G28,IF(E30="HORYZONTALNY",E28,0))</f>
        <v>1000-1050</v>
      </c>
      <c r="X22" s="25">
        <f t="shared" ref="X22:X37" si="24">((IF($E$30=$AB$1,(IF(A27=0,0,IF(A27&gt;0,IF((((INT(((A27*$W$24)+((A27-1)*20)+80)/$E$29))-1)*$E$29)+500&gt;=((A27*$W$24)+((A27-1)*20)+80),(INT(((A27*$W$24)+((A27-1)*20)+80)/$E$29))*2,((INT(((A27*$W$24)+((A27-1)*20)+80)/$E$29))+1)*2)))),IF($E$30=$AB$2,(IF(A27=0,0,IF(A27&gt;0,IF((((INT(((A27*$W$25)+((A27-1)*20)+80)/$E$29))-1)*$E$29)+500&gt;=((A27*$W$25)+((A27-1)*20)+80),(INT(((A27*$W$25)+((A27-1)*20)+80)/$E$29))*2,((INT(((A27*$W$25)+((A27-1)*20)+80)/$E$29))+1)*2)))))))+4)</f>
        <v>18</v>
      </c>
      <c r="Y22" s="27" t="s">
        <v>161</v>
      </c>
      <c r="Z22" s="27">
        <v>1.1499999999999999</v>
      </c>
      <c r="AA22" s="27">
        <v>2.1</v>
      </c>
      <c r="AB22" s="27">
        <v>2.2000000000000002</v>
      </c>
      <c r="AC22" s="27">
        <v>3.15</v>
      </c>
      <c r="AD22" s="27">
        <v>3.3</v>
      </c>
      <c r="AE22" s="20"/>
      <c r="AF22" s="20" t="s">
        <v>402</v>
      </c>
      <c r="AG22" s="20"/>
      <c r="AH22" s="20" t="s">
        <v>114</v>
      </c>
      <c r="AI22" s="20"/>
      <c r="AJ22" s="20">
        <v>1000</v>
      </c>
      <c r="AK22" s="20" t="s">
        <v>781</v>
      </c>
      <c r="AL22" s="20">
        <f t="shared" ref="AL22:AL37" si="25">IF(X22=2,X22+2*C27,X22*C27)</f>
        <v>18</v>
      </c>
      <c r="AM22" s="20"/>
      <c r="AN22" s="20"/>
      <c r="AO22" s="20"/>
      <c r="AP22" s="20"/>
      <c r="AQ22" s="20"/>
      <c r="AR22" s="20"/>
      <c r="AS22" s="20"/>
      <c r="AT22" s="20"/>
      <c r="AU22" s="20"/>
      <c r="AV22" s="20">
        <f>SUM(AV19:AV20)</f>
        <v>51700</v>
      </c>
      <c r="AW22" s="20"/>
      <c r="AX22" s="20">
        <f>SUM(AX19:AX21)</f>
        <v>1215.98</v>
      </c>
      <c r="AY22" s="20"/>
      <c r="AZ22" s="20"/>
      <c r="BA22" s="20" t="s">
        <v>12</v>
      </c>
      <c r="BB22" s="20">
        <v>0</v>
      </c>
      <c r="BC22" s="20">
        <v>0</v>
      </c>
      <c r="BD22" s="20">
        <v>0</v>
      </c>
      <c r="BE22" s="20">
        <v>0</v>
      </c>
      <c r="BF22" s="20">
        <v>0</v>
      </c>
      <c r="BG22" s="20">
        <v>0</v>
      </c>
      <c r="BH22" s="20">
        <v>0</v>
      </c>
      <c r="BI22" s="20">
        <v>0</v>
      </c>
      <c r="BJ22" s="20">
        <v>2</v>
      </c>
      <c r="BK22" s="20">
        <v>0</v>
      </c>
      <c r="BL22" s="20">
        <v>0</v>
      </c>
      <c r="BM22" s="20">
        <v>0</v>
      </c>
      <c r="BN22" s="20">
        <v>0</v>
      </c>
      <c r="BO22" s="20">
        <v>4</v>
      </c>
      <c r="BP22" s="20">
        <v>2</v>
      </c>
      <c r="BQ22" s="20">
        <v>0</v>
      </c>
      <c r="BR22" s="20">
        <v>2</v>
      </c>
      <c r="BS22" s="20">
        <v>0</v>
      </c>
      <c r="BT22" s="20">
        <v>0</v>
      </c>
      <c r="BU22" s="20">
        <v>4</v>
      </c>
      <c r="BV22" s="20">
        <v>2</v>
      </c>
      <c r="BW22" s="20">
        <v>0</v>
      </c>
      <c r="BX22" s="20">
        <v>0</v>
      </c>
      <c r="BY22" s="20">
        <v>2</v>
      </c>
      <c r="BZ22" s="20">
        <v>0</v>
      </c>
      <c r="CA22" s="20">
        <v>0</v>
      </c>
      <c r="CB22" s="20">
        <v>0</v>
      </c>
      <c r="CC22" s="20">
        <v>0</v>
      </c>
      <c r="CD22" s="20">
        <v>4</v>
      </c>
      <c r="CE22" s="20">
        <v>2</v>
      </c>
      <c r="CF22" s="20">
        <v>0</v>
      </c>
      <c r="CG22" s="20">
        <v>2</v>
      </c>
      <c r="CH22" s="20">
        <v>0</v>
      </c>
      <c r="CI22" s="20">
        <v>0</v>
      </c>
      <c r="CJ22" s="20">
        <v>2</v>
      </c>
      <c r="CK22" s="20">
        <v>0</v>
      </c>
      <c r="CL22" s="20">
        <v>0</v>
      </c>
      <c r="CM22" s="20">
        <v>0</v>
      </c>
      <c r="CN22" s="20">
        <v>0</v>
      </c>
      <c r="CO22" s="20">
        <v>0</v>
      </c>
      <c r="CP22" s="20">
        <v>0</v>
      </c>
      <c r="CQ22" s="20">
        <v>0</v>
      </c>
      <c r="CR22" s="20">
        <v>0</v>
      </c>
      <c r="CS22" s="20">
        <v>0</v>
      </c>
      <c r="CT22" s="20">
        <v>0</v>
      </c>
      <c r="CU22" s="20">
        <v>0</v>
      </c>
      <c r="CV22" s="20">
        <v>0</v>
      </c>
      <c r="CW22" s="20">
        <v>0</v>
      </c>
      <c r="CX22" s="20">
        <v>0</v>
      </c>
      <c r="CY22" s="20">
        <v>0</v>
      </c>
      <c r="CZ22" s="20">
        <v>0</v>
      </c>
      <c r="DA22" s="54"/>
      <c r="DB22" s="54">
        <v>21</v>
      </c>
      <c r="DC22" s="54"/>
      <c r="DD22" s="20"/>
      <c r="DE22" s="20"/>
      <c r="DF22" s="20"/>
      <c r="DG22" s="20"/>
      <c r="DH22" s="20"/>
      <c r="DI22" s="20"/>
      <c r="DJ22" s="20"/>
      <c r="DK22" s="20"/>
      <c r="DL22" s="20"/>
      <c r="DM22" s="20"/>
      <c r="DN22" s="20"/>
      <c r="DO22" s="20"/>
      <c r="DP22" s="20"/>
      <c r="DQ22" s="20"/>
      <c r="DR22" s="20"/>
      <c r="DS22" s="20"/>
      <c r="DT22" s="20"/>
      <c r="DU22" s="20"/>
      <c r="DV22" s="20"/>
      <c r="DW22" s="20"/>
      <c r="DX22" s="20"/>
      <c r="DY22" s="20"/>
      <c r="DZ22" s="20"/>
      <c r="EA22" s="20"/>
      <c r="EB22" s="20" t="s">
        <v>12</v>
      </c>
      <c r="EC22" s="20">
        <v>0</v>
      </c>
      <c r="ED22" s="20">
        <v>2</v>
      </c>
      <c r="EE22" s="20">
        <v>4</v>
      </c>
      <c r="EF22" s="20">
        <v>2</v>
      </c>
      <c r="EG22" s="20">
        <v>4</v>
      </c>
      <c r="EH22" s="20">
        <v>2</v>
      </c>
      <c r="EI22" s="20">
        <v>4</v>
      </c>
      <c r="EJ22" s="20">
        <v>0</v>
      </c>
      <c r="EK22" s="20">
        <v>4</v>
      </c>
      <c r="EL22" s="20">
        <v>0</v>
      </c>
      <c r="EM22" s="20">
        <v>4</v>
      </c>
      <c r="EN22" s="20">
        <v>0</v>
      </c>
      <c r="EO22" s="20">
        <v>4</v>
      </c>
      <c r="EP22" s="20">
        <v>0</v>
      </c>
      <c r="EQ22" s="20">
        <v>0</v>
      </c>
      <c r="ER22" s="20">
        <v>0</v>
      </c>
      <c r="ES22" s="20">
        <v>0</v>
      </c>
      <c r="ET22" s="20">
        <v>0</v>
      </c>
      <c r="EU22" s="20">
        <v>0</v>
      </c>
      <c r="EV22" s="20">
        <v>0</v>
      </c>
      <c r="EW22" s="20">
        <v>0</v>
      </c>
      <c r="EX22" s="20">
        <v>0</v>
      </c>
      <c r="EY22" s="20">
        <v>0</v>
      </c>
      <c r="EZ22" s="20">
        <v>0</v>
      </c>
      <c r="FA22" s="20">
        <v>0</v>
      </c>
      <c r="FB22" s="20">
        <v>0</v>
      </c>
      <c r="FC22" s="20">
        <v>0</v>
      </c>
      <c r="FD22" s="20">
        <v>4</v>
      </c>
      <c r="FE22" s="20">
        <v>0</v>
      </c>
      <c r="FF22" s="20">
        <v>0</v>
      </c>
      <c r="FG22" s="20">
        <v>0</v>
      </c>
      <c r="FH22" s="20">
        <v>0</v>
      </c>
      <c r="FI22" s="20">
        <v>0</v>
      </c>
      <c r="FJ22" s="20">
        <v>0</v>
      </c>
      <c r="FK22" s="20">
        <v>0</v>
      </c>
      <c r="FL22" s="20">
        <v>0</v>
      </c>
      <c r="FM22" s="20">
        <v>0</v>
      </c>
      <c r="FN22" s="20">
        <v>0</v>
      </c>
      <c r="FO22" s="20">
        <v>0</v>
      </c>
      <c r="FP22" s="20">
        <v>0</v>
      </c>
      <c r="FQ22" s="20">
        <v>0</v>
      </c>
      <c r="FR22" s="20">
        <v>0</v>
      </c>
      <c r="FS22" s="20">
        <v>0</v>
      </c>
      <c r="FT22" s="20">
        <v>0</v>
      </c>
      <c r="FU22" s="20">
        <v>0</v>
      </c>
      <c r="FV22" s="20">
        <v>0</v>
      </c>
      <c r="FW22" s="20">
        <v>0</v>
      </c>
      <c r="FX22" s="20">
        <v>0</v>
      </c>
      <c r="FY22" s="20">
        <v>0</v>
      </c>
      <c r="FZ22" s="20">
        <v>0</v>
      </c>
      <c r="GA22" s="20">
        <v>0</v>
      </c>
      <c r="GC22" s="20"/>
      <c r="GD22" s="20"/>
      <c r="GE22" s="20" t="s">
        <v>12</v>
      </c>
      <c r="GF22" s="20">
        <v>0</v>
      </c>
      <c r="GG22" s="20">
        <v>2</v>
      </c>
      <c r="GH22" s="20">
        <v>4</v>
      </c>
      <c r="GI22" s="20">
        <v>0</v>
      </c>
      <c r="GJ22" s="20">
        <v>2</v>
      </c>
      <c r="GK22" s="20">
        <v>0</v>
      </c>
      <c r="GL22" s="20">
        <v>2</v>
      </c>
      <c r="GM22" s="20">
        <v>0</v>
      </c>
      <c r="GN22" s="20">
        <v>0</v>
      </c>
      <c r="GO22" s="20">
        <v>0</v>
      </c>
      <c r="GP22" s="20">
        <v>0</v>
      </c>
      <c r="GQ22" s="20">
        <v>2</v>
      </c>
      <c r="GR22" s="20">
        <v>4</v>
      </c>
      <c r="GS22" s="20">
        <v>0</v>
      </c>
      <c r="GT22" s="20">
        <v>2</v>
      </c>
      <c r="GU22" s="20">
        <v>0</v>
      </c>
      <c r="GV22" s="20">
        <v>0</v>
      </c>
      <c r="GW22" s="20">
        <v>0</v>
      </c>
      <c r="GX22" s="20">
        <v>0</v>
      </c>
      <c r="GY22" s="20">
        <v>0</v>
      </c>
      <c r="GZ22" s="20">
        <v>0</v>
      </c>
      <c r="HA22" s="20">
        <v>0</v>
      </c>
      <c r="HB22" s="20">
        <v>0</v>
      </c>
      <c r="HC22" s="20">
        <v>0</v>
      </c>
      <c r="HD22" s="20">
        <v>0</v>
      </c>
      <c r="HE22" s="20">
        <v>0</v>
      </c>
      <c r="HF22" s="20">
        <v>0</v>
      </c>
      <c r="HG22" s="20">
        <v>4</v>
      </c>
      <c r="HH22" s="20">
        <v>0</v>
      </c>
      <c r="HI22" s="20">
        <v>0</v>
      </c>
      <c r="HJ22" s="20">
        <v>0</v>
      </c>
      <c r="HK22" s="20">
        <v>0</v>
      </c>
      <c r="HL22" s="20">
        <v>0</v>
      </c>
      <c r="HM22" s="20">
        <v>0</v>
      </c>
      <c r="HN22" s="20">
        <v>0</v>
      </c>
      <c r="HO22" s="20">
        <v>0</v>
      </c>
      <c r="HP22" s="20">
        <v>0</v>
      </c>
      <c r="HQ22" s="20">
        <v>0</v>
      </c>
      <c r="HR22" s="20">
        <v>0</v>
      </c>
      <c r="HS22" s="20">
        <v>0</v>
      </c>
      <c r="HT22" s="20">
        <v>0</v>
      </c>
      <c r="HU22" s="20">
        <v>0</v>
      </c>
      <c r="HV22" s="20">
        <v>4</v>
      </c>
      <c r="HW22" s="20">
        <v>0</v>
      </c>
      <c r="HX22" s="20">
        <v>0</v>
      </c>
      <c r="HY22" s="20">
        <v>0</v>
      </c>
      <c r="HZ22" s="20">
        <v>0</v>
      </c>
      <c r="IA22" s="20">
        <v>0</v>
      </c>
      <c r="IB22" s="20">
        <v>0</v>
      </c>
      <c r="IC22" s="20">
        <v>0</v>
      </c>
      <c r="ID22" s="20">
        <v>0</v>
      </c>
      <c r="IF22" s="21" t="s">
        <v>12</v>
      </c>
      <c r="IG22" s="21">
        <v>0</v>
      </c>
      <c r="IH22" s="21">
        <v>0</v>
      </c>
      <c r="II22" s="21">
        <v>2</v>
      </c>
      <c r="IJ22" s="21">
        <v>4</v>
      </c>
      <c r="IK22" s="21">
        <v>0</v>
      </c>
      <c r="IL22" s="21">
        <v>0</v>
      </c>
      <c r="IM22" s="21">
        <v>2</v>
      </c>
      <c r="IN22" s="21">
        <v>0</v>
      </c>
      <c r="IO22" s="21">
        <v>0</v>
      </c>
      <c r="IP22" s="21">
        <v>0</v>
      </c>
      <c r="IQ22" s="21">
        <v>2</v>
      </c>
      <c r="IR22" s="21">
        <v>2</v>
      </c>
      <c r="IS22" s="21">
        <v>0</v>
      </c>
      <c r="IT22" s="21">
        <v>0</v>
      </c>
      <c r="IU22" s="21">
        <v>2</v>
      </c>
      <c r="IV22" s="21">
        <v>2</v>
      </c>
      <c r="IW22" s="21">
        <v>0</v>
      </c>
      <c r="IX22" s="21">
        <v>0</v>
      </c>
      <c r="IY22" s="21">
        <v>0</v>
      </c>
      <c r="IZ22" s="21">
        <v>0</v>
      </c>
      <c r="JA22" s="21">
        <v>0</v>
      </c>
      <c r="JB22" s="21">
        <v>0</v>
      </c>
      <c r="JC22" s="21">
        <v>0</v>
      </c>
      <c r="JD22" s="21">
        <v>0</v>
      </c>
      <c r="JE22" s="21">
        <v>0</v>
      </c>
      <c r="JF22" s="21">
        <v>0</v>
      </c>
      <c r="JI22" s="26" t="s">
        <v>161</v>
      </c>
      <c r="JJ22" s="27">
        <v>1.1499999999999999</v>
      </c>
      <c r="JK22" s="27">
        <v>2.1</v>
      </c>
      <c r="JL22" s="27">
        <v>2.2000000000000002</v>
      </c>
      <c r="JM22" s="27">
        <v>2.4</v>
      </c>
      <c r="JN22" s="27">
        <v>3.15</v>
      </c>
      <c r="JO22" s="27">
        <v>3.3</v>
      </c>
      <c r="JP22" s="27">
        <v>3.6</v>
      </c>
      <c r="JQ22" s="27">
        <v>4.4000000000000004</v>
      </c>
      <c r="JS22" s="20" t="s">
        <v>115</v>
      </c>
      <c r="JT22" s="20"/>
      <c r="JU22" s="20"/>
      <c r="JV22" s="20"/>
      <c r="JW22" s="20"/>
      <c r="JX22" s="20"/>
      <c r="JY22" s="20"/>
      <c r="JZ22" s="20"/>
      <c r="KA22" s="20"/>
      <c r="KB22" s="20"/>
      <c r="KC22" s="20"/>
      <c r="KD22" s="20"/>
      <c r="KE22" s="20"/>
      <c r="KF22" s="20"/>
      <c r="KG22" s="20"/>
      <c r="KH22" s="20"/>
      <c r="KI22" s="20"/>
      <c r="KJ22" s="20"/>
      <c r="KK22" s="20"/>
      <c r="KL22" s="20"/>
      <c r="KM22" s="20"/>
      <c r="KN22" s="20"/>
      <c r="KO22" s="20"/>
      <c r="KP22" s="20"/>
      <c r="KQ22" s="20"/>
      <c r="KR22" s="20"/>
      <c r="KS22" s="20"/>
      <c r="KU22" s="20" t="s">
        <v>112</v>
      </c>
      <c r="KV22" s="20"/>
      <c r="KW22" s="20"/>
      <c r="KX22" s="20"/>
      <c r="KY22" s="20"/>
      <c r="KZ22" s="20"/>
      <c r="LA22" s="20"/>
      <c r="LB22" s="20"/>
      <c r="LC22" s="20"/>
      <c r="LD22" s="20"/>
      <c r="LE22" s="20"/>
      <c r="LF22" s="20"/>
      <c r="LG22" s="20"/>
      <c r="LH22" s="20"/>
      <c r="LI22" s="20"/>
      <c r="LJ22" s="20"/>
      <c r="LK22" s="20"/>
      <c r="LL22" s="20"/>
      <c r="LM22" s="20"/>
      <c r="LN22" s="20"/>
      <c r="LO22" s="20"/>
      <c r="LP22" s="20"/>
      <c r="LQ22" s="20"/>
      <c r="LR22" s="20"/>
      <c r="LS22" s="20"/>
      <c r="LT22" s="20"/>
      <c r="LU22" s="20"/>
      <c r="LW22" s="20" t="s">
        <v>473</v>
      </c>
      <c r="LX22" s="20"/>
      <c r="LY22" s="20"/>
      <c r="LZ22" s="20"/>
      <c r="MA22" s="20"/>
      <c r="MB22" s="20"/>
      <c r="MC22" s="20"/>
      <c r="MD22" s="20"/>
      <c r="ME22" s="20"/>
      <c r="MF22" s="20"/>
      <c r="MG22" s="20"/>
      <c r="MH22" s="20"/>
      <c r="MI22" s="20"/>
      <c r="MJ22" s="20"/>
      <c r="MK22" s="20"/>
      <c r="ML22" s="20"/>
      <c r="MM22" s="20"/>
      <c r="MN22" s="20"/>
      <c r="MO22" s="20"/>
      <c r="MP22" s="20"/>
      <c r="MQ22" s="20"/>
      <c r="MR22" s="20"/>
      <c r="MS22" s="20"/>
      <c r="MT22" s="20"/>
      <c r="MU22" s="20"/>
      <c r="MV22" s="20"/>
      <c r="MW22" s="20"/>
      <c r="MY22" s="21" t="s">
        <v>764</v>
      </c>
      <c r="OB22" s="20">
        <v>2400</v>
      </c>
      <c r="OC22" s="20">
        <v>0</v>
      </c>
      <c r="OD22" s="20">
        <f t="shared" si="21"/>
        <v>0</v>
      </c>
      <c r="OE22" s="187">
        <f>OC35</f>
        <v>67</v>
      </c>
      <c r="OF22" s="20">
        <f t="shared" si="22"/>
        <v>0</v>
      </c>
      <c r="OG22" s="20">
        <f t="shared" si="23"/>
        <v>0</v>
      </c>
    </row>
    <row r="23" spans="1:397" x14ac:dyDescent="0.25">
      <c r="A23" s="4"/>
      <c r="B23" s="6"/>
      <c r="C23" s="4"/>
      <c r="D23" s="4"/>
      <c r="E23" s="4"/>
      <c r="F23" s="4"/>
      <c r="G23" s="4"/>
      <c r="H23" s="4"/>
      <c r="I23" s="4"/>
      <c r="J23" s="4"/>
      <c r="K23" s="4"/>
      <c r="L23" s="6" t="str">
        <f>IF(E10=$AK$22,"NOWPAL40x40SR","-------")</f>
        <v>NOWPAL40x40SR</v>
      </c>
      <c r="M23" s="14">
        <f>INDEX(cennik!$A$2:$O$529,MATCH($L23,cennik!$B$2:$B$522,0),MATCH(M$2,cennik!$A$1:$O$1,0))</f>
        <v>890404</v>
      </c>
      <c r="N23" s="14" t="str">
        <f>INDEX(cennik!$A$2:$O$529,MATCH($L23,cennik!$B$2:$B$522,0),MATCH(N$2,cennik!$A$1:$O$1,0))</f>
        <v>szt.</v>
      </c>
      <c r="O23" s="14">
        <f>IF(L23="NOWPAL40X40SR",SUM(C2:C17)*4,0)</f>
        <v>0</v>
      </c>
      <c r="P23" s="22">
        <f>INDEX(cennik!$A$2:$O$529,MATCH($L23,cennik!$B$2:$B$522,0),MATCH(P$2,cennik!$A$1:$O$1,0))</f>
        <v>0.7</v>
      </c>
      <c r="Q23" s="22">
        <f t="shared" si="14"/>
        <v>0</v>
      </c>
      <c r="R23" s="23">
        <f>$E$9</f>
        <v>0</v>
      </c>
      <c r="S23" s="22">
        <f t="shared" si="15"/>
        <v>0.7</v>
      </c>
      <c r="T23" s="22">
        <f t="shared" si="16"/>
        <v>0</v>
      </c>
      <c r="U23" s="22">
        <f>INDEX(cennik!$A$2:$O$529,MATCH($L23,cennik!$B$2:$B$522,0),MATCH(U$2,cennik!$A$1:$O$1,0))*O23</f>
        <v>0</v>
      </c>
      <c r="V23" s="20"/>
      <c r="W23" s="25"/>
      <c r="X23" s="25">
        <f t="shared" si="24"/>
        <v>4</v>
      </c>
      <c r="Y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27,$BB$2:$CA$2,0),MATCH($W$22,$AH$22:$AH$47,0)))*C27</f>
        <v>4</v>
      </c>
      <c r="Z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27,$BB$2:$CA$2,0),MATCH($W$22,$AH$22:$AH$47,0)))*C27</f>
        <v>0</v>
      </c>
      <c r="AA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27,$BB$2:$CA$2,0),MATCH($W$22,$AH$22:$AH$47,0)))*C27</f>
        <v>0</v>
      </c>
      <c r="AB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27,$BB$2:$CA$2,0),MATCH($W$22,$AH$22:$AH$47,0)))*C27</f>
        <v>2</v>
      </c>
      <c r="AC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27,$BB$2:$CA$2,0),MATCH($W$22,$AH$22:$AH$47,0)))*C27</f>
        <v>0</v>
      </c>
      <c r="AD2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27,$BB$2:$CA$2,0),MATCH($W$22,$AH$22:$AH$47,0)))*C27</f>
        <v>2</v>
      </c>
      <c r="AE23" s="20"/>
      <c r="AF23" s="20" t="s">
        <v>404</v>
      </c>
      <c r="AG23" s="20"/>
      <c r="AH23" s="20" t="s">
        <v>115</v>
      </c>
      <c r="AI23" s="20"/>
      <c r="AJ23" s="20">
        <v>1050</v>
      </c>
      <c r="AK23" s="20" t="s">
        <v>782</v>
      </c>
      <c r="AL23" s="20">
        <f t="shared" si="25"/>
        <v>0</v>
      </c>
      <c r="AM23" s="20"/>
      <c r="AN23" s="20"/>
      <c r="AO23" s="20"/>
      <c r="AP23" s="20"/>
      <c r="AQ23" s="20"/>
      <c r="AR23" s="20"/>
      <c r="AS23" s="20"/>
      <c r="AZ23" s="20"/>
      <c r="BA23" s="20" t="s">
        <v>127</v>
      </c>
      <c r="BB23" s="20">
        <v>0</v>
      </c>
      <c r="BC23" s="20">
        <v>0</v>
      </c>
      <c r="BD23" s="20">
        <v>2</v>
      </c>
      <c r="BE23" s="20">
        <v>0</v>
      </c>
      <c r="BF23" s="20">
        <v>4</v>
      </c>
      <c r="BG23" s="20">
        <v>2</v>
      </c>
      <c r="BH23" s="20">
        <v>0</v>
      </c>
      <c r="BI23" s="20">
        <v>4</v>
      </c>
      <c r="BJ23" s="20">
        <v>0</v>
      </c>
      <c r="BK23" s="20">
        <v>0</v>
      </c>
      <c r="BL23" s="20">
        <v>4</v>
      </c>
      <c r="BM23" s="20">
        <v>2</v>
      </c>
      <c r="BN23" s="20">
        <v>0</v>
      </c>
      <c r="BO23" s="20">
        <v>0</v>
      </c>
      <c r="BP23" s="20">
        <v>0</v>
      </c>
      <c r="BQ23" s="20">
        <v>0</v>
      </c>
      <c r="BR23" s="20">
        <v>2</v>
      </c>
      <c r="BS23" s="20">
        <v>2</v>
      </c>
      <c r="BT23" s="20">
        <v>0</v>
      </c>
      <c r="BU23" s="20">
        <v>0</v>
      </c>
      <c r="BV23" s="20">
        <v>0</v>
      </c>
      <c r="BW23" s="20">
        <v>0</v>
      </c>
      <c r="BX23" s="20">
        <v>4</v>
      </c>
      <c r="BY23" s="20">
        <v>0</v>
      </c>
      <c r="BZ23" s="20">
        <v>0</v>
      </c>
      <c r="CA23" s="20">
        <v>4</v>
      </c>
      <c r="CB23" s="20">
        <v>2</v>
      </c>
      <c r="CC23" s="20">
        <v>0</v>
      </c>
      <c r="CD23" s="20">
        <v>0</v>
      </c>
      <c r="CE23" s="20">
        <v>0</v>
      </c>
      <c r="CF23" s="20">
        <v>0</v>
      </c>
      <c r="CG23" s="20">
        <v>2</v>
      </c>
      <c r="CH23" s="20">
        <v>2</v>
      </c>
      <c r="CI23" s="20">
        <v>0</v>
      </c>
      <c r="CJ23" s="20">
        <v>0</v>
      </c>
      <c r="CK23" s="20">
        <v>0</v>
      </c>
      <c r="CL23" s="20">
        <v>0</v>
      </c>
      <c r="CM23" s="20">
        <v>2</v>
      </c>
      <c r="CN23" s="20">
        <v>0</v>
      </c>
      <c r="CO23" s="20">
        <v>0</v>
      </c>
      <c r="CP23" s="20">
        <v>0</v>
      </c>
      <c r="CQ23" s="20">
        <v>2</v>
      </c>
      <c r="CR23" s="20">
        <v>0</v>
      </c>
      <c r="CS23" s="20">
        <v>0</v>
      </c>
      <c r="CT23" s="20">
        <v>0</v>
      </c>
      <c r="CU23" s="20">
        <v>0</v>
      </c>
      <c r="CV23" s="20">
        <v>0</v>
      </c>
      <c r="CW23" s="20">
        <v>0</v>
      </c>
      <c r="CX23" s="20">
        <v>0</v>
      </c>
      <c r="CY23" s="20">
        <v>0</v>
      </c>
      <c r="CZ23" s="20">
        <v>2</v>
      </c>
      <c r="DA23" s="54"/>
      <c r="DB23" s="54">
        <v>22</v>
      </c>
      <c r="DC23" s="54"/>
      <c r="DD23" s="20" t="s">
        <v>474</v>
      </c>
      <c r="DE23" s="20">
        <v>0</v>
      </c>
      <c r="DF23" s="20">
        <v>1</v>
      </c>
      <c r="DG23" s="20">
        <v>2</v>
      </c>
      <c r="DH23" s="20">
        <v>3</v>
      </c>
      <c r="DI23" s="20">
        <v>4</v>
      </c>
      <c r="DJ23" s="20">
        <v>5</v>
      </c>
      <c r="DK23" s="20">
        <v>6</v>
      </c>
      <c r="DL23" s="20">
        <v>7</v>
      </c>
      <c r="DM23" s="20">
        <v>8</v>
      </c>
      <c r="DN23" s="20">
        <v>9</v>
      </c>
      <c r="DO23" s="20">
        <v>10</v>
      </c>
      <c r="DP23" s="20">
        <v>11</v>
      </c>
      <c r="DQ23" s="20">
        <v>12</v>
      </c>
      <c r="DR23" s="20">
        <v>13</v>
      </c>
      <c r="DS23" s="20">
        <v>14</v>
      </c>
      <c r="DT23" s="20">
        <v>15</v>
      </c>
      <c r="DU23" s="20">
        <v>16</v>
      </c>
      <c r="DV23" s="20">
        <v>17</v>
      </c>
      <c r="DW23" s="20">
        <v>18</v>
      </c>
      <c r="DX23" s="20">
        <v>19</v>
      </c>
      <c r="DY23" s="20">
        <v>20</v>
      </c>
      <c r="DZ23" s="20"/>
      <c r="EA23" s="20"/>
      <c r="EB23" s="20" t="s">
        <v>127</v>
      </c>
      <c r="EC23" s="20">
        <v>0</v>
      </c>
      <c r="ED23" s="20">
        <v>0</v>
      </c>
      <c r="EE23" s="20">
        <v>0</v>
      </c>
      <c r="EF23" s="20">
        <v>0</v>
      </c>
      <c r="EG23" s="20">
        <v>0</v>
      </c>
      <c r="EH23" s="20">
        <v>0</v>
      </c>
      <c r="EI23" s="20">
        <v>0</v>
      </c>
      <c r="EJ23" s="20">
        <v>2</v>
      </c>
      <c r="EK23" s="20">
        <v>0</v>
      </c>
      <c r="EL23" s="20">
        <v>0</v>
      </c>
      <c r="EM23" s="20">
        <v>0</v>
      </c>
      <c r="EN23" s="20">
        <v>0</v>
      </c>
      <c r="EO23" s="20">
        <v>0</v>
      </c>
      <c r="EP23" s="20">
        <v>0</v>
      </c>
      <c r="EQ23" s="20">
        <v>2</v>
      </c>
      <c r="ER23" s="20">
        <v>0</v>
      </c>
      <c r="ES23" s="20">
        <v>2</v>
      </c>
      <c r="ET23" s="20">
        <v>0</v>
      </c>
      <c r="EU23" s="20">
        <v>2</v>
      </c>
      <c r="EV23" s="20">
        <v>0</v>
      </c>
      <c r="EW23" s="20">
        <v>0</v>
      </c>
      <c r="EX23" s="20">
        <v>0</v>
      </c>
      <c r="EY23" s="20">
        <v>2</v>
      </c>
      <c r="EZ23" s="20">
        <v>2</v>
      </c>
      <c r="FA23" s="20">
        <v>0</v>
      </c>
      <c r="FB23" s="20">
        <v>2</v>
      </c>
      <c r="FC23" s="20">
        <v>0</v>
      </c>
      <c r="FD23" s="20">
        <v>0</v>
      </c>
      <c r="FE23" s="20">
        <v>0</v>
      </c>
      <c r="FF23" s="20">
        <v>0</v>
      </c>
      <c r="FG23" s="20">
        <v>0</v>
      </c>
      <c r="FH23" s="20">
        <v>0</v>
      </c>
      <c r="FI23" s="20">
        <v>0</v>
      </c>
      <c r="FJ23" s="20">
        <v>0</v>
      </c>
      <c r="FK23" s="20">
        <v>0</v>
      </c>
      <c r="FL23" s="20">
        <v>2</v>
      </c>
      <c r="FM23" s="20">
        <v>0</v>
      </c>
      <c r="FN23" s="20">
        <v>0</v>
      </c>
      <c r="FO23" s="20">
        <v>0</v>
      </c>
      <c r="FP23" s="20">
        <v>0</v>
      </c>
      <c r="FQ23" s="20">
        <v>0</v>
      </c>
      <c r="FR23" s="20">
        <v>0</v>
      </c>
      <c r="FS23" s="20">
        <v>0</v>
      </c>
      <c r="FT23" s="20">
        <v>0</v>
      </c>
      <c r="FU23" s="20">
        <v>0</v>
      </c>
      <c r="FV23" s="20">
        <v>0</v>
      </c>
      <c r="FW23" s="20">
        <v>0</v>
      </c>
      <c r="FX23" s="20">
        <v>0</v>
      </c>
      <c r="FY23" s="20">
        <v>0</v>
      </c>
      <c r="FZ23" s="20">
        <v>0</v>
      </c>
      <c r="GA23" s="20">
        <v>0</v>
      </c>
      <c r="GC23" s="20"/>
      <c r="GD23" s="20"/>
      <c r="GE23" s="20" t="s">
        <v>127</v>
      </c>
      <c r="GF23" s="20">
        <v>0</v>
      </c>
      <c r="GG23" s="20">
        <v>0</v>
      </c>
      <c r="GH23" s="20">
        <v>0</v>
      </c>
      <c r="GI23" s="20">
        <v>0</v>
      </c>
      <c r="GJ23" s="20">
        <v>0</v>
      </c>
      <c r="GK23" s="20">
        <v>2</v>
      </c>
      <c r="GL23" s="20">
        <v>0</v>
      </c>
      <c r="GM23" s="20">
        <v>4</v>
      </c>
      <c r="GN23" s="20">
        <v>0</v>
      </c>
      <c r="GO23" s="20">
        <v>2</v>
      </c>
      <c r="GP23" s="20">
        <v>0</v>
      </c>
      <c r="GQ23" s="20">
        <v>0</v>
      </c>
      <c r="GR23" s="20">
        <v>0</v>
      </c>
      <c r="GS23" s="20">
        <v>0</v>
      </c>
      <c r="GT23" s="20">
        <v>0</v>
      </c>
      <c r="GU23" s="20">
        <v>0</v>
      </c>
      <c r="GV23" s="20">
        <v>2</v>
      </c>
      <c r="GW23" s="20">
        <v>0</v>
      </c>
      <c r="GX23" s="20">
        <v>0</v>
      </c>
      <c r="GY23" s="20">
        <v>0</v>
      </c>
      <c r="GZ23" s="20">
        <v>0</v>
      </c>
      <c r="HA23" s="20">
        <v>0</v>
      </c>
      <c r="HB23" s="20">
        <v>4</v>
      </c>
      <c r="HC23" s="20">
        <v>0</v>
      </c>
      <c r="HD23" s="20">
        <v>2</v>
      </c>
      <c r="HE23" s="20">
        <v>0</v>
      </c>
      <c r="HF23" s="20">
        <v>0</v>
      </c>
      <c r="HG23" s="20">
        <v>0</v>
      </c>
      <c r="HH23" s="20">
        <v>0</v>
      </c>
      <c r="HI23" s="20">
        <v>0</v>
      </c>
      <c r="HJ23" s="20">
        <v>0</v>
      </c>
      <c r="HK23" s="20">
        <v>0</v>
      </c>
      <c r="HL23" s="20">
        <v>0</v>
      </c>
      <c r="HM23" s="20">
        <v>0</v>
      </c>
      <c r="HN23" s="20">
        <v>0</v>
      </c>
      <c r="HO23" s="20">
        <v>0</v>
      </c>
      <c r="HP23" s="20">
        <v>0</v>
      </c>
      <c r="HQ23" s="20">
        <v>4</v>
      </c>
      <c r="HR23" s="20">
        <v>0</v>
      </c>
      <c r="HS23" s="20">
        <v>2</v>
      </c>
      <c r="HT23" s="20">
        <v>0</v>
      </c>
      <c r="HU23" s="20">
        <v>0</v>
      </c>
      <c r="HV23" s="20">
        <v>0</v>
      </c>
      <c r="HW23" s="20">
        <v>0</v>
      </c>
      <c r="HX23" s="20">
        <v>0</v>
      </c>
      <c r="HY23" s="20">
        <v>0</v>
      </c>
      <c r="HZ23" s="20">
        <v>0</v>
      </c>
      <c r="IA23" s="20">
        <v>0</v>
      </c>
      <c r="IB23" s="20">
        <v>0</v>
      </c>
      <c r="IC23" s="20">
        <v>0</v>
      </c>
      <c r="ID23" s="20">
        <v>0</v>
      </c>
      <c r="IF23" s="21" t="s">
        <v>127</v>
      </c>
      <c r="IG23" s="21">
        <v>0</v>
      </c>
      <c r="IH23" s="21">
        <v>0</v>
      </c>
      <c r="II23" s="21">
        <v>0</v>
      </c>
      <c r="IJ23" s="21">
        <v>0</v>
      </c>
      <c r="IK23" s="21">
        <v>0</v>
      </c>
      <c r="IL23" s="21">
        <v>0</v>
      </c>
      <c r="IM23" s="21">
        <v>0</v>
      </c>
      <c r="IN23" s="21">
        <v>4</v>
      </c>
      <c r="IO23" s="21">
        <v>0</v>
      </c>
      <c r="IP23" s="21">
        <v>0</v>
      </c>
      <c r="IQ23" s="21">
        <v>0</v>
      </c>
      <c r="IR23" s="21">
        <v>2</v>
      </c>
      <c r="IS23" s="21">
        <v>0</v>
      </c>
      <c r="IT23" s="21">
        <v>0</v>
      </c>
      <c r="IU23" s="21">
        <v>0</v>
      </c>
      <c r="IV23" s="21">
        <v>2</v>
      </c>
      <c r="IW23" s="21">
        <v>0</v>
      </c>
      <c r="IX23" s="21">
        <v>2</v>
      </c>
      <c r="IY23" s="21">
        <v>2</v>
      </c>
      <c r="IZ23" s="21">
        <v>0</v>
      </c>
      <c r="JA23" s="21">
        <v>0</v>
      </c>
      <c r="JB23" s="21">
        <v>0</v>
      </c>
      <c r="JC23" s="21">
        <v>4</v>
      </c>
      <c r="JD23" s="21">
        <v>0</v>
      </c>
      <c r="JE23" s="21">
        <v>0</v>
      </c>
      <c r="JF23" s="21">
        <v>2</v>
      </c>
      <c r="JI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27,$JT$2:$KS$2,0),MATCH($W$22,$AH$22:$AH$47,0)))*C27</f>
        <v>4</v>
      </c>
      <c r="JJ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27,$JT$2:$KS$2,0),MATCH($W$22,$AH$22:$AH$47,0)))*C27</f>
        <v>0</v>
      </c>
      <c r="JK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27,$JT$2:$KS$2,0),MATCH($W$22,$AH$22:$AH$47,0)))*C27</f>
        <v>0</v>
      </c>
      <c r="JL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27,$JT$2:$KS$2,0),MATCH($W$22,$AH$22:$AH$47,0)))*C27</f>
        <v>2</v>
      </c>
      <c r="JM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27,$JT$2:$KS$2,0),MATCH($W$22,$AH$22:$AH$47,0)))*C27</f>
        <v>0</v>
      </c>
      <c r="JN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27,$JT$2:$KS$2,0),MATCH($W$22,$AH$22:$AH$47,0)))*C27</f>
        <v>0</v>
      </c>
      <c r="JO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27,$JT$2:$KS$2,0),MATCH($W$22,$AH$22:$AH$47,0)))*C27</f>
        <v>2</v>
      </c>
      <c r="JP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27,$JT$2:$KS$2,0),MATCH($W$22,$AH$22:$AH$47,0)))*C27</f>
        <v>0</v>
      </c>
      <c r="JQ2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27,$JT$2:$KS$2,0),MATCH($W$22,$AH$22:$AH$47,0)))*C27</f>
        <v>0</v>
      </c>
      <c r="JS23" s="20"/>
      <c r="JT23" s="20">
        <v>0</v>
      </c>
      <c r="JU23" s="20">
        <v>1</v>
      </c>
      <c r="JV23" s="20">
        <v>2</v>
      </c>
      <c r="JW23" s="20">
        <v>3</v>
      </c>
      <c r="JX23" s="20">
        <v>4</v>
      </c>
      <c r="JY23" s="20">
        <v>5</v>
      </c>
      <c r="JZ23" s="20">
        <v>6</v>
      </c>
      <c r="KA23" s="20">
        <v>7</v>
      </c>
      <c r="KB23" s="20">
        <v>8</v>
      </c>
      <c r="KC23" s="20">
        <v>9</v>
      </c>
      <c r="KD23" s="20">
        <v>10</v>
      </c>
      <c r="KE23" s="20">
        <v>11</v>
      </c>
      <c r="KF23" s="20">
        <v>12</v>
      </c>
      <c r="KG23" s="20">
        <v>13</v>
      </c>
      <c r="KH23" s="20">
        <v>14</v>
      </c>
      <c r="KI23" s="20">
        <v>15</v>
      </c>
      <c r="KJ23" s="20">
        <v>16</v>
      </c>
      <c r="KK23" s="20">
        <v>17</v>
      </c>
      <c r="KL23" s="20">
        <v>18</v>
      </c>
      <c r="KM23" s="20">
        <v>19</v>
      </c>
      <c r="KN23" s="20">
        <v>20</v>
      </c>
      <c r="KO23" s="20">
        <v>21</v>
      </c>
      <c r="KP23" s="20">
        <v>22</v>
      </c>
      <c r="KQ23" s="20">
        <v>23</v>
      </c>
      <c r="KR23" s="20">
        <v>24</v>
      </c>
      <c r="KS23" s="20">
        <v>25</v>
      </c>
      <c r="KU23" s="20"/>
      <c r="KV23" s="20">
        <v>0</v>
      </c>
      <c r="KW23" s="20">
        <v>1</v>
      </c>
      <c r="KX23" s="20">
        <v>2</v>
      </c>
      <c r="KY23" s="20">
        <v>3</v>
      </c>
      <c r="KZ23" s="20">
        <v>4</v>
      </c>
      <c r="LA23" s="20">
        <v>5</v>
      </c>
      <c r="LB23" s="20">
        <v>6</v>
      </c>
      <c r="LC23" s="20">
        <v>7</v>
      </c>
      <c r="LD23" s="20">
        <v>8</v>
      </c>
      <c r="LE23" s="20">
        <v>9</v>
      </c>
      <c r="LF23" s="20">
        <v>10</v>
      </c>
      <c r="LG23" s="20">
        <v>11</v>
      </c>
      <c r="LH23" s="20">
        <v>12</v>
      </c>
      <c r="LI23" s="20">
        <v>13</v>
      </c>
      <c r="LJ23" s="20">
        <v>14</v>
      </c>
      <c r="LK23" s="20">
        <v>15</v>
      </c>
      <c r="LL23" s="20">
        <v>16</v>
      </c>
      <c r="LM23" s="20">
        <v>17</v>
      </c>
      <c r="LN23" s="20">
        <v>18</v>
      </c>
      <c r="LO23" s="20">
        <v>19</v>
      </c>
      <c r="LP23" s="20">
        <v>20</v>
      </c>
      <c r="LQ23" s="20">
        <v>21</v>
      </c>
      <c r="LR23" s="20">
        <v>22</v>
      </c>
      <c r="LS23" s="20">
        <v>23</v>
      </c>
      <c r="LT23" s="20">
        <v>24</v>
      </c>
      <c r="LU23" s="20">
        <v>25</v>
      </c>
      <c r="LW23" s="20"/>
      <c r="LX23" s="20">
        <v>0</v>
      </c>
      <c r="LY23" s="20">
        <v>1</v>
      </c>
      <c r="LZ23" s="20">
        <v>2</v>
      </c>
      <c r="MA23" s="20">
        <v>3</v>
      </c>
      <c r="MB23" s="20">
        <v>4</v>
      </c>
      <c r="MC23" s="20">
        <v>5</v>
      </c>
      <c r="MD23" s="20">
        <v>6</v>
      </c>
      <c r="ME23" s="20">
        <v>7</v>
      </c>
      <c r="MF23" s="20">
        <v>8</v>
      </c>
      <c r="MG23" s="20">
        <v>9</v>
      </c>
      <c r="MH23" s="20">
        <v>10</v>
      </c>
      <c r="MI23" s="20">
        <v>11</v>
      </c>
      <c r="MJ23" s="20">
        <v>12</v>
      </c>
      <c r="MK23" s="20">
        <v>13</v>
      </c>
      <c r="ML23" s="20">
        <v>14</v>
      </c>
      <c r="MM23" s="20">
        <v>15</v>
      </c>
      <c r="MN23" s="20">
        <v>16</v>
      </c>
      <c r="MO23" s="20">
        <v>17</v>
      </c>
      <c r="MP23" s="20">
        <v>18</v>
      </c>
      <c r="MQ23" s="20">
        <v>19</v>
      </c>
      <c r="MR23" s="20">
        <v>20</v>
      </c>
      <c r="MS23" s="20">
        <v>21</v>
      </c>
      <c r="MT23" s="20">
        <v>22</v>
      </c>
      <c r="MU23" s="20">
        <v>23</v>
      </c>
      <c r="MV23" s="20">
        <v>24</v>
      </c>
      <c r="MW23" s="20">
        <v>25</v>
      </c>
      <c r="MZ23" s="21">
        <v>0</v>
      </c>
      <c r="NA23" s="21">
        <v>1</v>
      </c>
      <c r="NB23" s="21">
        <v>2</v>
      </c>
      <c r="NC23" s="21">
        <v>3</v>
      </c>
      <c r="ND23" s="21">
        <v>4</v>
      </c>
      <c r="NE23" s="21">
        <v>5</v>
      </c>
      <c r="NF23" s="21">
        <v>6</v>
      </c>
      <c r="NG23" s="21">
        <v>7</v>
      </c>
      <c r="NH23" s="21">
        <v>8</v>
      </c>
      <c r="NI23" s="21">
        <v>9</v>
      </c>
      <c r="NJ23" s="21">
        <v>10</v>
      </c>
      <c r="NK23" s="21">
        <v>11</v>
      </c>
      <c r="NL23" s="21">
        <v>12</v>
      </c>
      <c r="NM23" s="21">
        <v>13</v>
      </c>
      <c r="NN23" s="21">
        <v>14</v>
      </c>
      <c r="NO23" s="21">
        <v>15</v>
      </c>
      <c r="NP23" s="21">
        <v>16</v>
      </c>
      <c r="NQ23" s="21">
        <v>17</v>
      </c>
      <c r="NR23" s="21">
        <v>18</v>
      </c>
      <c r="NS23" s="21">
        <v>19</v>
      </c>
      <c r="NT23" s="21">
        <v>20</v>
      </c>
      <c r="NU23" s="21">
        <v>21</v>
      </c>
      <c r="NV23" s="21">
        <v>22</v>
      </c>
      <c r="NW23" s="21">
        <v>23</v>
      </c>
      <c r="NX23" s="21">
        <v>24</v>
      </c>
      <c r="NY23" s="21">
        <v>25</v>
      </c>
      <c r="OB23" s="20">
        <v>3150</v>
      </c>
      <c r="OC23" s="20">
        <v>0</v>
      </c>
      <c r="OD23" s="20">
        <f t="shared" si="21"/>
        <v>0</v>
      </c>
      <c r="OE23" s="187">
        <f>OC36</f>
        <v>89</v>
      </c>
      <c r="OF23" s="20">
        <f t="shared" si="22"/>
        <v>0</v>
      </c>
      <c r="OG23" s="20">
        <f t="shared" si="23"/>
        <v>0</v>
      </c>
    </row>
    <row r="24" spans="1:397" x14ac:dyDescent="0.25">
      <c r="A24" s="4"/>
      <c r="B24" s="6"/>
      <c r="C24" s="4"/>
      <c r="D24" s="4"/>
      <c r="E24" s="4"/>
      <c r="F24" s="4"/>
      <c r="G24" s="4"/>
      <c r="H24" s="4"/>
      <c r="I24" s="4"/>
      <c r="J24" s="4"/>
      <c r="K24" s="4"/>
      <c r="L24" s="6" t="s">
        <v>1019</v>
      </c>
      <c r="M24" s="14">
        <f>INDEX(cennik!$A$2:$O$529,MATCH($L24,cennik!$B$2:$B$522,0),MATCH(M$2,cennik!$A$1:$O$1,0))</f>
        <v>166794</v>
      </c>
      <c r="N24" s="14" t="str">
        <f>INDEX(cennik!$A$2:$O$529,MATCH($L24,cennik!$B$2:$B$522,0),MATCH(N$2,cennik!$A$1:$O$1,0))</f>
        <v>100 szt.</v>
      </c>
      <c r="O24" s="14">
        <f>ROUNDUP((O18/100),0)</f>
        <v>0</v>
      </c>
      <c r="P24" s="22">
        <f>INDEX(cennik!$A$2:$O$529,MATCH($L24,cennik!$B$2:$B$522,0),MATCH(P$2,cennik!$A$1:$O$1,0))</f>
        <v>3.95</v>
      </c>
      <c r="Q24" s="22">
        <f t="shared" si="14"/>
        <v>0</v>
      </c>
      <c r="R24" s="23">
        <f>$E$9</f>
        <v>0</v>
      </c>
      <c r="S24" s="22">
        <f t="shared" si="15"/>
        <v>3.95</v>
      </c>
      <c r="T24" s="22">
        <f t="shared" si="16"/>
        <v>0</v>
      </c>
      <c r="U24" s="22">
        <f>INDEX(cennik!$A$2:$O$529,MATCH($L24,cennik!$B$2:$B$522,0),MATCH(U$2,cennik!$A$1:$O$1,0))*O24</f>
        <v>0</v>
      </c>
      <c r="V24" s="20" t="s">
        <v>841</v>
      </c>
      <c r="W24" s="20">
        <f>IF(G28=$AH$22,$AJ$22,IF(G28=$AH$23,$AJ$23,IF(G28=$AH$24,$AJ$24,IF(G28=$AH$25,$AJ$25,IF(G28=$AH$26,$AJ$26,IF(G28=$AH$27,$AJ$27,IF(G28=$AH$28,$AJ$28,IF(G28=$AH$29,$AJ$29,0))))))))</f>
        <v>1050</v>
      </c>
      <c r="X24" s="25">
        <f t="shared" si="24"/>
        <v>4</v>
      </c>
      <c r="Y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28,$BB$2:$CA$2,0),MATCH($W$22,$AH$22:$AH$47,0)))*C28</f>
        <v>0</v>
      </c>
      <c r="Z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28,$BB$2:$CA$2,0),MATCH($W$22,$AH$22:$AH$47,0)))*C28</f>
        <v>0</v>
      </c>
      <c r="AA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28,$BB$2:$CA$2,0),MATCH($W$22,$AH$22:$AH$47,0)))*C28</f>
        <v>0</v>
      </c>
      <c r="AB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28,$BB$2:$CA$2,0),MATCH($W$22,$AH$22:$AH$47,0)))*C28</f>
        <v>0</v>
      </c>
      <c r="AC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28,$BB$2:$CA$2,0),MATCH($W$22,$AH$22:$AH$47,0)))*C28</f>
        <v>0</v>
      </c>
      <c r="AD2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28,$BB$2:$CA$2,0),MATCH($W$22,$AH$22:$AH$47,0)))*C28</f>
        <v>0</v>
      </c>
      <c r="AE24" s="20"/>
      <c r="AF24" s="20" t="s">
        <v>398</v>
      </c>
      <c r="AG24" s="20"/>
      <c r="AH24" s="20" t="s">
        <v>474</v>
      </c>
      <c r="AI24" s="20"/>
      <c r="AJ24" s="20">
        <v>1100</v>
      </c>
      <c r="AK24" s="20" t="s">
        <v>778</v>
      </c>
      <c r="AL24" s="20">
        <f t="shared" si="25"/>
        <v>0</v>
      </c>
      <c r="AM24" s="20"/>
      <c r="AN24" s="20"/>
      <c r="AO24" s="20"/>
      <c r="AP24" s="20"/>
      <c r="AQ24" s="20"/>
      <c r="AR24" s="20"/>
      <c r="AS24" s="20"/>
      <c r="AZ24" s="20"/>
      <c r="BA24" s="20" t="s">
        <v>15</v>
      </c>
      <c r="BB24" s="20">
        <v>0</v>
      </c>
      <c r="BC24" s="20">
        <v>0</v>
      </c>
      <c r="BD24" s="20">
        <v>0</v>
      </c>
      <c r="BE24" s="20">
        <v>0</v>
      </c>
      <c r="BF24" s="20">
        <v>0</v>
      </c>
      <c r="BG24" s="20">
        <v>0</v>
      </c>
      <c r="BH24" s="20">
        <v>0</v>
      </c>
      <c r="BI24" s="20">
        <v>2</v>
      </c>
      <c r="BJ24" s="20">
        <v>0</v>
      </c>
      <c r="BK24" s="20">
        <v>2</v>
      </c>
      <c r="BL24" s="20">
        <v>2</v>
      </c>
      <c r="BM24" s="20">
        <v>2</v>
      </c>
      <c r="BN24" s="20">
        <v>4</v>
      </c>
      <c r="BO24" s="20">
        <v>0</v>
      </c>
      <c r="BP24" s="20">
        <v>2</v>
      </c>
      <c r="BQ24" s="20">
        <v>4</v>
      </c>
      <c r="BR24" s="20">
        <v>2</v>
      </c>
      <c r="BS24" s="20">
        <v>6</v>
      </c>
      <c r="BT24" s="20">
        <v>4</v>
      </c>
      <c r="BU24" s="20">
        <v>2</v>
      </c>
      <c r="BV24" s="20">
        <v>4</v>
      </c>
      <c r="BW24" s="20">
        <v>6</v>
      </c>
      <c r="BX24" s="20">
        <v>8</v>
      </c>
      <c r="BY24" s="20">
        <v>4</v>
      </c>
      <c r="BZ24" s="20">
        <v>6</v>
      </c>
      <c r="CA24" s="20">
        <v>6</v>
      </c>
      <c r="CB24" s="20">
        <v>6</v>
      </c>
      <c r="CC24" s="20">
        <v>6</v>
      </c>
      <c r="CD24" s="20">
        <v>4</v>
      </c>
      <c r="CE24" s="20">
        <v>6</v>
      </c>
      <c r="CF24" s="20">
        <v>8</v>
      </c>
      <c r="CG24" s="20">
        <v>6</v>
      </c>
      <c r="CH24" s="20">
        <v>12</v>
      </c>
      <c r="CI24" s="20">
        <v>8</v>
      </c>
      <c r="CJ24" s="20">
        <v>22</v>
      </c>
      <c r="CK24" s="20">
        <v>24</v>
      </c>
      <c r="CL24" s="20">
        <v>10</v>
      </c>
      <c r="CM24" s="20">
        <v>0</v>
      </c>
      <c r="CN24" s="20">
        <v>24</v>
      </c>
      <c r="CO24" s="20">
        <v>10</v>
      </c>
      <c r="CP24" s="20">
        <v>0</v>
      </c>
      <c r="CQ24" s="20">
        <v>10</v>
      </c>
      <c r="CR24" s="20">
        <v>10</v>
      </c>
      <c r="CS24" s="20">
        <v>0</v>
      </c>
      <c r="CT24" s="20">
        <v>26</v>
      </c>
      <c r="CU24" s="20">
        <v>12</v>
      </c>
      <c r="CV24" s="20">
        <v>0</v>
      </c>
      <c r="CW24" s="20">
        <v>4</v>
      </c>
      <c r="CX24" s="20">
        <v>12</v>
      </c>
      <c r="CY24" s="20">
        <v>0</v>
      </c>
      <c r="CZ24" s="20">
        <v>12</v>
      </c>
      <c r="DA24" s="54"/>
      <c r="DB24" s="54">
        <v>23</v>
      </c>
      <c r="DC24" s="54"/>
      <c r="DD24" s="20" t="s">
        <v>127</v>
      </c>
      <c r="DE24" s="20">
        <v>0</v>
      </c>
      <c r="DF24" s="20">
        <v>2</v>
      </c>
      <c r="DG24" s="20">
        <v>0</v>
      </c>
      <c r="DH24" s="20">
        <v>4</v>
      </c>
      <c r="DI24" s="20">
        <v>2</v>
      </c>
      <c r="DJ24" s="20">
        <v>0</v>
      </c>
      <c r="DK24" s="20">
        <v>4</v>
      </c>
      <c r="DL24" s="20">
        <v>2</v>
      </c>
      <c r="DM24" s="20">
        <v>0</v>
      </c>
      <c r="DN24" s="20">
        <v>4</v>
      </c>
      <c r="DO24" s="20">
        <v>2</v>
      </c>
      <c r="DP24" s="20">
        <v>0</v>
      </c>
      <c r="DQ24" s="20">
        <v>4</v>
      </c>
      <c r="DR24" s="20">
        <v>2</v>
      </c>
      <c r="DS24" s="20">
        <v>0</v>
      </c>
      <c r="DT24" s="20">
        <v>4</v>
      </c>
      <c r="DU24" s="20">
        <v>2</v>
      </c>
      <c r="DV24" s="20">
        <v>0</v>
      </c>
      <c r="DW24" s="20">
        <v>4</v>
      </c>
      <c r="DX24" s="20">
        <v>2</v>
      </c>
      <c r="DY24" s="20">
        <v>0</v>
      </c>
      <c r="DZ24" s="20"/>
      <c r="EA24" s="20"/>
      <c r="EB24" s="20" t="s">
        <v>15</v>
      </c>
      <c r="EC24" s="20">
        <v>0</v>
      </c>
      <c r="ED24" s="20">
        <v>0</v>
      </c>
      <c r="EE24" s="20">
        <v>0</v>
      </c>
      <c r="EF24" s="20">
        <v>2</v>
      </c>
      <c r="EG24" s="20">
        <v>2</v>
      </c>
      <c r="EH24" s="20">
        <v>0</v>
      </c>
      <c r="EI24" s="20">
        <v>4</v>
      </c>
      <c r="EJ24" s="20">
        <v>0</v>
      </c>
      <c r="EK24" s="20">
        <v>2</v>
      </c>
      <c r="EL24" s="20">
        <v>10</v>
      </c>
      <c r="EM24" s="20">
        <v>0</v>
      </c>
      <c r="EN24" s="20">
        <v>10</v>
      </c>
      <c r="EO24" s="20">
        <v>0</v>
      </c>
      <c r="EP24" s="20">
        <v>6</v>
      </c>
      <c r="EQ24" s="20">
        <v>14</v>
      </c>
      <c r="ER24" s="20">
        <v>4</v>
      </c>
      <c r="ES24" s="20">
        <v>10</v>
      </c>
      <c r="ET24" s="20">
        <v>2</v>
      </c>
      <c r="EU24" s="20">
        <v>8</v>
      </c>
      <c r="EV24" s="20">
        <v>0</v>
      </c>
      <c r="EW24" s="20">
        <v>20</v>
      </c>
      <c r="EX24" s="20">
        <v>0</v>
      </c>
      <c r="EY24" s="20">
        <v>8</v>
      </c>
      <c r="EZ24" s="20">
        <v>24</v>
      </c>
      <c r="FA24" s="20">
        <v>16</v>
      </c>
      <c r="FB24" s="20">
        <v>22</v>
      </c>
      <c r="FC24" s="20">
        <v>14</v>
      </c>
      <c r="FD24" s="20">
        <v>8</v>
      </c>
      <c r="FE24" s="20">
        <v>12</v>
      </c>
      <c r="FF24" s="20">
        <v>32</v>
      </c>
      <c r="FG24" s="20">
        <v>10</v>
      </c>
      <c r="FH24" s="20">
        <v>30</v>
      </c>
      <c r="FI24" s="20">
        <v>6</v>
      </c>
      <c r="FJ24" s="20">
        <v>28</v>
      </c>
      <c r="FK24" s="20">
        <v>4</v>
      </c>
      <c r="FL24" s="20">
        <v>10</v>
      </c>
      <c r="FM24" s="20">
        <v>2</v>
      </c>
      <c r="FN24" s="20">
        <v>2</v>
      </c>
      <c r="FO24" s="20">
        <v>0</v>
      </c>
      <c r="FP24" s="20">
        <v>20</v>
      </c>
      <c r="FQ24" s="20">
        <v>0</v>
      </c>
      <c r="FR24" s="20">
        <v>18</v>
      </c>
      <c r="FS24" s="20">
        <v>0</v>
      </c>
      <c r="FT24" s="20">
        <v>16</v>
      </c>
      <c r="FU24" s="20">
        <v>0</v>
      </c>
      <c r="FV24" s="20">
        <v>14</v>
      </c>
      <c r="FW24" s="20">
        <v>0</v>
      </c>
      <c r="FX24" s="20">
        <v>12</v>
      </c>
      <c r="FY24" s="20">
        <v>32</v>
      </c>
      <c r="FZ24" s="20">
        <v>10</v>
      </c>
      <c r="GA24" s="20">
        <v>30</v>
      </c>
      <c r="GC24" s="20"/>
      <c r="GD24" s="20"/>
      <c r="GE24" s="20" t="s">
        <v>15</v>
      </c>
      <c r="GF24" s="20">
        <v>0</v>
      </c>
      <c r="GG24" s="20">
        <v>0</v>
      </c>
      <c r="GH24" s="20">
        <v>0</v>
      </c>
      <c r="GI24" s="20">
        <v>4</v>
      </c>
      <c r="GJ24" s="20">
        <v>4</v>
      </c>
      <c r="GK24" s="20">
        <v>0</v>
      </c>
      <c r="GL24" s="20">
        <v>0</v>
      </c>
      <c r="GM24" s="20">
        <v>6</v>
      </c>
      <c r="GN24" s="20">
        <v>8</v>
      </c>
      <c r="GO24" s="20">
        <v>10</v>
      </c>
      <c r="GP24" s="20">
        <v>0</v>
      </c>
      <c r="GQ24" s="20">
        <v>0</v>
      </c>
      <c r="GR24" s="20">
        <v>4</v>
      </c>
      <c r="GS24" s="20">
        <v>8</v>
      </c>
      <c r="GT24" s="20">
        <v>8</v>
      </c>
      <c r="GU24" s="20">
        <v>0</v>
      </c>
      <c r="GV24" s="20">
        <v>0</v>
      </c>
      <c r="GW24" s="20">
        <v>8</v>
      </c>
      <c r="GX24" s="20">
        <v>6</v>
      </c>
      <c r="GY24" s="20">
        <v>24</v>
      </c>
      <c r="GZ24" s="20">
        <v>0</v>
      </c>
      <c r="HA24" s="20">
        <v>14</v>
      </c>
      <c r="HB24" s="20">
        <v>8</v>
      </c>
      <c r="HC24" s="20">
        <v>6</v>
      </c>
      <c r="HD24" s="20">
        <v>8</v>
      </c>
      <c r="HE24" s="20">
        <v>0</v>
      </c>
      <c r="HF24" s="20">
        <v>14</v>
      </c>
      <c r="HG24" s="20">
        <v>6</v>
      </c>
      <c r="HH24" s="20">
        <v>6</v>
      </c>
      <c r="HI24" s="20">
        <v>22</v>
      </c>
      <c r="HJ24" s="20">
        <v>0</v>
      </c>
      <c r="HK24" s="20">
        <v>14</v>
      </c>
      <c r="HL24" s="20">
        <v>10</v>
      </c>
      <c r="HM24" s="20">
        <v>4</v>
      </c>
      <c r="HN24" s="20">
        <v>22</v>
      </c>
      <c r="HO24" s="20">
        <v>0</v>
      </c>
      <c r="HP24" s="20">
        <v>12</v>
      </c>
      <c r="HQ24" s="20">
        <v>10</v>
      </c>
      <c r="HR24" s="20">
        <v>4</v>
      </c>
      <c r="HS24" s="20">
        <v>6</v>
      </c>
      <c r="HT24" s="20">
        <v>0</v>
      </c>
      <c r="HU24" s="20">
        <v>12</v>
      </c>
      <c r="HV24" s="20">
        <v>8</v>
      </c>
      <c r="HW24" s="20">
        <v>4</v>
      </c>
      <c r="HX24" s="20">
        <v>20</v>
      </c>
      <c r="HY24" s="20">
        <v>0</v>
      </c>
      <c r="HZ24" s="20">
        <v>12</v>
      </c>
      <c r="IA24" s="20">
        <v>12</v>
      </c>
      <c r="IB24" s="20">
        <v>2</v>
      </c>
      <c r="IC24" s="20">
        <v>20</v>
      </c>
      <c r="ID24" s="20">
        <v>0</v>
      </c>
      <c r="IF24" s="21" t="s">
        <v>15</v>
      </c>
      <c r="IG24" s="21">
        <v>0</v>
      </c>
      <c r="IH24" s="21">
        <v>2</v>
      </c>
      <c r="II24" s="21">
        <v>2</v>
      </c>
      <c r="IJ24" s="21">
        <v>2</v>
      </c>
      <c r="IK24" s="21">
        <v>2</v>
      </c>
      <c r="IL24" s="21">
        <v>8</v>
      </c>
      <c r="IM24" s="21">
        <v>8</v>
      </c>
      <c r="IN24" s="21">
        <v>8</v>
      </c>
      <c r="IO24" s="21">
        <v>4</v>
      </c>
      <c r="IP24" s="21">
        <v>14</v>
      </c>
      <c r="IQ24" s="21">
        <v>10</v>
      </c>
      <c r="IR24" s="21">
        <v>6</v>
      </c>
      <c r="IS24" s="21">
        <v>4</v>
      </c>
      <c r="IT24" s="21">
        <v>16</v>
      </c>
      <c r="IU24" s="21">
        <v>12</v>
      </c>
      <c r="IV24" s="21">
        <v>8</v>
      </c>
      <c r="IW24" s="21">
        <v>6</v>
      </c>
      <c r="IX24" s="21">
        <v>8</v>
      </c>
      <c r="IY24" s="21">
        <v>14</v>
      </c>
      <c r="IZ24" s="21">
        <v>0</v>
      </c>
      <c r="JA24" s="21">
        <v>8</v>
      </c>
      <c r="JB24" s="21">
        <v>20</v>
      </c>
      <c r="JC24" s="21">
        <v>8</v>
      </c>
      <c r="JD24" s="21">
        <v>0</v>
      </c>
      <c r="JE24" s="21">
        <v>10</v>
      </c>
      <c r="JF24" s="21">
        <v>6</v>
      </c>
      <c r="JI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28,$JT$2:$KS$2,0),MATCH($W$22,$AH$22:$AH$47,0)))*C28</f>
        <v>0</v>
      </c>
      <c r="JJ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28,$JT$2:$KS$2,0),MATCH($W$22,$AH$22:$AH$47,0)))*C28</f>
        <v>0</v>
      </c>
      <c r="JK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28,$JT$2:$KS$2,0),MATCH($W$22,$AH$22:$AH$47,0)))*C28</f>
        <v>0</v>
      </c>
      <c r="JL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28,$JT$2:$KS$2,0),MATCH($W$22,$AH$22:$AH$47,0)))*C28</f>
        <v>0</v>
      </c>
      <c r="JM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28,$JT$2:$KS$2,0),MATCH($W$22,$AH$22:$AH$47,0)))*C28</f>
        <v>0</v>
      </c>
      <c r="JN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28,$JT$2:$KS$2,0),MATCH($W$22,$AH$22:$AH$47,0)))*C28</f>
        <v>0</v>
      </c>
      <c r="JO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28,$JT$2:$KS$2,0),MATCH($W$22,$AH$22:$AH$47,0)))*C28</f>
        <v>0</v>
      </c>
      <c r="JP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28,$JT$2:$KS$2,0),MATCH($W$22,$AH$22:$AH$47,0)))*C28</f>
        <v>0</v>
      </c>
      <c r="JQ2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28,$JT$2:$KS$2,0),MATCH($W$22,$AH$22:$AH$47,0)))*C28</f>
        <v>0</v>
      </c>
      <c r="JS24" s="20" t="s">
        <v>126</v>
      </c>
      <c r="JT24" s="20">
        <v>0</v>
      </c>
      <c r="JU24" s="20">
        <v>2</v>
      </c>
      <c r="JV24" s="20">
        <v>0</v>
      </c>
      <c r="JW24" s="20">
        <v>0</v>
      </c>
      <c r="JX24" s="20">
        <v>0</v>
      </c>
      <c r="JY24" s="20">
        <v>0</v>
      </c>
      <c r="JZ24" s="20">
        <v>0</v>
      </c>
      <c r="KA24" s="20">
        <v>0</v>
      </c>
      <c r="KB24" s="20">
        <v>0</v>
      </c>
      <c r="KC24" s="20">
        <v>0</v>
      </c>
      <c r="KD24" s="20">
        <v>0</v>
      </c>
      <c r="KE24" s="20">
        <v>0</v>
      </c>
      <c r="KF24" s="20">
        <v>0</v>
      </c>
      <c r="KG24" s="20">
        <v>0</v>
      </c>
      <c r="KH24" s="20">
        <v>0</v>
      </c>
      <c r="KI24" s="20">
        <v>0</v>
      </c>
      <c r="KJ24" s="20">
        <v>0</v>
      </c>
      <c r="KK24" s="20">
        <v>2</v>
      </c>
      <c r="KL24" s="20">
        <v>0</v>
      </c>
      <c r="KM24" s="20">
        <v>0</v>
      </c>
      <c r="KN24" s="20">
        <v>0</v>
      </c>
      <c r="KO24" s="20">
        <v>0</v>
      </c>
      <c r="KP24" s="20">
        <v>0</v>
      </c>
      <c r="KQ24" s="20">
        <v>0</v>
      </c>
      <c r="KR24" s="20">
        <v>0</v>
      </c>
      <c r="KS24" s="20">
        <v>0</v>
      </c>
      <c r="KU24" s="20" t="s">
        <v>126</v>
      </c>
      <c r="KV24" s="20">
        <v>0</v>
      </c>
      <c r="KW24" s="20">
        <v>0</v>
      </c>
      <c r="KX24" s="20">
        <v>0</v>
      </c>
      <c r="KY24" s="20">
        <v>0</v>
      </c>
      <c r="KZ24" s="20">
        <v>0</v>
      </c>
      <c r="LA24" s="20">
        <v>0</v>
      </c>
      <c r="LB24" s="20">
        <v>0</v>
      </c>
      <c r="LC24" s="20">
        <v>0</v>
      </c>
      <c r="LD24" s="20">
        <v>0</v>
      </c>
      <c r="LE24" s="20">
        <v>0</v>
      </c>
      <c r="LF24" s="20">
        <v>0</v>
      </c>
      <c r="LG24" s="20">
        <v>0</v>
      </c>
      <c r="LH24" s="20">
        <v>0</v>
      </c>
      <c r="LI24" s="20">
        <v>0</v>
      </c>
      <c r="LJ24" s="20">
        <v>0</v>
      </c>
      <c r="LK24" s="20">
        <v>0</v>
      </c>
      <c r="LL24" s="20">
        <v>0</v>
      </c>
      <c r="LM24" s="20">
        <v>0</v>
      </c>
      <c r="LN24" s="20">
        <v>0</v>
      </c>
      <c r="LO24" s="20">
        <v>0</v>
      </c>
      <c r="LP24" s="20">
        <v>0</v>
      </c>
      <c r="LQ24" s="20">
        <v>0</v>
      </c>
      <c r="LR24" s="20">
        <v>0</v>
      </c>
      <c r="LS24" s="20">
        <v>0</v>
      </c>
      <c r="LT24" s="20">
        <v>0</v>
      </c>
      <c r="LU24" s="20">
        <v>0</v>
      </c>
      <c r="LW24" s="20" t="s">
        <v>126</v>
      </c>
      <c r="LX24" s="20">
        <v>0</v>
      </c>
      <c r="LY24" s="20">
        <v>0</v>
      </c>
      <c r="LZ24" s="20">
        <v>0</v>
      </c>
      <c r="MA24" s="20">
        <v>0</v>
      </c>
      <c r="MB24" s="20">
        <v>0</v>
      </c>
      <c r="MC24" s="20">
        <v>0</v>
      </c>
      <c r="MD24" s="20">
        <v>0</v>
      </c>
      <c r="ME24" s="20">
        <v>0</v>
      </c>
      <c r="MF24" s="20">
        <v>0</v>
      </c>
      <c r="MG24" s="20">
        <v>0</v>
      </c>
      <c r="MH24" s="20">
        <v>0</v>
      </c>
      <c r="MI24" s="20">
        <v>0</v>
      </c>
      <c r="MJ24" s="20">
        <v>0</v>
      </c>
      <c r="MK24" s="20">
        <v>0</v>
      </c>
      <c r="ML24" s="20">
        <v>0</v>
      </c>
      <c r="MM24" s="20">
        <v>0</v>
      </c>
      <c r="MN24" s="20">
        <v>0</v>
      </c>
      <c r="MO24" s="20">
        <v>2</v>
      </c>
      <c r="MP24" s="20">
        <v>0</v>
      </c>
      <c r="MQ24" s="20">
        <v>0</v>
      </c>
      <c r="MR24" s="20">
        <v>0</v>
      </c>
      <c r="MS24" s="20">
        <v>0</v>
      </c>
      <c r="MT24" s="20">
        <v>0</v>
      </c>
      <c r="MU24" s="20">
        <v>0</v>
      </c>
      <c r="MV24" s="20">
        <v>0</v>
      </c>
      <c r="MW24" s="20">
        <v>0</v>
      </c>
      <c r="MY24" s="21" t="s">
        <v>126</v>
      </c>
      <c r="MZ24" s="21">
        <v>0</v>
      </c>
      <c r="NA24" s="21">
        <v>0</v>
      </c>
      <c r="NB24" s="21">
        <v>0</v>
      </c>
      <c r="NC24" s="21">
        <v>0</v>
      </c>
      <c r="ND24" s="21">
        <v>0</v>
      </c>
      <c r="NE24" s="21">
        <v>0</v>
      </c>
      <c r="NF24" s="21">
        <v>0</v>
      </c>
      <c r="NG24" s="21">
        <v>0</v>
      </c>
      <c r="NH24" s="21">
        <v>0</v>
      </c>
      <c r="NI24" s="21">
        <v>0</v>
      </c>
      <c r="NJ24" s="21">
        <v>0</v>
      </c>
      <c r="NK24" s="21">
        <v>0</v>
      </c>
      <c r="NL24" s="21">
        <v>0</v>
      </c>
      <c r="NM24" s="21">
        <v>0</v>
      </c>
      <c r="NN24" s="21">
        <v>0</v>
      </c>
      <c r="NO24" s="21">
        <v>0</v>
      </c>
      <c r="NP24" s="21">
        <v>0</v>
      </c>
      <c r="NQ24" s="21">
        <v>0</v>
      </c>
      <c r="NR24" s="21">
        <v>0</v>
      </c>
      <c r="NS24" s="21">
        <v>0</v>
      </c>
      <c r="NT24" s="21">
        <v>0</v>
      </c>
      <c r="NU24" s="21">
        <v>0</v>
      </c>
      <c r="NV24" s="21">
        <v>0</v>
      </c>
      <c r="NW24" s="21">
        <v>0</v>
      </c>
      <c r="NX24" s="21">
        <v>0</v>
      </c>
      <c r="NY24" s="21">
        <v>0</v>
      </c>
      <c r="OB24" s="20">
        <v>3300</v>
      </c>
      <c r="OC24" s="20">
        <v>4</v>
      </c>
      <c r="OD24" s="20">
        <f t="shared" si="21"/>
        <v>13200</v>
      </c>
      <c r="OE24" s="187">
        <f>OC37</f>
        <v>93</v>
      </c>
      <c r="OF24" s="20">
        <f t="shared" si="22"/>
        <v>372</v>
      </c>
      <c r="OG24" s="20">
        <f t="shared" si="23"/>
        <v>8</v>
      </c>
    </row>
    <row r="25" spans="1:397" x14ac:dyDescent="0.25">
      <c r="A25" s="4"/>
      <c r="B25" s="6"/>
      <c r="C25" s="4"/>
      <c r="D25" s="4"/>
      <c r="E25" s="4"/>
      <c r="F25" s="4"/>
      <c r="G25" s="4"/>
      <c r="H25" s="4"/>
      <c r="I25" s="4"/>
      <c r="J25" s="4"/>
      <c r="K25" s="4"/>
      <c r="L25" s="4"/>
      <c r="M25" s="14"/>
      <c r="N25" s="4"/>
      <c r="O25" s="4"/>
      <c r="P25" s="4"/>
      <c r="Q25" s="4"/>
      <c r="R25" s="4"/>
      <c r="S25" s="4"/>
      <c r="T25" s="22">
        <f>SUM(T3:T24)</f>
        <v>0</v>
      </c>
      <c r="U25" s="22">
        <f>SUM(U3:U24)</f>
        <v>0</v>
      </c>
      <c r="V25" s="20" t="s">
        <v>842</v>
      </c>
      <c r="W25" s="20">
        <f>IF(E28=$AH$30,$AJ$30,IF(E28=$AH$31,$AJ$31,IF(E28=$AH$32,$AJ$32,IF(E28=$AH$33,$AJ$33,IF(E28=$AH$34,$AJ$34,IF(E28=$AH$35,$AJ$35,IF(E28=$AH$36,$AJ$36,IF(E28=$AH$37,$AJ$37,IF(E28=$AH$38,$AJ$38,IF(E28=$AH$39,$AJ$39,IF(E28=$AH$40,$AJ$40,IF(E28=$AH$41,$AJ$41,IF(E28=$AH$42,$AJ$42,IF(E28=$AH$43,$AJ$43,IF(E28=$AH$44,$AJ$44,IF(E28=$AH$45,$AJ$45,IF(E28=$AH$46,$AJ$46,IF(E28=$AH$47,$AJ$47,0))))))))))))))))))</f>
        <v>2100</v>
      </c>
      <c r="X25" s="25">
        <f t="shared" si="24"/>
        <v>4</v>
      </c>
      <c r="Y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29,$BB$2:$CA$2,0),MATCH($W$22,$AH$22:$AH$47,0)))*C29</f>
        <v>0</v>
      </c>
      <c r="Z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29,$BB$2:$CA$2,0),MATCH($W$22,$AH$22:$AH$47,0)))*C29</f>
        <v>0</v>
      </c>
      <c r="AA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29,$BB$2:$CA$2,0),MATCH($W$22,$AH$22:$AH$47,0)))*C29</f>
        <v>0</v>
      </c>
      <c r="AB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29,$BB$2:$CA$2,0),MATCH($W$22,$AH$22:$AH$47,0)))*C29</f>
        <v>0</v>
      </c>
      <c r="AC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29,$BB$2:$CA$2,0),MATCH($W$22,$AH$22:$AH$47,0)))*C29</f>
        <v>0</v>
      </c>
      <c r="AD2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29,$BB$2:$CA$2,0),MATCH($W$22,$AH$22:$AH$47,0)))*C29</f>
        <v>0</v>
      </c>
      <c r="AE25" s="20"/>
      <c r="AF25" s="20" t="s">
        <v>400</v>
      </c>
      <c r="AG25" s="20"/>
      <c r="AH25" s="20" t="s">
        <v>480</v>
      </c>
      <c r="AI25" s="20"/>
      <c r="AJ25" s="20">
        <v>1150</v>
      </c>
      <c r="AK25" s="20"/>
      <c r="AL25" s="20">
        <f t="shared" si="25"/>
        <v>0</v>
      </c>
      <c r="AM25" s="20"/>
      <c r="AN25" s="20"/>
      <c r="AO25" s="20"/>
      <c r="AP25" s="20"/>
      <c r="AQ25" s="20"/>
      <c r="AR25" s="20"/>
      <c r="AS25" s="20"/>
      <c r="AZ25" s="20"/>
      <c r="BA25" s="20" t="s">
        <v>19</v>
      </c>
      <c r="BB25" s="20">
        <v>0</v>
      </c>
      <c r="BC25" s="20">
        <v>0</v>
      </c>
      <c r="BD25" s="20">
        <v>0</v>
      </c>
      <c r="BE25" s="20">
        <v>2</v>
      </c>
      <c r="BF25" s="20">
        <v>0</v>
      </c>
      <c r="BG25" s="20">
        <v>2</v>
      </c>
      <c r="BH25" s="20">
        <v>4</v>
      </c>
      <c r="BI25" s="20">
        <v>0</v>
      </c>
      <c r="BJ25" s="20">
        <v>4</v>
      </c>
      <c r="BK25" s="20">
        <v>4</v>
      </c>
      <c r="BL25" s="20">
        <v>2</v>
      </c>
      <c r="BM25" s="20">
        <v>4</v>
      </c>
      <c r="BN25" s="20">
        <v>4</v>
      </c>
      <c r="BO25" s="20">
        <v>6</v>
      </c>
      <c r="BP25" s="20">
        <v>6</v>
      </c>
      <c r="BQ25" s="20">
        <v>6</v>
      </c>
      <c r="BR25" s="20">
        <v>6</v>
      </c>
      <c r="BS25" s="20">
        <v>4</v>
      </c>
      <c r="BT25" s="20">
        <v>8</v>
      </c>
      <c r="BU25" s="20">
        <v>8</v>
      </c>
      <c r="BV25" s="20">
        <v>8</v>
      </c>
      <c r="BW25" s="20">
        <v>8</v>
      </c>
      <c r="BX25" s="20">
        <v>4</v>
      </c>
      <c r="BY25" s="20">
        <v>10</v>
      </c>
      <c r="BZ25" s="20">
        <v>10</v>
      </c>
      <c r="CA25" s="20">
        <v>8</v>
      </c>
      <c r="CB25" s="20">
        <v>10</v>
      </c>
      <c r="CC25" s="20">
        <v>12</v>
      </c>
      <c r="CD25" s="20">
        <v>12</v>
      </c>
      <c r="CE25" s="20">
        <v>12</v>
      </c>
      <c r="CF25" s="20">
        <v>12</v>
      </c>
      <c r="CG25" s="20">
        <v>12</v>
      </c>
      <c r="CH25" s="20">
        <v>8</v>
      </c>
      <c r="CI25" s="20">
        <v>14</v>
      </c>
      <c r="CJ25" s="20">
        <v>0</v>
      </c>
      <c r="CK25" s="20">
        <v>0</v>
      </c>
      <c r="CL25" s="20">
        <v>14</v>
      </c>
      <c r="CM25" s="20">
        <v>22</v>
      </c>
      <c r="CN25" s="20">
        <v>2</v>
      </c>
      <c r="CO25" s="20">
        <v>16</v>
      </c>
      <c r="CP25" s="20">
        <v>26</v>
      </c>
      <c r="CQ25" s="20">
        <v>16</v>
      </c>
      <c r="CR25" s="20">
        <v>18</v>
      </c>
      <c r="CS25" s="20">
        <v>28</v>
      </c>
      <c r="CT25" s="20">
        <v>4</v>
      </c>
      <c r="CU25" s="20">
        <v>18</v>
      </c>
      <c r="CV25" s="20">
        <v>30</v>
      </c>
      <c r="CW25" s="20">
        <v>26</v>
      </c>
      <c r="CX25" s="20">
        <v>20</v>
      </c>
      <c r="CY25" s="20">
        <v>32</v>
      </c>
      <c r="CZ25" s="20">
        <v>20</v>
      </c>
      <c r="DA25" s="54"/>
      <c r="DB25" s="54">
        <v>24</v>
      </c>
      <c r="DC25" s="54"/>
      <c r="DD25" s="20" t="s">
        <v>19</v>
      </c>
      <c r="DE25" s="20">
        <v>0</v>
      </c>
      <c r="DF25" s="20">
        <v>0</v>
      </c>
      <c r="DG25" s="20">
        <v>2</v>
      </c>
      <c r="DH25" s="20">
        <v>0</v>
      </c>
      <c r="DI25" s="20">
        <v>2</v>
      </c>
      <c r="DJ25" s="20">
        <v>4</v>
      </c>
      <c r="DK25" s="20">
        <v>2</v>
      </c>
      <c r="DL25" s="20">
        <v>4</v>
      </c>
      <c r="DM25" s="20">
        <v>6</v>
      </c>
      <c r="DN25" s="20">
        <v>4</v>
      </c>
      <c r="DO25" s="20">
        <v>6</v>
      </c>
      <c r="DP25" s="20">
        <v>8</v>
      </c>
      <c r="DQ25" s="20">
        <v>6</v>
      </c>
      <c r="DR25" s="20">
        <v>8</v>
      </c>
      <c r="DS25" s="20">
        <v>10</v>
      </c>
      <c r="DT25" s="20">
        <v>8</v>
      </c>
      <c r="DU25" s="20">
        <v>10</v>
      </c>
      <c r="DV25" s="20">
        <v>12</v>
      </c>
      <c r="DW25" s="20">
        <v>10</v>
      </c>
      <c r="DX25" s="20">
        <v>12</v>
      </c>
      <c r="DY25" s="20">
        <v>14</v>
      </c>
      <c r="DZ25" s="20"/>
      <c r="EA25" s="20"/>
      <c r="EB25" s="20" t="s">
        <v>19</v>
      </c>
      <c r="EC25" s="20">
        <v>0</v>
      </c>
      <c r="ED25" s="20">
        <v>0</v>
      </c>
      <c r="EE25" s="20">
        <v>0</v>
      </c>
      <c r="EF25" s="20">
        <v>0</v>
      </c>
      <c r="EG25" s="20">
        <v>0</v>
      </c>
      <c r="EH25" s="20">
        <v>4</v>
      </c>
      <c r="EI25" s="20">
        <v>0</v>
      </c>
      <c r="EJ25" s="20">
        <v>6</v>
      </c>
      <c r="EK25" s="20">
        <v>4</v>
      </c>
      <c r="EL25" s="20">
        <v>0</v>
      </c>
      <c r="EM25" s="20">
        <v>8</v>
      </c>
      <c r="EN25" s="20">
        <v>2</v>
      </c>
      <c r="EO25" s="20">
        <v>10</v>
      </c>
      <c r="EP25" s="20">
        <v>8</v>
      </c>
      <c r="EQ25" s="20">
        <v>0</v>
      </c>
      <c r="ER25" s="20">
        <v>12</v>
      </c>
      <c r="ES25" s="20">
        <v>6</v>
      </c>
      <c r="ET25" s="20">
        <v>16</v>
      </c>
      <c r="EU25" s="20">
        <v>10</v>
      </c>
      <c r="EV25" s="20">
        <v>20</v>
      </c>
      <c r="EW25" s="20">
        <v>2</v>
      </c>
      <c r="EX25" s="20">
        <v>22</v>
      </c>
      <c r="EY25" s="20">
        <v>14</v>
      </c>
      <c r="EZ25" s="20">
        <v>0</v>
      </c>
      <c r="FA25" s="20">
        <v>10</v>
      </c>
      <c r="FB25" s="20">
        <v>4</v>
      </c>
      <c r="FC25" s="20">
        <v>14</v>
      </c>
      <c r="FD25" s="20">
        <v>18</v>
      </c>
      <c r="FE25" s="20">
        <v>18</v>
      </c>
      <c r="FF25" s="20">
        <v>0</v>
      </c>
      <c r="FG25" s="20">
        <v>22</v>
      </c>
      <c r="FH25" s="20">
        <v>4</v>
      </c>
      <c r="FI25" s="20">
        <v>28</v>
      </c>
      <c r="FJ25" s="20">
        <v>8</v>
      </c>
      <c r="FK25" s="20">
        <v>32</v>
      </c>
      <c r="FL25" s="20">
        <v>26</v>
      </c>
      <c r="FM25" s="20">
        <v>36</v>
      </c>
      <c r="FN25" s="20">
        <v>36</v>
      </c>
      <c r="FO25" s="20">
        <v>40</v>
      </c>
      <c r="FP25" s="20">
        <v>22</v>
      </c>
      <c r="FQ25" s="20">
        <v>42</v>
      </c>
      <c r="FR25" s="20">
        <v>26</v>
      </c>
      <c r="FS25" s="20">
        <v>44</v>
      </c>
      <c r="FT25" s="20">
        <v>30</v>
      </c>
      <c r="FU25" s="20">
        <v>46</v>
      </c>
      <c r="FV25" s="20">
        <v>34</v>
      </c>
      <c r="FW25" s="20">
        <v>48</v>
      </c>
      <c r="FX25" s="20">
        <v>38</v>
      </c>
      <c r="FY25" s="20">
        <v>20</v>
      </c>
      <c r="FZ25" s="20">
        <v>42</v>
      </c>
      <c r="GA25" s="20">
        <v>24</v>
      </c>
      <c r="GC25" s="20"/>
      <c r="GD25" s="20"/>
      <c r="GE25" s="20" t="s">
        <v>19</v>
      </c>
      <c r="GF25" s="20">
        <v>0</v>
      </c>
      <c r="GG25" s="20">
        <v>0</v>
      </c>
      <c r="GH25" s="20">
        <v>0</v>
      </c>
      <c r="GI25" s="20">
        <v>0</v>
      </c>
      <c r="GJ25" s="20">
        <v>0</v>
      </c>
      <c r="GK25" s="20">
        <v>4</v>
      </c>
      <c r="GL25" s="20">
        <v>6</v>
      </c>
      <c r="GM25" s="20">
        <v>0</v>
      </c>
      <c r="GN25" s="20">
        <v>2</v>
      </c>
      <c r="GO25" s="20">
        <v>0</v>
      </c>
      <c r="GP25" s="20">
        <v>12</v>
      </c>
      <c r="GQ25" s="20">
        <v>12</v>
      </c>
      <c r="GR25" s="20">
        <v>8</v>
      </c>
      <c r="GS25" s="20">
        <v>8</v>
      </c>
      <c r="GT25" s="20">
        <v>8</v>
      </c>
      <c r="GU25" s="20">
        <v>18</v>
      </c>
      <c r="GV25" s="20">
        <v>18</v>
      </c>
      <c r="GW25" s="20">
        <v>12</v>
      </c>
      <c r="GX25" s="20">
        <v>16</v>
      </c>
      <c r="GY25" s="20">
        <v>0</v>
      </c>
      <c r="GZ25" s="20">
        <v>24</v>
      </c>
      <c r="HA25" s="20">
        <v>12</v>
      </c>
      <c r="HB25" s="20">
        <v>16</v>
      </c>
      <c r="HC25" s="20">
        <v>22</v>
      </c>
      <c r="HD25" s="20">
        <v>20</v>
      </c>
      <c r="HE25" s="20">
        <v>30</v>
      </c>
      <c r="HF25" s="20">
        <v>18</v>
      </c>
      <c r="HG25" s="20">
        <v>24</v>
      </c>
      <c r="HH25" s="20">
        <v>28</v>
      </c>
      <c r="HI25" s="20">
        <v>14</v>
      </c>
      <c r="HJ25" s="20">
        <v>36</v>
      </c>
      <c r="HK25" s="20">
        <v>24</v>
      </c>
      <c r="HL25" s="20">
        <v>28</v>
      </c>
      <c r="HM25" s="20">
        <v>36</v>
      </c>
      <c r="HN25" s="20">
        <v>20</v>
      </c>
      <c r="HO25" s="20">
        <v>42</v>
      </c>
      <c r="HP25" s="20">
        <v>32</v>
      </c>
      <c r="HQ25" s="20">
        <v>32</v>
      </c>
      <c r="HR25" s="20">
        <v>42</v>
      </c>
      <c r="HS25" s="20">
        <v>40</v>
      </c>
      <c r="HT25" s="20">
        <v>48</v>
      </c>
      <c r="HU25" s="20">
        <v>38</v>
      </c>
      <c r="HV25" s="20">
        <v>40</v>
      </c>
      <c r="HW25" s="20">
        <v>48</v>
      </c>
      <c r="HX25" s="20">
        <v>34</v>
      </c>
      <c r="HY25" s="20">
        <v>54</v>
      </c>
      <c r="HZ25" s="20">
        <v>44</v>
      </c>
      <c r="IA25" s="20">
        <v>44</v>
      </c>
      <c r="IB25" s="20">
        <v>56</v>
      </c>
      <c r="IC25" s="20">
        <v>40</v>
      </c>
      <c r="ID25" s="20">
        <v>60</v>
      </c>
      <c r="IF25" s="21" t="s">
        <v>19</v>
      </c>
      <c r="IG25" s="21">
        <v>0</v>
      </c>
      <c r="IH25" s="21">
        <v>0</v>
      </c>
      <c r="II25" s="21">
        <v>0</v>
      </c>
      <c r="IJ25" s="21">
        <v>0</v>
      </c>
      <c r="IK25" s="21">
        <v>4</v>
      </c>
      <c r="IL25" s="21">
        <v>0</v>
      </c>
      <c r="IM25" s="21">
        <v>0</v>
      </c>
      <c r="IN25" s="21">
        <v>0</v>
      </c>
      <c r="IO25" s="21">
        <v>8</v>
      </c>
      <c r="IP25" s="21">
        <v>0</v>
      </c>
      <c r="IQ25" s="21">
        <v>4</v>
      </c>
      <c r="IR25" s="21">
        <v>8</v>
      </c>
      <c r="IS25" s="21">
        <v>14</v>
      </c>
      <c r="IT25" s="21">
        <v>4</v>
      </c>
      <c r="IU25" s="21">
        <v>8</v>
      </c>
      <c r="IV25" s="21">
        <v>12</v>
      </c>
      <c r="IW25" s="21">
        <v>18</v>
      </c>
      <c r="IX25" s="21">
        <v>16</v>
      </c>
      <c r="IY25" s="21">
        <v>12</v>
      </c>
      <c r="IZ25" s="21">
        <v>28</v>
      </c>
      <c r="JA25" s="21">
        <v>22</v>
      </c>
      <c r="JB25" s="21">
        <v>12</v>
      </c>
      <c r="JC25" s="21">
        <v>22</v>
      </c>
      <c r="JD25" s="21">
        <v>34</v>
      </c>
      <c r="JE25" s="21">
        <v>26</v>
      </c>
      <c r="JF25" s="21">
        <v>30</v>
      </c>
      <c r="JI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29,$JT$2:$KS$2,0),MATCH($W$22,$AH$22:$AH$47,0)))*C29</f>
        <v>0</v>
      </c>
      <c r="JJ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29,$JT$2:$KS$2,0),MATCH($W$22,$AH$22:$AH$47,0)))*C29</f>
        <v>0</v>
      </c>
      <c r="JK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29,$JT$2:$KS$2,0),MATCH($W$22,$AH$22:$AH$47,0)))*C29</f>
        <v>0</v>
      </c>
      <c r="JL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29,$JT$2:$KS$2,0),MATCH($W$22,$AH$22:$AH$47,0)))*C29</f>
        <v>0</v>
      </c>
      <c r="JM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29,$JT$2:$KS$2,0),MATCH($W$22,$AH$22:$AH$47,0)))*C29</f>
        <v>0</v>
      </c>
      <c r="JN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29,$JT$2:$KS$2,0),MATCH($W$22,$AH$22:$AH$47,0)))*C29</f>
        <v>0</v>
      </c>
      <c r="JO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29,$JT$2:$KS$2,0),MATCH($W$22,$AH$22:$AH$47,0)))*C29</f>
        <v>0</v>
      </c>
      <c r="JP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29,$JT$2:$KS$2,0),MATCH($W$22,$AH$22:$AH$47,0)))*C29</f>
        <v>0</v>
      </c>
      <c r="JQ2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29,$JT$2:$KS$2,0),MATCH($W$22,$AH$22:$AH$47,0)))*C29</f>
        <v>0</v>
      </c>
      <c r="JS25" s="20" t="s">
        <v>12</v>
      </c>
      <c r="JT25" s="20">
        <v>0</v>
      </c>
      <c r="JU25" s="20">
        <v>0</v>
      </c>
      <c r="JV25" s="20">
        <v>0</v>
      </c>
      <c r="JW25" s="20">
        <v>0</v>
      </c>
      <c r="JX25" s="20">
        <v>0</v>
      </c>
      <c r="JY25" s="20">
        <v>0</v>
      </c>
      <c r="JZ25" s="20">
        <v>0</v>
      </c>
      <c r="KA25" s="20">
        <v>0</v>
      </c>
      <c r="KB25" s="20">
        <v>2</v>
      </c>
      <c r="KC25" s="20">
        <v>0</v>
      </c>
      <c r="KD25" s="20">
        <v>0</v>
      </c>
      <c r="KE25" s="20">
        <v>2</v>
      </c>
      <c r="KF25" s="20">
        <v>0</v>
      </c>
      <c r="KG25" s="20">
        <v>0</v>
      </c>
      <c r="KH25" s="20">
        <v>2</v>
      </c>
      <c r="KI25" s="20">
        <v>2</v>
      </c>
      <c r="KJ25" s="20">
        <v>0</v>
      </c>
      <c r="KK25" s="20">
        <v>0</v>
      </c>
      <c r="KL25" s="20">
        <v>2</v>
      </c>
      <c r="KM25" s="20">
        <v>0</v>
      </c>
      <c r="KN25" s="20">
        <v>0</v>
      </c>
      <c r="KO25" s="20">
        <v>0</v>
      </c>
      <c r="KP25" s="20">
        <v>0</v>
      </c>
      <c r="KQ25" s="20">
        <v>0</v>
      </c>
      <c r="KR25" s="20">
        <v>2</v>
      </c>
      <c r="KS25" s="20">
        <v>2</v>
      </c>
      <c r="KU25" s="20" t="s">
        <v>12</v>
      </c>
      <c r="KV25" s="20">
        <v>0</v>
      </c>
      <c r="KW25" s="20">
        <v>2</v>
      </c>
      <c r="KX25" s="20">
        <v>0</v>
      </c>
      <c r="KY25" s="20">
        <v>2</v>
      </c>
      <c r="KZ25" s="20">
        <v>0</v>
      </c>
      <c r="LA25" s="20">
        <v>2</v>
      </c>
      <c r="LB25" s="20">
        <v>0</v>
      </c>
      <c r="LC25" s="20">
        <v>0</v>
      </c>
      <c r="LD25" s="20">
        <v>0</v>
      </c>
      <c r="LE25" s="20">
        <v>2</v>
      </c>
      <c r="LF25" s="20">
        <v>0</v>
      </c>
      <c r="LG25" s="20">
        <v>0</v>
      </c>
      <c r="LH25" s="20">
        <v>0</v>
      </c>
      <c r="LI25" s="20">
        <v>0</v>
      </c>
      <c r="LJ25" s="20">
        <v>0</v>
      </c>
      <c r="LK25" s="20">
        <v>2</v>
      </c>
      <c r="LL25" s="20">
        <v>0</v>
      </c>
      <c r="LM25" s="20">
        <v>0</v>
      </c>
      <c r="LN25" s="20">
        <v>0</v>
      </c>
      <c r="LO25" s="20">
        <v>4</v>
      </c>
      <c r="LP25" s="20">
        <v>0</v>
      </c>
      <c r="LQ25" s="20">
        <v>0</v>
      </c>
      <c r="LR25" s="20">
        <v>0</v>
      </c>
      <c r="LS25" s="20">
        <v>2</v>
      </c>
      <c r="LT25" s="20">
        <v>2</v>
      </c>
      <c r="LU25" s="20">
        <v>0</v>
      </c>
      <c r="LW25" s="20" t="s">
        <v>12</v>
      </c>
      <c r="LX25" s="20">
        <v>0</v>
      </c>
      <c r="LY25" s="20">
        <v>2</v>
      </c>
      <c r="LZ25" s="20">
        <v>4</v>
      </c>
      <c r="MA25" s="20">
        <v>0</v>
      </c>
      <c r="MB25" s="20">
        <v>0</v>
      </c>
      <c r="MC25" s="20">
        <v>0</v>
      </c>
      <c r="MD25" s="20">
        <v>2</v>
      </c>
      <c r="ME25" s="20">
        <v>0</v>
      </c>
      <c r="MF25" s="20">
        <v>2</v>
      </c>
      <c r="MG25" s="20">
        <v>0</v>
      </c>
      <c r="MH25" s="20">
        <v>0</v>
      </c>
      <c r="MI25" s="20">
        <v>2</v>
      </c>
      <c r="MJ25" s="20">
        <v>0</v>
      </c>
      <c r="MK25" s="20">
        <v>2</v>
      </c>
      <c r="ML25" s="20">
        <v>0</v>
      </c>
      <c r="MM25" s="20">
        <v>0</v>
      </c>
      <c r="MN25" s="20">
        <v>0</v>
      </c>
      <c r="MO25" s="20">
        <v>0</v>
      </c>
      <c r="MP25" s="20">
        <v>0</v>
      </c>
      <c r="MQ25" s="20">
        <v>2</v>
      </c>
      <c r="MR25" s="20">
        <v>0</v>
      </c>
      <c r="MS25" s="20">
        <v>0</v>
      </c>
      <c r="MT25" s="20">
        <v>0</v>
      </c>
      <c r="MU25" s="20">
        <v>0</v>
      </c>
      <c r="MV25" s="20">
        <v>0</v>
      </c>
      <c r="MW25" s="20">
        <v>0</v>
      </c>
      <c r="MY25" s="21" t="s">
        <v>12</v>
      </c>
      <c r="MZ25" s="21">
        <v>0</v>
      </c>
      <c r="NA25" s="21">
        <v>0</v>
      </c>
      <c r="NB25" s="21">
        <v>2</v>
      </c>
      <c r="NC25" s="21">
        <v>4</v>
      </c>
      <c r="ND25" s="21">
        <v>0</v>
      </c>
      <c r="NE25" s="21">
        <v>0</v>
      </c>
      <c r="NF25" s="21">
        <v>4</v>
      </c>
      <c r="NG25" s="21">
        <v>0</v>
      </c>
      <c r="NH25" s="21">
        <v>0</v>
      </c>
      <c r="NI25" s="21">
        <v>0</v>
      </c>
      <c r="NJ25" s="21">
        <v>0</v>
      </c>
      <c r="NK25" s="21">
        <v>0</v>
      </c>
      <c r="NL25" s="21">
        <v>4</v>
      </c>
      <c r="NM25" s="21">
        <v>0</v>
      </c>
      <c r="NN25" s="21">
        <v>2</v>
      </c>
      <c r="NO25" s="21">
        <v>2</v>
      </c>
      <c r="NP25" s="21">
        <v>0</v>
      </c>
      <c r="NQ25" s="21">
        <v>0</v>
      </c>
      <c r="NR25" s="21">
        <v>0</v>
      </c>
      <c r="NS25" s="21">
        <v>0</v>
      </c>
      <c r="NT25" s="21">
        <v>2</v>
      </c>
      <c r="NU25" s="21">
        <v>2</v>
      </c>
      <c r="NV25" s="21">
        <v>0</v>
      </c>
      <c r="NW25" s="21">
        <v>0</v>
      </c>
      <c r="NX25" s="21">
        <v>0</v>
      </c>
      <c r="NY25" s="21">
        <v>0</v>
      </c>
      <c r="OB25" s="20">
        <v>3600</v>
      </c>
      <c r="OC25" s="20">
        <v>14</v>
      </c>
      <c r="OD25" s="20">
        <f t="shared" si="21"/>
        <v>50400</v>
      </c>
      <c r="OE25" s="187">
        <f>OC40</f>
        <v>101.72</v>
      </c>
      <c r="OF25" s="20">
        <f t="shared" ref="OF25" si="26">OC25*OE25</f>
        <v>1424.08</v>
      </c>
      <c r="OG25" s="20">
        <f t="shared" si="23"/>
        <v>28</v>
      </c>
    </row>
    <row r="26" spans="1:397" ht="51.75" x14ac:dyDescent="0.25">
      <c r="A26" s="3" t="s">
        <v>120</v>
      </c>
      <c r="B26" s="6"/>
      <c r="C26" s="3" t="s">
        <v>121</v>
      </c>
      <c r="D26" s="4"/>
      <c r="E26" s="4"/>
      <c r="F26" s="4"/>
      <c r="G26" s="4"/>
      <c r="H26" s="4"/>
      <c r="I26" s="4"/>
      <c r="J26" s="4"/>
      <c r="K26" s="4"/>
      <c r="L26" s="360" t="str">
        <f>IF(E30="wertykalny","KONSTRUKCJA DS-V2N",IF(E30="horyzontalny","KONSTRUKCJA DS-H2N"))</f>
        <v>KONSTRUKCJA DS-V2N</v>
      </c>
      <c r="M26" s="360"/>
      <c r="N26" s="360"/>
      <c r="O26" s="360"/>
      <c r="P26" s="360"/>
      <c r="Q26" s="360"/>
      <c r="R26" s="360"/>
      <c r="S26" s="360"/>
      <c r="T26" s="360"/>
      <c r="U26" s="360"/>
      <c r="V26" s="20"/>
      <c r="W26" s="25"/>
      <c r="X26" s="25">
        <f t="shared" si="24"/>
        <v>4</v>
      </c>
      <c r="Y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30,$BB$2:$CA$2,0),MATCH($W$22,$AH$22:$AH$47,0)))*C30</f>
        <v>0</v>
      </c>
      <c r="Z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30,$BB$2:$CA$2,0),MATCH($W$22,$AH$22:$AH$47,0)))*C30</f>
        <v>0</v>
      </c>
      <c r="AA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30,$BB$2:$CA$2,0),MATCH($W$22,$AH$22:$AH$47,0)))*C30</f>
        <v>0</v>
      </c>
      <c r="AB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30,$BB$2:$CA$2,0),MATCH($W$22,$AH$22:$AH$47,0)))*C30</f>
        <v>0</v>
      </c>
      <c r="AC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30,$BB$2:$CA$2,0),MATCH($W$22,$AH$22:$AH$47,0)))*C30</f>
        <v>0</v>
      </c>
      <c r="AD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30,$BB$2:$CA$2,0),MATCH($W$22,$AH$22:$AH$47,0)))*C30</f>
        <v>0</v>
      </c>
      <c r="AE26" s="20"/>
      <c r="AF26" s="20"/>
      <c r="AG26" s="20"/>
      <c r="AH26" s="20" t="s">
        <v>713</v>
      </c>
      <c r="AI26" s="20">
        <v>1650</v>
      </c>
      <c r="AJ26" s="20">
        <v>1200</v>
      </c>
      <c r="AK26" s="20"/>
      <c r="AL26" s="20">
        <f t="shared" si="25"/>
        <v>0</v>
      </c>
      <c r="AW26" s="20"/>
      <c r="AX26" s="20"/>
      <c r="AY26" s="20"/>
      <c r="AZ26" s="20"/>
      <c r="BA26" s="20" t="s">
        <v>408</v>
      </c>
      <c r="BB26" s="20">
        <v>0</v>
      </c>
      <c r="BC26" s="20">
        <f t="shared" ref="BC26:CH26" si="27">((((SUM(BC21:BC25))/2)-1))*4</f>
        <v>0</v>
      </c>
      <c r="BD26" s="20">
        <f t="shared" si="27"/>
        <v>0</v>
      </c>
      <c r="BE26" s="20">
        <f t="shared" si="27"/>
        <v>0</v>
      </c>
      <c r="BF26" s="20">
        <f t="shared" si="27"/>
        <v>4</v>
      </c>
      <c r="BG26" s="20">
        <f t="shared" si="27"/>
        <v>4</v>
      </c>
      <c r="BH26" s="20">
        <f t="shared" si="27"/>
        <v>4</v>
      </c>
      <c r="BI26" s="20">
        <f t="shared" si="27"/>
        <v>8</v>
      </c>
      <c r="BJ26" s="20">
        <f t="shared" si="27"/>
        <v>8</v>
      </c>
      <c r="BK26" s="20">
        <f t="shared" si="27"/>
        <v>8</v>
      </c>
      <c r="BL26" s="20">
        <f t="shared" si="27"/>
        <v>12</v>
      </c>
      <c r="BM26" s="20">
        <f t="shared" si="27"/>
        <v>12</v>
      </c>
      <c r="BN26" s="20">
        <f t="shared" si="27"/>
        <v>12</v>
      </c>
      <c r="BO26" s="20">
        <f t="shared" si="27"/>
        <v>16</v>
      </c>
      <c r="BP26" s="20">
        <f t="shared" si="27"/>
        <v>16</v>
      </c>
      <c r="BQ26" s="20">
        <f t="shared" si="27"/>
        <v>16</v>
      </c>
      <c r="BR26" s="20">
        <f t="shared" si="27"/>
        <v>20</v>
      </c>
      <c r="BS26" s="20">
        <f t="shared" si="27"/>
        <v>20</v>
      </c>
      <c r="BT26" s="20">
        <f t="shared" si="27"/>
        <v>20</v>
      </c>
      <c r="BU26" s="20">
        <f t="shared" si="27"/>
        <v>24</v>
      </c>
      <c r="BV26" s="20">
        <f t="shared" si="27"/>
        <v>24</v>
      </c>
      <c r="BW26" s="20">
        <f t="shared" si="27"/>
        <v>24</v>
      </c>
      <c r="BX26" s="20">
        <f t="shared" si="27"/>
        <v>28</v>
      </c>
      <c r="BY26" s="20">
        <f t="shared" si="27"/>
        <v>28</v>
      </c>
      <c r="BZ26" s="20">
        <f t="shared" si="27"/>
        <v>28</v>
      </c>
      <c r="CA26" s="20">
        <f t="shared" si="27"/>
        <v>32</v>
      </c>
      <c r="CB26" s="20">
        <f t="shared" si="27"/>
        <v>32</v>
      </c>
      <c r="CC26" s="20">
        <f t="shared" si="27"/>
        <v>32</v>
      </c>
      <c r="CD26" s="20">
        <f t="shared" si="27"/>
        <v>36</v>
      </c>
      <c r="CE26" s="20">
        <f t="shared" si="27"/>
        <v>36</v>
      </c>
      <c r="CF26" s="20">
        <f t="shared" si="27"/>
        <v>36</v>
      </c>
      <c r="CG26" s="20">
        <f t="shared" si="27"/>
        <v>40</v>
      </c>
      <c r="CH26" s="20">
        <f t="shared" si="27"/>
        <v>40</v>
      </c>
      <c r="CI26" s="20">
        <f t="shared" ref="CI26:CZ26" si="28">((((SUM(CI21:CI25))/2)-1))*4</f>
        <v>40</v>
      </c>
      <c r="CJ26" s="20">
        <f t="shared" si="28"/>
        <v>44</v>
      </c>
      <c r="CK26" s="20">
        <f t="shared" si="28"/>
        <v>44</v>
      </c>
      <c r="CL26" s="20">
        <f t="shared" si="28"/>
        <v>44</v>
      </c>
      <c r="CM26" s="20">
        <f t="shared" si="28"/>
        <v>48</v>
      </c>
      <c r="CN26" s="20">
        <f t="shared" si="28"/>
        <v>48</v>
      </c>
      <c r="CO26" s="20">
        <f t="shared" si="28"/>
        <v>48</v>
      </c>
      <c r="CP26" s="20">
        <f t="shared" si="28"/>
        <v>48</v>
      </c>
      <c r="CQ26" s="20">
        <f t="shared" si="28"/>
        <v>52</v>
      </c>
      <c r="CR26" s="20">
        <f t="shared" si="28"/>
        <v>52</v>
      </c>
      <c r="CS26" s="20">
        <f t="shared" si="28"/>
        <v>52</v>
      </c>
      <c r="CT26" s="20">
        <f t="shared" si="28"/>
        <v>56</v>
      </c>
      <c r="CU26" s="20">
        <f t="shared" si="28"/>
        <v>56</v>
      </c>
      <c r="CV26" s="20">
        <f t="shared" si="28"/>
        <v>56</v>
      </c>
      <c r="CW26" s="20">
        <f t="shared" si="28"/>
        <v>60</v>
      </c>
      <c r="CX26" s="20">
        <f t="shared" si="28"/>
        <v>60</v>
      </c>
      <c r="CY26" s="20">
        <f t="shared" si="28"/>
        <v>60</v>
      </c>
      <c r="CZ26" s="20">
        <f t="shared" si="28"/>
        <v>64</v>
      </c>
      <c r="DA26" s="54"/>
      <c r="DB26" s="54">
        <v>25</v>
      </c>
      <c r="DC26" s="54"/>
      <c r="DD26" s="20" t="s">
        <v>408</v>
      </c>
      <c r="DE26" s="20">
        <v>0</v>
      </c>
      <c r="DF26" s="20">
        <v>0</v>
      </c>
      <c r="DG26" s="20">
        <v>0</v>
      </c>
      <c r="DH26" s="20">
        <v>4</v>
      </c>
      <c r="DI26" s="20">
        <v>4</v>
      </c>
      <c r="DJ26" s="20">
        <v>4</v>
      </c>
      <c r="DK26" s="20">
        <v>8</v>
      </c>
      <c r="DL26" s="20">
        <v>8</v>
      </c>
      <c r="DM26" s="20">
        <v>8</v>
      </c>
      <c r="DN26" s="20">
        <v>12</v>
      </c>
      <c r="DO26" s="20">
        <v>12</v>
      </c>
      <c r="DP26" s="20">
        <v>12</v>
      </c>
      <c r="DQ26" s="20">
        <v>16</v>
      </c>
      <c r="DR26" s="20">
        <v>16</v>
      </c>
      <c r="DS26" s="20">
        <v>16</v>
      </c>
      <c r="DT26" s="20">
        <v>20</v>
      </c>
      <c r="DU26" s="20">
        <v>20</v>
      </c>
      <c r="DV26" s="20">
        <v>20</v>
      </c>
      <c r="DW26" s="20">
        <v>24</v>
      </c>
      <c r="DX26" s="20">
        <v>24</v>
      </c>
      <c r="DY26" s="20">
        <v>24</v>
      </c>
      <c r="DZ26" s="20"/>
      <c r="EA26" s="20"/>
      <c r="EB26" s="20" t="s">
        <v>408</v>
      </c>
      <c r="EC26" s="20">
        <v>0</v>
      </c>
      <c r="ED26" s="20">
        <f>((((SUM(ED21:ED25))/2)-1))*4</f>
        <v>0</v>
      </c>
      <c r="EE26" s="20">
        <f t="shared" ref="EE26:GA26" si="29">((((SUM(EE21:EE25))/2)-1))*4</f>
        <v>4</v>
      </c>
      <c r="EF26" s="20">
        <f t="shared" si="29"/>
        <v>4</v>
      </c>
      <c r="EG26" s="20">
        <f t="shared" si="29"/>
        <v>8</v>
      </c>
      <c r="EH26" s="20">
        <f t="shared" si="29"/>
        <v>8</v>
      </c>
      <c r="EI26" s="20">
        <f t="shared" si="29"/>
        <v>12</v>
      </c>
      <c r="EJ26" s="20">
        <f t="shared" si="29"/>
        <v>12</v>
      </c>
      <c r="EK26" s="20">
        <f t="shared" si="29"/>
        <v>16</v>
      </c>
      <c r="EL26" s="20">
        <f t="shared" si="29"/>
        <v>16</v>
      </c>
      <c r="EM26" s="20">
        <f t="shared" si="29"/>
        <v>20</v>
      </c>
      <c r="EN26" s="20">
        <f t="shared" si="29"/>
        <v>20</v>
      </c>
      <c r="EO26" s="20">
        <f t="shared" si="29"/>
        <v>24</v>
      </c>
      <c r="EP26" s="20">
        <f t="shared" si="29"/>
        <v>24</v>
      </c>
      <c r="EQ26" s="20">
        <f t="shared" si="29"/>
        <v>28</v>
      </c>
      <c r="ER26" s="20">
        <f t="shared" si="29"/>
        <v>28</v>
      </c>
      <c r="ES26" s="20">
        <f t="shared" si="29"/>
        <v>32</v>
      </c>
      <c r="ET26" s="20">
        <f t="shared" si="29"/>
        <v>32</v>
      </c>
      <c r="EU26" s="20">
        <f t="shared" si="29"/>
        <v>36</v>
      </c>
      <c r="EV26" s="20">
        <f t="shared" si="29"/>
        <v>36</v>
      </c>
      <c r="EW26" s="20">
        <f t="shared" si="29"/>
        <v>40</v>
      </c>
      <c r="EX26" s="20">
        <f t="shared" si="29"/>
        <v>40</v>
      </c>
      <c r="EY26" s="20">
        <f t="shared" si="29"/>
        <v>44</v>
      </c>
      <c r="EZ26" s="20">
        <f t="shared" si="29"/>
        <v>48</v>
      </c>
      <c r="FA26" s="20">
        <f t="shared" si="29"/>
        <v>48</v>
      </c>
      <c r="FB26" s="20">
        <f t="shared" si="29"/>
        <v>52</v>
      </c>
      <c r="FC26" s="20">
        <f t="shared" si="29"/>
        <v>52</v>
      </c>
      <c r="FD26" s="20">
        <f t="shared" si="29"/>
        <v>56</v>
      </c>
      <c r="FE26" s="20">
        <f t="shared" si="29"/>
        <v>56</v>
      </c>
      <c r="FF26" s="20">
        <f t="shared" si="29"/>
        <v>60</v>
      </c>
      <c r="FG26" s="20">
        <f t="shared" si="29"/>
        <v>60</v>
      </c>
      <c r="FH26" s="20">
        <f t="shared" si="29"/>
        <v>64</v>
      </c>
      <c r="FI26" s="20">
        <f t="shared" si="29"/>
        <v>64</v>
      </c>
      <c r="FJ26" s="20">
        <f t="shared" si="29"/>
        <v>68</v>
      </c>
      <c r="FK26" s="20">
        <f t="shared" si="29"/>
        <v>68</v>
      </c>
      <c r="FL26" s="20">
        <f t="shared" si="29"/>
        <v>72</v>
      </c>
      <c r="FM26" s="20">
        <f t="shared" si="29"/>
        <v>72</v>
      </c>
      <c r="FN26" s="20">
        <f t="shared" si="29"/>
        <v>76</v>
      </c>
      <c r="FO26" s="20">
        <f t="shared" si="29"/>
        <v>76</v>
      </c>
      <c r="FP26" s="20">
        <f t="shared" si="29"/>
        <v>80</v>
      </c>
      <c r="FQ26" s="20">
        <f t="shared" si="29"/>
        <v>80</v>
      </c>
      <c r="FR26" s="20">
        <f t="shared" si="29"/>
        <v>84</v>
      </c>
      <c r="FS26" s="20">
        <f t="shared" si="29"/>
        <v>84</v>
      </c>
      <c r="FT26" s="20">
        <f t="shared" si="29"/>
        <v>88</v>
      </c>
      <c r="FU26" s="20">
        <f t="shared" si="29"/>
        <v>88</v>
      </c>
      <c r="FV26" s="20">
        <f t="shared" si="29"/>
        <v>92</v>
      </c>
      <c r="FW26" s="20">
        <f t="shared" si="29"/>
        <v>92</v>
      </c>
      <c r="FX26" s="20">
        <f t="shared" si="29"/>
        <v>96</v>
      </c>
      <c r="FY26" s="20">
        <f t="shared" si="29"/>
        <v>100</v>
      </c>
      <c r="FZ26" s="20">
        <f t="shared" si="29"/>
        <v>100</v>
      </c>
      <c r="GA26" s="20">
        <f t="shared" si="29"/>
        <v>104</v>
      </c>
      <c r="GC26" s="20"/>
      <c r="GD26" s="20"/>
      <c r="GE26" s="20" t="s">
        <v>408</v>
      </c>
      <c r="GF26" s="20">
        <v>0</v>
      </c>
      <c r="GG26" s="20">
        <v>0</v>
      </c>
      <c r="GH26" s="20">
        <v>4</v>
      </c>
      <c r="GI26" s="20">
        <v>4</v>
      </c>
      <c r="GJ26" s="20">
        <v>8</v>
      </c>
      <c r="GK26" s="20">
        <v>12</v>
      </c>
      <c r="GL26" s="20">
        <v>12</v>
      </c>
      <c r="GM26" s="20">
        <v>16</v>
      </c>
      <c r="GN26" s="20">
        <v>16</v>
      </c>
      <c r="GO26" s="20">
        <v>20</v>
      </c>
      <c r="GP26" s="20">
        <v>20</v>
      </c>
      <c r="GQ26" s="20">
        <v>24</v>
      </c>
      <c r="GR26" s="20">
        <v>28</v>
      </c>
      <c r="GS26" s="20">
        <v>28</v>
      </c>
      <c r="GT26" s="20">
        <v>32</v>
      </c>
      <c r="GU26" s="20">
        <v>32</v>
      </c>
      <c r="GV26" s="20">
        <v>36</v>
      </c>
      <c r="GW26" s="20">
        <v>40</v>
      </c>
      <c r="GX26" s="20">
        <v>40</v>
      </c>
      <c r="GY26" s="20">
        <v>44</v>
      </c>
      <c r="GZ26" s="20">
        <v>44</v>
      </c>
      <c r="HA26" s="20">
        <v>48</v>
      </c>
      <c r="HB26" s="20">
        <v>52</v>
      </c>
      <c r="HC26" s="20">
        <v>52</v>
      </c>
      <c r="HD26" s="20">
        <v>56</v>
      </c>
      <c r="HE26" s="20">
        <v>56</v>
      </c>
      <c r="HF26" s="20">
        <v>60</v>
      </c>
      <c r="HG26" s="20">
        <v>64</v>
      </c>
      <c r="HH26" s="20">
        <v>64</v>
      </c>
      <c r="HI26" s="20">
        <v>68</v>
      </c>
      <c r="HJ26" s="20">
        <v>68</v>
      </c>
      <c r="HK26" s="20">
        <v>72</v>
      </c>
      <c r="HL26" s="20">
        <v>76</v>
      </c>
      <c r="HM26" s="20">
        <v>76</v>
      </c>
      <c r="HN26" s="20">
        <v>80</v>
      </c>
      <c r="HO26" s="20">
        <v>80</v>
      </c>
      <c r="HP26" s="20">
        <v>84</v>
      </c>
      <c r="HQ26" s="20">
        <v>88</v>
      </c>
      <c r="HR26" s="20">
        <v>88</v>
      </c>
      <c r="HS26" s="20">
        <v>92</v>
      </c>
      <c r="HT26" s="20">
        <v>92</v>
      </c>
      <c r="HU26" s="20">
        <v>96</v>
      </c>
      <c r="HV26" s="20">
        <v>100</v>
      </c>
      <c r="HW26" s="20">
        <v>100</v>
      </c>
      <c r="HX26" s="20">
        <v>104</v>
      </c>
      <c r="HY26" s="20">
        <v>104</v>
      </c>
      <c r="HZ26" s="20">
        <v>108</v>
      </c>
      <c r="IA26" s="20">
        <v>112</v>
      </c>
      <c r="IB26" s="20">
        <v>112</v>
      </c>
      <c r="IC26" s="20">
        <v>116</v>
      </c>
      <c r="ID26" s="20">
        <v>116</v>
      </c>
      <c r="IF26" s="21" t="s">
        <v>408</v>
      </c>
      <c r="IG26" s="21">
        <v>0</v>
      </c>
      <c r="IH26" s="21">
        <v>0</v>
      </c>
      <c r="II26" s="21">
        <v>4</v>
      </c>
      <c r="IJ26" s="21">
        <v>8</v>
      </c>
      <c r="IK26" s="21">
        <v>8</v>
      </c>
      <c r="IL26" s="21">
        <v>12</v>
      </c>
      <c r="IM26" s="21">
        <v>16</v>
      </c>
      <c r="IN26" s="21">
        <v>20</v>
      </c>
      <c r="IO26" s="21">
        <v>20</v>
      </c>
      <c r="IP26" s="21">
        <v>24</v>
      </c>
      <c r="IQ26" s="21">
        <v>28</v>
      </c>
      <c r="IR26" s="21">
        <v>32</v>
      </c>
      <c r="IS26" s="21">
        <v>32</v>
      </c>
      <c r="IT26" s="21">
        <v>36</v>
      </c>
      <c r="IU26" s="21">
        <v>40</v>
      </c>
      <c r="IV26" s="21">
        <v>44</v>
      </c>
      <c r="IW26" s="21">
        <v>44</v>
      </c>
      <c r="IX26" s="21">
        <v>48</v>
      </c>
      <c r="IY26" s="21">
        <v>52</v>
      </c>
      <c r="IZ26" s="21">
        <v>52</v>
      </c>
      <c r="JA26" s="21">
        <v>56</v>
      </c>
      <c r="JB26" s="21">
        <v>60</v>
      </c>
      <c r="JC26" s="21">
        <v>64</v>
      </c>
      <c r="JD26" s="21">
        <v>64</v>
      </c>
      <c r="JE26" s="21">
        <v>68</v>
      </c>
      <c r="JF26" s="21">
        <v>72</v>
      </c>
      <c r="JI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30,$JT$2:$KS$2,0),MATCH($W$22,$AH$22:$AH$47,0)))*C30</f>
        <v>0</v>
      </c>
      <c r="JJ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30,$JT$2:$KS$2,0),MATCH($W$22,$AH$22:$AH$47,0)))*C30</f>
        <v>0</v>
      </c>
      <c r="JK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30,$JT$2:$KS$2,0),MATCH($W$22,$AH$22:$AH$47,0)))*C30</f>
        <v>0</v>
      </c>
      <c r="JL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30,$JT$2:$KS$2,0),MATCH($W$22,$AH$22:$AH$47,0)))*C30</f>
        <v>0</v>
      </c>
      <c r="JM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30,$JT$2:$KS$2,0),MATCH($W$22,$AH$22:$AH$47,0)))*C30</f>
        <v>0</v>
      </c>
      <c r="JN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30,$JT$2:$KS$2,0),MATCH($W$22,$AH$22:$AH$47,0)))*C30</f>
        <v>0</v>
      </c>
      <c r="JO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30,$JT$2:$KS$2,0),MATCH($W$22,$AH$22:$AH$47,0)))*C30</f>
        <v>0</v>
      </c>
      <c r="JP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30,$JT$2:$KS$2,0),MATCH($W$22,$AH$22:$AH$47,0)))*C30</f>
        <v>0</v>
      </c>
      <c r="JQ2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30,$JT$2:$KS$2,0),MATCH($W$22,$AH$22:$AH$47,0)))*C30</f>
        <v>0</v>
      </c>
      <c r="JS26" s="20" t="s">
        <v>127</v>
      </c>
      <c r="JT26" s="20">
        <v>0</v>
      </c>
      <c r="JU26" s="20">
        <v>0</v>
      </c>
      <c r="JV26" s="20">
        <v>2</v>
      </c>
      <c r="JW26" s="20">
        <v>0</v>
      </c>
      <c r="JX26" s="20">
        <v>4</v>
      </c>
      <c r="JY26" s="20">
        <v>2</v>
      </c>
      <c r="JZ26" s="20">
        <v>0</v>
      </c>
      <c r="KA26" s="20">
        <v>4</v>
      </c>
      <c r="KB26" s="20">
        <v>0</v>
      </c>
      <c r="KC26" s="20">
        <v>0</v>
      </c>
      <c r="KD26" s="20">
        <v>0</v>
      </c>
      <c r="KE26" s="20">
        <v>0</v>
      </c>
      <c r="KF26" s="20">
        <v>0</v>
      </c>
      <c r="KG26" s="20">
        <v>0</v>
      </c>
      <c r="KH26" s="20">
        <v>2</v>
      </c>
      <c r="KI26" s="20">
        <v>0</v>
      </c>
      <c r="KJ26" s="20">
        <v>0</v>
      </c>
      <c r="KK26" s="20">
        <v>0</v>
      </c>
      <c r="KL26" s="20">
        <v>0</v>
      </c>
      <c r="KM26" s="20">
        <v>0</v>
      </c>
      <c r="KN26" s="20">
        <v>0</v>
      </c>
      <c r="KO26" s="20">
        <v>2</v>
      </c>
      <c r="KP26" s="20">
        <v>2</v>
      </c>
      <c r="KQ26" s="20">
        <v>0</v>
      </c>
      <c r="KR26" s="20">
        <v>2</v>
      </c>
      <c r="KS26" s="20">
        <v>0</v>
      </c>
      <c r="KU26" s="20" t="s">
        <v>127</v>
      </c>
      <c r="KV26" s="20">
        <v>0</v>
      </c>
      <c r="KW26" s="20">
        <v>0</v>
      </c>
      <c r="KX26" s="20">
        <v>0</v>
      </c>
      <c r="KY26" s="20">
        <v>0</v>
      </c>
      <c r="KZ26" s="20">
        <v>0</v>
      </c>
      <c r="LA26" s="20">
        <v>0</v>
      </c>
      <c r="LB26" s="20">
        <v>0</v>
      </c>
      <c r="LC26" s="20">
        <v>2</v>
      </c>
      <c r="LD26" s="20">
        <v>0</v>
      </c>
      <c r="LE26" s="20">
        <v>0</v>
      </c>
      <c r="LF26" s="20">
        <v>0</v>
      </c>
      <c r="LG26" s="20">
        <v>2</v>
      </c>
      <c r="LH26" s="20">
        <v>0</v>
      </c>
      <c r="LI26" s="20">
        <v>2</v>
      </c>
      <c r="LJ26" s="20">
        <v>0</v>
      </c>
      <c r="LK26" s="20">
        <v>0</v>
      </c>
      <c r="LL26" s="20">
        <v>0</v>
      </c>
      <c r="LM26" s="20">
        <v>4</v>
      </c>
      <c r="LN26" s="20">
        <v>0</v>
      </c>
      <c r="LO26" s="20">
        <v>0</v>
      </c>
      <c r="LP26" s="20">
        <v>0</v>
      </c>
      <c r="LQ26" s="20">
        <v>4</v>
      </c>
      <c r="LR26" s="20">
        <v>2</v>
      </c>
      <c r="LS26" s="20">
        <v>2</v>
      </c>
      <c r="LT26" s="20">
        <v>0</v>
      </c>
      <c r="LU26" s="20">
        <v>0</v>
      </c>
      <c r="LW26" s="20" t="s">
        <v>127</v>
      </c>
      <c r="LX26" s="20">
        <v>0</v>
      </c>
      <c r="LY26" s="20">
        <v>0</v>
      </c>
      <c r="LZ26" s="20">
        <v>0</v>
      </c>
      <c r="MA26" s="20">
        <v>0</v>
      </c>
      <c r="MB26" s="20">
        <v>4</v>
      </c>
      <c r="MC26" s="20">
        <v>0</v>
      </c>
      <c r="MD26" s="20">
        <v>0</v>
      </c>
      <c r="ME26" s="20">
        <v>0</v>
      </c>
      <c r="MF26" s="20">
        <v>0</v>
      </c>
      <c r="MG26" s="20">
        <v>0</v>
      </c>
      <c r="MH26" s="20">
        <v>2</v>
      </c>
      <c r="MI26" s="20">
        <v>0</v>
      </c>
      <c r="MJ26" s="20">
        <v>0</v>
      </c>
      <c r="MK26" s="20">
        <v>2</v>
      </c>
      <c r="ML26" s="20">
        <v>0</v>
      </c>
      <c r="MM26" s="20">
        <v>2</v>
      </c>
      <c r="MN26" s="20">
        <v>0</v>
      </c>
      <c r="MO26" s="20">
        <v>0</v>
      </c>
      <c r="MP26" s="20">
        <v>0</v>
      </c>
      <c r="MQ26" s="20">
        <v>0</v>
      </c>
      <c r="MR26" s="20">
        <v>0</v>
      </c>
      <c r="MS26" s="20">
        <v>2</v>
      </c>
      <c r="MT26" s="20">
        <v>4</v>
      </c>
      <c r="MU26" s="20">
        <v>0</v>
      </c>
      <c r="MV26" s="20">
        <v>2</v>
      </c>
      <c r="MW26" s="20">
        <v>0</v>
      </c>
      <c r="MY26" s="21" t="s">
        <v>127</v>
      </c>
      <c r="MZ26" s="21">
        <v>0</v>
      </c>
      <c r="NA26" s="21">
        <v>0</v>
      </c>
      <c r="NB26" s="21">
        <v>0</v>
      </c>
      <c r="NC26" s="21">
        <v>0</v>
      </c>
      <c r="ND26" s="21">
        <v>0</v>
      </c>
      <c r="NE26" s="21">
        <v>2</v>
      </c>
      <c r="NF26" s="21">
        <v>0</v>
      </c>
      <c r="NG26" s="21">
        <v>0</v>
      </c>
      <c r="NH26" s="21">
        <v>2</v>
      </c>
      <c r="NI26" s="21">
        <v>2</v>
      </c>
      <c r="NJ26" s="21">
        <v>0</v>
      </c>
      <c r="NK26" s="21">
        <v>2</v>
      </c>
      <c r="NL26" s="21">
        <v>0</v>
      </c>
      <c r="NM26" s="21">
        <v>0</v>
      </c>
      <c r="NN26" s="21">
        <v>0</v>
      </c>
      <c r="NO26" s="21">
        <v>2</v>
      </c>
      <c r="NP26" s="21">
        <v>0</v>
      </c>
      <c r="NQ26" s="21">
        <v>2</v>
      </c>
      <c r="NR26" s="21">
        <v>4</v>
      </c>
      <c r="NS26" s="21">
        <v>0</v>
      </c>
      <c r="NT26" s="21">
        <v>0</v>
      </c>
      <c r="NU26" s="21">
        <v>0</v>
      </c>
      <c r="NV26" s="21">
        <v>0</v>
      </c>
      <c r="NW26" s="21">
        <v>2</v>
      </c>
      <c r="NX26" s="21">
        <v>2</v>
      </c>
      <c r="NY26" s="21">
        <v>0</v>
      </c>
      <c r="OB26" s="20" t="s">
        <v>154</v>
      </c>
      <c r="OC26" s="20">
        <f>((((SUM(OC19:OC25)))-1))*2</f>
        <v>34</v>
      </c>
      <c r="OD26" s="187">
        <v>4.28</v>
      </c>
      <c r="OE26" s="187"/>
      <c r="OF26" s="20">
        <f>OC26*OD26</f>
        <v>145.52000000000001</v>
      </c>
      <c r="OG26" s="20"/>
    </row>
    <row r="27" spans="1:397" x14ac:dyDescent="0.25">
      <c r="A27" s="8">
        <v>5</v>
      </c>
      <c r="B27" s="5" t="s">
        <v>116</v>
      </c>
      <c r="C27" s="8">
        <v>1</v>
      </c>
      <c r="D27" s="4"/>
      <c r="E27" s="4"/>
      <c r="F27" s="4"/>
      <c r="G27" s="4"/>
      <c r="H27" s="4"/>
      <c r="I27" s="4"/>
      <c r="J27" s="4"/>
      <c r="K27" s="4"/>
      <c r="L27" s="5" t="s">
        <v>103</v>
      </c>
      <c r="M27" s="5" t="s">
        <v>104</v>
      </c>
      <c r="N27" s="5" t="s">
        <v>107</v>
      </c>
      <c r="O27" s="5" t="s">
        <v>290</v>
      </c>
      <c r="P27" s="5" t="s">
        <v>446</v>
      </c>
      <c r="Q27" s="5" t="s">
        <v>448</v>
      </c>
      <c r="R27" s="5" t="s">
        <v>409</v>
      </c>
      <c r="S27" s="5" t="s">
        <v>447</v>
      </c>
      <c r="T27" s="5" t="s">
        <v>449</v>
      </c>
      <c r="U27" s="5" t="s">
        <v>106</v>
      </c>
      <c r="V27" s="20"/>
      <c r="W27" s="25"/>
      <c r="X27" s="25">
        <f t="shared" si="24"/>
        <v>4</v>
      </c>
      <c r="Y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31,$BB$2:$CA$2,0),MATCH($W$22,$AH$22:$AH$47,0)))*C31</f>
        <v>0</v>
      </c>
      <c r="Z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31,$BB$2:$CA$2,0),MATCH($W$22,$AH$22:$AH$47,0)))*C31</f>
        <v>0</v>
      </c>
      <c r="AA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31,$BB$2:$CA$2,0),MATCH($W$22,$AH$22:$AH$47,0)))*C31</f>
        <v>0</v>
      </c>
      <c r="AB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31,$BB$2:$CA$2,0),MATCH($W$22,$AH$22:$AH$47,0)))*C31</f>
        <v>0</v>
      </c>
      <c r="AC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31,$BB$2:$CA$2,0),MATCH($W$22,$AH$22:$AH$47,0)))*C31</f>
        <v>0</v>
      </c>
      <c r="AD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31,$BB$2:$CA$2,0),MATCH($W$22,$AH$22:$AH$47,0)))*C31</f>
        <v>0</v>
      </c>
      <c r="AE27" s="20"/>
      <c r="AF27" s="20"/>
      <c r="AG27" s="20"/>
      <c r="AH27" s="20" t="s">
        <v>714</v>
      </c>
      <c r="AI27" s="20">
        <v>1700</v>
      </c>
      <c r="AJ27" s="20">
        <v>1250</v>
      </c>
      <c r="AK27" s="20"/>
      <c r="AL27" s="20">
        <f t="shared" si="25"/>
        <v>0</v>
      </c>
      <c r="AM27" s="20" t="s">
        <v>781</v>
      </c>
      <c r="AN27" s="20" t="s">
        <v>125</v>
      </c>
      <c r="AO27" s="20" t="s">
        <v>144</v>
      </c>
      <c r="AP27" s="20"/>
      <c r="AQ27" s="20"/>
      <c r="AS27" s="20" t="s">
        <v>781</v>
      </c>
      <c r="AT27" s="20" t="s">
        <v>125</v>
      </c>
      <c r="AU27" s="20" t="s">
        <v>144</v>
      </c>
      <c r="AV27" s="20"/>
      <c r="AW27" s="20"/>
      <c r="AX27" s="20"/>
      <c r="AY27" s="20"/>
      <c r="AZ27" s="20"/>
      <c r="BA27" s="26" t="s">
        <v>516</v>
      </c>
      <c r="BB27" s="20">
        <v>0</v>
      </c>
      <c r="BC27" s="20">
        <v>2</v>
      </c>
      <c r="BD27" s="20">
        <v>0</v>
      </c>
      <c r="BE27" s="20">
        <v>0</v>
      </c>
      <c r="BF27" s="20">
        <v>0</v>
      </c>
      <c r="BG27" s="20">
        <v>0</v>
      </c>
      <c r="BH27" s="20">
        <v>0</v>
      </c>
      <c r="BI27" s="20">
        <v>0</v>
      </c>
      <c r="BJ27" s="20">
        <v>0</v>
      </c>
      <c r="BK27" s="20">
        <v>0</v>
      </c>
      <c r="BL27" s="20">
        <v>0</v>
      </c>
      <c r="BM27" s="20">
        <v>0</v>
      </c>
      <c r="BN27" s="20">
        <v>0</v>
      </c>
      <c r="BO27" s="20">
        <v>0</v>
      </c>
      <c r="BP27" s="20">
        <v>0</v>
      </c>
      <c r="BQ27" s="20">
        <v>0</v>
      </c>
      <c r="BR27" s="20">
        <v>0</v>
      </c>
      <c r="BS27" s="20">
        <v>0</v>
      </c>
      <c r="BT27" s="20">
        <v>0</v>
      </c>
      <c r="BU27" s="20">
        <v>0</v>
      </c>
      <c r="BV27" s="20">
        <v>0</v>
      </c>
      <c r="BW27" s="20">
        <v>0</v>
      </c>
      <c r="BX27" s="20">
        <v>0</v>
      </c>
      <c r="BY27" s="20">
        <v>0</v>
      </c>
      <c r="BZ27" s="20">
        <v>0</v>
      </c>
      <c r="CA27" s="20">
        <v>0</v>
      </c>
      <c r="CB27" s="20">
        <v>0</v>
      </c>
      <c r="CC27" s="20">
        <v>0</v>
      </c>
      <c r="CD27" s="20">
        <v>0</v>
      </c>
      <c r="CE27" s="20">
        <v>0</v>
      </c>
      <c r="CF27" s="20">
        <v>0</v>
      </c>
      <c r="CG27" s="20">
        <v>0</v>
      </c>
      <c r="CH27" s="20">
        <v>0</v>
      </c>
      <c r="CI27" s="20">
        <v>0</v>
      </c>
      <c r="CJ27" s="20">
        <v>0</v>
      </c>
      <c r="CK27" s="20">
        <v>0</v>
      </c>
      <c r="CL27" s="20">
        <v>0</v>
      </c>
      <c r="CM27" s="20">
        <v>2</v>
      </c>
      <c r="CN27" s="20">
        <v>0</v>
      </c>
      <c r="CO27" s="20">
        <v>0</v>
      </c>
      <c r="CP27" s="20">
        <v>0</v>
      </c>
      <c r="CQ27" s="20">
        <v>0</v>
      </c>
      <c r="CR27" s="20">
        <v>0</v>
      </c>
      <c r="CS27" s="20">
        <v>0</v>
      </c>
      <c r="CT27" s="20">
        <v>0</v>
      </c>
      <c r="CU27" s="20">
        <v>0</v>
      </c>
      <c r="CV27" s="20">
        <v>0</v>
      </c>
      <c r="CW27" s="20">
        <v>2</v>
      </c>
      <c r="CX27" s="20">
        <v>0</v>
      </c>
      <c r="CY27" s="20">
        <v>0</v>
      </c>
      <c r="CZ27" s="20">
        <v>0</v>
      </c>
      <c r="DA27" s="54"/>
      <c r="DB27" s="54">
        <v>26</v>
      </c>
      <c r="DC27" s="54"/>
      <c r="DD27" s="20" t="s">
        <v>518</v>
      </c>
      <c r="DE27" s="20">
        <v>0</v>
      </c>
      <c r="DF27" s="20">
        <v>2</v>
      </c>
      <c r="DG27" s="20">
        <v>0</v>
      </c>
      <c r="DH27" s="20">
        <v>4</v>
      </c>
      <c r="DI27" s="20">
        <v>2</v>
      </c>
      <c r="DJ27" s="20">
        <v>0</v>
      </c>
      <c r="DK27" s="20">
        <v>4</v>
      </c>
      <c r="DL27" s="20">
        <v>2</v>
      </c>
      <c r="DM27" s="20">
        <v>0</v>
      </c>
      <c r="DN27" s="20">
        <v>4</v>
      </c>
      <c r="DO27" s="20">
        <v>2</v>
      </c>
      <c r="DP27" s="20">
        <v>0</v>
      </c>
      <c r="DQ27" s="20">
        <v>4</v>
      </c>
      <c r="DR27" s="20">
        <v>2</v>
      </c>
      <c r="DS27" s="20">
        <v>0</v>
      </c>
      <c r="DT27" s="20">
        <v>4</v>
      </c>
      <c r="DU27" s="20">
        <v>2</v>
      </c>
      <c r="DV27" s="20">
        <v>0</v>
      </c>
      <c r="DW27" s="20">
        <v>4</v>
      </c>
      <c r="DX27" s="20">
        <v>2</v>
      </c>
      <c r="DY27" s="20">
        <v>0</v>
      </c>
      <c r="DZ27" s="20"/>
      <c r="EA27" s="20"/>
      <c r="EB27" s="26" t="s">
        <v>516</v>
      </c>
      <c r="EC27" s="20">
        <v>0</v>
      </c>
      <c r="ED27" s="20">
        <v>0</v>
      </c>
      <c r="EE27" s="20">
        <v>0</v>
      </c>
      <c r="EF27" s="20">
        <v>0</v>
      </c>
      <c r="EG27" s="20">
        <v>0</v>
      </c>
      <c r="EH27" s="20">
        <v>0</v>
      </c>
      <c r="EI27" s="20">
        <v>0</v>
      </c>
      <c r="EJ27" s="20">
        <v>0</v>
      </c>
      <c r="EK27" s="20">
        <v>0</v>
      </c>
      <c r="EL27" s="20">
        <v>0</v>
      </c>
      <c r="EM27" s="20">
        <v>0</v>
      </c>
      <c r="EN27" s="20">
        <v>0</v>
      </c>
      <c r="EO27" s="20">
        <v>0</v>
      </c>
      <c r="EP27" s="20">
        <v>0</v>
      </c>
      <c r="EQ27" s="20">
        <v>0</v>
      </c>
      <c r="ER27" s="20">
        <v>0</v>
      </c>
      <c r="ES27" s="20">
        <v>0</v>
      </c>
      <c r="ET27" s="20">
        <v>0</v>
      </c>
      <c r="EU27" s="20">
        <v>0</v>
      </c>
      <c r="EV27" s="20">
        <v>0</v>
      </c>
      <c r="EW27" s="20">
        <v>0</v>
      </c>
      <c r="EX27" s="20">
        <v>0</v>
      </c>
      <c r="EY27" s="20">
        <v>0</v>
      </c>
      <c r="EZ27" s="20">
        <v>0</v>
      </c>
      <c r="FA27" s="20">
        <v>0</v>
      </c>
      <c r="FB27" s="20">
        <v>0</v>
      </c>
      <c r="FC27" s="20">
        <v>0</v>
      </c>
      <c r="FD27" s="20">
        <v>0</v>
      </c>
      <c r="FE27" s="20">
        <v>0</v>
      </c>
      <c r="FF27" s="20">
        <v>0</v>
      </c>
      <c r="FG27" s="20">
        <v>0</v>
      </c>
      <c r="FH27" s="20">
        <v>0</v>
      </c>
      <c r="FI27" s="20">
        <v>0</v>
      </c>
      <c r="FJ27" s="20">
        <v>0</v>
      </c>
      <c r="FK27" s="20">
        <v>0</v>
      </c>
      <c r="FL27" s="20">
        <v>0</v>
      </c>
      <c r="FM27" s="20">
        <v>0</v>
      </c>
      <c r="FN27" s="20">
        <v>2</v>
      </c>
      <c r="FO27" s="20">
        <v>0</v>
      </c>
      <c r="FP27" s="20">
        <v>0</v>
      </c>
      <c r="FQ27" s="20">
        <v>0</v>
      </c>
      <c r="FR27" s="20">
        <v>0</v>
      </c>
      <c r="FS27" s="20">
        <v>0</v>
      </c>
      <c r="FT27" s="20">
        <v>0</v>
      </c>
      <c r="FU27" s="20">
        <v>0</v>
      </c>
      <c r="FV27" s="20">
        <v>0</v>
      </c>
      <c r="FW27" s="20">
        <v>0</v>
      </c>
      <c r="FX27" s="20">
        <v>0</v>
      </c>
      <c r="FY27" s="20">
        <v>0</v>
      </c>
      <c r="FZ27" s="20">
        <v>0</v>
      </c>
      <c r="GA27" s="20">
        <v>0</v>
      </c>
      <c r="GC27" s="20"/>
      <c r="GD27" s="20"/>
      <c r="GE27" s="26" t="s">
        <v>516</v>
      </c>
      <c r="GF27" s="20">
        <v>0</v>
      </c>
      <c r="GG27" s="20">
        <v>0</v>
      </c>
      <c r="GH27" s="20">
        <v>0</v>
      </c>
      <c r="GI27" s="20">
        <v>0</v>
      </c>
      <c r="GJ27" s="20">
        <v>0</v>
      </c>
      <c r="GK27" s="20">
        <v>2</v>
      </c>
      <c r="GL27" s="20">
        <v>0</v>
      </c>
      <c r="GM27" s="20">
        <v>0</v>
      </c>
      <c r="GN27" s="20">
        <v>0</v>
      </c>
      <c r="GO27" s="20">
        <v>0</v>
      </c>
      <c r="GP27" s="20">
        <v>0</v>
      </c>
      <c r="GQ27" s="20">
        <v>0</v>
      </c>
      <c r="GR27" s="20">
        <v>0</v>
      </c>
      <c r="GS27" s="20">
        <v>0</v>
      </c>
      <c r="GT27" s="20">
        <v>0</v>
      </c>
      <c r="GU27" s="20">
        <v>0</v>
      </c>
      <c r="GV27" s="20">
        <v>0</v>
      </c>
      <c r="GW27" s="20">
        <v>2</v>
      </c>
      <c r="GX27" s="20">
        <v>0</v>
      </c>
      <c r="GY27" s="20">
        <v>0</v>
      </c>
      <c r="GZ27" s="20">
        <v>0</v>
      </c>
      <c r="HA27" s="20">
        <v>0</v>
      </c>
      <c r="HB27" s="20">
        <v>0</v>
      </c>
      <c r="HC27" s="20">
        <v>0</v>
      </c>
      <c r="HD27" s="20">
        <v>0</v>
      </c>
      <c r="HE27" s="20">
        <v>0</v>
      </c>
      <c r="HF27" s="20">
        <v>0</v>
      </c>
      <c r="HG27" s="20">
        <v>0</v>
      </c>
      <c r="HH27" s="20">
        <v>0</v>
      </c>
      <c r="HI27" s="20">
        <v>0</v>
      </c>
      <c r="HJ27" s="20">
        <v>0</v>
      </c>
      <c r="HK27" s="20">
        <v>0</v>
      </c>
      <c r="HL27" s="20">
        <v>2</v>
      </c>
      <c r="HM27" s="20">
        <v>0</v>
      </c>
      <c r="HN27" s="20">
        <v>0</v>
      </c>
      <c r="HO27" s="20">
        <v>0</v>
      </c>
      <c r="HP27" s="20">
        <v>0</v>
      </c>
      <c r="HQ27" s="20">
        <v>0</v>
      </c>
      <c r="HR27" s="20">
        <v>0</v>
      </c>
      <c r="HS27" s="20">
        <v>0</v>
      </c>
      <c r="HT27" s="20">
        <v>0</v>
      </c>
      <c r="HU27" s="20">
        <v>0</v>
      </c>
      <c r="HV27" s="20">
        <v>0</v>
      </c>
      <c r="HW27" s="20">
        <v>0</v>
      </c>
      <c r="HX27" s="20">
        <v>0</v>
      </c>
      <c r="HY27" s="20">
        <v>0</v>
      </c>
      <c r="HZ27" s="20">
        <v>0</v>
      </c>
      <c r="IA27" s="20">
        <v>2</v>
      </c>
      <c r="IB27" s="20">
        <v>0</v>
      </c>
      <c r="IC27" s="20">
        <v>0</v>
      </c>
      <c r="ID27" s="20">
        <v>0</v>
      </c>
      <c r="IF27" s="21" t="s">
        <v>516</v>
      </c>
      <c r="IG27" s="21">
        <v>0</v>
      </c>
      <c r="IH27" s="21">
        <v>0</v>
      </c>
      <c r="II27" s="21">
        <v>0</v>
      </c>
      <c r="IJ27" s="21">
        <v>0</v>
      </c>
      <c r="IK27" s="21">
        <v>0</v>
      </c>
      <c r="IL27" s="21">
        <v>0</v>
      </c>
      <c r="IM27" s="21">
        <v>0</v>
      </c>
      <c r="IN27" s="21">
        <v>0</v>
      </c>
      <c r="IO27" s="21">
        <v>0</v>
      </c>
      <c r="IP27" s="21">
        <v>0</v>
      </c>
      <c r="IQ27" s="21">
        <v>0</v>
      </c>
      <c r="IR27" s="21">
        <v>0</v>
      </c>
      <c r="IS27" s="21">
        <v>0</v>
      </c>
      <c r="IT27" s="21">
        <v>0</v>
      </c>
      <c r="IU27" s="21">
        <v>0</v>
      </c>
      <c r="IV27" s="21">
        <v>0</v>
      </c>
      <c r="IW27" s="21">
        <v>0</v>
      </c>
      <c r="IX27" s="21">
        <v>0</v>
      </c>
      <c r="IY27" s="21">
        <v>0</v>
      </c>
      <c r="IZ27" s="21">
        <v>0</v>
      </c>
      <c r="JA27" s="21">
        <v>0</v>
      </c>
      <c r="JB27" s="21">
        <v>0</v>
      </c>
      <c r="JC27" s="21">
        <v>0</v>
      </c>
      <c r="JD27" s="21">
        <v>0</v>
      </c>
      <c r="JE27" s="21">
        <v>0</v>
      </c>
      <c r="JF27" s="21">
        <v>0</v>
      </c>
      <c r="JI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31,$JT$2:$KS$2,0),MATCH($W$22,$AH$22:$AH$47,0)))*C31</f>
        <v>0</v>
      </c>
      <c r="JJ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31,$JT$2:$KS$2,0),MATCH($W$22,$AH$22:$AH$47,0)))*C31</f>
        <v>0</v>
      </c>
      <c r="JK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31,$JT$2:$KS$2,0),MATCH($W$22,$AH$22:$AH$47,0)))*C31</f>
        <v>0</v>
      </c>
      <c r="JL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31,$JT$2:$KS$2,0),MATCH($W$22,$AH$22:$AH$47,0)))*C31</f>
        <v>0</v>
      </c>
      <c r="JM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31,$JT$2:$KS$2,0),MATCH($W$22,$AH$22:$AH$47,0)))*C31</f>
        <v>0</v>
      </c>
      <c r="JN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31,$JT$2:$KS$2,0),MATCH($W$22,$AH$22:$AH$47,0)))*C31</f>
        <v>0</v>
      </c>
      <c r="JO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31,$JT$2:$KS$2,0),MATCH($W$22,$AH$22:$AH$47,0)))*C31</f>
        <v>0</v>
      </c>
      <c r="JP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31,$JT$2:$KS$2,0),MATCH($W$22,$AH$22:$AH$47,0)))*C31</f>
        <v>0</v>
      </c>
      <c r="JQ2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31,$JT$2:$KS$2,0),MATCH($W$22,$AH$22:$AH$47,0)))*C31</f>
        <v>0</v>
      </c>
      <c r="JS27" s="20" t="s">
        <v>1024</v>
      </c>
      <c r="JT27" s="20">
        <v>0</v>
      </c>
      <c r="JU27" s="20">
        <v>0</v>
      </c>
      <c r="JV27" s="20">
        <v>0</v>
      </c>
      <c r="JW27" s="20">
        <v>0</v>
      </c>
      <c r="JX27" s="20">
        <v>0</v>
      </c>
      <c r="JY27" s="20">
        <v>0</v>
      </c>
      <c r="JZ27" s="20">
        <v>0</v>
      </c>
      <c r="KA27" s="20">
        <v>0</v>
      </c>
      <c r="KB27" s="20">
        <v>0</v>
      </c>
      <c r="KC27" s="20">
        <v>0</v>
      </c>
      <c r="KD27" s="20">
        <v>0</v>
      </c>
      <c r="KE27" s="20">
        <v>0</v>
      </c>
      <c r="KF27" s="20">
        <v>2</v>
      </c>
      <c r="KG27" s="20">
        <v>0</v>
      </c>
      <c r="KH27" s="20">
        <v>0</v>
      </c>
      <c r="KI27" s="20">
        <v>0</v>
      </c>
      <c r="KJ27" s="20">
        <v>0</v>
      </c>
      <c r="KK27" s="20">
        <v>0</v>
      </c>
      <c r="KL27" s="20">
        <v>0</v>
      </c>
      <c r="KM27" s="20">
        <v>0</v>
      </c>
      <c r="KN27" s="20">
        <v>0</v>
      </c>
      <c r="KO27" s="20">
        <v>0</v>
      </c>
      <c r="KP27" s="20">
        <v>0</v>
      </c>
      <c r="KQ27" s="20">
        <v>0</v>
      </c>
      <c r="KR27" s="20">
        <v>0</v>
      </c>
      <c r="KS27" s="20">
        <v>0</v>
      </c>
      <c r="KU27" s="20" t="s">
        <v>1024</v>
      </c>
      <c r="KV27" s="20">
        <v>0</v>
      </c>
      <c r="KW27" s="20">
        <v>0</v>
      </c>
      <c r="KX27" s="20">
        <v>0</v>
      </c>
      <c r="KY27" s="20">
        <v>0</v>
      </c>
      <c r="KZ27" s="20">
        <v>0</v>
      </c>
      <c r="LA27" s="20">
        <v>0</v>
      </c>
      <c r="LB27" s="20">
        <v>0</v>
      </c>
      <c r="LC27" s="20">
        <v>0</v>
      </c>
      <c r="LD27" s="20">
        <v>0</v>
      </c>
      <c r="LE27" s="20">
        <v>0</v>
      </c>
      <c r="LF27" s="20">
        <v>0</v>
      </c>
      <c r="LG27" s="20">
        <v>0</v>
      </c>
      <c r="LH27" s="20">
        <v>0</v>
      </c>
      <c r="LI27" s="20">
        <v>0</v>
      </c>
      <c r="LJ27" s="20">
        <v>0</v>
      </c>
      <c r="LK27" s="20">
        <v>0</v>
      </c>
      <c r="LL27" s="20">
        <v>0</v>
      </c>
      <c r="LM27" s="20">
        <v>0</v>
      </c>
      <c r="LN27" s="20">
        <v>0</v>
      </c>
      <c r="LO27" s="20">
        <v>0</v>
      </c>
      <c r="LP27" s="20">
        <v>0</v>
      </c>
      <c r="LQ27" s="20">
        <v>0</v>
      </c>
      <c r="LR27" s="20">
        <v>0</v>
      </c>
      <c r="LS27" s="20">
        <v>0</v>
      </c>
      <c r="LT27" s="20">
        <v>0</v>
      </c>
      <c r="LU27" s="20">
        <v>0</v>
      </c>
      <c r="LW27" s="20" t="s">
        <v>1024</v>
      </c>
      <c r="LX27" s="20">
        <v>0</v>
      </c>
      <c r="LY27" s="20">
        <v>0</v>
      </c>
      <c r="LZ27" s="20">
        <v>0</v>
      </c>
      <c r="MA27" s="20">
        <v>2</v>
      </c>
      <c r="MB27" s="20">
        <v>0</v>
      </c>
      <c r="MC27" s="20">
        <v>0</v>
      </c>
      <c r="MD27" s="20">
        <v>0</v>
      </c>
      <c r="ME27" s="20">
        <v>0</v>
      </c>
      <c r="MF27" s="20">
        <v>0</v>
      </c>
      <c r="MG27" s="20">
        <v>0</v>
      </c>
      <c r="MH27" s="20">
        <v>0</v>
      </c>
      <c r="MI27" s="20">
        <v>0</v>
      </c>
      <c r="MJ27" s="20">
        <v>2</v>
      </c>
      <c r="MK27" s="20">
        <v>0</v>
      </c>
      <c r="ML27" s="20">
        <v>0</v>
      </c>
      <c r="MM27" s="20">
        <v>0</v>
      </c>
      <c r="MN27" s="20">
        <v>0</v>
      </c>
      <c r="MO27" s="20">
        <v>0</v>
      </c>
      <c r="MP27" s="20">
        <v>0</v>
      </c>
      <c r="MQ27" s="20">
        <v>0</v>
      </c>
      <c r="MR27" s="20">
        <v>0</v>
      </c>
      <c r="MS27" s="20">
        <v>0</v>
      </c>
      <c r="MT27" s="20">
        <v>0</v>
      </c>
      <c r="MU27" s="20">
        <v>0</v>
      </c>
      <c r="MV27" s="20">
        <v>0</v>
      </c>
      <c r="MW27" s="20">
        <v>0</v>
      </c>
      <c r="MY27" s="20" t="s">
        <v>1024</v>
      </c>
      <c r="MZ27" s="21">
        <v>0</v>
      </c>
      <c r="NA27" s="21">
        <v>0</v>
      </c>
      <c r="NB27" s="21">
        <v>0</v>
      </c>
      <c r="NC27" s="21">
        <v>0</v>
      </c>
      <c r="ND27" s="21">
        <v>0</v>
      </c>
      <c r="NE27" s="21">
        <v>0</v>
      </c>
      <c r="NF27" s="21">
        <v>0</v>
      </c>
      <c r="NG27" s="21">
        <v>0</v>
      </c>
      <c r="NH27" s="21">
        <v>0</v>
      </c>
      <c r="NI27" s="21">
        <v>0</v>
      </c>
      <c r="NJ27" s="21">
        <v>0</v>
      </c>
      <c r="NK27" s="21">
        <v>0</v>
      </c>
      <c r="NL27" s="21">
        <v>0</v>
      </c>
      <c r="NM27" s="21">
        <v>0</v>
      </c>
      <c r="NN27" s="21">
        <v>0</v>
      </c>
      <c r="NO27" s="21">
        <v>0</v>
      </c>
      <c r="NP27" s="21">
        <v>0</v>
      </c>
      <c r="NQ27" s="21">
        <v>0</v>
      </c>
      <c r="NR27" s="21">
        <v>0</v>
      </c>
      <c r="NS27" s="21">
        <v>0</v>
      </c>
      <c r="NT27" s="21">
        <v>0</v>
      </c>
      <c r="NU27" s="21">
        <v>0</v>
      </c>
      <c r="NV27" s="21">
        <v>0</v>
      </c>
      <c r="NW27" s="21">
        <v>0</v>
      </c>
      <c r="NX27" s="21">
        <v>0</v>
      </c>
      <c r="NY27" s="21">
        <v>0</v>
      </c>
      <c r="OB27" s="20"/>
      <c r="OC27" s="20"/>
      <c r="OD27" s="20">
        <f>SUM(OD19:OD25)</f>
        <v>63600</v>
      </c>
      <c r="OE27" s="20"/>
      <c r="OF27" s="20">
        <f>SUM(OF19:OF26)</f>
        <v>1941.6</v>
      </c>
      <c r="OG27" s="20"/>
    </row>
    <row r="28" spans="1:397" x14ac:dyDescent="0.25">
      <c r="A28" s="8"/>
      <c r="B28" s="5" t="s">
        <v>116</v>
      </c>
      <c r="C28" s="8"/>
      <c r="D28" s="6" t="s">
        <v>118</v>
      </c>
      <c r="E28" s="8" t="s">
        <v>138</v>
      </c>
      <c r="F28" s="6" t="s">
        <v>116</v>
      </c>
      <c r="G28" s="8" t="s">
        <v>115</v>
      </c>
      <c r="H28" s="6" t="s">
        <v>116</v>
      </c>
      <c r="I28" s="8">
        <v>30</v>
      </c>
      <c r="J28" s="5" t="s">
        <v>119</v>
      </c>
      <c r="K28" s="4"/>
      <c r="L28" s="6" t="str">
        <f>IF($E$35=AK22,"PAL40H40/1,15",IF($E$35=AK23,"PAL30H32/1,15","-------"))</f>
        <v>PAL40H40/1,15</v>
      </c>
      <c r="M28" s="14">
        <f>INDEX(cennik!$A$2:$O$529,MATCH($L28,cennik!$B$2:$B$522,0),MATCH(M$27,cennik!$A$1:$O$1,0))</f>
        <v>894510</v>
      </c>
      <c r="N28" s="14" t="str">
        <f>INDEX(cennik!$A$2:$O$529,MATCH($L28,cennik!$B$2:$B$522,0),MATCH(N$27,cennik!$A$1:$O$1,0))</f>
        <v>szt.</v>
      </c>
      <c r="O28" s="14">
        <f>IF(L28="-------",0,SUM(JJ23:JJ38))</f>
        <v>0</v>
      </c>
      <c r="P28" s="22">
        <f>INDEX(cennik!$A$2:$O$529,MATCH($L28,cennik!$B$2:$B$522,0),MATCH(P$27,cennik!$A$1:$O$1,0))</f>
        <v>36.799999999999997</v>
      </c>
      <c r="Q28" s="22">
        <f>O28*P28</f>
        <v>0</v>
      </c>
      <c r="R28" s="23">
        <f>$E$34</f>
        <v>0</v>
      </c>
      <c r="S28" s="22">
        <f>P28*((100-$E$34)/100)</f>
        <v>36.799999999999997</v>
      </c>
      <c r="T28" s="22">
        <f>O28*S28</f>
        <v>0</v>
      </c>
      <c r="U28" s="22">
        <f>INDEX(cennik!$A$2:$O$529,MATCH($L28,cennik!$B$2:$B$522,0),MATCH(U$27,cennik!$A$1:$O$1,0))*O28</f>
        <v>0</v>
      </c>
      <c r="V28" s="20"/>
      <c r="W28" s="25"/>
      <c r="X28" s="25">
        <f t="shared" si="24"/>
        <v>4</v>
      </c>
      <c r="Y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32,$BB$2:$CA$2,0),MATCH($W$22,$AH$22:$AH$47,0)))*C32</f>
        <v>0</v>
      </c>
      <c r="Z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32,$BB$2:$CA$2,0),MATCH($W$22,$AH$22:$AH$47,0)))*C32</f>
        <v>0</v>
      </c>
      <c r="AA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32,$BB$2:$CA$2,0),MATCH($W$22,$AH$22:$AH$47,0)))*C32</f>
        <v>0</v>
      </c>
      <c r="AB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32,$BB$2:$CA$2,0),MATCH($W$22,$AH$22:$AH$47,0)))*C32</f>
        <v>0</v>
      </c>
      <c r="AC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32,$BB$2:$CA$2,0),MATCH($W$22,$AH$22:$AH$47,0)))*C32</f>
        <v>0</v>
      </c>
      <c r="AD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32,$BB$2:$CA$2,0),MATCH($W$22,$AH$22:$AH$47,0)))*C32</f>
        <v>0</v>
      </c>
      <c r="AE28" s="20"/>
      <c r="AF28" s="20"/>
      <c r="AG28" s="20"/>
      <c r="AH28" s="20" t="s">
        <v>715</v>
      </c>
      <c r="AI28" s="20">
        <v>1750</v>
      </c>
      <c r="AJ28" s="20">
        <v>1300</v>
      </c>
      <c r="AK28" s="20" t="s">
        <v>14</v>
      </c>
      <c r="AL28" s="20">
        <f t="shared" si="25"/>
        <v>0</v>
      </c>
      <c r="AM28" s="20">
        <v>30</v>
      </c>
      <c r="AN28" s="20" t="s">
        <v>475</v>
      </c>
      <c r="AO28" s="20" t="s">
        <v>476</v>
      </c>
      <c r="AP28" s="20" t="s">
        <v>477</v>
      </c>
      <c r="AQ28" s="20" t="s">
        <v>14</v>
      </c>
      <c r="AS28" s="20">
        <v>30</v>
      </c>
      <c r="AT28" s="20" t="s">
        <v>1007</v>
      </c>
      <c r="AU28" s="20" t="s">
        <v>1008</v>
      </c>
      <c r="AV28" s="20" t="s">
        <v>477</v>
      </c>
      <c r="AW28" s="20" t="s">
        <v>14</v>
      </c>
      <c r="AX28" s="20"/>
      <c r="AY28" s="20"/>
      <c r="AZ28" s="20"/>
      <c r="BA28" s="26" t="s">
        <v>517</v>
      </c>
      <c r="BB28" s="20">
        <v>0</v>
      </c>
      <c r="BC28" s="20">
        <v>0</v>
      </c>
      <c r="BD28" s="20">
        <v>0</v>
      </c>
      <c r="BE28" s="20">
        <v>0</v>
      </c>
      <c r="BF28" s="20">
        <v>0</v>
      </c>
      <c r="BG28" s="20">
        <v>0</v>
      </c>
      <c r="BH28" s="20">
        <v>0</v>
      </c>
      <c r="BI28" s="20">
        <v>0</v>
      </c>
      <c r="BJ28" s="20">
        <v>2</v>
      </c>
      <c r="BK28" s="20">
        <v>0</v>
      </c>
      <c r="BL28" s="20">
        <v>0</v>
      </c>
      <c r="BM28" s="20">
        <v>0</v>
      </c>
      <c r="BN28" s="20">
        <v>0</v>
      </c>
      <c r="BO28" s="20">
        <v>4</v>
      </c>
      <c r="BP28" s="20">
        <v>2</v>
      </c>
      <c r="BQ28" s="20">
        <v>0</v>
      </c>
      <c r="BR28" s="20">
        <v>2</v>
      </c>
      <c r="BS28" s="20">
        <v>0</v>
      </c>
      <c r="BT28" s="20">
        <v>0</v>
      </c>
      <c r="BU28" s="20">
        <v>4</v>
      </c>
      <c r="BV28" s="20">
        <v>2</v>
      </c>
      <c r="BW28" s="20">
        <v>0</v>
      </c>
      <c r="BX28" s="20">
        <v>0</v>
      </c>
      <c r="BY28" s="20">
        <v>2</v>
      </c>
      <c r="BZ28" s="20">
        <v>0</v>
      </c>
      <c r="CA28" s="20">
        <v>0</v>
      </c>
      <c r="CB28" s="20">
        <v>0</v>
      </c>
      <c r="CC28" s="20">
        <v>0</v>
      </c>
      <c r="CD28" s="20">
        <v>4</v>
      </c>
      <c r="CE28" s="20">
        <v>2</v>
      </c>
      <c r="CF28" s="20">
        <v>0</v>
      </c>
      <c r="CG28" s="20">
        <v>2</v>
      </c>
      <c r="CH28" s="20">
        <v>0</v>
      </c>
      <c r="CI28" s="20">
        <v>0</v>
      </c>
      <c r="CJ28" s="20">
        <v>2</v>
      </c>
      <c r="CK28" s="20">
        <v>0</v>
      </c>
      <c r="CL28" s="20">
        <v>0</v>
      </c>
      <c r="CM28" s="20">
        <v>0</v>
      </c>
      <c r="CN28" s="20">
        <v>0</v>
      </c>
      <c r="CO28" s="20">
        <v>0</v>
      </c>
      <c r="CP28" s="20">
        <v>0</v>
      </c>
      <c r="CQ28" s="20">
        <v>0</v>
      </c>
      <c r="CR28" s="20">
        <v>0</v>
      </c>
      <c r="CS28" s="20">
        <v>0</v>
      </c>
      <c r="CT28" s="20">
        <v>0</v>
      </c>
      <c r="CU28" s="20">
        <v>0</v>
      </c>
      <c r="CV28" s="20">
        <v>0</v>
      </c>
      <c r="CW28" s="20">
        <v>0</v>
      </c>
      <c r="CX28" s="20">
        <v>0</v>
      </c>
      <c r="CY28" s="20">
        <v>0</v>
      </c>
      <c r="CZ28" s="20">
        <v>0</v>
      </c>
      <c r="DA28" s="54"/>
      <c r="DB28" s="54">
        <v>27</v>
      </c>
      <c r="DC28" s="54"/>
      <c r="DD28" s="20" t="s">
        <v>520</v>
      </c>
      <c r="DE28" s="20">
        <v>0</v>
      </c>
      <c r="DF28" s="20">
        <v>0</v>
      </c>
      <c r="DG28" s="20">
        <v>2</v>
      </c>
      <c r="DH28" s="20">
        <v>0</v>
      </c>
      <c r="DI28" s="20">
        <v>2</v>
      </c>
      <c r="DJ28" s="20">
        <v>4</v>
      </c>
      <c r="DK28" s="20">
        <v>2</v>
      </c>
      <c r="DL28" s="20">
        <v>4</v>
      </c>
      <c r="DM28" s="20">
        <v>6</v>
      </c>
      <c r="DN28" s="20">
        <v>4</v>
      </c>
      <c r="DO28" s="20">
        <v>6</v>
      </c>
      <c r="DP28" s="20">
        <v>8</v>
      </c>
      <c r="DQ28" s="20">
        <v>6</v>
      </c>
      <c r="DR28" s="20">
        <v>8</v>
      </c>
      <c r="DS28" s="20">
        <v>10</v>
      </c>
      <c r="DT28" s="20">
        <v>8</v>
      </c>
      <c r="DU28" s="20">
        <v>10</v>
      </c>
      <c r="DV28" s="20">
        <v>12</v>
      </c>
      <c r="DW28" s="20">
        <v>10</v>
      </c>
      <c r="DX28" s="20">
        <v>12</v>
      </c>
      <c r="DY28" s="20">
        <v>14</v>
      </c>
      <c r="DZ28" s="20"/>
      <c r="EA28" s="20"/>
      <c r="EB28" s="26" t="s">
        <v>517</v>
      </c>
      <c r="EC28" s="20">
        <v>0</v>
      </c>
      <c r="ED28" s="20">
        <v>2</v>
      </c>
      <c r="EE28" s="20">
        <v>4</v>
      </c>
      <c r="EF28" s="20">
        <v>2</v>
      </c>
      <c r="EG28" s="20">
        <v>4</v>
      </c>
      <c r="EH28" s="20">
        <v>2</v>
      </c>
      <c r="EI28" s="20">
        <v>4</v>
      </c>
      <c r="EJ28" s="20">
        <v>0</v>
      </c>
      <c r="EK28" s="20">
        <v>4</v>
      </c>
      <c r="EL28" s="20">
        <v>0</v>
      </c>
      <c r="EM28" s="20">
        <v>4</v>
      </c>
      <c r="EN28" s="20">
        <v>0</v>
      </c>
      <c r="EO28" s="20">
        <v>4</v>
      </c>
      <c r="EP28" s="20">
        <v>0</v>
      </c>
      <c r="EQ28" s="20">
        <v>0</v>
      </c>
      <c r="ER28" s="20">
        <v>0</v>
      </c>
      <c r="ES28" s="20">
        <v>0</v>
      </c>
      <c r="ET28" s="20">
        <v>0</v>
      </c>
      <c r="EU28" s="20">
        <v>0</v>
      </c>
      <c r="EV28" s="20">
        <v>0</v>
      </c>
      <c r="EW28" s="20">
        <v>0</v>
      </c>
      <c r="EX28" s="20">
        <v>0</v>
      </c>
      <c r="EY28" s="20">
        <v>0</v>
      </c>
      <c r="EZ28" s="20">
        <v>0</v>
      </c>
      <c r="FA28" s="20">
        <v>0</v>
      </c>
      <c r="FB28" s="20">
        <v>0</v>
      </c>
      <c r="FC28" s="20">
        <v>0</v>
      </c>
      <c r="FD28" s="20">
        <v>4</v>
      </c>
      <c r="FE28" s="20">
        <v>0</v>
      </c>
      <c r="FF28" s="20">
        <v>0</v>
      </c>
      <c r="FG28" s="20">
        <v>0</v>
      </c>
      <c r="FH28" s="20">
        <v>0</v>
      </c>
      <c r="FI28" s="20">
        <v>0</v>
      </c>
      <c r="FJ28" s="20">
        <v>0</v>
      </c>
      <c r="FK28" s="20">
        <v>0</v>
      </c>
      <c r="FL28" s="20">
        <v>0</v>
      </c>
      <c r="FM28" s="20">
        <v>0</v>
      </c>
      <c r="FN28" s="20">
        <v>0</v>
      </c>
      <c r="FO28" s="20">
        <v>0</v>
      </c>
      <c r="FP28" s="20">
        <v>0</v>
      </c>
      <c r="FQ28" s="20">
        <v>0</v>
      </c>
      <c r="FR28" s="20">
        <v>0</v>
      </c>
      <c r="FS28" s="20">
        <v>0</v>
      </c>
      <c r="FT28" s="20">
        <v>0</v>
      </c>
      <c r="FU28" s="20">
        <v>0</v>
      </c>
      <c r="FV28" s="20">
        <v>0</v>
      </c>
      <c r="FW28" s="20">
        <v>0</v>
      </c>
      <c r="FX28" s="20">
        <v>0</v>
      </c>
      <c r="FY28" s="20">
        <v>0</v>
      </c>
      <c r="FZ28" s="20">
        <v>0</v>
      </c>
      <c r="GA28" s="20">
        <v>0</v>
      </c>
      <c r="GC28" s="20"/>
      <c r="GD28" s="20"/>
      <c r="GE28" s="26" t="s">
        <v>517</v>
      </c>
      <c r="GF28" s="20">
        <v>0</v>
      </c>
      <c r="GG28" s="20">
        <v>2</v>
      </c>
      <c r="GH28" s="20">
        <v>4</v>
      </c>
      <c r="GI28" s="20">
        <v>0</v>
      </c>
      <c r="GJ28" s="20">
        <v>2</v>
      </c>
      <c r="GK28" s="20">
        <v>0</v>
      </c>
      <c r="GL28" s="20">
        <v>2</v>
      </c>
      <c r="GM28" s="20">
        <v>0</v>
      </c>
      <c r="GN28" s="20">
        <v>0</v>
      </c>
      <c r="GO28" s="20">
        <v>0</v>
      </c>
      <c r="GP28" s="20">
        <v>0</v>
      </c>
      <c r="GQ28" s="20">
        <v>2</v>
      </c>
      <c r="GR28" s="20">
        <v>4</v>
      </c>
      <c r="GS28" s="20">
        <v>0</v>
      </c>
      <c r="GT28" s="20">
        <v>2</v>
      </c>
      <c r="GU28" s="20">
        <v>0</v>
      </c>
      <c r="GV28" s="20">
        <v>0</v>
      </c>
      <c r="GW28" s="20">
        <v>0</v>
      </c>
      <c r="GX28" s="20">
        <v>0</v>
      </c>
      <c r="GY28" s="20">
        <v>0</v>
      </c>
      <c r="GZ28" s="20">
        <v>0</v>
      </c>
      <c r="HA28" s="20">
        <v>0</v>
      </c>
      <c r="HB28" s="20">
        <v>0</v>
      </c>
      <c r="HC28" s="20">
        <v>0</v>
      </c>
      <c r="HD28" s="20">
        <v>0</v>
      </c>
      <c r="HE28" s="20">
        <v>0</v>
      </c>
      <c r="HF28" s="20">
        <v>0</v>
      </c>
      <c r="HG28" s="20">
        <v>4</v>
      </c>
      <c r="HH28" s="20">
        <v>0</v>
      </c>
      <c r="HI28" s="20">
        <v>0</v>
      </c>
      <c r="HJ28" s="20">
        <v>0</v>
      </c>
      <c r="HK28" s="20">
        <v>0</v>
      </c>
      <c r="HL28" s="20">
        <v>0</v>
      </c>
      <c r="HM28" s="20">
        <v>0</v>
      </c>
      <c r="HN28" s="20">
        <v>0</v>
      </c>
      <c r="HO28" s="20">
        <v>0</v>
      </c>
      <c r="HP28" s="20">
        <v>0</v>
      </c>
      <c r="HQ28" s="20">
        <v>0</v>
      </c>
      <c r="HR28" s="20">
        <v>0</v>
      </c>
      <c r="HS28" s="20">
        <v>0</v>
      </c>
      <c r="HT28" s="20">
        <v>0</v>
      </c>
      <c r="HU28" s="20">
        <v>0</v>
      </c>
      <c r="HV28" s="20">
        <v>4</v>
      </c>
      <c r="HW28" s="20">
        <v>0</v>
      </c>
      <c r="HX28" s="20">
        <v>0</v>
      </c>
      <c r="HY28" s="20">
        <v>0</v>
      </c>
      <c r="HZ28" s="20">
        <v>0</v>
      </c>
      <c r="IA28" s="20">
        <v>0</v>
      </c>
      <c r="IB28" s="20">
        <v>0</v>
      </c>
      <c r="IC28" s="20">
        <v>0</v>
      </c>
      <c r="ID28" s="20">
        <v>0</v>
      </c>
      <c r="IF28" s="21" t="s">
        <v>517</v>
      </c>
      <c r="IG28" s="21">
        <v>0</v>
      </c>
      <c r="IH28" s="21">
        <v>0</v>
      </c>
      <c r="II28" s="21">
        <v>2</v>
      </c>
      <c r="IJ28" s="21">
        <v>4</v>
      </c>
      <c r="IK28" s="21">
        <v>0</v>
      </c>
      <c r="IL28" s="21">
        <v>0</v>
      </c>
      <c r="IM28" s="21">
        <v>2</v>
      </c>
      <c r="IN28" s="21">
        <v>0</v>
      </c>
      <c r="IO28" s="21">
        <v>0</v>
      </c>
      <c r="IP28" s="21">
        <v>0</v>
      </c>
      <c r="IQ28" s="21">
        <v>2</v>
      </c>
      <c r="IR28" s="21">
        <v>2</v>
      </c>
      <c r="IS28" s="21">
        <v>0</v>
      </c>
      <c r="IT28" s="21">
        <v>0</v>
      </c>
      <c r="IU28" s="21">
        <v>2</v>
      </c>
      <c r="IV28" s="21">
        <v>2</v>
      </c>
      <c r="IW28" s="21">
        <v>0</v>
      </c>
      <c r="IX28" s="21">
        <v>0</v>
      </c>
      <c r="IY28" s="21">
        <v>0</v>
      </c>
      <c r="IZ28" s="21">
        <v>0</v>
      </c>
      <c r="JA28" s="21">
        <v>0</v>
      </c>
      <c r="JB28" s="21">
        <v>0</v>
      </c>
      <c r="JC28" s="21">
        <v>0</v>
      </c>
      <c r="JD28" s="21">
        <v>0</v>
      </c>
      <c r="JE28" s="21">
        <v>0</v>
      </c>
      <c r="JF28" s="21">
        <v>0</v>
      </c>
      <c r="JI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32,$JT$2:$KS$2,0),MATCH($W$22,$AH$22:$AH$47,0)))*C32</f>
        <v>0</v>
      </c>
      <c r="JJ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32,$JT$2:$KS$2,0),MATCH($W$22,$AH$22:$AH$47,0)))*C32</f>
        <v>0</v>
      </c>
      <c r="JK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32,$JT$2:$KS$2,0),MATCH($W$22,$AH$22:$AH$47,0)))*C32</f>
        <v>0</v>
      </c>
      <c r="JL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32,$JT$2:$KS$2,0),MATCH($W$22,$AH$22:$AH$47,0)))*C32</f>
        <v>0</v>
      </c>
      <c r="JM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32,$JT$2:$KS$2,0),MATCH($W$22,$AH$22:$AH$47,0)))*C32</f>
        <v>0</v>
      </c>
      <c r="JN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32,$JT$2:$KS$2,0),MATCH($W$22,$AH$22:$AH$47,0)))*C32</f>
        <v>0</v>
      </c>
      <c r="JO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32,$JT$2:$KS$2,0),MATCH($W$22,$AH$22:$AH$47,0)))*C32</f>
        <v>0</v>
      </c>
      <c r="JP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32,$JT$2:$KS$2,0),MATCH($W$22,$AH$22:$AH$47,0)))*C32</f>
        <v>0</v>
      </c>
      <c r="JQ2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32,$JT$2:$KS$2,0),MATCH($W$22,$AH$22:$AH$47,0)))*C32</f>
        <v>0</v>
      </c>
      <c r="JS28" s="20" t="s">
        <v>15</v>
      </c>
      <c r="JT28" s="20">
        <v>0</v>
      </c>
      <c r="JU28" s="20">
        <v>0</v>
      </c>
      <c r="JV28" s="20">
        <v>0</v>
      </c>
      <c r="JW28" s="20">
        <v>0</v>
      </c>
      <c r="JX28" s="20">
        <v>0</v>
      </c>
      <c r="JY28" s="20">
        <v>0</v>
      </c>
      <c r="JZ28" s="20">
        <v>0</v>
      </c>
      <c r="KA28" s="20">
        <v>2</v>
      </c>
      <c r="KB28" s="20">
        <v>0</v>
      </c>
      <c r="KC28" s="20">
        <v>2</v>
      </c>
      <c r="KD28" s="20">
        <v>0</v>
      </c>
      <c r="KE28" s="20">
        <v>2</v>
      </c>
      <c r="KF28" s="20">
        <v>0</v>
      </c>
      <c r="KG28" s="20">
        <v>0</v>
      </c>
      <c r="KH28" s="20">
        <v>0</v>
      </c>
      <c r="KI28" s="20">
        <v>0</v>
      </c>
      <c r="KJ28" s="20">
        <v>2</v>
      </c>
      <c r="KK28" s="20">
        <v>0</v>
      </c>
      <c r="KL28" s="20">
        <v>0</v>
      </c>
      <c r="KM28" s="20">
        <v>0</v>
      </c>
      <c r="KN28" s="20">
        <v>0</v>
      </c>
      <c r="KO28" s="20">
        <v>0</v>
      </c>
      <c r="KP28" s="20">
        <v>0</v>
      </c>
      <c r="KQ28" s="20">
        <v>0</v>
      </c>
      <c r="KR28" s="20">
        <v>0</v>
      </c>
      <c r="KS28" s="20">
        <v>0</v>
      </c>
      <c r="KU28" s="20" t="s">
        <v>15</v>
      </c>
      <c r="KV28" s="20">
        <v>0</v>
      </c>
      <c r="KW28" s="20">
        <v>0</v>
      </c>
      <c r="KX28" s="20">
        <v>0</v>
      </c>
      <c r="KY28" s="20">
        <v>2</v>
      </c>
      <c r="KZ28" s="20">
        <v>0</v>
      </c>
      <c r="LA28" s="20">
        <v>0</v>
      </c>
      <c r="LB28" s="20">
        <v>0</v>
      </c>
      <c r="LC28" s="20">
        <v>0</v>
      </c>
      <c r="LD28" s="20">
        <v>2</v>
      </c>
      <c r="LE28" s="20">
        <v>0</v>
      </c>
      <c r="LF28" s="20">
        <v>0</v>
      </c>
      <c r="LG28" s="20">
        <v>0</v>
      </c>
      <c r="LH28" s="20">
        <v>0</v>
      </c>
      <c r="LI28" s="20">
        <v>0</v>
      </c>
      <c r="LJ28" s="20">
        <v>0</v>
      </c>
      <c r="LK28" s="20">
        <v>0</v>
      </c>
      <c r="LL28" s="20">
        <v>0</v>
      </c>
      <c r="LM28" s="20">
        <v>0</v>
      </c>
      <c r="LN28" s="20">
        <v>0</v>
      </c>
      <c r="LO28" s="20">
        <v>0</v>
      </c>
      <c r="LP28" s="20">
        <v>0</v>
      </c>
      <c r="LQ28" s="20">
        <v>0</v>
      </c>
      <c r="LR28" s="20">
        <v>0</v>
      </c>
      <c r="LS28" s="20">
        <v>0</v>
      </c>
      <c r="LT28" s="20">
        <v>0</v>
      </c>
      <c r="LU28" s="20">
        <v>0</v>
      </c>
      <c r="LW28" s="20" t="s">
        <v>15</v>
      </c>
      <c r="LX28" s="20">
        <v>0</v>
      </c>
      <c r="LY28" s="20">
        <v>0</v>
      </c>
      <c r="LZ28" s="20">
        <v>0</v>
      </c>
      <c r="MA28" s="20">
        <v>0</v>
      </c>
      <c r="MB28" s="20">
        <v>0</v>
      </c>
      <c r="MC28" s="20">
        <v>2</v>
      </c>
      <c r="MD28" s="20">
        <v>0</v>
      </c>
      <c r="ME28" s="20">
        <v>2</v>
      </c>
      <c r="MF28" s="20">
        <v>0</v>
      </c>
      <c r="MG28" s="20">
        <v>0</v>
      </c>
      <c r="MH28" s="20">
        <v>0</v>
      </c>
      <c r="MI28" s="20">
        <v>0</v>
      </c>
      <c r="MJ28" s="20">
        <v>0</v>
      </c>
      <c r="MK28" s="20">
        <v>0</v>
      </c>
      <c r="ML28" s="20">
        <v>0</v>
      </c>
      <c r="MM28" s="20">
        <v>0</v>
      </c>
      <c r="MN28" s="20">
        <v>0</v>
      </c>
      <c r="MO28" s="20">
        <v>0</v>
      </c>
      <c r="MP28" s="20">
        <v>0</v>
      </c>
      <c r="MQ28" s="20">
        <v>0</v>
      </c>
      <c r="MR28" s="20">
        <v>0</v>
      </c>
      <c r="MS28" s="20">
        <v>0</v>
      </c>
      <c r="MT28" s="20">
        <v>0</v>
      </c>
      <c r="MU28" s="20">
        <v>0</v>
      </c>
      <c r="MV28" s="20">
        <v>0</v>
      </c>
      <c r="MW28" s="20">
        <v>0</v>
      </c>
      <c r="MY28" s="21" t="s">
        <v>15</v>
      </c>
      <c r="MZ28" s="21">
        <v>0</v>
      </c>
      <c r="NA28" s="21">
        <v>2</v>
      </c>
      <c r="NB28" s="21">
        <v>2</v>
      </c>
      <c r="NC28" s="21">
        <v>2</v>
      </c>
      <c r="ND28" s="21">
        <v>2</v>
      </c>
      <c r="NE28" s="21">
        <v>2</v>
      </c>
      <c r="NF28" s="21">
        <v>0</v>
      </c>
      <c r="NG28" s="21">
        <v>0</v>
      </c>
      <c r="NH28" s="21">
        <v>0</v>
      </c>
      <c r="NI28" s="21">
        <v>0</v>
      </c>
      <c r="NJ28" s="21">
        <v>0</v>
      </c>
      <c r="NK28" s="21">
        <v>0</v>
      </c>
      <c r="NL28" s="21">
        <v>0</v>
      </c>
      <c r="NM28" s="21">
        <v>0</v>
      </c>
      <c r="NN28" s="21">
        <v>0</v>
      </c>
      <c r="NO28" s="21">
        <v>0</v>
      </c>
      <c r="NP28" s="21">
        <v>0</v>
      </c>
      <c r="NQ28" s="21">
        <v>0</v>
      </c>
      <c r="NR28" s="21">
        <v>0</v>
      </c>
      <c r="NS28" s="21">
        <v>0</v>
      </c>
      <c r="NT28" s="21">
        <v>0</v>
      </c>
      <c r="NU28" s="21">
        <v>0</v>
      </c>
      <c r="NV28" s="21">
        <v>0</v>
      </c>
      <c r="NW28" s="21">
        <v>0</v>
      </c>
      <c r="NX28" s="21">
        <v>0</v>
      </c>
      <c r="NY28" s="21">
        <v>0</v>
      </c>
    </row>
    <row r="29" spans="1:397" x14ac:dyDescent="0.25">
      <c r="A29" s="8"/>
      <c r="B29" s="5" t="s">
        <v>116</v>
      </c>
      <c r="C29" s="8"/>
      <c r="D29" s="6" t="s">
        <v>117</v>
      </c>
      <c r="E29" s="8">
        <v>800</v>
      </c>
      <c r="F29" s="6"/>
      <c r="G29" s="6"/>
      <c r="H29" s="6"/>
      <c r="I29" s="6"/>
      <c r="J29" s="5" t="s">
        <v>119</v>
      </c>
      <c r="K29" s="4"/>
      <c r="L29" s="6" t="str">
        <f>IF($E$35=AK22,"PAL40H40/2,1",IF($E$35=AK23,"PAL30H32/2,1","-------"))</f>
        <v>PAL40H40/2,1</v>
      </c>
      <c r="M29" s="14">
        <f>INDEX(cennik!$A$2:$O$529,MATCH($L29,cennik!$B$2:$B$522,0),MATCH(M$27,cennik!$A$1:$O$1,0))</f>
        <v>894621</v>
      </c>
      <c r="N29" s="14" t="str">
        <f>INDEX(cennik!$A$2:$O$529,MATCH($L29,cennik!$B$2:$B$522,0),MATCH(N$27,cennik!$A$1:$O$1,0))</f>
        <v>szt.</v>
      </c>
      <c r="O29" s="14">
        <f>IF(L29="-------",0,SUM(JK23:JK38))</f>
        <v>0</v>
      </c>
      <c r="P29" s="22">
        <f>INDEX(cennik!$A$2:$O$529,MATCH($L29,cennik!$B$2:$B$522,0),MATCH(P$27,cennik!$A$1:$O$1,0))</f>
        <v>65.099999999999994</v>
      </c>
      <c r="Q29" s="22">
        <f t="shared" ref="Q29:Q33" si="30">O29*P29</f>
        <v>0</v>
      </c>
      <c r="R29" s="23">
        <f>$E$34</f>
        <v>0</v>
      </c>
      <c r="S29" s="22">
        <f>P29*((100-$E$34)/100)</f>
        <v>65.099999999999994</v>
      </c>
      <c r="T29" s="22">
        <f t="shared" ref="T29:T33" si="31">O29*S29</f>
        <v>0</v>
      </c>
      <c r="U29" s="22">
        <f>INDEX(cennik!$A$2:$O$529,MATCH($L29,cennik!$B$2:$B$522,0),MATCH(U$27,cennik!$A$1:$O$1,0))*O29</f>
        <v>0</v>
      </c>
      <c r="V29" s="20"/>
      <c r="W29" s="25"/>
      <c r="X29" s="25">
        <f t="shared" si="24"/>
        <v>4</v>
      </c>
      <c r="Y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33,$BB$2:$CA$2,0),MATCH($W$22,$AH$22:$AH$47,0)))*C33</f>
        <v>0</v>
      </c>
      <c r="Z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33,$BB$2:$CA$2,0),MATCH($W$22,$AH$22:$AH$47,0)))*C33</f>
        <v>0</v>
      </c>
      <c r="AA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33,$BB$2:$CA$2,0),MATCH($W$22,$AH$22:$AH$47,0)))*C33</f>
        <v>0</v>
      </c>
      <c r="AB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33,$BB$2:$CA$2,0),MATCH($W$22,$AH$22:$AH$47,0)))*C33</f>
        <v>0</v>
      </c>
      <c r="AC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33,$BB$2:$CA$2,0),MATCH($W$22,$AH$22:$AH$47,0)))*C33</f>
        <v>0</v>
      </c>
      <c r="AD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33,$BB$2:$CA$2,0),MATCH($W$22,$AH$22:$AH$47,0)))*C33</f>
        <v>0</v>
      </c>
      <c r="AE29" s="20"/>
      <c r="AF29" s="20"/>
      <c r="AG29" s="20"/>
      <c r="AH29" s="20" t="s">
        <v>762</v>
      </c>
      <c r="AI29" s="20"/>
      <c r="AJ29" s="20">
        <v>1350</v>
      </c>
      <c r="AK29" s="20" t="s">
        <v>321</v>
      </c>
      <c r="AL29" s="20">
        <f t="shared" si="25"/>
        <v>0</v>
      </c>
      <c r="AM29" s="20">
        <v>32</v>
      </c>
      <c r="AN29" s="20" t="s">
        <v>26</v>
      </c>
      <c r="AO29" s="20" t="s">
        <v>27</v>
      </c>
      <c r="AP29" s="20" t="s">
        <v>110</v>
      </c>
      <c r="AQ29" s="20" t="s">
        <v>14</v>
      </c>
      <c r="AS29" s="20">
        <v>32</v>
      </c>
      <c r="AT29" s="20" t="s">
        <v>38</v>
      </c>
      <c r="AU29" s="20" t="s">
        <v>39</v>
      </c>
      <c r="AV29" s="20" t="s">
        <v>151</v>
      </c>
      <c r="AW29" s="20" t="s">
        <v>151</v>
      </c>
      <c r="AX29" s="20"/>
      <c r="AY29" s="20"/>
      <c r="AZ29" s="20"/>
      <c r="BA29" s="26" t="s">
        <v>518</v>
      </c>
      <c r="BB29" s="20">
        <v>0</v>
      </c>
      <c r="BC29" s="20">
        <v>0</v>
      </c>
      <c r="BD29" s="20">
        <v>2</v>
      </c>
      <c r="BE29" s="20">
        <v>0</v>
      </c>
      <c r="BF29" s="20">
        <v>4</v>
      </c>
      <c r="BG29" s="20">
        <v>2</v>
      </c>
      <c r="BH29" s="20">
        <v>0</v>
      </c>
      <c r="BI29" s="20">
        <v>4</v>
      </c>
      <c r="BJ29" s="20">
        <v>0</v>
      </c>
      <c r="BK29" s="20">
        <v>0</v>
      </c>
      <c r="BL29" s="20">
        <v>4</v>
      </c>
      <c r="BM29" s="20">
        <v>2</v>
      </c>
      <c r="BN29" s="20">
        <v>0</v>
      </c>
      <c r="BO29" s="20">
        <v>0</v>
      </c>
      <c r="BP29" s="20">
        <v>0</v>
      </c>
      <c r="BQ29" s="20">
        <v>0</v>
      </c>
      <c r="BR29" s="20">
        <v>2</v>
      </c>
      <c r="BS29" s="20">
        <v>2</v>
      </c>
      <c r="BT29" s="20">
        <v>0</v>
      </c>
      <c r="BU29" s="20">
        <v>0</v>
      </c>
      <c r="BV29" s="20">
        <v>0</v>
      </c>
      <c r="BW29" s="20">
        <v>0</v>
      </c>
      <c r="BX29" s="20">
        <v>4</v>
      </c>
      <c r="BY29" s="20">
        <v>0</v>
      </c>
      <c r="BZ29" s="20">
        <v>0</v>
      </c>
      <c r="CA29" s="20">
        <v>4</v>
      </c>
      <c r="CB29" s="20">
        <v>2</v>
      </c>
      <c r="CC29" s="20">
        <v>0</v>
      </c>
      <c r="CD29" s="20">
        <v>0</v>
      </c>
      <c r="CE29" s="20">
        <v>0</v>
      </c>
      <c r="CF29" s="20">
        <v>0</v>
      </c>
      <c r="CG29" s="20">
        <v>2</v>
      </c>
      <c r="CH29" s="20">
        <v>2</v>
      </c>
      <c r="CI29" s="20">
        <v>0</v>
      </c>
      <c r="CJ29" s="20">
        <v>0</v>
      </c>
      <c r="CK29" s="20">
        <v>0</v>
      </c>
      <c r="CL29" s="20">
        <v>0</v>
      </c>
      <c r="CM29" s="20">
        <v>2</v>
      </c>
      <c r="CN29" s="20">
        <v>0</v>
      </c>
      <c r="CO29" s="20">
        <v>0</v>
      </c>
      <c r="CP29" s="20">
        <v>0</v>
      </c>
      <c r="CQ29" s="20">
        <v>2</v>
      </c>
      <c r="CR29" s="20">
        <v>0</v>
      </c>
      <c r="CS29" s="20">
        <v>0</v>
      </c>
      <c r="CT29" s="20">
        <v>0</v>
      </c>
      <c r="CU29" s="20">
        <v>0</v>
      </c>
      <c r="CV29" s="20">
        <v>0</v>
      </c>
      <c r="CW29" s="20">
        <v>0</v>
      </c>
      <c r="CX29" s="20">
        <v>0</v>
      </c>
      <c r="CY29" s="20">
        <v>0</v>
      </c>
      <c r="CZ29" s="20">
        <v>2</v>
      </c>
      <c r="DA29" s="54"/>
      <c r="DB29" s="54">
        <v>28</v>
      </c>
      <c r="DC29" s="54"/>
      <c r="DD29" s="20" t="s">
        <v>521</v>
      </c>
      <c r="DE29" s="20">
        <v>0</v>
      </c>
      <c r="DF29" s="20">
        <v>0</v>
      </c>
      <c r="DG29" s="20">
        <v>0</v>
      </c>
      <c r="DH29" s="20">
        <v>4</v>
      </c>
      <c r="DI29" s="20">
        <v>4</v>
      </c>
      <c r="DJ29" s="20">
        <v>4</v>
      </c>
      <c r="DK29" s="20">
        <v>8</v>
      </c>
      <c r="DL29" s="20">
        <v>8</v>
      </c>
      <c r="DM29" s="20">
        <v>8</v>
      </c>
      <c r="DN29" s="20">
        <v>12</v>
      </c>
      <c r="DO29" s="20">
        <v>12</v>
      </c>
      <c r="DP29" s="20">
        <v>12</v>
      </c>
      <c r="DQ29" s="20">
        <v>16</v>
      </c>
      <c r="DR29" s="20">
        <v>16</v>
      </c>
      <c r="DS29" s="20">
        <v>16</v>
      </c>
      <c r="DT29" s="20">
        <v>20</v>
      </c>
      <c r="DU29" s="20">
        <v>20</v>
      </c>
      <c r="DV29" s="20">
        <v>20</v>
      </c>
      <c r="DW29" s="20">
        <v>24</v>
      </c>
      <c r="DX29" s="20">
        <v>24</v>
      </c>
      <c r="DY29" s="20">
        <v>24</v>
      </c>
      <c r="DZ29" s="20"/>
      <c r="EA29" s="20"/>
      <c r="EB29" s="26" t="s">
        <v>518</v>
      </c>
      <c r="EC29" s="20">
        <v>0</v>
      </c>
      <c r="ED29" s="20">
        <v>0</v>
      </c>
      <c r="EE29" s="20">
        <v>0</v>
      </c>
      <c r="EF29" s="20">
        <v>0</v>
      </c>
      <c r="EG29" s="20">
        <v>0</v>
      </c>
      <c r="EH29" s="20">
        <v>0</v>
      </c>
      <c r="EI29" s="20">
        <v>0</v>
      </c>
      <c r="EJ29" s="20">
        <v>2</v>
      </c>
      <c r="EK29" s="20">
        <v>0</v>
      </c>
      <c r="EL29" s="20">
        <v>0</v>
      </c>
      <c r="EM29" s="20">
        <v>0</v>
      </c>
      <c r="EN29" s="20">
        <v>0</v>
      </c>
      <c r="EO29" s="20">
        <v>0</v>
      </c>
      <c r="EP29" s="20">
        <v>0</v>
      </c>
      <c r="EQ29" s="20">
        <v>2</v>
      </c>
      <c r="ER29" s="20">
        <v>0</v>
      </c>
      <c r="ES29" s="20">
        <v>2</v>
      </c>
      <c r="ET29" s="20">
        <v>0</v>
      </c>
      <c r="EU29" s="20">
        <v>2</v>
      </c>
      <c r="EV29" s="20">
        <v>0</v>
      </c>
      <c r="EW29" s="20">
        <v>0</v>
      </c>
      <c r="EX29" s="20">
        <v>0</v>
      </c>
      <c r="EY29" s="20">
        <v>2</v>
      </c>
      <c r="EZ29" s="20">
        <v>2</v>
      </c>
      <c r="FA29" s="20">
        <v>0</v>
      </c>
      <c r="FB29" s="20">
        <v>2</v>
      </c>
      <c r="FC29" s="20">
        <v>0</v>
      </c>
      <c r="FD29" s="20">
        <v>0</v>
      </c>
      <c r="FE29" s="20">
        <v>0</v>
      </c>
      <c r="FF29" s="20">
        <v>0</v>
      </c>
      <c r="FG29" s="20">
        <v>0</v>
      </c>
      <c r="FH29" s="20">
        <v>0</v>
      </c>
      <c r="FI29" s="20">
        <v>0</v>
      </c>
      <c r="FJ29" s="20">
        <v>0</v>
      </c>
      <c r="FK29" s="20">
        <v>0</v>
      </c>
      <c r="FL29" s="20">
        <v>2</v>
      </c>
      <c r="FM29" s="20">
        <v>0</v>
      </c>
      <c r="FN29" s="20">
        <v>0</v>
      </c>
      <c r="FO29" s="20">
        <v>0</v>
      </c>
      <c r="FP29" s="20">
        <v>0</v>
      </c>
      <c r="FQ29" s="20">
        <v>0</v>
      </c>
      <c r="FR29" s="20">
        <v>0</v>
      </c>
      <c r="FS29" s="20">
        <v>0</v>
      </c>
      <c r="FT29" s="20">
        <v>0</v>
      </c>
      <c r="FU29" s="20">
        <v>0</v>
      </c>
      <c r="FV29" s="20">
        <v>0</v>
      </c>
      <c r="FW29" s="20">
        <v>0</v>
      </c>
      <c r="FX29" s="20">
        <v>0</v>
      </c>
      <c r="FY29" s="20">
        <v>0</v>
      </c>
      <c r="FZ29" s="20">
        <v>0</v>
      </c>
      <c r="GA29" s="20">
        <v>0</v>
      </c>
      <c r="GC29" s="20"/>
      <c r="GD29" s="20"/>
      <c r="GE29" s="26" t="s">
        <v>518</v>
      </c>
      <c r="GF29" s="20">
        <v>0</v>
      </c>
      <c r="GG29" s="20">
        <v>0</v>
      </c>
      <c r="GH29" s="20">
        <v>0</v>
      </c>
      <c r="GI29" s="20">
        <v>0</v>
      </c>
      <c r="GJ29" s="20">
        <v>0</v>
      </c>
      <c r="GK29" s="20">
        <v>2</v>
      </c>
      <c r="GL29" s="20">
        <v>0</v>
      </c>
      <c r="GM29" s="20">
        <v>4</v>
      </c>
      <c r="GN29" s="20">
        <v>0</v>
      </c>
      <c r="GO29" s="20">
        <v>2</v>
      </c>
      <c r="GP29" s="20">
        <v>0</v>
      </c>
      <c r="GQ29" s="20">
        <v>0</v>
      </c>
      <c r="GR29" s="20">
        <v>0</v>
      </c>
      <c r="GS29" s="20">
        <v>0</v>
      </c>
      <c r="GT29" s="20">
        <v>0</v>
      </c>
      <c r="GU29" s="20">
        <v>0</v>
      </c>
      <c r="GV29" s="20">
        <v>2</v>
      </c>
      <c r="GW29" s="20">
        <v>0</v>
      </c>
      <c r="GX29" s="20">
        <v>0</v>
      </c>
      <c r="GY29" s="20">
        <v>0</v>
      </c>
      <c r="GZ29" s="20">
        <v>0</v>
      </c>
      <c r="HA29" s="20">
        <v>0</v>
      </c>
      <c r="HB29" s="20">
        <v>4</v>
      </c>
      <c r="HC29" s="20">
        <v>0</v>
      </c>
      <c r="HD29" s="20">
        <v>2</v>
      </c>
      <c r="HE29" s="20">
        <v>0</v>
      </c>
      <c r="HF29" s="20">
        <v>0</v>
      </c>
      <c r="HG29" s="20">
        <v>0</v>
      </c>
      <c r="HH29" s="20">
        <v>0</v>
      </c>
      <c r="HI29" s="20">
        <v>0</v>
      </c>
      <c r="HJ29" s="20">
        <v>0</v>
      </c>
      <c r="HK29" s="20">
        <v>0</v>
      </c>
      <c r="HL29" s="20">
        <v>0</v>
      </c>
      <c r="HM29" s="20">
        <v>0</v>
      </c>
      <c r="HN29" s="20">
        <v>0</v>
      </c>
      <c r="HO29" s="20">
        <v>0</v>
      </c>
      <c r="HP29" s="20">
        <v>0</v>
      </c>
      <c r="HQ29" s="20">
        <v>4</v>
      </c>
      <c r="HR29" s="20">
        <v>0</v>
      </c>
      <c r="HS29" s="20">
        <v>2</v>
      </c>
      <c r="HT29" s="20">
        <v>0</v>
      </c>
      <c r="HU29" s="20">
        <v>0</v>
      </c>
      <c r="HV29" s="20">
        <v>0</v>
      </c>
      <c r="HW29" s="20">
        <v>0</v>
      </c>
      <c r="HX29" s="20">
        <v>0</v>
      </c>
      <c r="HY29" s="20">
        <v>0</v>
      </c>
      <c r="HZ29" s="20">
        <v>0</v>
      </c>
      <c r="IA29" s="20">
        <v>0</v>
      </c>
      <c r="IB29" s="20">
        <v>0</v>
      </c>
      <c r="IC29" s="20">
        <v>0</v>
      </c>
      <c r="ID29" s="20">
        <v>0</v>
      </c>
      <c r="IF29" s="21" t="s">
        <v>518</v>
      </c>
      <c r="IG29" s="21">
        <v>0</v>
      </c>
      <c r="IH29" s="21">
        <v>0</v>
      </c>
      <c r="II29" s="21">
        <v>0</v>
      </c>
      <c r="IJ29" s="21">
        <v>0</v>
      </c>
      <c r="IK29" s="21">
        <v>0</v>
      </c>
      <c r="IL29" s="21">
        <v>0</v>
      </c>
      <c r="IM29" s="21">
        <v>0</v>
      </c>
      <c r="IN29" s="21">
        <v>4</v>
      </c>
      <c r="IO29" s="21">
        <v>0</v>
      </c>
      <c r="IP29" s="21">
        <v>0</v>
      </c>
      <c r="IQ29" s="21">
        <v>0</v>
      </c>
      <c r="IR29" s="21">
        <v>2</v>
      </c>
      <c r="IS29" s="21">
        <v>0</v>
      </c>
      <c r="IT29" s="21">
        <v>0</v>
      </c>
      <c r="IU29" s="21">
        <v>0</v>
      </c>
      <c r="IV29" s="21">
        <v>2</v>
      </c>
      <c r="IW29" s="21">
        <v>0</v>
      </c>
      <c r="IX29" s="21">
        <v>2</v>
      </c>
      <c r="IY29" s="21">
        <v>2</v>
      </c>
      <c r="IZ29" s="21">
        <v>0</v>
      </c>
      <c r="JA29" s="21">
        <v>0</v>
      </c>
      <c r="JB29" s="21">
        <v>0</v>
      </c>
      <c r="JC29" s="21">
        <v>4</v>
      </c>
      <c r="JD29" s="21">
        <v>0</v>
      </c>
      <c r="JE29" s="21">
        <v>0</v>
      </c>
      <c r="JF29" s="21">
        <v>2</v>
      </c>
      <c r="JI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33,$JT$2:$KS$2,0),MATCH($W$22,$AH$22:$AH$47,0)))*C33</f>
        <v>0</v>
      </c>
      <c r="JJ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33,$JT$2:$KS$2,0),MATCH($W$22,$AH$22:$AH$47,0)))*C33</f>
        <v>0</v>
      </c>
      <c r="JK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33,$JT$2:$KS$2,0),MATCH($W$22,$AH$22:$AH$47,0)))*C33</f>
        <v>0</v>
      </c>
      <c r="JL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33,$JT$2:$KS$2,0),MATCH($W$22,$AH$22:$AH$47,0)))*C33</f>
        <v>0</v>
      </c>
      <c r="JM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33,$JT$2:$KS$2,0),MATCH($W$22,$AH$22:$AH$47,0)))*C33</f>
        <v>0</v>
      </c>
      <c r="JN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33,$JT$2:$KS$2,0),MATCH($W$22,$AH$22:$AH$47,0)))*C33</f>
        <v>0</v>
      </c>
      <c r="JO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33,$JT$2:$KS$2,0),MATCH($W$22,$AH$22:$AH$47,0)))*C33</f>
        <v>0</v>
      </c>
      <c r="JP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33,$JT$2:$KS$2,0),MATCH($W$22,$AH$22:$AH$47,0)))*C33</f>
        <v>0</v>
      </c>
      <c r="JQ2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33,$JT$2:$KS$2,0),MATCH($W$22,$AH$22:$AH$47,0)))*C33</f>
        <v>0</v>
      </c>
      <c r="JS29" s="20" t="s">
        <v>19</v>
      </c>
      <c r="JT29" s="20">
        <v>0</v>
      </c>
      <c r="JU29" s="20">
        <v>0</v>
      </c>
      <c r="JV29" s="20">
        <v>0</v>
      </c>
      <c r="JW29" s="20">
        <v>2</v>
      </c>
      <c r="JX29" s="20">
        <v>0</v>
      </c>
      <c r="JY29" s="20">
        <v>2</v>
      </c>
      <c r="JZ29" s="20">
        <v>4</v>
      </c>
      <c r="KA29" s="20">
        <v>0</v>
      </c>
      <c r="KB29" s="20">
        <v>4</v>
      </c>
      <c r="KC29" s="20">
        <v>4</v>
      </c>
      <c r="KD29" s="20">
        <v>0</v>
      </c>
      <c r="KE29" s="20">
        <v>4</v>
      </c>
      <c r="KF29" s="20">
        <v>2</v>
      </c>
      <c r="KG29" s="20">
        <v>2</v>
      </c>
      <c r="KH29" s="20">
        <v>0</v>
      </c>
      <c r="KI29" s="20">
        <v>2</v>
      </c>
      <c r="KJ29" s="20">
        <v>2</v>
      </c>
      <c r="KK29" s="20">
        <v>6</v>
      </c>
      <c r="KL29" s="20">
        <v>4</v>
      </c>
      <c r="KM29" s="20">
        <v>8</v>
      </c>
      <c r="KN29" s="20">
        <v>0</v>
      </c>
      <c r="KO29" s="20">
        <v>8</v>
      </c>
      <c r="KP29" s="20">
        <v>0</v>
      </c>
      <c r="KQ29" s="20">
        <v>2</v>
      </c>
      <c r="KR29" s="20">
        <v>0</v>
      </c>
      <c r="KS29" s="20">
        <v>2</v>
      </c>
      <c r="KU29" s="20" t="s">
        <v>19</v>
      </c>
      <c r="KV29" s="20">
        <v>0</v>
      </c>
      <c r="KW29" s="20">
        <v>0</v>
      </c>
      <c r="KX29" s="20">
        <v>0</v>
      </c>
      <c r="KY29" s="20">
        <v>0</v>
      </c>
      <c r="KZ29" s="20">
        <v>0</v>
      </c>
      <c r="LA29" s="20">
        <v>4</v>
      </c>
      <c r="LB29" s="20">
        <v>2</v>
      </c>
      <c r="LC29" s="20">
        <v>6</v>
      </c>
      <c r="LD29" s="20">
        <v>0</v>
      </c>
      <c r="LE29" s="20">
        <v>6</v>
      </c>
      <c r="LF29" s="20">
        <v>4</v>
      </c>
      <c r="LG29" s="20">
        <v>8</v>
      </c>
      <c r="LH29" s="20">
        <v>6</v>
      </c>
      <c r="LI29" s="20">
        <v>8</v>
      </c>
      <c r="LJ29" s="20">
        <v>6</v>
      </c>
      <c r="LK29" s="20">
        <v>8</v>
      </c>
      <c r="LL29" s="20">
        <v>8</v>
      </c>
      <c r="LM29" s="20">
        <v>2</v>
      </c>
      <c r="LN29" s="20">
        <v>8</v>
      </c>
      <c r="LO29" s="20">
        <v>0</v>
      </c>
      <c r="LP29" s="20">
        <v>8</v>
      </c>
      <c r="LQ29" s="20">
        <v>2</v>
      </c>
      <c r="LR29" s="20">
        <v>0</v>
      </c>
      <c r="LS29" s="20">
        <v>2</v>
      </c>
      <c r="LT29" s="20">
        <v>0</v>
      </c>
      <c r="LU29" s="20">
        <v>0</v>
      </c>
      <c r="LW29" s="20" t="s">
        <v>19</v>
      </c>
      <c r="LX29" s="20">
        <v>0</v>
      </c>
      <c r="LY29" s="20">
        <v>0</v>
      </c>
      <c r="LZ29" s="20">
        <v>0</v>
      </c>
      <c r="MA29" s="20">
        <v>0</v>
      </c>
      <c r="MB29" s="20">
        <v>0</v>
      </c>
      <c r="MC29" s="20">
        <v>2</v>
      </c>
      <c r="MD29" s="20">
        <v>6</v>
      </c>
      <c r="ME29" s="20">
        <v>0</v>
      </c>
      <c r="MF29" s="20">
        <v>4</v>
      </c>
      <c r="MG29" s="20">
        <v>0</v>
      </c>
      <c r="MH29" s="20">
        <v>2</v>
      </c>
      <c r="MI29" s="20">
        <v>12</v>
      </c>
      <c r="MJ29" s="20">
        <v>2</v>
      </c>
      <c r="MK29" s="20">
        <v>0</v>
      </c>
      <c r="ML29" s="20">
        <v>6</v>
      </c>
      <c r="MM29" s="20">
        <v>8</v>
      </c>
      <c r="MN29" s="20">
        <v>4</v>
      </c>
      <c r="MO29" s="20">
        <v>0</v>
      </c>
      <c r="MP29" s="20">
        <v>2</v>
      </c>
      <c r="MQ29" s="20">
        <v>2</v>
      </c>
      <c r="MR29" s="20">
        <v>0</v>
      </c>
      <c r="MS29" s="20">
        <v>0</v>
      </c>
      <c r="MT29" s="20">
        <v>4</v>
      </c>
      <c r="MU29" s="20">
        <v>8</v>
      </c>
      <c r="MV29" s="20">
        <v>8</v>
      </c>
      <c r="MW29" s="20">
        <v>4</v>
      </c>
      <c r="MY29" s="21" t="s">
        <v>19</v>
      </c>
      <c r="MZ29" s="21">
        <v>0</v>
      </c>
      <c r="NA29" s="21">
        <v>0</v>
      </c>
      <c r="NB29" s="21">
        <v>0</v>
      </c>
      <c r="NC29" s="21">
        <v>0</v>
      </c>
      <c r="ND29" s="21">
        <v>4</v>
      </c>
      <c r="NE29" s="21">
        <v>2</v>
      </c>
      <c r="NF29" s="21">
        <v>2</v>
      </c>
      <c r="NG29" s="21">
        <v>6</v>
      </c>
      <c r="NH29" s="21">
        <v>4</v>
      </c>
      <c r="NI29" s="21">
        <v>12</v>
      </c>
      <c r="NJ29" s="21">
        <v>6</v>
      </c>
      <c r="NK29" s="21">
        <v>4</v>
      </c>
      <c r="NL29" s="21">
        <v>2</v>
      </c>
      <c r="NM29" s="21">
        <v>4</v>
      </c>
      <c r="NN29" s="21">
        <v>2</v>
      </c>
      <c r="NO29" s="21">
        <v>0</v>
      </c>
      <c r="NP29" s="21">
        <v>4</v>
      </c>
      <c r="NQ29" s="21">
        <v>2</v>
      </c>
      <c r="NR29" s="21">
        <v>0</v>
      </c>
      <c r="NS29" s="21">
        <v>2</v>
      </c>
      <c r="NT29" s="21">
        <v>0</v>
      </c>
      <c r="NU29" s="21">
        <v>8</v>
      </c>
      <c r="NV29" s="21">
        <v>2</v>
      </c>
      <c r="NW29" s="21">
        <v>0</v>
      </c>
      <c r="NX29" s="21">
        <v>8</v>
      </c>
      <c r="NY29" s="21">
        <v>2</v>
      </c>
    </row>
    <row r="30" spans="1:397" x14ac:dyDescent="0.25">
      <c r="A30" s="8"/>
      <c r="B30" s="5" t="s">
        <v>116</v>
      </c>
      <c r="C30" s="8"/>
      <c r="D30" s="6" t="s">
        <v>122</v>
      </c>
      <c r="E30" s="8" t="s">
        <v>123</v>
      </c>
      <c r="F30" s="6"/>
      <c r="G30" s="6"/>
      <c r="H30" s="6"/>
      <c r="I30" s="6"/>
      <c r="J30" s="5"/>
      <c r="K30" s="4"/>
      <c r="L30" s="6" t="str">
        <f>IF($E$35=AK22,"PAL40H40/2,2",IF($E$35=AK23,"PAL30H32/2,2",IF($E$35=AK24,"CWP40H35/2,2MC","-------")))</f>
        <v>PAL40H40/2,2</v>
      </c>
      <c r="M30" s="14">
        <f>INDEX(cennik!$A$2:$O$529,MATCH($L30,cennik!$B$2:$B$522,0),MATCH(M$27,cennik!$A$1:$O$1,0))</f>
        <v>894622</v>
      </c>
      <c r="N30" s="14" t="str">
        <f>INDEX(cennik!$A$2:$O$529,MATCH($L30,cennik!$B$2:$B$522,0),MATCH(N$27,cennik!$A$1:$O$1,0))</f>
        <v>szt.</v>
      </c>
      <c r="O30" s="14">
        <f>IF(L30="-------",0,SUM(JL23:JL38))</f>
        <v>2</v>
      </c>
      <c r="P30" s="22">
        <f>INDEX(cennik!$A$2:$O$529,MATCH($L30,cennik!$B$2:$B$522,0),MATCH(P$27,cennik!$A$1:$O$1,0))</f>
        <v>68.2</v>
      </c>
      <c r="Q30" s="22">
        <f t="shared" si="30"/>
        <v>136.4</v>
      </c>
      <c r="R30" s="23">
        <f>$E$34</f>
        <v>0</v>
      </c>
      <c r="S30" s="22">
        <f>P30*((100-$E$34)/100)</f>
        <v>68.2</v>
      </c>
      <c r="T30" s="22">
        <f t="shared" si="31"/>
        <v>136.4</v>
      </c>
      <c r="U30" s="22">
        <f>INDEX(cennik!$A$2:$O$529,MATCH($L30,cennik!$B$2:$B$522,0),MATCH(U$27,cennik!$A$1:$O$1,0))*O30</f>
        <v>4.12</v>
      </c>
      <c r="V30" s="20"/>
      <c r="W30" s="25"/>
      <c r="X30" s="25">
        <f t="shared" si="24"/>
        <v>4</v>
      </c>
      <c r="Y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34,$BB$2:$CA$2,0),MATCH($W$22,$AH$22:$AH$47,0)))*C34</f>
        <v>0</v>
      </c>
      <c r="Z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34,$BB$2:$CA$2,0),MATCH($W$22,$AH$22:$AH$47,0)))*C34</f>
        <v>0</v>
      </c>
      <c r="AA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34,$BB$2:$CA$2,0),MATCH($W$22,$AH$22:$AH$47,0)))*C34</f>
        <v>0</v>
      </c>
      <c r="AB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34,$BB$2:$CA$2,0),MATCH($W$22,$AH$22:$AH$47,0)))*C34</f>
        <v>0</v>
      </c>
      <c r="AC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34,$BB$2:$CA$2,0),MATCH($W$22,$AH$22:$AH$47,0)))*C34</f>
        <v>0</v>
      </c>
      <c r="AD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34,$BB$2:$CA$2,0),MATCH($W$22,$AH$22:$AH$47,0)))*C34</f>
        <v>0</v>
      </c>
      <c r="AE30" s="20" t="str">
        <f>INDEX(($AH$53:$AI$62),MATCH(I28,$AG$53:$AG$62,0),MATCH(E31,$AH$52:$AI$52,0))</f>
        <v>suma</v>
      </c>
      <c r="AF30" s="20"/>
      <c r="AG30" s="20"/>
      <c r="AH30" s="20" t="s">
        <v>111</v>
      </c>
      <c r="AI30" s="20"/>
      <c r="AJ30" s="20">
        <v>1650</v>
      </c>
      <c r="AK30" s="20" t="s">
        <v>151</v>
      </c>
      <c r="AL30" s="20">
        <f t="shared" si="25"/>
        <v>0</v>
      </c>
      <c r="AM30" s="20">
        <v>33</v>
      </c>
      <c r="AN30" s="20" t="s">
        <v>28</v>
      </c>
      <c r="AO30" s="20"/>
      <c r="AP30" s="20" t="s">
        <v>110</v>
      </c>
      <c r="AQ30" s="20" t="s">
        <v>14</v>
      </c>
      <c r="AS30" s="20">
        <v>33</v>
      </c>
      <c r="AT30" s="20"/>
      <c r="AU30" s="20"/>
      <c r="AV30" s="20" t="s">
        <v>151</v>
      </c>
      <c r="AW30" s="20" t="s">
        <v>151</v>
      </c>
      <c r="AX30" s="20"/>
      <c r="AY30" s="20"/>
      <c r="AZ30" s="20"/>
      <c r="BA30" s="26" t="s">
        <v>519</v>
      </c>
      <c r="BB30" s="20">
        <v>0</v>
      </c>
      <c r="BC30" s="20">
        <v>0</v>
      </c>
      <c r="BD30" s="20">
        <v>0</v>
      </c>
      <c r="BE30" s="20">
        <v>0</v>
      </c>
      <c r="BF30" s="20">
        <v>0</v>
      </c>
      <c r="BG30" s="20">
        <v>0</v>
      </c>
      <c r="BH30" s="20">
        <v>0</v>
      </c>
      <c r="BI30" s="20">
        <v>2</v>
      </c>
      <c r="BJ30" s="20">
        <v>0</v>
      </c>
      <c r="BK30" s="20">
        <v>2</v>
      </c>
      <c r="BL30" s="20">
        <v>2</v>
      </c>
      <c r="BM30" s="20">
        <v>2</v>
      </c>
      <c r="BN30" s="20">
        <v>4</v>
      </c>
      <c r="BO30" s="20">
        <v>0</v>
      </c>
      <c r="BP30" s="20">
        <v>2</v>
      </c>
      <c r="BQ30" s="20">
        <v>4</v>
      </c>
      <c r="BR30" s="20">
        <v>2</v>
      </c>
      <c r="BS30" s="20">
        <v>6</v>
      </c>
      <c r="BT30" s="20">
        <v>4</v>
      </c>
      <c r="BU30" s="20">
        <v>2</v>
      </c>
      <c r="BV30" s="20">
        <v>4</v>
      </c>
      <c r="BW30" s="20">
        <v>6</v>
      </c>
      <c r="BX30" s="20">
        <v>8</v>
      </c>
      <c r="BY30" s="20">
        <v>4</v>
      </c>
      <c r="BZ30" s="20">
        <v>6</v>
      </c>
      <c r="CA30" s="20">
        <v>6</v>
      </c>
      <c r="CB30" s="20">
        <v>6</v>
      </c>
      <c r="CC30" s="20">
        <v>6</v>
      </c>
      <c r="CD30" s="20">
        <v>4</v>
      </c>
      <c r="CE30" s="20">
        <v>6</v>
      </c>
      <c r="CF30" s="20">
        <v>8</v>
      </c>
      <c r="CG30" s="20">
        <v>6</v>
      </c>
      <c r="CH30" s="20">
        <v>12</v>
      </c>
      <c r="CI30" s="20">
        <v>8</v>
      </c>
      <c r="CJ30" s="20">
        <v>22</v>
      </c>
      <c r="CK30" s="20">
        <v>24</v>
      </c>
      <c r="CL30" s="20">
        <v>10</v>
      </c>
      <c r="CM30" s="20">
        <v>0</v>
      </c>
      <c r="CN30" s="20">
        <v>24</v>
      </c>
      <c r="CO30" s="20">
        <v>10</v>
      </c>
      <c r="CP30" s="20">
        <v>0</v>
      </c>
      <c r="CQ30" s="20">
        <v>10</v>
      </c>
      <c r="CR30" s="20">
        <v>10</v>
      </c>
      <c r="CS30" s="20">
        <v>0</v>
      </c>
      <c r="CT30" s="20">
        <v>26</v>
      </c>
      <c r="CU30" s="20">
        <v>12</v>
      </c>
      <c r="CV30" s="20">
        <v>0</v>
      </c>
      <c r="CW30" s="20">
        <v>4</v>
      </c>
      <c r="CX30" s="20">
        <v>12</v>
      </c>
      <c r="CY30" s="20">
        <v>0</v>
      </c>
      <c r="CZ30" s="20">
        <v>12</v>
      </c>
      <c r="DA30" s="54"/>
      <c r="DB30" s="54">
        <v>29</v>
      </c>
      <c r="DC30" s="54"/>
      <c r="DD30" s="26" t="s">
        <v>710</v>
      </c>
      <c r="DE30" s="20">
        <v>0</v>
      </c>
      <c r="DF30" s="20"/>
      <c r="DG30" s="20"/>
      <c r="DH30" s="20"/>
      <c r="DI30" s="20"/>
      <c r="DJ30" s="20"/>
      <c r="DK30" s="20"/>
      <c r="DL30" s="20"/>
      <c r="DM30" s="20"/>
      <c r="DN30" s="20"/>
      <c r="DO30" s="20"/>
      <c r="DP30" s="20"/>
      <c r="DQ30" s="20"/>
      <c r="DR30" s="20"/>
      <c r="DS30" s="20"/>
      <c r="DT30" s="20"/>
      <c r="DU30" s="20"/>
      <c r="DV30" s="20"/>
      <c r="DW30" s="20"/>
      <c r="DX30" s="20"/>
      <c r="DY30" s="20"/>
      <c r="DZ30" s="20"/>
      <c r="EA30" s="20"/>
      <c r="EB30" s="26" t="s">
        <v>519</v>
      </c>
      <c r="EC30" s="20">
        <v>0</v>
      </c>
      <c r="ED30" s="20">
        <v>0</v>
      </c>
      <c r="EE30" s="20">
        <v>0</v>
      </c>
      <c r="EF30" s="20">
        <v>2</v>
      </c>
      <c r="EG30" s="20">
        <v>2</v>
      </c>
      <c r="EH30" s="20">
        <v>0</v>
      </c>
      <c r="EI30" s="20">
        <v>4</v>
      </c>
      <c r="EJ30" s="20">
        <v>0</v>
      </c>
      <c r="EK30" s="20">
        <v>2</v>
      </c>
      <c r="EL30" s="20">
        <v>10</v>
      </c>
      <c r="EM30" s="20">
        <v>0</v>
      </c>
      <c r="EN30" s="20">
        <v>10</v>
      </c>
      <c r="EO30" s="20">
        <v>0</v>
      </c>
      <c r="EP30" s="20">
        <v>6</v>
      </c>
      <c r="EQ30" s="20">
        <v>14</v>
      </c>
      <c r="ER30" s="20">
        <v>4</v>
      </c>
      <c r="ES30" s="20">
        <v>10</v>
      </c>
      <c r="ET30" s="20">
        <v>2</v>
      </c>
      <c r="EU30" s="20">
        <v>8</v>
      </c>
      <c r="EV30" s="20">
        <v>0</v>
      </c>
      <c r="EW30" s="20">
        <v>20</v>
      </c>
      <c r="EX30" s="20">
        <v>0</v>
      </c>
      <c r="EY30" s="20">
        <v>8</v>
      </c>
      <c r="EZ30" s="20">
        <v>24</v>
      </c>
      <c r="FA30" s="20">
        <v>16</v>
      </c>
      <c r="FB30" s="20">
        <v>22</v>
      </c>
      <c r="FC30" s="20">
        <v>14</v>
      </c>
      <c r="FD30" s="20">
        <v>8</v>
      </c>
      <c r="FE30" s="20">
        <v>12</v>
      </c>
      <c r="FF30" s="20">
        <v>32</v>
      </c>
      <c r="FG30" s="20">
        <v>10</v>
      </c>
      <c r="FH30" s="20">
        <v>30</v>
      </c>
      <c r="FI30" s="20">
        <v>6</v>
      </c>
      <c r="FJ30" s="20">
        <v>28</v>
      </c>
      <c r="FK30" s="20">
        <v>4</v>
      </c>
      <c r="FL30" s="20">
        <v>10</v>
      </c>
      <c r="FM30" s="20">
        <v>2</v>
      </c>
      <c r="FN30" s="20">
        <v>2</v>
      </c>
      <c r="FO30" s="20">
        <v>0</v>
      </c>
      <c r="FP30" s="20">
        <v>20</v>
      </c>
      <c r="FQ30" s="20">
        <v>0</v>
      </c>
      <c r="FR30" s="20">
        <v>18</v>
      </c>
      <c r="FS30" s="20">
        <v>0</v>
      </c>
      <c r="FT30" s="20">
        <v>16</v>
      </c>
      <c r="FU30" s="20">
        <v>0</v>
      </c>
      <c r="FV30" s="20">
        <v>14</v>
      </c>
      <c r="FW30" s="20">
        <v>0</v>
      </c>
      <c r="FX30" s="20">
        <v>12</v>
      </c>
      <c r="FY30" s="20">
        <v>32</v>
      </c>
      <c r="FZ30" s="20">
        <v>10</v>
      </c>
      <c r="GA30" s="20">
        <v>30</v>
      </c>
      <c r="GC30" s="20"/>
      <c r="GD30" s="20"/>
      <c r="GE30" s="26" t="s">
        <v>519</v>
      </c>
      <c r="GF30" s="20">
        <v>0</v>
      </c>
      <c r="GG30" s="20">
        <v>0</v>
      </c>
      <c r="GH30" s="20">
        <v>0</v>
      </c>
      <c r="GI30" s="20">
        <v>4</v>
      </c>
      <c r="GJ30" s="20">
        <v>4</v>
      </c>
      <c r="GK30" s="20">
        <v>0</v>
      </c>
      <c r="GL30" s="20">
        <v>0</v>
      </c>
      <c r="GM30" s="20">
        <v>6</v>
      </c>
      <c r="GN30" s="20">
        <v>8</v>
      </c>
      <c r="GO30" s="20">
        <v>10</v>
      </c>
      <c r="GP30" s="20">
        <v>0</v>
      </c>
      <c r="GQ30" s="20">
        <v>0</v>
      </c>
      <c r="GR30" s="20">
        <v>4</v>
      </c>
      <c r="GS30" s="20">
        <v>8</v>
      </c>
      <c r="GT30" s="20">
        <v>8</v>
      </c>
      <c r="GU30" s="20">
        <v>0</v>
      </c>
      <c r="GV30" s="20">
        <v>0</v>
      </c>
      <c r="GW30" s="20">
        <v>8</v>
      </c>
      <c r="GX30" s="20">
        <v>6</v>
      </c>
      <c r="GY30" s="20">
        <v>24</v>
      </c>
      <c r="GZ30" s="20">
        <v>0</v>
      </c>
      <c r="HA30" s="20">
        <v>14</v>
      </c>
      <c r="HB30" s="20">
        <v>8</v>
      </c>
      <c r="HC30" s="20">
        <v>6</v>
      </c>
      <c r="HD30" s="20">
        <v>8</v>
      </c>
      <c r="HE30" s="20">
        <v>0</v>
      </c>
      <c r="HF30" s="20">
        <v>14</v>
      </c>
      <c r="HG30" s="20">
        <v>6</v>
      </c>
      <c r="HH30" s="20">
        <v>6</v>
      </c>
      <c r="HI30" s="20">
        <v>22</v>
      </c>
      <c r="HJ30" s="20">
        <v>0</v>
      </c>
      <c r="HK30" s="20">
        <v>14</v>
      </c>
      <c r="HL30" s="20">
        <v>10</v>
      </c>
      <c r="HM30" s="20">
        <v>4</v>
      </c>
      <c r="HN30" s="20">
        <v>22</v>
      </c>
      <c r="HO30" s="20">
        <v>0</v>
      </c>
      <c r="HP30" s="20">
        <v>12</v>
      </c>
      <c r="HQ30" s="20">
        <v>10</v>
      </c>
      <c r="HR30" s="20">
        <v>4</v>
      </c>
      <c r="HS30" s="20">
        <v>6</v>
      </c>
      <c r="HT30" s="20">
        <v>0</v>
      </c>
      <c r="HU30" s="20">
        <v>12</v>
      </c>
      <c r="HV30" s="20">
        <v>8</v>
      </c>
      <c r="HW30" s="20">
        <v>4</v>
      </c>
      <c r="HX30" s="20">
        <v>20</v>
      </c>
      <c r="HY30" s="20">
        <v>0</v>
      </c>
      <c r="HZ30" s="20">
        <v>12</v>
      </c>
      <c r="IA30" s="20">
        <v>12</v>
      </c>
      <c r="IB30" s="20">
        <v>2</v>
      </c>
      <c r="IC30" s="20">
        <v>20</v>
      </c>
      <c r="ID30" s="20">
        <v>0</v>
      </c>
      <c r="IF30" s="21" t="s">
        <v>519</v>
      </c>
      <c r="IG30" s="21">
        <v>0</v>
      </c>
      <c r="IH30" s="21">
        <v>2</v>
      </c>
      <c r="II30" s="21">
        <v>2</v>
      </c>
      <c r="IJ30" s="21">
        <v>2</v>
      </c>
      <c r="IK30" s="21">
        <v>2</v>
      </c>
      <c r="IL30" s="21">
        <v>8</v>
      </c>
      <c r="IM30" s="21">
        <v>8</v>
      </c>
      <c r="IN30" s="21">
        <v>8</v>
      </c>
      <c r="IO30" s="21">
        <v>4</v>
      </c>
      <c r="IP30" s="21">
        <v>14</v>
      </c>
      <c r="IQ30" s="21">
        <v>10</v>
      </c>
      <c r="IR30" s="21">
        <v>6</v>
      </c>
      <c r="IS30" s="21">
        <v>4</v>
      </c>
      <c r="IT30" s="21">
        <v>16</v>
      </c>
      <c r="IU30" s="21">
        <v>12</v>
      </c>
      <c r="IV30" s="21">
        <v>8</v>
      </c>
      <c r="IW30" s="21">
        <v>6</v>
      </c>
      <c r="IX30" s="21">
        <v>8</v>
      </c>
      <c r="IY30" s="21">
        <v>14</v>
      </c>
      <c r="IZ30" s="21">
        <v>0</v>
      </c>
      <c r="JA30" s="21">
        <v>8</v>
      </c>
      <c r="JB30" s="21">
        <v>20</v>
      </c>
      <c r="JC30" s="21">
        <v>8</v>
      </c>
      <c r="JD30" s="21">
        <v>0</v>
      </c>
      <c r="JE30" s="21">
        <v>10</v>
      </c>
      <c r="JF30" s="21">
        <v>6</v>
      </c>
      <c r="JI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34,$JT$2:$KS$2,0),MATCH($W$22,$AH$22:$AH$47,0)))*C34</f>
        <v>0</v>
      </c>
      <c r="JJ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34,$JT$2:$KS$2,0),MATCH($W$22,$AH$22:$AH$47,0)))*C34</f>
        <v>0</v>
      </c>
      <c r="JK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34,$JT$2:$KS$2,0),MATCH($W$22,$AH$22:$AH$47,0)))*C34</f>
        <v>0</v>
      </c>
      <c r="JL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34,$JT$2:$KS$2,0),MATCH($W$22,$AH$22:$AH$47,0)))*C34</f>
        <v>0</v>
      </c>
      <c r="JM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34,$JT$2:$KS$2,0),MATCH($W$22,$AH$22:$AH$47,0)))*C34</f>
        <v>0</v>
      </c>
      <c r="JN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34,$JT$2:$KS$2,0),MATCH($W$22,$AH$22:$AH$47,0)))*C34</f>
        <v>0</v>
      </c>
      <c r="JO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34,$JT$2:$KS$2,0),MATCH($W$22,$AH$22:$AH$47,0)))*C34</f>
        <v>0</v>
      </c>
      <c r="JP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34,$JT$2:$KS$2,0),MATCH($W$22,$AH$22:$AH$47,0)))*C34</f>
        <v>0</v>
      </c>
      <c r="JQ3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34,$JT$2:$KS$2,0),MATCH($W$22,$AH$22:$AH$47,0)))*C34</f>
        <v>0</v>
      </c>
      <c r="JS30" s="20" t="s">
        <v>1298</v>
      </c>
      <c r="JT30" s="20">
        <v>0</v>
      </c>
      <c r="JU30" s="20">
        <v>0</v>
      </c>
      <c r="JV30" s="20">
        <v>0</v>
      </c>
      <c r="JW30" s="20">
        <v>0</v>
      </c>
      <c r="JX30" s="20">
        <v>0</v>
      </c>
      <c r="JY30" s="20">
        <v>0</v>
      </c>
      <c r="JZ30" s="20">
        <v>0</v>
      </c>
      <c r="KA30" s="20">
        <v>0</v>
      </c>
      <c r="KB30" s="20">
        <v>0</v>
      </c>
      <c r="KC30" s="20">
        <v>0</v>
      </c>
      <c r="KD30" s="20">
        <v>6</v>
      </c>
      <c r="KE30" s="20">
        <v>0</v>
      </c>
      <c r="KF30" s="20">
        <v>4</v>
      </c>
      <c r="KG30" s="20">
        <v>6</v>
      </c>
      <c r="KH30" s="20">
        <v>6</v>
      </c>
      <c r="KI30" s="20">
        <v>6</v>
      </c>
      <c r="KJ30" s="20">
        <v>6</v>
      </c>
      <c r="KK30" s="20">
        <v>4</v>
      </c>
      <c r="KL30" s="20">
        <v>6</v>
      </c>
      <c r="KM30" s="20">
        <v>4</v>
      </c>
      <c r="KN30" s="20">
        <v>12</v>
      </c>
      <c r="KO30" s="20">
        <v>4</v>
      </c>
      <c r="KP30" s="20">
        <v>12</v>
      </c>
      <c r="KQ30" s="20">
        <v>12</v>
      </c>
      <c r="KR30" s="20">
        <v>12</v>
      </c>
      <c r="KS30" s="20">
        <v>12</v>
      </c>
      <c r="KU30" s="20" t="s">
        <v>1298</v>
      </c>
      <c r="KV30" s="20">
        <v>0</v>
      </c>
      <c r="KW30" s="20">
        <v>0</v>
      </c>
      <c r="KX30" s="20">
        <v>2</v>
      </c>
      <c r="KY30" s="20">
        <v>0</v>
      </c>
      <c r="KZ30" s="20">
        <v>4</v>
      </c>
      <c r="LA30" s="20">
        <v>0</v>
      </c>
      <c r="LB30" s="20">
        <v>4</v>
      </c>
      <c r="LC30" s="20">
        <v>0</v>
      </c>
      <c r="LD30" s="20">
        <v>6</v>
      </c>
      <c r="LE30" s="20">
        <v>2</v>
      </c>
      <c r="LF30" s="20">
        <v>6</v>
      </c>
      <c r="LG30" s="20">
        <v>2</v>
      </c>
      <c r="LH30" s="20">
        <v>6</v>
      </c>
      <c r="LI30" s="20">
        <v>4</v>
      </c>
      <c r="LJ30" s="20">
        <v>8</v>
      </c>
      <c r="LK30" s="20">
        <v>6</v>
      </c>
      <c r="LL30" s="20">
        <v>8</v>
      </c>
      <c r="LM30" s="20">
        <v>12</v>
      </c>
      <c r="LN30" s="20">
        <v>10</v>
      </c>
      <c r="LO30" s="20">
        <v>16</v>
      </c>
      <c r="LP30" s="20">
        <v>12</v>
      </c>
      <c r="LQ30" s="20">
        <v>16</v>
      </c>
      <c r="LR30" s="20">
        <v>20</v>
      </c>
      <c r="LS30" s="20">
        <v>18</v>
      </c>
      <c r="LT30" s="20">
        <v>22</v>
      </c>
      <c r="LU30" s="20">
        <v>24</v>
      </c>
      <c r="LW30" s="20" t="s">
        <v>1298</v>
      </c>
      <c r="LX30" s="20">
        <v>0</v>
      </c>
      <c r="LY30" s="20">
        <v>0</v>
      </c>
      <c r="LZ30" s="20">
        <v>0</v>
      </c>
      <c r="MA30" s="20">
        <v>2</v>
      </c>
      <c r="MB30" s="20">
        <v>2</v>
      </c>
      <c r="MC30" s="20">
        <v>2</v>
      </c>
      <c r="MD30" s="20">
        <v>0</v>
      </c>
      <c r="ME30" s="20">
        <v>6</v>
      </c>
      <c r="MF30" s="20">
        <v>4</v>
      </c>
      <c r="MG30" s="20">
        <v>10</v>
      </c>
      <c r="MH30" s="20">
        <v>8</v>
      </c>
      <c r="MI30" s="20">
        <v>0</v>
      </c>
      <c r="MJ30" s="20">
        <v>10</v>
      </c>
      <c r="MK30" s="20">
        <v>12</v>
      </c>
      <c r="ML30" s="20">
        <v>10</v>
      </c>
      <c r="MM30" s="20">
        <v>8</v>
      </c>
      <c r="MN30" s="20">
        <v>14</v>
      </c>
      <c r="MO30" s="20">
        <v>18</v>
      </c>
      <c r="MP30" s="20">
        <v>18</v>
      </c>
      <c r="MQ30" s="20">
        <v>18</v>
      </c>
      <c r="MR30" s="20">
        <v>22</v>
      </c>
      <c r="MS30" s="20">
        <v>22</v>
      </c>
      <c r="MT30" s="20">
        <v>18</v>
      </c>
      <c r="MU30" s="20">
        <v>18</v>
      </c>
      <c r="MV30" s="20">
        <v>18</v>
      </c>
      <c r="MW30" s="20">
        <v>24</v>
      </c>
      <c r="MY30" s="20" t="s">
        <v>1298</v>
      </c>
      <c r="MZ30" s="21">
        <v>0</v>
      </c>
      <c r="NA30" s="21">
        <v>0</v>
      </c>
      <c r="NB30" s="21">
        <v>0</v>
      </c>
      <c r="NC30" s="21">
        <v>0</v>
      </c>
      <c r="ND30" s="21">
        <v>0</v>
      </c>
      <c r="NE30" s="21">
        <v>2</v>
      </c>
      <c r="NF30" s="21">
        <v>4</v>
      </c>
      <c r="NG30" s="21">
        <v>4</v>
      </c>
      <c r="NH30" s="21">
        <v>6</v>
      </c>
      <c r="NI30" s="21">
        <v>0</v>
      </c>
      <c r="NJ30" s="21">
        <v>8</v>
      </c>
      <c r="NK30" s="21">
        <v>10</v>
      </c>
      <c r="NL30" s="21">
        <v>12</v>
      </c>
      <c r="NM30" s="21">
        <v>14</v>
      </c>
      <c r="NN30" s="21">
        <v>16</v>
      </c>
      <c r="NO30" s="21">
        <v>18</v>
      </c>
      <c r="NP30" s="21">
        <v>18</v>
      </c>
      <c r="NQ30" s="21">
        <v>20</v>
      </c>
      <c r="NR30" s="21">
        <v>22</v>
      </c>
      <c r="NS30" s="21">
        <v>24</v>
      </c>
      <c r="NT30" s="21">
        <v>26</v>
      </c>
      <c r="NU30" s="21">
        <v>20</v>
      </c>
      <c r="NV30" s="21">
        <v>28</v>
      </c>
      <c r="NW30" s="21">
        <v>30</v>
      </c>
      <c r="NX30" s="21">
        <v>24</v>
      </c>
      <c r="NY30" s="21">
        <v>32</v>
      </c>
      <c r="OB30" s="351" t="s">
        <v>126</v>
      </c>
      <c r="OC30" s="352">
        <v>32</v>
      </c>
    </row>
    <row r="31" spans="1:397" x14ac:dyDescent="0.25">
      <c r="A31" s="8"/>
      <c r="B31" s="5" t="s">
        <v>116</v>
      </c>
      <c r="C31" s="8"/>
      <c r="D31" s="6" t="s">
        <v>129</v>
      </c>
      <c r="E31" s="8" t="s">
        <v>130</v>
      </c>
      <c r="F31" s="63" t="str">
        <f>IF(E35="40x35 stal","niekompatybilne z profilem stalowym","")</f>
        <v/>
      </c>
      <c r="G31" s="6"/>
      <c r="H31" s="6"/>
      <c r="I31" s="6"/>
      <c r="J31" s="5"/>
      <c r="K31" s="4"/>
      <c r="L31" s="6" t="str">
        <f>IF($E$35=$AK$22,"PAL40H40/2,4",IF($E$35=$AK$23,"-------",IF($E$35=$AK$24,"-------","-------")))</f>
        <v>PAL40H40/2,4</v>
      </c>
      <c r="M31" s="14">
        <f>INDEX(cennik!$A$2:$O$529,MATCH($L31,cennik!$B$2:$B$522,0),MATCH(M$27,cennik!$A$1:$O$1,0))</f>
        <v>894624</v>
      </c>
      <c r="N31" s="14" t="str">
        <f>INDEX(cennik!$A$2:$O$529,MATCH($L31,cennik!$B$2:$B$522,0),MATCH(N$27,cennik!$A$1:$O$1,0))</f>
        <v>szt.</v>
      </c>
      <c r="O31" s="14">
        <f>IF(L31="-------",0,SUM(JM23:JM38))</f>
        <v>0</v>
      </c>
      <c r="P31" s="22">
        <f>INDEX(cennik!$A$2:$O$529,MATCH($L31,cennik!$B$2:$B$522,0),MATCH(P$27,cennik!$A$1:$O$1,0))</f>
        <v>74.400000000000006</v>
      </c>
      <c r="Q31" s="22">
        <f t="shared" ref="Q31" si="32">O31*P31</f>
        <v>0</v>
      </c>
      <c r="R31" s="23">
        <f>$E$34</f>
        <v>0</v>
      </c>
      <c r="S31" s="22">
        <f>P31*((100-$E$34)/100)</f>
        <v>74.400000000000006</v>
      </c>
      <c r="T31" s="22">
        <f t="shared" ref="T31" si="33">O31*S31</f>
        <v>0</v>
      </c>
      <c r="U31" s="22">
        <f>INDEX(cennik!$A$2:$O$529,MATCH($L31,cennik!$B$2:$B$522,0),MATCH(U$27,cennik!$A$1:$O$1,0))*O31</f>
        <v>0</v>
      </c>
      <c r="V31" s="20"/>
      <c r="W31" s="25"/>
      <c r="X31" s="25">
        <f t="shared" si="24"/>
        <v>4</v>
      </c>
      <c r="Y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35,$BB$2:$CA$2,0),MATCH($W$22,$AH$22:$AH$47,0)))*C35</f>
        <v>0</v>
      </c>
      <c r="Z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35,$BB$2:$CA$2,0),MATCH($W$22,$AH$22:$AH$47,0)))*C35</f>
        <v>0</v>
      </c>
      <c r="AA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35,$BB$2:$CA$2,0),MATCH($W$22,$AH$22:$AH$47,0)))*C35</f>
        <v>0</v>
      </c>
      <c r="AB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35,$BB$2:$CA$2,0),MATCH($W$22,$AH$22:$AH$47,0)))*C35</f>
        <v>0</v>
      </c>
      <c r="AC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35,$BB$2:$CA$2,0),MATCH($W$22,$AH$22:$AH$47,0)))*C35</f>
        <v>0</v>
      </c>
      <c r="AD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35,$BB$2:$CA$2,0),MATCH($W$22,$AH$22:$AH$47,0)))*C35</f>
        <v>0</v>
      </c>
      <c r="AE31" s="20"/>
      <c r="AF31" s="20"/>
      <c r="AG31" s="20"/>
      <c r="AH31" s="20" t="s">
        <v>112</v>
      </c>
      <c r="AI31" s="20"/>
      <c r="AJ31" s="20">
        <v>1700</v>
      </c>
      <c r="AK31" s="20"/>
      <c r="AL31" s="20">
        <f t="shared" si="25"/>
        <v>0</v>
      </c>
      <c r="AM31" s="20">
        <v>34</v>
      </c>
      <c r="AN31" s="20"/>
      <c r="AO31" s="20"/>
      <c r="AP31" s="20" t="s">
        <v>110</v>
      </c>
      <c r="AQ31" s="20" t="s">
        <v>14</v>
      </c>
      <c r="AS31" s="20">
        <v>34</v>
      </c>
      <c r="AT31" s="20" t="s">
        <v>40</v>
      </c>
      <c r="AU31" s="20"/>
      <c r="AV31" s="20" t="s">
        <v>151</v>
      </c>
      <c r="AW31" s="20" t="s">
        <v>151</v>
      </c>
      <c r="AX31" s="20"/>
      <c r="AY31" s="20"/>
      <c r="AZ31" s="20"/>
      <c r="BA31" s="26" t="s">
        <v>520</v>
      </c>
      <c r="BB31" s="20">
        <v>0</v>
      </c>
      <c r="BC31" s="20">
        <v>0</v>
      </c>
      <c r="BD31" s="20">
        <v>0</v>
      </c>
      <c r="BE31" s="20">
        <v>2</v>
      </c>
      <c r="BF31" s="20">
        <v>0</v>
      </c>
      <c r="BG31" s="20">
        <v>2</v>
      </c>
      <c r="BH31" s="20">
        <v>4</v>
      </c>
      <c r="BI31" s="20">
        <v>0</v>
      </c>
      <c r="BJ31" s="20">
        <v>4</v>
      </c>
      <c r="BK31" s="20">
        <v>4</v>
      </c>
      <c r="BL31" s="20">
        <v>2</v>
      </c>
      <c r="BM31" s="20">
        <v>4</v>
      </c>
      <c r="BN31" s="20">
        <v>4</v>
      </c>
      <c r="BO31" s="20">
        <v>6</v>
      </c>
      <c r="BP31" s="20">
        <v>6</v>
      </c>
      <c r="BQ31" s="20">
        <v>6</v>
      </c>
      <c r="BR31" s="20">
        <v>6</v>
      </c>
      <c r="BS31" s="20">
        <v>4</v>
      </c>
      <c r="BT31" s="20">
        <v>8</v>
      </c>
      <c r="BU31" s="20">
        <v>8</v>
      </c>
      <c r="BV31" s="20">
        <v>8</v>
      </c>
      <c r="BW31" s="20">
        <v>8</v>
      </c>
      <c r="BX31" s="20">
        <v>4</v>
      </c>
      <c r="BY31" s="20">
        <v>10</v>
      </c>
      <c r="BZ31" s="20">
        <v>10</v>
      </c>
      <c r="CA31" s="20">
        <v>8</v>
      </c>
      <c r="CB31" s="20">
        <v>10</v>
      </c>
      <c r="CC31" s="20">
        <v>12</v>
      </c>
      <c r="CD31" s="20">
        <v>12</v>
      </c>
      <c r="CE31" s="20">
        <v>12</v>
      </c>
      <c r="CF31" s="20">
        <v>12</v>
      </c>
      <c r="CG31" s="20">
        <v>12</v>
      </c>
      <c r="CH31" s="20">
        <v>8</v>
      </c>
      <c r="CI31" s="20">
        <v>14</v>
      </c>
      <c r="CJ31" s="20">
        <v>0</v>
      </c>
      <c r="CK31" s="20">
        <v>0</v>
      </c>
      <c r="CL31" s="20">
        <v>14</v>
      </c>
      <c r="CM31" s="20">
        <v>22</v>
      </c>
      <c r="CN31" s="20">
        <v>2</v>
      </c>
      <c r="CO31" s="20">
        <v>16</v>
      </c>
      <c r="CP31" s="20">
        <v>26</v>
      </c>
      <c r="CQ31" s="20">
        <v>16</v>
      </c>
      <c r="CR31" s="20">
        <v>18</v>
      </c>
      <c r="CS31" s="20">
        <v>28</v>
      </c>
      <c r="CT31" s="20">
        <v>4</v>
      </c>
      <c r="CU31" s="20">
        <v>18</v>
      </c>
      <c r="CV31" s="20">
        <v>30</v>
      </c>
      <c r="CW31" s="20">
        <v>26</v>
      </c>
      <c r="CX31" s="20">
        <v>20</v>
      </c>
      <c r="CY31" s="20">
        <v>32</v>
      </c>
      <c r="CZ31" s="20">
        <v>20</v>
      </c>
      <c r="DA31" s="54"/>
      <c r="DB31" s="54">
        <v>30</v>
      </c>
      <c r="DC31" s="54"/>
      <c r="DD31" s="26" t="s">
        <v>711</v>
      </c>
      <c r="DE31" s="20">
        <v>0</v>
      </c>
      <c r="DF31" s="20"/>
      <c r="DG31" s="20"/>
      <c r="DH31" s="20"/>
      <c r="DI31" s="20"/>
      <c r="DJ31" s="20"/>
      <c r="DK31" s="20"/>
      <c r="DL31" s="20"/>
      <c r="DM31" s="20"/>
      <c r="DN31" s="20"/>
      <c r="DO31" s="20"/>
      <c r="DP31" s="20"/>
      <c r="DQ31" s="20"/>
      <c r="DR31" s="20"/>
      <c r="DS31" s="20"/>
      <c r="DT31" s="20"/>
      <c r="DU31" s="20"/>
      <c r="DV31" s="20"/>
      <c r="DW31" s="20"/>
      <c r="DX31" s="20"/>
      <c r="DY31" s="20"/>
      <c r="DZ31" s="20"/>
      <c r="EA31" s="20"/>
      <c r="EB31" s="26" t="s">
        <v>520</v>
      </c>
      <c r="EC31" s="20">
        <v>0</v>
      </c>
      <c r="ED31" s="20">
        <v>0</v>
      </c>
      <c r="EE31" s="20">
        <v>0</v>
      </c>
      <c r="EF31" s="20">
        <v>0</v>
      </c>
      <c r="EG31" s="20">
        <v>0</v>
      </c>
      <c r="EH31" s="20">
        <v>4</v>
      </c>
      <c r="EI31" s="20">
        <v>0</v>
      </c>
      <c r="EJ31" s="20">
        <v>6</v>
      </c>
      <c r="EK31" s="20">
        <v>4</v>
      </c>
      <c r="EL31" s="20">
        <v>0</v>
      </c>
      <c r="EM31" s="20">
        <v>8</v>
      </c>
      <c r="EN31" s="20">
        <v>2</v>
      </c>
      <c r="EO31" s="20">
        <v>10</v>
      </c>
      <c r="EP31" s="20">
        <v>8</v>
      </c>
      <c r="EQ31" s="20">
        <v>0</v>
      </c>
      <c r="ER31" s="20">
        <v>12</v>
      </c>
      <c r="ES31" s="20">
        <v>6</v>
      </c>
      <c r="ET31" s="20">
        <v>16</v>
      </c>
      <c r="EU31" s="20">
        <v>10</v>
      </c>
      <c r="EV31" s="20">
        <v>20</v>
      </c>
      <c r="EW31" s="20">
        <v>2</v>
      </c>
      <c r="EX31" s="20">
        <v>22</v>
      </c>
      <c r="EY31" s="20">
        <v>14</v>
      </c>
      <c r="EZ31" s="20">
        <v>0</v>
      </c>
      <c r="FA31" s="20">
        <v>10</v>
      </c>
      <c r="FB31" s="20">
        <v>4</v>
      </c>
      <c r="FC31" s="20">
        <v>14</v>
      </c>
      <c r="FD31" s="20">
        <v>18</v>
      </c>
      <c r="FE31" s="20">
        <v>18</v>
      </c>
      <c r="FF31" s="20">
        <v>0</v>
      </c>
      <c r="FG31" s="20">
        <v>22</v>
      </c>
      <c r="FH31" s="20">
        <v>4</v>
      </c>
      <c r="FI31" s="20">
        <v>28</v>
      </c>
      <c r="FJ31" s="20">
        <v>8</v>
      </c>
      <c r="FK31" s="20">
        <v>32</v>
      </c>
      <c r="FL31" s="20">
        <v>26</v>
      </c>
      <c r="FM31" s="20">
        <v>36</v>
      </c>
      <c r="FN31" s="20">
        <v>36</v>
      </c>
      <c r="FO31" s="20">
        <v>40</v>
      </c>
      <c r="FP31" s="20">
        <v>22</v>
      </c>
      <c r="FQ31" s="20">
        <v>42</v>
      </c>
      <c r="FR31" s="20">
        <v>26</v>
      </c>
      <c r="FS31" s="20">
        <v>44</v>
      </c>
      <c r="FT31" s="20">
        <v>30</v>
      </c>
      <c r="FU31" s="20">
        <v>46</v>
      </c>
      <c r="FV31" s="20">
        <v>34</v>
      </c>
      <c r="FW31" s="20">
        <v>48</v>
      </c>
      <c r="FX31" s="20">
        <v>38</v>
      </c>
      <c r="FY31" s="20">
        <v>20</v>
      </c>
      <c r="FZ31" s="20">
        <v>42</v>
      </c>
      <c r="GA31" s="20">
        <v>24</v>
      </c>
      <c r="GC31" s="20"/>
      <c r="GD31" s="20"/>
      <c r="GE31" s="26" t="s">
        <v>520</v>
      </c>
      <c r="GF31" s="20">
        <v>0</v>
      </c>
      <c r="GG31" s="20">
        <v>0</v>
      </c>
      <c r="GH31" s="20">
        <v>0</v>
      </c>
      <c r="GI31" s="20">
        <v>0</v>
      </c>
      <c r="GJ31" s="20">
        <v>0</v>
      </c>
      <c r="GK31" s="20">
        <v>4</v>
      </c>
      <c r="GL31" s="20">
        <v>6</v>
      </c>
      <c r="GM31" s="20">
        <v>0</v>
      </c>
      <c r="GN31" s="20">
        <v>2</v>
      </c>
      <c r="GO31" s="20">
        <v>0</v>
      </c>
      <c r="GP31" s="20">
        <v>12</v>
      </c>
      <c r="GQ31" s="20">
        <v>12</v>
      </c>
      <c r="GR31" s="20">
        <v>8</v>
      </c>
      <c r="GS31" s="20">
        <v>8</v>
      </c>
      <c r="GT31" s="20">
        <v>8</v>
      </c>
      <c r="GU31" s="20">
        <v>18</v>
      </c>
      <c r="GV31" s="20">
        <v>18</v>
      </c>
      <c r="GW31" s="20">
        <v>12</v>
      </c>
      <c r="GX31" s="20">
        <v>16</v>
      </c>
      <c r="GY31" s="20">
        <v>0</v>
      </c>
      <c r="GZ31" s="20">
        <v>24</v>
      </c>
      <c r="HA31" s="20">
        <v>12</v>
      </c>
      <c r="HB31" s="20">
        <v>16</v>
      </c>
      <c r="HC31" s="20">
        <v>22</v>
      </c>
      <c r="HD31" s="20">
        <v>20</v>
      </c>
      <c r="HE31" s="20">
        <v>30</v>
      </c>
      <c r="HF31" s="20">
        <v>18</v>
      </c>
      <c r="HG31" s="20">
        <v>24</v>
      </c>
      <c r="HH31" s="20">
        <v>28</v>
      </c>
      <c r="HI31" s="20">
        <v>14</v>
      </c>
      <c r="HJ31" s="20">
        <v>36</v>
      </c>
      <c r="HK31" s="20">
        <v>24</v>
      </c>
      <c r="HL31" s="20">
        <v>28</v>
      </c>
      <c r="HM31" s="20">
        <v>36</v>
      </c>
      <c r="HN31" s="20">
        <v>20</v>
      </c>
      <c r="HO31" s="20">
        <v>42</v>
      </c>
      <c r="HP31" s="20">
        <v>32</v>
      </c>
      <c r="HQ31" s="20">
        <v>32</v>
      </c>
      <c r="HR31" s="20">
        <v>42</v>
      </c>
      <c r="HS31" s="20">
        <v>40</v>
      </c>
      <c r="HT31" s="20">
        <v>48</v>
      </c>
      <c r="HU31" s="20">
        <v>38</v>
      </c>
      <c r="HV31" s="20">
        <v>40</v>
      </c>
      <c r="HW31" s="20">
        <v>48</v>
      </c>
      <c r="HX31" s="20">
        <v>34</v>
      </c>
      <c r="HY31" s="20">
        <v>54</v>
      </c>
      <c r="HZ31" s="20">
        <v>44</v>
      </c>
      <c r="IA31" s="20">
        <v>44</v>
      </c>
      <c r="IB31" s="20">
        <v>56</v>
      </c>
      <c r="IC31" s="20">
        <v>40</v>
      </c>
      <c r="ID31" s="20">
        <v>60</v>
      </c>
      <c r="IF31" s="21" t="s">
        <v>520</v>
      </c>
      <c r="IG31" s="21">
        <v>0</v>
      </c>
      <c r="IH31" s="21">
        <v>0</v>
      </c>
      <c r="II31" s="21">
        <v>0</v>
      </c>
      <c r="IJ31" s="21">
        <v>0</v>
      </c>
      <c r="IK31" s="21">
        <v>4</v>
      </c>
      <c r="IL31" s="21">
        <v>0</v>
      </c>
      <c r="IM31" s="21">
        <v>0</v>
      </c>
      <c r="IN31" s="21">
        <v>0</v>
      </c>
      <c r="IO31" s="21">
        <v>8</v>
      </c>
      <c r="IP31" s="21">
        <v>0</v>
      </c>
      <c r="IQ31" s="21">
        <v>4</v>
      </c>
      <c r="IR31" s="21">
        <v>8</v>
      </c>
      <c r="IS31" s="21">
        <v>14</v>
      </c>
      <c r="IT31" s="21">
        <v>4</v>
      </c>
      <c r="IU31" s="21">
        <v>8</v>
      </c>
      <c r="IV31" s="21">
        <v>12</v>
      </c>
      <c r="IW31" s="21">
        <v>18</v>
      </c>
      <c r="IX31" s="21">
        <v>16</v>
      </c>
      <c r="IY31" s="21">
        <v>12</v>
      </c>
      <c r="IZ31" s="21">
        <v>28</v>
      </c>
      <c r="JA31" s="21">
        <v>22</v>
      </c>
      <c r="JB31" s="21">
        <v>12</v>
      </c>
      <c r="JC31" s="21">
        <v>22</v>
      </c>
      <c r="JD31" s="21">
        <v>34</v>
      </c>
      <c r="JE31" s="21">
        <v>26</v>
      </c>
      <c r="JF31" s="21">
        <v>30</v>
      </c>
      <c r="JI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35,$JT$2:$KS$2,0),MATCH($W$22,$AH$22:$AH$47,0)))*C35</f>
        <v>0</v>
      </c>
      <c r="JJ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35,$JT$2:$KS$2,0),MATCH($W$22,$AH$22:$AH$47,0)))*C35</f>
        <v>0</v>
      </c>
      <c r="JK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35,$JT$2:$KS$2,0),MATCH($W$22,$AH$22:$AH$47,0)))*C35</f>
        <v>0</v>
      </c>
      <c r="JL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35,$JT$2:$KS$2,0),MATCH($W$22,$AH$22:$AH$47,0)))*C35</f>
        <v>0</v>
      </c>
      <c r="JM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35,$JT$2:$KS$2,0),MATCH($W$22,$AH$22:$AH$47,0)))*C35</f>
        <v>0</v>
      </c>
      <c r="JN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35,$JT$2:$KS$2,0),MATCH($W$22,$AH$22:$AH$47,0)))*C35</f>
        <v>0</v>
      </c>
      <c r="JO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35,$JT$2:$KS$2,0),MATCH($W$22,$AH$22:$AH$47,0)))*C35</f>
        <v>0</v>
      </c>
      <c r="JP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35,$JT$2:$KS$2,0),MATCH($W$22,$AH$22:$AH$47,0)))*C35</f>
        <v>0</v>
      </c>
      <c r="JQ3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35,$JT$2:$KS$2,0),MATCH($W$22,$AH$22:$AH$47,0)))*C35</f>
        <v>0</v>
      </c>
      <c r="JS31" s="20" t="s">
        <v>1026</v>
      </c>
      <c r="JT31" s="20">
        <v>0</v>
      </c>
      <c r="JU31" s="20">
        <v>0</v>
      </c>
      <c r="JV31" s="20">
        <v>0</v>
      </c>
      <c r="JW31" s="20">
        <v>0</v>
      </c>
      <c r="JX31" s="20">
        <v>0</v>
      </c>
      <c r="JY31" s="20">
        <v>0</v>
      </c>
      <c r="JZ31" s="20">
        <v>0</v>
      </c>
      <c r="KA31" s="20">
        <v>0</v>
      </c>
      <c r="KB31" s="20">
        <v>0</v>
      </c>
      <c r="KC31" s="20">
        <v>0</v>
      </c>
      <c r="KD31" s="20">
        <v>0</v>
      </c>
      <c r="KE31" s="20">
        <v>0</v>
      </c>
      <c r="KF31" s="20">
        <v>0</v>
      </c>
      <c r="KG31" s="20">
        <v>0</v>
      </c>
      <c r="KH31" s="20">
        <v>0</v>
      </c>
      <c r="KI31" s="20">
        <v>0</v>
      </c>
      <c r="KJ31" s="20">
        <v>0</v>
      </c>
      <c r="KK31" s="20">
        <v>0</v>
      </c>
      <c r="KL31" s="20">
        <v>0</v>
      </c>
      <c r="KM31" s="20">
        <v>0</v>
      </c>
      <c r="KN31" s="20">
        <v>0</v>
      </c>
      <c r="KO31" s="20">
        <v>0</v>
      </c>
      <c r="KP31" s="20">
        <v>0</v>
      </c>
      <c r="KQ31" s="20">
        <v>0</v>
      </c>
      <c r="KR31" s="20">
        <v>0</v>
      </c>
      <c r="KS31" s="20">
        <v>0</v>
      </c>
      <c r="KU31" s="20" t="s">
        <v>1026</v>
      </c>
      <c r="KV31" s="20">
        <v>0</v>
      </c>
      <c r="KW31" s="20">
        <v>0</v>
      </c>
      <c r="KX31" s="20">
        <v>0</v>
      </c>
      <c r="KY31" s="20">
        <v>0</v>
      </c>
      <c r="KZ31" s="20">
        <v>0</v>
      </c>
      <c r="LA31" s="20">
        <v>0</v>
      </c>
      <c r="LB31" s="20">
        <v>0</v>
      </c>
      <c r="LC31" s="20">
        <v>0</v>
      </c>
      <c r="LD31" s="20">
        <v>0</v>
      </c>
      <c r="LE31" s="20">
        <v>0</v>
      </c>
      <c r="LF31" s="20">
        <v>0</v>
      </c>
      <c r="LG31" s="20">
        <v>0</v>
      </c>
      <c r="LH31" s="20">
        <v>0</v>
      </c>
      <c r="LI31" s="20">
        <v>0</v>
      </c>
      <c r="LJ31" s="20">
        <v>0</v>
      </c>
      <c r="LK31" s="20">
        <v>0</v>
      </c>
      <c r="LL31" s="20">
        <v>0</v>
      </c>
      <c r="LM31" s="20">
        <v>0</v>
      </c>
      <c r="LN31" s="20">
        <v>0</v>
      </c>
      <c r="LO31" s="20">
        <v>0</v>
      </c>
      <c r="LP31" s="20">
        <v>0</v>
      </c>
      <c r="LQ31" s="20">
        <v>0</v>
      </c>
      <c r="LR31" s="20">
        <v>0</v>
      </c>
      <c r="LS31" s="20">
        <v>0</v>
      </c>
      <c r="LT31" s="20">
        <v>0</v>
      </c>
      <c r="LU31" s="20">
        <v>0</v>
      </c>
      <c r="LW31" s="20" t="s">
        <v>1026</v>
      </c>
      <c r="LX31" s="20">
        <v>0</v>
      </c>
      <c r="LY31" s="20">
        <v>0</v>
      </c>
      <c r="LZ31" s="20">
        <v>0</v>
      </c>
      <c r="MA31" s="20">
        <v>0</v>
      </c>
      <c r="MB31" s="20">
        <v>0</v>
      </c>
      <c r="MC31" s="20">
        <v>0</v>
      </c>
      <c r="MD31" s="20">
        <v>0</v>
      </c>
      <c r="ME31" s="20">
        <v>0</v>
      </c>
      <c r="MF31" s="20">
        <v>0</v>
      </c>
      <c r="MG31" s="20">
        <v>0</v>
      </c>
      <c r="MH31" s="20">
        <v>0</v>
      </c>
      <c r="MI31" s="20">
        <v>0</v>
      </c>
      <c r="MJ31" s="20">
        <v>0</v>
      </c>
      <c r="MK31" s="20">
        <v>0</v>
      </c>
      <c r="ML31" s="20">
        <v>0</v>
      </c>
      <c r="MM31" s="20">
        <v>0</v>
      </c>
      <c r="MN31" s="20">
        <v>0</v>
      </c>
      <c r="MO31" s="20">
        <v>0</v>
      </c>
      <c r="MP31" s="20">
        <v>0</v>
      </c>
      <c r="MQ31" s="20">
        <v>0</v>
      </c>
      <c r="MR31" s="20">
        <v>0</v>
      </c>
      <c r="MS31" s="20">
        <v>0</v>
      </c>
      <c r="MT31" s="20">
        <v>0</v>
      </c>
      <c r="MU31" s="20">
        <v>0</v>
      </c>
      <c r="MV31" s="20">
        <v>0</v>
      </c>
      <c r="MW31" s="20">
        <v>0</v>
      </c>
      <c r="MY31" s="20" t="s">
        <v>1026</v>
      </c>
      <c r="MZ31" s="21">
        <v>0</v>
      </c>
      <c r="NA31" s="21">
        <v>0</v>
      </c>
      <c r="NB31" s="21">
        <v>0</v>
      </c>
      <c r="NC31" s="21">
        <v>0</v>
      </c>
      <c r="ND31" s="21">
        <v>0</v>
      </c>
      <c r="NE31" s="21">
        <v>0</v>
      </c>
      <c r="NF31" s="21">
        <v>0</v>
      </c>
      <c r="NG31" s="21">
        <v>0</v>
      </c>
      <c r="NH31" s="21">
        <v>0</v>
      </c>
      <c r="NI31" s="21">
        <v>0</v>
      </c>
      <c r="NJ31" s="21">
        <v>0</v>
      </c>
      <c r="NK31" s="21">
        <v>0</v>
      </c>
      <c r="NL31" s="21">
        <v>0</v>
      </c>
      <c r="NM31" s="21">
        <v>0</v>
      </c>
      <c r="NN31" s="21">
        <v>0</v>
      </c>
      <c r="NO31" s="21">
        <v>0</v>
      </c>
      <c r="NP31" s="21">
        <v>0</v>
      </c>
      <c r="NQ31" s="21">
        <v>0</v>
      </c>
      <c r="NR31" s="21">
        <v>0</v>
      </c>
      <c r="NS31" s="21">
        <v>0</v>
      </c>
      <c r="NT31" s="21">
        <v>0</v>
      </c>
      <c r="NU31" s="21">
        <v>0</v>
      </c>
      <c r="NV31" s="21">
        <v>0</v>
      </c>
      <c r="NW31" s="21">
        <v>0</v>
      </c>
      <c r="NX31" s="21">
        <v>0</v>
      </c>
      <c r="NY31" s="21">
        <v>0</v>
      </c>
      <c r="OB31" s="353" t="s">
        <v>1018</v>
      </c>
      <c r="OC31" s="352">
        <v>36.17</v>
      </c>
    </row>
    <row r="32" spans="1:397" x14ac:dyDescent="0.25">
      <c r="A32" s="8"/>
      <c r="B32" s="5" t="s">
        <v>116</v>
      </c>
      <c r="C32" s="8"/>
      <c r="D32" s="6" t="s">
        <v>124</v>
      </c>
      <c r="E32" s="8" t="s">
        <v>144</v>
      </c>
      <c r="F32" s="6"/>
      <c r="G32" s="6"/>
      <c r="H32" s="6"/>
      <c r="I32" s="6"/>
      <c r="J32" s="5"/>
      <c r="K32" s="4"/>
      <c r="L32" s="6" t="str">
        <f>IF($E$35=AK22,"PAL40H40/3,15",IF($E$35=AK23,"PAL30H32/3,15","-------"))</f>
        <v>PAL40H40/3,15</v>
      </c>
      <c r="M32" s="14">
        <f>INDEX(cennik!$A$2:$O$529,MATCH($L32,cennik!$B$2:$B$522,0),MATCH(M$27,cennik!$A$1:$O$1,0))</f>
        <v>894631</v>
      </c>
      <c r="N32" s="14" t="str">
        <f>INDEX(cennik!$A$2:$O$529,MATCH($L32,cennik!$B$2:$B$522,0),MATCH(N$27,cennik!$A$1:$O$1,0))</f>
        <v>szt.</v>
      </c>
      <c r="O32" s="14">
        <f>IF(L32="-------",0,SUM(JN23:JN38))</f>
        <v>0</v>
      </c>
      <c r="P32" s="22">
        <f>INDEX(cennik!$A$2:$O$529,MATCH($L32,cennik!$B$2:$B$522,0),MATCH(P$27,cennik!$A$1:$O$1,0))</f>
        <v>97.65</v>
      </c>
      <c r="Q32" s="22">
        <f t="shared" si="30"/>
        <v>0</v>
      </c>
      <c r="R32" s="23">
        <f t="shared" ref="R32:R50" si="34">$E$34</f>
        <v>0</v>
      </c>
      <c r="S32" s="22">
        <f t="shared" ref="S32:S50" si="35">P32*((100-$E$34)/100)</f>
        <v>97.65</v>
      </c>
      <c r="T32" s="22">
        <f t="shared" si="31"/>
        <v>0</v>
      </c>
      <c r="U32" s="22">
        <f>INDEX(cennik!$A$2:$O$529,MATCH($L32,cennik!$B$2:$B$522,0),MATCH(U$27,cennik!$A$1:$O$1,0))*O32</f>
        <v>0</v>
      </c>
      <c r="V32" s="20"/>
      <c r="W32" s="25"/>
      <c r="X32" s="25">
        <f t="shared" si="24"/>
        <v>4</v>
      </c>
      <c r="Y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36,$BB$2:$CA$2,0),MATCH($W$22,$AH$22:$AH$47,0)))*C36</f>
        <v>0</v>
      </c>
      <c r="Z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36,$BB$2:$CA$2,0),MATCH($W$22,$AH$22:$AH$47,0)))*C36</f>
        <v>0</v>
      </c>
      <c r="AA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36,$BB$2:$CA$2,0),MATCH($W$22,$AH$22:$AH$47,0)))*C36</f>
        <v>0</v>
      </c>
      <c r="AB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36,$BB$2:$CA$2,0),MATCH($W$22,$AH$22:$AH$47,0)))*C36</f>
        <v>0</v>
      </c>
      <c r="AC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36,$BB$2:$CA$2,0),MATCH($W$22,$AH$22:$AH$47,0)))*C36</f>
        <v>0</v>
      </c>
      <c r="AD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36,$BB$2:$CA$2,0),MATCH($W$22,$AH$22:$AH$47,0)))*C36</f>
        <v>0</v>
      </c>
      <c r="AE32" s="20"/>
      <c r="AF32" s="20"/>
      <c r="AG32" s="20"/>
      <c r="AH32" s="20" t="s">
        <v>132</v>
      </c>
      <c r="AI32" s="20"/>
      <c r="AJ32" s="20">
        <v>1750</v>
      </c>
      <c r="AK32" s="20"/>
      <c r="AL32" s="20">
        <f t="shared" si="25"/>
        <v>0</v>
      </c>
      <c r="AM32" s="20">
        <v>35</v>
      </c>
      <c r="AN32" s="20" t="s">
        <v>29</v>
      </c>
      <c r="AO32" s="20" t="s">
        <v>30</v>
      </c>
      <c r="AP32" s="20" t="s">
        <v>110</v>
      </c>
      <c r="AQ32" s="20" t="s">
        <v>14</v>
      </c>
      <c r="AS32" s="20">
        <v>35</v>
      </c>
      <c r="AT32" s="20" t="s">
        <v>41</v>
      </c>
      <c r="AU32" s="20" t="s">
        <v>42</v>
      </c>
      <c r="AV32" s="20" t="s">
        <v>151</v>
      </c>
      <c r="AW32" s="20" t="s">
        <v>151</v>
      </c>
      <c r="AX32" s="20"/>
      <c r="AY32" s="20"/>
      <c r="AZ32" s="20"/>
      <c r="BA32" s="26" t="s">
        <v>521</v>
      </c>
      <c r="BB32" s="20">
        <v>0</v>
      </c>
      <c r="BC32" s="20">
        <v>0</v>
      </c>
      <c r="BD32" s="20">
        <v>0</v>
      </c>
      <c r="BE32" s="20">
        <v>0</v>
      </c>
      <c r="BF32" s="20">
        <v>4</v>
      </c>
      <c r="BG32" s="20">
        <v>4</v>
      </c>
      <c r="BH32" s="20">
        <v>4</v>
      </c>
      <c r="BI32" s="20">
        <v>8</v>
      </c>
      <c r="BJ32" s="20">
        <v>8</v>
      </c>
      <c r="BK32" s="20">
        <v>8</v>
      </c>
      <c r="BL32" s="20">
        <v>12</v>
      </c>
      <c r="BM32" s="20">
        <v>12</v>
      </c>
      <c r="BN32" s="20">
        <v>12</v>
      </c>
      <c r="BO32" s="20">
        <v>16</v>
      </c>
      <c r="BP32" s="20">
        <v>16</v>
      </c>
      <c r="BQ32" s="20">
        <v>16</v>
      </c>
      <c r="BR32" s="20">
        <v>20</v>
      </c>
      <c r="BS32" s="20">
        <v>20</v>
      </c>
      <c r="BT32" s="20">
        <v>20</v>
      </c>
      <c r="BU32" s="20">
        <v>24</v>
      </c>
      <c r="BV32" s="20">
        <v>24</v>
      </c>
      <c r="BW32" s="20">
        <v>24</v>
      </c>
      <c r="BX32" s="20">
        <v>28</v>
      </c>
      <c r="BY32" s="20">
        <v>28</v>
      </c>
      <c r="BZ32" s="20">
        <v>28</v>
      </c>
      <c r="CA32" s="20">
        <v>32</v>
      </c>
      <c r="CB32" s="20">
        <v>32</v>
      </c>
      <c r="CC32" s="20">
        <v>32</v>
      </c>
      <c r="CD32" s="20">
        <v>36</v>
      </c>
      <c r="CE32" s="20">
        <v>36</v>
      </c>
      <c r="CF32" s="20">
        <v>36</v>
      </c>
      <c r="CG32" s="20">
        <v>40</v>
      </c>
      <c r="CH32" s="20">
        <v>40</v>
      </c>
      <c r="CI32" s="20">
        <v>40</v>
      </c>
      <c r="CJ32" s="20">
        <v>44</v>
      </c>
      <c r="CK32" s="20">
        <v>44</v>
      </c>
      <c r="CL32" s="20">
        <v>44</v>
      </c>
      <c r="CM32" s="20">
        <v>48</v>
      </c>
      <c r="CN32" s="20">
        <v>48</v>
      </c>
      <c r="CO32" s="20">
        <v>48</v>
      </c>
      <c r="CP32" s="20">
        <v>48</v>
      </c>
      <c r="CQ32" s="20">
        <v>52</v>
      </c>
      <c r="CR32" s="20">
        <v>52</v>
      </c>
      <c r="CS32" s="20">
        <v>52</v>
      </c>
      <c r="CT32" s="20">
        <v>56</v>
      </c>
      <c r="CU32" s="20">
        <v>56</v>
      </c>
      <c r="CV32" s="20">
        <v>56</v>
      </c>
      <c r="CW32" s="20">
        <v>60</v>
      </c>
      <c r="CX32" s="20">
        <v>60</v>
      </c>
      <c r="CY32" s="20">
        <v>60</v>
      </c>
      <c r="CZ32" s="20">
        <v>64</v>
      </c>
      <c r="DA32" s="54"/>
      <c r="DB32" s="54">
        <v>31</v>
      </c>
      <c r="DC32" s="54"/>
      <c r="DD32" s="26" t="s">
        <v>712</v>
      </c>
      <c r="DE32" s="20">
        <v>0</v>
      </c>
      <c r="DF32" s="20"/>
      <c r="DG32" s="20"/>
      <c r="DH32" s="20"/>
      <c r="DI32" s="20"/>
      <c r="DJ32" s="20"/>
      <c r="DK32" s="20"/>
      <c r="DL32" s="20"/>
      <c r="DM32" s="20"/>
      <c r="DN32" s="20"/>
      <c r="DO32" s="20"/>
      <c r="DP32" s="20"/>
      <c r="DQ32" s="20"/>
      <c r="DR32" s="20"/>
      <c r="DS32" s="20"/>
      <c r="DT32" s="20"/>
      <c r="DU32" s="20"/>
      <c r="DV32" s="20"/>
      <c r="DW32" s="20"/>
      <c r="DX32" s="20"/>
      <c r="DY32" s="20"/>
      <c r="DZ32" s="20"/>
      <c r="EA32" s="20"/>
      <c r="EB32" s="26" t="s">
        <v>521</v>
      </c>
      <c r="EC32" s="20">
        <v>0</v>
      </c>
      <c r="ED32" s="20">
        <v>0</v>
      </c>
      <c r="EE32" s="20">
        <v>4</v>
      </c>
      <c r="EF32" s="20">
        <v>4</v>
      </c>
      <c r="EG32" s="20">
        <v>8</v>
      </c>
      <c r="EH32" s="20">
        <v>8</v>
      </c>
      <c r="EI32" s="20">
        <v>12</v>
      </c>
      <c r="EJ32" s="20">
        <v>12</v>
      </c>
      <c r="EK32" s="20">
        <v>16</v>
      </c>
      <c r="EL32" s="20">
        <v>16</v>
      </c>
      <c r="EM32" s="20">
        <v>20</v>
      </c>
      <c r="EN32" s="20">
        <v>20</v>
      </c>
      <c r="EO32" s="20">
        <v>24</v>
      </c>
      <c r="EP32" s="20">
        <v>24</v>
      </c>
      <c r="EQ32" s="20">
        <v>28</v>
      </c>
      <c r="ER32" s="20">
        <v>28</v>
      </c>
      <c r="ES32" s="20">
        <v>32</v>
      </c>
      <c r="ET32" s="20">
        <v>32</v>
      </c>
      <c r="EU32" s="20">
        <v>36</v>
      </c>
      <c r="EV32" s="20">
        <v>36</v>
      </c>
      <c r="EW32" s="20">
        <v>40</v>
      </c>
      <c r="EX32" s="20">
        <v>40</v>
      </c>
      <c r="EY32" s="20">
        <v>44</v>
      </c>
      <c r="EZ32" s="20">
        <v>48</v>
      </c>
      <c r="FA32" s="20">
        <v>48</v>
      </c>
      <c r="FB32" s="20">
        <v>52</v>
      </c>
      <c r="FC32" s="20">
        <v>52</v>
      </c>
      <c r="FD32" s="20">
        <v>56</v>
      </c>
      <c r="FE32" s="20">
        <v>56</v>
      </c>
      <c r="FF32" s="20">
        <v>60</v>
      </c>
      <c r="FG32" s="20">
        <v>60</v>
      </c>
      <c r="FH32" s="20">
        <v>64</v>
      </c>
      <c r="FI32" s="20">
        <v>64</v>
      </c>
      <c r="FJ32" s="20">
        <v>68</v>
      </c>
      <c r="FK32" s="20">
        <v>68</v>
      </c>
      <c r="FL32" s="20">
        <v>72</v>
      </c>
      <c r="FM32" s="20">
        <v>72</v>
      </c>
      <c r="FN32" s="20">
        <v>76</v>
      </c>
      <c r="FO32" s="20">
        <v>76</v>
      </c>
      <c r="FP32" s="20">
        <v>80</v>
      </c>
      <c r="FQ32" s="20">
        <v>80</v>
      </c>
      <c r="FR32" s="20">
        <v>84</v>
      </c>
      <c r="FS32" s="20">
        <v>84</v>
      </c>
      <c r="FT32" s="20">
        <v>88</v>
      </c>
      <c r="FU32" s="20">
        <v>88</v>
      </c>
      <c r="FV32" s="20">
        <v>92</v>
      </c>
      <c r="FW32" s="20">
        <v>92</v>
      </c>
      <c r="FX32" s="20">
        <v>96</v>
      </c>
      <c r="FY32" s="20">
        <v>100</v>
      </c>
      <c r="FZ32" s="20">
        <v>100</v>
      </c>
      <c r="GA32" s="20">
        <v>104</v>
      </c>
      <c r="GC32" s="20"/>
      <c r="GD32" s="20"/>
      <c r="GE32" s="26" t="s">
        <v>521</v>
      </c>
      <c r="GF32" s="20">
        <v>0</v>
      </c>
      <c r="GG32" s="20">
        <v>0</v>
      </c>
      <c r="GH32" s="20">
        <v>4</v>
      </c>
      <c r="GI32" s="20">
        <v>4</v>
      </c>
      <c r="GJ32" s="20">
        <v>8</v>
      </c>
      <c r="GK32" s="20">
        <v>12</v>
      </c>
      <c r="GL32" s="20">
        <v>12</v>
      </c>
      <c r="GM32" s="20">
        <v>16</v>
      </c>
      <c r="GN32" s="20">
        <v>16</v>
      </c>
      <c r="GO32" s="20">
        <v>20</v>
      </c>
      <c r="GP32" s="20">
        <v>20</v>
      </c>
      <c r="GQ32" s="20">
        <v>24</v>
      </c>
      <c r="GR32" s="20">
        <v>28</v>
      </c>
      <c r="GS32" s="20">
        <v>28</v>
      </c>
      <c r="GT32" s="20">
        <v>32</v>
      </c>
      <c r="GU32" s="20">
        <v>32</v>
      </c>
      <c r="GV32" s="20">
        <v>36</v>
      </c>
      <c r="GW32" s="20">
        <v>40</v>
      </c>
      <c r="GX32" s="20">
        <v>40</v>
      </c>
      <c r="GY32" s="20">
        <v>44</v>
      </c>
      <c r="GZ32" s="20">
        <v>44</v>
      </c>
      <c r="HA32" s="20">
        <v>48</v>
      </c>
      <c r="HB32" s="20">
        <v>52</v>
      </c>
      <c r="HC32" s="20">
        <v>52</v>
      </c>
      <c r="HD32" s="20">
        <v>56</v>
      </c>
      <c r="HE32" s="20">
        <v>56</v>
      </c>
      <c r="HF32" s="20">
        <v>60</v>
      </c>
      <c r="HG32" s="20">
        <v>64</v>
      </c>
      <c r="HH32" s="20">
        <v>64</v>
      </c>
      <c r="HI32" s="20">
        <v>68</v>
      </c>
      <c r="HJ32" s="20">
        <v>68</v>
      </c>
      <c r="HK32" s="20">
        <v>72</v>
      </c>
      <c r="HL32" s="20">
        <v>76</v>
      </c>
      <c r="HM32" s="20">
        <v>76</v>
      </c>
      <c r="HN32" s="20">
        <v>80</v>
      </c>
      <c r="HO32" s="20">
        <v>80</v>
      </c>
      <c r="HP32" s="20">
        <v>84</v>
      </c>
      <c r="HQ32" s="20">
        <v>88</v>
      </c>
      <c r="HR32" s="20">
        <v>88</v>
      </c>
      <c r="HS32" s="20">
        <v>92</v>
      </c>
      <c r="HT32" s="20">
        <v>92</v>
      </c>
      <c r="HU32" s="20">
        <v>96</v>
      </c>
      <c r="HV32" s="20">
        <v>100</v>
      </c>
      <c r="HW32" s="20">
        <v>100</v>
      </c>
      <c r="HX32" s="20">
        <v>104</v>
      </c>
      <c r="HY32" s="20">
        <v>104</v>
      </c>
      <c r="HZ32" s="20">
        <v>108</v>
      </c>
      <c r="IA32" s="20">
        <v>112</v>
      </c>
      <c r="IB32" s="20">
        <v>112</v>
      </c>
      <c r="IC32" s="20">
        <v>116</v>
      </c>
      <c r="ID32" s="20">
        <v>116</v>
      </c>
      <c r="IF32" s="21" t="s">
        <v>521</v>
      </c>
      <c r="IG32" s="21">
        <v>0</v>
      </c>
      <c r="IH32" s="21">
        <v>0</v>
      </c>
      <c r="II32" s="21">
        <v>4</v>
      </c>
      <c r="IJ32" s="21">
        <v>8</v>
      </c>
      <c r="IK32" s="21">
        <v>8</v>
      </c>
      <c r="IL32" s="21">
        <v>12</v>
      </c>
      <c r="IM32" s="21">
        <v>16</v>
      </c>
      <c r="IN32" s="21">
        <v>20</v>
      </c>
      <c r="IO32" s="21">
        <v>20</v>
      </c>
      <c r="IP32" s="21">
        <v>24</v>
      </c>
      <c r="IQ32" s="21">
        <v>28</v>
      </c>
      <c r="IR32" s="21">
        <v>32</v>
      </c>
      <c r="IS32" s="21">
        <v>32</v>
      </c>
      <c r="IT32" s="21">
        <v>36</v>
      </c>
      <c r="IU32" s="21">
        <v>40</v>
      </c>
      <c r="IV32" s="21">
        <v>44</v>
      </c>
      <c r="IW32" s="21">
        <v>44</v>
      </c>
      <c r="IX32" s="21">
        <v>48</v>
      </c>
      <c r="IY32" s="21">
        <v>52</v>
      </c>
      <c r="IZ32" s="21">
        <v>52</v>
      </c>
      <c r="JA32" s="21">
        <v>56</v>
      </c>
      <c r="JB32" s="21">
        <v>60</v>
      </c>
      <c r="JC32" s="21">
        <v>64</v>
      </c>
      <c r="JD32" s="21">
        <v>64</v>
      </c>
      <c r="JE32" s="21">
        <v>68</v>
      </c>
      <c r="JF32" s="21">
        <v>72</v>
      </c>
      <c r="JI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36,$JT$2:$KS$2,0),MATCH($W$22,$AH$22:$AH$47,0)))*C36</f>
        <v>0</v>
      </c>
      <c r="JJ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36,$JT$2:$KS$2,0),MATCH($W$22,$AH$22:$AH$47,0)))*C36</f>
        <v>0</v>
      </c>
      <c r="JK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36,$JT$2:$KS$2,0),MATCH($W$22,$AH$22:$AH$47,0)))*C36</f>
        <v>0</v>
      </c>
      <c r="JL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36,$JT$2:$KS$2,0),MATCH($W$22,$AH$22:$AH$47,0)))*C36</f>
        <v>0</v>
      </c>
      <c r="JM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36,$JT$2:$KS$2,0),MATCH($W$22,$AH$22:$AH$47,0)))*C36</f>
        <v>0</v>
      </c>
      <c r="JN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36,$JT$2:$KS$2,0),MATCH($W$22,$AH$22:$AH$47,0)))*C36</f>
        <v>0</v>
      </c>
      <c r="JO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36,$JT$2:$KS$2,0),MATCH($W$22,$AH$22:$AH$47,0)))*C36</f>
        <v>0</v>
      </c>
      <c r="JP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36,$JT$2:$KS$2,0),MATCH($W$22,$AH$22:$AH$47,0)))*C36</f>
        <v>0</v>
      </c>
      <c r="JQ3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36,$JT$2:$KS$2,0),MATCH($W$22,$AH$22:$AH$47,0)))*C36</f>
        <v>0</v>
      </c>
      <c r="JS32" s="20" t="s">
        <v>408</v>
      </c>
      <c r="JT32" s="20">
        <v>0</v>
      </c>
      <c r="JU32" s="20">
        <f t="shared" ref="JU32:KS32" si="36">((((SUM(JU24:JU31))/2)-1))*4</f>
        <v>0</v>
      </c>
      <c r="JV32" s="20">
        <f t="shared" si="36"/>
        <v>0</v>
      </c>
      <c r="JW32" s="20">
        <f t="shared" si="36"/>
        <v>0</v>
      </c>
      <c r="JX32" s="20">
        <f t="shared" si="36"/>
        <v>4</v>
      </c>
      <c r="JY32" s="20">
        <f t="shared" si="36"/>
        <v>4</v>
      </c>
      <c r="JZ32" s="20">
        <f t="shared" si="36"/>
        <v>4</v>
      </c>
      <c r="KA32" s="20">
        <f t="shared" si="36"/>
        <v>8</v>
      </c>
      <c r="KB32" s="20">
        <f t="shared" si="36"/>
        <v>8</v>
      </c>
      <c r="KC32" s="20">
        <f t="shared" si="36"/>
        <v>8</v>
      </c>
      <c r="KD32" s="20">
        <f t="shared" si="36"/>
        <v>8</v>
      </c>
      <c r="KE32" s="20">
        <f t="shared" si="36"/>
        <v>12</v>
      </c>
      <c r="KF32" s="20">
        <f t="shared" si="36"/>
        <v>12</v>
      </c>
      <c r="KG32" s="20">
        <f t="shared" si="36"/>
        <v>12</v>
      </c>
      <c r="KH32" s="20">
        <f t="shared" si="36"/>
        <v>16</v>
      </c>
      <c r="KI32" s="20">
        <f t="shared" si="36"/>
        <v>16</v>
      </c>
      <c r="KJ32" s="20">
        <f t="shared" si="36"/>
        <v>16</v>
      </c>
      <c r="KK32" s="20">
        <f t="shared" si="36"/>
        <v>20</v>
      </c>
      <c r="KL32" s="20">
        <f t="shared" si="36"/>
        <v>20</v>
      </c>
      <c r="KM32" s="20">
        <f t="shared" si="36"/>
        <v>20</v>
      </c>
      <c r="KN32" s="20">
        <f t="shared" si="36"/>
        <v>20</v>
      </c>
      <c r="KO32" s="20">
        <f t="shared" si="36"/>
        <v>24</v>
      </c>
      <c r="KP32" s="20">
        <f t="shared" si="36"/>
        <v>24</v>
      </c>
      <c r="KQ32" s="20">
        <f t="shared" si="36"/>
        <v>24</v>
      </c>
      <c r="KR32" s="20">
        <f t="shared" si="36"/>
        <v>28</v>
      </c>
      <c r="KS32" s="20">
        <f t="shared" si="36"/>
        <v>28</v>
      </c>
      <c r="KU32" s="20" t="s">
        <v>408</v>
      </c>
      <c r="KV32" s="20">
        <v>0</v>
      </c>
      <c r="KW32" s="20">
        <f t="shared" ref="KW32:LU32" si="37">((((SUM(KW24:KW31))/2)-1))*4</f>
        <v>0</v>
      </c>
      <c r="KX32" s="20">
        <f t="shared" si="37"/>
        <v>0</v>
      </c>
      <c r="KY32" s="20">
        <f t="shared" si="37"/>
        <v>4</v>
      </c>
      <c r="KZ32" s="20">
        <f t="shared" si="37"/>
        <v>4</v>
      </c>
      <c r="LA32" s="20">
        <f t="shared" si="37"/>
        <v>8</v>
      </c>
      <c r="LB32" s="20">
        <f t="shared" si="37"/>
        <v>8</v>
      </c>
      <c r="LC32" s="20">
        <f t="shared" si="37"/>
        <v>12</v>
      </c>
      <c r="LD32" s="20">
        <f t="shared" si="37"/>
        <v>12</v>
      </c>
      <c r="LE32" s="20">
        <f t="shared" si="37"/>
        <v>16</v>
      </c>
      <c r="LF32" s="20">
        <f t="shared" si="37"/>
        <v>16</v>
      </c>
      <c r="LG32" s="20">
        <f t="shared" si="37"/>
        <v>20</v>
      </c>
      <c r="LH32" s="20">
        <f t="shared" si="37"/>
        <v>20</v>
      </c>
      <c r="LI32" s="20">
        <f t="shared" si="37"/>
        <v>24</v>
      </c>
      <c r="LJ32" s="20">
        <f t="shared" si="37"/>
        <v>24</v>
      </c>
      <c r="LK32" s="20">
        <f t="shared" si="37"/>
        <v>28</v>
      </c>
      <c r="LL32" s="20">
        <f t="shared" si="37"/>
        <v>28</v>
      </c>
      <c r="LM32" s="20">
        <f t="shared" si="37"/>
        <v>32</v>
      </c>
      <c r="LN32" s="20">
        <f t="shared" si="37"/>
        <v>32</v>
      </c>
      <c r="LO32" s="20">
        <f t="shared" si="37"/>
        <v>36</v>
      </c>
      <c r="LP32" s="20">
        <f t="shared" si="37"/>
        <v>36</v>
      </c>
      <c r="LQ32" s="20">
        <f t="shared" si="37"/>
        <v>40</v>
      </c>
      <c r="LR32" s="20">
        <f t="shared" si="37"/>
        <v>40</v>
      </c>
      <c r="LS32" s="20">
        <f t="shared" si="37"/>
        <v>44</v>
      </c>
      <c r="LT32" s="20">
        <f t="shared" si="37"/>
        <v>44</v>
      </c>
      <c r="LU32" s="20">
        <f t="shared" si="37"/>
        <v>44</v>
      </c>
      <c r="LW32" s="20" t="s">
        <v>408</v>
      </c>
      <c r="LX32" s="20">
        <v>0</v>
      </c>
      <c r="LY32" s="20">
        <f t="shared" ref="LY32:MW32" si="38">((((SUM(LY24:LY31))/2)-1))*4</f>
        <v>0</v>
      </c>
      <c r="LZ32" s="20">
        <f t="shared" si="38"/>
        <v>4</v>
      </c>
      <c r="MA32" s="20">
        <f t="shared" si="38"/>
        <v>4</v>
      </c>
      <c r="MB32" s="20">
        <f t="shared" si="38"/>
        <v>8</v>
      </c>
      <c r="MC32" s="20">
        <f t="shared" si="38"/>
        <v>8</v>
      </c>
      <c r="MD32" s="20">
        <f t="shared" si="38"/>
        <v>12</v>
      </c>
      <c r="ME32" s="20">
        <f t="shared" si="38"/>
        <v>12</v>
      </c>
      <c r="MF32" s="20">
        <f t="shared" si="38"/>
        <v>16</v>
      </c>
      <c r="MG32" s="20">
        <f t="shared" si="38"/>
        <v>16</v>
      </c>
      <c r="MH32" s="20">
        <f t="shared" si="38"/>
        <v>20</v>
      </c>
      <c r="MI32" s="20">
        <f t="shared" si="38"/>
        <v>24</v>
      </c>
      <c r="MJ32" s="20">
        <f t="shared" si="38"/>
        <v>24</v>
      </c>
      <c r="MK32" s="20">
        <f t="shared" si="38"/>
        <v>28</v>
      </c>
      <c r="ML32" s="20">
        <f t="shared" si="38"/>
        <v>28</v>
      </c>
      <c r="MM32" s="20">
        <f t="shared" si="38"/>
        <v>32</v>
      </c>
      <c r="MN32" s="20">
        <f t="shared" si="38"/>
        <v>32</v>
      </c>
      <c r="MO32" s="20">
        <f t="shared" si="38"/>
        <v>36</v>
      </c>
      <c r="MP32" s="20">
        <f t="shared" si="38"/>
        <v>36</v>
      </c>
      <c r="MQ32" s="20">
        <f t="shared" si="38"/>
        <v>40</v>
      </c>
      <c r="MR32" s="20">
        <f t="shared" si="38"/>
        <v>40</v>
      </c>
      <c r="MS32" s="20">
        <f t="shared" si="38"/>
        <v>44</v>
      </c>
      <c r="MT32" s="20">
        <f t="shared" si="38"/>
        <v>48</v>
      </c>
      <c r="MU32" s="20">
        <f t="shared" si="38"/>
        <v>48</v>
      </c>
      <c r="MV32" s="20">
        <f t="shared" si="38"/>
        <v>52</v>
      </c>
      <c r="MW32" s="20">
        <f t="shared" si="38"/>
        <v>52</v>
      </c>
      <c r="MY32" s="21" t="s">
        <v>408</v>
      </c>
      <c r="MZ32" s="21">
        <v>0</v>
      </c>
      <c r="NA32" s="20">
        <f t="shared" ref="NA32:NY32" si="39">((((SUM(NA24:NA31))/2)-1))*4</f>
        <v>0</v>
      </c>
      <c r="NB32" s="20">
        <f t="shared" si="39"/>
        <v>4</v>
      </c>
      <c r="NC32" s="20">
        <f t="shared" si="39"/>
        <v>8</v>
      </c>
      <c r="ND32" s="20">
        <f t="shared" si="39"/>
        <v>8</v>
      </c>
      <c r="NE32" s="20">
        <f t="shared" si="39"/>
        <v>12</v>
      </c>
      <c r="NF32" s="20">
        <f t="shared" si="39"/>
        <v>16</v>
      </c>
      <c r="NG32" s="20">
        <f t="shared" si="39"/>
        <v>16</v>
      </c>
      <c r="NH32" s="20">
        <f t="shared" si="39"/>
        <v>20</v>
      </c>
      <c r="NI32" s="20">
        <f t="shared" si="39"/>
        <v>24</v>
      </c>
      <c r="NJ32" s="20">
        <f t="shared" si="39"/>
        <v>24</v>
      </c>
      <c r="NK32" s="20">
        <f t="shared" si="39"/>
        <v>28</v>
      </c>
      <c r="NL32" s="20">
        <f t="shared" si="39"/>
        <v>32</v>
      </c>
      <c r="NM32" s="20">
        <f t="shared" si="39"/>
        <v>32</v>
      </c>
      <c r="NN32" s="20">
        <f t="shared" si="39"/>
        <v>36</v>
      </c>
      <c r="NO32" s="20">
        <f t="shared" si="39"/>
        <v>40</v>
      </c>
      <c r="NP32" s="20">
        <f t="shared" si="39"/>
        <v>40</v>
      </c>
      <c r="NQ32" s="20">
        <f t="shared" si="39"/>
        <v>44</v>
      </c>
      <c r="NR32" s="20">
        <f t="shared" si="39"/>
        <v>48</v>
      </c>
      <c r="NS32" s="20">
        <f t="shared" si="39"/>
        <v>48</v>
      </c>
      <c r="NT32" s="20">
        <f t="shared" si="39"/>
        <v>52</v>
      </c>
      <c r="NU32" s="20">
        <f t="shared" si="39"/>
        <v>56</v>
      </c>
      <c r="NV32" s="20">
        <f t="shared" si="39"/>
        <v>56</v>
      </c>
      <c r="NW32" s="20">
        <f t="shared" si="39"/>
        <v>60</v>
      </c>
      <c r="NX32" s="20">
        <f t="shared" si="39"/>
        <v>64</v>
      </c>
      <c r="NY32" s="20">
        <f t="shared" si="39"/>
        <v>64</v>
      </c>
      <c r="OB32" s="351" t="s">
        <v>12</v>
      </c>
      <c r="OC32" s="352">
        <v>58</v>
      </c>
    </row>
    <row r="33" spans="1:393" x14ac:dyDescent="0.25">
      <c r="A33" s="8"/>
      <c r="B33" s="5" t="s">
        <v>116</v>
      </c>
      <c r="C33" s="8"/>
      <c r="D33" s="6" t="s">
        <v>291</v>
      </c>
      <c r="E33" s="8" t="s">
        <v>404</v>
      </c>
      <c r="F33" s="6"/>
      <c r="G33" s="6"/>
      <c r="H33" s="6"/>
      <c r="I33" s="6"/>
      <c r="J33" s="5" t="s">
        <v>119</v>
      </c>
      <c r="K33" s="4"/>
      <c r="L33" s="6" t="str">
        <f>IF($E$35=AK22,"PAL40H40/3,3",IF($E$35=AK23,"PAL30H32/3,3",IF($E$35=AK24,"CWP40H35/3,3MC","-------")))</f>
        <v>PAL40H40/3,3</v>
      </c>
      <c r="M33" s="14">
        <f>INDEX(cennik!$A$2:$O$529,MATCH($L33,cennik!$B$2:$B$522,0),MATCH(M$27,cennik!$A$1:$O$1,0))</f>
        <v>894633</v>
      </c>
      <c r="N33" s="14" t="str">
        <f>INDEX(cennik!$A$2:$O$529,MATCH($L33,cennik!$B$2:$B$522,0),MATCH(N$27,cennik!$A$1:$O$1,0))</f>
        <v>szt.</v>
      </c>
      <c r="O33" s="14">
        <f>IF(L33="-------",0,SUM(JO23:JO38))</f>
        <v>2</v>
      </c>
      <c r="P33" s="22">
        <f>INDEX(cennik!$A$2:$O$529,MATCH($L33,cennik!$B$2:$B$522,0),MATCH(P$27,cennik!$A$1:$O$1,0))</f>
        <v>102.3</v>
      </c>
      <c r="Q33" s="22">
        <f t="shared" si="30"/>
        <v>204.6</v>
      </c>
      <c r="R33" s="23">
        <f t="shared" si="34"/>
        <v>0</v>
      </c>
      <c r="S33" s="22">
        <f t="shared" si="35"/>
        <v>102.3</v>
      </c>
      <c r="T33" s="22">
        <f t="shared" si="31"/>
        <v>204.6</v>
      </c>
      <c r="U33" s="22">
        <f>INDEX(cennik!$A$2:$O$529,MATCH($L33,cennik!$B$2:$B$522,0),MATCH(U$27,cennik!$A$1:$O$1,0))*O33</f>
        <v>6</v>
      </c>
      <c r="V33" s="20"/>
      <c r="W33" s="25"/>
      <c r="X33" s="25">
        <f t="shared" si="24"/>
        <v>4</v>
      </c>
      <c r="Y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37,$BB$2:$CA$2,0),MATCH($W$22,$AH$22:$AH$47,0)))*C37</f>
        <v>0</v>
      </c>
      <c r="Z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37,$BB$2:$CA$2,0),MATCH($W$22,$AH$22:$AH$47,0)))*C37</f>
        <v>0</v>
      </c>
      <c r="AA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37,$BB$2:$CA$2,0),MATCH($W$22,$AH$22:$AH$47,0)))*C37</f>
        <v>0</v>
      </c>
      <c r="AB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37,$BB$2:$CA$2,0),MATCH($W$22,$AH$22:$AH$47,0)))*C37</f>
        <v>0</v>
      </c>
      <c r="AC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37,$BB$2:$CA$2,0),MATCH($W$22,$AH$22:$AH$47,0)))*C37</f>
        <v>0</v>
      </c>
      <c r="AD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37,$BB$2:$CA$2,0),MATCH($W$22,$AH$22:$AH$47,0)))*C37</f>
        <v>0</v>
      </c>
      <c r="AE33" s="20"/>
      <c r="AF33" s="20"/>
      <c r="AG33" s="20"/>
      <c r="AH33" s="20" t="s">
        <v>470</v>
      </c>
      <c r="AI33" s="20">
        <v>2000</v>
      </c>
      <c r="AJ33" s="20">
        <v>1800</v>
      </c>
      <c r="AK33" s="20"/>
      <c r="AL33" s="20">
        <f t="shared" si="25"/>
        <v>0</v>
      </c>
      <c r="AM33" s="20">
        <v>38</v>
      </c>
      <c r="AN33" s="20" t="s">
        <v>31</v>
      </c>
      <c r="AO33" s="20"/>
      <c r="AP33" s="20" t="s">
        <v>110</v>
      </c>
      <c r="AQ33" s="20" t="s">
        <v>14</v>
      </c>
      <c r="AS33" s="20">
        <v>38</v>
      </c>
      <c r="AT33" s="20" t="s">
        <v>43</v>
      </c>
      <c r="AU33" s="20"/>
      <c r="AV33" s="20" t="s">
        <v>151</v>
      </c>
      <c r="AW33" s="20" t="s">
        <v>151</v>
      </c>
      <c r="AX33" s="20"/>
      <c r="AY33" s="20"/>
      <c r="AZ33" s="20"/>
      <c r="BA33" s="26" t="s">
        <v>710</v>
      </c>
      <c r="BB33" s="20">
        <v>0</v>
      </c>
      <c r="BC33" s="20">
        <v>2</v>
      </c>
      <c r="BD33" s="20">
        <v>2</v>
      </c>
      <c r="BE33" s="20">
        <v>0</v>
      </c>
      <c r="BF33" s="20">
        <v>4</v>
      </c>
      <c r="BG33" s="20">
        <v>2</v>
      </c>
      <c r="BH33" s="20">
        <v>0</v>
      </c>
      <c r="BI33" s="20">
        <v>4</v>
      </c>
      <c r="BJ33" s="20">
        <v>2</v>
      </c>
      <c r="BK33" s="20">
        <v>0</v>
      </c>
      <c r="BL33" s="20">
        <v>4</v>
      </c>
      <c r="BM33" s="20">
        <v>2</v>
      </c>
      <c r="BN33" s="20">
        <v>0</v>
      </c>
      <c r="BO33" s="20">
        <v>4</v>
      </c>
      <c r="BP33" s="20">
        <v>2</v>
      </c>
      <c r="BQ33" s="20">
        <v>0</v>
      </c>
      <c r="BR33" s="20">
        <v>4</v>
      </c>
      <c r="BS33" s="20">
        <v>2</v>
      </c>
      <c r="BT33" s="20">
        <v>0</v>
      </c>
      <c r="BU33" s="20">
        <v>4</v>
      </c>
      <c r="BV33" s="20">
        <v>2</v>
      </c>
      <c r="BW33" s="20">
        <v>0</v>
      </c>
      <c r="BX33" s="20">
        <v>4</v>
      </c>
      <c r="BY33" s="20">
        <v>2</v>
      </c>
      <c r="BZ33" s="20">
        <v>0</v>
      </c>
      <c r="CA33" s="20">
        <v>4</v>
      </c>
      <c r="CB33" s="20"/>
      <c r="CC33" s="20"/>
      <c r="CD33" s="20"/>
      <c r="CE33" s="20"/>
      <c r="CF33" s="20"/>
      <c r="CG33" s="20"/>
      <c r="CH33" s="20"/>
      <c r="CI33" s="20"/>
      <c r="CJ33" s="20"/>
      <c r="CK33" s="20"/>
      <c r="CL33" s="20"/>
      <c r="CM33" s="20"/>
      <c r="CN33" s="20"/>
      <c r="CO33" s="20"/>
      <c r="CP33" s="20"/>
      <c r="CQ33" s="20"/>
      <c r="CR33" s="20"/>
      <c r="CS33" s="20"/>
      <c r="CT33" s="20"/>
      <c r="CU33" s="20"/>
      <c r="CV33" s="20"/>
      <c r="CW33" s="20"/>
      <c r="CX33" s="20"/>
      <c r="CY33" s="20"/>
      <c r="CZ33" s="20"/>
      <c r="DA33" s="54"/>
      <c r="DB33" s="54">
        <v>32</v>
      </c>
      <c r="DC33" s="54"/>
      <c r="DD33" s="20"/>
      <c r="DE33" s="20"/>
      <c r="DF33" s="20"/>
      <c r="DG33" s="20"/>
      <c r="DH33" s="20"/>
      <c r="DI33" s="20"/>
      <c r="DJ33" s="20"/>
      <c r="DK33" s="20"/>
      <c r="DL33" s="20"/>
      <c r="DM33" s="20"/>
      <c r="DN33" s="20"/>
      <c r="DO33" s="20"/>
      <c r="DP33" s="20"/>
      <c r="DQ33" s="20"/>
      <c r="DR33" s="20"/>
      <c r="DS33" s="20"/>
      <c r="DT33" s="20"/>
      <c r="DU33" s="20"/>
      <c r="DV33" s="20"/>
      <c r="DW33" s="20"/>
      <c r="DX33" s="20"/>
      <c r="DY33" s="20"/>
      <c r="DZ33" s="20"/>
      <c r="EA33" s="20"/>
      <c r="EB33" s="26" t="s">
        <v>710</v>
      </c>
      <c r="EC33" s="20">
        <v>0</v>
      </c>
      <c r="ED33" s="20">
        <v>0</v>
      </c>
      <c r="EE33" s="20">
        <v>2</v>
      </c>
      <c r="EF33" s="20">
        <v>4</v>
      </c>
      <c r="EG33" s="20">
        <v>2</v>
      </c>
      <c r="EH33" s="20">
        <v>4</v>
      </c>
      <c r="EI33" s="20">
        <v>2</v>
      </c>
      <c r="EJ33" s="20">
        <v>4</v>
      </c>
      <c r="EK33" s="20">
        <v>4</v>
      </c>
      <c r="EL33" s="20">
        <v>4</v>
      </c>
      <c r="EM33" s="20">
        <v>0</v>
      </c>
      <c r="EN33" s="20">
        <v>4</v>
      </c>
      <c r="EO33" s="20">
        <v>0</v>
      </c>
      <c r="EP33" s="20">
        <v>4</v>
      </c>
      <c r="EQ33" s="20">
        <v>0</v>
      </c>
      <c r="ER33" s="20">
        <v>4</v>
      </c>
      <c r="ES33" s="20">
        <v>0</v>
      </c>
      <c r="ET33" s="20">
        <v>2</v>
      </c>
      <c r="EU33" s="20">
        <v>0</v>
      </c>
      <c r="EV33" s="20">
        <v>2</v>
      </c>
      <c r="EW33" s="20">
        <v>0</v>
      </c>
      <c r="EX33" s="20">
        <v>2</v>
      </c>
      <c r="EY33" s="20">
        <v>0</v>
      </c>
      <c r="EZ33" s="20">
        <v>2</v>
      </c>
      <c r="FA33" s="20">
        <v>4</v>
      </c>
      <c r="FB33" s="20">
        <v>2</v>
      </c>
      <c r="FC33" s="20">
        <v>4</v>
      </c>
      <c r="FD33" s="20"/>
      <c r="FE33" s="20"/>
      <c r="FF33" s="20"/>
      <c r="FG33" s="20"/>
      <c r="FH33" s="20"/>
      <c r="FI33" s="20"/>
      <c r="FJ33" s="20"/>
      <c r="FK33" s="20"/>
      <c r="FL33" s="20"/>
      <c r="FM33" s="20"/>
      <c r="FN33" s="20"/>
      <c r="FO33" s="20"/>
      <c r="FP33" s="20"/>
      <c r="FQ33" s="20"/>
      <c r="FR33" s="20"/>
      <c r="FS33" s="20"/>
      <c r="FT33" s="20"/>
      <c r="FU33" s="20"/>
      <c r="FV33" s="20"/>
      <c r="FW33" s="20"/>
      <c r="FX33" s="20"/>
      <c r="FY33" s="20"/>
      <c r="FZ33" s="20"/>
      <c r="GA33" s="20"/>
      <c r="GC33" s="20"/>
      <c r="GD33" s="20"/>
      <c r="GE33" s="26" t="s">
        <v>710</v>
      </c>
      <c r="GF33" s="20">
        <v>0</v>
      </c>
      <c r="GG33" s="20">
        <v>2</v>
      </c>
      <c r="GH33" s="20">
        <v>4</v>
      </c>
      <c r="GI33" s="20">
        <v>0</v>
      </c>
      <c r="GJ33" s="20">
        <v>2</v>
      </c>
      <c r="GK33" s="20">
        <v>4</v>
      </c>
      <c r="GL33" s="20">
        <v>2</v>
      </c>
      <c r="GM33" s="20">
        <v>4</v>
      </c>
      <c r="GN33" s="20">
        <v>0</v>
      </c>
      <c r="GO33" s="20">
        <v>2</v>
      </c>
      <c r="GP33" s="20">
        <v>0</v>
      </c>
      <c r="GQ33" s="20">
        <v>2</v>
      </c>
      <c r="GR33" s="20">
        <v>4</v>
      </c>
      <c r="GS33" s="20">
        <v>0</v>
      </c>
      <c r="GT33" s="20">
        <v>2</v>
      </c>
      <c r="GU33" s="20">
        <v>0</v>
      </c>
      <c r="GV33" s="20">
        <v>2</v>
      </c>
      <c r="GW33" s="20">
        <v>4</v>
      </c>
      <c r="GX33" s="20">
        <v>0</v>
      </c>
      <c r="GY33" s="20">
        <v>2</v>
      </c>
      <c r="GZ33" s="20">
        <v>0</v>
      </c>
      <c r="HA33" s="20">
        <v>2</v>
      </c>
      <c r="HB33" s="20">
        <v>4</v>
      </c>
      <c r="HC33" s="20">
        <v>0</v>
      </c>
      <c r="HD33" s="20">
        <v>2</v>
      </c>
      <c r="HE33" s="20">
        <v>0</v>
      </c>
      <c r="HF33" s="20"/>
      <c r="HG33" s="20"/>
      <c r="HH33" s="20"/>
      <c r="HI33" s="20"/>
      <c r="HJ33" s="20"/>
      <c r="HK33" s="20"/>
      <c r="HL33" s="20"/>
      <c r="HM33" s="20"/>
      <c r="HN33" s="20"/>
      <c r="HO33" s="20"/>
      <c r="HP33" s="20"/>
      <c r="HQ33" s="20"/>
      <c r="HR33" s="20"/>
      <c r="HS33" s="20"/>
      <c r="HT33" s="20"/>
      <c r="HU33" s="20"/>
      <c r="HV33" s="20"/>
      <c r="HW33" s="20"/>
      <c r="HX33" s="20"/>
      <c r="HY33" s="20"/>
      <c r="HZ33" s="20"/>
      <c r="IA33" s="20"/>
      <c r="IB33" s="20"/>
      <c r="IC33" s="20"/>
      <c r="ID33" s="20"/>
      <c r="IF33" s="21" t="s">
        <v>710</v>
      </c>
      <c r="IG33" s="21">
        <v>0</v>
      </c>
      <c r="IH33" s="21">
        <v>0</v>
      </c>
      <c r="II33" s="21">
        <v>2</v>
      </c>
      <c r="IJ33" s="21">
        <v>4</v>
      </c>
      <c r="IK33" s="21">
        <v>0</v>
      </c>
      <c r="IL33" s="21">
        <v>0</v>
      </c>
      <c r="IM33" s="21">
        <v>2</v>
      </c>
      <c r="IN33" s="21">
        <v>4</v>
      </c>
      <c r="IO33" s="21">
        <v>0</v>
      </c>
      <c r="IP33" s="21">
        <v>2</v>
      </c>
      <c r="IQ33" s="21">
        <v>2</v>
      </c>
      <c r="IR33" s="21">
        <v>4</v>
      </c>
      <c r="IS33" s="21">
        <v>0</v>
      </c>
      <c r="IT33" s="21">
        <v>2</v>
      </c>
      <c r="IU33" s="21">
        <v>4</v>
      </c>
      <c r="IV33" s="21">
        <v>4</v>
      </c>
      <c r="IW33" s="21">
        <v>0</v>
      </c>
      <c r="IX33" s="21">
        <v>2</v>
      </c>
      <c r="IY33" s="21">
        <v>4</v>
      </c>
      <c r="IZ33" s="21">
        <v>0</v>
      </c>
      <c r="JA33" s="21">
        <v>0</v>
      </c>
      <c r="JB33" s="21">
        <v>2</v>
      </c>
      <c r="JC33" s="21">
        <v>4</v>
      </c>
      <c r="JD33" s="21">
        <v>0</v>
      </c>
      <c r="JE33" s="21">
        <v>2</v>
      </c>
      <c r="JF33" s="21">
        <v>2</v>
      </c>
      <c r="JI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37,$JT$2:$KS$2,0),MATCH($W$22,$AH$22:$AH$47,0)))*C37</f>
        <v>0</v>
      </c>
      <c r="JJ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37,$JT$2:$KS$2,0),MATCH($W$22,$AH$22:$AH$47,0)))*C37</f>
        <v>0</v>
      </c>
      <c r="JK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37,$JT$2:$KS$2,0),MATCH($W$22,$AH$22:$AH$47,0)))*C37</f>
        <v>0</v>
      </c>
      <c r="JL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37,$JT$2:$KS$2,0),MATCH($W$22,$AH$22:$AH$47,0)))*C37</f>
        <v>0</v>
      </c>
      <c r="JM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37,$JT$2:$KS$2,0),MATCH($W$22,$AH$22:$AH$47,0)))*C37</f>
        <v>0</v>
      </c>
      <c r="JN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37,$JT$2:$KS$2,0),MATCH($W$22,$AH$22:$AH$47,0)))*C37</f>
        <v>0</v>
      </c>
      <c r="JO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37,$JT$2:$KS$2,0),MATCH($W$22,$AH$22:$AH$47,0)))*C37</f>
        <v>0</v>
      </c>
      <c r="JP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37,$JT$2:$KS$2,0),MATCH($W$22,$AH$22:$AH$47,0)))*C37</f>
        <v>0</v>
      </c>
      <c r="JQ3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37,$JT$2:$KS$2,0),MATCH($W$22,$AH$22:$AH$47,0)))*C37</f>
        <v>0</v>
      </c>
      <c r="JS33" s="26" t="s">
        <v>516</v>
      </c>
      <c r="JT33" s="20">
        <v>0</v>
      </c>
      <c r="JU33" s="20">
        <v>2</v>
      </c>
      <c r="JV33" s="20">
        <v>0</v>
      </c>
      <c r="JW33" s="20">
        <v>0</v>
      </c>
      <c r="JX33" s="20">
        <v>0</v>
      </c>
      <c r="JY33" s="20">
        <v>0</v>
      </c>
      <c r="JZ33" s="20">
        <v>0</v>
      </c>
      <c r="KA33" s="20">
        <v>0</v>
      </c>
      <c r="KB33" s="20">
        <v>0</v>
      </c>
      <c r="KC33" s="20">
        <v>0</v>
      </c>
      <c r="KD33" s="20">
        <v>0</v>
      </c>
      <c r="KE33" s="20">
        <v>0</v>
      </c>
      <c r="KF33" s="20">
        <v>0</v>
      </c>
      <c r="KG33" s="20">
        <v>0</v>
      </c>
      <c r="KH33" s="20">
        <v>0</v>
      </c>
      <c r="KI33" s="20">
        <v>0</v>
      </c>
      <c r="KJ33" s="20">
        <v>0</v>
      </c>
      <c r="KK33" s="20">
        <v>0</v>
      </c>
      <c r="KL33" s="20">
        <v>0</v>
      </c>
      <c r="KM33" s="20">
        <v>0</v>
      </c>
      <c r="KN33" s="20">
        <v>0</v>
      </c>
      <c r="KO33" s="20">
        <v>0</v>
      </c>
      <c r="KP33" s="20">
        <v>0</v>
      </c>
      <c r="KQ33" s="20">
        <v>0</v>
      </c>
      <c r="KR33" s="20">
        <v>0</v>
      </c>
      <c r="KS33" s="20">
        <v>0</v>
      </c>
      <c r="KU33" s="26" t="s">
        <v>516</v>
      </c>
      <c r="KV33" s="20">
        <v>0</v>
      </c>
      <c r="KW33" s="20">
        <v>0</v>
      </c>
      <c r="KX33" s="20">
        <v>0</v>
      </c>
      <c r="KY33" s="20">
        <v>0</v>
      </c>
      <c r="KZ33" s="20">
        <v>0</v>
      </c>
      <c r="LA33" s="20">
        <v>0</v>
      </c>
      <c r="LB33" s="20">
        <v>0</v>
      </c>
      <c r="LC33" s="20">
        <v>0</v>
      </c>
      <c r="LD33" s="20">
        <v>0</v>
      </c>
      <c r="LE33" s="20">
        <v>0</v>
      </c>
      <c r="LF33" s="20">
        <v>0</v>
      </c>
      <c r="LG33" s="20">
        <v>0</v>
      </c>
      <c r="LH33" s="20">
        <v>0</v>
      </c>
      <c r="LI33" s="20">
        <v>0</v>
      </c>
      <c r="LJ33" s="20">
        <v>0</v>
      </c>
      <c r="LK33" s="20">
        <v>0</v>
      </c>
      <c r="LL33" s="20">
        <v>0</v>
      </c>
      <c r="LM33" s="20">
        <v>0</v>
      </c>
      <c r="LN33" s="20">
        <v>0</v>
      </c>
      <c r="LO33" s="20">
        <v>0</v>
      </c>
      <c r="LP33" s="20">
        <v>0</v>
      </c>
      <c r="LQ33" s="20">
        <v>0</v>
      </c>
      <c r="LR33" s="20">
        <v>0</v>
      </c>
      <c r="LS33" s="20">
        <v>0</v>
      </c>
      <c r="LT33" s="20">
        <v>0</v>
      </c>
      <c r="LU33" s="20">
        <v>0</v>
      </c>
      <c r="LW33" s="26" t="s">
        <v>516</v>
      </c>
      <c r="LX33" s="20">
        <v>0</v>
      </c>
      <c r="LY33" s="20">
        <v>0</v>
      </c>
      <c r="LZ33" s="20">
        <v>0</v>
      </c>
      <c r="MA33" s="20">
        <v>0</v>
      </c>
      <c r="MB33" s="20">
        <v>0</v>
      </c>
      <c r="MC33" s="20">
        <v>2</v>
      </c>
      <c r="MD33" s="20">
        <v>0</v>
      </c>
      <c r="ME33" s="20">
        <v>0</v>
      </c>
      <c r="MF33" s="20">
        <v>0</v>
      </c>
      <c r="MG33" s="20">
        <v>0</v>
      </c>
      <c r="MH33" s="20">
        <v>0</v>
      </c>
      <c r="MI33" s="20">
        <v>0</v>
      </c>
      <c r="MJ33" s="20">
        <v>0</v>
      </c>
      <c r="MK33" s="20">
        <v>0</v>
      </c>
      <c r="ML33" s="20">
        <v>0</v>
      </c>
      <c r="MM33" s="20">
        <v>0</v>
      </c>
      <c r="MN33" s="20">
        <v>0</v>
      </c>
      <c r="MO33" s="20">
        <v>2</v>
      </c>
      <c r="MP33" s="20">
        <v>0</v>
      </c>
      <c r="MQ33" s="20">
        <v>0</v>
      </c>
      <c r="MR33" s="20">
        <v>0</v>
      </c>
      <c r="MS33" s="20">
        <v>0</v>
      </c>
      <c r="MT33" s="20">
        <v>0</v>
      </c>
      <c r="MU33" s="20">
        <v>0</v>
      </c>
      <c r="MV33" s="20">
        <v>0</v>
      </c>
      <c r="MW33" s="20">
        <v>0</v>
      </c>
      <c r="MY33" s="21" t="s">
        <v>516</v>
      </c>
      <c r="MZ33" s="21">
        <v>0</v>
      </c>
      <c r="NA33" s="21">
        <v>0</v>
      </c>
      <c r="NB33" s="21">
        <v>0</v>
      </c>
      <c r="NC33" s="21">
        <v>0</v>
      </c>
      <c r="ND33" s="21">
        <v>0</v>
      </c>
      <c r="NE33" s="21">
        <v>0</v>
      </c>
      <c r="NF33" s="21">
        <v>0</v>
      </c>
      <c r="NG33" s="21">
        <v>0</v>
      </c>
      <c r="NH33" s="21">
        <v>0</v>
      </c>
      <c r="NI33" s="21">
        <v>0</v>
      </c>
      <c r="NJ33" s="21">
        <v>0</v>
      </c>
      <c r="NK33" s="21">
        <v>0</v>
      </c>
      <c r="NL33" s="21">
        <v>0</v>
      </c>
      <c r="NM33" s="21">
        <v>0</v>
      </c>
      <c r="NN33" s="21">
        <v>0</v>
      </c>
      <c r="NO33" s="21">
        <v>0</v>
      </c>
      <c r="NP33" s="21">
        <v>0</v>
      </c>
      <c r="NQ33" s="21">
        <v>0</v>
      </c>
      <c r="NR33" s="21">
        <v>0</v>
      </c>
      <c r="NS33" s="21">
        <v>0</v>
      </c>
      <c r="NT33" s="21">
        <v>0</v>
      </c>
      <c r="NU33" s="21">
        <v>0</v>
      </c>
      <c r="NV33" s="21">
        <v>0</v>
      </c>
      <c r="NW33" s="21">
        <v>0</v>
      </c>
      <c r="NX33" s="21">
        <v>0</v>
      </c>
      <c r="NY33" s="21">
        <v>0</v>
      </c>
      <c r="OB33" s="351" t="s">
        <v>127</v>
      </c>
      <c r="OC33" s="352">
        <v>61</v>
      </c>
    </row>
    <row r="34" spans="1:393" x14ac:dyDescent="0.25">
      <c r="A34" s="8"/>
      <c r="B34" s="5" t="s">
        <v>116</v>
      </c>
      <c r="C34" s="8"/>
      <c r="D34" s="6" t="s">
        <v>162</v>
      </c>
      <c r="E34" s="8">
        <v>0</v>
      </c>
      <c r="F34" s="6"/>
      <c r="G34" s="6"/>
      <c r="H34" s="6"/>
      <c r="I34" s="6"/>
      <c r="J34" s="5" t="s">
        <v>163</v>
      </c>
      <c r="K34" s="4"/>
      <c r="L34" s="6" t="str">
        <f>IF($E$35=$AK$22,"PAL40H40/3,6",IF($E$35=$AK$23,"-------",IF($E$35=$AK$24,"-------","-------")))</f>
        <v>PAL40H40/3,6</v>
      </c>
      <c r="M34" s="14">
        <f>INDEX(cennik!$A$2:$O$529,MATCH($L34,cennik!$B$2:$B$522,0),MATCH(M$27,cennik!$A$1:$O$1,0))</f>
        <v>894636</v>
      </c>
      <c r="N34" s="14" t="str">
        <f>INDEX(cennik!$A$2:$O$529,MATCH($L34,cennik!$B$2:$B$522,0),MATCH(N$27,cennik!$A$1:$O$1,0))</f>
        <v>szt.</v>
      </c>
      <c r="O34" s="14">
        <f>IF(L34="-------",0,SUM(JP23:JP38))</f>
        <v>0</v>
      </c>
      <c r="P34" s="22">
        <f>INDEX(cennik!$A$2:$O$529,MATCH($L34,cennik!$B$2:$B$522,0),MATCH(P$27,cennik!$A$1:$O$1,0))</f>
        <v>111.6</v>
      </c>
      <c r="Q34" s="22">
        <f t="shared" ref="Q34:Q35" si="40">O34*P34</f>
        <v>0</v>
      </c>
      <c r="R34" s="23">
        <f t="shared" si="34"/>
        <v>0</v>
      </c>
      <c r="S34" s="22">
        <f t="shared" si="35"/>
        <v>111.6</v>
      </c>
      <c r="T34" s="22">
        <f t="shared" ref="T34:T35" si="41">O34*S34</f>
        <v>0</v>
      </c>
      <c r="U34" s="22">
        <f>INDEX(cennik!$A$2:$O$529,MATCH($L34,cennik!$B$2:$B$522,0),MATCH(U$27,cennik!$A$1:$O$1,0))*O34</f>
        <v>0</v>
      </c>
      <c r="V34" s="20"/>
      <c r="W34" s="25"/>
      <c r="X34" s="25">
        <f t="shared" si="24"/>
        <v>4</v>
      </c>
      <c r="Y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38,$BB$2:$CA$2,0),MATCH($W$22,$AH$22:$AH$47,0)))*C38</f>
        <v>0</v>
      </c>
      <c r="Z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38,$BB$2:$CA$2,0),MATCH($W$22,$AH$22:$AH$47,0)))*C38</f>
        <v>0</v>
      </c>
      <c r="AA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38,$BB$2:$CA$2,0),MATCH($W$22,$AH$22:$AH$47,0)))*C38</f>
        <v>0</v>
      </c>
      <c r="AB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38,$BB$2:$CA$2,0),MATCH($W$22,$AH$22:$AH$47,0)))*C38</f>
        <v>0</v>
      </c>
      <c r="AC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38,$BB$2:$CA$2,0),MATCH($W$22,$AH$22:$AH$47,0)))*C38</f>
        <v>0</v>
      </c>
      <c r="AD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38,$BB$2:$CA$2,0),MATCH($W$22,$AH$22:$AH$47,0)))*C38</f>
        <v>0</v>
      </c>
      <c r="AE34" s="20"/>
      <c r="AF34" s="20"/>
      <c r="AG34" s="20"/>
      <c r="AH34" s="20" t="s">
        <v>472</v>
      </c>
      <c r="AI34" s="20"/>
      <c r="AJ34" s="20">
        <v>1850</v>
      </c>
      <c r="AK34" s="20"/>
      <c r="AL34" s="20">
        <f t="shared" si="25"/>
        <v>0</v>
      </c>
      <c r="AM34" s="20">
        <v>40</v>
      </c>
      <c r="AN34" s="20" t="s">
        <v>32</v>
      </c>
      <c r="AO34" s="20" t="s">
        <v>33</v>
      </c>
      <c r="AP34" s="20" t="s">
        <v>109</v>
      </c>
      <c r="AQ34" s="20" t="s">
        <v>14</v>
      </c>
      <c r="AS34" s="20">
        <v>40</v>
      </c>
      <c r="AT34" s="20" t="s">
        <v>44</v>
      </c>
      <c r="AU34" s="20" t="s">
        <v>45</v>
      </c>
      <c r="AV34" s="20" t="s">
        <v>151</v>
      </c>
      <c r="AW34" s="20" t="s">
        <v>151</v>
      </c>
      <c r="AX34" s="20"/>
      <c r="AY34" s="20"/>
      <c r="AZ34" s="20"/>
      <c r="BA34" s="26" t="s">
        <v>711</v>
      </c>
      <c r="BB34" s="20">
        <v>0</v>
      </c>
      <c r="BC34" s="20">
        <v>0</v>
      </c>
      <c r="BD34" s="20">
        <v>0</v>
      </c>
      <c r="BE34" s="20">
        <v>2</v>
      </c>
      <c r="BF34" s="20">
        <v>0</v>
      </c>
      <c r="BG34" s="20">
        <v>2</v>
      </c>
      <c r="BH34" s="20">
        <v>4</v>
      </c>
      <c r="BI34" s="20">
        <v>2</v>
      </c>
      <c r="BJ34" s="20">
        <v>4</v>
      </c>
      <c r="BK34" s="20">
        <v>6</v>
      </c>
      <c r="BL34" s="20">
        <v>4</v>
      </c>
      <c r="BM34" s="20">
        <v>6</v>
      </c>
      <c r="BN34" s="20">
        <v>8</v>
      </c>
      <c r="BO34" s="20">
        <v>6</v>
      </c>
      <c r="BP34" s="20">
        <v>8</v>
      </c>
      <c r="BQ34" s="20">
        <v>10</v>
      </c>
      <c r="BR34" s="20">
        <v>8</v>
      </c>
      <c r="BS34" s="20">
        <v>10</v>
      </c>
      <c r="BT34" s="20">
        <v>12</v>
      </c>
      <c r="BU34" s="20">
        <v>10</v>
      </c>
      <c r="BV34" s="20">
        <v>12</v>
      </c>
      <c r="BW34" s="20">
        <v>14</v>
      </c>
      <c r="BX34" s="20">
        <v>12</v>
      </c>
      <c r="BY34" s="20">
        <v>14</v>
      </c>
      <c r="BZ34" s="20">
        <v>16</v>
      </c>
      <c r="CA34" s="20">
        <v>14</v>
      </c>
      <c r="CB34" s="20"/>
      <c r="CC34" s="20"/>
      <c r="CD34" s="20"/>
      <c r="CE34" s="20"/>
      <c r="CF34" s="20"/>
      <c r="CG34" s="20"/>
      <c r="CH34" s="20"/>
      <c r="CI34" s="20"/>
      <c r="CJ34" s="20"/>
      <c r="CK34" s="20"/>
      <c r="CL34" s="20"/>
      <c r="CM34" s="20"/>
      <c r="CN34" s="20"/>
      <c r="CO34" s="20"/>
      <c r="CP34" s="20"/>
      <c r="CQ34" s="20"/>
      <c r="CR34" s="20"/>
      <c r="CS34" s="20"/>
      <c r="CT34" s="20"/>
      <c r="CU34" s="20"/>
      <c r="CV34" s="20"/>
      <c r="CW34" s="20"/>
      <c r="CX34" s="20"/>
      <c r="CY34" s="20"/>
      <c r="CZ34" s="20"/>
      <c r="DA34" s="54"/>
      <c r="DB34" s="54">
        <v>33</v>
      </c>
      <c r="DC34" s="54"/>
      <c r="DD34" s="20" t="s">
        <v>480</v>
      </c>
      <c r="DE34" s="20">
        <v>0</v>
      </c>
      <c r="DF34" s="20">
        <v>1</v>
      </c>
      <c r="DG34" s="20">
        <v>2</v>
      </c>
      <c r="DH34" s="20">
        <v>3</v>
      </c>
      <c r="DI34" s="20">
        <v>4</v>
      </c>
      <c r="DJ34" s="20">
        <v>5</v>
      </c>
      <c r="DK34" s="20">
        <v>6</v>
      </c>
      <c r="DL34" s="20">
        <v>7</v>
      </c>
      <c r="DM34" s="20">
        <v>8</v>
      </c>
      <c r="DN34" s="20">
        <v>9</v>
      </c>
      <c r="DO34" s="20">
        <v>10</v>
      </c>
      <c r="DP34" s="20">
        <v>11</v>
      </c>
      <c r="DQ34" s="20">
        <v>12</v>
      </c>
      <c r="DR34" s="20">
        <v>13</v>
      </c>
      <c r="DS34" s="20">
        <v>14</v>
      </c>
      <c r="DT34" s="20">
        <v>15</v>
      </c>
      <c r="DU34" s="20">
        <v>16</v>
      </c>
      <c r="DV34" s="20">
        <v>17</v>
      </c>
      <c r="DW34" s="20">
        <v>18</v>
      </c>
      <c r="DX34" s="20">
        <v>19</v>
      </c>
      <c r="DY34" s="20">
        <v>20</v>
      </c>
      <c r="DZ34" s="20"/>
      <c r="EA34" s="20"/>
      <c r="EB34" s="26" t="s">
        <v>711</v>
      </c>
      <c r="EC34" s="20">
        <v>0</v>
      </c>
      <c r="ED34" s="20">
        <v>0</v>
      </c>
      <c r="EE34" s="20">
        <v>0</v>
      </c>
      <c r="EF34" s="20">
        <v>0</v>
      </c>
      <c r="EG34" s="20">
        <v>2</v>
      </c>
      <c r="EH34" s="20">
        <v>2</v>
      </c>
      <c r="EI34" s="20">
        <v>4</v>
      </c>
      <c r="EJ34" s="20">
        <v>4</v>
      </c>
      <c r="EK34" s="20">
        <v>4</v>
      </c>
      <c r="EL34" s="20">
        <v>6</v>
      </c>
      <c r="EM34" s="20">
        <v>10</v>
      </c>
      <c r="EN34" s="20">
        <v>8</v>
      </c>
      <c r="EO34" s="20">
        <v>12</v>
      </c>
      <c r="EP34" s="20">
        <v>10</v>
      </c>
      <c r="EQ34" s="20">
        <v>14</v>
      </c>
      <c r="ER34" s="20">
        <v>12</v>
      </c>
      <c r="ES34" s="20">
        <v>16</v>
      </c>
      <c r="ET34" s="20">
        <v>16</v>
      </c>
      <c r="EU34" s="20">
        <v>18</v>
      </c>
      <c r="EV34" s="20">
        <v>18</v>
      </c>
      <c r="EW34" s="20">
        <v>20</v>
      </c>
      <c r="EX34" s="20">
        <v>20</v>
      </c>
      <c r="EY34" s="20">
        <v>22</v>
      </c>
      <c r="EZ34" s="20">
        <v>22</v>
      </c>
      <c r="FA34" s="20">
        <v>22</v>
      </c>
      <c r="FB34" s="20">
        <v>24</v>
      </c>
      <c r="FC34" s="20">
        <v>24</v>
      </c>
      <c r="FD34" s="20"/>
      <c r="FE34" s="20"/>
      <c r="FF34" s="20"/>
      <c r="FG34" s="20"/>
      <c r="FH34" s="20"/>
      <c r="FI34" s="20"/>
      <c r="FJ34" s="20"/>
      <c r="FK34" s="20"/>
      <c r="FL34" s="20"/>
      <c r="FM34" s="20"/>
      <c r="FN34" s="20"/>
      <c r="FO34" s="20"/>
      <c r="FP34" s="20"/>
      <c r="FQ34" s="20"/>
      <c r="FR34" s="20"/>
      <c r="FS34" s="20"/>
      <c r="FT34" s="20"/>
      <c r="FU34" s="20"/>
      <c r="FV34" s="20"/>
      <c r="FW34" s="20"/>
      <c r="FX34" s="20"/>
      <c r="FY34" s="20"/>
      <c r="FZ34" s="20"/>
      <c r="GA34" s="20"/>
      <c r="GC34" s="20"/>
      <c r="GD34" s="20"/>
      <c r="GE34" s="26" t="s">
        <v>711</v>
      </c>
      <c r="GF34" s="20">
        <v>0</v>
      </c>
      <c r="GG34" s="20">
        <v>0</v>
      </c>
      <c r="GH34" s="20">
        <v>0</v>
      </c>
      <c r="GI34" s="20">
        <v>4</v>
      </c>
      <c r="GJ34" s="20">
        <v>4</v>
      </c>
      <c r="GK34" s="20">
        <v>4</v>
      </c>
      <c r="GL34" s="20">
        <v>6</v>
      </c>
      <c r="GM34" s="20">
        <v>6</v>
      </c>
      <c r="GN34" s="20">
        <v>10</v>
      </c>
      <c r="GO34" s="20">
        <v>10</v>
      </c>
      <c r="GP34" s="20">
        <v>12</v>
      </c>
      <c r="GQ34" s="20">
        <v>12</v>
      </c>
      <c r="GR34" s="20">
        <v>12</v>
      </c>
      <c r="GS34" s="20">
        <v>16</v>
      </c>
      <c r="GT34" s="20">
        <v>16</v>
      </c>
      <c r="GU34" s="20">
        <v>18</v>
      </c>
      <c r="GV34" s="20">
        <v>18</v>
      </c>
      <c r="GW34" s="20">
        <v>18</v>
      </c>
      <c r="GX34" s="20">
        <v>22</v>
      </c>
      <c r="GY34" s="20">
        <v>22</v>
      </c>
      <c r="GZ34" s="20">
        <v>24</v>
      </c>
      <c r="HA34" s="20">
        <v>24</v>
      </c>
      <c r="HB34" s="20">
        <v>24</v>
      </c>
      <c r="HC34" s="20">
        <v>28</v>
      </c>
      <c r="HD34" s="20">
        <v>28</v>
      </c>
      <c r="HE34" s="20">
        <v>30</v>
      </c>
      <c r="HF34" s="20"/>
      <c r="HG34" s="20"/>
      <c r="HH34" s="20"/>
      <c r="HI34" s="20"/>
      <c r="HJ34" s="20"/>
      <c r="HK34" s="20"/>
      <c r="HL34" s="20"/>
      <c r="HM34" s="20"/>
      <c r="HN34" s="20"/>
      <c r="HO34" s="20"/>
      <c r="HP34" s="20"/>
      <c r="HQ34" s="20"/>
      <c r="HR34" s="20"/>
      <c r="HS34" s="20"/>
      <c r="HT34" s="20"/>
      <c r="HU34" s="20"/>
      <c r="HV34" s="20"/>
      <c r="HW34" s="20"/>
      <c r="HX34" s="20"/>
      <c r="HY34" s="20"/>
      <c r="HZ34" s="20"/>
      <c r="IA34" s="20"/>
      <c r="IB34" s="20"/>
      <c r="IC34" s="20"/>
      <c r="ID34" s="20"/>
      <c r="IF34" s="21" t="s">
        <v>711</v>
      </c>
      <c r="IG34" s="21">
        <v>0</v>
      </c>
      <c r="IH34" s="21">
        <v>2</v>
      </c>
      <c r="II34" s="21">
        <v>2</v>
      </c>
      <c r="IJ34" s="21">
        <v>2</v>
      </c>
      <c r="IK34" s="21">
        <v>6</v>
      </c>
      <c r="IL34" s="21">
        <v>8</v>
      </c>
      <c r="IM34" s="21">
        <v>8</v>
      </c>
      <c r="IN34" s="21">
        <v>8</v>
      </c>
      <c r="IO34" s="21">
        <v>12</v>
      </c>
      <c r="IP34" s="21">
        <v>12</v>
      </c>
      <c r="IQ34" s="21">
        <v>14</v>
      </c>
      <c r="IR34" s="21">
        <v>14</v>
      </c>
      <c r="IS34" s="21">
        <v>18</v>
      </c>
      <c r="IT34" s="21">
        <v>18</v>
      </c>
      <c r="IU34" s="21">
        <v>18</v>
      </c>
      <c r="IV34" s="21">
        <v>20</v>
      </c>
      <c r="IW34" s="21">
        <v>24</v>
      </c>
      <c r="IX34" s="21">
        <v>24</v>
      </c>
      <c r="IY34" s="21">
        <v>24</v>
      </c>
      <c r="IZ34" s="21">
        <v>28</v>
      </c>
      <c r="JA34" s="21">
        <v>30</v>
      </c>
      <c r="JB34" s="21">
        <v>30</v>
      </c>
      <c r="JC34" s="21">
        <v>30</v>
      </c>
      <c r="JD34" s="21">
        <v>34</v>
      </c>
      <c r="JE34" s="21">
        <v>34</v>
      </c>
      <c r="JF34" s="21">
        <v>36</v>
      </c>
      <c r="JI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38,$JT$2:$KS$2,0),MATCH($W$22,$AH$22:$AH$47,0)))*C38</f>
        <v>0</v>
      </c>
      <c r="JJ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38,$JT$2:$KS$2,0),MATCH($W$22,$AH$22:$AH$47,0)))*C38</f>
        <v>0</v>
      </c>
      <c r="JK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38,$JT$2:$KS$2,0),MATCH($W$22,$AH$22:$AH$47,0)))*C38</f>
        <v>0</v>
      </c>
      <c r="JL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38,$JT$2:$KS$2,0),MATCH($W$22,$AH$22:$AH$47,0)))*C38</f>
        <v>0</v>
      </c>
      <c r="JM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38,$JT$2:$KS$2,0),MATCH($W$22,$AH$22:$AH$47,0)))*C38</f>
        <v>0</v>
      </c>
      <c r="JN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38,$JT$2:$KS$2,0),MATCH($W$22,$AH$22:$AH$47,0)))*C38</f>
        <v>0</v>
      </c>
      <c r="JO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38,$JT$2:$KS$2,0),MATCH($W$22,$AH$22:$AH$47,0)))*C38</f>
        <v>0</v>
      </c>
      <c r="JP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38,$JT$2:$KS$2,0),MATCH($W$22,$AH$22:$AH$47,0)))*C38</f>
        <v>0</v>
      </c>
      <c r="JQ3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38,$JT$2:$KS$2,0),MATCH($W$22,$AH$22:$AH$47,0)))*C38</f>
        <v>0</v>
      </c>
      <c r="JS34" s="26" t="s">
        <v>517</v>
      </c>
      <c r="JT34" s="20">
        <v>0</v>
      </c>
      <c r="JU34" s="20">
        <v>0</v>
      </c>
      <c r="JV34" s="20">
        <v>0</v>
      </c>
      <c r="JW34" s="20">
        <v>0</v>
      </c>
      <c r="JX34" s="20">
        <v>0</v>
      </c>
      <c r="JY34" s="20">
        <v>0</v>
      </c>
      <c r="JZ34" s="20">
        <v>0</v>
      </c>
      <c r="KA34" s="20">
        <v>0</v>
      </c>
      <c r="KB34" s="20">
        <v>2</v>
      </c>
      <c r="KC34" s="20">
        <v>0</v>
      </c>
      <c r="KD34" s="20">
        <v>0</v>
      </c>
      <c r="KE34" s="20">
        <v>0</v>
      </c>
      <c r="KF34" s="20">
        <v>0</v>
      </c>
      <c r="KG34" s="20">
        <v>4</v>
      </c>
      <c r="KH34" s="20">
        <v>2</v>
      </c>
      <c r="KI34" s="20">
        <v>0</v>
      </c>
      <c r="KJ34" s="20">
        <v>2</v>
      </c>
      <c r="KK34" s="20">
        <v>0</v>
      </c>
      <c r="KL34" s="20">
        <v>0</v>
      </c>
      <c r="KM34" s="20">
        <v>4</v>
      </c>
      <c r="KN34" s="20">
        <v>2</v>
      </c>
      <c r="KO34" s="20">
        <v>0</v>
      </c>
      <c r="KP34" s="20">
        <v>0</v>
      </c>
      <c r="KQ34" s="20">
        <v>2</v>
      </c>
      <c r="KR34" s="20">
        <v>0</v>
      </c>
      <c r="KS34" s="20">
        <v>0</v>
      </c>
      <c r="KU34" s="26" t="s">
        <v>517</v>
      </c>
      <c r="KV34" s="20">
        <v>0</v>
      </c>
      <c r="KW34" s="20">
        <v>2</v>
      </c>
      <c r="KX34" s="20">
        <v>4</v>
      </c>
      <c r="KY34" s="20">
        <v>2</v>
      </c>
      <c r="KZ34" s="20">
        <v>4</v>
      </c>
      <c r="LA34" s="20">
        <v>2</v>
      </c>
      <c r="LB34" s="20">
        <v>4</v>
      </c>
      <c r="LC34" s="20">
        <v>0</v>
      </c>
      <c r="LD34" s="20">
        <v>4</v>
      </c>
      <c r="LE34" s="20">
        <v>0</v>
      </c>
      <c r="LF34" s="20">
        <v>4</v>
      </c>
      <c r="LG34" s="20">
        <v>0</v>
      </c>
      <c r="LH34" s="20">
        <v>4</v>
      </c>
      <c r="LI34" s="20">
        <v>0</v>
      </c>
      <c r="LJ34" s="20">
        <v>0</v>
      </c>
      <c r="LK34" s="20">
        <v>0</v>
      </c>
      <c r="LL34" s="20">
        <v>0</v>
      </c>
      <c r="LM34" s="20">
        <v>0</v>
      </c>
      <c r="LN34" s="20">
        <v>0</v>
      </c>
      <c r="LO34" s="20">
        <v>0</v>
      </c>
      <c r="LP34" s="20">
        <v>0</v>
      </c>
      <c r="LQ34" s="20">
        <v>0</v>
      </c>
      <c r="LR34" s="20">
        <v>0</v>
      </c>
      <c r="LS34" s="20">
        <v>0</v>
      </c>
      <c r="LT34" s="20">
        <v>0</v>
      </c>
      <c r="LU34" s="20">
        <v>0</v>
      </c>
      <c r="LW34" s="26" t="s">
        <v>517</v>
      </c>
      <c r="LX34" s="20">
        <v>0</v>
      </c>
      <c r="LY34" s="20">
        <v>2</v>
      </c>
      <c r="LZ34" s="20">
        <v>4</v>
      </c>
      <c r="MA34" s="20">
        <v>0</v>
      </c>
      <c r="MB34" s="20">
        <v>2</v>
      </c>
      <c r="MC34" s="20">
        <v>0</v>
      </c>
      <c r="MD34" s="20">
        <v>2</v>
      </c>
      <c r="ME34" s="20">
        <v>0</v>
      </c>
      <c r="MF34" s="20">
        <v>0</v>
      </c>
      <c r="MG34" s="20">
        <v>0</v>
      </c>
      <c r="MH34" s="20">
        <v>0</v>
      </c>
      <c r="MI34" s="20">
        <v>2</v>
      </c>
      <c r="MJ34" s="20">
        <v>4</v>
      </c>
      <c r="MK34" s="20">
        <v>0</v>
      </c>
      <c r="ML34" s="20">
        <v>2</v>
      </c>
      <c r="MM34" s="20">
        <v>0</v>
      </c>
      <c r="MN34" s="20">
        <v>0</v>
      </c>
      <c r="MO34" s="20">
        <v>0</v>
      </c>
      <c r="MP34" s="20">
        <v>0</v>
      </c>
      <c r="MQ34" s="20">
        <v>0</v>
      </c>
      <c r="MR34" s="20">
        <v>0</v>
      </c>
      <c r="MS34" s="20">
        <v>0</v>
      </c>
      <c r="MT34" s="20">
        <v>0</v>
      </c>
      <c r="MU34" s="20">
        <v>0</v>
      </c>
      <c r="MV34" s="20">
        <v>0</v>
      </c>
      <c r="MW34" s="20">
        <v>0</v>
      </c>
      <c r="MY34" s="21" t="s">
        <v>517</v>
      </c>
      <c r="MZ34" s="21">
        <v>0</v>
      </c>
      <c r="NA34" s="21">
        <v>0</v>
      </c>
      <c r="NB34" s="21">
        <v>2</v>
      </c>
      <c r="NC34" s="21">
        <v>4</v>
      </c>
      <c r="ND34" s="21">
        <v>0</v>
      </c>
      <c r="NE34" s="21">
        <v>0</v>
      </c>
      <c r="NF34" s="21">
        <v>2</v>
      </c>
      <c r="NG34" s="21">
        <v>0</v>
      </c>
      <c r="NH34" s="21">
        <v>0</v>
      </c>
      <c r="NI34" s="21">
        <v>0</v>
      </c>
      <c r="NJ34" s="21">
        <v>2</v>
      </c>
      <c r="NK34" s="21">
        <v>2</v>
      </c>
      <c r="NL34" s="21">
        <v>0</v>
      </c>
      <c r="NM34" s="21">
        <v>0</v>
      </c>
      <c r="NN34" s="21">
        <v>2</v>
      </c>
      <c r="NO34" s="21">
        <v>2</v>
      </c>
      <c r="NP34" s="21">
        <v>0</v>
      </c>
      <c r="NQ34" s="21">
        <v>0</v>
      </c>
      <c r="NR34" s="21">
        <v>0</v>
      </c>
      <c r="NS34" s="21">
        <v>0</v>
      </c>
      <c r="NT34" s="21">
        <v>0</v>
      </c>
      <c r="NU34" s="21">
        <v>0</v>
      </c>
      <c r="NV34" s="21">
        <v>0</v>
      </c>
      <c r="NW34" s="21">
        <v>0</v>
      </c>
      <c r="NX34" s="21">
        <v>0</v>
      </c>
      <c r="NY34" s="21">
        <v>0</v>
      </c>
      <c r="OB34" s="353" t="s">
        <v>917</v>
      </c>
      <c r="OC34" s="352">
        <v>80.569999999999993</v>
      </c>
    </row>
    <row r="35" spans="1:393" x14ac:dyDescent="0.25">
      <c r="A35" s="8"/>
      <c r="B35" s="5" t="s">
        <v>116</v>
      </c>
      <c r="C35" s="8"/>
      <c r="D35" s="6" t="s">
        <v>709</v>
      </c>
      <c r="E35" s="8" t="s">
        <v>781</v>
      </c>
      <c r="F35" s="359" t="str">
        <f>IF(E35="30x32 alu","możliwość stosowania w 1 strefie wiatrowej oraz 1,2,3 strefie śniegowej przy max. rozstawie podpór wynoszącym 0,8m","")</f>
        <v/>
      </c>
      <c r="G35" s="359"/>
      <c r="H35" s="359"/>
      <c r="I35" s="359"/>
      <c r="J35" s="4"/>
      <c r="K35" s="4"/>
      <c r="L35" s="6" t="str">
        <f>IF($E$35=$AK$22,"PAL40H40/4,4",IF($E$35=$AK$23,"-------",IF($E$35=$AK$24,"-------","-------")))</f>
        <v>PAL40H40/4,4</v>
      </c>
      <c r="M35" s="14">
        <f>INDEX(cennik!$A$2:$O$529,MATCH($L35,cennik!$B$2:$B$522,0),MATCH(M$27,cennik!$A$1:$O$1,0))</f>
        <v>894644</v>
      </c>
      <c r="N35" s="14" t="str">
        <f>INDEX(cennik!$A$2:$O$529,MATCH($L35,cennik!$B$2:$B$522,0),MATCH(N$27,cennik!$A$1:$O$1,0))</f>
        <v>szt.</v>
      </c>
      <c r="O35" s="14">
        <f>IF(L35="-------",0,SUM(JQ23:JQ38))</f>
        <v>0</v>
      </c>
      <c r="P35" s="22">
        <f>INDEX(cennik!$A$2:$O$529,MATCH($L35,cennik!$B$2:$B$522,0),MATCH(P$27,cennik!$A$1:$O$1,0))</f>
        <v>140.80000000000001</v>
      </c>
      <c r="Q35" s="22">
        <f t="shared" si="40"/>
        <v>0</v>
      </c>
      <c r="R35" s="23">
        <f t="shared" si="34"/>
        <v>0</v>
      </c>
      <c r="S35" s="22">
        <f t="shared" si="35"/>
        <v>140.80000000000001</v>
      </c>
      <c r="T35" s="22">
        <f t="shared" si="41"/>
        <v>0</v>
      </c>
      <c r="U35" s="22">
        <f>INDEX(cennik!$A$2:$O$529,MATCH($L35,cennik!$B$2:$B$522,0),MATCH(U$27,cennik!$A$1:$O$1,0))*O35</f>
        <v>0</v>
      </c>
      <c r="V35" s="20"/>
      <c r="W35" s="25"/>
      <c r="X35" s="25">
        <f t="shared" si="24"/>
        <v>4</v>
      </c>
      <c r="Y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39,$BB$2:$CA$2,0),MATCH($W$22,$AH$22:$AH$47,0)))*C39</f>
        <v>0</v>
      </c>
      <c r="Z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39,$BB$2:$CA$2,0),MATCH($W$22,$AH$22:$AH$47,0)))*C39</f>
        <v>0</v>
      </c>
      <c r="AA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39,$BB$2:$CA$2,0),MATCH($W$22,$AH$22:$AH$47,0)))*C39</f>
        <v>0</v>
      </c>
      <c r="AB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39,$BB$2:$CA$2,0),MATCH($W$22,$AH$22:$AH$47,0)))*C39</f>
        <v>0</v>
      </c>
      <c r="AC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39,$BB$2:$CA$2,0),MATCH($W$22,$AH$22:$AH$47,0)))*C39</f>
        <v>0</v>
      </c>
      <c r="AD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39,$BB$2:$CA$2,0),MATCH($W$22,$AH$22:$AH$47,0)))*C39</f>
        <v>0</v>
      </c>
      <c r="AE35" s="20"/>
      <c r="AF35" s="20"/>
      <c r="AG35" s="20"/>
      <c r="AH35" s="20" t="s">
        <v>471</v>
      </c>
      <c r="AI35" s="20"/>
      <c r="AJ35" s="20">
        <v>1900</v>
      </c>
      <c r="AK35" s="20"/>
      <c r="AL35" s="20">
        <f t="shared" si="25"/>
        <v>0</v>
      </c>
      <c r="AM35" s="20">
        <v>42</v>
      </c>
      <c r="AN35" s="20" t="s">
        <v>34</v>
      </c>
      <c r="AO35" s="20"/>
      <c r="AP35" s="20" t="s">
        <v>109</v>
      </c>
      <c r="AQ35" s="20" t="s">
        <v>14</v>
      </c>
      <c r="AS35" s="20">
        <v>42</v>
      </c>
      <c r="AT35" s="20" t="s">
        <v>46</v>
      </c>
      <c r="AU35" s="20"/>
      <c r="AV35" s="20" t="s">
        <v>151</v>
      </c>
      <c r="AW35" s="20" t="s">
        <v>151</v>
      </c>
      <c r="AX35" s="20"/>
      <c r="AY35" s="20"/>
      <c r="AZ35" s="20"/>
      <c r="BA35" s="26" t="s">
        <v>712</v>
      </c>
      <c r="BB35" s="20">
        <v>0</v>
      </c>
      <c r="BC35" s="20">
        <v>0</v>
      </c>
      <c r="BD35" s="20">
        <v>0</v>
      </c>
      <c r="BE35" s="20">
        <v>0</v>
      </c>
      <c r="BF35" s="20">
        <v>2</v>
      </c>
      <c r="BG35" s="20">
        <v>2</v>
      </c>
      <c r="BH35" s="20">
        <v>2</v>
      </c>
      <c r="BI35" s="20">
        <v>4</v>
      </c>
      <c r="BJ35" s="20">
        <v>4</v>
      </c>
      <c r="BK35" s="20">
        <v>4</v>
      </c>
      <c r="BL35" s="20">
        <v>6</v>
      </c>
      <c r="BM35" s="20">
        <v>6</v>
      </c>
      <c r="BN35" s="20">
        <v>6</v>
      </c>
      <c r="BO35" s="20">
        <v>8</v>
      </c>
      <c r="BP35" s="20">
        <v>8</v>
      </c>
      <c r="BQ35" s="20">
        <v>8</v>
      </c>
      <c r="BR35" s="20">
        <v>10</v>
      </c>
      <c r="BS35" s="20">
        <v>10</v>
      </c>
      <c r="BT35" s="20">
        <v>10</v>
      </c>
      <c r="BU35" s="20">
        <v>12</v>
      </c>
      <c r="BV35" s="20">
        <v>12</v>
      </c>
      <c r="BW35" s="20">
        <v>12</v>
      </c>
      <c r="BX35" s="20">
        <v>14</v>
      </c>
      <c r="BY35" s="20">
        <v>14</v>
      </c>
      <c r="BZ35" s="20">
        <v>14</v>
      </c>
      <c r="CA35" s="20">
        <v>16</v>
      </c>
      <c r="CB35" s="20"/>
      <c r="CC35" s="20"/>
      <c r="CD35" s="20"/>
      <c r="CE35" s="20"/>
      <c r="CF35" s="20"/>
      <c r="CG35" s="20"/>
      <c r="CH35" s="20"/>
      <c r="CI35" s="20"/>
      <c r="CJ35" s="20"/>
      <c r="CK35" s="20"/>
      <c r="CL35" s="20"/>
      <c r="CM35" s="20"/>
      <c r="CN35" s="20"/>
      <c r="CO35" s="20"/>
      <c r="CP35" s="20"/>
      <c r="CQ35" s="20"/>
      <c r="CR35" s="20"/>
      <c r="CS35" s="20"/>
      <c r="CT35" s="20"/>
      <c r="CU35" s="20"/>
      <c r="CV35" s="20"/>
      <c r="CW35" s="20"/>
      <c r="CX35" s="20"/>
      <c r="CY35" s="20"/>
      <c r="CZ35" s="20"/>
      <c r="DA35" s="54"/>
      <c r="DB35" s="54">
        <v>34</v>
      </c>
      <c r="DC35" s="54"/>
      <c r="DD35" s="20" t="s">
        <v>127</v>
      </c>
      <c r="DE35" s="20">
        <v>0</v>
      </c>
      <c r="DF35" s="20">
        <v>2</v>
      </c>
      <c r="DG35" s="20">
        <v>0</v>
      </c>
      <c r="DH35" s="20">
        <v>4</v>
      </c>
      <c r="DI35" s="20">
        <v>2</v>
      </c>
      <c r="DJ35" s="20">
        <v>0</v>
      </c>
      <c r="DK35" s="20">
        <v>4</v>
      </c>
      <c r="DL35" s="20">
        <v>2</v>
      </c>
      <c r="DM35" s="20">
        <v>0</v>
      </c>
      <c r="DN35" s="20">
        <v>4</v>
      </c>
      <c r="DO35" s="20">
        <v>2</v>
      </c>
      <c r="DP35" s="20">
        <v>0</v>
      </c>
      <c r="DQ35" s="20">
        <v>4</v>
      </c>
      <c r="DR35" s="20">
        <v>2</v>
      </c>
      <c r="DS35" s="20">
        <v>0</v>
      </c>
      <c r="DT35" s="20">
        <v>2</v>
      </c>
      <c r="DU35" s="20">
        <v>0</v>
      </c>
      <c r="DV35" s="20">
        <v>4</v>
      </c>
      <c r="DW35" s="20">
        <v>2</v>
      </c>
      <c r="DX35" s="20">
        <v>0</v>
      </c>
      <c r="DY35" s="20">
        <v>4</v>
      </c>
      <c r="DZ35" s="20"/>
      <c r="EA35" s="20"/>
      <c r="EB35" s="26" t="s">
        <v>712</v>
      </c>
      <c r="EC35" s="20">
        <v>0</v>
      </c>
      <c r="ED35" s="20">
        <v>0</v>
      </c>
      <c r="EE35" s="20">
        <v>0</v>
      </c>
      <c r="EF35" s="20">
        <v>2</v>
      </c>
      <c r="EG35" s="20">
        <v>2</v>
      </c>
      <c r="EH35" s="20">
        <v>4</v>
      </c>
      <c r="EI35" s="20">
        <v>4</v>
      </c>
      <c r="EJ35" s="20">
        <v>6</v>
      </c>
      <c r="EK35" s="20">
        <v>6</v>
      </c>
      <c r="EL35" s="20">
        <v>8</v>
      </c>
      <c r="EM35" s="20">
        <v>8</v>
      </c>
      <c r="EN35" s="20">
        <v>10</v>
      </c>
      <c r="EO35" s="20">
        <v>10</v>
      </c>
      <c r="EP35" s="20">
        <v>12</v>
      </c>
      <c r="EQ35" s="20">
        <v>12</v>
      </c>
      <c r="ER35" s="20">
        <v>14</v>
      </c>
      <c r="ES35" s="20">
        <v>14</v>
      </c>
      <c r="ET35" s="20">
        <v>16</v>
      </c>
      <c r="EU35" s="20">
        <v>16</v>
      </c>
      <c r="EV35" s="20">
        <v>18</v>
      </c>
      <c r="EW35" s="20">
        <v>18</v>
      </c>
      <c r="EX35" s="20">
        <v>20</v>
      </c>
      <c r="EY35" s="20">
        <v>20</v>
      </c>
      <c r="EZ35" s="20">
        <v>22</v>
      </c>
      <c r="FA35" s="20">
        <v>24</v>
      </c>
      <c r="FB35" s="20">
        <v>24</v>
      </c>
      <c r="FC35" s="20">
        <v>26</v>
      </c>
      <c r="FD35" s="20"/>
      <c r="FE35" s="20"/>
      <c r="FF35" s="20"/>
      <c r="FG35" s="20"/>
      <c r="FH35" s="20"/>
      <c r="FI35" s="20"/>
      <c r="FJ35" s="20"/>
      <c r="FK35" s="20"/>
      <c r="FL35" s="20"/>
      <c r="FM35" s="20"/>
      <c r="FN35" s="20"/>
      <c r="FO35" s="20"/>
      <c r="FP35" s="20"/>
      <c r="FQ35" s="20"/>
      <c r="FR35" s="20"/>
      <c r="FS35" s="20"/>
      <c r="FT35" s="20"/>
      <c r="FU35" s="20"/>
      <c r="FV35" s="20"/>
      <c r="FW35" s="20"/>
      <c r="FX35" s="20"/>
      <c r="FY35" s="20"/>
      <c r="FZ35" s="20"/>
      <c r="GA35" s="20"/>
      <c r="GC35" s="20"/>
      <c r="GD35" s="20"/>
      <c r="GE35" s="26" t="s">
        <v>712</v>
      </c>
      <c r="GF35" s="20">
        <v>0</v>
      </c>
      <c r="GG35" s="20">
        <v>0</v>
      </c>
      <c r="GH35" s="20">
        <v>2</v>
      </c>
      <c r="GI35" s="20">
        <v>2</v>
      </c>
      <c r="GJ35" s="20">
        <v>4</v>
      </c>
      <c r="GK35" s="20">
        <v>6</v>
      </c>
      <c r="GL35" s="20">
        <v>6</v>
      </c>
      <c r="GM35" s="20">
        <v>8</v>
      </c>
      <c r="GN35" s="20">
        <v>8</v>
      </c>
      <c r="GO35" s="20">
        <v>10</v>
      </c>
      <c r="GP35" s="20">
        <v>10</v>
      </c>
      <c r="GQ35" s="20">
        <v>12</v>
      </c>
      <c r="GR35" s="20">
        <v>14</v>
      </c>
      <c r="GS35" s="20">
        <v>14</v>
      </c>
      <c r="GT35" s="20">
        <v>16</v>
      </c>
      <c r="GU35" s="20">
        <v>16</v>
      </c>
      <c r="GV35" s="20">
        <v>18</v>
      </c>
      <c r="GW35" s="20">
        <v>20</v>
      </c>
      <c r="GX35" s="20">
        <v>20</v>
      </c>
      <c r="GY35" s="20">
        <v>22</v>
      </c>
      <c r="GZ35" s="20">
        <v>22</v>
      </c>
      <c r="HA35" s="20">
        <v>24</v>
      </c>
      <c r="HB35" s="20">
        <v>26</v>
      </c>
      <c r="HC35" s="20">
        <v>26</v>
      </c>
      <c r="HD35" s="20">
        <v>28</v>
      </c>
      <c r="HE35" s="20">
        <v>28</v>
      </c>
      <c r="HF35" s="20"/>
      <c r="HG35" s="20"/>
      <c r="HH35" s="20"/>
      <c r="HI35" s="20"/>
      <c r="HJ35" s="20"/>
      <c r="HK35" s="20"/>
      <c r="HL35" s="20"/>
      <c r="HM35" s="20"/>
      <c r="HN35" s="20"/>
      <c r="HO35" s="20"/>
      <c r="HP35" s="20"/>
      <c r="HQ35" s="20"/>
      <c r="HR35" s="20"/>
      <c r="HS35" s="20"/>
      <c r="HT35" s="20"/>
      <c r="HU35" s="20"/>
      <c r="HV35" s="20"/>
      <c r="HW35" s="20"/>
      <c r="HX35" s="20"/>
      <c r="HY35" s="20"/>
      <c r="HZ35" s="20"/>
      <c r="IA35" s="20"/>
      <c r="IB35" s="20"/>
      <c r="IC35" s="20"/>
      <c r="ID35" s="20"/>
      <c r="IF35" s="21" t="s">
        <v>712</v>
      </c>
      <c r="IG35" s="21">
        <v>0</v>
      </c>
      <c r="IH35" s="21">
        <v>0</v>
      </c>
      <c r="II35" s="21">
        <v>2</v>
      </c>
      <c r="IJ35" s="21">
        <v>4</v>
      </c>
      <c r="IK35" s="21">
        <v>4</v>
      </c>
      <c r="IL35" s="21">
        <v>6</v>
      </c>
      <c r="IM35" s="21">
        <v>8</v>
      </c>
      <c r="IN35" s="21">
        <v>10</v>
      </c>
      <c r="IO35" s="21">
        <v>10</v>
      </c>
      <c r="IP35" s="21">
        <v>12</v>
      </c>
      <c r="IQ35" s="21">
        <v>14</v>
      </c>
      <c r="IR35" s="21">
        <v>16</v>
      </c>
      <c r="IS35" s="21">
        <v>16</v>
      </c>
      <c r="IT35" s="21">
        <v>18</v>
      </c>
      <c r="IU35" s="21">
        <v>20</v>
      </c>
      <c r="IV35" s="21">
        <v>22</v>
      </c>
      <c r="IW35" s="21">
        <v>22</v>
      </c>
      <c r="IX35" s="21">
        <v>24</v>
      </c>
      <c r="IY35" s="21">
        <v>26</v>
      </c>
      <c r="IZ35" s="21">
        <v>26</v>
      </c>
      <c r="JA35" s="21">
        <v>28</v>
      </c>
      <c r="JB35" s="21">
        <v>30</v>
      </c>
      <c r="JC35" s="21">
        <v>32</v>
      </c>
      <c r="JD35" s="21">
        <v>32</v>
      </c>
      <c r="JE35" s="21">
        <v>34</v>
      </c>
      <c r="JF35" s="21">
        <v>36</v>
      </c>
      <c r="JI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39,$JT$2:$KS$2,0),MATCH($W$22,$AH$22:$AH$47,0)))*C39</f>
        <v>0</v>
      </c>
      <c r="JJ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39,$JT$2:$KS$2,0),MATCH($W$22,$AH$22:$AH$47,0)))*C39</f>
        <v>0</v>
      </c>
      <c r="JK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39,$JT$2:$KS$2,0),MATCH($W$22,$AH$22:$AH$47,0)))*C39</f>
        <v>0</v>
      </c>
      <c r="JL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39,$JT$2:$KS$2,0),MATCH($W$22,$AH$22:$AH$47,0)))*C39</f>
        <v>0</v>
      </c>
      <c r="JM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39,$JT$2:$KS$2,0),MATCH($W$22,$AH$22:$AH$47,0)))*C39</f>
        <v>0</v>
      </c>
      <c r="JN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39,$JT$2:$KS$2,0),MATCH($W$22,$AH$22:$AH$47,0)))*C39</f>
        <v>0</v>
      </c>
      <c r="JO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39,$JT$2:$KS$2,0),MATCH($W$22,$AH$22:$AH$47,0)))*C39</f>
        <v>0</v>
      </c>
      <c r="JP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39,$JT$2:$KS$2,0),MATCH($W$22,$AH$22:$AH$47,0)))*C39</f>
        <v>0</v>
      </c>
      <c r="JQ3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39,$JT$2:$KS$2,0),MATCH($W$22,$AH$22:$AH$47,0)))*C39</f>
        <v>0</v>
      </c>
      <c r="JS35" s="26" t="s">
        <v>518</v>
      </c>
      <c r="JT35" s="20">
        <v>0</v>
      </c>
      <c r="JU35" s="20">
        <v>0</v>
      </c>
      <c r="JV35" s="20">
        <v>2</v>
      </c>
      <c r="JW35" s="20">
        <v>0</v>
      </c>
      <c r="JX35" s="20">
        <v>4</v>
      </c>
      <c r="JY35" s="20">
        <v>2</v>
      </c>
      <c r="JZ35" s="20">
        <v>0</v>
      </c>
      <c r="KA35" s="20">
        <v>4</v>
      </c>
      <c r="KB35" s="20">
        <v>0</v>
      </c>
      <c r="KC35" s="20">
        <v>0</v>
      </c>
      <c r="KD35" s="20">
        <v>4</v>
      </c>
      <c r="KE35" s="20">
        <v>2</v>
      </c>
      <c r="KF35" s="20">
        <v>0</v>
      </c>
      <c r="KG35" s="20">
        <v>0</v>
      </c>
      <c r="KH35" s="20">
        <v>0</v>
      </c>
      <c r="KI35" s="20">
        <v>0</v>
      </c>
      <c r="KJ35" s="20">
        <v>2</v>
      </c>
      <c r="KK35" s="20">
        <v>2</v>
      </c>
      <c r="KL35" s="20">
        <v>0</v>
      </c>
      <c r="KM35" s="20">
        <v>0</v>
      </c>
      <c r="KN35" s="20">
        <v>0</v>
      </c>
      <c r="KO35" s="20">
        <v>0</v>
      </c>
      <c r="KP35" s="20">
        <v>4</v>
      </c>
      <c r="KQ35" s="20">
        <v>0</v>
      </c>
      <c r="KR35" s="20">
        <v>0</v>
      </c>
      <c r="KS35" s="20">
        <v>4</v>
      </c>
      <c r="KU35" s="26" t="s">
        <v>518</v>
      </c>
      <c r="KV35" s="20">
        <v>0</v>
      </c>
      <c r="KW35" s="20">
        <v>0</v>
      </c>
      <c r="KX35" s="20">
        <v>0</v>
      </c>
      <c r="KY35" s="20">
        <v>0</v>
      </c>
      <c r="KZ35" s="20">
        <v>0</v>
      </c>
      <c r="LA35" s="20">
        <v>0</v>
      </c>
      <c r="LB35" s="20">
        <v>0</v>
      </c>
      <c r="LC35" s="20">
        <v>2</v>
      </c>
      <c r="LD35" s="20">
        <v>0</v>
      </c>
      <c r="LE35" s="20">
        <v>0</v>
      </c>
      <c r="LF35" s="20">
        <v>0</v>
      </c>
      <c r="LG35" s="20">
        <v>0</v>
      </c>
      <c r="LH35" s="20">
        <v>0</v>
      </c>
      <c r="LI35" s="20">
        <v>0</v>
      </c>
      <c r="LJ35" s="20">
        <v>2</v>
      </c>
      <c r="LK35" s="20">
        <v>0</v>
      </c>
      <c r="LL35" s="20">
        <v>2</v>
      </c>
      <c r="LM35" s="20">
        <v>0</v>
      </c>
      <c r="LN35" s="20">
        <v>2</v>
      </c>
      <c r="LO35" s="20">
        <v>0</v>
      </c>
      <c r="LP35" s="20">
        <v>0</v>
      </c>
      <c r="LQ35" s="20">
        <v>0</v>
      </c>
      <c r="LR35" s="20">
        <v>2</v>
      </c>
      <c r="LS35" s="20">
        <v>2</v>
      </c>
      <c r="LT35" s="20">
        <v>0</v>
      </c>
      <c r="LU35" s="20">
        <v>2</v>
      </c>
      <c r="LW35" s="26" t="s">
        <v>518</v>
      </c>
      <c r="LX35" s="20">
        <v>0</v>
      </c>
      <c r="LY35" s="20">
        <v>0</v>
      </c>
      <c r="LZ35" s="20">
        <v>0</v>
      </c>
      <c r="MA35" s="20">
        <v>0</v>
      </c>
      <c r="MB35" s="20">
        <v>0</v>
      </c>
      <c r="MC35" s="20">
        <v>2</v>
      </c>
      <c r="MD35" s="20">
        <v>0</v>
      </c>
      <c r="ME35" s="20">
        <v>4</v>
      </c>
      <c r="MF35" s="20">
        <v>0</v>
      </c>
      <c r="MG35" s="20">
        <v>2</v>
      </c>
      <c r="MH35" s="20">
        <v>0</v>
      </c>
      <c r="MI35" s="20">
        <v>0</v>
      </c>
      <c r="MJ35" s="20">
        <v>0</v>
      </c>
      <c r="MK35" s="20">
        <v>0</v>
      </c>
      <c r="ML35" s="20">
        <v>0</v>
      </c>
      <c r="MM35" s="20">
        <v>0</v>
      </c>
      <c r="MN35" s="20">
        <v>2</v>
      </c>
      <c r="MO35" s="20">
        <v>0</v>
      </c>
      <c r="MP35" s="20">
        <v>0</v>
      </c>
      <c r="MQ35" s="20">
        <v>0</v>
      </c>
      <c r="MR35" s="20">
        <v>0</v>
      </c>
      <c r="MS35" s="20">
        <v>0</v>
      </c>
      <c r="MT35" s="20">
        <v>4</v>
      </c>
      <c r="MU35" s="20">
        <v>0</v>
      </c>
      <c r="MV35" s="20">
        <v>2</v>
      </c>
      <c r="MW35" s="20">
        <v>0</v>
      </c>
      <c r="MY35" s="21" t="s">
        <v>518</v>
      </c>
      <c r="MZ35" s="21">
        <v>0</v>
      </c>
      <c r="NA35" s="21">
        <v>0</v>
      </c>
      <c r="NB35" s="21">
        <v>0</v>
      </c>
      <c r="NC35" s="21">
        <v>0</v>
      </c>
      <c r="ND35" s="21">
        <v>0</v>
      </c>
      <c r="NE35" s="21">
        <v>0</v>
      </c>
      <c r="NF35" s="21">
        <v>0</v>
      </c>
      <c r="NG35" s="21">
        <v>4</v>
      </c>
      <c r="NH35" s="21">
        <v>0</v>
      </c>
      <c r="NI35" s="21">
        <v>0</v>
      </c>
      <c r="NJ35" s="21">
        <v>0</v>
      </c>
      <c r="NK35" s="21">
        <v>2</v>
      </c>
      <c r="NL35" s="21">
        <v>0</v>
      </c>
      <c r="NM35" s="21">
        <v>0</v>
      </c>
      <c r="NN35" s="21">
        <v>0</v>
      </c>
      <c r="NO35" s="21">
        <v>2</v>
      </c>
      <c r="NP35" s="21">
        <v>0</v>
      </c>
      <c r="NQ35" s="21">
        <v>2</v>
      </c>
      <c r="NR35" s="21">
        <v>2</v>
      </c>
      <c r="NS35" s="21">
        <v>0</v>
      </c>
      <c r="NT35" s="21">
        <v>0</v>
      </c>
      <c r="NU35" s="21">
        <v>0</v>
      </c>
      <c r="NV35" s="21">
        <v>4</v>
      </c>
      <c r="NW35" s="21">
        <v>0</v>
      </c>
      <c r="NX35" s="21">
        <v>0</v>
      </c>
      <c r="NY35" s="21">
        <v>2</v>
      </c>
      <c r="OB35" s="354" t="s">
        <v>1024</v>
      </c>
      <c r="OC35" s="352">
        <v>67</v>
      </c>
    </row>
    <row r="36" spans="1:393" x14ac:dyDescent="0.25">
      <c r="A36" s="8"/>
      <c r="B36" s="5" t="s">
        <v>116</v>
      </c>
      <c r="C36" s="8"/>
      <c r="D36" s="6" t="s">
        <v>785</v>
      </c>
      <c r="E36" s="8">
        <v>0</v>
      </c>
      <c r="F36" s="359"/>
      <c r="G36" s="359"/>
      <c r="H36" s="359"/>
      <c r="I36" s="359"/>
      <c r="J36" s="5" t="s">
        <v>509</v>
      </c>
      <c r="K36" s="4"/>
      <c r="L36" s="6" t="str">
        <f>IF(E35=$AK$22,"LPAN40",IF(E35=$AK$23,"LPAN30",IF(E35=$AK$24,"LC40H35MC",0)))</f>
        <v>LPAN40</v>
      </c>
      <c r="M36" s="14">
        <f>INDEX(cennik!$A$2:$O$529,MATCH($L36,cennik!$B$2:$B$522,0),MATCH(M$27,cennik!$A$1:$O$1,0))</f>
        <v>890512</v>
      </c>
      <c r="N36" s="14" t="str">
        <f>INDEX(cennik!$A$2:$O$529,MATCH($L36,cennik!$B$2:$B$522,0),MATCH(N$27,cennik!$A$1:$O$1,0))</f>
        <v>szt.</v>
      </c>
      <c r="O36" s="14">
        <f>IF(L36="-------",0,SUM(JI23:JI38))</f>
        <v>4</v>
      </c>
      <c r="P36" s="22">
        <f>INDEX(cennik!$A$2:$O$529,MATCH($L36,cennik!$B$2:$B$522,0),MATCH(P$27,cennik!$A$1:$O$1,0))</f>
        <v>4.28</v>
      </c>
      <c r="Q36" s="22">
        <f>O36*P36</f>
        <v>17.12</v>
      </c>
      <c r="R36" s="23">
        <f t="shared" si="34"/>
        <v>0</v>
      </c>
      <c r="S36" s="22">
        <f t="shared" si="35"/>
        <v>4.28</v>
      </c>
      <c r="T36" s="22">
        <f>O36*S36</f>
        <v>17.12</v>
      </c>
      <c r="U36" s="22">
        <f>INDEX(cennik!$A$2:$O$529,MATCH($L36,cennik!$B$2:$B$522,0),MATCH(U$27,cennik!$A$1:$O$1,0))*O36</f>
        <v>0.24</v>
      </c>
      <c r="V36" s="20"/>
      <c r="W36" s="25"/>
      <c r="X36" s="25">
        <f t="shared" si="24"/>
        <v>4</v>
      </c>
      <c r="Y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40,$BB$2:$CA$2,0),MATCH($W$22,$AH$22:$AH$47,0)))*C40</f>
        <v>0</v>
      </c>
      <c r="Z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40,$BB$2:$CA$2,0),MATCH($W$22,$AH$22:$AH$47,0)))*C40</f>
        <v>0</v>
      </c>
      <c r="AA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40,$BB$2:$CA$2,0),MATCH($W$22,$AH$22:$AH$47,0)))*C40</f>
        <v>0</v>
      </c>
      <c r="AB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40,$BB$2:$CA$2,0),MATCH($W$22,$AH$22:$AH$47,0)))*C40</f>
        <v>0</v>
      </c>
      <c r="AC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40,$BB$2:$CA$2,0),MATCH($W$22,$AH$22:$AH$47,0)))*C40</f>
        <v>0</v>
      </c>
      <c r="AD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40,$BB$2:$CA$2,0),MATCH($W$22,$AH$22:$AH$47,0)))*C40</f>
        <v>0</v>
      </c>
      <c r="AE36" s="20"/>
      <c r="AF36" s="20"/>
      <c r="AG36" s="20"/>
      <c r="AH36" s="20" t="s">
        <v>473</v>
      </c>
      <c r="AI36" s="20"/>
      <c r="AJ36" s="20">
        <v>1950</v>
      </c>
      <c r="AK36" s="20"/>
      <c r="AL36" s="20">
        <f t="shared" si="25"/>
        <v>0</v>
      </c>
      <c r="AM36" s="20">
        <v>45</v>
      </c>
      <c r="AN36" s="20" t="s">
        <v>35</v>
      </c>
      <c r="AO36" s="20"/>
      <c r="AP36" s="20" t="s">
        <v>149</v>
      </c>
      <c r="AQ36" s="20" t="s">
        <v>14</v>
      </c>
      <c r="AS36" s="20">
        <v>45</v>
      </c>
      <c r="AT36" s="20" t="s">
        <v>47</v>
      </c>
      <c r="AU36" s="20"/>
      <c r="AV36" s="20" t="s">
        <v>151</v>
      </c>
      <c r="AW36" s="20" t="s">
        <v>151</v>
      </c>
      <c r="AX36" s="20"/>
      <c r="AY36" s="20"/>
      <c r="AZ36" s="20"/>
      <c r="BA36" s="20"/>
      <c r="BB36" s="20"/>
      <c r="BC36" s="20"/>
      <c r="BD36" s="20"/>
      <c r="BE36" s="20"/>
      <c r="BF36" s="20"/>
      <c r="BG36" s="20"/>
      <c r="BH36" s="20"/>
      <c r="BI36" s="20"/>
      <c r="BJ36" s="20"/>
      <c r="BK36" s="20"/>
      <c r="BL36" s="20"/>
      <c r="BM36" s="20"/>
      <c r="BN36" s="20"/>
      <c r="BO36" s="20"/>
      <c r="BP36" s="20"/>
      <c r="BQ36" s="20"/>
      <c r="BR36" s="20"/>
      <c r="BS36" s="20"/>
      <c r="BT36" s="20"/>
      <c r="BU36" s="20"/>
      <c r="BV36" s="20"/>
      <c r="BW36" s="20"/>
      <c r="BX36" s="20"/>
      <c r="BY36" s="20"/>
      <c r="BZ36" s="20"/>
      <c r="CA36" s="20"/>
      <c r="CB36" s="20"/>
      <c r="CC36" s="20"/>
      <c r="CD36" s="20"/>
      <c r="CE36" s="20"/>
      <c r="CF36" s="20"/>
      <c r="CG36" s="20"/>
      <c r="CH36" s="20"/>
      <c r="CI36" s="20"/>
      <c r="CJ36" s="20"/>
      <c r="CK36" s="20"/>
      <c r="CL36" s="20"/>
      <c r="CM36" s="20"/>
      <c r="CN36" s="20"/>
      <c r="CO36" s="20"/>
      <c r="CP36" s="20"/>
      <c r="CQ36" s="20"/>
      <c r="CR36" s="20"/>
      <c r="CS36" s="20"/>
      <c r="CT36" s="20"/>
      <c r="CU36" s="20"/>
      <c r="CV36" s="20"/>
      <c r="CW36" s="20"/>
      <c r="CX36" s="20"/>
      <c r="CY36" s="20"/>
      <c r="CZ36" s="20"/>
      <c r="DA36" s="54"/>
      <c r="DB36" s="54">
        <v>35</v>
      </c>
      <c r="DC36" s="54"/>
      <c r="DD36" s="20" t="s">
        <v>19</v>
      </c>
      <c r="DE36" s="20">
        <v>0</v>
      </c>
      <c r="DF36" s="20">
        <v>0</v>
      </c>
      <c r="DG36" s="20">
        <v>2</v>
      </c>
      <c r="DH36" s="20">
        <v>0</v>
      </c>
      <c r="DI36" s="20">
        <v>2</v>
      </c>
      <c r="DJ36" s="20">
        <v>4</v>
      </c>
      <c r="DK36" s="20">
        <v>2</v>
      </c>
      <c r="DL36" s="20">
        <v>4</v>
      </c>
      <c r="DM36" s="20">
        <v>6</v>
      </c>
      <c r="DN36" s="20">
        <v>4</v>
      </c>
      <c r="DO36" s="20">
        <v>6</v>
      </c>
      <c r="DP36" s="20">
        <v>8</v>
      </c>
      <c r="DQ36" s="20">
        <v>6</v>
      </c>
      <c r="DR36" s="20">
        <v>8</v>
      </c>
      <c r="DS36" s="20">
        <v>10</v>
      </c>
      <c r="DT36" s="20">
        <v>10</v>
      </c>
      <c r="DU36" s="20">
        <v>12</v>
      </c>
      <c r="DV36" s="20">
        <v>10</v>
      </c>
      <c r="DW36" s="20">
        <v>12</v>
      </c>
      <c r="DX36" s="20">
        <v>14</v>
      </c>
      <c r="DY36" s="20">
        <v>12</v>
      </c>
      <c r="DZ36" s="20"/>
      <c r="EA36" s="20"/>
      <c r="EB36" s="20"/>
      <c r="EC36" s="20"/>
      <c r="ED36" s="20"/>
      <c r="EE36" s="20"/>
      <c r="EF36" s="20"/>
      <c r="EG36" s="20"/>
      <c r="EH36" s="20"/>
      <c r="EI36" s="20"/>
      <c r="EJ36" s="20"/>
      <c r="EK36" s="20"/>
      <c r="EL36" s="20"/>
      <c r="EM36" s="20"/>
      <c r="EN36" s="20"/>
      <c r="EO36" s="20"/>
      <c r="EP36" s="20"/>
      <c r="EQ36" s="20"/>
      <c r="ER36" s="20"/>
      <c r="ES36" s="20"/>
      <c r="ET36" s="20"/>
      <c r="EU36" s="20"/>
      <c r="EV36" s="20"/>
      <c r="EW36" s="20"/>
      <c r="EX36" s="20"/>
      <c r="EY36" s="20"/>
      <c r="EZ36" s="20"/>
      <c r="FA36" s="20"/>
      <c r="FB36" s="20"/>
      <c r="FC36" s="20"/>
      <c r="FD36" s="20"/>
      <c r="FE36" s="20"/>
      <c r="FF36" s="20"/>
      <c r="FG36" s="20"/>
      <c r="FH36" s="20"/>
      <c r="FI36" s="20"/>
      <c r="FJ36" s="20"/>
      <c r="FK36" s="20"/>
      <c r="FL36" s="20"/>
      <c r="FM36" s="20"/>
      <c r="FN36" s="20"/>
      <c r="FO36" s="20"/>
      <c r="FP36" s="20"/>
      <c r="FQ36" s="20"/>
      <c r="FR36" s="20"/>
      <c r="FS36" s="20"/>
      <c r="FT36" s="20"/>
      <c r="FU36" s="20"/>
      <c r="FV36" s="20"/>
      <c r="FW36" s="20"/>
      <c r="FX36" s="20"/>
      <c r="FY36" s="20"/>
      <c r="FZ36" s="20"/>
      <c r="GA36" s="20"/>
      <c r="GC36" s="20"/>
      <c r="GD36" s="20"/>
      <c r="GE36" s="20"/>
      <c r="GF36" s="20"/>
      <c r="GG36" s="20"/>
      <c r="GH36" s="20"/>
      <c r="GI36" s="20"/>
      <c r="GJ36" s="20"/>
      <c r="GK36" s="20"/>
      <c r="GL36" s="20"/>
      <c r="GM36" s="20"/>
      <c r="GN36" s="20"/>
      <c r="GO36" s="20"/>
      <c r="GP36" s="20"/>
      <c r="GQ36" s="20"/>
      <c r="GR36" s="20"/>
      <c r="GS36" s="20"/>
      <c r="GT36" s="20"/>
      <c r="GU36" s="20"/>
      <c r="GV36" s="20"/>
      <c r="GW36" s="20"/>
      <c r="GX36" s="20"/>
      <c r="GY36" s="20"/>
      <c r="GZ36" s="20"/>
      <c r="HA36" s="20"/>
      <c r="HB36" s="20"/>
      <c r="HC36" s="20"/>
      <c r="HD36" s="20"/>
      <c r="HE36" s="20"/>
      <c r="HF36" s="20"/>
      <c r="HG36" s="20"/>
      <c r="HH36" s="20"/>
      <c r="HI36" s="20"/>
      <c r="HJ36" s="20"/>
      <c r="HK36" s="20"/>
      <c r="HL36" s="20"/>
      <c r="HM36" s="20"/>
      <c r="HN36" s="20"/>
      <c r="HO36" s="20"/>
      <c r="HP36" s="20"/>
      <c r="HQ36" s="20"/>
      <c r="HR36" s="20"/>
      <c r="HS36" s="20"/>
      <c r="HT36" s="20"/>
      <c r="HU36" s="20"/>
      <c r="HV36" s="20"/>
      <c r="HW36" s="20"/>
      <c r="HX36" s="20"/>
      <c r="HY36" s="20"/>
      <c r="HZ36" s="20"/>
      <c r="IA36" s="20"/>
      <c r="IB36" s="20"/>
      <c r="IC36" s="20"/>
      <c r="ID36" s="20"/>
      <c r="JI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40,$JT$2:$KS$2,0),MATCH($W$22,$AH$22:$AH$47,0)))*C40</f>
        <v>0</v>
      </c>
      <c r="JJ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40,$JT$2:$KS$2,0),MATCH($W$22,$AH$22:$AH$47,0)))*C40</f>
        <v>0</v>
      </c>
      <c r="JK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40,$JT$2:$KS$2,0),MATCH($W$22,$AH$22:$AH$47,0)))*C40</f>
        <v>0</v>
      </c>
      <c r="JL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40,$JT$2:$KS$2,0),MATCH($W$22,$AH$22:$AH$47,0)))*C40</f>
        <v>0</v>
      </c>
      <c r="JM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40,$JT$2:$KS$2,0),MATCH($W$22,$AH$22:$AH$47,0)))*C40</f>
        <v>0</v>
      </c>
      <c r="JN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40,$JT$2:$KS$2,0),MATCH($W$22,$AH$22:$AH$47,0)))*C40</f>
        <v>0</v>
      </c>
      <c r="JO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40,$JT$2:$KS$2,0),MATCH($W$22,$AH$22:$AH$47,0)))*C40</f>
        <v>0</v>
      </c>
      <c r="JP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40,$JT$2:$KS$2,0),MATCH($W$22,$AH$22:$AH$47,0)))*C40</f>
        <v>0</v>
      </c>
      <c r="JQ3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40,$JT$2:$KS$2,0),MATCH($W$22,$AH$22:$AH$47,0)))*C40</f>
        <v>0</v>
      </c>
      <c r="JS36" s="26" t="s">
        <v>519</v>
      </c>
      <c r="JT36" s="20">
        <v>0</v>
      </c>
      <c r="JU36" s="20">
        <v>0</v>
      </c>
      <c r="JV36" s="20">
        <v>0</v>
      </c>
      <c r="JW36" s="20">
        <v>0</v>
      </c>
      <c r="JX36" s="20">
        <v>0</v>
      </c>
      <c r="JY36" s="20">
        <v>0</v>
      </c>
      <c r="JZ36" s="20">
        <v>0</v>
      </c>
      <c r="KA36" s="20">
        <v>2</v>
      </c>
      <c r="KB36" s="20">
        <v>0</v>
      </c>
      <c r="KC36" s="20">
        <v>2</v>
      </c>
      <c r="KD36" s="20">
        <v>2</v>
      </c>
      <c r="KE36" s="20">
        <v>2</v>
      </c>
      <c r="KF36" s="20">
        <v>4</v>
      </c>
      <c r="KG36" s="20">
        <v>0</v>
      </c>
      <c r="KH36" s="20">
        <v>2</v>
      </c>
      <c r="KI36" s="20">
        <v>4</v>
      </c>
      <c r="KJ36" s="20">
        <v>2</v>
      </c>
      <c r="KK36" s="20">
        <v>6</v>
      </c>
      <c r="KL36" s="20">
        <v>4</v>
      </c>
      <c r="KM36" s="20">
        <v>2</v>
      </c>
      <c r="KN36" s="20">
        <v>4</v>
      </c>
      <c r="KO36" s="20">
        <v>6</v>
      </c>
      <c r="KP36" s="20">
        <v>8</v>
      </c>
      <c r="KQ36" s="20">
        <v>4</v>
      </c>
      <c r="KR36" s="20">
        <v>6</v>
      </c>
      <c r="KS36" s="20">
        <v>6</v>
      </c>
      <c r="KU36" s="26" t="s">
        <v>519</v>
      </c>
      <c r="KV36" s="20">
        <v>0</v>
      </c>
      <c r="KW36" s="20">
        <v>0</v>
      </c>
      <c r="KX36" s="20">
        <v>0</v>
      </c>
      <c r="KY36" s="20">
        <v>2</v>
      </c>
      <c r="KZ36" s="20">
        <v>2</v>
      </c>
      <c r="LA36" s="20">
        <v>0</v>
      </c>
      <c r="LB36" s="20">
        <v>4</v>
      </c>
      <c r="LC36" s="20">
        <v>0</v>
      </c>
      <c r="LD36" s="20">
        <v>2</v>
      </c>
      <c r="LE36" s="20">
        <v>10</v>
      </c>
      <c r="LF36" s="20">
        <v>0</v>
      </c>
      <c r="LG36" s="20">
        <v>10</v>
      </c>
      <c r="LH36" s="20">
        <v>0</v>
      </c>
      <c r="LI36" s="20">
        <v>6</v>
      </c>
      <c r="LJ36" s="20">
        <v>14</v>
      </c>
      <c r="LK36" s="20">
        <v>4</v>
      </c>
      <c r="LL36" s="20">
        <v>10</v>
      </c>
      <c r="LM36" s="20">
        <v>2</v>
      </c>
      <c r="LN36" s="20">
        <v>8</v>
      </c>
      <c r="LO36" s="20">
        <v>0</v>
      </c>
      <c r="LP36" s="20">
        <v>20</v>
      </c>
      <c r="LQ36" s="20">
        <v>0</v>
      </c>
      <c r="LR36" s="20">
        <v>8</v>
      </c>
      <c r="LS36" s="20">
        <v>24</v>
      </c>
      <c r="LT36" s="20">
        <v>16</v>
      </c>
      <c r="LU36" s="20">
        <v>22</v>
      </c>
      <c r="LW36" s="26" t="s">
        <v>519</v>
      </c>
      <c r="LX36" s="20">
        <v>0</v>
      </c>
      <c r="LY36" s="20">
        <v>0</v>
      </c>
      <c r="LZ36" s="20">
        <v>0</v>
      </c>
      <c r="MA36" s="20">
        <v>4</v>
      </c>
      <c r="MB36" s="20">
        <v>4</v>
      </c>
      <c r="MC36" s="20">
        <v>0</v>
      </c>
      <c r="MD36" s="20">
        <v>0</v>
      </c>
      <c r="ME36" s="20">
        <v>6</v>
      </c>
      <c r="MF36" s="20">
        <v>8</v>
      </c>
      <c r="MG36" s="20">
        <v>10</v>
      </c>
      <c r="MH36" s="20">
        <v>0</v>
      </c>
      <c r="MI36" s="20">
        <v>0</v>
      </c>
      <c r="MJ36" s="20">
        <v>4</v>
      </c>
      <c r="MK36" s="20">
        <v>8</v>
      </c>
      <c r="ML36" s="20">
        <v>8</v>
      </c>
      <c r="MM36" s="20">
        <v>0</v>
      </c>
      <c r="MN36" s="20">
        <v>0</v>
      </c>
      <c r="MO36" s="20">
        <v>8</v>
      </c>
      <c r="MP36" s="20">
        <v>6</v>
      </c>
      <c r="MQ36" s="20">
        <v>24</v>
      </c>
      <c r="MR36" s="20">
        <v>0</v>
      </c>
      <c r="MS36" s="20">
        <v>14</v>
      </c>
      <c r="MT36" s="20">
        <v>8</v>
      </c>
      <c r="MU36" s="20">
        <v>6</v>
      </c>
      <c r="MV36" s="20">
        <v>8</v>
      </c>
      <c r="MW36" s="20">
        <v>0</v>
      </c>
      <c r="MY36" s="21" t="s">
        <v>519</v>
      </c>
      <c r="MZ36" s="21">
        <v>0</v>
      </c>
      <c r="NA36" s="21">
        <v>2</v>
      </c>
      <c r="NB36" s="21">
        <v>2</v>
      </c>
      <c r="NC36" s="21">
        <v>2</v>
      </c>
      <c r="ND36" s="21">
        <v>2</v>
      </c>
      <c r="NE36" s="21">
        <v>8</v>
      </c>
      <c r="NF36" s="21">
        <v>8</v>
      </c>
      <c r="NG36" s="21">
        <v>8</v>
      </c>
      <c r="NH36" s="21">
        <v>4</v>
      </c>
      <c r="NI36" s="21">
        <v>14</v>
      </c>
      <c r="NJ36" s="21">
        <v>10</v>
      </c>
      <c r="NK36" s="21">
        <v>6</v>
      </c>
      <c r="NL36" s="21">
        <v>4</v>
      </c>
      <c r="NM36" s="21">
        <v>16</v>
      </c>
      <c r="NN36" s="21">
        <v>12</v>
      </c>
      <c r="NO36" s="21">
        <v>8</v>
      </c>
      <c r="NP36" s="21">
        <v>6</v>
      </c>
      <c r="NQ36" s="21">
        <v>8</v>
      </c>
      <c r="NR36" s="21">
        <v>14</v>
      </c>
      <c r="NS36" s="21">
        <v>0</v>
      </c>
      <c r="NT36" s="21">
        <v>8</v>
      </c>
      <c r="NU36" s="21">
        <v>20</v>
      </c>
      <c r="NV36" s="21">
        <v>8</v>
      </c>
      <c r="NW36" s="21">
        <v>0</v>
      </c>
      <c r="NX36" s="21">
        <v>10</v>
      </c>
      <c r="NY36" s="21">
        <v>6</v>
      </c>
      <c r="OB36" s="351" t="s">
        <v>15</v>
      </c>
      <c r="OC36" s="352">
        <v>89</v>
      </c>
    </row>
    <row r="37" spans="1:393" x14ac:dyDescent="0.25">
      <c r="A37" s="8"/>
      <c r="B37" s="5" t="s">
        <v>116</v>
      </c>
      <c r="C37" s="8"/>
      <c r="D37" s="6" t="s">
        <v>511</v>
      </c>
      <c r="E37" s="4"/>
      <c r="F37" s="359"/>
      <c r="G37" s="359"/>
      <c r="H37" s="359"/>
      <c r="I37" s="359"/>
      <c r="J37" s="4"/>
      <c r="K37" s="4"/>
      <c r="L37" s="6" t="str">
        <f>E33</f>
        <v>UBZRPE32</v>
      </c>
      <c r="M37" s="14">
        <f>INDEX(cennik!$A$2:$O$529,MATCH($L37,cennik!$B$2:$B$522,0),MATCH(M$27,cennik!$A$1:$O$1,0))</f>
        <v>890132</v>
      </c>
      <c r="N37" s="14" t="str">
        <f>INDEX(cennik!$A$2:$O$529,MATCH($L37,cennik!$B$2:$B$522,0),MATCH(N$27,cennik!$A$1:$O$1,0))</f>
        <v>szt.</v>
      </c>
      <c r="O37" s="14">
        <f>SUM(AL22:AL37)</f>
        <v>18</v>
      </c>
      <c r="P37" s="22">
        <f>INDEX(cennik!$A$2:$O$529,MATCH($L37,cennik!$B$2:$B$522,0),MATCH(P$27,cennik!$A$1:$O$1,0))</f>
        <v>30.57</v>
      </c>
      <c r="Q37" s="22">
        <f>O37*P37</f>
        <v>550.26</v>
      </c>
      <c r="R37" s="23">
        <f t="shared" si="34"/>
        <v>0</v>
      </c>
      <c r="S37" s="22">
        <f t="shared" si="35"/>
        <v>30.57</v>
      </c>
      <c r="T37" s="22">
        <f>O37*S37</f>
        <v>550.26</v>
      </c>
      <c r="U37" s="22">
        <f>INDEX(cennik!$A$2:$O$529,MATCH($L37,cennik!$B$2:$B$522,0),MATCH(U$27,cennik!$A$1:$O$1,0))*O37</f>
        <v>8.2800000000000011</v>
      </c>
      <c r="V37" s="20"/>
      <c r="W37" s="25"/>
      <c r="X37" s="25">
        <f t="shared" si="24"/>
        <v>4</v>
      </c>
      <c r="Y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41,$BB$2:$CA$2,0),MATCH($W$22,$AH$22:$AH$47,0)))*C41</f>
        <v>0</v>
      </c>
      <c r="Z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41,$BB$2:$CA$2,0),MATCH($W$22,$AH$22:$AH$47,0)))*C41</f>
        <v>0</v>
      </c>
      <c r="AA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41,$BB$2:$CA$2,0),MATCH($W$22,$AH$22:$AH$47,0)))*C41</f>
        <v>0</v>
      </c>
      <c r="AB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41,$BB$2:$CA$2,0),MATCH($W$22,$AH$22:$AH$47,0)))*C41</f>
        <v>0</v>
      </c>
      <c r="AC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41,$BB$2:$CA$2,0),MATCH($W$22,$AH$22:$AH$47,0)))*C41</f>
        <v>0</v>
      </c>
      <c r="AD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41,$BB$2:$CA$2,0),MATCH($W$22,$AH$22:$AH$47,0)))*C41</f>
        <v>0</v>
      </c>
      <c r="AE37" s="20"/>
      <c r="AF37" s="20"/>
      <c r="AG37" s="20"/>
      <c r="AH37" s="20" t="s">
        <v>113</v>
      </c>
      <c r="AI37" s="20"/>
      <c r="AJ37" s="20">
        <v>2000</v>
      </c>
      <c r="AK37" s="20"/>
      <c r="AL37" s="20">
        <f t="shared" si="25"/>
        <v>0</v>
      </c>
      <c r="AM37" s="20">
        <v>50</v>
      </c>
      <c r="AN37" s="20" t="s">
        <v>36</v>
      </c>
      <c r="AO37" s="20" t="s">
        <v>37</v>
      </c>
      <c r="AP37" s="20" t="s">
        <v>150</v>
      </c>
      <c r="AQ37" s="20" t="s">
        <v>14</v>
      </c>
      <c r="AS37" s="20">
        <v>50</v>
      </c>
      <c r="AT37" s="20" t="s">
        <v>48</v>
      </c>
      <c r="AU37" s="20"/>
      <c r="AV37" s="20" t="s">
        <v>151</v>
      </c>
      <c r="AW37" s="20" t="s">
        <v>151</v>
      </c>
      <c r="AX37" s="20"/>
      <c r="AY37" s="20"/>
      <c r="AZ37" s="20"/>
      <c r="BA37" s="20" t="s">
        <v>474</v>
      </c>
      <c r="BB37" s="20"/>
      <c r="BC37" s="20"/>
      <c r="BD37" s="20"/>
      <c r="BE37" s="20"/>
      <c r="BF37" s="20"/>
      <c r="BG37" s="20"/>
      <c r="BH37" s="20"/>
      <c r="BI37" s="20"/>
      <c r="BJ37" s="20"/>
      <c r="BK37" s="20"/>
      <c r="BL37" s="20"/>
      <c r="BM37" s="20"/>
      <c r="BN37" s="20"/>
      <c r="BO37" s="20"/>
      <c r="BP37" s="20"/>
      <c r="BQ37" s="20"/>
      <c r="BR37" s="20"/>
      <c r="BS37" s="20"/>
      <c r="BT37" s="20"/>
      <c r="BU37" s="20"/>
      <c r="BV37" s="20"/>
      <c r="BW37" s="20"/>
      <c r="BX37" s="20"/>
      <c r="BY37" s="20"/>
      <c r="BZ37" s="20"/>
      <c r="CA37" s="20"/>
      <c r="CB37" s="20"/>
      <c r="CC37" s="20"/>
      <c r="CD37" s="20"/>
      <c r="CE37" s="20"/>
      <c r="CF37" s="20"/>
      <c r="CG37" s="20"/>
      <c r="CH37" s="20"/>
      <c r="CI37" s="20"/>
      <c r="CJ37" s="20"/>
      <c r="CK37" s="20"/>
      <c r="CL37" s="20"/>
      <c r="CM37" s="20"/>
      <c r="CN37" s="20"/>
      <c r="CO37" s="20"/>
      <c r="CP37" s="20"/>
      <c r="CQ37" s="20"/>
      <c r="CR37" s="20"/>
      <c r="CS37" s="20"/>
      <c r="CT37" s="20"/>
      <c r="CU37" s="20"/>
      <c r="CV37" s="20"/>
      <c r="CW37" s="20"/>
      <c r="CX37" s="20"/>
      <c r="CY37" s="20"/>
      <c r="CZ37" s="20"/>
      <c r="DA37" s="54"/>
      <c r="DB37" s="54">
        <v>36</v>
      </c>
      <c r="DC37" s="54"/>
      <c r="DD37" s="20" t="s">
        <v>408</v>
      </c>
      <c r="DE37" s="20">
        <v>0</v>
      </c>
      <c r="DF37" s="20">
        <v>0</v>
      </c>
      <c r="DG37" s="20">
        <v>0</v>
      </c>
      <c r="DH37" s="20">
        <v>4</v>
      </c>
      <c r="DI37" s="20">
        <v>4</v>
      </c>
      <c r="DJ37" s="20">
        <v>4</v>
      </c>
      <c r="DK37" s="20">
        <v>8</v>
      </c>
      <c r="DL37" s="20">
        <v>8</v>
      </c>
      <c r="DM37" s="20">
        <v>8</v>
      </c>
      <c r="DN37" s="20">
        <v>12</v>
      </c>
      <c r="DO37" s="20">
        <v>12</v>
      </c>
      <c r="DP37" s="20">
        <v>12</v>
      </c>
      <c r="DQ37" s="20">
        <v>16</v>
      </c>
      <c r="DR37" s="20">
        <v>16</v>
      </c>
      <c r="DS37" s="20">
        <v>16</v>
      </c>
      <c r="DT37" s="20">
        <v>20</v>
      </c>
      <c r="DU37" s="20">
        <v>20</v>
      </c>
      <c r="DV37" s="20">
        <v>24</v>
      </c>
      <c r="DW37" s="20">
        <v>24</v>
      </c>
      <c r="DX37" s="20">
        <v>24</v>
      </c>
      <c r="DY37" s="20">
        <v>28</v>
      </c>
      <c r="DZ37" s="20"/>
      <c r="EA37" s="20"/>
      <c r="EB37" s="20" t="s">
        <v>132</v>
      </c>
      <c r="EC37" s="20"/>
      <c r="ED37" s="20"/>
      <c r="EE37" s="20"/>
      <c r="EF37" s="20"/>
      <c r="EG37" s="20"/>
      <c r="EH37" s="20"/>
      <c r="EI37" s="20"/>
      <c r="EJ37" s="20"/>
      <c r="EK37" s="20"/>
      <c r="EL37" s="20"/>
      <c r="EM37" s="20"/>
      <c r="EN37" s="20"/>
      <c r="EO37" s="20"/>
      <c r="EP37" s="20"/>
      <c r="EQ37" s="20"/>
      <c r="ER37" s="20"/>
      <c r="ES37" s="20"/>
      <c r="ET37" s="20"/>
      <c r="EU37" s="20"/>
      <c r="EV37" s="20"/>
      <c r="EW37" s="20"/>
      <c r="EX37" s="20"/>
      <c r="EY37" s="20"/>
      <c r="EZ37" s="20"/>
      <c r="FA37" s="20"/>
      <c r="FB37" s="20"/>
      <c r="FC37" s="20"/>
      <c r="FD37" s="20"/>
      <c r="FE37" s="20"/>
      <c r="FF37" s="20"/>
      <c r="FG37" s="20"/>
      <c r="FH37" s="20"/>
      <c r="FI37" s="20"/>
      <c r="FJ37" s="20"/>
      <c r="FK37" s="20"/>
      <c r="FL37" s="20"/>
      <c r="FM37" s="20"/>
      <c r="FN37" s="20"/>
      <c r="FO37" s="20"/>
      <c r="FP37" s="20"/>
      <c r="FQ37" s="20"/>
      <c r="FR37" s="20"/>
      <c r="FS37" s="20"/>
      <c r="FT37" s="20"/>
      <c r="FU37" s="20"/>
      <c r="FV37" s="20"/>
      <c r="FW37" s="20"/>
      <c r="FX37" s="20"/>
      <c r="FY37" s="20"/>
      <c r="FZ37" s="20"/>
      <c r="GA37" s="20"/>
      <c r="GC37" s="20"/>
      <c r="GD37" s="20"/>
      <c r="GE37" s="20" t="s">
        <v>113</v>
      </c>
      <c r="GF37" s="20"/>
      <c r="GG37" s="20"/>
      <c r="GH37" s="20"/>
      <c r="GI37" s="20"/>
      <c r="GJ37" s="20"/>
      <c r="GK37" s="20"/>
      <c r="GL37" s="20"/>
      <c r="GM37" s="20"/>
      <c r="GN37" s="20"/>
      <c r="GO37" s="20"/>
      <c r="GP37" s="20"/>
      <c r="GQ37" s="20"/>
      <c r="GR37" s="20"/>
      <c r="GS37" s="20"/>
      <c r="GT37" s="20"/>
      <c r="GU37" s="20"/>
      <c r="GV37" s="20"/>
      <c r="GW37" s="20"/>
      <c r="GX37" s="20"/>
      <c r="GY37" s="20"/>
      <c r="GZ37" s="20"/>
      <c r="HA37" s="20"/>
      <c r="HB37" s="20"/>
      <c r="HC37" s="20"/>
      <c r="HD37" s="20"/>
      <c r="HE37" s="20"/>
      <c r="HF37" s="20"/>
      <c r="HG37" s="20"/>
      <c r="HH37" s="20"/>
      <c r="HI37" s="20"/>
      <c r="HJ37" s="20"/>
      <c r="HK37" s="20"/>
      <c r="HL37" s="20"/>
      <c r="HM37" s="20"/>
      <c r="HN37" s="20"/>
      <c r="HO37" s="20"/>
      <c r="HP37" s="20"/>
      <c r="HQ37" s="20"/>
      <c r="HR37" s="20"/>
      <c r="HS37" s="20"/>
      <c r="HT37" s="20"/>
      <c r="HU37" s="20"/>
      <c r="HV37" s="20"/>
      <c r="HW37" s="20"/>
      <c r="HX37" s="20"/>
      <c r="HY37" s="20"/>
      <c r="HZ37" s="20"/>
      <c r="IA37" s="20"/>
      <c r="IB37" s="20"/>
      <c r="IC37" s="20"/>
      <c r="ID37" s="20"/>
      <c r="IF37" s="21" t="s">
        <v>832</v>
      </c>
      <c r="JI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41,$JT$2:$KS$2,0),MATCH($W$22,$AH$22:$AH$47,0)))*C41</f>
        <v>0</v>
      </c>
      <c r="JJ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41,$JT$2:$KS$2,0),MATCH($W$22,$AH$22:$AH$47,0)))*C41</f>
        <v>0</v>
      </c>
      <c r="JK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41,$JT$2:$KS$2,0),MATCH($W$22,$AH$22:$AH$47,0)))*C41</f>
        <v>0</v>
      </c>
      <c r="JL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41,$JT$2:$KS$2,0),MATCH($W$22,$AH$22:$AH$47,0)))*C41</f>
        <v>0</v>
      </c>
      <c r="JM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41,$JT$2:$KS$2,0),MATCH($W$22,$AH$22:$AH$47,0)))*C41</f>
        <v>0</v>
      </c>
      <c r="JN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41,$JT$2:$KS$2,0),MATCH($W$22,$AH$22:$AH$47,0)))*C41</f>
        <v>0</v>
      </c>
      <c r="JO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41,$JT$2:$KS$2,0),MATCH($W$22,$AH$22:$AH$47,0)))*C41</f>
        <v>0</v>
      </c>
      <c r="JP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41,$JT$2:$KS$2,0),MATCH($W$22,$AH$22:$AH$47,0)))*C41</f>
        <v>0</v>
      </c>
      <c r="JQ3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41,$JT$2:$KS$2,0),MATCH($W$22,$AH$22:$AH$47,0)))*C41</f>
        <v>0</v>
      </c>
      <c r="JS37" s="26" t="s">
        <v>520</v>
      </c>
      <c r="JT37" s="20">
        <v>0</v>
      </c>
      <c r="JU37" s="20">
        <v>0</v>
      </c>
      <c r="JV37" s="20">
        <v>0</v>
      </c>
      <c r="JW37" s="20">
        <v>2</v>
      </c>
      <c r="JX37" s="20">
        <v>0</v>
      </c>
      <c r="JY37" s="20">
        <v>2</v>
      </c>
      <c r="JZ37" s="20">
        <v>4</v>
      </c>
      <c r="KA37" s="20">
        <v>0</v>
      </c>
      <c r="KB37" s="20">
        <v>4</v>
      </c>
      <c r="KC37" s="20">
        <v>4</v>
      </c>
      <c r="KD37" s="20">
        <v>2</v>
      </c>
      <c r="KE37" s="20">
        <v>4</v>
      </c>
      <c r="KF37" s="20">
        <v>4</v>
      </c>
      <c r="KG37" s="20">
        <v>6</v>
      </c>
      <c r="KH37" s="20">
        <v>6</v>
      </c>
      <c r="KI37" s="20">
        <v>6</v>
      </c>
      <c r="KJ37" s="20">
        <v>6</v>
      </c>
      <c r="KK37" s="20">
        <v>4</v>
      </c>
      <c r="KL37" s="20">
        <v>8</v>
      </c>
      <c r="KM37" s="20">
        <v>8</v>
      </c>
      <c r="KN37" s="20">
        <v>8</v>
      </c>
      <c r="KO37" s="20">
        <v>8</v>
      </c>
      <c r="KP37" s="20">
        <v>4</v>
      </c>
      <c r="KQ37" s="20">
        <v>10</v>
      </c>
      <c r="KR37" s="20">
        <v>10</v>
      </c>
      <c r="KS37" s="20">
        <v>8</v>
      </c>
      <c r="KU37" s="26" t="s">
        <v>520</v>
      </c>
      <c r="KV37" s="20">
        <v>0</v>
      </c>
      <c r="KW37" s="20">
        <v>0</v>
      </c>
      <c r="KX37" s="20">
        <v>0</v>
      </c>
      <c r="KY37" s="20">
        <v>0</v>
      </c>
      <c r="KZ37" s="20">
        <v>0</v>
      </c>
      <c r="LA37" s="20">
        <v>4</v>
      </c>
      <c r="LB37" s="20">
        <v>0</v>
      </c>
      <c r="LC37" s="20">
        <v>6</v>
      </c>
      <c r="LD37" s="20">
        <v>4</v>
      </c>
      <c r="LE37" s="20">
        <v>0</v>
      </c>
      <c r="LF37" s="20">
        <v>8</v>
      </c>
      <c r="LG37" s="20">
        <v>2</v>
      </c>
      <c r="LH37" s="20">
        <v>10</v>
      </c>
      <c r="LI37" s="20">
        <v>8</v>
      </c>
      <c r="LJ37" s="20">
        <v>0</v>
      </c>
      <c r="LK37" s="20">
        <v>12</v>
      </c>
      <c r="LL37" s="20">
        <v>6</v>
      </c>
      <c r="LM37" s="20">
        <v>16</v>
      </c>
      <c r="LN37" s="20">
        <v>10</v>
      </c>
      <c r="LO37" s="20">
        <v>20</v>
      </c>
      <c r="LP37" s="20">
        <v>2</v>
      </c>
      <c r="LQ37" s="20">
        <v>22</v>
      </c>
      <c r="LR37" s="20">
        <v>14</v>
      </c>
      <c r="LS37" s="20">
        <v>0</v>
      </c>
      <c r="LT37" s="20">
        <v>10</v>
      </c>
      <c r="LU37" s="20">
        <v>4</v>
      </c>
      <c r="LW37" s="26" t="s">
        <v>520</v>
      </c>
      <c r="LX37" s="20">
        <v>0</v>
      </c>
      <c r="LY37" s="20">
        <v>0</v>
      </c>
      <c r="LZ37" s="20">
        <v>0</v>
      </c>
      <c r="MA37" s="20">
        <v>0</v>
      </c>
      <c r="MB37" s="20">
        <v>0</v>
      </c>
      <c r="MC37" s="20">
        <v>4</v>
      </c>
      <c r="MD37" s="20">
        <v>6</v>
      </c>
      <c r="ME37" s="20">
        <v>0</v>
      </c>
      <c r="MF37" s="20">
        <v>2</v>
      </c>
      <c r="MG37" s="20">
        <v>0</v>
      </c>
      <c r="MH37" s="20">
        <v>12</v>
      </c>
      <c r="MI37" s="20">
        <v>12</v>
      </c>
      <c r="MJ37" s="20">
        <v>8</v>
      </c>
      <c r="MK37" s="20">
        <v>8</v>
      </c>
      <c r="ML37" s="20">
        <v>8</v>
      </c>
      <c r="MM37" s="20">
        <v>18</v>
      </c>
      <c r="MN37" s="20">
        <v>18</v>
      </c>
      <c r="MO37" s="20">
        <v>12</v>
      </c>
      <c r="MP37" s="20">
        <v>16</v>
      </c>
      <c r="MQ37" s="20">
        <v>0</v>
      </c>
      <c r="MR37" s="20">
        <v>24</v>
      </c>
      <c r="MS37" s="20">
        <v>12</v>
      </c>
      <c r="MT37" s="20">
        <v>16</v>
      </c>
      <c r="MU37" s="20">
        <v>22</v>
      </c>
      <c r="MV37" s="20">
        <v>20</v>
      </c>
      <c r="MW37" s="20">
        <v>30</v>
      </c>
      <c r="MY37" s="21" t="s">
        <v>520</v>
      </c>
      <c r="MZ37" s="21">
        <v>0</v>
      </c>
      <c r="NA37" s="21">
        <v>0</v>
      </c>
      <c r="NB37" s="21">
        <v>0</v>
      </c>
      <c r="NC37" s="21">
        <v>0</v>
      </c>
      <c r="ND37" s="21">
        <v>4</v>
      </c>
      <c r="NE37" s="21">
        <v>0</v>
      </c>
      <c r="NF37" s="21">
        <v>0</v>
      </c>
      <c r="NG37" s="21">
        <v>0</v>
      </c>
      <c r="NH37" s="21">
        <v>8</v>
      </c>
      <c r="NI37" s="21">
        <v>0</v>
      </c>
      <c r="NJ37" s="21">
        <v>4</v>
      </c>
      <c r="NK37" s="21">
        <v>8</v>
      </c>
      <c r="NL37" s="21">
        <v>14</v>
      </c>
      <c r="NM37" s="21">
        <v>4</v>
      </c>
      <c r="NN37" s="21">
        <v>8</v>
      </c>
      <c r="NO37" s="21">
        <v>12</v>
      </c>
      <c r="NP37" s="21">
        <v>18</v>
      </c>
      <c r="NQ37" s="21">
        <v>16</v>
      </c>
      <c r="NR37" s="21">
        <v>12</v>
      </c>
      <c r="NS37" s="21">
        <v>28</v>
      </c>
      <c r="NT37" s="21">
        <v>22</v>
      </c>
      <c r="NU37" s="21">
        <v>12</v>
      </c>
      <c r="NV37" s="21">
        <v>22</v>
      </c>
      <c r="NW37" s="21">
        <v>34</v>
      </c>
      <c r="NX37" s="21">
        <v>26</v>
      </c>
      <c r="NY37" s="21">
        <v>30</v>
      </c>
      <c r="OB37" s="351" t="s">
        <v>19</v>
      </c>
      <c r="OC37" s="352">
        <v>93</v>
      </c>
    </row>
    <row r="38" spans="1:393" x14ac:dyDescent="0.25">
      <c r="A38" s="8"/>
      <c r="B38" s="5" t="s">
        <v>116</v>
      </c>
      <c r="C38" s="8"/>
      <c r="D38" s="6" t="s">
        <v>1470</v>
      </c>
      <c r="E38" s="8" t="s">
        <v>1471</v>
      </c>
      <c r="F38" s="359"/>
      <c r="G38" s="359"/>
      <c r="H38" s="359"/>
      <c r="I38" s="359"/>
      <c r="J38" s="4"/>
      <c r="K38" s="4"/>
      <c r="L38" s="6" t="str">
        <f>IF(E38=$AT$2,(IF(E35=$AK$22,"SSZ10x20E A2",IF(E35=$AK$23,"SSZ10x20E A2",IF(E35=$AK$24,"SGKFM10X20PV",0)))),IF(E38=$AT$3,(IF(E35=$AK$22,"SMHM10X33E",IF(E35=$AK$23,"SMHM10X33E",IF(E35=$AK$24,"SGKFM10X20PV",0))))))</f>
        <v>SSZ10x20E A2</v>
      </c>
      <c r="M38" s="14">
        <f>INDEX(cennik!$A$2:$O$529,MATCH($L38,cennik!$B$2:$B$522,0),MATCH(M$27,cennik!$A$1:$O$1,0))</f>
        <v>991020</v>
      </c>
      <c r="N38" s="14" t="str">
        <f>INDEX(cennik!$A$2:$O$529,MATCH($L38,cennik!$B$2:$B$522,0),MATCH(N$27,cennik!$A$1:$O$1,0))</f>
        <v>100 szt.</v>
      </c>
      <c r="O38" s="14">
        <f>ROUNDUP(((O37)/100),0)</f>
        <v>1</v>
      </c>
      <c r="P38" s="22">
        <f>INDEX(cennik!$A$2:$O$529,MATCH($L38,cennik!$B$2:$B$522,0),MATCH(P$27,cennik!$A$1:$O$1,0))</f>
        <v>69.75</v>
      </c>
      <c r="Q38" s="22">
        <f>O38*P38</f>
        <v>69.75</v>
      </c>
      <c r="R38" s="23">
        <f t="shared" si="34"/>
        <v>0</v>
      </c>
      <c r="S38" s="22">
        <f t="shared" si="35"/>
        <v>69.75</v>
      </c>
      <c r="T38" s="22">
        <f>O38*S38</f>
        <v>69.75</v>
      </c>
      <c r="U38" s="22">
        <f>INDEX(cennik!$A$2:$O$529,MATCH($L38,cennik!$B$2:$B$522,0),MATCH(U$27,cennik!$A$1:$O$1,0))*O38</f>
        <v>2.5</v>
      </c>
      <c r="V38" s="20"/>
      <c r="W38" s="25"/>
      <c r="X38" s="25"/>
      <c r="Y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$36,$BA$3:$BA$17,0),MATCH(A42,$BB$2:$CA$2,0),MATCH($W$22,$AH$22:$AH$47,0)))*C42</f>
        <v>0</v>
      </c>
      <c r="Z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$28,$BA$3:$BA$17,0),MATCH(A42,$BB$2:$CA$2,0),MATCH($W$22,$AH$22:$AH$47,0)))*C42</f>
        <v>0</v>
      </c>
      <c r="AA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$29,$BA$3:$BA$17,0),MATCH(A42,$BB$2:$CA$2,0),MATCH($W$22,$AH$22:$AH$47,0)))*C42</f>
        <v>0</v>
      </c>
      <c r="AB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$30,$BA$3:$BA$17,0),MATCH(A42,$BB$2:$CA$2,0),MATCH($W$22,$AH$22:$AH$47,0)))*C42</f>
        <v>0</v>
      </c>
      <c r="AC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$32,$BA$3:$BA$17,0),MATCH(A42,$BB$2:$CA$2,0),MATCH($W$22,$AH$22:$AH$47,0)))*C42</f>
        <v>0</v>
      </c>
      <c r="AD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$33,$BA$3:$BA$17,0),MATCH(A42,$BB$2:$CA$2,0),MATCH($W$22,$AH$22:$AH$47,0)))*C42</f>
        <v>0</v>
      </c>
      <c r="AE38" s="20"/>
      <c r="AF38" s="20"/>
      <c r="AG38" s="20"/>
      <c r="AH38" s="20" t="s">
        <v>137</v>
      </c>
      <c r="AI38" s="20"/>
      <c r="AJ38" s="20">
        <v>2050</v>
      </c>
      <c r="AK38" s="20"/>
      <c r="AL38" s="20"/>
      <c r="AM38" s="20"/>
      <c r="AN38" s="20" t="s">
        <v>13</v>
      </c>
      <c r="AO38" s="20" t="s">
        <v>77</v>
      </c>
      <c r="AP38" s="20"/>
      <c r="AQ38" s="20"/>
      <c r="AS38" s="20"/>
      <c r="AT38" s="20" t="s">
        <v>6</v>
      </c>
      <c r="AU38" s="20" t="s">
        <v>78</v>
      </c>
      <c r="AV38" s="20"/>
      <c r="AW38" s="20"/>
      <c r="AX38" s="20"/>
      <c r="AY38" s="20"/>
      <c r="AZ38" s="20"/>
      <c r="BA38" s="20"/>
      <c r="BB38" s="20">
        <v>0</v>
      </c>
      <c r="BC38" s="20">
        <v>1</v>
      </c>
      <c r="BD38" s="20">
        <v>2</v>
      </c>
      <c r="BE38" s="20">
        <v>3</v>
      </c>
      <c r="BF38" s="20">
        <v>4</v>
      </c>
      <c r="BG38" s="20">
        <v>5</v>
      </c>
      <c r="BH38" s="20">
        <v>6</v>
      </c>
      <c r="BI38" s="20">
        <v>7</v>
      </c>
      <c r="BJ38" s="20">
        <v>8</v>
      </c>
      <c r="BK38" s="20">
        <v>9</v>
      </c>
      <c r="BL38" s="20">
        <v>10</v>
      </c>
      <c r="BM38" s="20">
        <v>11</v>
      </c>
      <c r="BN38" s="20">
        <v>12</v>
      </c>
      <c r="BO38" s="20">
        <v>13</v>
      </c>
      <c r="BP38" s="20">
        <v>14</v>
      </c>
      <c r="BQ38" s="20">
        <v>15</v>
      </c>
      <c r="BR38" s="20">
        <v>16</v>
      </c>
      <c r="BS38" s="20">
        <v>17</v>
      </c>
      <c r="BT38" s="20">
        <v>18</v>
      </c>
      <c r="BU38" s="20">
        <v>19</v>
      </c>
      <c r="BV38" s="20">
        <v>20</v>
      </c>
      <c r="BW38" s="20">
        <v>21</v>
      </c>
      <c r="BX38" s="20">
        <v>22</v>
      </c>
      <c r="BY38" s="20">
        <v>23</v>
      </c>
      <c r="BZ38" s="20">
        <v>24</v>
      </c>
      <c r="CA38" s="20">
        <v>25</v>
      </c>
      <c r="CB38" s="20">
        <v>26</v>
      </c>
      <c r="CC38" s="20">
        <v>27</v>
      </c>
      <c r="CD38" s="20">
        <v>28</v>
      </c>
      <c r="CE38" s="20">
        <v>29</v>
      </c>
      <c r="CF38" s="20">
        <v>30</v>
      </c>
      <c r="CG38" s="20">
        <v>31</v>
      </c>
      <c r="CH38" s="20">
        <v>32</v>
      </c>
      <c r="CI38" s="20">
        <v>33</v>
      </c>
      <c r="CJ38" s="20">
        <v>34</v>
      </c>
      <c r="CK38" s="20">
        <v>35</v>
      </c>
      <c r="CL38" s="20">
        <v>36</v>
      </c>
      <c r="CM38" s="20">
        <v>37</v>
      </c>
      <c r="CN38" s="20">
        <v>38</v>
      </c>
      <c r="CO38" s="20">
        <v>39</v>
      </c>
      <c r="CP38" s="20">
        <v>40</v>
      </c>
      <c r="CQ38" s="20">
        <v>41</v>
      </c>
      <c r="CR38" s="20">
        <v>42</v>
      </c>
      <c r="CS38" s="20">
        <v>43</v>
      </c>
      <c r="CT38" s="20">
        <v>44</v>
      </c>
      <c r="CU38" s="20">
        <v>45</v>
      </c>
      <c r="CV38" s="20">
        <v>46</v>
      </c>
      <c r="CW38" s="20">
        <v>47</v>
      </c>
      <c r="CX38" s="20">
        <v>48</v>
      </c>
      <c r="CY38" s="20">
        <v>49</v>
      </c>
      <c r="CZ38" s="20">
        <v>50</v>
      </c>
      <c r="DA38" s="54"/>
      <c r="DB38" s="54">
        <v>37</v>
      </c>
      <c r="DC38" s="54"/>
      <c r="DD38" s="20" t="s">
        <v>518</v>
      </c>
      <c r="DE38" s="20">
        <v>0</v>
      </c>
      <c r="DF38" s="20">
        <v>2</v>
      </c>
      <c r="DG38" s="20">
        <v>0</v>
      </c>
      <c r="DH38" s="20">
        <v>4</v>
      </c>
      <c r="DI38" s="20">
        <v>2</v>
      </c>
      <c r="DJ38" s="20">
        <v>0</v>
      </c>
      <c r="DK38" s="20">
        <v>4</v>
      </c>
      <c r="DL38" s="20">
        <v>2</v>
      </c>
      <c r="DM38" s="20">
        <v>0</v>
      </c>
      <c r="DN38" s="20">
        <v>4</v>
      </c>
      <c r="DO38" s="20">
        <v>2</v>
      </c>
      <c r="DP38" s="20">
        <v>0</v>
      </c>
      <c r="DQ38" s="20">
        <v>4</v>
      </c>
      <c r="DR38" s="20">
        <v>2</v>
      </c>
      <c r="DS38" s="20">
        <v>0</v>
      </c>
      <c r="DT38" s="20">
        <v>2</v>
      </c>
      <c r="DU38" s="20">
        <v>0</v>
      </c>
      <c r="DV38" s="20">
        <v>4</v>
      </c>
      <c r="DW38" s="20">
        <v>2</v>
      </c>
      <c r="DX38" s="20">
        <v>0</v>
      </c>
      <c r="DY38" s="20">
        <v>4</v>
      </c>
      <c r="DZ38" s="20"/>
      <c r="EA38" s="20"/>
      <c r="EB38" s="20"/>
      <c r="EC38" s="20">
        <v>0</v>
      </c>
      <c r="ED38" s="20">
        <v>1</v>
      </c>
      <c r="EE38" s="20">
        <v>2</v>
      </c>
      <c r="EF38" s="20">
        <v>3</v>
      </c>
      <c r="EG38" s="20">
        <v>4</v>
      </c>
      <c r="EH38" s="20">
        <v>5</v>
      </c>
      <c r="EI38" s="20">
        <v>6</v>
      </c>
      <c r="EJ38" s="20">
        <v>7</v>
      </c>
      <c r="EK38" s="20">
        <v>8</v>
      </c>
      <c r="EL38" s="20">
        <v>9</v>
      </c>
      <c r="EM38" s="20">
        <v>10</v>
      </c>
      <c r="EN38" s="20">
        <v>11</v>
      </c>
      <c r="EO38" s="20">
        <v>12</v>
      </c>
      <c r="EP38" s="20">
        <v>13</v>
      </c>
      <c r="EQ38" s="20">
        <v>14</v>
      </c>
      <c r="ER38" s="20">
        <v>15</v>
      </c>
      <c r="ES38" s="20">
        <v>16</v>
      </c>
      <c r="ET38" s="20">
        <v>17</v>
      </c>
      <c r="EU38" s="20">
        <v>18</v>
      </c>
      <c r="EV38" s="20">
        <v>19</v>
      </c>
      <c r="EW38" s="20">
        <v>20</v>
      </c>
      <c r="EX38" s="20">
        <v>21</v>
      </c>
      <c r="EY38" s="20">
        <v>22</v>
      </c>
      <c r="EZ38" s="20">
        <v>23</v>
      </c>
      <c r="FA38" s="20">
        <v>24</v>
      </c>
      <c r="FB38" s="20">
        <v>25</v>
      </c>
      <c r="FC38" s="20">
        <v>26</v>
      </c>
      <c r="FD38" s="20">
        <v>27</v>
      </c>
      <c r="FE38" s="20">
        <v>28</v>
      </c>
      <c r="FF38" s="20">
        <v>29</v>
      </c>
      <c r="FG38" s="20">
        <v>30</v>
      </c>
      <c r="FH38" s="20">
        <v>31</v>
      </c>
      <c r="FI38" s="20">
        <v>32</v>
      </c>
      <c r="FJ38" s="20">
        <v>33</v>
      </c>
      <c r="FK38" s="20">
        <v>34</v>
      </c>
      <c r="FL38" s="20">
        <v>35</v>
      </c>
      <c r="FM38" s="20">
        <v>36</v>
      </c>
      <c r="FN38" s="20">
        <v>37</v>
      </c>
      <c r="FO38" s="20">
        <v>38</v>
      </c>
      <c r="FP38" s="20">
        <v>39</v>
      </c>
      <c r="FQ38" s="20">
        <v>40</v>
      </c>
      <c r="FR38" s="20">
        <v>41</v>
      </c>
      <c r="FS38" s="20">
        <v>42</v>
      </c>
      <c r="FT38" s="20">
        <v>43</v>
      </c>
      <c r="FU38" s="20">
        <v>44</v>
      </c>
      <c r="FV38" s="20">
        <v>45</v>
      </c>
      <c r="FW38" s="20">
        <v>46</v>
      </c>
      <c r="FX38" s="20">
        <v>47</v>
      </c>
      <c r="FY38" s="20">
        <v>48</v>
      </c>
      <c r="FZ38" s="20">
        <v>49</v>
      </c>
      <c r="GA38" s="20">
        <v>50</v>
      </c>
      <c r="GC38" s="20"/>
      <c r="GD38" s="20"/>
      <c r="GE38" s="20"/>
      <c r="GF38" s="20">
        <v>0</v>
      </c>
      <c r="GG38" s="20">
        <v>1</v>
      </c>
      <c r="GH38" s="20">
        <v>2</v>
      </c>
      <c r="GI38" s="20">
        <v>3</v>
      </c>
      <c r="GJ38" s="20">
        <v>4</v>
      </c>
      <c r="GK38" s="20">
        <v>5</v>
      </c>
      <c r="GL38" s="20">
        <v>6</v>
      </c>
      <c r="GM38" s="20">
        <v>7</v>
      </c>
      <c r="GN38" s="20">
        <v>8</v>
      </c>
      <c r="GO38" s="20">
        <v>9</v>
      </c>
      <c r="GP38" s="20">
        <v>10</v>
      </c>
      <c r="GQ38" s="20">
        <v>11</v>
      </c>
      <c r="GR38" s="20">
        <v>12</v>
      </c>
      <c r="GS38" s="20">
        <v>13</v>
      </c>
      <c r="GT38" s="20">
        <v>14</v>
      </c>
      <c r="GU38" s="20">
        <v>15</v>
      </c>
      <c r="GV38" s="20">
        <v>16</v>
      </c>
      <c r="GW38" s="20">
        <v>17</v>
      </c>
      <c r="GX38" s="20">
        <v>18</v>
      </c>
      <c r="GY38" s="20">
        <v>19</v>
      </c>
      <c r="GZ38" s="20">
        <v>20</v>
      </c>
      <c r="HA38" s="20">
        <v>21</v>
      </c>
      <c r="HB38" s="20">
        <v>22</v>
      </c>
      <c r="HC38" s="20">
        <v>23</v>
      </c>
      <c r="HD38" s="20">
        <v>24</v>
      </c>
      <c r="HE38" s="20">
        <v>25</v>
      </c>
      <c r="HF38" s="20">
        <v>26</v>
      </c>
      <c r="HG38" s="20">
        <v>27</v>
      </c>
      <c r="HH38" s="20">
        <v>28</v>
      </c>
      <c r="HI38" s="20">
        <v>29</v>
      </c>
      <c r="HJ38" s="20">
        <v>30</v>
      </c>
      <c r="HK38" s="20">
        <v>31</v>
      </c>
      <c r="HL38" s="20">
        <v>32</v>
      </c>
      <c r="HM38" s="20">
        <v>33</v>
      </c>
      <c r="HN38" s="20">
        <v>34</v>
      </c>
      <c r="HO38" s="20">
        <v>35</v>
      </c>
      <c r="HP38" s="20">
        <v>36</v>
      </c>
      <c r="HQ38" s="20">
        <v>37</v>
      </c>
      <c r="HR38" s="20">
        <v>38</v>
      </c>
      <c r="HS38" s="20">
        <v>39</v>
      </c>
      <c r="HT38" s="20">
        <v>40</v>
      </c>
      <c r="HU38" s="20">
        <v>41</v>
      </c>
      <c r="HV38" s="20">
        <v>42</v>
      </c>
      <c r="HW38" s="20">
        <v>43</v>
      </c>
      <c r="HX38" s="20">
        <v>44</v>
      </c>
      <c r="HY38" s="20">
        <v>45</v>
      </c>
      <c r="HZ38" s="20">
        <v>46</v>
      </c>
      <c r="IA38" s="20">
        <v>47</v>
      </c>
      <c r="IB38" s="20">
        <v>48</v>
      </c>
      <c r="IC38" s="20">
        <v>49</v>
      </c>
      <c r="ID38" s="20">
        <v>50</v>
      </c>
      <c r="IG38" s="21">
        <v>0</v>
      </c>
      <c r="IH38" s="21">
        <v>1</v>
      </c>
      <c r="II38" s="21">
        <v>2</v>
      </c>
      <c r="IJ38" s="21">
        <v>3</v>
      </c>
      <c r="IK38" s="21">
        <v>4</v>
      </c>
      <c r="IL38" s="21">
        <v>5</v>
      </c>
      <c r="IM38" s="21">
        <v>6</v>
      </c>
      <c r="IN38" s="21">
        <v>7</v>
      </c>
      <c r="IO38" s="21">
        <v>8</v>
      </c>
      <c r="IP38" s="21">
        <v>9</v>
      </c>
      <c r="IQ38" s="21">
        <v>10</v>
      </c>
      <c r="IR38" s="21">
        <v>11</v>
      </c>
      <c r="IS38" s="21">
        <v>12</v>
      </c>
      <c r="IT38" s="21">
        <v>13</v>
      </c>
      <c r="IU38" s="21">
        <v>14</v>
      </c>
      <c r="IV38" s="21">
        <v>15</v>
      </c>
      <c r="IW38" s="21">
        <v>16</v>
      </c>
      <c r="IX38" s="21">
        <v>17</v>
      </c>
      <c r="IY38" s="21">
        <v>18</v>
      </c>
      <c r="IZ38" s="21">
        <v>19</v>
      </c>
      <c r="JA38" s="21">
        <v>20</v>
      </c>
      <c r="JB38" s="21">
        <v>21</v>
      </c>
      <c r="JC38" s="21">
        <v>22</v>
      </c>
      <c r="JD38" s="21">
        <v>23</v>
      </c>
      <c r="JE38" s="21">
        <v>24</v>
      </c>
      <c r="JF38" s="21">
        <v>25</v>
      </c>
      <c r="JI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$36,$JS$3:$JS$20,0),MATCH(A42,$JT$2:$KS$2,0),MATCH($W$22,$AH$22:$AH$47,0)))*C42</f>
        <v>0</v>
      </c>
      <c r="JJ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$28,$JS$3:$JS$20,0),MATCH(A42,$JT$2:$KS$2,0),MATCH($W$22,$AH$22:$AH$47,0)))*C42</f>
        <v>0</v>
      </c>
      <c r="JK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$29,$JS$3:$JS$20,0),MATCH(A42,$JT$2:$KS$2,0),MATCH($W$22,$AH$22:$AH$47,0)))*C42</f>
        <v>0</v>
      </c>
      <c r="JL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$30,$JS$3:$JS$20,0),MATCH(A42,$JT$2:$KS$2,0),MATCH($W$22,$AH$22:$AH$47,0)))*C42</f>
        <v>0</v>
      </c>
      <c r="JM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$31,$JS$3:$JS$20,0),MATCH(A42,$JT$2:$KS$2,0),MATCH($W$22,$AH$22:$AH$47,0)))*C42</f>
        <v>0</v>
      </c>
      <c r="JN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$32,$JS$3:$JS$20,0),MATCH(A42,$JT$2:$KS$2,0),MATCH($W$22,$AH$22:$AH$47,0)))*C42</f>
        <v>0</v>
      </c>
      <c r="JO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$33,$JS$3:$JS$20,0),MATCH(A42,$JT$2:$KS$2,0),MATCH($W$22,$AH$22:$AH$47,0)))*C42</f>
        <v>0</v>
      </c>
      <c r="JP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$34,$JS$3:$JS$20,0),MATCH(A42,$JT$2:$KS$2,0),MATCH($W$22,$AH$22:$AH$47,0)))*C42</f>
        <v>0</v>
      </c>
      <c r="JQ3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$35,$JS$3:$JS$20,0),MATCH(A42,$JT$2:$KS$2,0),MATCH($W$22,$AH$22:$AH$47,0)))*C42</f>
        <v>0</v>
      </c>
      <c r="JS38" s="26" t="s">
        <v>521</v>
      </c>
      <c r="JT38" s="20">
        <v>0</v>
      </c>
      <c r="JU38" s="20">
        <v>0</v>
      </c>
      <c r="JV38" s="20">
        <v>0</v>
      </c>
      <c r="JW38" s="20">
        <v>0</v>
      </c>
      <c r="JX38" s="20">
        <v>4</v>
      </c>
      <c r="JY38" s="20">
        <v>4</v>
      </c>
      <c r="JZ38" s="20">
        <v>4</v>
      </c>
      <c r="KA38" s="20">
        <v>8</v>
      </c>
      <c r="KB38" s="20">
        <v>8</v>
      </c>
      <c r="KC38" s="20">
        <v>8</v>
      </c>
      <c r="KD38" s="20">
        <v>12</v>
      </c>
      <c r="KE38" s="20">
        <v>12</v>
      </c>
      <c r="KF38" s="20">
        <v>12</v>
      </c>
      <c r="KG38" s="20">
        <v>16</v>
      </c>
      <c r="KH38" s="20">
        <v>16</v>
      </c>
      <c r="KI38" s="20">
        <v>16</v>
      </c>
      <c r="KJ38" s="20">
        <v>20</v>
      </c>
      <c r="KK38" s="20">
        <v>20</v>
      </c>
      <c r="KL38" s="20">
        <v>20</v>
      </c>
      <c r="KM38" s="20">
        <v>24</v>
      </c>
      <c r="KN38" s="20">
        <v>24</v>
      </c>
      <c r="KO38" s="20">
        <v>24</v>
      </c>
      <c r="KP38" s="20">
        <v>28</v>
      </c>
      <c r="KQ38" s="20">
        <v>28</v>
      </c>
      <c r="KR38" s="20">
        <v>28</v>
      </c>
      <c r="KS38" s="20">
        <v>32</v>
      </c>
      <c r="KU38" s="26" t="s">
        <v>521</v>
      </c>
      <c r="KV38" s="20">
        <v>0</v>
      </c>
      <c r="KW38" s="20">
        <v>0</v>
      </c>
      <c r="KX38" s="20">
        <v>4</v>
      </c>
      <c r="KY38" s="20">
        <v>4</v>
      </c>
      <c r="KZ38" s="20">
        <v>8</v>
      </c>
      <c r="LA38" s="20">
        <v>8</v>
      </c>
      <c r="LB38" s="20">
        <v>12</v>
      </c>
      <c r="LC38" s="20">
        <v>12</v>
      </c>
      <c r="LD38" s="20">
        <v>16</v>
      </c>
      <c r="LE38" s="20">
        <v>16</v>
      </c>
      <c r="LF38" s="20">
        <v>20</v>
      </c>
      <c r="LG38" s="20">
        <v>20</v>
      </c>
      <c r="LH38" s="20">
        <v>24</v>
      </c>
      <c r="LI38" s="20">
        <v>24</v>
      </c>
      <c r="LJ38" s="20">
        <v>28</v>
      </c>
      <c r="LK38" s="20">
        <v>28</v>
      </c>
      <c r="LL38" s="20">
        <v>32</v>
      </c>
      <c r="LM38" s="20">
        <v>32</v>
      </c>
      <c r="LN38" s="20">
        <v>36</v>
      </c>
      <c r="LO38" s="20">
        <v>36</v>
      </c>
      <c r="LP38" s="20">
        <v>40</v>
      </c>
      <c r="LQ38" s="20">
        <v>40</v>
      </c>
      <c r="LR38" s="20">
        <v>44</v>
      </c>
      <c r="LS38" s="20">
        <v>48</v>
      </c>
      <c r="LT38" s="20">
        <v>48</v>
      </c>
      <c r="LU38" s="20">
        <v>52</v>
      </c>
      <c r="LW38" s="26" t="s">
        <v>521</v>
      </c>
      <c r="LX38" s="20">
        <v>0</v>
      </c>
      <c r="LY38" s="20">
        <v>0</v>
      </c>
      <c r="LZ38" s="20">
        <v>4</v>
      </c>
      <c r="MA38" s="20">
        <v>4</v>
      </c>
      <c r="MB38" s="20">
        <v>8</v>
      </c>
      <c r="MC38" s="20">
        <v>12</v>
      </c>
      <c r="MD38" s="20">
        <v>12</v>
      </c>
      <c r="ME38" s="20">
        <v>16</v>
      </c>
      <c r="MF38" s="20">
        <v>16</v>
      </c>
      <c r="MG38" s="20">
        <v>20</v>
      </c>
      <c r="MH38" s="20">
        <v>20</v>
      </c>
      <c r="MI38" s="20">
        <v>24</v>
      </c>
      <c r="MJ38" s="20">
        <v>28</v>
      </c>
      <c r="MK38" s="20">
        <v>28</v>
      </c>
      <c r="ML38" s="20">
        <v>32</v>
      </c>
      <c r="MM38" s="20">
        <v>32</v>
      </c>
      <c r="MN38" s="20">
        <v>36</v>
      </c>
      <c r="MO38" s="20">
        <v>40</v>
      </c>
      <c r="MP38" s="20">
        <v>40</v>
      </c>
      <c r="MQ38" s="20">
        <v>44</v>
      </c>
      <c r="MR38" s="20">
        <v>44</v>
      </c>
      <c r="MS38" s="20">
        <v>48</v>
      </c>
      <c r="MT38" s="20">
        <v>52</v>
      </c>
      <c r="MU38" s="20">
        <v>52</v>
      </c>
      <c r="MV38" s="20">
        <v>56</v>
      </c>
      <c r="MW38" s="20">
        <v>56</v>
      </c>
      <c r="MY38" s="21" t="s">
        <v>521</v>
      </c>
      <c r="MZ38" s="21">
        <v>0</v>
      </c>
      <c r="NA38" s="21">
        <v>0</v>
      </c>
      <c r="NB38" s="21">
        <v>4</v>
      </c>
      <c r="NC38" s="21">
        <v>8</v>
      </c>
      <c r="ND38" s="21">
        <v>8</v>
      </c>
      <c r="NE38" s="21">
        <v>12</v>
      </c>
      <c r="NF38" s="21">
        <v>16</v>
      </c>
      <c r="NG38" s="21">
        <v>20</v>
      </c>
      <c r="NH38" s="21">
        <v>20</v>
      </c>
      <c r="NI38" s="21">
        <v>24</v>
      </c>
      <c r="NJ38" s="21">
        <v>28</v>
      </c>
      <c r="NK38" s="21">
        <v>32</v>
      </c>
      <c r="NL38" s="21">
        <v>32</v>
      </c>
      <c r="NM38" s="21">
        <v>36</v>
      </c>
      <c r="NN38" s="21">
        <v>40</v>
      </c>
      <c r="NO38" s="21">
        <v>44</v>
      </c>
      <c r="NP38" s="21">
        <v>44</v>
      </c>
      <c r="NQ38" s="21">
        <v>48</v>
      </c>
      <c r="NR38" s="21">
        <v>52</v>
      </c>
      <c r="NS38" s="21">
        <v>52</v>
      </c>
      <c r="NT38" s="21">
        <v>56</v>
      </c>
      <c r="NU38" s="21">
        <v>60</v>
      </c>
      <c r="NV38" s="21">
        <v>64</v>
      </c>
      <c r="NW38" s="21">
        <v>64</v>
      </c>
      <c r="NX38" s="21">
        <v>68</v>
      </c>
      <c r="NY38" s="21">
        <v>72</v>
      </c>
      <c r="OB38" s="353" t="s">
        <v>919</v>
      </c>
      <c r="OC38" s="352">
        <v>121.59</v>
      </c>
    </row>
    <row r="39" spans="1:393" x14ac:dyDescent="0.25">
      <c r="A39" s="8"/>
      <c r="B39" s="5" t="s">
        <v>116</v>
      </c>
      <c r="C39" s="8"/>
      <c r="D39" s="6" t="s">
        <v>1469</v>
      </c>
      <c r="E39" s="4"/>
      <c r="F39" s="359"/>
      <c r="G39" s="359"/>
      <c r="H39" s="359"/>
      <c r="I39" s="359"/>
      <c r="J39" s="4"/>
      <c r="K39" s="4"/>
      <c r="L39" s="6" t="str">
        <f>IF(E35=$AK$22,"PP10E A2",IF(E35=$AK$23,"PP10E A2",IF(E35=$AK$24,"-------",0)))</f>
        <v>PP10E A2</v>
      </c>
      <c r="M39" s="14">
        <f>INDEX(cennik!$A$2:$O$529,MATCH($L39,cennik!$B$2:$B$522,0),MATCH(M$27,cennik!$A$1:$O$1,0))</f>
        <v>652300</v>
      </c>
      <c r="N39" s="14" t="str">
        <f>INDEX(cennik!$A$2:$O$529,MATCH($L39,cennik!$B$2:$B$522,0),MATCH(N$27,cennik!$A$1:$O$1,0))</f>
        <v>100 szt.</v>
      </c>
      <c r="O39" s="14">
        <f>IF(L39="-------",0,O38)</f>
        <v>1</v>
      </c>
      <c r="P39" s="22">
        <f>INDEX(cennik!$A$2:$O$529,MATCH($L39,cennik!$B$2:$B$522,0),MATCH(P$27,cennik!$A$1:$O$1,0))</f>
        <v>12.39</v>
      </c>
      <c r="Q39" s="22">
        <f t="shared" ref="Q39" si="42">O39*P39</f>
        <v>12.39</v>
      </c>
      <c r="R39" s="23">
        <f t="shared" si="34"/>
        <v>0</v>
      </c>
      <c r="S39" s="22">
        <f t="shared" si="35"/>
        <v>12.39</v>
      </c>
      <c r="T39" s="22">
        <f t="shared" ref="T39" si="43">O39*S39</f>
        <v>12.39</v>
      </c>
      <c r="U39" s="22">
        <f>INDEX(cennik!$A$2:$O$529,MATCH($L39,cennik!$B$2:$B$522,0),MATCH(U$27,cennik!$A$1:$O$1,0))*O39</f>
        <v>0.32</v>
      </c>
      <c r="V39" s="20"/>
      <c r="W39" s="25"/>
      <c r="X39" s="25"/>
      <c r="Y39" s="25"/>
      <c r="Z39" s="25"/>
      <c r="AA39" s="25"/>
      <c r="AB39" s="25"/>
      <c r="AC39" s="25"/>
      <c r="AD39" s="25"/>
      <c r="AE39" s="20"/>
      <c r="AF39" s="20"/>
      <c r="AG39" s="20"/>
      <c r="AH39" s="20" t="s">
        <v>138</v>
      </c>
      <c r="AI39" s="20"/>
      <c r="AJ39" s="20">
        <v>2100</v>
      </c>
      <c r="AK39" s="20"/>
      <c r="AL39" s="20"/>
      <c r="AM39" s="20"/>
      <c r="AN39" s="20"/>
      <c r="AO39" s="20"/>
      <c r="AP39" s="20"/>
      <c r="AQ39" s="20"/>
      <c r="AS39" s="20"/>
      <c r="AT39" s="20"/>
      <c r="AU39" s="20"/>
      <c r="AV39" s="20"/>
      <c r="AW39" s="20"/>
      <c r="AX39" s="20"/>
      <c r="AY39" s="20"/>
      <c r="AZ39" s="20"/>
      <c r="BA39" s="20" t="s">
        <v>126</v>
      </c>
      <c r="BB39" s="20">
        <v>0</v>
      </c>
      <c r="BC39" s="20">
        <v>0</v>
      </c>
      <c r="BD39" s="20">
        <v>4</v>
      </c>
      <c r="BE39" s="20">
        <v>6</v>
      </c>
      <c r="BF39" s="20">
        <v>0</v>
      </c>
      <c r="BG39" s="20">
        <v>0</v>
      </c>
      <c r="BH39" s="20">
        <v>0</v>
      </c>
      <c r="BI39" s="20">
        <v>0</v>
      </c>
      <c r="BJ39" s="20">
        <v>0</v>
      </c>
      <c r="BK39" s="20">
        <v>0</v>
      </c>
      <c r="BL39" s="20">
        <v>0</v>
      </c>
      <c r="BM39" s="20">
        <v>0</v>
      </c>
      <c r="BN39" s="20">
        <v>0</v>
      </c>
      <c r="BO39" s="20">
        <v>0</v>
      </c>
      <c r="BP39" s="20">
        <v>0</v>
      </c>
      <c r="BQ39" s="20">
        <v>0</v>
      </c>
      <c r="BR39" s="20">
        <v>0</v>
      </c>
      <c r="BS39" s="20">
        <v>0</v>
      </c>
      <c r="BT39" s="20">
        <v>0</v>
      </c>
      <c r="BU39" s="20">
        <v>0</v>
      </c>
      <c r="BV39" s="20">
        <v>0</v>
      </c>
      <c r="BW39" s="20">
        <v>0</v>
      </c>
      <c r="BX39" s="20">
        <v>0</v>
      </c>
      <c r="BY39" s="20">
        <v>0</v>
      </c>
      <c r="BZ39" s="20">
        <v>0</v>
      </c>
      <c r="CA39" s="20">
        <v>0</v>
      </c>
      <c r="CB39" s="20">
        <v>0</v>
      </c>
      <c r="CC39" s="20">
        <v>0</v>
      </c>
      <c r="CD39" s="20">
        <v>0</v>
      </c>
      <c r="CE39" s="20">
        <v>0</v>
      </c>
      <c r="CF39" s="20">
        <v>0</v>
      </c>
      <c r="CG39" s="20">
        <v>0</v>
      </c>
      <c r="CH39" s="20">
        <v>0</v>
      </c>
      <c r="CI39" s="20">
        <v>0</v>
      </c>
      <c r="CJ39" s="20">
        <v>0</v>
      </c>
      <c r="CK39" s="20">
        <v>0</v>
      </c>
      <c r="CL39" s="20">
        <v>0</v>
      </c>
      <c r="CM39" s="20">
        <v>0</v>
      </c>
      <c r="CN39" s="20">
        <v>0</v>
      </c>
      <c r="CO39" s="20">
        <v>0</v>
      </c>
      <c r="CP39" s="20">
        <v>0</v>
      </c>
      <c r="CQ39" s="20">
        <v>0</v>
      </c>
      <c r="CR39" s="20">
        <v>0</v>
      </c>
      <c r="CS39" s="20">
        <v>0</v>
      </c>
      <c r="CT39" s="20">
        <v>0</v>
      </c>
      <c r="CU39" s="20">
        <v>0</v>
      </c>
      <c r="CV39" s="20">
        <v>0</v>
      </c>
      <c r="CW39" s="20">
        <v>0</v>
      </c>
      <c r="CX39" s="20">
        <v>0</v>
      </c>
      <c r="CY39" s="20">
        <v>0</v>
      </c>
      <c r="CZ39" s="20">
        <v>0</v>
      </c>
      <c r="DA39" s="54"/>
      <c r="DB39" s="54">
        <v>38</v>
      </c>
      <c r="DC39" s="54"/>
      <c r="DD39" s="20" t="s">
        <v>520</v>
      </c>
      <c r="DE39" s="20">
        <v>0</v>
      </c>
      <c r="DF39" s="20">
        <v>0</v>
      </c>
      <c r="DG39" s="20">
        <v>2</v>
      </c>
      <c r="DH39" s="20">
        <v>0</v>
      </c>
      <c r="DI39" s="20">
        <v>2</v>
      </c>
      <c r="DJ39" s="20">
        <v>4</v>
      </c>
      <c r="DK39" s="20">
        <v>2</v>
      </c>
      <c r="DL39" s="20">
        <v>4</v>
      </c>
      <c r="DM39" s="20">
        <v>6</v>
      </c>
      <c r="DN39" s="20">
        <v>4</v>
      </c>
      <c r="DO39" s="20">
        <v>6</v>
      </c>
      <c r="DP39" s="20">
        <v>8</v>
      </c>
      <c r="DQ39" s="20">
        <v>6</v>
      </c>
      <c r="DR39" s="20">
        <v>8</v>
      </c>
      <c r="DS39" s="20">
        <v>10</v>
      </c>
      <c r="DT39" s="20">
        <v>10</v>
      </c>
      <c r="DU39" s="20">
        <v>12</v>
      </c>
      <c r="DV39" s="20">
        <v>10</v>
      </c>
      <c r="DW39" s="20">
        <v>12</v>
      </c>
      <c r="DX39" s="20">
        <v>14</v>
      </c>
      <c r="DY39" s="20">
        <v>12</v>
      </c>
      <c r="DZ39" s="20"/>
      <c r="EA39" s="20"/>
      <c r="EB39" s="20" t="s">
        <v>126</v>
      </c>
      <c r="EC39" s="20">
        <v>0</v>
      </c>
      <c r="ED39" s="20">
        <v>0</v>
      </c>
      <c r="EE39" s="20">
        <v>0</v>
      </c>
      <c r="EF39" s="20">
        <v>0</v>
      </c>
      <c r="EG39" s="20">
        <v>0</v>
      </c>
      <c r="EH39" s="20">
        <v>0</v>
      </c>
      <c r="EI39" s="20">
        <v>0</v>
      </c>
      <c r="EJ39" s="20">
        <v>0</v>
      </c>
      <c r="EK39" s="20">
        <v>0</v>
      </c>
      <c r="EL39" s="20">
        <v>0</v>
      </c>
      <c r="EM39" s="20">
        <v>0</v>
      </c>
      <c r="EN39" s="20">
        <v>0</v>
      </c>
      <c r="EO39" s="20">
        <v>0</v>
      </c>
      <c r="EP39" s="20">
        <v>0</v>
      </c>
      <c r="EQ39" s="20">
        <v>0</v>
      </c>
      <c r="ER39" s="20">
        <v>0</v>
      </c>
      <c r="ES39" s="20">
        <v>0</v>
      </c>
      <c r="ET39" s="20">
        <v>0</v>
      </c>
      <c r="EU39" s="20">
        <v>0</v>
      </c>
      <c r="EV39" s="20">
        <v>0</v>
      </c>
      <c r="EW39" s="20">
        <v>0</v>
      </c>
      <c r="EX39" s="20">
        <v>0</v>
      </c>
      <c r="EY39" s="20">
        <v>0</v>
      </c>
      <c r="EZ39" s="20">
        <v>0</v>
      </c>
      <c r="FA39" s="20">
        <v>0</v>
      </c>
      <c r="FB39" s="20">
        <v>0</v>
      </c>
      <c r="FC39" s="20">
        <v>0</v>
      </c>
      <c r="FD39" s="20">
        <v>0</v>
      </c>
      <c r="FE39" s="20">
        <v>0</v>
      </c>
      <c r="FF39" s="20">
        <v>0</v>
      </c>
      <c r="FG39" s="20">
        <v>0</v>
      </c>
      <c r="FH39" s="20">
        <v>0</v>
      </c>
      <c r="FI39" s="20">
        <v>0</v>
      </c>
      <c r="FJ39" s="20">
        <v>0</v>
      </c>
      <c r="FK39" s="20">
        <v>0</v>
      </c>
      <c r="FL39" s="20">
        <v>0</v>
      </c>
      <c r="FM39" s="20">
        <v>0</v>
      </c>
      <c r="FN39" s="20">
        <v>0</v>
      </c>
      <c r="FO39" s="20">
        <v>0</v>
      </c>
      <c r="FP39" s="20">
        <v>0</v>
      </c>
      <c r="FQ39" s="20">
        <v>0</v>
      </c>
      <c r="FR39" s="20">
        <v>0</v>
      </c>
      <c r="FS39" s="20">
        <v>0</v>
      </c>
      <c r="FT39" s="20">
        <v>0</v>
      </c>
      <c r="FU39" s="20">
        <v>0</v>
      </c>
      <c r="FV39" s="20">
        <v>0</v>
      </c>
      <c r="FW39" s="20">
        <v>0</v>
      </c>
      <c r="FX39" s="20">
        <v>0</v>
      </c>
      <c r="FY39" s="20">
        <v>0</v>
      </c>
      <c r="FZ39" s="20">
        <v>0</v>
      </c>
      <c r="GA39" s="20">
        <v>0</v>
      </c>
      <c r="GC39" s="20"/>
      <c r="GD39" s="20"/>
      <c r="GE39" s="20" t="s">
        <v>126</v>
      </c>
      <c r="GF39" s="20">
        <v>0</v>
      </c>
      <c r="GG39" s="20">
        <v>0</v>
      </c>
      <c r="GH39" s="20">
        <v>0</v>
      </c>
      <c r="GI39" s="20">
        <v>0</v>
      </c>
      <c r="GJ39" s="20">
        <v>0</v>
      </c>
      <c r="GK39" s="20">
        <v>0</v>
      </c>
      <c r="GL39" s="20">
        <v>0</v>
      </c>
      <c r="GM39" s="20">
        <v>2</v>
      </c>
      <c r="GN39" s="20">
        <v>0</v>
      </c>
      <c r="GO39" s="20">
        <v>0</v>
      </c>
      <c r="GP39" s="20">
        <v>0</v>
      </c>
      <c r="GQ39" s="20">
        <v>0</v>
      </c>
      <c r="GR39" s="20">
        <v>0</v>
      </c>
      <c r="GS39" s="20">
        <v>0</v>
      </c>
      <c r="GT39" s="20">
        <v>0</v>
      </c>
      <c r="GU39" s="20">
        <v>0</v>
      </c>
      <c r="GV39" s="20">
        <v>0</v>
      </c>
      <c r="GW39" s="20">
        <v>0</v>
      </c>
      <c r="GX39" s="20">
        <v>0</v>
      </c>
      <c r="GY39" s="20">
        <v>0</v>
      </c>
      <c r="GZ39" s="20">
        <v>0</v>
      </c>
      <c r="HA39" s="20">
        <v>0</v>
      </c>
      <c r="HB39" s="20">
        <v>0</v>
      </c>
      <c r="HC39" s="20">
        <v>0</v>
      </c>
      <c r="HD39" s="20">
        <v>0</v>
      </c>
      <c r="HE39" s="20">
        <v>0</v>
      </c>
      <c r="HF39" s="20">
        <v>0</v>
      </c>
      <c r="HG39" s="20">
        <v>0</v>
      </c>
      <c r="HH39" s="20">
        <v>0</v>
      </c>
      <c r="HI39" s="20">
        <v>0</v>
      </c>
      <c r="HJ39" s="20">
        <v>0</v>
      </c>
      <c r="HK39" s="20">
        <v>0</v>
      </c>
      <c r="HL39" s="20">
        <v>0</v>
      </c>
      <c r="HM39" s="20">
        <v>0</v>
      </c>
      <c r="HN39" s="20">
        <v>0</v>
      </c>
      <c r="HO39" s="20">
        <v>0</v>
      </c>
      <c r="HP39" s="20">
        <v>0</v>
      </c>
      <c r="HQ39" s="20">
        <v>0</v>
      </c>
      <c r="HR39" s="20">
        <v>0</v>
      </c>
      <c r="HS39" s="20">
        <v>0</v>
      </c>
      <c r="HT39" s="20">
        <v>0</v>
      </c>
      <c r="HU39" s="20">
        <v>0</v>
      </c>
      <c r="HV39" s="20">
        <v>0</v>
      </c>
      <c r="HW39" s="20">
        <v>0</v>
      </c>
      <c r="HX39" s="20">
        <v>0</v>
      </c>
      <c r="HY39" s="20">
        <v>0</v>
      </c>
      <c r="HZ39" s="20">
        <v>0</v>
      </c>
      <c r="IA39" s="20">
        <v>0</v>
      </c>
      <c r="IB39" s="20">
        <v>0</v>
      </c>
      <c r="IC39" s="20">
        <v>0</v>
      </c>
      <c r="ID39" s="20">
        <v>0</v>
      </c>
      <c r="IF39" s="21" t="s">
        <v>126</v>
      </c>
      <c r="IG39" s="21">
        <v>0</v>
      </c>
      <c r="IH39" s="21">
        <v>0</v>
      </c>
      <c r="II39" s="21">
        <v>0</v>
      </c>
      <c r="IJ39" s="21">
        <v>0</v>
      </c>
      <c r="IK39" s="21">
        <v>2</v>
      </c>
      <c r="IL39" s="21">
        <v>0</v>
      </c>
      <c r="IM39" s="21">
        <v>0</v>
      </c>
      <c r="IN39" s="21">
        <v>2</v>
      </c>
      <c r="IO39" s="21">
        <v>0</v>
      </c>
      <c r="IP39" s="21">
        <v>0</v>
      </c>
      <c r="IQ39" s="21">
        <v>0</v>
      </c>
      <c r="IR39" s="21">
        <v>0</v>
      </c>
      <c r="IS39" s="21">
        <v>0</v>
      </c>
      <c r="IT39" s="21">
        <v>0</v>
      </c>
      <c r="IU39" s="21">
        <v>0</v>
      </c>
      <c r="IV39" s="21">
        <v>0</v>
      </c>
      <c r="IW39" s="21">
        <v>0</v>
      </c>
      <c r="IX39" s="21">
        <v>0</v>
      </c>
      <c r="IY39" s="21">
        <v>0</v>
      </c>
      <c r="IZ39" s="21">
        <v>0</v>
      </c>
      <c r="JA39" s="21">
        <v>0</v>
      </c>
      <c r="JB39" s="21">
        <v>0</v>
      </c>
      <c r="JC39" s="21">
        <v>0</v>
      </c>
      <c r="JD39" s="21">
        <v>0</v>
      </c>
      <c r="JE39" s="21">
        <v>0</v>
      </c>
      <c r="JF39" s="21">
        <v>0</v>
      </c>
      <c r="JS39" s="26" t="s">
        <v>710</v>
      </c>
      <c r="JT39" s="20">
        <v>0</v>
      </c>
      <c r="JU39" s="20">
        <v>2</v>
      </c>
      <c r="JV39" s="20">
        <v>2</v>
      </c>
      <c r="JW39" s="20">
        <v>0</v>
      </c>
      <c r="JX39" s="20">
        <v>4</v>
      </c>
      <c r="JY39" s="20">
        <v>2</v>
      </c>
      <c r="JZ39" s="20">
        <v>0</v>
      </c>
      <c r="KA39" s="20">
        <v>4</v>
      </c>
      <c r="KB39" s="20">
        <v>2</v>
      </c>
      <c r="KC39" s="20">
        <v>0</v>
      </c>
      <c r="KD39" s="20">
        <v>4</v>
      </c>
      <c r="KE39" s="20">
        <v>2</v>
      </c>
      <c r="KF39" s="20">
        <v>0</v>
      </c>
      <c r="KG39" s="20">
        <v>4</v>
      </c>
      <c r="KH39" s="20">
        <v>2</v>
      </c>
      <c r="KI39" s="20">
        <v>0</v>
      </c>
      <c r="KJ39" s="20">
        <v>4</v>
      </c>
      <c r="KK39" s="20">
        <v>2</v>
      </c>
      <c r="KL39" s="20">
        <v>0</v>
      </c>
      <c r="KM39" s="20">
        <v>4</v>
      </c>
      <c r="KN39" s="20">
        <v>2</v>
      </c>
      <c r="KO39" s="20">
        <v>0</v>
      </c>
      <c r="KP39" s="20">
        <v>4</v>
      </c>
      <c r="KQ39" s="20">
        <v>2</v>
      </c>
      <c r="KR39" s="20">
        <v>0</v>
      </c>
      <c r="KS39" s="20">
        <v>4</v>
      </c>
      <c r="KU39" s="26" t="s">
        <v>710</v>
      </c>
      <c r="KV39" s="20">
        <v>0</v>
      </c>
      <c r="KW39" s="20">
        <v>0</v>
      </c>
      <c r="KX39" s="20">
        <v>2</v>
      </c>
      <c r="KY39" s="20">
        <v>4</v>
      </c>
      <c r="KZ39" s="20">
        <v>2</v>
      </c>
      <c r="LA39" s="20">
        <v>4</v>
      </c>
      <c r="LB39" s="20">
        <v>2</v>
      </c>
      <c r="LC39" s="20">
        <v>4</v>
      </c>
      <c r="LD39" s="20">
        <v>4</v>
      </c>
      <c r="LE39" s="20">
        <v>4</v>
      </c>
      <c r="LF39" s="20">
        <v>0</v>
      </c>
      <c r="LG39" s="20">
        <v>4</v>
      </c>
      <c r="LH39" s="20">
        <v>0</v>
      </c>
      <c r="LI39" s="20">
        <v>4</v>
      </c>
      <c r="LJ39" s="20">
        <v>0</v>
      </c>
      <c r="LK39" s="20">
        <v>4</v>
      </c>
      <c r="LL39" s="20">
        <v>0</v>
      </c>
      <c r="LM39" s="20">
        <v>2</v>
      </c>
      <c r="LN39" s="20">
        <v>0</v>
      </c>
      <c r="LO39" s="20">
        <v>2</v>
      </c>
      <c r="LP39" s="20">
        <v>0</v>
      </c>
      <c r="LQ39" s="20">
        <v>2</v>
      </c>
      <c r="LR39" s="20">
        <v>0</v>
      </c>
      <c r="LS39" s="20">
        <v>2</v>
      </c>
      <c r="LT39" s="20">
        <v>4</v>
      </c>
      <c r="LU39" s="20">
        <v>2</v>
      </c>
      <c r="LW39" s="26" t="s">
        <v>710</v>
      </c>
      <c r="LX39" s="20">
        <v>0</v>
      </c>
      <c r="LY39" s="20">
        <v>2</v>
      </c>
      <c r="LZ39" s="20">
        <v>4</v>
      </c>
      <c r="MA39" s="20">
        <v>0</v>
      </c>
      <c r="MB39" s="20">
        <v>2</v>
      </c>
      <c r="MC39" s="20">
        <v>4</v>
      </c>
      <c r="MD39" s="20">
        <v>2</v>
      </c>
      <c r="ME39" s="20">
        <v>4</v>
      </c>
      <c r="MF39" s="20">
        <v>0</v>
      </c>
      <c r="MG39" s="20">
        <v>2</v>
      </c>
      <c r="MH39" s="20">
        <v>0</v>
      </c>
      <c r="MI39" s="20">
        <v>2</v>
      </c>
      <c r="MJ39" s="20">
        <v>4</v>
      </c>
      <c r="MK39" s="20">
        <v>0</v>
      </c>
      <c r="ML39" s="20">
        <v>2</v>
      </c>
      <c r="MM39" s="20">
        <v>0</v>
      </c>
      <c r="MN39" s="20">
        <v>2</v>
      </c>
      <c r="MO39" s="20">
        <v>4</v>
      </c>
      <c r="MP39" s="20">
        <v>0</v>
      </c>
      <c r="MQ39" s="20">
        <v>2</v>
      </c>
      <c r="MR39" s="20">
        <v>0</v>
      </c>
      <c r="MS39" s="20">
        <v>2</v>
      </c>
      <c r="MT39" s="20">
        <v>4</v>
      </c>
      <c r="MU39" s="20">
        <v>0</v>
      </c>
      <c r="MV39" s="20">
        <v>2</v>
      </c>
      <c r="MW39" s="20">
        <v>0</v>
      </c>
      <c r="MY39" s="21" t="s">
        <v>710</v>
      </c>
      <c r="MZ39" s="21">
        <v>0</v>
      </c>
      <c r="NA39" s="21">
        <v>0</v>
      </c>
      <c r="NB39" s="21">
        <v>2</v>
      </c>
      <c r="NC39" s="21">
        <v>4</v>
      </c>
      <c r="ND39" s="21">
        <v>0</v>
      </c>
      <c r="NE39" s="21">
        <v>0</v>
      </c>
      <c r="NF39" s="21">
        <v>2</v>
      </c>
      <c r="NG39" s="21">
        <v>4</v>
      </c>
      <c r="NH39" s="21">
        <v>0</v>
      </c>
      <c r="NI39" s="21">
        <v>2</v>
      </c>
      <c r="NJ39" s="21">
        <v>2</v>
      </c>
      <c r="NK39" s="21">
        <v>4</v>
      </c>
      <c r="NL39" s="21">
        <v>0</v>
      </c>
      <c r="NM39" s="21">
        <v>2</v>
      </c>
      <c r="NN39" s="21">
        <v>4</v>
      </c>
      <c r="NO39" s="21">
        <v>4</v>
      </c>
      <c r="NP39" s="21">
        <v>0</v>
      </c>
      <c r="NQ39" s="21">
        <v>2</v>
      </c>
      <c r="NR39" s="21">
        <v>4</v>
      </c>
      <c r="NS39" s="21">
        <v>0</v>
      </c>
      <c r="NT39" s="21">
        <v>0</v>
      </c>
      <c r="NU39" s="21">
        <v>2</v>
      </c>
      <c r="NV39" s="21">
        <v>4</v>
      </c>
      <c r="NW39" s="21">
        <v>0</v>
      </c>
      <c r="NX39" s="21">
        <v>2</v>
      </c>
      <c r="NY39" s="21">
        <v>2</v>
      </c>
      <c r="OB39" s="354" t="s">
        <v>1026</v>
      </c>
      <c r="OC39" s="352">
        <v>140</v>
      </c>
    </row>
    <row r="40" spans="1:393" x14ac:dyDescent="0.25">
      <c r="A40" s="8"/>
      <c r="B40" s="5" t="s">
        <v>116</v>
      </c>
      <c r="C40" s="8"/>
      <c r="D40" s="40" t="s">
        <v>944</v>
      </c>
      <c r="E40" s="4"/>
      <c r="F40" s="4"/>
      <c r="G40" s="4"/>
      <c r="H40" s="4"/>
      <c r="I40" s="4"/>
      <c r="J40" s="4"/>
      <c r="K40" s="4"/>
      <c r="L40" s="6" t="str">
        <f>IF(E35=$AK$22,"NKZM10E A2",IF(E35=$AK$23,"NKZM10E A2",IF(E35=$AK$24,"-------",0)))</f>
        <v>NKZM10E A2</v>
      </c>
      <c r="M40" s="14">
        <f>INDEX(cennik!$A$2:$O$529,MATCH($L40,cennik!$B$2:$B$522,0),MATCH(M$27,cennik!$A$1:$O$1,0))</f>
        <v>890009</v>
      </c>
      <c r="N40" s="14" t="str">
        <f>INDEX(cennik!$A$2:$O$529,MATCH($L40,cennik!$B$2:$B$522,0),MATCH(N$27,cennik!$A$1:$O$1,0))</f>
        <v>100 szt.</v>
      </c>
      <c r="O40" s="14">
        <f>IF(L40="-------",0,ROUNDUP((O37/100),0))</f>
        <v>1</v>
      </c>
      <c r="P40" s="22">
        <f>INDEX(cennik!$A$2:$O$529,MATCH($L40,cennik!$B$2:$B$522,0),MATCH(P$27,cennik!$A$1:$O$1,0))</f>
        <v>46.15</v>
      </c>
      <c r="Q40" s="22">
        <f t="shared" ref="Q40:Q49" si="44">O40*P40</f>
        <v>46.15</v>
      </c>
      <c r="R40" s="23">
        <f t="shared" si="34"/>
        <v>0</v>
      </c>
      <c r="S40" s="22">
        <f t="shared" si="35"/>
        <v>46.15</v>
      </c>
      <c r="T40" s="22">
        <f t="shared" ref="T40:T49" si="45">O40*S40</f>
        <v>46.15</v>
      </c>
      <c r="U40" s="22">
        <f>INDEX(cennik!$A$2:$O$529,MATCH($L40,cennik!$B$2:$B$522,0),MATCH(U$27,cennik!$A$1:$O$1,0))*O40</f>
        <v>0.99</v>
      </c>
      <c r="V40" s="20"/>
      <c r="AE40" s="20"/>
      <c r="AF40" s="20"/>
      <c r="AG40" s="20"/>
      <c r="AH40" s="20" t="s">
        <v>478</v>
      </c>
      <c r="AI40" s="20"/>
      <c r="AJ40" s="20">
        <v>2150</v>
      </c>
      <c r="AK40" s="20"/>
      <c r="AL40" s="20"/>
      <c r="AN40" s="20"/>
      <c r="AO40" s="20"/>
      <c r="AP40" s="20"/>
      <c r="AQ40" s="20"/>
      <c r="AS40" s="20"/>
      <c r="AT40" s="20"/>
      <c r="AU40" s="20"/>
      <c r="AV40" s="20"/>
      <c r="AW40" s="20"/>
      <c r="AX40" s="20"/>
      <c r="AY40" s="20"/>
      <c r="AZ40" s="20"/>
      <c r="BA40" s="20" t="s">
        <v>12</v>
      </c>
      <c r="BB40" s="20">
        <v>0</v>
      </c>
      <c r="BC40" s="20">
        <v>2</v>
      </c>
      <c r="BD40" s="20">
        <v>0</v>
      </c>
      <c r="BE40" s="20">
        <v>0</v>
      </c>
      <c r="BF40" s="20">
        <v>2</v>
      </c>
      <c r="BG40" s="20">
        <v>0</v>
      </c>
      <c r="BH40" s="20">
        <v>4</v>
      </c>
      <c r="BI40" s="20">
        <v>2</v>
      </c>
      <c r="BJ40" s="20">
        <v>0</v>
      </c>
      <c r="BK40" s="20">
        <v>4</v>
      </c>
      <c r="BL40" s="20">
        <v>2</v>
      </c>
      <c r="BM40" s="20">
        <v>0</v>
      </c>
      <c r="BN40" s="20">
        <v>4</v>
      </c>
      <c r="BO40" s="20">
        <v>2</v>
      </c>
      <c r="BP40" s="20">
        <v>0</v>
      </c>
      <c r="BQ40" s="20">
        <v>0</v>
      </c>
      <c r="BR40" s="20">
        <v>2</v>
      </c>
      <c r="BS40" s="20">
        <v>0</v>
      </c>
      <c r="BT40" s="20">
        <v>4</v>
      </c>
      <c r="BU40" s="20">
        <v>0</v>
      </c>
      <c r="BV40" s="20">
        <v>0</v>
      </c>
      <c r="BW40" s="20">
        <v>2</v>
      </c>
      <c r="BX40" s="20">
        <v>0</v>
      </c>
      <c r="BY40" s="20">
        <v>0</v>
      </c>
      <c r="BZ40" s="20">
        <v>0</v>
      </c>
      <c r="CA40" s="20">
        <v>0</v>
      </c>
      <c r="CB40" s="20">
        <v>0</v>
      </c>
      <c r="CC40" s="20">
        <v>4</v>
      </c>
      <c r="CD40" s="20">
        <v>0</v>
      </c>
      <c r="CE40" s="20">
        <v>0</v>
      </c>
      <c r="CF40" s="20">
        <v>0</v>
      </c>
      <c r="CG40" s="20">
        <v>0</v>
      </c>
      <c r="CH40" s="20">
        <v>0</v>
      </c>
      <c r="CI40" s="20">
        <v>2</v>
      </c>
      <c r="CJ40" s="20">
        <v>0</v>
      </c>
      <c r="CK40" s="20">
        <v>0</v>
      </c>
      <c r="CL40" s="20">
        <v>0</v>
      </c>
      <c r="CM40" s="20">
        <v>0</v>
      </c>
      <c r="CN40" s="20">
        <v>0</v>
      </c>
      <c r="CO40" s="20">
        <v>0</v>
      </c>
      <c r="CP40" s="20">
        <v>0</v>
      </c>
      <c r="CQ40" s="20">
        <v>0</v>
      </c>
      <c r="CR40" s="20">
        <v>4</v>
      </c>
      <c r="CS40" s="20">
        <v>0</v>
      </c>
      <c r="CT40" s="20">
        <v>0</v>
      </c>
      <c r="CU40" s="20">
        <v>0</v>
      </c>
      <c r="CV40" s="20">
        <v>0</v>
      </c>
      <c r="CW40" s="20">
        <v>0</v>
      </c>
      <c r="CX40" s="20">
        <v>0</v>
      </c>
      <c r="CY40" s="20">
        <v>0</v>
      </c>
      <c r="CZ40" s="20">
        <v>0</v>
      </c>
      <c r="DA40" s="54"/>
      <c r="DB40" s="54">
        <v>39</v>
      </c>
      <c r="DC40" s="54"/>
      <c r="DD40" s="20" t="s">
        <v>521</v>
      </c>
      <c r="DE40" s="20">
        <v>0</v>
      </c>
      <c r="DF40" s="20">
        <v>0</v>
      </c>
      <c r="DG40" s="20">
        <v>0</v>
      </c>
      <c r="DH40" s="20">
        <v>4</v>
      </c>
      <c r="DI40" s="20">
        <v>4</v>
      </c>
      <c r="DJ40" s="20">
        <v>4</v>
      </c>
      <c r="DK40" s="20">
        <v>8</v>
      </c>
      <c r="DL40" s="20">
        <v>8</v>
      </c>
      <c r="DM40" s="20">
        <v>8</v>
      </c>
      <c r="DN40" s="20">
        <v>12</v>
      </c>
      <c r="DO40" s="20">
        <v>12</v>
      </c>
      <c r="DP40" s="20">
        <v>12</v>
      </c>
      <c r="DQ40" s="20">
        <v>16</v>
      </c>
      <c r="DR40" s="20">
        <v>16</v>
      </c>
      <c r="DS40" s="20">
        <v>16</v>
      </c>
      <c r="DT40" s="20">
        <v>20</v>
      </c>
      <c r="DU40" s="20">
        <v>20</v>
      </c>
      <c r="DV40" s="20">
        <v>24</v>
      </c>
      <c r="DW40" s="20">
        <v>24</v>
      </c>
      <c r="DX40" s="20">
        <v>24</v>
      </c>
      <c r="DY40" s="20">
        <v>28</v>
      </c>
      <c r="DZ40" s="20"/>
      <c r="EA40" s="20"/>
      <c r="EB40" s="20" t="s">
        <v>12</v>
      </c>
      <c r="EC40" s="20">
        <v>0</v>
      </c>
      <c r="ED40" s="20">
        <v>2</v>
      </c>
      <c r="EE40" s="20">
        <v>4</v>
      </c>
      <c r="EF40" s="20">
        <v>2</v>
      </c>
      <c r="EG40" s="20">
        <v>4</v>
      </c>
      <c r="EH40" s="20">
        <v>0</v>
      </c>
      <c r="EI40" s="20">
        <v>2</v>
      </c>
      <c r="EJ40" s="20">
        <v>0</v>
      </c>
      <c r="EK40" s="20">
        <v>0</v>
      </c>
      <c r="EL40" s="20">
        <v>0</v>
      </c>
      <c r="EM40" s="20">
        <v>2</v>
      </c>
      <c r="EN40" s="20">
        <v>0</v>
      </c>
      <c r="EO40" s="20">
        <v>2</v>
      </c>
      <c r="EP40" s="20">
        <v>0</v>
      </c>
      <c r="EQ40" s="20">
        <v>2</v>
      </c>
      <c r="ER40" s="20">
        <v>4</v>
      </c>
      <c r="ES40" s="20">
        <v>0</v>
      </c>
      <c r="ET40" s="20">
        <v>4</v>
      </c>
      <c r="EU40" s="20">
        <v>0</v>
      </c>
      <c r="EV40" s="20">
        <v>0</v>
      </c>
      <c r="EW40" s="20">
        <v>0</v>
      </c>
      <c r="EX40" s="20">
        <v>0</v>
      </c>
      <c r="EY40" s="20">
        <v>0</v>
      </c>
      <c r="EZ40" s="20">
        <v>0</v>
      </c>
      <c r="FA40" s="20">
        <v>0</v>
      </c>
      <c r="FB40" s="20">
        <v>0</v>
      </c>
      <c r="FC40" s="20">
        <v>0</v>
      </c>
      <c r="FD40" s="20">
        <v>0</v>
      </c>
      <c r="FE40" s="20">
        <v>2</v>
      </c>
      <c r="FF40" s="20">
        <v>0</v>
      </c>
      <c r="FG40" s="20">
        <v>0</v>
      </c>
      <c r="FH40" s="20">
        <v>0</v>
      </c>
      <c r="FI40" s="20">
        <v>4</v>
      </c>
      <c r="FJ40" s="20">
        <v>0</v>
      </c>
      <c r="FK40" s="20">
        <v>0</v>
      </c>
      <c r="FL40" s="20">
        <v>0</v>
      </c>
      <c r="FM40" s="20">
        <v>0</v>
      </c>
      <c r="FN40" s="20">
        <v>0</v>
      </c>
      <c r="FO40" s="20">
        <v>0</v>
      </c>
      <c r="FP40" s="20">
        <v>0</v>
      </c>
      <c r="FQ40" s="20">
        <v>0</v>
      </c>
      <c r="FR40" s="20">
        <v>0</v>
      </c>
      <c r="FS40" s="20">
        <v>0</v>
      </c>
      <c r="FT40" s="20">
        <v>0</v>
      </c>
      <c r="FU40" s="20">
        <v>0</v>
      </c>
      <c r="FV40" s="20">
        <v>0</v>
      </c>
      <c r="FW40" s="20">
        <v>0</v>
      </c>
      <c r="FX40" s="20">
        <v>4</v>
      </c>
      <c r="FY40" s="20">
        <v>0</v>
      </c>
      <c r="FZ40" s="20">
        <v>0</v>
      </c>
      <c r="GA40" s="20">
        <v>0</v>
      </c>
      <c r="GC40" s="20"/>
      <c r="GD40" s="20"/>
      <c r="GE40" s="20" t="s">
        <v>12</v>
      </c>
      <c r="GF40" s="20">
        <v>0</v>
      </c>
      <c r="GG40" s="20">
        <v>2</v>
      </c>
      <c r="GH40" s="20">
        <v>4</v>
      </c>
      <c r="GI40" s="20">
        <v>0</v>
      </c>
      <c r="GJ40" s="20">
        <v>2</v>
      </c>
      <c r="GK40" s="20">
        <v>4</v>
      </c>
      <c r="GL40" s="20">
        <v>0</v>
      </c>
      <c r="GM40" s="20">
        <v>0</v>
      </c>
      <c r="GN40" s="20">
        <v>0</v>
      </c>
      <c r="GO40" s="20">
        <v>0</v>
      </c>
      <c r="GP40" s="20">
        <v>0</v>
      </c>
      <c r="GQ40" s="20">
        <v>0</v>
      </c>
      <c r="GR40" s="20">
        <v>0</v>
      </c>
      <c r="GS40" s="20">
        <v>0</v>
      </c>
      <c r="GT40" s="20">
        <v>0</v>
      </c>
      <c r="GU40" s="20">
        <v>0</v>
      </c>
      <c r="GV40" s="20">
        <v>0</v>
      </c>
      <c r="GW40" s="20">
        <v>0</v>
      </c>
      <c r="GX40" s="20">
        <v>2</v>
      </c>
      <c r="GY40" s="20">
        <v>0</v>
      </c>
      <c r="GZ40" s="20">
        <v>2</v>
      </c>
      <c r="HA40" s="20">
        <v>0</v>
      </c>
      <c r="HB40" s="20">
        <v>0</v>
      </c>
      <c r="HC40" s="20">
        <v>2</v>
      </c>
      <c r="HD40" s="20">
        <v>0</v>
      </c>
      <c r="HE40" s="20">
        <v>0</v>
      </c>
      <c r="HF40" s="20">
        <v>0</v>
      </c>
      <c r="HG40" s="20">
        <v>0</v>
      </c>
      <c r="HH40" s="20">
        <v>0</v>
      </c>
      <c r="HI40" s="20">
        <v>0</v>
      </c>
      <c r="HJ40" s="20">
        <v>0</v>
      </c>
      <c r="HK40" s="20">
        <v>0</v>
      </c>
      <c r="HL40" s="20">
        <v>0</v>
      </c>
      <c r="HM40" s="20">
        <v>0</v>
      </c>
      <c r="HN40" s="20">
        <v>0</v>
      </c>
      <c r="HO40" s="20">
        <v>0</v>
      </c>
      <c r="HP40" s="20">
        <v>0</v>
      </c>
      <c r="HQ40" s="20">
        <v>0</v>
      </c>
      <c r="HR40" s="20">
        <v>0</v>
      </c>
      <c r="HS40" s="20">
        <v>0</v>
      </c>
      <c r="HT40" s="20">
        <v>0</v>
      </c>
      <c r="HU40" s="20">
        <v>0</v>
      </c>
      <c r="HV40" s="20">
        <v>0</v>
      </c>
      <c r="HW40" s="20">
        <v>0</v>
      </c>
      <c r="HX40" s="20">
        <v>0</v>
      </c>
      <c r="HY40" s="20">
        <v>0</v>
      </c>
      <c r="HZ40" s="20">
        <v>0</v>
      </c>
      <c r="IA40" s="20">
        <v>0</v>
      </c>
      <c r="IB40" s="20">
        <v>0</v>
      </c>
      <c r="IC40" s="20">
        <v>0</v>
      </c>
      <c r="ID40" s="20">
        <v>0</v>
      </c>
      <c r="IF40" s="21" t="s">
        <v>12</v>
      </c>
      <c r="IG40" s="21">
        <v>0</v>
      </c>
      <c r="IH40" s="21">
        <v>0</v>
      </c>
      <c r="II40" s="21">
        <v>2</v>
      </c>
      <c r="IJ40" s="21">
        <v>0</v>
      </c>
      <c r="IK40" s="21">
        <v>0</v>
      </c>
      <c r="IL40" s="21">
        <v>0</v>
      </c>
      <c r="IM40" s="21">
        <v>2</v>
      </c>
      <c r="IN40" s="21">
        <v>0</v>
      </c>
      <c r="IO40" s="21">
        <v>4</v>
      </c>
      <c r="IP40" s="21">
        <v>0</v>
      </c>
      <c r="IQ40" s="21">
        <v>0</v>
      </c>
      <c r="IR40" s="21">
        <v>0</v>
      </c>
      <c r="IS40" s="21">
        <v>0</v>
      </c>
      <c r="IT40" s="21">
        <v>0</v>
      </c>
      <c r="IU40" s="21">
        <v>0</v>
      </c>
      <c r="IV40" s="21">
        <v>0</v>
      </c>
      <c r="IW40" s="21">
        <v>0</v>
      </c>
      <c r="IX40" s="21">
        <v>0</v>
      </c>
      <c r="IY40" s="21">
        <v>0</v>
      </c>
      <c r="IZ40" s="21">
        <v>0</v>
      </c>
      <c r="JA40" s="21">
        <v>0</v>
      </c>
      <c r="JB40" s="21">
        <v>0</v>
      </c>
      <c r="JC40" s="21">
        <v>0</v>
      </c>
      <c r="JD40" s="21">
        <v>0</v>
      </c>
      <c r="JE40" s="21">
        <v>0</v>
      </c>
      <c r="JF40" s="21">
        <v>0</v>
      </c>
      <c r="JS40" s="26" t="s">
        <v>711</v>
      </c>
      <c r="JT40" s="20">
        <v>0</v>
      </c>
      <c r="JU40" s="20">
        <v>0</v>
      </c>
      <c r="JV40" s="20">
        <v>0</v>
      </c>
      <c r="JW40" s="20">
        <v>2</v>
      </c>
      <c r="JX40" s="20">
        <v>0</v>
      </c>
      <c r="JY40" s="20">
        <v>2</v>
      </c>
      <c r="JZ40" s="20">
        <v>4</v>
      </c>
      <c r="KA40" s="20">
        <v>2</v>
      </c>
      <c r="KB40" s="20">
        <v>4</v>
      </c>
      <c r="KC40" s="20">
        <v>6</v>
      </c>
      <c r="KD40" s="20">
        <v>4</v>
      </c>
      <c r="KE40" s="20">
        <v>6</v>
      </c>
      <c r="KF40" s="20">
        <v>8</v>
      </c>
      <c r="KG40" s="20">
        <v>6</v>
      </c>
      <c r="KH40" s="20">
        <v>8</v>
      </c>
      <c r="KI40" s="20">
        <v>10</v>
      </c>
      <c r="KJ40" s="20">
        <v>8</v>
      </c>
      <c r="KK40" s="20">
        <v>10</v>
      </c>
      <c r="KL40" s="20">
        <v>12</v>
      </c>
      <c r="KM40" s="20">
        <v>10</v>
      </c>
      <c r="KN40" s="20">
        <v>12</v>
      </c>
      <c r="KO40" s="20">
        <v>14</v>
      </c>
      <c r="KP40" s="20">
        <v>12</v>
      </c>
      <c r="KQ40" s="20">
        <v>14</v>
      </c>
      <c r="KR40" s="20">
        <v>16</v>
      </c>
      <c r="KS40" s="20">
        <v>14</v>
      </c>
      <c r="KU40" s="26" t="s">
        <v>711</v>
      </c>
      <c r="KV40" s="20">
        <v>0</v>
      </c>
      <c r="KW40" s="20">
        <v>0</v>
      </c>
      <c r="KX40" s="20">
        <v>0</v>
      </c>
      <c r="KY40" s="20">
        <v>0</v>
      </c>
      <c r="KZ40" s="20">
        <v>2</v>
      </c>
      <c r="LA40" s="20">
        <v>2</v>
      </c>
      <c r="LB40" s="20">
        <v>4</v>
      </c>
      <c r="LC40" s="20">
        <v>4</v>
      </c>
      <c r="LD40" s="20">
        <v>4</v>
      </c>
      <c r="LE40" s="20">
        <v>6</v>
      </c>
      <c r="LF40" s="20">
        <v>10</v>
      </c>
      <c r="LG40" s="20">
        <v>8</v>
      </c>
      <c r="LH40" s="20">
        <v>12</v>
      </c>
      <c r="LI40" s="20">
        <v>10</v>
      </c>
      <c r="LJ40" s="20">
        <v>14</v>
      </c>
      <c r="LK40" s="20">
        <v>12</v>
      </c>
      <c r="LL40" s="20">
        <v>16</v>
      </c>
      <c r="LM40" s="20">
        <v>16</v>
      </c>
      <c r="LN40" s="20">
        <v>18</v>
      </c>
      <c r="LO40" s="20">
        <v>18</v>
      </c>
      <c r="LP40" s="20">
        <v>20</v>
      </c>
      <c r="LQ40" s="20">
        <v>20</v>
      </c>
      <c r="LR40" s="20">
        <v>22</v>
      </c>
      <c r="LS40" s="20">
        <v>22</v>
      </c>
      <c r="LT40" s="20">
        <v>22</v>
      </c>
      <c r="LU40" s="20">
        <v>24</v>
      </c>
      <c r="LW40" s="26" t="s">
        <v>711</v>
      </c>
      <c r="LX40" s="20">
        <v>0</v>
      </c>
      <c r="LY40" s="20">
        <v>0</v>
      </c>
      <c r="LZ40" s="20">
        <v>0</v>
      </c>
      <c r="MA40" s="20">
        <v>4</v>
      </c>
      <c r="MB40" s="20">
        <v>4</v>
      </c>
      <c r="MC40" s="20">
        <v>4</v>
      </c>
      <c r="MD40" s="20">
        <v>6</v>
      </c>
      <c r="ME40" s="20">
        <v>6</v>
      </c>
      <c r="MF40" s="20">
        <v>10</v>
      </c>
      <c r="MG40" s="20">
        <v>10</v>
      </c>
      <c r="MH40" s="20">
        <v>12</v>
      </c>
      <c r="MI40" s="20">
        <v>12</v>
      </c>
      <c r="MJ40" s="20">
        <v>12</v>
      </c>
      <c r="MK40" s="20">
        <v>16</v>
      </c>
      <c r="ML40" s="20">
        <v>16</v>
      </c>
      <c r="MM40" s="20">
        <v>18</v>
      </c>
      <c r="MN40" s="20">
        <v>18</v>
      </c>
      <c r="MO40" s="20">
        <v>18</v>
      </c>
      <c r="MP40" s="20">
        <v>22</v>
      </c>
      <c r="MQ40" s="20">
        <v>22</v>
      </c>
      <c r="MR40" s="20">
        <v>24</v>
      </c>
      <c r="MS40" s="20">
        <v>24</v>
      </c>
      <c r="MT40" s="20">
        <v>24</v>
      </c>
      <c r="MU40" s="20">
        <v>28</v>
      </c>
      <c r="MV40" s="20">
        <v>28</v>
      </c>
      <c r="MW40" s="20">
        <v>30</v>
      </c>
      <c r="MY40" s="21" t="s">
        <v>711</v>
      </c>
      <c r="MZ40" s="21">
        <v>0</v>
      </c>
      <c r="NA40" s="21">
        <v>2</v>
      </c>
      <c r="NB40" s="21">
        <v>2</v>
      </c>
      <c r="NC40" s="21">
        <v>2</v>
      </c>
      <c r="ND40" s="21">
        <v>6</v>
      </c>
      <c r="NE40" s="21">
        <v>8</v>
      </c>
      <c r="NF40" s="21">
        <v>8</v>
      </c>
      <c r="NG40" s="21">
        <v>8</v>
      </c>
      <c r="NH40" s="21">
        <v>12</v>
      </c>
      <c r="NI40" s="21">
        <v>12</v>
      </c>
      <c r="NJ40" s="21">
        <v>14</v>
      </c>
      <c r="NK40" s="21">
        <v>14</v>
      </c>
      <c r="NL40" s="21">
        <v>18</v>
      </c>
      <c r="NM40" s="21">
        <v>18</v>
      </c>
      <c r="NN40" s="21">
        <v>18</v>
      </c>
      <c r="NO40" s="21">
        <v>20</v>
      </c>
      <c r="NP40" s="21">
        <v>24</v>
      </c>
      <c r="NQ40" s="21">
        <v>24</v>
      </c>
      <c r="NR40" s="21">
        <v>24</v>
      </c>
      <c r="NS40" s="21">
        <v>28</v>
      </c>
      <c r="NT40" s="21">
        <v>30</v>
      </c>
      <c r="NU40" s="21">
        <v>30</v>
      </c>
      <c r="NV40" s="21">
        <v>30</v>
      </c>
      <c r="NW40" s="21">
        <v>34</v>
      </c>
      <c r="NX40" s="21">
        <v>34</v>
      </c>
      <c r="NY40" s="21">
        <v>36</v>
      </c>
      <c r="OB40" s="351" t="s">
        <v>1298</v>
      </c>
      <c r="OC40" s="355">
        <v>101.72</v>
      </c>
    </row>
    <row r="41" spans="1:393" x14ac:dyDescent="0.25">
      <c r="A41" s="8"/>
      <c r="B41" s="5" t="s">
        <v>116</v>
      </c>
      <c r="C41" s="8"/>
      <c r="D41" s="4"/>
      <c r="E41" s="4"/>
      <c r="F41" s="4"/>
      <c r="G41" s="4"/>
      <c r="H41" s="4"/>
      <c r="I41" s="4"/>
      <c r="J41" s="4"/>
      <c r="K41" s="4"/>
      <c r="L41" s="6" t="str">
        <f>IF(E31=$AC$1,INDEX(($AN$28:$AO$37,$AN$42:$AO$51,$AN$56:$AO$65),MATCH(I28,$AM$28:$AM$37,0),MATCH(E32,$AN$27:$AO$27,0),MATCH(E35,$AK$22:$AK$24,0)),IF(E31=$AC$2,INDEX(($AT$28:$AU$37,$AT$42:$AU$51,$AT$56:$AU$65),MATCH(I28,$AS$28:$AS$37,0),MATCH(E32,$AT$27:$AU$27,0),MATCH(E35,$AK$22:$AK$24,0)),0))</f>
        <v>BUF30L</v>
      </c>
      <c r="M41" s="14">
        <f>INDEX(cennik!$A$2:$O$529,MATCH($L41,cennik!$B$2:$B$522,0),MATCH(M$27,cennik!$A$1:$O$1,0))</f>
        <v>8973302</v>
      </c>
      <c r="N41" s="14" t="str">
        <f>INDEX(cennik!$A$2:$O$529,MATCH($L41,cennik!$B$2:$B$522,0),MATCH(N$27,cennik!$A$1:$O$1,0))</f>
        <v>szt.</v>
      </c>
      <c r="O41" s="14">
        <f>SUM(IF(A27=0,0,IF((A27&gt;0),C27*4)),IF(A28=0,0,IF((A28&gt;0),C28*4)),IF(A29=0,0,IF((A29&gt;0),C29*4)),IF(A30=0,0,IF((A30&gt;0),C30*4)),IF(A31=0,0,IF((A31&gt;0),C31*4)),IF(A32=0,0,IF((A32&gt;0),C32*4)),IF(A33=0,0,IF((A33&gt;0),C33*4)),IF(A34=0,0,IF((A34&gt;0),C34*4)),IF(A35=0,0,IF((A35&gt;0),C35*4)),IF(A36=0,0,IF((A36&gt;0),C36*4)),IF(A37=0,0,IF((A37&gt;0),C37*4)),IF(A38=0,0,IF((A38&gt;0),C38*4)),IF(A39=0,0,IF((A39&gt;0),C39*4)),IF(A40=0,0,IF((A40&gt;0),C40*4)),IF(A41=0,0,IF((A41&gt;0),C41*4)),,IF(A42=0,0,IF((A42&gt;0),C42*4)))</f>
        <v>4</v>
      </c>
      <c r="P41" s="22">
        <f>INDEX(cennik!$A$2:$O$529,MATCH($L41,cennik!$B$2:$B$522,0),MATCH(P$27,cennik!$A$1:$O$1,0))</f>
        <v>3.58</v>
      </c>
      <c r="Q41" s="22">
        <f t="shared" si="44"/>
        <v>14.32</v>
      </c>
      <c r="R41" s="23">
        <f t="shared" si="34"/>
        <v>0</v>
      </c>
      <c r="S41" s="22">
        <f t="shared" si="35"/>
        <v>3.58</v>
      </c>
      <c r="T41" s="22">
        <f t="shared" si="45"/>
        <v>14.32</v>
      </c>
      <c r="U41" s="22">
        <f>INDEX(cennik!$A$2:$O$529,MATCH($L41,cennik!$B$2:$B$522,0),MATCH(U$27,cennik!$A$1:$O$1,0))*O41</f>
        <v>0.08</v>
      </c>
      <c r="V41" s="20"/>
      <c r="AE41" s="20"/>
      <c r="AF41" s="20"/>
      <c r="AG41" s="20"/>
      <c r="AH41" s="20" t="s">
        <v>479</v>
      </c>
      <c r="AI41" s="20"/>
      <c r="AJ41" s="20">
        <v>2200</v>
      </c>
      <c r="AK41" s="20"/>
      <c r="AL41" s="20"/>
      <c r="AM41" s="20" t="s">
        <v>782</v>
      </c>
      <c r="AN41" s="20" t="s">
        <v>125</v>
      </c>
      <c r="AO41" s="20" t="s">
        <v>144</v>
      </c>
      <c r="AP41" s="20"/>
      <c r="AQ41" s="20"/>
      <c r="AS41" s="20" t="s">
        <v>782</v>
      </c>
      <c r="AT41" s="20" t="s">
        <v>125</v>
      </c>
      <c r="AU41" s="20" t="s">
        <v>144</v>
      </c>
      <c r="AV41" s="20"/>
      <c r="AW41" s="20"/>
      <c r="AX41" s="20"/>
      <c r="AY41" s="20"/>
      <c r="AZ41" s="20"/>
      <c r="BA41" s="20" t="s">
        <v>127</v>
      </c>
      <c r="BB41" s="20">
        <v>0</v>
      </c>
      <c r="BC41" s="20">
        <v>0</v>
      </c>
      <c r="BD41" s="20">
        <v>0</v>
      </c>
      <c r="BE41" s="20">
        <v>0</v>
      </c>
      <c r="BF41" s="20">
        <v>0</v>
      </c>
      <c r="BG41" s="20">
        <v>0</v>
      </c>
      <c r="BH41" s="20">
        <v>0</v>
      </c>
      <c r="BI41" s="20">
        <v>0</v>
      </c>
      <c r="BJ41" s="20">
        <v>0</v>
      </c>
      <c r="BK41" s="20">
        <v>0</v>
      </c>
      <c r="BL41" s="20">
        <v>0</v>
      </c>
      <c r="BM41" s="20">
        <v>0</v>
      </c>
      <c r="BN41" s="20">
        <v>0</v>
      </c>
      <c r="BO41" s="20">
        <v>0</v>
      </c>
      <c r="BP41" s="20">
        <v>0</v>
      </c>
      <c r="BQ41" s="20">
        <v>4</v>
      </c>
      <c r="BR41" s="20">
        <v>0</v>
      </c>
      <c r="BS41" s="20">
        <v>0</v>
      </c>
      <c r="BT41" s="20">
        <v>0</v>
      </c>
      <c r="BU41" s="20">
        <v>2</v>
      </c>
      <c r="BV41" s="20">
        <v>0</v>
      </c>
      <c r="BW41" s="20">
        <v>2</v>
      </c>
      <c r="BX41" s="20">
        <v>2</v>
      </c>
      <c r="BY41" s="20">
        <v>0</v>
      </c>
      <c r="BZ41" s="20">
        <v>4</v>
      </c>
      <c r="CA41" s="20">
        <v>2</v>
      </c>
      <c r="CB41" s="20">
        <v>0</v>
      </c>
      <c r="CC41" s="20">
        <v>0</v>
      </c>
      <c r="CD41" s="20">
        <v>0</v>
      </c>
      <c r="CE41" s="20">
        <v>0</v>
      </c>
      <c r="CF41" s="20">
        <v>2</v>
      </c>
      <c r="CG41" s="20">
        <v>0</v>
      </c>
      <c r="CH41" s="20">
        <v>0</v>
      </c>
      <c r="CI41" s="20">
        <v>0</v>
      </c>
      <c r="CJ41" s="20">
        <v>2</v>
      </c>
      <c r="CK41" s="20">
        <v>0</v>
      </c>
      <c r="CL41" s="20">
        <v>2</v>
      </c>
      <c r="CM41" s="20">
        <v>2</v>
      </c>
      <c r="CN41" s="20">
        <v>0</v>
      </c>
      <c r="CO41" s="20">
        <v>0</v>
      </c>
      <c r="CP41" s="20">
        <v>0</v>
      </c>
      <c r="CQ41" s="20">
        <v>0</v>
      </c>
      <c r="CR41" s="20">
        <v>0</v>
      </c>
      <c r="CS41" s="20">
        <v>0</v>
      </c>
      <c r="CT41" s="20">
        <v>0</v>
      </c>
      <c r="CU41" s="20">
        <v>2</v>
      </c>
      <c r="CV41" s="20">
        <v>0</v>
      </c>
      <c r="CW41" s="20">
        <v>0</v>
      </c>
      <c r="CX41" s="20">
        <v>0</v>
      </c>
      <c r="CY41" s="20">
        <v>0</v>
      </c>
      <c r="CZ41" s="20">
        <v>0</v>
      </c>
      <c r="DA41" s="54"/>
      <c r="DB41" s="54">
        <v>40</v>
      </c>
      <c r="DC41" s="54"/>
      <c r="DD41" s="26" t="s">
        <v>710</v>
      </c>
      <c r="DE41" s="20">
        <v>0</v>
      </c>
      <c r="DF41" s="20"/>
      <c r="DG41" s="20"/>
      <c r="DH41" s="20"/>
      <c r="DI41" s="20"/>
      <c r="DJ41" s="20"/>
      <c r="DK41" s="20"/>
      <c r="DL41" s="20"/>
      <c r="DM41" s="20"/>
      <c r="DN41" s="20"/>
      <c r="DO41" s="20"/>
      <c r="DP41" s="20"/>
      <c r="DQ41" s="20"/>
      <c r="DR41" s="20"/>
      <c r="DS41" s="20"/>
      <c r="DT41" s="20"/>
      <c r="DU41" s="20"/>
      <c r="DV41" s="20"/>
      <c r="DW41" s="20"/>
      <c r="DX41" s="20"/>
      <c r="DY41" s="20"/>
      <c r="DZ41" s="20"/>
      <c r="EA41" s="20"/>
      <c r="EB41" s="20" t="s">
        <v>127</v>
      </c>
      <c r="EC41" s="20">
        <v>0</v>
      </c>
      <c r="ED41" s="20">
        <v>0</v>
      </c>
      <c r="EE41" s="20">
        <v>0</v>
      </c>
      <c r="EF41" s="20">
        <v>0</v>
      </c>
      <c r="EG41" s="20">
        <v>0</v>
      </c>
      <c r="EH41" s="20">
        <v>0</v>
      </c>
      <c r="EI41" s="20">
        <v>2</v>
      </c>
      <c r="EJ41" s="20">
        <v>0</v>
      </c>
      <c r="EK41" s="20">
        <v>4</v>
      </c>
      <c r="EL41" s="20">
        <v>0</v>
      </c>
      <c r="EM41" s="20">
        <v>0</v>
      </c>
      <c r="EN41" s="20">
        <v>0</v>
      </c>
      <c r="EO41" s="20">
        <v>0</v>
      </c>
      <c r="EP41" s="20">
        <v>0</v>
      </c>
      <c r="EQ41" s="20">
        <v>0</v>
      </c>
      <c r="ER41" s="20">
        <v>0</v>
      </c>
      <c r="ES41" s="20">
        <v>0</v>
      </c>
      <c r="ET41" s="20">
        <v>0</v>
      </c>
      <c r="EU41" s="20">
        <v>0</v>
      </c>
      <c r="EV41" s="20">
        <v>2</v>
      </c>
      <c r="EW41" s="20">
        <v>0</v>
      </c>
      <c r="EX41" s="20">
        <v>2</v>
      </c>
      <c r="EY41" s="20">
        <v>0</v>
      </c>
      <c r="EZ41" s="20">
        <v>0</v>
      </c>
      <c r="FA41" s="20">
        <v>0</v>
      </c>
      <c r="FB41" s="20">
        <v>0</v>
      </c>
      <c r="FC41" s="20">
        <v>0</v>
      </c>
      <c r="FD41" s="20">
        <v>0</v>
      </c>
      <c r="FE41" s="20">
        <v>0</v>
      </c>
      <c r="FF41" s="20">
        <v>0</v>
      </c>
      <c r="FG41" s="20">
        <v>2</v>
      </c>
      <c r="FH41" s="20">
        <v>0</v>
      </c>
      <c r="FI41" s="20">
        <v>0</v>
      </c>
      <c r="FJ41" s="20">
        <v>0</v>
      </c>
      <c r="FK41" s="20">
        <v>0</v>
      </c>
      <c r="FL41" s="20">
        <v>0</v>
      </c>
      <c r="FM41" s="20">
        <v>0</v>
      </c>
      <c r="FN41" s="20">
        <v>0</v>
      </c>
      <c r="FO41" s="20">
        <v>0</v>
      </c>
      <c r="FP41" s="20">
        <v>0</v>
      </c>
      <c r="FQ41" s="20">
        <v>0</v>
      </c>
      <c r="FR41" s="20">
        <v>0</v>
      </c>
      <c r="FS41" s="20">
        <v>0</v>
      </c>
      <c r="FT41" s="20">
        <v>2</v>
      </c>
      <c r="FU41" s="20">
        <v>0</v>
      </c>
      <c r="FV41" s="20">
        <v>2</v>
      </c>
      <c r="FW41" s="20">
        <v>0</v>
      </c>
      <c r="FX41" s="20">
        <v>0</v>
      </c>
      <c r="FY41" s="20">
        <v>0</v>
      </c>
      <c r="FZ41" s="20">
        <v>0</v>
      </c>
      <c r="GA41" s="20">
        <v>0</v>
      </c>
      <c r="GC41" s="20"/>
      <c r="GD41" s="20"/>
      <c r="GE41" s="20" t="s">
        <v>127</v>
      </c>
      <c r="GF41" s="20">
        <v>0</v>
      </c>
      <c r="GG41" s="20">
        <v>0</v>
      </c>
      <c r="GH41" s="20">
        <v>0</v>
      </c>
      <c r="GI41" s="20">
        <v>0</v>
      </c>
      <c r="GJ41" s="20">
        <v>0</v>
      </c>
      <c r="GK41" s="20">
        <v>0</v>
      </c>
      <c r="GL41" s="20">
        <v>0</v>
      </c>
      <c r="GM41" s="20">
        <v>0</v>
      </c>
      <c r="GN41" s="20">
        <v>0</v>
      </c>
      <c r="GO41" s="20">
        <v>2</v>
      </c>
      <c r="GP41" s="20">
        <v>4</v>
      </c>
      <c r="GQ41" s="20">
        <v>0</v>
      </c>
      <c r="GR41" s="20">
        <v>2</v>
      </c>
      <c r="GS41" s="20">
        <v>0</v>
      </c>
      <c r="GT41" s="20">
        <v>2</v>
      </c>
      <c r="GU41" s="20">
        <v>2</v>
      </c>
      <c r="GV41" s="20">
        <v>0</v>
      </c>
      <c r="GW41" s="20">
        <v>0</v>
      </c>
      <c r="GX41" s="20">
        <v>0</v>
      </c>
      <c r="GY41" s="20">
        <v>0</v>
      </c>
      <c r="GZ41" s="20">
        <v>0</v>
      </c>
      <c r="HA41" s="20">
        <v>0</v>
      </c>
      <c r="HB41" s="20">
        <v>2</v>
      </c>
      <c r="HC41" s="20">
        <v>0</v>
      </c>
      <c r="HD41" s="20">
        <v>0</v>
      </c>
      <c r="HE41" s="20">
        <v>0</v>
      </c>
      <c r="HF41" s="20">
        <v>0</v>
      </c>
      <c r="HG41" s="20">
        <v>0</v>
      </c>
      <c r="HH41" s="20">
        <v>0</v>
      </c>
      <c r="HI41" s="20">
        <v>0</v>
      </c>
      <c r="HJ41" s="20">
        <v>0</v>
      </c>
      <c r="HK41" s="20">
        <v>0</v>
      </c>
      <c r="HL41" s="20">
        <v>0</v>
      </c>
      <c r="HM41" s="20">
        <v>0</v>
      </c>
      <c r="HN41" s="20">
        <v>0</v>
      </c>
      <c r="HO41" s="20">
        <v>0</v>
      </c>
      <c r="HP41" s="20">
        <v>0</v>
      </c>
      <c r="HQ41" s="20">
        <v>2</v>
      </c>
      <c r="HR41" s="20">
        <v>0</v>
      </c>
      <c r="HS41" s="20">
        <v>0</v>
      </c>
      <c r="HT41" s="20">
        <v>0</v>
      </c>
      <c r="HU41" s="20">
        <v>0</v>
      </c>
      <c r="HV41" s="20">
        <v>0</v>
      </c>
      <c r="HW41" s="20">
        <v>0</v>
      </c>
      <c r="HX41" s="20">
        <v>0</v>
      </c>
      <c r="HY41" s="20">
        <v>0</v>
      </c>
      <c r="HZ41" s="20">
        <v>0</v>
      </c>
      <c r="IA41" s="20">
        <v>0</v>
      </c>
      <c r="IB41" s="20">
        <v>0</v>
      </c>
      <c r="IC41" s="20">
        <v>2</v>
      </c>
      <c r="ID41" s="20">
        <v>0</v>
      </c>
      <c r="IF41" s="21" t="s">
        <v>127</v>
      </c>
      <c r="IG41" s="21">
        <v>0</v>
      </c>
      <c r="IH41" s="21">
        <v>0</v>
      </c>
      <c r="II41" s="21">
        <v>0</v>
      </c>
      <c r="IJ41" s="21">
        <v>4</v>
      </c>
      <c r="IK41" s="21">
        <v>2</v>
      </c>
      <c r="IL41" s="21">
        <v>0</v>
      </c>
      <c r="IM41" s="21">
        <v>0</v>
      </c>
      <c r="IN41" s="21">
        <v>0</v>
      </c>
      <c r="IO41" s="21">
        <v>0</v>
      </c>
      <c r="IP41" s="21">
        <v>0</v>
      </c>
      <c r="IQ41" s="21">
        <v>2</v>
      </c>
      <c r="IR41" s="21">
        <v>2</v>
      </c>
      <c r="IS41" s="21">
        <v>0</v>
      </c>
      <c r="IT41" s="21">
        <v>0</v>
      </c>
      <c r="IU41" s="21">
        <v>0</v>
      </c>
      <c r="IV41" s="21">
        <v>2</v>
      </c>
      <c r="IW41" s="21">
        <v>0</v>
      </c>
      <c r="IX41" s="21">
        <v>0</v>
      </c>
      <c r="IY41" s="21">
        <v>2</v>
      </c>
      <c r="IZ41" s="21">
        <v>0</v>
      </c>
      <c r="JA41" s="21">
        <v>0</v>
      </c>
      <c r="JB41" s="21">
        <v>0</v>
      </c>
      <c r="JC41" s="21">
        <v>2</v>
      </c>
      <c r="JD41" s="21">
        <v>2</v>
      </c>
      <c r="JE41" s="21">
        <v>0</v>
      </c>
      <c r="JF41" s="21">
        <v>0</v>
      </c>
      <c r="JS41" s="26" t="s">
        <v>712</v>
      </c>
      <c r="JT41" s="20">
        <v>0</v>
      </c>
      <c r="JU41" s="20">
        <v>0</v>
      </c>
      <c r="JV41" s="20">
        <v>0</v>
      </c>
      <c r="JW41" s="20">
        <v>0</v>
      </c>
      <c r="JX41" s="20">
        <v>2</v>
      </c>
      <c r="JY41" s="20">
        <v>2</v>
      </c>
      <c r="JZ41" s="20">
        <v>2</v>
      </c>
      <c r="KA41" s="20">
        <v>4</v>
      </c>
      <c r="KB41" s="20">
        <v>4</v>
      </c>
      <c r="KC41" s="20">
        <v>4</v>
      </c>
      <c r="KD41" s="20">
        <v>6</v>
      </c>
      <c r="KE41" s="20">
        <v>6</v>
      </c>
      <c r="KF41" s="20">
        <v>6</v>
      </c>
      <c r="KG41" s="20">
        <v>8</v>
      </c>
      <c r="KH41" s="20">
        <v>8</v>
      </c>
      <c r="KI41" s="20">
        <v>8</v>
      </c>
      <c r="KJ41" s="20">
        <v>10</v>
      </c>
      <c r="KK41" s="20">
        <v>10</v>
      </c>
      <c r="KL41" s="20">
        <v>10</v>
      </c>
      <c r="KM41" s="20">
        <v>12</v>
      </c>
      <c r="KN41" s="20">
        <v>12</v>
      </c>
      <c r="KO41" s="20">
        <v>12</v>
      </c>
      <c r="KP41" s="20">
        <v>14</v>
      </c>
      <c r="KQ41" s="20">
        <v>14</v>
      </c>
      <c r="KR41" s="20">
        <v>14</v>
      </c>
      <c r="KS41" s="20">
        <v>16</v>
      </c>
      <c r="KU41" s="26" t="s">
        <v>712</v>
      </c>
      <c r="KV41" s="20">
        <v>0</v>
      </c>
      <c r="KW41" s="20">
        <v>0</v>
      </c>
      <c r="KX41" s="20">
        <v>0</v>
      </c>
      <c r="KY41" s="20">
        <v>2</v>
      </c>
      <c r="KZ41" s="20">
        <v>2</v>
      </c>
      <c r="LA41" s="20">
        <v>4</v>
      </c>
      <c r="LB41" s="20">
        <v>4</v>
      </c>
      <c r="LC41" s="20">
        <v>6</v>
      </c>
      <c r="LD41" s="20">
        <v>6</v>
      </c>
      <c r="LE41" s="20">
        <v>8</v>
      </c>
      <c r="LF41" s="20">
        <v>8</v>
      </c>
      <c r="LG41" s="20">
        <v>10</v>
      </c>
      <c r="LH41" s="20">
        <v>10</v>
      </c>
      <c r="LI41" s="20">
        <v>12</v>
      </c>
      <c r="LJ41" s="20">
        <v>12</v>
      </c>
      <c r="LK41" s="20">
        <v>14</v>
      </c>
      <c r="LL41" s="20">
        <v>14</v>
      </c>
      <c r="LM41" s="20">
        <v>16</v>
      </c>
      <c r="LN41" s="20">
        <v>16</v>
      </c>
      <c r="LO41" s="20">
        <v>18</v>
      </c>
      <c r="LP41" s="20">
        <v>18</v>
      </c>
      <c r="LQ41" s="20">
        <v>20</v>
      </c>
      <c r="LR41" s="20">
        <v>20</v>
      </c>
      <c r="LS41" s="20">
        <v>22</v>
      </c>
      <c r="LT41" s="20">
        <v>24</v>
      </c>
      <c r="LU41" s="20">
        <v>24</v>
      </c>
      <c r="LW41" s="26" t="s">
        <v>712</v>
      </c>
      <c r="LX41" s="20">
        <v>0</v>
      </c>
      <c r="LY41" s="20">
        <v>0</v>
      </c>
      <c r="LZ41" s="20">
        <v>2</v>
      </c>
      <c r="MA41" s="20">
        <v>2</v>
      </c>
      <c r="MB41" s="20">
        <v>4</v>
      </c>
      <c r="MC41" s="20">
        <v>6</v>
      </c>
      <c r="MD41" s="20">
        <v>6</v>
      </c>
      <c r="ME41" s="20">
        <v>8</v>
      </c>
      <c r="MF41" s="20">
        <v>8</v>
      </c>
      <c r="MG41" s="20">
        <v>10</v>
      </c>
      <c r="MH41" s="20">
        <v>10</v>
      </c>
      <c r="MI41" s="20">
        <v>12</v>
      </c>
      <c r="MJ41" s="20">
        <v>14</v>
      </c>
      <c r="MK41" s="20">
        <v>14</v>
      </c>
      <c r="ML41" s="20">
        <v>16</v>
      </c>
      <c r="MM41" s="20">
        <v>16</v>
      </c>
      <c r="MN41" s="20">
        <v>18</v>
      </c>
      <c r="MO41" s="20">
        <v>20</v>
      </c>
      <c r="MP41" s="20">
        <v>20</v>
      </c>
      <c r="MQ41" s="20">
        <v>22</v>
      </c>
      <c r="MR41" s="20">
        <v>22</v>
      </c>
      <c r="MS41" s="20">
        <v>24</v>
      </c>
      <c r="MT41" s="20">
        <v>26</v>
      </c>
      <c r="MU41" s="20">
        <v>26</v>
      </c>
      <c r="MV41" s="20">
        <v>28</v>
      </c>
      <c r="MW41" s="20">
        <v>28</v>
      </c>
      <c r="MY41" s="21" t="s">
        <v>712</v>
      </c>
      <c r="MZ41" s="21">
        <v>0</v>
      </c>
      <c r="NA41" s="21">
        <v>0</v>
      </c>
      <c r="NB41" s="21">
        <v>2</v>
      </c>
      <c r="NC41" s="21">
        <v>4</v>
      </c>
      <c r="ND41" s="21">
        <v>4</v>
      </c>
      <c r="NE41" s="21">
        <v>6</v>
      </c>
      <c r="NF41" s="21">
        <v>8</v>
      </c>
      <c r="NG41" s="21">
        <v>10</v>
      </c>
      <c r="NH41" s="21">
        <v>10</v>
      </c>
      <c r="NI41" s="21">
        <v>12</v>
      </c>
      <c r="NJ41" s="21">
        <v>14</v>
      </c>
      <c r="NK41" s="21">
        <v>16</v>
      </c>
      <c r="NL41" s="21">
        <v>16</v>
      </c>
      <c r="NM41" s="21">
        <v>18</v>
      </c>
      <c r="NN41" s="21">
        <v>20</v>
      </c>
      <c r="NO41" s="21">
        <v>22</v>
      </c>
      <c r="NP41" s="21">
        <v>22</v>
      </c>
      <c r="NQ41" s="21">
        <v>24</v>
      </c>
      <c r="NR41" s="21">
        <v>26</v>
      </c>
      <c r="NS41" s="21">
        <v>26</v>
      </c>
      <c r="NT41" s="21">
        <v>28</v>
      </c>
      <c r="NU41" s="21">
        <v>30</v>
      </c>
      <c r="NV41" s="21">
        <v>32</v>
      </c>
      <c r="NW41" s="21">
        <v>32</v>
      </c>
      <c r="NX41" s="21">
        <v>34</v>
      </c>
      <c r="NY41" s="21">
        <v>36</v>
      </c>
    </row>
    <row r="42" spans="1:393" x14ac:dyDescent="0.25">
      <c r="A42" s="8"/>
      <c r="B42" s="5" t="s">
        <v>116</v>
      </c>
      <c r="C42" s="8"/>
      <c r="D42" s="4"/>
      <c r="E42" s="4"/>
      <c r="F42" s="4"/>
      <c r="G42" s="4"/>
      <c r="H42" s="4"/>
      <c r="I42" s="4"/>
      <c r="J42" s="4"/>
      <c r="K42" s="4"/>
      <c r="L42" s="6" t="str">
        <f>IF(E31=$AC$1,INDEX(($AN$38:$AO$38,$AN$52:$AO$52,$AN$66:$AO$66),1,MATCH($E$32,$AN$27:$AO$27,0),MATCH($E$35,$AK$22:$AK$24,0)),IF(E31=$AC$2,INDEX(($AT$38:$AU$38,$AT$52:$AU$52,$AT$66:$AU$66),1,MATCH($E$32,$AT$27:$AU$27,0),MATCH($E$35,$AK$22:$AK$24,0)),0))</f>
        <v>PUFL</v>
      </c>
      <c r="M42" s="14">
        <f>INDEX(cennik!$A$2:$O$529,MATCH($L42,cennik!$B$2:$B$522,0),MATCH(M$27,cennik!$A$1:$O$1,0))</f>
        <v>897302</v>
      </c>
      <c r="N42" s="14" t="str">
        <f>INDEX(cennik!$A$2:$O$529,MATCH($L42,cennik!$B$2:$B$522,0),MATCH(N$27,cennik!$A$1:$O$1,0))</f>
        <v>szt.</v>
      </c>
      <c r="O42" s="14">
        <f>SUM(IF(A27=0,0,IF(A27&gt;0,(A27-1)*2*C27)),IF(A28=0,0,IF(A28&gt;0,(A28-1)*2*C28)),IF(A29=0,0,IF(A29&gt;0,(A29-1)*2*C29)),IF(A30=0,0,IF(A30&gt;0,(A30-1)*2*C30)),IF(A31=0,0,IF(A31&gt;0,(A31-1)*2*C31)),IF(A32=0,0,IF(A32&gt;0,(A32-1)*2*C32)),IF(A33=0,0,IF(A33&gt;0,(A33-1)*2*C33)),IF(A34=0,0,IF(A34&gt;0,(A34-1)*2*C34)),IF(A35=0,0,IF(A35&gt;0,(A35-1)*2*C35)),IF(A36=0,0,IF(A36&gt;0,(A36-1)*2*C36)),IF(A37=0,0,IF(A37&gt;0,(A37-1)*2*C37)),IF(A38=0,0,IF(A38&gt;0,(A38-1)*2*C38)),IF(A39=0,0,IF(A39&gt;0,(A39-1)*2*C39)),IF(A40=0,0,IF(A40&gt;0,(A40-1)*2*C40)),IF(A41=0,0,IF(A41&gt;0,(A41-1)*2*C41)),IF(A42=0,0,IF(A42&gt;0,(A42-1)*2*C42)))</f>
        <v>8</v>
      </c>
      <c r="P42" s="22">
        <f>INDEX(cennik!$A$2:$O$529,MATCH($L42,cennik!$B$2:$B$522,0),MATCH(P$27,cennik!$A$1:$O$1,0))</f>
        <v>4.3099999999999996</v>
      </c>
      <c r="Q42" s="22">
        <f t="shared" si="44"/>
        <v>34.479999999999997</v>
      </c>
      <c r="R42" s="23">
        <f t="shared" si="34"/>
        <v>0</v>
      </c>
      <c r="S42" s="22">
        <f t="shared" si="35"/>
        <v>4.3099999999999996</v>
      </c>
      <c r="T42" s="22">
        <f t="shared" si="45"/>
        <v>34.479999999999997</v>
      </c>
      <c r="U42" s="22">
        <f>INDEX(cennik!$A$2:$O$529,MATCH($L42,cennik!$B$2:$B$522,0),MATCH(U$27,cennik!$A$1:$O$1,0))*O42</f>
        <v>0.16</v>
      </c>
      <c r="V42" s="20"/>
      <c r="AE42" s="20"/>
      <c r="AF42" s="20"/>
      <c r="AG42" s="20"/>
      <c r="AH42" s="20" t="s">
        <v>508</v>
      </c>
      <c r="AI42" s="20"/>
      <c r="AJ42" s="20">
        <v>2250</v>
      </c>
      <c r="AK42" s="20"/>
      <c r="AL42" s="20"/>
      <c r="AM42" s="20">
        <v>30</v>
      </c>
      <c r="AN42" s="20" t="s">
        <v>475</v>
      </c>
      <c r="AO42" s="20" t="s">
        <v>476</v>
      </c>
      <c r="AP42" s="20" t="s">
        <v>477</v>
      </c>
      <c r="AQ42" s="20" t="s">
        <v>14</v>
      </c>
      <c r="AS42" s="20">
        <v>30</v>
      </c>
      <c r="AT42" s="20" t="s">
        <v>1007</v>
      </c>
      <c r="AU42" s="20" t="s">
        <v>1008</v>
      </c>
      <c r="AV42" s="20" t="s">
        <v>477</v>
      </c>
      <c r="AW42" s="20" t="s">
        <v>14</v>
      </c>
      <c r="AX42" s="20"/>
      <c r="AY42" s="20"/>
      <c r="AZ42" s="20"/>
      <c r="BA42" s="20" t="s">
        <v>15</v>
      </c>
      <c r="BB42" s="20">
        <v>0</v>
      </c>
      <c r="BC42" s="20">
        <v>0</v>
      </c>
      <c r="BD42" s="20">
        <v>0</v>
      </c>
      <c r="BE42" s="20">
        <v>0</v>
      </c>
      <c r="BF42" s="20">
        <v>2</v>
      </c>
      <c r="BG42" s="20">
        <v>4</v>
      </c>
      <c r="BH42" s="20">
        <v>2</v>
      </c>
      <c r="BI42" s="20">
        <v>4</v>
      </c>
      <c r="BJ42" s="20">
        <v>6</v>
      </c>
      <c r="BK42" s="20">
        <v>4</v>
      </c>
      <c r="BL42" s="20">
        <v>6</v>
      </c>
      <c r="BM42" s="20">
        <v>8</v>
      </c>
      <c r="BN42" s="20">
        <v>6</v>
      </c>
      <c r="BO42" s="20">
        <v>8</v>
      </c>
      <c r="BP42" s="20">
        <v>8</v>
      </c>
      <c r="BQ42" s="20">
        <v>8</v>
      </c>
      <c r="BR42" s="20">
        <v>6</v>
      </c>
      <c r="BS42" s="20">
        <v>8</v>
      </c>
      <c r="BT42" s="20">
        <v>4</v>
      </c>
      <c r="BU42" s="20">
        <v>6</v>
      </c>
      <c r="BV42" s="20">
        <v>6</v>
      </c>
      <c r="BW42" s="20">
        <v>4</v>
      </c>
      <c r="BX42" s="20">
        <v>8</v>
      </c>
      <c r="BY42" s="20">
        <v>6</v>
      </c>
      <c r="BZ42" s="20">
        <v>4</v>
      </c>
      <c r="CA42" s="20">
        <v>4</v>
      </c>
      <c r="CB42" s="20">
        <v>4</v>
      </c>
      <c r="CC42" s="20">
        <v>4</v>
      </c>
      <c r="CD42" s="20">
        <v>18</v>
      </c>
      <c r="CE42" s="20">
        <v>2</v>
      </c>
      <c r="CF42" s="20">
        <v>16</v>
      </c>
      <c r="CG42" s="20">
        <v>16</v>
      </c>
      <c r="CH42" s="20">
        <v>2</v>
      </c>
      <c r="CI42" s="20">
        <v>14</v>
      </c>
      <c r="CJ42" s="20">
        <v>0</v>
      </c>
      <c r="CK42" s="20">
        <v>0</v>
      </c>
      <c r="CL42" s="20">
        <v>14</v>
      </c>
      <c r="CM42" s="20">
        <v>4</v>
      </c>
      <c r="CN42" s="20">
        <v>0</v>
      </c>
      <c r="CO42" s="20">
        <v>28</v>
      </c>
      <c r="CP42" s="20">
        <v>12</v>
      </c>
      <c r="CQ42" s="20">
        <v>0</v>
      </c>
      <c r="CR42" s="20">
        <v>0</v>
      </c>
      <c r="CS42" s="20">
        <v>12</v>
      </c>
      <c r="CT42" s="20">
        <v>0</v>
      </c>
      <c r="CU42" s="20">
        <v>10</v>
      </c>
      <c r="CV42" s="20">
        <v>10</v>
      </c>
      <c r="CW42" s="20">
        <v>0</v>
      </c>
      <c r="CX42" s="20">
        <v>24</v>
      </c>
      <c r="CY42" s="20">
        <v>8</v>
      </c>
      <c r="CZ42" s="20">
        <v>0</v>
      </c>
      <c r="DA42" s="54"/>
      <c r="DB42" s="54">
        <v>41</v>
      </c>
      <c r="DC42" s="54"/>
      <c r="DD42" s="26" t="s">
        <v>711</v>
      </c>
      <c r="DE42" s="20">
        <v>0</v>
      </c>
      <c r="DF42" s="20"/>
      <c r="DG42" s="20"/>
      <c r="DH42" s="20"/>
      <c r="DI42" s="20"/>
      <c r="DJ42" s="20"/>
      <c r="DK42" s="20"/>
      <c r="DL42" s="20"/>
      <c r="DM42" s="20"/>
      <c r="DN42" s="20"/>
      <c r="DO42" s="20"/>
      <c r="DP42" s="20"/>
      <c r="DQ42" s="20"/>
      <c r="DR42" s="20"/>
      <c r="DS42" s="20"/>
      <c r="DT42" s="20"/>
      <c r="DU42" s="20"/>
      <c r="DV42" s="20"/>
      <c r="DW42" s="20"/>
      <c r="DX42" s="20"/>
      <c r="DY42" s="20"/>
      <c r="DZ42" s="20"/>
      <c r="EA42" s="20"/>
      <c r="EB42" s="20" t="s">
        <v>15</v>
      </c>
      <c r="EC42" s="20">
        <v>0</v>
      </c>
      <c r="ED42" s="20">
        <v>0</v>
      </c>
      <c r="EE42" s="20">
        <v>0</v>
      </c>
      <c r="EF42" s="20">
        <v>0</v>
      </c>
      <c r="EG42" s="20">
        <v>2</v>
      </c>
      <c r="EH42" s="20">
        <v>6</v>
      </c>
      <c r="EI42" s="20">
        <v>2</v>
      </c>
      <c r="EJ42" s="20">
        <v>8</v>
      </c>
      <c r="EK42" s="20">
        <v>0</v>
      </c>
      <c r="EL42" s="20">
        <v>6</v>
      </c>
      <c r="EM42" s="20">
        <v>10</v>
      </c>
      <c r="EN42" s="20">
        <v>2</v>
      </c>
      <c r="EO42" s="20">
        <v>8</v>
      </c>
      <c r="EP42" s="20">
        <v>0</v>
      </c>
      <c r="EQ42" s="20">
        <v>2</v>
      </c>
      <c r="ER42" s="20">
        <v>6</v>
      </c>
      <c r="ES42" s="20">
        <v>14</v>
      </c>
      <c r="ET42" s="20">
        <v>6</v>
      </c>
      <c r="EU42" s="20">
        <v>10</v>
      </c>
      <c r="EV42" s="20">
        <v>16</v>
      </c>
      <c r="EW42" s="20">
        <v>8</v>
      </c>
      <c r="EX42" s="20">
        <v>12</v>
      </c>
      <c r="EY42" s="20">
        <v>4</v>
      </c>
      <c r="EZ42" s="20">
        <v>24</v>
      </c>
      <c r="FA42" s="20">
        <v>0</v>
      </c>
      <c r="FB42" s="20">
        <v>20</v>
      </c>
      <c r="FC42" s="20">
        <v>0</v>
      </c>
      <c r="FD42" s="20">
        <v>16</v>
      </c>
      <c r="FE42" s="20">
        <v>20</v>
      </c>
      <c r="FF42" s="20">
        <v>12</v>
      </c>
      <c r="FG42" s="20">
        <v>18</v>
      </c>
      <c r="FH42" s="20">
        <v>10</v>
      </c>
      <c r="FI42" s="20">
        <v>4</v>
      </c>
      <c r="FJ42" s="20">
        <v>6</v>
      </c>
      <c r="FK42" s="20">
        <v>26</v>
      </c>
      <c r="FL42" s="20">
        <v>2</v>
      </c>
      <c r="FM42" s="20">
        <v>22</v>
      </c>
      <c r="FN42" s="20">
        <v>0</v>
      </c>
      <c r="FO42" s="20">
        <v>18</v>
      </c>
      <c r="FP42" s="20">
        <v>0</v>
      </c>
      <c r="FQ42" s="20">
        <v>14</v>
      </c>
      <c r="FR42" s="20">
        <v>34</v>
      </c>
      <c r="FS42" s="20">
        <v>10</v>
      </c>
      <c r="FT42" s="20">
        <v>16</v>
      </c>
      <c r="FU42" s="20">
        <v>8</v>
      </c>
      <c r="FV42" s="20">
        <v>12</v>
      </c>
      <c r="FW42" s="20">
        <v>4</v>
      </c>
      <c r="FX42" s="20">
        <v>2</v>
      </c>
      <c r="FY42" s="20">
        <v>0</v>
      </c>
      <c r="FZ42" s="20">
        <v>20</v>
      </c>
      <c r="GA42" s="20">
        <v>0</v>
      </c>
      <c r="GC42" s="20"/>
      <c r="GD42" s="20"/>
      <c r="GE42" s="20" t="s">
        <v>15</v>
      </c>
      <c r="GF42" s="20">
        <v>0</v>
      </c>
      <c r="GG42" s="20">
        <v>0</v>
      </c>
      <c r="GH42" s="20">
        <v>0</v>
      </c>
      <c r="GI42" s="20">
        <v>4</v>
      </c>
      <c r="GJ42" s="20">
        <v>4</v>
      </c>
      <c r="GK42" s="20">
        <v>4</v>
      </c>
      <c r="GL42" s="20">
        <v>8</v>
      </c>
      <c r="GM42" s="20">
        <v>2</v>
      </c>
      <c r="GN42" s="20">
        <v>2</v>
      </c>
      <c r="GO42" s="20">
        <v>4</v>
      </c>
      <c r="GP42" s="20">
        <v>6</v>
      </c>
      <c r="GQ42" s="20">
        <v>8</v>
      </c>
      <c r="GR42" s="20">
        <v>10</v>
      </c>
      <c r="GS42" s="20">
        <v>0</v>
      </c>
      <c r="GT42" s="20">
        <v>0</v>
      </c>
      <c r="GU42" s="20">
        <v>18</v>
      </c>
      <c r="GV42" s="20">
        <v>4</v>
      </c>
      <c r="GW42" s="20">
        <v>22</v>
      </c>
      <c r="GX42" s="20">
        <v>22</v>
      </c>
      <c r="GY42" s="20">
        <v>12</v>
      </c>
      <c r="GZ42" s="20">
        <v>12</v>
      </c>
      <c r="HA42" s="20">
        <v>0</v>
      </c>
      <c r="HB42" s="20">
        <v>8</v>
      </c>
      <c r="HC42" s="20">
        <v>18</v>
      </c>
      <c r="HD42" s="20">
        <v>8</v>
      </c>
      <c r="HE42" s="20">
        <v>24</v>
      </c>
      <c r="HF42" s="20">
        <v>0</v>
      </c>
      <c r="HG42" s="20">
        <v>14</v>
      </c>
      <c r="HH42" s="20">
        <v>30</v>
      </c>
      <c r="HI42" s="20">
        <v>4</v>
      </c>
      <c r="HJ42" s="20">
        <v>20</v>
      </c>
      <c r="HK42" s="20">
        <v>0</v>
      </c>
      <c r="HL42" s="20">
        <v>10</v>
      </c>
      <c r="HM42" s="20">
        <v>26</v>
      </c>
      <c r="HN42" s="20">
        <v>0</v>
      </c>
      <c r="HO42" s="20">
        <v>16</v>
      </c>
      <c r="HP42" s="20">
        <v>32</v>
      </c>
      <c r="HQ42" s="20">
        <v>0</v>
      </c>
      <c r="HR42" s="20">
        <v>22</v>
      </c>
      <c r="HS42" s="20">
        <v>0</v>
      </c>
      <c r="HT42" s="20">
        <v>12</v>
      </c>
      <c r="HU42" s="20">
        <v>28</v>
      </c>
      <c r="HV42" s="20">
        <v>2</v>
      </c>
      <c r="HW42" s="20">
        <v>18</v>
      </c>
      <c r="HX42" s="20">
        <v>0</v>
      </c>
      <c r="HY42" s="20">
        <v>8</v>
      </c>
      <c r="HZ42" s="20">
        <v>24</v>
      </c>
      <c r="IA42" s="20">
        <v>0</v>
      </c>
      <c r="IB42" s="20">
        <v>14</v>
      </c>
      <c r="IC42" s="20">
        <v>16</v>
      </c>
      <c r="ID42" s="20">
        <v>4</v>
      </c>
      <c r="IF42" s="21" t="s">
        <v>15</v>
      </c>
      <c r="IG42" s="21">
        <v>0</v>
      </c>
      <c r="IH42" s="21">
        <v>2</v>
      </c>
      <c r="II42" s="21">
        <v>2</v>
      </c>
      <c r="IJ42" s="21">
        <v>2</v>
      </c>
      <c r="IK42" s="21">
        <v>0</v>
      </c>
      <c r="IL42" s="21">
        <v>8</v>
      </c>
      <c r="IM42" s="21">
        <v>4</v>
      </c>
      <c r="IN42" s="21">
        <v>4</v>
      </c>
      <c r="IO42" s="21">
        <v>10</v>
      </c>
      <c r="IP42" s="21">
        <v>8</v>
      </c>
      <c r="IQ42" s="21">
        <v>4</v>
      </c>
      <c r="IR42" s="21">
        <v>16</v>
      </c>
      <c r="IS42" s="21">
        <v>0</v>
      </c>
      <c r="IT42" s="21">
        <v>8</v>
      </c>
      <c r="IU42" s="21">
        <v>18</v>
      </c>
      <c r="IV42" s="21">
        <v>14</v>
      </c>
      <c r="IW42" s="21">
        <v>0</v>
      </c>
      <c r="IX42" s="21">
        <v>6</v>
      </c>
      <c r="IY42" s="21">
        <v>2</v>
      </c>
      <c r="IZ42" s="21">
        <v>28</v>
      </c>
      <c r="JA42" s="21">
        <v>0</v>
      </c>
      <c r="JB42" s="21">
        <v>6</v>
      </c>
      <c r="JC42" s="21">
        <v>8</v>
      </c>
      <c r="JD42" s="21">
        <v>12</v>
      </c>
      <c r="JE42" s="21">
        <v>0</v>
      </c>
      <c r="JF42" s="21">
        <v>4</v>
      </c>
      <c r="JS42" s="20"/>
      <c r="JT42" s="20"/>
      <c r="JU42" s="20"/>
      <c r="JV42" s="20"/>
      <c r="JW42" s="20"/>
      <c r="JX42" s="20"/>
      <c r="JY42" s="20"/>
      <c r="JZ42" s="20"/>
      <c r="KA42" s="20"/>
      <c r="KB42" s="20"/>
      <c r="KC42" s="20"/>
      <c r="KD42" s="20"/>
      <c r="KE42" s="20"/>
      <c r="KF42" s="20"/>
      <c r="KG42" s="20"/>
      <c r="KH42" s="20"/>
      <c r="KI42" s="20"/>
      <c r="KJ42" s="20"/>
      <c r="KK42" s="20"/>
      <c r="KL42" s="20"/>
      <c r="KM42" s="20"/>
      <c r="KN42" s="20"/>
      <c r="KO42" s="20"/>
      <c r="KP42" s="20"/>
      <c r="KQ42" s="20"/>
      <c r="KR42" s="20"/>
      <c r="KS42" s="20"/>
      <c r="KU42" s="20"/>
      <c r="KV42" s="20"/>
      <c r="KW42" s="20"/>
      <c r="KX42" s="20"/>
      <c r="KY42" s="20"/>
      <c r="KZ42" s="20"/>
      <c r="LA42" s="20"/>
      <c r="LB42" s="20"/>
      <c r="LC42" s="20"/>
      <c r="LD42" s="20"/>
      <c r="LE42" s="20"/>
      <c r="LF42" s="20"/>
      <c r="LG42" s="20"/>
      <c r="LH42" s="20"/>
      <c r="LI42" s="20"/>
      <c r="LJ42" s="20"/>
      <c r="LK42" s="20"/>
      <c r="LL42" s="20"/>
      <c r="LM42" s="20"/>
      <c r="LN42" s="20"/>
      <c r="LO42" s="20"/>
      <c r="LP42" s="20"/>
      <c r="LQ42" s="20"/>
      <c r="LR42" s="20"/>
      <c r="LS42" s="20"/>
      <c r="LT42" s="20"/>
      <c r="LU42" s="20"/>
      <c r="LW42" s="20"/>
      <c r="LX42" s="20"/>
      <c r="LY42" s="20"/>
      <c r="LZ42" s="20"/>
      <c r="MA42" s="20"/>
      <c r="MB42" s="20"/>
      <c r="MC42" s="20"/>
      <c r="MD42" s="20"/>
      <c r="ME42" s="20"/>
      <c r="MF42" s="20"/>
      <c r="MG42" s="20"/>
      <c r="MH42" s="20"/>
      <c r="MI42" s="20"/>
      <c r="MJ42" s="20"/>
      <c r="MK42" s="20"/>
      <c r="ML42" s="20"/>
      <c r="MM42" s="20"/>
      <c r="MN42" s="20"/>
      <c r="MO42" s="20"/>
      <c r="MP42" s="20"/>
      <c r="MQ42" s="20"/>
      <c r="MR42" s="20"/>
      <c r="MS42" s="20"/>
      <c r="MT42" s="20"/>
      <c r="MU42" s="20"/>
      <c r="MV42" s="20"/>
      <c r="MW42" s="20"/>
    </row>
    <row r="43" spans="1:393" x14ac:dyDescent="0.25">
      <c r="A43" s="4"/>
      <c r="B43" s="6"/>
      <c r="C43" s="4"/>
      <c r="D43" s="4"/>
      <c r="E43" s="4"/>
      <c r="F43" s="4"/>
      <c r="G43" s="4"/>
      <c r="H43" s="4"/>
      <c r="I43" s="4"/>
      <c r="J43" s="4"/>
      <c r="K43" s="4"/>
      <c r="L43" s="6" t="str">
        <f>IF(E31=$AC$1,INDEX(($AP$28:$AP$37,$AP$42:$AP$51,$AP$56:$AP$65),MATCH(I28,$AM$28:$AM$37,0),1,MATCH(E35,$AK$22:$AK$24,0)),IF(E31=$AC$2,INDEX(($AV$28:$AV$37,$AV$42:$AV$51,$AV$56:$AV$65),MATCH(I28,$AS$28:$AS$37,0),1,MATCH(E35,$AK$22:$AK$24,0)),0))</f>
        <v>SAM8X25E</v>
      </c>
      <c r="M43" s="14">
        <f>INDEX(cennik!$A$2:$O$529,MATCH($L43,cennik!$B$2:$B$522,0),MATCH(M$27,cennik!$A$1:$O$1,0))</f>
        <v>898525</v>
      </c>
      <c r="N43" s="14" t="str">
        <f>INDEX(cennik!$A$2:$O$529,MATCH($L43,cennik!$B$2:$B$522,0),MATCH(N$27,cennik!$A$1:$O$1,0))</f>
        <v>szt.</v>
      </c>
      <c r="O43" s="14">
        <f>IF(AE30="suma",SUM(O41:O42),IF(AE30="tylko buf",O41,IF(AE30=0,0,0)))</f>
        <v>12</v>
      </c>
      <c r="P43" s="22">
        <f>INDEX(cennik!$A$2:$O$529,MATCH($L43,cennik!$B$2:$B$522,0),MATCH(P$27,cennik!$A$1:$O$1,0))</f>
        <v>0.45</v>
      </c>
      <c r="Q43" s="22">
        <f t="shared" si="44"/>
        <v>5.4</v>
      </c>
      <c r="R43" s="23">
        <f t="shared" si="34"/>
        <v>0</v>
      </c>
      <c r="S43" s="22">
        <f t="shared" si="35"/>
        <v>0.45</v>
      </c>
      <c r="T43" s="22">
        <f t="shared" si="45"/>
        <v>5.4</v>
      </c>
      <c r="U43" s="22">
        <f>INDEX(cennik!$A$2:$O$529,MATCH($L43,cennik!$B$2:$B$522,0),MATCH(U$27,cennik!$A$1:$O$1,0))*O43</f>
        <v>0.60000000000000009</v>
      </c>
      <c r="V43" s="20"/>
      <c r="AE43" s="20"/>
      <c r="AF43" s="20"/>
      <c r="AG43" s="20"/>
      <c r="AH43" s="20" t="s">
        <v>507</v>
      </c>
      <c r="AI43" s="20"/>
      <c r="AJ43" s="20">
        <v>2300</v>
      </c>
      <c r="AK43" s="20"/>
      <c r="AL43" s="20"/>
      <c r="AM43" s="20">
        <v>32</v>
      </c>
      <c r="AN43" s="20" t="s">
        <v>26</v>
      </c>
      <c r="AO43" s="20" t="s">
        <v>27</v>
      </c>
      <c r="AP43" s="20" t="s">
        <v>110</v>
      </c>
      <c r="AQ43" s="20" t="s">
        <v>14</v>
      </c>
      <c r="AS43" s="20">
        <v>32</v>
      </c>
      <c r="AT43" s="20" t="s">
        <v>38</v>
      </c>
      <c r="AU43" s="20" t="s">
        <v>39</v>
      </c>
      <c r="AV43" s="20" t="s">
        <v>151</v>
      </c>
      <c r="AW43" s="20" t="s">
        <v>151</v>
      </c>
      <c r="AX43" s="20"/>
      <c r="AY43" s="20"/>
      <c r="AZ43" s="20"/>
      <c r="BA43" s="20" t="s">
        <v>19</v>
      </c>
      <c r="BB43" s="20">
        <v>0</v>
      </c>
      <c r="BC43" s="20">
        <v>0</v>
      </c>
      <c r="BD43" s="20">
        <v>0</v>
      </c>
      <c r="BE43" s="20">
        <v>0</v>
      </c>
      <c r="BF43" s="20">
        <v>0</v>
      </c>
      <c r="BG43" s="20">
        <v>0</v>
      </c>
      <c r="BH43" s="20">
        <v>0</v>
      </c>
      <c r="BI43" s="20">
        <v>0</v>
      </c>
      <c r="BJ43" s="20">
        <v>0</v>
      </c>
      <c r="BK43" s="20">
        <v>0</v>
      </c>
      <c r="BL43" s="20">
        <v>0</v>
      </c>
      <c r="BM43" s="20">
        <v>0</v>
      </c>
      <c r="BN43" s="20">
        <v>0</v>
      </c>
      <c r="BO43" s="20">
        <v>0</v>
      </c>
      <c r="BP43" s="20">
        <v>2</v>
      </c>
      <c r="BQ43" s="20">
        <v>0</v>
      </c>
      <c r="BR43" s="20">
        <v>4</v>
      </c>
      <c r="BS43" s="20">
        <v>4</v>
      </c>
      <c r="BT43" s="20">
        <v>6</v>
      </c>
      <c r="BU43" s="20">
        <v>6</v>
      </c>
      <c r="BV43" s="20">
        <v>8</v>
      </c>
      <c r="BW43" s="20">
        <v>8</v>
      </c>
      <c r="BX43" s="20">
        <v>6</v>
      </c>
      <c r="BY43" s="20">
        <v>10</v>
      </c>
      <c r="BZ43" s="20">
        <v>10</v>
      </c>
      <c r="CA43" s="20">
        <v>12</v>
      </c>
      <c r="CB43" s="20">
        <v>14</v>
      </c>
      <c r="CC43" s="20">
        <v>12</v>
      </c>
      <c r="CD43" s="20">
        <v>2</v>
      </c>
      <c r="CE43" s="20">
        <v>18</v>
      </c>
      <c r="CF43" s="20">
        <v>4</v>
      </c>
      <c r="CG43" s="20">
        <v>6</v>
      </c>
      <c r="CH43" s="20">
        <v>20</v>
      </c>
      <c r="CI43" s="20">
        <v>8</v>
      </c>
      <c r="CJ43" s="20">
        <v>22</v>
      </c>
      <c r="CK43" s="20">
        <v>24</v>
      </c>
      <c r="CL43" s="20">
        <v>10</v>
      </c>
      <c r="CM43" s="20">
        <v>20</v>
      </c>
      <c r="CN43" s="20">
        <v>26</v>
      </c>
      <c r="CO43" s="20">
        <v>0</v>
      </c>
      <c r="CP43" s="20">
        <v>16</v>
      </c>
      <c r="CQ43" s="20">
        <v>28</v>
      </c>
      <c r="CR43" s="20">
        <v>26</v>
      </c>
      <c r="CS43" s="20">
        <v>18</v>
      </c>
      <c r="CT43" s="20">
        <v>30</v>
      </c>
      <c r="CU43" s="20">
        <v>20</v>
      </c>
      <c r="CV43" s="20">
        <v>22</v>
      </c>
      <c r="CW43" s="20">
        <v>32</v>
      </c>
      <c r="CX43" s="20">
        <v>10</v>
      </c>
      <c r="CY43" s="20">
        <v>26</v>
      </c>
      <c r="CZ43" s="20">
        <v>34</v>
      </c>
      <c r="DA43" s="54"/>
      <c r="DB43" s="54">
        <v>42</v>
      </c>
      <c r="DC43" s="54"/>
      <c r="DD43" s="26" t="s">
        <v>712</v>
      </c>
      <c r="DE43" s="20">
        <v>0</v>
      </c>
      <c r="DF43" s="20"/>
      <c r="DG43" s="20"/>
      <c r="DH43" s="20"/>
      <c r="DI43" s="20"/>
      <c r="DJ43" s="20"/>
      <c r="DK43" s="20"/>
      <c r="DL43" s="20"/>
      <c r="DM43" s="20"/>
      <c r="DN43" s="20"/>
      <c r="DO43" s="20"/>
      <c r="DP43" s="20"/>
      <c r="DQ43" s="20"/>
      <c r="DR43" s="20"/>
      <c r="DS43" s="20"/>
      <c r="DT43" s="20"/>
      <c r="DU43" s="20"/>
      <c r="DV43" s="20"/>
      <c r="DW43" s="20"/>
      <c r="DX43" s="20"/>
      <c r="DY43" s="20"/>
      <c r="DZ43" s="20"/>
      <c r="EA43" s="20"/>
      <c r="EB43" s="20" t="s">
        <v>19</v>
      </c>
      <c r="EC43" s="20">
        <v>0</v>
      </c>
      <c r="ED43" s="20">
        <v>0</v>
      </c>
      <c r="EE43" s="20">
        <v>0</v>
      </c>
      <c r="EF43" s="20">
        <v>2</v>
      </c>
      <c r="EG43" s="20">
        <v>0</v>
      </c>
      <c r="EH43" s="20">
        <v>0</v>
      </c>
      <c r="EI43" s="20">
        <v>2</v>
      </c>
      <c r="EJ43" s="20">
        <v>0</v>
      </c>
      <c r="EK43" s="20">
        <v>6</v>
      </c>
      <c r="EL43" s="20">
        <v>4</v>
      </c>
      <c r="EM43" s="20">
        <v>0</v>
      </c>
      <c r="EN43" s="20">
        <v>10</v>
      </c>
      <c r="EO43" s="20">
        <v>4</v>
      </c>
      <c r="EP43" s="20">
        <v>14</v>
      </c>
      <c r="EQ43" s="20">
        <v>12</v>
      </c>
      <c r="ER43" s="20">
        <v>8</v>
      </c>
      <c r="ES43" s="20">
        <v>4</v>
      </c>
      <c r="ET43" s="20">
        <v>10</v>
      </c>
      <c r="EU43" s="20">
        <v>10</v>
      </c>
      <c r="EV43" s="20">
        <v>4</v>
      </c>
      <c r="EW43" s="20">
        <v>14</v>
      </c>
      <c r="EX43" s="20">
        <v>10</v>
      </c>
      <c r="EY43" s="20">
        <v>20</v>
      </c>
      <c r="EZ43" s="20">
        <v>2</v>
      </c>
      <c r="FA43" s="20">
        <v>26</v>
      </c>
      <c r="FB43" s="20">
        <v>8</v>
      </c>
      <c r="FC43" s="20">
        <v>28</v>
      </c>
      <c r="FD43" s="20">
        <v>14</v>
      </c>
      <c r="FE43" s="20">
        <v>10</v>
      </c>
      <c r="FF43" s="20">
        <v>20</v>
      </c>
      <c r="FG43" s="20">
        <v>14</v>
      </c>
      <c r="FH43" s="20">
        <v>24</v>
      </c>
      <c r="FI43" s="20">
        <v>28</v>
      </c>
      <c r="FJ43" s="20">
        <v>30</v>
      </c>
      <c r="FK43" s="20">
        <v>12</v>
      </c>
      <c r="FL43" s="20">
        <v>36</v>
      </c>
      <c r="FM43" s="20">
        <v>18</v>
      </c>
      <c r="FN43" s="20">
        <v>40</v>
      </c>
      <c r="FO43" s="20">
        <v>24</v>
      </c>
      <c r="FP43" s="20">
        <v>42</v>
      </c>
      <c r="FQ43" s="20">
        <v>30</v>
      </c>
      <c r="FR43" s="20">
        <v>12</v>
      </c>
      <c r="FS43" s="20">
        <v>36</v>
      </c>
      <c r="FT43" s="20">
        <v>30</v>
      </c>
      <c r="FU43" s="20">
        <v>40</v>
      </c>
      <c r="FV43" s="20">
        <v>36</v>
      </c>
      <c r="FW43" s="20">
        <v>46</v>
      </c>
      <c r="FX43" s="20">
        <v>46</v>
      </c>
      <c r="FY43" s="20">
        <v>52</v>
      </c>
      <c r="FZ43" s="20">
        <v>34</v>
      </c>
      <c r="GA43" s="20">
        <v>54</v>
      </c>
      <c r="GC43" s="20"/>
      <c r="GD43" s="20"/>
      <c r="GE43" s="20" t="s">
        <v>19</v>
      </c>
      <c r="GF43" s="20">
        <v>0</v>
      </c>
      <c r="GG43" s="20">
        <v>0</v>
      </c>
      <c r="GH43" s="20">
        <v>0</v>
      </c>
      <c r="GI43" s="20">
        <v>0</v>
      </c>
      <c r="GJ43" s="20">
        <v>0</v>
      </c>
      <c r="GK43" s="20">
        <v>0</v>
      </c>
      <c r="GL43" s="20">
        <v>0</v>
      </c>
      <c r="GM43" s="20">
        <v>6</v>
      </c>
      <c r="GN43" s="20">
        <v>8</v>
      </c>
      <c r="GO43" s="20">
        <v>6</v>
      </c>
      <c r="GP43" s="20">
        <v>4</v>
      </c>
      <c r="GQ43" s="20">
        <v>6</v>
      </c>
      <c r="GR43" s="20">
        <v>4</v>
      </c>
      <c r="GS43" s="20">
        <v>16</v>
      </c>
      <c r="GT43" s="20">
        <v>16</v>
      </c>
      <c r="GU43" s="20">
        <v>0</v>
      </c>
      <c r="GV43" s="20">
        <v>16</v>
      </c>
      <c r="GW43" s="20">
        <v>0</v>
      </c>
      <c r="GX43" s="20">
        <v>0</v>
      </c>
      <c r="GY43" s="20">
        <v>12</v>
      </c>
      <c r="GZ43" s="20">
        <v>12</v>
      </c>
      <c r="HA43" s="20">
        <v>26</v>
      </c>
      <c r="HB43" s="20">
        <v>18</v>
      </c>
      <c r="HC43" s="20">
        <v>10</v>
      </c>
      <c r="HD43" s="20">
        <v>22</v>
      </c>
      <c r="HE43" s="20">
        <v>8</v>
      </c>
      <c r="HF43" s="20">
        <v>32</v>
      </c>
      <c r="HG43" s="20">
        <v>20</v>
      </c>
      <c r="HH43" s="20">
        <v>6</v>
      </c>
      <c r="HI43" s="20">
        <v>32</v>
      </c>
      <c r="HJ43" s="20">
        <v>18</v>
      </c>
      <c r="HK43" s="20">
        <v>38</v>
      </c>
      <c r="HL43" s="20">
        <v>30</v>
      </c>
      <c r="HM43" s="20">
        <v>16</v>
      </c>
      <c r="HN43" s="20">
        <v>42</v>
      </c>
      <c r="HO43" s="20">
        <v>28</v>
      </c>
      <c r="HP43" s="20">
        <v>14</v>
      </c>
      <c r="HQ43" s="20">
        <v>44</v>
      </c>
      <c r="HR43" s="20">
        <v>26</v>
      </c>
      <c r="HS43" s="20">
        <v>48</v>
      </c>
      <c r="HT43" s="20">
        <v>38</v>
      </c>
      <c r="HU43" s="20">
        <v>24</v>
      </c>
      <c r="HV43" s="20">
        <v>50</v>
      </c>
      <c r="HW43" s="20">
        <v>36</v>
      </c>
      <c r="HX43" s="20">
        <v>54</v>
      </c>
      <c r="HY43" s="20">
        <v>48</v>
      </c>
      <c r="HZ43" s="20">
        <v>34</v>
      </c>
      <c r="IA43" s="20">
        <v>58</v>
      </c>
      <c r="IB43" s="20">
        <v>46</v>
      </c>
      <c r="IC43" s="20">
        <v>44</v>
      </c>
      <c r="ID43" s="20">
        <v>58</v>
      </c>
      <c r="IF43" s="21" t="s">
        <v>19</v>
      </c>
      <c r="IG43" s="21">
        <v>0</v>
      </c>
      <c r="IH43" s="21">
        <v>0</v>
      </c>
      <c r="II43" s="21">
        <v>0</v>
      </c>
      <c r="IJ43" s="21">
        <v>0</v>
      </c>
      <c r="IK43" s="21">
        <v>4</v>
      </c>
      <c r="IL43" s="21">
        <v>0</v>
      </c>
      <c r="IM43" s="21">
        <v>4</v>
      </c>
      <c r="IN43" s="21">
        <v>6</v>
      </c>
      <c r="IO43" s="21">
        <v>0</v>
      </c>
      <c r="IP43" s="21">
        <v>6</v>
      </c>
      <c r="IQ43" s="21">
        <v>10</v>
      </c>
      <c r="IR43" s="21">
        <v>0</v>
      </c>
      <c r="IS43" s="21">
        <v>18</v>
      </c>
      <c r="IT43" s="21">
        <v>12</v>
      </c>
      <c r="IU43" s="21">
        <v>4</v>
      </c>
      <c r="IV43" s="21">
        <v>8</v>
      </c>
      <c r="IW43" s="21">
        <v>24</v>
      </c>
      <c r="IX43" s="21">
        <v>20</v>
      </c>
      <c r="IY43" s="21">
        <v>24</v>
      </c>
      <c r="IZ43" s="21">
        <v>2</v>
      </c>
      <c r="JA43" s="21">
        <v>30</v>
      </c>
      <c r="JB43" s="21">
        <v>26</v>
      </c>
      <c r="JC43" s="21">
        <v>24</v>
      </c>
      <c r="JD43" s="21">
        <v>22</v>
      </c>
      <c r="JE43" s="21">
        <v>36</v>
      </c>
      <c r="JF43" s="21">
        <v>34</v>
      </c>
      <c r="JS43" s="20" t="s">
        <v>474</v>
      </c>
      <c r="JT43" s="20"/>
      <c r="JU43" s="20"/>
      <c r="JV43" s="20"/>
      <c r="JW43" s="20"/>
      <c r="JX43" s="20"/>
      <c r="JY43" s="20"/>
      <c r="JZ43" s="20"/>
      <c r="KA43" s="20"/>
      <c r="KB43" s="20"/>
      <c r="KC43" s="20"/>
      <c r="KD43" s="20"/>
      <c r="KE43" s="20"/>
      <c r="KF43" s="20"/>
      <c r="KG43" s="20"/>
      <c r="KH43" s="20"/>
      <c r="KI43" s="20"/>
      <c r="KJ43" s="20"/>
      <c r="KK43" s="20"/>
      <c r="KL43" s="20"/>
      <c r="KM43" s="20"/>
      <c r="KN43" s="20"/>
      <c r="KO43" s="20"/>
      <c r="KP43" s="20"/>
      <c r="KQ43" s="20"/>
      <c r="KR43" s="20"/>
      <c r="KS43" s="20"/>
      <c r="KU43" s="20" t="s">
        <v>132</v>
      </c>
      <c r="KV43" s="20"/>
      <c r="KW43" s="20"/>
      <c r="KX43" s="20"/>
      <c r="KY43" s="20"/>
      <c r="KZ43" s="20"/>
      <c r="LA43" s="20"/>
      <c r="LB43" s="20"/>
      <c r="LC43" s="20"/>
      <c r="LD43" s="20"/>
      <c r="LE43" s="20"/>
      <c r="LF43" s="20"/>
      <c r="LG43" s="20"/>
      <c r="LH43" s="20"/>
      <c r="LI43" s="20"/>
      <c r="LJ43" s="20"/>
      <c r="LK43" s="20"/>
      <c r="LL43" s="20"/>
      <c r="LM43" s="20"/>
      <c r="LN43" s="20"/>
      <c r="LO43" s="20"/>
      <c r="LP43" s="20"/>
      <c r="LQ43" s="20"/>
      <c r="LR43" s="20"/>
      <c r="LS43" s="20"/>
      <c r="LT43" s="20"/>
      <c r="LU43" s="20"/>
      <c r="LW43" s="20" t="s">
        <v>113</v>
      </c>
      <c r="LX43" s="20"/>
      <c r="LY43" s="20"/>
      <c r="LZ43" s="20"/>
      <c r="MA43" s="20"/>
      <c r="MB43" s="20"/>
      <c r="MC43" s="20"/>
      <c r="MD43" s="20"/>
      <c r="ME43" s="20"/>
      <c r="MF43" s="20"/>
      <c r="MG43" s="20"/>
      <c r="MH43" s="20"/>
      <c r="MI43" s="20"/>
      <c r="MJ43" s="20"/>
      <c r="MK43" s="20"/>
      <c r="ML43" s="20"/>
      <c r="MM43" s="20"/>
      <c r="MN43" s="20"/>
      <c r="MO43" s="20"/>
      <c r="MP43" s="20"/>
      <c r="MQ43" s="20"/>
      <c r="MR43" s="20"/>
      <c r="MS43" s="20"/>
      <c r="MT43" s="20"/>
      <c r="MU43" s="20"/>
      <c r="MV43" s="20"/>
      <c r="MW43" s="20"/>
      <c r="MY43" s="21" t="s">
        <v>832</v>
      </c>
    </row>
    <row r="44" spans="1:393" x14ac:dyDescent="0.25">
      <c r="A44" s="4"/>
      <c r="B44" s="6"/>
      <c r="C44" s="4"/>
      <c r="D44" s="4"/>
      <c r="E44" s="4"/>
      <c r="F44" s="4"/>
      <c r="G44" s="4"/>
      <c r="H44" s="4"/>
      <c r="I44" s="4"/>
      <c r="J44" s="4"/>
      <c r="K44" s="4"/>
      <c r="L44" s="6" t="str">
        <f>IF(E31=$AC$1,INDEX(($AQ$28:$AQ$37,$AQ$42:$AQ$51,$AQ$56:$AQ$65),MATCH(I28,$AM$28:$AM$37,0),1,MATCH(E35,$AK$22:$AK$24,0)),IF(E31=$AC$2,INDEX(($AW$28:$AW$37,$AW$42:$AW$51,$AW$56:$AW$65),MATCH(I28,$AS$28:$AS$37,0),1,MATCH(E35,$AK$22:$AK$24,0)),0))</f>
        <v>NKWSM8A</v>
      </c>
      <c r="M44" s="14">
        <f>INDEX(cennik!$A$2:$O$529,MATCH($L44,cennik!$B$2:$B$522,0),MATCH(M$27,cennik!$A$1:$O$1,0))</f>
        <v>600909</v>
      </c>
      <c r="N44" s="14" t="str">
        <f>INDEX(cennik!$A$2:$O$529,MATCH($L44,cennik!$B$2:$B$522,0),MATCH(N$27,cennik!$A$1:$O$1,0))</f>
        <v>szt.</v>
      </c>
      <c r="O44" s="14">
        <f>O43</f>
        <v>12</v>
      </c>
      <c r="P44" s="22">
        <f>INDEX(cennik!$A$2:$O$529,MATCH($L44,cennik!$B$2:$B$522,0),MATCH(P$27,cennik!$A$1:$O$1,0))</f>
        <v>0.6</v>
      </c>
      <c r="Q44" s="22">
        <f t="shared" si="44"/>
        <v>7.1999999999999993</v>
      </c>
      <c r="R44" s="23">
        <f t="shared" si="34"/>
        <v>0</v>
      </c>
      <c r="S44" s="22">
        <f t="shared" si="35"/>
        <v>0.6</v>
      </c>
      <c r="T44" s="22">
        <f t="shared" si="45"/>
        <v>7.1999999999999993</v>
      </c>
      <c r="U44" s="22">
        <f>INDEX(cennik!$A$2:$O$529,MATCH($L44,cennik!$B$2:$B$522,0),MATCH(U$27,cennik!$A$1:$O$1,0))*O44</f>
        <v>0.12</v>
      </c>
      <c r="V44" s="20"/>
      <c r="AE44" s="20"/>
      <c r="AF44" s="20"/>
      <c r="AG44" s="356"/>
      <c r="AH44" s="20" t="s">
        <v>763</v>
      </c>
      <c r="AI44" s="20"/>
      <c r="AJ44" s="20">
        <v>2350</v>
      </c>
      <c r="AK44" s="20"/>
      <c r="AL44" s="20"/>
      <c r="AM44" s="20">
        <v>33</v>
      </c>
      <c r="AN44" s="20" t="s">
        <v>28</v>
      </c>
      <c r="AO44" s="20"/>
      <c r="AP44" s="20" t="s">
        <v>110</v>
      </c>
      <c r="AQ44" s="20" t="s">
        <v>14</v>
      </c>
      <c r="AS44" s="20">
        <v>33</v>
      </c>
      <c r="AT44" s="20"/>
      <c r="AU44" s="20"/>
      <c r="AV44" s="20" t="s">
        <v>151</v>
      </c>
      <c r="AW44" s="20" t="s">
        <v>151</v>
      </c>
      <c r="AX44" s="20"/>
      <c r="AY44" s="20"/>
      <c r="AZ44" s="20"/>
      <c r="BA44" s="20" t="s">
        <v>408</v>
      </c>
      <c r="BB44" s="20">
        <v>0</v>
      </c>
      <c r="BC44" s="20">
        <f>((((SUM(BC39:BC43))/2)-1))*4</f>
        <v>0</v>
      </c>
      <c r="BD44" s="20">
        <f t="shared" ref="BD44:CH44" si="46">((((SUM(BD39:BD43))/2)-1))*4</f>
        <v>4</v>
      </c>
      <c r="BE44" s="20">
        <f t="shared" si="46"/>
        <v>8</v>
      </c>
      <c r="BF44" s="20">
        <f t="shared" si="46"/>
        <v>4</v>
      </c>
      <c r="BG44" s="20">
        <f t="shared" si="46"/>
        <v>4</v>
      </c>
      <c r="BH44" s="20">
        <f t="shared" si="46"/>
        <v>8</v>
      </c>
      <c r="BI44" s="20">
        <f t="shared" si="46"/>
        <v>8</v>
      </c>
      <c r="BJ44" s="20">
        <f t="shared" si="46"/>
        <v>8</v>
      </c>
      <c r="BK44" s="20">
        <f t="shared" si="46"/>
        <v>12</v>
      </c>
      <c r="BL44" s="20">
        <f t="shared" si="46"/>
        <v>12</v>
      </c>
      <c r="BM44" s="20">
        <f t="shared" si="46"/>
        <v>12</v>
      </c>
      <c r="BN44" s="20">
        <f t="shared" si="46"/>
        <v>16</v>
      </c>
      <c r="BO44" s="20">
        <f t="shared" si="46"/>
        <v>16</v>
      </c>
      <c r="BP44" s="20">
        <f t="shared" si="46"/>
        <v>16</v>
      </c>
      <c r="BQ44" s="20">
        <f t="shared" si="46"/>
        <v>20</v>
      </c>
      <c r="BR44" s="20">
        <f t="shared" si="46"/>
        <v>20</v>
      </c>
      <c r="BS44" s="20">
        <f t="shared" si="46"/>
        <v>20</v>
      </c>
      <c r="BT44" s="20">
        <f t="shared" si="46"/>
        <v>24</v>
      </c>
      <c r="BU44" s="20">
        <f t="shared" si="46"/>
        <v>24</v>
      </c>
      <c r="BV44" s="20">
        <f t="shared" si="46"/>
        <v>24</v>
      </c>
      <c r="BW44" s="20">
        <f t="shared" si="46"/>
        <v>28</v>
      </c>
      <c r="BX44" s="20">
        <f t="shared" si="46"/>
        <v>28</v>
      </c>
      <c r="BY44" s="20">
        <f t="shared" si="46"/>
        <v>28</v>
      </c>
      <c r="BZ44" s="20">
        <f t="shared" si="46"/>
        <v>32</v>
      </c>
      <c r="CA44" s="20">
        <f t="shared" si="46"/>
        <v>32</v>
      </c>
      <c r="CB44" s="20">
        <f t="shared" si="46"/>
        <v>32</v>
      </c>
      <c r="CC44" s="20">
        <f t="shared" si="46"/>
        <v>36</v>
      </c>
      <c r="CD44" s="20">
        <f t="shared" si="46"/>
        <v>36</v>
      </c>
      <c r="CE44" s="20">
        <f t="shared" si="46"/>
        <v>36</v>
      </c>
      <c r="CF44" s="20">
        <f t="shared" si="46"/>
        <v>40</v>
      </c>
      <c r="CG44" s="20">
        <f t="shared" si="46"/>
        <v>40</v>
      </c>
      <c r="CH44" s="20">
        <f t="shared" si="46"/>
        <v>40</v>
      </c>
      <c r="CI44" s="20">
        <f t="shared" ref="CI44:CZ44" si="47">((((SUM(CI39:CI43))/2)-1))*4</f>
        <v>44</v>
      </c>
      <c r="CJ44" s="20">
        <f t="shared" si="47"/>
        <v>44</v>
      </c>
      <c r="CK44" s="20">
        <f t="shared" si="47"/>
        <v>44</v>
      </c>
      <c r="CL44" s="20">
        <f t="shared" si="47"/>
        <v>48</v>
      </c>
      <c r="CM44" s="20">
        <f t="shared" si="47"/>
        <v>48</v>
      </c>
      <c r="CN44" s="20">
        <f t="shared" si="47"/>
        <v>48</v>
      </c>
      <c r="CO44" s="20">
        <f t="shared" si="47"/>
        <v>52</v>
      </c>
      <c r="CP44" s="20">
        <f t="shared" si="47"/>
        <v>52</v>
      </c>
      <c r="CQ44" s="20">
        <f t="shared" si="47"/>
        <v>52</v>
      </c>
      <c r="CR44" s="20">
        <f t="shared" si="47"/>
        <v>56</v>
      </c>
      <c r="CS44" s="20">
        <f t="shared" si="47"/>
        <v>56</v>
      </c>
      <c r="CT44" s="20">
        <f t="shared" si="47"/>
        <v>56</v>
      </c>
      <c r="CU44" s="20">
        <f t="shared" si="47"/>
        <v>60</v>
      </c>
      <c r="CV44" s="20">
        <f t="shared" si="47"/>
        <v>60</v>
      </c>
      <c r="CW44" s="20">
        <f t="shared" si="47"/>
        <v>60</v>
      </c>
      <c r="CX44" s="20">
        <f t="shared" si="47"/>
        <v>64</v>
      </c>
      <c r="CY44" s="20">
        <f t="shared" si="47"/>
        <v>64</v>
      </c>
      <c r="CZ44" s="20">
        <f t="shared" si="47"/>
        <v>64</v>
      </c>
      <c r="DA44" s="54"/>
      <c r="DB44" s="54">
        <v>43</v>
      </c>
      <c r="DC44" s="54"/>
      <c r="DD44" s="20"/>
      <c r="DE44" s="20"/>
      <c r="DF44" s="20"/>
      <c r="DG44" s="20"/>
      <c r="DH44" s="20"/>
      <c r="DI44" s="20"/>
      <c r="DJ44" s="20"/>
      <c r="DK44" s="20"/>
      <c r="DL44" s="20"/>
      <c r="DM44" s="20"/>
      <c r="DN44" s="20"/>
      <c r="DO44" s="20"/>
      <c r="DP44" s="20"/>
      <c r="DQ44" s="20"/>
      <c r="DR44" s="20"/>
      <c r="DS44" s="20"/>
      <c r="DT44" s="20"/>
      <c r="DU44" s="20"/>
      <c r="DV44" s="20"/>
      <c r="DW44" s="20"/>
      <c r="DX44" s="20"/>
      <c r="DY44" s="20"/>
      <c r="DZ44" s="20"/>
      <c r="EA44" s="20"/>
      <c r="EB44" s="20" t="s">
        <v>408</v>
      </c>
      <c r="EC44" s="20">
        <v>0</v>
      </c>
      <c r="ED44" s="20">
        <f t="shared" ref="ED44:FI44" si="48">((((SUM(ED39:ED43))/2)-1))*4</f>
        <v>0</v>
      </c>
      <c r="EE44" s="20">
        <f t="shared" si="48"/>
        <v>4</v>
      </c>
      <c r="EF44" s="20">
        <f t="shared" si="48"/>
        <v>4</v>
      </c>
      <c r="EG44" s="20">
        <f t="shared" si="48"/>
        <v>8</v>
      </c>
      <c r="EH44" s="20">
        <f t="shared" si="48"/>
        <v>8</v>
      </c>
      <c r="EI44" s="20">
        <f t="shared" si="48"/>
        <v>12</v>
      </c>
      <c r="EJ44" s="20">
        <f t="shared" si="48"/>
        <v>12</v>
      </c>
      <c r="EK44" s="20">
        <f t="shared" si="48"/>
        <v>16</v>
      </c>
      <c r="EL44" s="20">
        <f t="shared" si="48"/>
        <v>16</v>
      </c>
      <c r="EM44" s="20">
        <f t="shared" si="48"/>
        <v>20</v>
      </c>
      <c r="EN44" s="20">
        <f t="shared" si="48"/>
        <v>20</v>
      </c>
      <c r="EO44" s="20">
        <f t="shared" si="48"/>
        <v>24</v>
      </c>
      <c r="EP44" s="20">
        <f t="shared" si="48"/>
        <v>24</v>
      </c>
      <c r="EQ44" s="20">
        <f t="shared" si="48"/>
        <v>28</v>
      </c>
      <c r="ER44" s="20">
        <f t="shared" si="48"/>
        <v>32</v>
      </c>
      <c r="ES44" s="20">
        <f t="shared" si="48"/>
        <v>32</v>
      </c>
      <c r="ET44" s="20">
        <f t="shared" si="48"/>
        <v>36</v>
      </c>
      <c r="EU44" s="20">
        <f t="shared" si="48"/>
        <v>36</v>
      </c>
      <c r="EV44" s="20">
        <f t="shared" si="48"/>
        <v>40</v>
      </c>
      <c r="EW44" s="20">
        <f t="shared" si="48"/>
        <v>40</v>
      </c>
      <c r="EX44" s="20">
        <f t="shared" si="48"/>
        <v>44</v>
      </c>
      <c r="EY44" s="20">
        <f t="shared" si="48"/>
        <v>44</v>
      </c>
      <c r="EZ44" s="20">
        <f t="shared" si="48"/>
        <v>48</v>
      </c>
      <c r="FA44" s="20">
        <f t="shared" si="48"/>
        <v>48</v>
      </c>
      <c r="FB44" s="20">
        <f t="shared" si="48"/>
        <v>52</v>
      </c>
      <c r="FC44" s="20">
        <f t="shared" si="48"/>
        <v>52</v>
      </c>
      <c r="FD44" s="20">
        <f t="shared" si="48"/>
        <v>56</v>
      </c>
      <c r="FE44" s="20">
        <f t="shared" si="48"/>
        <v>60</v>
      </c>
      <c r="FF44" s="20">
        <f t="shared" si="48"/>
        <v>60</v>
      </c>
      <c r="FG44" s="20">
        <f t="shared" si="48"/>
        <v>64</v>
      </c>
      <c r="FH44" s="20">
        <f t="shared" si="48"/>
        <v>64</v>
      </c>
      <c r="FI44" s="20">
        <f t="shared" si="48"/>
        <v>68</v>
      </c>
      <c r="FJ44" s="20">
        <f t="shared" ref="FJ44:GA44" si="49">((((SUM(FJ39:FJ43))/2)-1))*4</f>
        <v>68</v>
      </c>
      <c r="FK44" s="20">
        <f t="shared" si="49"/>
        <v>72</v>
      </c>
      <c r="FL44" s="20">
        <f t="shared" si="49"/>
        <v>72</v>
      </c>
      <c r="FM44" s="20">
        <f t="shared" si="49"/>
        <v>76</v>
      </c>
      <c r="FN44" s="20">
        <f t="shared" si="49"/>
        <v>76</v>
      </c>
      <c r="FO44" s="20">
        <f t="shared" si="49"/>
        <v>80</v>
      </c>
      <c r="FP44" s="20">
        <f t="shared" si="49"/>
        <v>80</v>
      </c>
      <c r="FQ44" s="20">
        <f t="shared" si="49"/>
        <v>84</v>
      </c>
      <c r="FR44" s="20">
        <f t="shared" si="49"/>
        <v>88</v>
      </c>
      <c r="FS44" s="20">
        <f t="shared" si="49"/>
        <v>88</v>
      </c>
      <c r="FT44" s="20">
        <f t="shared" si="49"/>
        <v>92</v>
      </c>
      <c r="FU44" s="20">
        <f t="shared" si="49"/>
        <v>92</v>
      </c>
      <c r="FV44" s="20">
        <f t="shared" si="49"/>
        <v>96</v>
      </c>
      <c r="FW44" s="20">
        <f t="shared" si="49"/>
        <v>96</v>
      </c>
      <c r="FX44" s="20">
        <f t="shared" si="49"/>
        <v>100</v>
      </c>
      <c r="FY44" s="20">
        <f t="shared" si="49"/>
        <v>100</v>
      </c>
      <c r="FZ44" s="20">
        <f t="shared" si="49"/>
        <v>104</v>
      </c>
      <c r="GA44" s="20">
        <f t="shared" si="49"/>
        <v>104</v>
      </c>
      <c r="GC44" s="20"/>
      <c r="GD44" s="20"/>
      <c r="GE44" s="20" t="s">
        <v>408</v>
      </c>
      <c r="GF44" s="20">
        <v>0</v>
      </c>
      <c r="GG44" s="20">
        <f t="shared" ref="GG44:HL44" si="50">((((SUM(GG39:GG43))/2)-1))*4</f>
        <v>0</v>
      </c>
      <c r="GH44" s="20">
        <f t="shared" si="50"/>
        <v>4</v>
      </c>
      <c r="GI44" s="20">
        <f t="shared" si="50"/>
        <v>4</v>
      </c>
      <c r="GJ44" s="20">
        <f t="shared" si="50"/>
        <v>8</v>
      </c>
      <c r="GK44" s="20">
        <f t="shared" si="50"/>
        <v>12</v>
      </c>
      <c r="GL44" s="20">
        <f t="shared" si="50"/>
        <v>12</v>
      </c>
      <c r="GM44" s="20">
        <f t="shared" si="50"/>
        <v>16</v>
      </c>
      <c r="GN44" s="20">
        <f t="shared" si="50"/>
        <v>16</v>
      </c>
      <c r="GO44" s="20">
        <f t="shared" si="50"/>
        <v>20</v>
      </c>
      <c r="GP44" s="20">
        <f t="shared" si="50"/>
        <v>24</v>
      </c>
      <c r="GQ44" s="20">
        <f t="shared" si="50"/>
        <v>24</v>
      </c>
      <c r="GR44" s="20">
        <f t="shared" si="50"/>
        <v>28</v>
      </c>
      <c r="GS44" s="20">
        <f t="shared" si="50"/>
        <v>28</v>
      </c>
      <c r="GT44" s="20">
        <f t="shared" si="50"/>
        <v>32</v>
      </c>
      <c r="GU44" s="20">
        <f t="shared" si="50"/>
        <v>36</v>
      </c>
      <c r="GV44" s="20">
        <f t="shared" si="50"/>
        <v>36</v>
      </c>
      <c r="GW44" s="20">
        <f t="shared" si="50"/>
        <v>40</v>
      </c>
      <c r="GX44" s="20">
        <f t="shared" si="50"/>
        <v>44</v>
      </c>
      <c r="GY44" s="20">
        <f t="shared" si="50"/>
        <v>44</v>
      </c>
      <c r="GZ44" s="20">
        <f t="shared" si="50"/>
        <v>48</v>
      </c>
      <c r="HA44" s="20">
        <f t="shared" si="50"/>
        <v>48</v>
      </c>
      <c r="HB44" s="20">
        <f t="shared" si="50"/>
        <v>52</v>
      </c>
      <c r="HC44" s="20">
        <f t="shared" si="50"/>
        <v>56</v>
      </c>
      <c r="HD44" s="20">
        <f t="shared" si="50"/>
        <v>56</v>
      </c>
      <c r="HE44" s="20">
        <f t="shared" si="50"/>
        <v>60</v>
      </c>
      <c r="HF44" s="20">
        <f t="shared" si="50"/>
        <v>60</v>
      </c>
      <c r="HG44" s="20">
        <f t="shared" si="50"/>
        <v>64</v>
      </c>
      <c r="HH44" s="20">
        <f t="shared" si="50"/>
        <v>68</v>
      </c>
      <c r="HI44" s="20">
        <f t="shared" si="50"/>
        <v>68</v>
      </c>
      <c r="HJ44" s="20">
        <f t="shared" si="50"/>
        <v>72</v>
      </c>
      <c r="HK44" s="20">
        <f t="shared" si="50"/>
        <v>72</v>
      </c>
      <c r="HL44" s="20">
        <f t="shared" si="50"/>
        <v>76</v>
      </c>
      <c r="HM44" s="20">
        <f t="shared" ref="HM44:ID44" si="51">((((SUM(HM39:HM43))/2)-1))*4</f>
        <v>80</v>
      </c>
      <c r="HN44" s="20">
        <f t="shared" si="51"/>
        <v>80</v>
      </c>
      <c r="HO44" s="20">
        <f t="shared" si="51"/>
        <v>84</v>
      </c>
      <c r="HP44" s="20">
        <f t="shared" si="51"/>
        <v>88</v>
      </c>
      <c r="HQ44" s="20">
        <f t="shared" si="51"/>
        <v>88</v>
      </c>
      <c r="HR44" s="20">
        <f t="shared" si="51"/>
        <v>92</v>
      </c>
      <c r="HS44" s="20">
        <f t="shared" si="51"/>
        <v>92</v>
      </c>
      <c r="HT44" s="20">
        <f t="shared" si="51"/>
        <v>96</v>
      </c>
      <c r="HU44" s="20">
        <f t="shared" si="51"/>
        <v>100</v>
      </c>
      <c r="HV44" s="20">
        <f t="shared" si="51"/>
        <v>100</v>
      </c>
      <c r="HW44" s="20">
        <f t="shared" si="51"/>
        <v>104</v>
      </c>
      <c r="HX44" s="20">
        <f t="shared" si="51"/>
        <v>104</v>
      </c>
      <c r="HY44" s="20">
        <f t="shared" si="51"/>
        <v>108</v>
      </c>
      <c r="HZ44" s="20">
        <f t="shared" si="51"/>
        <v>112</v>
      </c>
      <c r="IA44" s="20">
        <f t="shared" si="51"/>
        <v>112</v>
      </c>
      <c r="IB44" s="20">
        <f t="shared" si="51"/>
        <v>116</v>
      </c>
      <c r="IC44" s="20">
        <f t="shared" si="51"/>
        <v>120</v>
      </c>
      <c r="ID44" s="20">
        <f t="shared" si="51"/>
        <v>120</v>
      </c>
      <c r="IF44" s="21" t="s">
        <v>408</v>
      </c>
      <c r="IG44" s="21">
        <v>0</v>
      </c>
      <c r="IH44" s="21">
        <v>0</v>
      </c>
      <c r="II44" s="21">
        <v>4</v>
      </c>
      <c r="IJ44" s="21">
        <v>8</v>
      </c>
      <c r="IK44" s="21">
        <v>12</v>
      </c>
      <c r="IL44" s="21">
        <v>12</v>
      </c>
      <c r="IM44" s="21">
        <v>16</v>
      </c>
      <c r="IN44" s="21">
        <v>20</v>
      </c>
      <c r="IO44" s="21">
        <v>24</v>
      </c>
      <c r="IP44" s="21">
        <v>24</v>
      </c>
      <c r="IQ44" s="21">
        <v>28</v>
      </c>
      <c r="IR44" s="21">
        <v>32</v>
      </c>
      <c r="IS44" s="21">
        <v>32</v>
      </c>
      <c r="IT44" s="21">
        <v>36</v>
      </c>
      <c r="IU44" s="21">
        <v>40</v>
      </c>
      <c r="IV44" s="21">
        <v>44</v>
      </c>
      <c r="IW44" s="21">
        <v>44</v>
      </c>
      <c r="IX44" s="21">
        <v>48</v>
      </c>
      <c r="IY44" s="21">
        <v>52</v>
      </c>
      <c r="IZ44" s="21">
        <v>56</v>
      </c>
      <c r="JA44" s="21">
        <v>56</v>
      </c>
      <c r="JB44" s="21">
        <v>60</v>
      </c>
      <c r="JC44" s="21">
        <v>64</v>
      </c>
      <c r="JD44" s="21">
        <v>68</v>
      </c>
      <c r="JE44" s="21">
        <v>68</v>
      </c>
      <c r="JF44" s="21">
        <v>72</v>
      </c>
      <c r="JS44" s="20"/>
      <c r="JT44" s="20">
        <v>0</v>
      </c>
      <c r="JU44" s="20">
        <v>1</v>
      </c>
      <c r="JV44" s="20">
        <v>2</v>
      </c>
      <c r="JW44" s="20">
        <v>3</v>
      </c>
      <c r="JX44" s="20">
        <v>4</v>
      </c>
      <c r="JY44" s="20">
        <v>5</v>
      </c>
      <c r="JZ44" s="20">
        <v>6</v>
      </c>
      <c r="KA44" s="20">
        <v>7</v>
      </c>
      <c r="KB44" s="20">
        <v>8</v>
      </c>
      <c r="KC44" s="20">
        <v>9</v>
      </c>
      <c r="KD44" s="20">
        <v>10</v>
      </c>
      <c r="KE44" s="20">
        <v>11</v>
      </c>
      <c r="KF44" s="20">
        <v>12</v>
      </c>
      <c r="KG44" s="20">
        <v>13</v>
      </c>
      <c r="KH44" s="20">
        <v>14</v>
      </c>
      <c r="KI44" s="20">
        <v>15</v>
      </c>
      <c r="KJ44" s="20">
        <v>16</v>
      </c>
      <c r="KK44" s="20">
        <v>17</v>
      </c>
      <c r="KL44" s="20">
        <v>18</v>
      </c>
      <c r="KM44" s="20">
        <v>19</v>
      </c>
      <c r="KN44" s="20">
        <v>20</v>
      </c>
      <c r="KO44" s="20">
        <v>21</v>
      </c>
      <c r="KP44" s="20">
        <v>22</v>
      </c>
      <c r="KQ44" s="20">
        <v>23</v>
      </c>
      <c r="KR44" s="20">
        <v>24</v>
      </c>
      <c r="KS44" s="20">
        <v>25</v>
      </c>
      <c r="KU44" s="20"/>
      <c r="KV44" s="20">
        <v>0</v>
      </c>
      <c r="KW44" s="20">
        <v>1</v>
      </c>
      <c r="KX44" s="20">
        <v>2</v>
      </c>
      <c r="KY44" s="20">
        <v>3</v>
      </c>
      <c r="KZ44" s="20">
        <v>4</v>
      </c>
      <c r="LA44" s="20">
        <v>5</v>
      </c>
      <c r="LB44" s="20">
        <v>6</v>
      </c>
      <c r="LC44" s="20">
        <v>7</v>
      </c>
      <c r="LD44" s="20">
        <v>8</v>
      </c>
      <c r="LE44" s="20">
        <v>9</v>
      </c>
      <c r="LF44" s="20">
        <v>10</v>
      </c>
      <c r="LG44" s="20">
        <v>11</v>
      </c>
      <c r="LH44" s="20">
        <v>12</v>
      </c>
      <c r="LI44" s="20">
        <v>13</v>
      </c>
      <c r="LJ44" s="20">
        <v>14</v>
      </c>
      <c r="LK44" s="20">
        <v>15</v>
      </c>
      <c r="LL44" s="20">
        <v>16</v>
      </c>
      <c r="LM44" s="20">
        <v>17</v>
      </c>
      <c r="LN44" s="20">
        <v>18</v>
      </c>
      <c r="LO44" s="20">
        <v>19</v>
      </c>
      <c r="LP44" s="20">
        <v>20</v>
      </c>
      <c r="LQ44" s="20">
        <v>21</v>
      </c>
      <c r="LR44" s="20">
        <v>22</v>
      </c>
      <c r="LS44" s="20">
        <v>23</v>
      </c>
      <c r="LT44" s="20">
        <v>24</v>
      </c>
      <c r="LU44" s="20">
        <v>25</v>
      </c>
      <c r="LW44" s="20"/>
      <c r="LX44" s="20">
        <v>0</v>
      </c>
      <c r="LY44" s="20">
        <v>1</v>
      </c>
      <c r="LZ44" s="20">
        <v>2</v>
      </c>
      <c r="MA44" s="20">
        <v>3</v>
      </c>
      <c r="MB44" s="20">
        <v>4</v>
      </c>
      <c r="MC44" s="20">
        <v>5</v>
      </c>
      <c r="MD44" s="20">
        <v>6</v>
      </c>
      <c r="ME44" s="20">
        <v>7</v>
      </c>
      <c r="MF44" s="20">
        <v>8</v>
      </c>
      <c r="MG44" s="20">
        <v>9</v>
      </c>
      <c r="MH44" s="20">
        <v>10</v>
      </c>
      <c r="MI44" s="20">
        <v>11</v>
      </c>
      <c r="MJ44" s="20">
        <v>12</v>
      </c>
      <c r="MK44" s="20">
        <v>13</v>
      </c>
      <c r="ML44" s="20">
        <v>14</v>
      </c>
      <c r="MM44" s="20">
        <v>15</v>
      </c>
      <c r="MN44" s="20">
        <v>16</v>
      </c>
      <c r="MO44" s="20">
        <v>17</v>
      </c>
      <c r="MP44" s="20">
        <v>18</v>
      </c>
      <c r="MQ44" s="20">
        <v>19</v>
      </c>
      <c r="MR44" s="20">
        <v>20</v>
      </c>
      <c r="MS44" s="20">
        <v>21</v>
      </c>
      <c r="MT44" s="20">
        <v>22</v>
      </c>
      <c r="MU44" s="20">
        <v>23</v>
      </c>
      <c r="MV44" s="20">
        <v>24</v>
      </c>
      <c r="MW44" s="20">
        <v>25</v>
      </c>
      <c r="MZ44" s="21">
        <v>0</v>
      </c>
      <c r="NA44" s="21">
        <v>1</v>
      </c>
      <c r="NB44" s="21">
        <v>2</v>
      </c>
      <c r="NC44" s="21">
        <v>3</v>
      </c>
      <c r="ND44" s="21">
        <v>4</v>
      </c>
      <c r="NE44" s="21">
        <v>5</v>
      </c>
      <c r="NF44" s="21">
        <v>6</v>
      </c>
      <c r="NG44" s="21">
        <v>7</v>
      </c>
      <c r="NH44" s="21">
        <v>8</v>
      </c>
      <c r="NI44" s="21">
        <v>9</v>
      </c>
      <c r="NJ44" s="21">
        <v>10</v>
      </c>
      <c r="NK44" s="21">
        <v>11</v>
      </c>
      <c r="NL44" s="21">
        <v>12</v>
      </c>
      <c r="NM44" s="21">
        <v>13</v>
      </c>
      <c r="NN44" s="21">
        <v>14</v>
      </c>
      <c r="NO44" s="21">
        <v>15</v>
      </c>
      <c r="NP44" s="21">
        <v>16</v>
      </c>
      <c r="NQ44" s="21">
        <v>17</v>
      </c>
      <c r="NR44" s="21">
        <v>18</v>
      </c>
      <c r="NS44" s="21">
        <v>19</v>
      </c>
      <c r="NT44" s="21">
        <v>20</v>
      </c>
      <c r="NU44" s="21">
        <v>21</v>
      </c>
      <c r="NV44" s="21">
        <v>22</v>
      </c>
      <c r="NW44" s="21">
        <v>23</v>
      </c>
      <c r="NX44" s="21">
        <v>24</v>
      </c>
      <c r="NY44" s="21">
        <v>25</v>
      </c>
    </row>
    <row r="45" spans="1:393" x14ac:dyDescent="0.25">
      <c r="A45" s="4"/>
      <c r="B45" s="6"/>
      <c r="C45" s="4"/>
      <c r="D45" s="4"/>
      <c r="E45" s="4"/>
      <c r="F45" s="4"/>
      <c r="G45" s="4"/>
      <c r="H45" s="4"/>
      <c r="I45" s="4"/>
      <c r="J45" s="4"/>
      <c r="K45" s="4"/>
      <c r="L45" s="6" t="str">
        <f>IF(L42="PUFK","PUPK",IF(L42="PUFKL","PUPK","PUP"))</f>
        <v>PUP</v>
      </c>
      <c r="M45" s="14">
        <f>INDEX(cennik!$A$2:$O$529,MATCH($L45,cennik!$B$2:$B$522,0),MATCH(M$27,cennik!$A$1:$O$1,0))</f>
        <v>897303</v>
      </c>
      <c r="N45" s="14" t="str">
        <f>INDEX(cennik!$A$2:$O$529,MATCH($L45,cennik!$B$2:$B$522,0),MATCH(N$27,cennik!$A$1:$O$1,0))</f>
        <v>szt.</v>
      </c>
      <c r="O45" s="14">
        <f>SUM((IF(MOD(A27,2)=0,A27/2,IF(MOD(A27,2)=1,FLOOR(A27/2,1)+1,0))*C27),(IF(MOD(A28,2)=0,A28/2,IF(MOD(A28,2)=1,FLOOR(A28/2,1)+1,0))*C28),(IF(MOD(A29,2)=0,A29/2,IF(MOD(A29,2)=1,FLOOR(A29/2,1)+1,0))*C29),(IF(MOD(A30,2)=0,A30/2,IF(MOD(A30,2)=1,FLOOR(A30/2,1)+1,0))*C30),(IF(MOD(A31,2)=0,A31/2,IF(MOD(A31,2)=1,FLOOR(A31/2,1)+1,0))*C31),(IF(MOD(A32,2)=0,A32/2,IF(MOD(A32,2)=1,FLOOR(A32/2,1)+1,0))*C32),(IF(MOD(A33,2)=0,A33/2,IF(MOD(A33,2)=1,FLOOR(A33/2,1)+1,0))*C33),(IF(MOD(A34,2)=0,A34/2,IF(MOD(A34,2)=1,FLOOR(A34/2,1)+1,0))*C34),(IF(MOD(A35,2)=0,A35/2,IF(MOD(A35,2)=1,FLOOR(A35/2,1)+1,0))*C35),(IF(MOD(A36,2)=0,A36/2,IF(MOD(A36,2)=1,FLOOR(A36/2,1)+1,0))*C36),(IF(MOD(A37,2)=0,A37/2,IF(MOD(A37,2)=1,FLOOR(A37/2,1)+1,0))*C37),(IF(MOD(A38,2)=0,A38/2,IF(MOD(A38,2)=1,FLOOR(A38/2,1)+1,0))*C38),(IF(MOD(A39,2)=0,A39/2,IF(MOD(A39,2)=1,FLOOR(A39/2,1)+1,0))*C39),(IF(MOD(A40,2)=0,A40/2,IF(MOD(A40,2)=1,FLOOR(A40/2,1)+1,0))*C40),(IF(MOD(A41,2)=0,A41/2,IF(MOD(A41,2)=1,FLOOR(A41/2,1)+1,0))*C41),(IF(MOD(A42,2)=0,A42/2,IF(MOD(A42,2)=1,FLOOR(A42/2,1)+1,0))*C42))</f>
        <v>3</v>
      </c>
      <c r="P45" s="22">
        <f>INDEX(cennik!$A$2:$O$529,MATCH($L45,cennik!$B$2:$B$522,0),MATCH(P$27,cennik!$A$1:$O$1,0))</f>
        <v>2.4</v>
      </c>
      <c r="Q45" s="22">
        <f t="shared" si="44"/>
        <v>7.1999999999999993</v>
      </c>
      <c r="R45" s="23">
        <f t="shared" si="34"/>
        <v>0</v>
      </c>
      <c r="S45" s="22">
        <f t="shared" si="35"/>
        <v>2.4</v>
      </c>
      <c r="T45" s="22">
        <f t="shared" si="45"/>
        <v>7.1999999999999993</v>
      </c>
      <c r="U45" s="22">
        <f>INDEX(cennik!$A$2:$O$529,MATCH($L45,cennik!$B$2:$B$522,0),MATCH(U$27,cennik!$A$1:$O$1,0))*O45</f>
        <v>4.8000000000000001E-2</v>
      </c>
      <c r="V45" s="20"/>
      <c r="W45" s="27" t="s">
        <v>160</v>
      </c>
      <c r="X45" s="27" t="s">
        <v>0</v>
      </c>
      <c r="Y45" s="358" t="s">
        <v>160</v>
      </c>
      <c r="Z45" s="358"/>
      <c r="AA45" s="358"/>
      <c r="AB45" s="358"/>
      <c r="AC45" s="358"/>
      <c r="AD45" s="358"/>
      <c r="AE45" s="20"/>
      <c r="AF45" s="20" t="s">
        <v>513</v>
      </c>
      <c r="AG45" s="20"/>
      <c r="AH45" s="20" t="s">
        <v>764</v>
      </c>
      <c r="AI45" s="20"/>
      <c r="AJ45" s="20">
        <v>2400</v>
      </c>
      <c r="AK45" s="20"/>
      <c r="AL45" s="20"/>
      <c r="AM45" s="20">
        <v>34</v>
      </c>
      <c r="AN45" s="20"/>
      <c r="AO45" s="20"/>
      <c r="AP45" s="20" t="s">
        <v>110</v>
      </c>
      <c r="AQ45" s="20" t="s">
        <v>14</v>
      </c>
      <c r="AS45" s="20">
        <v>34</v>
      </c>
      <c r="AT45" s="20" t="s">
        <v>40</v>
      </c>
      <c r="AU45" s="20"/>
      <c r="AV45" s="20" t="s">
        <v>151</v>
      </c>
      <c r="AW45" s="20" t="s">
        <v>151</v>
      </c>
      <c r="AX45" s="20"/>
      <c r="AY45" s="20"/>
      <c r="AZ45" s="20"/>
      <c r="BA45" s="26" t="s">
        <v>516</v>
      </c>
      <c r="BB45" s="20">
        <v>0</v>
      </c>
      <c r="BC45" s="20">
        <v>0</v>
      </c>
      <c r="BD45" s="20">
        <v>4</v>
      </c>
      <c r="BE45" s="20">
        <v>6</v>
      </c>
      <c r="BF45" s="20">
        <v>0</v>
      </c>
      <c r="BG45" s="20">
        <v>0</v>
      </c>
      <c r="BH45" s="20">
        <v>0</v>
      </c>
      <c r="BI45" s="20">
        <v>0</v>
      </c>
      <c r="BJ45" s="20">
        <v>0</v>
      </c>
      <c r="BK45" s="20">
        <v>0</v>
      </c>
      <c r="BL45" s="20">
        <v>0</v>
      </c>
      <c r="BM45" s="20">
        <v>0</v>
      </c>
      <c r="BN45" s="20">
        <v>0</v>
      </c>
      <c r="BO45" s="20">
        <v>0</v>
      </c>
      <c r="BP45" s="20">
        <v>0</v>
      </c>
      <c r="BQ45" s="20">
        <v>0</v>
      </c>
      <c r="BR45" s="20">
        <v>0</v>
      </c>
      <c r="BS45" s="20">
        <v>0</v>
      </c>
      <c r="BT45" s="20">
        <v>0</v>
      </c>
      <c r="BU45" s="20">
        <v>0</v>
      </c>
      <c r="BV45" s="20">
        <v>0</v>
      </c>
      <c r="BW45" s="20">
        <v>0</v>
      </c>
      <c r="BX45" s="20">
        <v>0</v>
      </c>
      <c r="BY45" s="20">
        <v>0</v>
      </c>
      <c r="BZ45" s="20">
        <v>0</v>
      </c>
      <c r="CA45" s="20">
        <v>0</v>
      </c>
      <c r="CB45" s="20">
        <v>0</v>
      </c>
      <c r="CC45" s="20">
        <v>0</v>
      </c>
      <c r="CD45" s="20">
        <v>0</v>
      </c>
      <c r="CE45" s="20">
        <v>0</v>
      </c>
      <c r="CF45" s="20">
        <v>0</v>
      </c>
      <c r="CG45" s="20">
        <v>0</v>
      </c>
      <c r="CH45" s="20">
        <v>0</v>
      </c>
      <c r="CI45" s="20">
        <v>0</v>
      </c>
      <c r="CJ45" s="20">
        <v>0</v>
      </c>
      <c r="CK45" s="20">
        <v>0</v>
      </c>
      <c r="CL45" s="20">
        <v>0</v>
      </c>
      <c r="CM45" s="20">
        <v>0</v>
      </c>
      <c r="CN45" s="20">
        <v>0</v>
      </c>
      <c r="CO45" s="20">
        <v>0</v>
      </c>
      <c r="CP45" s="20">
        <v>0</v>
      </c>
      <c r="CQ45" s="20">
        <v>0</v>
      </c>
      <c r="CR45" s="20">
        <v>0</v>
      </c>
      <c r="CS45" s="20">
        <v>0</v>
      </c>
      <c r="CT45" s="20">
        <v>0</v>
      </c>
      <c r="CU45" s="20">
        <v>0</v>
      </c>
      <c r="CV45" s="20">
        <v>0</v>
      </c>
      <c r="CW45" s="20">
        <v>0</v>
      </c>
      <c r="CX45" s="20">
        <v>0</v>
      </c>
      <c r="CY45" s="20">
        <v>0</v>
      </c>
      <c r="CZ45" s="20">
        <v>0</v>
      </c>
      <c r="DA45" s="54"/>
      <c r="DB45" s="54">
        <v>44</v>
      </c>
      <c r="DC45" s="54"/>
      <c r="DD45" s="20" t="s">
        <v>111</v>
      </c>
      <c r="DE45" s="20">
        <v>0</v>
      </c>
      <c r="DF45" s="20">
        <v>1</v>
      </c>
      <c r="DG45" s="20">
        <v>2</v>
      </c>
      <c r="DH45" s="20">
        <v>3</v>
      </c>
      <c r="DI45" s="20">
        <v>4</v>
      </c>
      <c r="DJ45" s="20">
        <v>5</v>
      </c>
      <c r="DK45" s="20">
        <v>6</v>
      </c>
      <c r="DL45" s="20">
        <v>7</v>
      </c>
      <c r="DM45" s="20">
        <v>8</v>
      </c>
      <c r="DN45" s="20">
        <v>9</v>
      </c>
      <c r="DO45" s="20">
        <v>10</v>
      </c>
      <c r="DP45" s="20">
        <v>11</v>
      </c>
      <c r="DQ45" s="20">
        <v>12</v>
      </c>
      <c r="DR45" s="20">
        <v>13</v>
      </c>
      <c r="DS45" s="20">
        <v>14</v>
      </c>
      <c r="DT45" s="20">
        <v>15</v>
      </c>
      <c r="DU45" s="20">
        <v>16</v>
      </c>
      <c r="DV45" s="20">
        <v>17</v>
      </c>
      <c r="DW45" s="20">
        <v>18</v>
      </c>
      <c r="DX45" s="20">
        <v>19</v>
      </c>
      <c r="DY45" s="20">
        <v>20</v>
      </c>
      <c r="DZ45" s="20"/>
      <c r="EA45" s="20"/>
      <c r="EB45" s="26" t="s">
        <v>516</v>
      </c>
      <c r="EC45" s="20">
        <v>0</v>
      </c>
      <c r="ED45" s="20">
        <v>0</v>
      </c>
      <c r="EE45" s="20">
        <v>0</v>
      </c>
      <c r="EF45" s="20">
        <v>0</v>
      </c>
      <c r="EG45" s="20">
        <v>0</v>
      </c>
      <c r="EH45" s="20">
        <v>0</v>
      </c>
      <c r="EI45" s="20">
        <v>0</v>
      </c>
      <c r="EJ45" s="20">
        <v>0</v>
      </c>
      <c r="EK45" s="20">
        <v>0</v>
      </c>
      <c r="EL45" s="20">
        <v>0</v>
      </c>
      <c r="EM45" s="20">
        <v>0</v>
      </c>
      <c r="EN45" s="20">
        <v>0</v>
      </c>
      <c r="EO45" s="20">
        <v>0</v>
      </c>
      <c r="EP45" s="20">
        <v>0</v>
      </c>
      <c r="EQ45" s="20">
        <v>0</v>
      </c>
      <c r="ER45" s="20">
        <v>0</v>
      </c>
      <c r="ES45" s="20">
        <v>0</v>
      </c>
      <c r="ET45" s="20">
        <v>0</v>
      </c>
      <c r="EU45" s="20">
        <v>0</v>
      </c>
      <c r="EV45" s="20">
        <v>0</v>
      </c>
      <c r="EW45" s="20">
        <v>0</v>
      </c>
      <c r="EX45" s="20">
        <v>0</v>
      </c>
      <c r="EY45" s="20">
        <v>0</v>
      </c>
      <c r="EZ45" s="20">
        <v>0</v>
      </c>
      <c r="FA45" s="20">
        <v>0</v>
      </c>
      <c r="FB45" s="20">
        <v>0</v>
      </c>
      <c r="FC45" s="20">
        <v>0</v>
      </c>
      <c r="FD45" s="20">
        <v>0</v>
      </c>
      <c r="FE45" s="20">
        <v>0</v>
      </c>
      <c r="FF45" s="20">
        <v>0</v>
      </c>
      <c r="FG45" s="20">
        <v>0</v>
      </c>
      <c r="FH45" s="20">
        <v>0</v>
      </c>
      <c r="FI45" s="20">
        <v>0</v>
      </c>
      <c r="FJ45" s="20">
        <v>0</v>
      </c>
      <c r="FK45" s="20">
        <v>0</v>
      </c>
      <c r="FL45" s="20">
        <v>0</v>
      </c>
      <c r="FM45" s="20">
        <v>0</v>
      </c>
      <c r="FN45" s="20">
        <v>0</v>
      </c>
      <c r="FO45" s="20">
        <v>0</v>
      </c>
      <c r="FP45" s="20">
        <v>0</v>
      </c>
      <c r="FQ45" s="20">
        <v>0</v>
      </c>
      <c r="FR45" s="20">
        <v>0</v>
      </c>
      <c r="FS45" s="20">
        <v>0</v>
      </c>
      <c r="FT45" s="20">
        <v>0</v>
      </c>
      <c r="FU45" s="20">
        <v>0</v>
      </c>
      <c r="FV45" s="20">
        <v>0</v>
      </c>
      <c r="FW45" s="20">
        <v>0</v>
      </c>
      <c r="FX45" s="20">
        <v>0</v>
      </c>
      <c r="FY45" s="20">
        <v>0</v>
      </c>
      <c r="FZ45" s="20">
        <v>0</v>
      </c>
      <c r="GA45" s="20">
        <v>0</v>
      </c>
      <c r="GC45" s="20"/>
      <c r="GD45" s="20"/>
      <c r="GE45" s="26" t="s">
        <v>516</v>
      </c>
      <c r="GF45" s="20">
        <v>0</v>
      </c>
      <c r="GG45" s="20">
        <v>0</v>
      </c>
      <c r="GH45" s="20">
        <v>0</v>
      </c>
      <c r="GI45" s="20">
        <v>0</v>
      </c>
      <c r="GJ45" s="20">
        <v>0</v>
      </c>
      <c r="GK45" s="20">
        <v>0</v>
      </c>
      <c r="GL45" s="20">
        <v>0</v>
      </c>
      <c r="GM45" s="20">
        <v>2</v>
      </c>
      <c r="GN45" s="20">
        <v>0</v>
      </c>
      <c r="GO45" s="20">
        <v>0</v>
      </c>
      <c r="GP45" s="20">
        <v>0</v>
      </c>
      <c r="GQ45" s="20">
        <v>0</v>
      </c>
      <c r="GR45" s="20">
        <v>0</v>
      </c>
      <c r="GS45" s="20">
        <v>0</v>
      </c>
      <c r="GT45" s="20">
        <v>0</v>
      </c>
      <c r="GU45" s="20">
        <v>0</v>
      </c>
      <c r="GV45" s="20">
        <v>0</v>
      </c>
      <c r="GW45" s="20">
        <v>0</v>
      </c>
      <c r="GX45" s="20">
        <v>0</v>
      </c>
      <c r="GY45" s="20">
        <v>0</v>
      </c>
      <c r="GZ45" s="20">
        <v>0</v>
      </c>
      <c r="HA45" s="20">
        <v>0</v>
      </c>
      <c r="HB45" s="20">
        <v>0</v>
      </c>
      <c r="HC45" s="20">
        <v>0</v>
      </c>
      <c r="HD45" s="20">
        <v>0</v>
      </c>
      <c r="HE45" s="20">
        <v>0</v>
      </c>
      <c r="HF45" s="20">
        <v>0</v>
      </c>
      <c r="HG45" s="20">
        <v>0</v>
      </c>
      <c r="HH45" s="20">
        <v>0</v>
      </c>
      <c r="HI45" s="20">
        <v>0</v>
      </c>
      <c r="HJ45" s="20">
        <v>0</v>
      </c>
      <c r="HK45" s="20">
        <v>0</v>
      </c>
      <c r="HL45" s="20">
        <v>0</v>
      </c>
      <c r="HM45" s="20">
        <v>0</v>
      </c>
      <c r="HN45" s="20">
        <v>0</v>
      </c>
      <c r="HO45" s="20">
        <v>0</v>
      </c>
      <c r="HP45" s="20">
        <v>0</v>
      </c>
      <c r="HQ45" s="20">
        <v>0</v>
      </c>
      <c r="HR45" s="20">
        <v>0</v>
      </c>
      <c r="HS45" s="20">
        <v>0</v>
      </c>
      <c r="HT45" s="20">
        <v>0</v>
      </c>
      <c r="HU45" s="20">
        <v>0</v>
      </c>
      <c r="HV45" s="20">
        <v>0</v>
      </c>
      <c r="HW45" s="20">
        <v>0</v>
      </c>
      <c r="HX45" s="20">
        <v>0</v>
      </c>
      <c r="HY45" s="20">
        <v>0</v>
      </c>
      <c r="HZ45" s="20">
        <v>0</v>
      </c>
      <c r="IA45" s="20">
        <v>0</v>
      </c>
      <c r="IB45" s="20">
        <v>0</v>
      </c>
      <c r="IC45" s="20">
        <v>0</v>
      </c>
      <c r="ID45" s="20">
        <v>0</v>
      </c>
      <c r="IF45" s="21" t="s">
        <v>516</v>
      </c>
      <c r="IG45" s="21">
        <v>0</v>
      </c>
      <c r="IH45" s="21">
        <v>0</v>
      </c>
      <c r="II45" s="21">
        <v>0</v>
      </c>
      <c r="IJ45" s="21">
        <v>0</v>
      </c>
      <c r="IK45" s="21">
        <v>2</v>
      </c>
      <c r="IL45" s="21">
        <v>0</v>
      </c>
      <c r="IM45" s="21">
        <v>0</v>
      </c>
      <c r="IN45" s="21">
        <v>2</v>
      </c>
      <c r="IO45" s="21">
        <v>0</v>
      </c>
      <c r="IP45" s="21">
        <v>0</v>
      </c>
      <c r="IQ45" s="21">
        <v>0</v>
      </c>
      <c r="IR45" s="21">
        <v>0</v>
      </c>
      <c r="IS45" s="21">
        <v>0</v>
      </c>
      <c r="IT45" s="21">
        <v>0</v>
      </c>
      <c r="IU45" s="21">
        <v>0</v>
      </c>
      <c r="IV45" s="21">
        <v>0</v>
      </c>
      <c r="IW45" s="21">
        <v>0</v>
      </c>
      <c r="IX45" s="21">
        <v>0</v>
      </c>
      <c r="IY45" s="21">
        <v>0</v>
      </c>
      <c r="IZ45" s="21">
        <v>0</v>
      </c>
      <c r="JA45" s="21">
        <v>0</v>
      </c>
      <c r="JB45" s="21">
        <v>0</v>
      </c>
      <c r="JC45" s="21">
        <v>0</v>
      </c>
      <c r="JD45" s="21">
        <v>0</v>
      </c>
      <c r="JE45" s="21">
        <v>0</v>
      </c>
      <c r="JF45" s="21">
        <v>0</v>
      </c>
      <c r="JS45" s="20" t="s">
        <v>126</v>
      </c>
      <c r="JT45" s="20">
        <v>0</v>
      </c>
      <c r="JU45" s="20">
        <v>0</v>
      </c>
      <c r="JV45" s="20">
        <v>0</v>
      </c>
      <c r="JW45" s="20">
        <v>0</v>
      </c>
      <c r="JX45" s="20">
        <v>0</v>
      </c>
      <c r="JY45" s="20">
        <v>0</v>
      </c>
      <c r="JZ45" s="20">
        <v>0</v>
      </c>
      <c r="KA45" s="20">
        <v>2</v>
      </c>
      <c r="KB45" s="20">
        <v>0</v>
      </c>
      <c r="KC45" s="20">
        <v>0</v>
      </c>
      <c r="KD45" s="20">
        <v>0</v>
      </c>
      <c r="KE45" s="20">
        <v>0</v>
      </c>
      <c r="KF45" s="20">
        <v>0</v>
      </c>
      <c r="KG45" s="20">
        <v>0</v>
      </c>
      <c r="KH45" s="20">
        <v>0</v>
      </c>
      <c r="KI45" s="20">
        <v>0</v>
      </c>
      <c r="KJ45" s="20">
        <v>0</v>
      </c>
      <c r="KK45" s="20">
        <v>0</v>
      </c>
      <c r="KL45" s="20">
        <v>0</v>
      </c>
      <c r="KM45" s="20">
        <v>0</v>
      </c>
      <c r="KN45" s="20">
        <v>0</v>
      </c>
      <c r="KO45" s="20">
        <v>0</v>
      </c>
      <c r="KP45" s="20">
        <v>0</v>
      </c>
      <c r="KQ45" s="20">
        <v>0</v>
      </c>
      <c r="KR45" s="20">
        <v>0</v>
      </c>
      <c r="KS45" s="20">
        <v>0</v>
      </c>
      <c r="KU45" s="20" t="s">
        <v>126</v>
      </c>
      <c r="KV45" s="20">
        <v>0</v>
      </c>
      <c r="KW45" s="20">
        <v>0</v>
      </c>
      <c r="KX45" s="20">
        <v>0</v>
      </c>
      <c r="KY45" s="20">
        <v>0</v>
      </c>
      <c r="KZ45" s="20">
        <v>0</v>
      </c>
      <c r="LA45" s="20">
        <v>0</v>
      </c>
      <c r="LB45" s="20">
        <v>0</v>
      </c>
      <c r="LC45" s="20">
        <v>0</v>
      </c>
      <c r="LD45" s="20">
        <v>0</v>
      </c>
      <c r="LE45" s="20">
        <v>0</v>
      </c>
      <c r="LF45" s="20">
        <v>0</v>
      </c>
      <c r="LG45" s="20">
        <v>0</v>
      </c>
      <c r="LH45" s="20">
        <v>0</v>
      </c>
      <c r="LI45" s="20">
        <v>0</v>
      </c>
      <c r="LJ45" s="20">
        <v>0</v>
      </c>
      <c r="LK45" s="20">
        <v>0</v>
      </c>
      <c r="LL45" s="20">
        <v>0</v>
      </c>
      <c r="LM45" s="20">
        <v>0</v>
      </c>
      <c r="LN45" s="20">
        <v>0</v>
      </c>
      <c r="LO45" s="20">
        <v>0</v>
      </c>
      <c r="LP45" s="20">
        <v>0</v>
      </c>
      <c r="LQ45" s="20">
        <v>0</v>
      </c>
      <c r="LR45" s="20">
        <v>0</v>
      </c>
      <c r="LS45" s="20">
        <v>0</v>
      </c>
      <c r="LT45" s="20">
        <v>0</v>
      </c>
      <c r="LU45" s="20">
        <v>0</v>
      </c>
      <c r="LW45" s="20" t="s">
        <v>126</v>
      </c>
      <c r="LX45" s="20">
        <v>0</v>
      </c>
      <c r="LY45" s="20">
        <v>0</v>
      </c>
      <c r="LZ45" s="20">
        <v>0</v>
      </c>
      <c r="MA45" s="20">
        <v>0</v>
      </c>
      <c r="MB45" s="20">
        <v>0</v>
      </c>
      <c r="MC45" s="20">
        <v>0</v>
      </c>
      <c r="MD45" s="20">
        <v>0</v>
      </c>
      <c r="ME45" s="20">
        <v>0</v>
      </c>
      <c r="MF45" s="20">
        <v>0</v>
      </c>
      <c r="MG45" s="20">
        <v>0</v>
      </c>
      <c r="MH45" s="20">
        <v>0</v>
      </c>
      <c r="MI45" s="20">
        <v>0</v>
      </c>
      <c r="MJ45" s="20">
        <v>0</v>
      </c>
      <c r="MK45" s="20">
        <v>0</v>
      </c>
      <c r="ML45" s="20">
        <v>0</v>
      </c>
      <c r="MM45" s="20">
        <v>0</v>
      </c>
      <c r="MN45" s="20">
        <v>0</v>
      </c>
      <c r="MO45" s="20">
        <v>0</v>
      </c>
      <c r="MP45" s="20">
        <v>0</v>
      </c>
      <c r="MQ45" s="20">
        <v>0</v>
      </c>
      <c r="MR45" s="20">
        <v>0</v>
      </c>
      <c r="MS45" s="20">
        <v>0</v>
      </c>
      <c r="MT45" s="20">
        <v>0</v>
      </c>
      <c r="MU45" s="20">
        <v>0</v>
      </c>
      <c r="MV45" s="20">
        <v>0</v>
      </c>
      <c r="MW45" s="20">
        <v>0</v>
      </c>
      <c r="MY45" s="21" t="s">
        <v>126</v>
      </c>
      <c r="MZ45" s="21">
        <v>0</v>
      </c>
      <c r="NA45" s="21">
        <v>0</v>
      </c>
      <c r="NB45" s="21">
        <v>0</v>
      </c>
      <c r="NC45" s="21">
        <v>0</v>
      </c>
      <c r="ND45" s="21">
        <v>0</v>
      </c>
      <c r="NE45" s="21">
        <v>0</v>
      </c>
      <c r="NF45" s="21">
        <v>0</v>
      </c>
      <c r="NG45" s="21">
        <v>0</v>
      </c>
      <c r="NH45" s="21">
        <v>0</v>
      </c>
      <c r="NI45" s="21">
        <v>0</v>
      </c>
      <c r="NJ45" s="21">
        <v>0</v>
      </c>
      <c r="NK45" s="21">
        <v>0</v>
      </c>
      <c r="NL45" s="21">
        <v>0</v>
      </c>
      <c r="NM45" s="21">
        <v>0</v>
      </c>
      <c r="NN45" s="21">
        <v>0</v>
      </c>
      <c r="NO45" s="21">
        <v>0</v>
      </c>
      <c r="NP45" s="20">
        <v>0</v>
      </c>
      <c r="NQ45" s="21">
        <v>0</v>
      </c>
      <c r="NR45" s="21">
        <v>0</v>
      </c>
      <c r="NS45" s="21">
        <v>0</v>
      </c>
      <c r="NT45" s="21">
        <v>0</v>
      </c>
      <c r="NU45" s="21">
        <v>0</v>
      </c>
      <c r="NV45" s="21">
        <v>2</v>
      </c>
      <c r="NW45" s="21">
        <v>0</v>
      </c>
      <c r="NX45" s="21">
        <v>0</v>
      </c>
      <c r="NY45" s="21">
        <v>0</v>
      </c>
    </row>
    <row r="46" spans="1:393" x14ac:dyDescent="0.25">
      <c r="A46" s="4"/>
      <c r="B46" s="6"/>
      <c r="C46" s="4"/>
      <c r="D46" s="4"/>
      <c r="E46" s="4"/>
      <c r="F46" s="4"/>
      <c r="G46" s="4"/>
      <c r="H46" s="4"/>
      <c r="I46" s="4"/>
      <c r="J46" s="4"/>
      <c r="K46" s="4"/>
      <c r="L46" s="6" t="s">
        <v>512</v>
      </c>
      <c r="M46" s="14">
        <f>INDEX(cennik!$A$2:$O$529,MATCH($L46,cennik!$B$2:$B$522,0),MATCH(M$27,cennik!$A$1:$O$1,0))</f>
        <v>808251</v>
      </c>
      <c r="N46" s="14" t="str">
        <f>INDEX(cennik!$A$2:$O$529,MATCH($L46,cennik!$B$2:$B$522,0),MATCH(N$27,cennik!$A$1:$O$1,0))</f>
        <v>szt.</v>
      </c>
      <c r="O46" s="14">
        <f>IF(E35=$AK$24,0,E36)</f>
        <v>0</v>
      </c>
      <c r="P46" s="22">
        <f>INDEX(cennik!$A$2:$O$529,MATCH($L46,cennik!$B$2:$B$522,0),MATCH(P$27,cennik!$A$1:$O$1,0))</f>
        <v>0.63</v>
      </c>
      <c r="Q46" s="22">
        <f t="shared" si="44"/>
        <v>0</v>
      </c>
      <c r="R46" s="23">
        <f t="shared" si="34"/>
        <v>0</v>
      </c>
      <c r="S46" s="22">
        <f t="shared" si="35"/>
        <v>0.63</v>
      </c>
      <c r="T46" s="22">
        <f t="shared" si="45"/>
        <v>0</v>
      </c>
      <c r="U46" s="22">
        <f>INDEX(cennik!$A$2:$O$529,MATCH($L46,cennik!$B$2:$B$522,0),MATCH(U$27,cennik!$A$1:$O$1,0))*O46</f>
        <v>0</v>
      </c>
      <c r="V46" s="20"/>
      <c r="W46" s="25" t="str">
        <f>IF(E56="WERTYKALNY",G54,IF(E56="HORYZONTALNY",E54,0))</f>
        <v>1000-1050</v>
      </c>
      <c r="X46" s="25">
        <f t="shared" ref="X46:X61" si="52">(IF($E$56=$AB$1,(IF(A53=0,0,IF(A53&gt;0,IF((((INT(((A53*$W$47)+((A53-1)*20)+80)/$E$55))-1)*$E$55)+500&gt;=((A53*$W$47)+((A53-1)*20)+80),(INT(((A53*$W$47)+((A53-1)*20)+80)/$E$55))*2,((INT(((A53*$W$47)+((A53-1)*20)+80)/$E$55))+1)*2)))),IF($E$56=$AB$2,(IF(A53=0,0,IF(A53&gt;0,IF((((INT(((A53*$W$48)+((A53-1)*20)+80)/$E$55))-1)*$E$55)+500&gt;=((A53*$W$48)+((A53-1)*20)+80),(INT(((A53*$W$48)+((A53-1)*20)+80)/$E$55))*2,((INT(((A53*$W$48)+((A53-1)*20)+80)/$E$55))+1)*2)))))))</f>
        <v>0</v>
      </c>
      <c r="Y46" s="27" t="s">
        <v>161</v>
      </c>
      <c r="Z46" s="27">
        <v>1.1499999999999999</v>
      </c>
      <c r="AA46" s="27">
        <v>2.1</v>
      </c>
      <c r="AB46" s="27">
        <v>2.2000000000000002</v>
      </c>
      <c r="AC46" s="27">
        <v>3.15</v>
      </c>
      <c r="AD46" s="27">
        <v>3.3</v>
      </c>
      <c r="AE46" s="20"/>
      <c r="AF46" s="20" t="s">
        <v>514</v>
      </c>
      <c r="AG46" s="20"/>
      <c r="AH46" s="20" t="s">
        <v>832</v>
      </c>
      <c r="AI46" s="20"/>
      <c r="AJ46" s="20">
        <v>2450</v>
      </c>
      <c r="AK46" s="20"/>
      <c r="AL46" s="20">
        <f t="shared" ref="AL46:AL61" si="53">IF(X46=2,X46+2*C53,X46*C53)</f>
        <v>0</v>
      </c>
      <c r="AM46" s="20">
        <v>35</v>
      </c>
      <c r="AN46" s="20" t="s">
        <v>29</v>
      </c>
      <c r="AO46" s="20" t="s">
        <v>30</v>
      </c>
      <c r="AP46" s="20" t="s">
        <v>110</v>
      </c>
      <c r="AQ46" s="20" t="s">
        <v>14</v>
      </c>
      <c r="AS46" s="20">
        <v>35</v>
      </c>
      <c r="AT46" s="20" t="s">
        <v>41</v>
      </c>
      <c r="AU46" s="20" t="s">
        <v>42</v>
      </c>
      <c r="AV46" s="20" t="s">
        <v>151</v>
      </c>
      <c r="AW46" s="20" t="s">
        <v>151</v>
      </c>
      <c r="AX46" s="20"/>
      <c r="AY46" s="20"/>
      <c r="AZ46" s="20"/>
      <c r="BA46" s="26" t="s">
        <v>517</v>
      </c>
      <c r="BB46" s="20">
        <v>0</v>
      </c>
      <c r="BC46" s="20">
        <v>2</v>
      </c>
      <c r="BD46" s="20">
        <v>0</v>
      </c>
      <c r="BE46" s="20">
        <v>0</v>
      </c>
      <c r="BF46" s="20">
        <v>2</v>
      </c>
      <c r="BG46" s="20">
        <v>0</v>
      </c>
      <c r="BH46" s="20">
        <v>4</v>
      </c>
      <c r="BI46" s="20">
        <v>2</v>
      </c>
      <c r="BJ46" s="20">
        <v>0</v>
      </c>
      <c r="BK46" s="20">
        <v>4</v>
      </c>
      <c r="BL46" s="20">
        <v>2</v>
      </c>
      <c r="BM46" s="20">
        <v>0</v>
      </c>
      <c r="BN46" s="20">
        <v>4</v>
      </c>
      <c r="BO46" s="20">
        <v>2</v>
      </c>
      <c r="BP46" s="20">
        <v>0</v>
      </c>
      <c r="BQ46" s="20">
        <v>0</v>
      </c>
      <c r="BR46" s="20">
        <v>2</v>
      </c>
      <c r="BS46" s="20">
        <v>0</v>
      </c>
      <c r="BT46" s="20">
        <v>4</v>
      </c>
      <c r="BU46" s="20">
        <v>0</v>
      </c>
      <c r="BV46" s="20">
        <v>0</v>
      </c>
      <c r="BW46" s="20">
        <v>2</v>
      </c>
      <c r="BX46" s="20">
        <v>0</v>
      </c>
      <c r="BY46" s="20">
        <v>0</v>
      </c>
      <c r="BZ46" s="20">
        <v>0</v>
      </c>
      <c r="CA46" s="20">
        <v>0</v>
      </c>
      <c r="CB46" s="20">
        <v>0</v>
      </c>
      <c r="CC46" s="20">
        <v>4</v>
      </c>
      <c r="CD46" s="20">
        <v>0</v>
      </c>
      <c r="CE46" s="20">
        <v>0</v>
      </c>
      <c r="CF46" s="20">
        <v>0</v>
      </c>
      <c r="CG46" s="20">
        <v>0</v>
      </c>
      <c r="CH46" s="20">
        <v>0</v>
      </c>
      <c r="CI46" s="20">
        <v>2</v>
      </c>
      <c r="CJ46" s="20">
        <v>0</v>
      </c>
      <c r="CK46" s="20">
        <v>0</v>
      </c>
      <c r="CL46" s="20">
        <v>0</v>
      </c>
      <c r="CM46" s="20">
        <v>0</v>
      </c>
      <c r="CN46" s="20">
        <v>0</v>
      </c>
      <c r="CO46" s="20">
        <v>0</v>
      </c>
      <c r="CP46" s="20">
        <v>0</v>
      </c>
      <c r="CQ46" s="20">
        <v>0</v>
      </c>
      <c r="CR46" s="20">
        <v>4</v>
      </c>
      <c r="CS46" s="20">
        <v>0</v>
      </c>
      <c r="CT46" s="20">
        <v>0</v>
      </c>
      <c r="CU46" s="20">
        <v>0</v>
      </c>
      <c r="CV46" s="20">
        <v>0</v>
      </c>
      <c r="CW46" s="20">
        <v>0</v>
      </c>
      <c r="CX46" s="20">
        <v>0</v>
      </c>
      <c r="CY46" s="20">
        <v>0</v>
      </c>
      <c r="CZ46" s="20">
        <v>0</v>
      </c>
      <c r="DA46" s="54"/>
      <c r="DB46" s="54">
        <v>45</v>
      </c>
      <c r="DC46" s="54"/>
      <c r="DD46" s="20" t="s">
        <v>127</v>
      </c>
      <c r="DE46" s="20">
        <v>0</v>
      </c>
      <c r="DF46" s="20">
        <v>2</v>
      </c>
      <c r="DG46" s="20">
        <v>4</v>
      </c>
      <c r="DH46" s="20">
        <v>2</v>
      </c>
      <c r="DI46" s="20">
        <v>4</v>
      </c>
      <c r="DJ46" s="20">
        <v>2</v>
      </c>
      <c r="DK46" s="20">
        <v>4</v>
      </c>
      <c r="DL46" s="20">
        <v>2</v>
      </c>
      <c r="DM46" s="20">
        <v>4</v>
      </c>
      <c r="DN46" s="20">
        <v>2</v>
      </c>
      <c r="DO46" s="20">
        <v>4</v>
      </c>
      <c r="DP46" s="20">
        <v>2</v>
      </c>
      <c r="DQ46" s="20">
        <v>4</v>
      </c>
      <c r="DR46" s="20">
        <v>2</v>
      </c>
      <c r="DS46" s="20">
        <v>4</v>
      </c>
      <c r="DT46" s="20">
        <v>2</v>
      </c>
      <c r="DU46" s="20">
        <v>4</v>
      </c>
      <c r="DV46" s="20">
        <v>2</v>
      </c>
      <c r="DW46" s="20">
        <v>4</v>
      </c>
      <c r="DX46" s="20">
        <v>2</v>
      </c>
      <c r="DY46" s="20">
        <v>4</v>
      </c>
      <c r="DZ46" s="20"/>
      <c r="EA46" s="20"/>
      <c r="EB46" s="26" t="s">
        <v>517</v>
      </c>
      <c r="EC46" s="20">
        <v>0</v>
      </c>
      <c r="ED46" s="20">
        <v>2</v>
      </c>
      <c r="EE46" s="20">
        <v>4</v>
      </c>
      <c r="EF46" s="20">
        <v>2</v>
      </c>
      <c r="EG46" s="20">
        <v>4</v>
      </c>
      <c r="EH46" s="20">
        <v>0</v>
      </c>
      <c r="EI46" s="20">
        <v>2</v>
      </c>
      <c r="EJ46" s="20">
        <v>0</v>
      </c>
      <c r="EK46" s="20">
        <v>0</v>
      </c>
      <c r="EL46" s="20">
        <v>0</v>
      </c>
      <c r="EM46" s="20">
        <v>2</v>
      </c>
      <c r="EN46" s="20">
        <v>0</v>
      </c>
      <c r="EO46" s="20">
        <v>2</v>
      </c>
      <c r="EP46" s="20">
        <v>0</v>
      </c>
      <c r="EQ46" s="20">
        <v>2</v>
      </c>
      <c r="ER46" s="20">
        <v>4</v>
      </c>
      <c r="ES46" s="20">
        <v>0</v>
      </c>
      <c r="ET46" s="20">
        <v>4</v>
      </c>
      <c r="EU46" s="20">
        <v>0</v>
      </c>
      <c r="EV46" s="20">
        <v>0</v>
      </c>
      <c r="EW46" s="20">
        <v>0</v>
      </c>
      <c r="EX46" s="20">
        <v>0</v>
      </c>
      <c r="EY46" s="20">
        <v>0</v>
      </c>
      <c r="EZ46" s="20">
        <v>0</v>
      </c>
      <c r="FA46" s="20">
        <v>0</v>
      </c>
      <c r="FB46" s="20">
        <v>0</v>
      </c>
      <c r="FC46" s="20">
        <v>0</v>
      </c>
      <c r="FD46" s="20">
        <v>0</v>
      </c>
      <c r="FE46" s="20">
        <v>2</v>
      </c>
      <c r="FF46" s="20">
        <v>0</v>
      </c>
      <c r="FG46" s="20">
        <v>0</v>
      </c>
      <c r="FH46" s="20">
        <v>0</v>
      </c>
      <c r="FI46" s="20">
        <v>4</v>
      </c>
      <c r="FJ46" s="20">
        <v>0</v>
      </c>
      <c r="FK46" s="20">
        <v>0</v>
      </c>
      <c r="FL46" s="20">
        <v>0</v>
      </c>
      <c r="FM46" s="20">
        <v>0</v>
      </c>
      <c r="FN46" s="20">
        <v>0</v>
      </c>
      <c r="FO46" s="20">
        <v>0</v>
      </c>
      <c r="FP46" s="20">
        <v>0</v>
      </c>
      <c r="FQ46" s="20">
        <v>0</v>
      </c>
      <c r="FR46" s="20">
        <v>0</v>
      </c>
      <c r="FS46" s="20">
        <v>0</v>
      </c>
      <c r="FT46" s="20">
        <v>0</v>
      </c>
      <c r="FU46" s="20">
        <v>0</v>
      </c>
      <c r="FV46" s="20">
        <v>0</v>
      </c>
      <c r="FW46" s="20">
        <v>0</v>
      </c>
      <c r="FX46" s="20">
        <v>4</v>
      </c>
      <c r="FY46" s="20">
        <v>0</v>
      </c>
      <c r="FZ46" s="20">
        <v>0</v>
      </c>
      <c r="GA46" s="20">
        <v>0</v>
      </c>
      <c r="GC46" s="20"/>
      <c r="GD46" s="20"/>
      <c r="GE46" s="26" t="s">
        <v>517</v>
      </c>
      <c r="GF46" s="20">
        <v>0</v>
      </c>
      <c r="GG46" s="20">
        <v>2</v>
      </c>
      <c r="GH46" s="20">
        <v>4</v>
      </c>
      <c r="GI46" s="20">
        <v>0</v>
      </c>
      <c r="GJ46" s="20">
        <v>2</v>
      </c>
      <c r="GK46" s="20">
        <v>4</v>
      </c>
      <c r="GL46" s="20">
        <v>0</v>
      </c>
      <c r="GM46" s="20">
        <v>0</v>
      </c>
      <c r="GN46" s="20">
        <v>0</v>
      </c>
      <c r="GO46" s="20">
        <v>0</v>
      </c>
      <c r="GP46" s="20">
        <v>0</v>
      </c>
      <c r="GQ46" s="20">
        <v>0</v>
      </c>
      <c r="GR46" s="20">
        <v>0</v>
      </c>
      <c r="GS46" s="20">
        <v>0</v>
      </c>
      <c r="GT46" s="20">
        <v>0</v>
      </c>
      <c r="GU46" s="20">
        <v>0</v>
      </c>
      <c r="GV46" s="20">
        <v>0</v>
      </c>
      <c r="GW46" s="20">
        <v>0</v>
      </c>
      <c r="GX46" s="20">
        <v>2</v>
      </c>
      <c r="GY46" s="20">
        <v>0</v>
      </c>
      <c r="GZ46" s="20">
        <v>2</v>
      </c>
      <c r="HA46" s="20">
        <v>0</v>
      </c>
      <c r="HB46" s="20">
        <v>0</v>
      </c>
      <c r="HC46" s="20">
        <v>2</v>
      </c>
      <c r="HD46" s="20">
        <v>0</v>
      </c>
      <c r="HE46" s="20">
        <v>0</v>
      </c>
      <c r="HF46" s="20">
        <v>0</v>
      </c>
      <c r="HG46" s="20">
        <v>0</v>
      </c>
      <c r="HH46" s="20">
        <v>0</v>
      </c>
      <c r="HI46" s="20">
        <v>0</v>
      </c>
      <c r="HJ46" s="20">
        <v>0</v>
      </c>
      <c r="HK46" s="20">
        <v>0</v>
      </c>
      <c r="HL46" s="20">
        <v>0</v>
      </c>
      <c r="HM46" s="20">
        <v>0</v>
      </c>
      <c r="HN46" s="20">
        <v>0</v>
      </c>
      <c r="HO46" s="20">
        <v>0</v>
      </c>
      <c r="HP46" s="20">
        <v>0</v>
      </c>
      <c r="HQ46" s="20">
        <v>0</v>
      </c>
      <c r="HR46" s="20">
        <v>0</v>
      </c>
      <c r="HS46" s="20">
        <v>0</v>
      </c>
      <c r="HT46" s="20">
        <v>0</v>
      </c>
      <c r="HU46" s="20">
        <v>0</v>
      </c>
      <c r="HV46" s="20">
        <v>0</v>
      </c>
      <c r="HW46" s="20">
        <v>0</v>
      </c>
      <c r="HX46" s="20">
        <v>0</v>
      </c>
      <c r="HY46" s="20">
        <v>0</v>
      </c>
      <c r="HZ46" s="20">
        <v>0</v>
      </c>
      <c r="IA46" s="20">
        <v>0</v>
      </c>
      <c r="IB46" s="20">
        <v>0</v>
      </c>
      <c r="IC46" s="20">
        <v>0</v>
      </c>
      <c r="ID46" s="20">
        <v>0</v>
      </c>
      <c r="IF46" s="21" t="s">
        <v>517</v>
      </c>
      <c r="IG46" s="21">
        <v>0</v>
      </c>
      <c r="IH46" s="21">
        <v>0</v>
      </c>
      <c r="II46" s="21">
        <v>2</v>
      </c>
      <c r="IJ46" s="21">
        <v>0</v>
      </c>
      <c r="IK46" s="21">
        <v>0</v>
      </c>
      <c r="IL46" s="21">
        <v>0</v>
      </c>
      <c r="IM46" s="21">
        <v>2</v>
      </c>
      <c r="IN46" s="21">
        <v>0</v>
      </c>
      <c r="IO46" s="21">
        <v>4</v>
      </c>
      <c r="IP46" s="21">
        <v>0</v>
      </c>
      <c r="IQ46" s="21">
        <v>0</v>
      </c>
      <c r="IR46" s="21">
        <v>0</v>
      </c>
      <c r="IS46" s="21">
        <v>0</v>
      </c>
      <c r="IT46" s="21">
        <v>0</v>
      </c>
      <c r="IU46" s="21">
        <v>0</v>
      </c>
      <c r="IV46" s="21">
        <v>0</v>
      </c>
      <c r="IW46" s="21">
        <v>0</v>
      </c>
      <c r="IX46" s="21">
        <v>0</v>
      </c>
      <c r="IY46" s="21">
        <v>0</v>
      </c>
      <c r="IZ46" s="21">
        <v>0</v>
      </c>
      <c r="JA46" s="21">
        <v>0</v>
      </c>
      <c r="JB46" s="21">
        <v>0</v>
      </c>
      <c r="JC46" s="21">
        <v>0</v>
      </c>
      <c r="JD46" s="21">
        <v>0</v>
      </c>
      <c r="JE46" s="21">
        <v>0</v>
      </c>
      <c r="JF46" s="21">
        <v>0</v>
      </c>
      <c r="JS46" s="20" t="s">
        <v>12</v>
      </c>
      <c r="JT46" s="20">
        <v>0</v>
      </c>
      <c r="JU46" s="20">
        <v>2</v>
      </c>
      <c r="JV46" s="20">
        <v>0</v>
      </c>
      <c r="JW46" s="20">
        <v>0</v>
      </c>
      <c r="JX46" s="20">
        <v>0</v>
      </c>
      <c r="JY46" s="20">
        <v>2</v>
      </c>
      <c r="JZ46" s="20">
        <v>0</v>
      </c>
      <c r="KA46" s="20">
        <v>0</v>
      </c>
      <c r="KB46" s="20">
        <v>0</v>
      </c>
      <c r="KC46" s="20">
        <v>0</v>
      </c>
      <c r="KD46" s="20">
        <v>0</v>
      </c>
      <c r="KE46" s="20">
        <v>0</v>
      </c>
      <c r="KF46" s="20">
        <v>0</v>
      </c>
      <c r="KG46" s="20">
        <v>4</v>
      </c>
      <c r="KH46" s="20">
        <v>2</v>
      </c>
      <c r="KI46" s="20">
        <v>0</v>
      </c>
      <c r="KJ46" s="20">
        <v>0</v>
      </c>
      <c r="KK46" s="20">
        <v>2</v>
      </c>
      <c r="KL46" s="20">
        <v>0</v>
      </c>
      <c r="KM46" s="20">
        <v>0</v>
      </c>
      <c r="KN46" s="20">
        <v>0</v>
      </c>
      <c r="KO46" s="20">
        <v>0</v>
      </c>
      <c r="KP46" s="20">
        <v>0</v>
      </c>
      <c r="KQ46" s="20">
        <v>0</v>
      </c>
      <c r="KR46" s="20">
        <v>0</v>
      </c>
      <c r="KS46" s="20">
        <v>0</v>
      </c>
      <c r="KU46" s="20" t="s">
        <v>12</v>
      </c>
      <c r="KV46" s="20">
        <v>0</v>
      </c>
      <c r="KW46" s="20">
        <v>2</v>
      </c>
      <c r="KX46" s="20">
        <v>0</v>
      </c>
      <c r="KY46" s="20">
        <v>2</v>
      </c>
      <c r="KZ46" s="20">
        <v>0</v>
      </c>
      <c r="LA46" s="20">
        <v>2</v>
      </c>
      <c r="LB46" s="20">
        <v>0</v>
      </c>
      <c r="LC46" s="20">
        <v>0</v>
      </c>
      <c r="LD46" s="20">
        <v>0</v>
      </c>
      <c r="LE46" s="20">
        <v>0</v>
      </c>
      <c r="LF46" s="20">
        <v>0</v>
      </c>
      <c r="LG46" s="20">
        <v>0</v>
      </c>
      <c r="LH46" s="20">
        <v>0</v>
      </c>
      <c r="LI46" s="20">
        <v>0</v>
      </c>
      <c r="LJ46" s="20">
        <v>0</v>
      </c>
      <c r="LK46" s="20">
        <v>0</v>
      </c>
      <c r="LL46" s="20">
        <v>0</v>
      </c>
      <c r="LM46" s="20">
        <v>0</v>
      </c>
      <c r="LN46" s="20">
        <v>0</v>
      </c>
      <c r="LO46" s="20">
        <v>0</v>
      </c>
      <c r="LP46" s="20">
        <v>0</v>
      </c>
      <c r="LQ46" s="20">
        <v>0</v>
      </c>
      <c r="LR46" s="20">
        <v>0</v>
      </c>
      <c r="LS46" s="20">
        <v>2</v>
      </c>
      <c r="LT46" s="20">
        <v>0</v>
      </c>
      <c r="LU46" s="20">
        <v>2</v>
      </c>
      <c r="LW46" s="20" t="s">
        <v>12</v>
      </c>
      <c r="LX46" s="20">
        <v>0</v>
      </c>
      <c r="LY46" s="20">
        <v>2</v>
      </c>
      <c r="LZ46" s="20">
        <v>4</v>
      </c>
      <c r="MA46" s="20">
        <v>0</v>
      </c>
      <c r="MB46" s="20">
        <v>0</v>
      </c>
      <c r="MC46" s="20">
        <v>0</v>
      </c>
      <c r="MD46" s="20">
        <v>2</v>
      </c>
      <c r="ME46" s="20">
        <v>0</v>
      </c>
      <c r="MF46" s="20">
        <v>0</v>
      </c>
      <c r="MG46" s="20">
        <v>2</v>
      </c>
      <c r="MH46" s="20">
        <v>0</v>
      </c>
      <c r="MI46" s="20">
        <v>2</v>
      </c>
      <c r="MJ46" s="20">
        <v>0</v>
      </c>
      <c r="MK46" s="20">
        <v>0</v>
      </c>
      <c r="ML46" s="20">
        <v>0</v>
      </c>
      <c r="MM46" s="20">
        <v>2</v>
      </c>
      <c r="MN46" s="20">
        <v>0</v>
      </c>
      <c r="MO46" s="20">
        <v>0</v>
      </c>
      <c r="MP46" s="20">
        <v>2</v>
      </c>
      <c r="MQ46" s="20">
        <v>0</v>
      </c>
      <c r="MR46" s="20">
        <v>2</v>
      </c>
      <c r="MS46" s="20">
        <v>0</v>
      </c>
      <c r="MT46" s="20">
        <v>0</v>
      </c>
      <c r="MU46" s="20">
        <v>0</v>
      </c>
      <c r="MV46" s="20">
        <v>0</v>
      </c>
      <c r="MW46" s="20">
        <v>4</v>
      </c>
      <c r="MY46" s="21" t="s">
        <v>12</v>
      </c>
      <c r="MZ46" s="21">
        <v>0</v>
      </c>
      <c r="NA46" s="21">
        <v>0</v>
      </c>
      <c r="NB46" s="21">
        <v>2</v>
      </c>
      <c r="NC46" s="21">
        <v>4</v>
      </c>
      <c r="ND46" s="21">
        <v>0</v>
      </c>
      <c r="NE46" s="21">
        <v>2</v>
      </c>
      <c r="NF46" s="21">
        <v>4</v>
      </c>
      <c r="NG46" s="21">
        <v>0</v>
      </c>
      <c r="NH46" s="21">
        <v>0</v>
      </c>
      <c r="NI46" s="21">
        <v>2</v>
      </c>
      <c r="NJ46" s="21">
        <v>0</v>
      </c>
      <c r="NK46" s="21">
        <v>0</v>
      </c>
      <c r="NL46" s="21">
        <v>0</v>
      </c>
      <c r="NM46" s="21">
        <v>0</v>
      </c>
      <c r="NN46" s="21">
        <v>0</v>
      </c>
      <c r="NO46" s="21">
        <v>0</v>
      </c>
      <c r="NP46" s="20">
        <v>0</v>
      </c>
      <c r="NQ46" s="21">
        <v>0</v>
      </c>
      <c r="NR46" s="21">
        <v>0</v>
      </c>
      <c r="NS46" s="21">
        <v>4</v>
      </c>
      <c r="NT46" s="21">
        <v>0</v>
      </c>
      <c r="NU46" s="21">
        <v>0</v>
      </c>
      <c r="NV46" s="21">
        <v>0</v>
      </c>
      <c r="NW46" s="21">
        <v>0</v>
      </c>
      <c r="NX46" s="21">
        <v>0</v>
      </c>
      <c r="NY46" s="21">
        <v>2</v>
      </c>
    </row>
    <row r="47" spans="1:393" x14ac:dyDescent="0.25">
      <c r="A47" s="4"/>
      <c r="B47" s="6"/>
      <c r="C47" s="4"/>
      <c r="D47" s="4"/>
      <c r="E47" s="4"/>
      <c r="F47" s="4"/>
      <c r="G47" s="4"/>
      <c r="H47" s="4"/>
      <c r="I47" s="4"/>
      <c r="J47" s="4"/>
      <c r="K47" s="4"/>
      <c r="L47" s="6" t="s">
        <v>67</v>
      </c>
      <c r="M47" s="14">
        <f>INDEX(cennik!$A$2:$O$529,MATCH($L47,cennik!$B$2:$B$522,0),MATCH(M$27,cennik!$A$1:$O$1,0))</f>
        <v>890008</v>
      </c>
      <c r="N47" s="14" t="str">
        <f>INDEX(cennik!$A$2:$O$529,MATCH($L47,cennik!$B$2:$B$522,0),MATCH(N$27,cennik!$A$1:$O$1,0))</f>
        <v>100 szt.</v>
      </c>
      <c r="O47" s="14">
        <f>ROUNDUP((O46/100),0)</f>
        <v>0</v>
      </c>
      <c r="P47" s="22">
        <f>INDEX(cennik!$A$2:$O$529,MATCH($L47,cennik!$B$2:$B$522,0),MATCH(P$27,cennik!$A$1:$O$1,0))</f>
        <v>28.15</v>
      </c>
      <c r="Q47" s="22">
        <f t="shared" si="44"/>
        <v>0</v>
      </c>
      <c r="R47" s="23">
        <f t="shared" si="34"/>
        <v>0</v>
      </c>
      <c r="S47" s="22">
        <f t="shared" si="35"/>
        <v>28.15</v>
      </c>
      <c r="T47" s="22">
        <f t="shared" si="45"/>
        <v>0</v>
      </c>
      <c r="U47" s="22">
        <f>INDEX(cennik!$A$2:$O$529,MATCH($L47,cennik!$B$2:$B$522,0),MATCH(U$27,cennik!$A$1:$O$1,0))*O47</f>
        <v>0</v>
      </c>
      <c r="V47" s="20" t="s">
        <v>841</v>
      </c>
      <c r="W47" s="20">
        <f>IF(G54=$AH$22,$AJ$22,IF(G54=$AH$23,$AJ$23,IF(G54=$AH$24,$AJ$24,IF(G54=$AH$25,$AJ$25,IF(G54=$AH$26,$AJ$26,IF(G54=$AH$27,$AJ$27,IF(G54=$AH$28,$AJ$28,IF(G54=$AH$29,$AJ$29,0))))))))</f>
        <v>1050</v>
      </c>
      <c r="X47" s="25">
        <f t="shared" si="52"/>
        <v>0</v>
      </c>
      <c r="Y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53,$BB$2:$CA$2,0),MATCH($W$46,$AH$22:$AH$47,0)))*C53</f>
        <v>0</v>
      </c>
      <c r="Z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53,$BB$2:$CA$2,0),MATCH($W$46,$AH$22:$AH$47,0)))*C53</f>
        <v>0</v>
      </c>
      <c r="AA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53,$BB$2:$CA$2,0),MATCH($W$46,$AH$22:$AH$47,0)))*C53</f>
        <v>0</v>
      </c>
      <c r="AB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53,$BB$2:$CA$2,0),MATCH($W$46,$AH$22:$AH$47,0)))*C53</f>
        <v>0</v>
      </c>
      <c r="AC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53,$BB$2:$CA$2,0),MATCH($W$46,$AH$22:$AH$47,0)))*C53</f>
        <v>0</v>
      </c>
      <c r="AD4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53,$BB$2:$CA$2,0),MATCH($W$46,$AH$22:$AH$47,0)))*C53</f>
        <v>0</v>
      </c>
      <c r="AE47" s="20"/>
      <c r="AF47" s="20"/>
      <c r="AG47" s="20"/>
      <c r="AH47" s="20" t="s">
        <v>833</v>
      </c>
      <c r="AI47" s="20"/>
      <c r="AJ47" s="20">
        <v>2500</v>
      </c>
      <c r="AK47" s="20"/>
      <c r="AL47" s="20">
        <f t="shared" si="53"/>
        <v>0</v>
      </c>
      <c r="AM47" s="20">
        <v>38</v>
      </c>
      <c r="AN47" s="20" t="s">
        <v>31</v>
      </c>
      <c r="AO47" s="20"/>
      <c r="AP47" s="20" t="s">
        <v>110</v>
      </c>
      <c r="AQ47" s="20" t="s">
        <v>14</v>
      </c>
      <c r="AS47" s="20">
        <v>38</v>
      </c>
      <c r="AT47" s="20" t="s">
        <v>43</v>
      </c>
      <c r="AU47" s="20"/>
      <c r="AV47" s="20" t="s">
        <v>151</v>
      </c>
      <c r="AW47" s="20" t="s">
        <v>151</v>
      </c>
      <c r="AX47" s="20"/>
      <c r="AY47" s="20"/>
      <c r="AZ47" s="20"/>
      <c r="BA47" s="26" t="s">
        <v>518</v>
      </c>
      <c r="BB47" s="20">
        <v>0</v>
      </c>
      <c r="BC47" s="20">
        <v>0</v>
      </c>
      <c r="BD47" s="20">
        <v>0</v>
      </c>
      <c r="BE47" s="20">
        <v>0</v>
      </c>
      <c r="BF47" s="20">
        <v>0</v>
      </c>
      <c r="BG47" s="20">
        <v>0</v>
      </c>
      <c r="BH47" s="20">
        <v>0</v>
      </c>
      <c r="BI47" s="20">
        <v>0</v>
      </c>
      <c r="BJ47" s="20">
        <v>0</v>
      </c>
      <c r="BK47" s="20">
        <v>0</v>
      </c>
      <c r="BL47" s="20">
        <v>0</v>
      </c>
      <c r="BM47" s="20">
        <v>0</v>
      </c>
      <c r="BN47" s="20">
        <v>0</v>
      </c>
      <c r="BO47" s="20">
        <v>0</v>
      </c>
      <c r="BP47" s="20">
        <v>0</v>
      </c>
      <c r="BQ47" s="20">
        <v>4</v>
      </c>
      <c r="BR47" s="20">
        <v>0</v>
      </c>
      <c r="BS47" s="20">
        <v>0</v>
      </c>
      <c r="BT47" s="20">
        <v>0</v>
      </c>
      <c r="BU47" s="20">
        <v>2</v>
      </c>
      <c r="BV47" s="20">
        <v>0</v>
      </c>
      <c r="BW47" s="20">
        <v>2</v>
      </c>
      <c r="BX47" s="20">
        <v>2</v>
      </c>
      <c r="BY47" s="20">
        <v>0</v>
      </c>
      <c r="BZ47" s="20">
        <v>4</v>
      </c>
      <c r="CA47" s="20">
        <v>2</v>
      </c>
      <c r="CB47" s="20">
        <v>0</v>
      </c>
      <c r="CC47" s="20">
        <v>0</v>
      </c>
      <c r="CD47" s="20">
        <v>0</v>
      </c>
      <c r="CE47" s="20">
        <v>0</v>
      </c>
      <c r="CF47" s="20">
        <v>2</v>
      </c>
      <c r="CG47" s="20">
        <v>0</v>
      </c>
      <c r="CH47" s="20">
        <v>0</v>
      </c>
      <c r="CI47" s="20">
        <v>0</v>
      </c>
      <c r="CJ47" s="20">
        <v>2</v>
      </c>
      <c r="CK47" s="20">
        <v>0</v>
      </c>
      <c r="CL47" s="20">
        <v>2</v>
      </c>
      <c r="CM47" s="20">
        <v>2</v>
      </c>
      <c r="CN47" s="20">
        <v>0</v>
      </c>
      <c r="CO47" s="20">
        <v>0</v>
      </c>
      <c r="CP47" s="20">
        <v>0</v>
      </c>
      <c r="CQ47" s="20">
        <v>0</v>
      </c>
      <c r="CR47" s="20">
        <v>0</v>
      </c>
      <c r="CS47" s="20">
        <v>0</v>
      </c>
      <c r="CT47" s="20">
        <v>0</v>
      </c>
      <c r="CU47" s="20">
        <v>2</v>
      </c>
      <c r="CV47" s="20">
        <v>0</v>
      </c>
      <c r="CW47" s="20">
        <v>0</v>
      </c>
      <c r="CX47" s="20">
        <v>0</v>
      </c>
      <c r="CY47" s="20">
        <v>0</v>
      </c>
      <c r="CZ47" s="20">
        <v>0</v>
      </c>
      <c r="DA47" s="54"/>
      <c r="DB47" s="54">
        <v>46</v>
      </c>
      <c r="DC47" s="54"/>
      <c r="DD47" s="20" t="s">
        <v>19</v>
      </c>
      <c r="DE47" s="20">
        <v>0</v>
      </c>
      <c r="DF47" s="20">
        <v>0</v>
      </c>
      <c r="DG47" s="20">
        <v>0</v>
      </c>
      <c r="DH47" s="20">
        <v>2</v>
      </c>
      <c r="DI47" s="20">
        <v>2</v>
      </c>
      <c r="DJ47" s="20">
        <v>4</v>
      </c>
      <c r="DK47" s="20">
        <v>4</v>
      </c>
      <c r="DL47" s="20">
        <v>6</v>
      </c>
      <c r="DM47" s="20">
        <v>6</v>
      </c>
      <c r="DN47" s="20">
        <v>8</v>
      </c>
      <c r="DO47" s="20">
        <v>8</v>
      </c>
      <c r="DP47" s="20">
        <v>10</v>
      </c>
      <c r="DQ47" s="20">
        <v>10</v>
      </c>
      <c r="DR47" s="20">
        <v>12</v>
      </c>
      <c r="DS47" s="20">
        <v>12</v>
      </c>
      <c r="DT47" s="20">
        <v>14</v>
      </c>
      <c r="DU47" s="20">
        <v>14</v>
      </c>
      <c r="DV47" s="20">
        <v>16</v>
      </c>
      <c r="DW47" s="20">
        <v>16</v>
      </c>
      <c r="DX47" s="20">
        <v>18</v>
      </c>
      <c r="DY47" s="20">
        <v>18</v>
      </c>
      <c r="DZ47" s="20"/>
      <c r="EA47" s="20"/>
      <c r="EB47" s="26" t="s">
        <v>518</v>
      </c>
      <c r="EC47" s="20">
        <v>0</v>
      </c>
      <c r="ED47" s="20">
        <v>0</v>
      </c>
      <c r="EE47" s="20">
        <v>0</v>
      </c>
      <c r="EF47" s="20">
        <v>0</v>
      </c>
      <c r="EG47" s="20">
        <v>0</v>
      </c>
      <c r="EH47" s="20">
        <v>0</v>
      </c>
      <c r="EI47" s="20">
        <v>2</v>
      </c>
      <c r="EJ47" s="20">
        <v>0</v>
      </c>
      <c r="EK47" s="20">
        <v>4</v>
      </c>
      <c r="EL47" s="20">
        <v>0</v>
      </c>
      <c r="EM47" s="20">
        <v>0</v>
      </c>
      <c r="EN47" s="20">
        <v>0</v>
      </c>
      <c r="EO47" s="20">
        <v>0</v>
      </c>
      <c r="EP47" s="20">
        <v>0</v>
      </c>
      <c r="EQ47" s="20">
        <v>0</v>
      </c>
      <c r="ER47" s="20">
        <v>0</v>
      </c>
      <c r="ES47" s="20">
        <v>0</v>
      </c>
      <c r="ET47" s="20">
        <v>0</v>
      </c>
      <c r="EU47" s="20">
        <v>0</v>
      </c>
      <c r="EV47" s="20">
        <v>2</v>
      </c>
      <c r="EW47" s="20">
        <v>0</v>
      </c>
      <c r="EX47" s="20">
        <v>2</v>
      </c>
      <c r="EY47" s="20">
        <v>0</v>
      </c>
      <c r="EZ47" s="20">
        <v>0</v>
      </c>
      <c r="FA47" s="20">
        <v>0</v>
      </c>
      <c r="FB47" s="20">
        <v>0</v>
      </c>
      <c r="FC47" s="20">
        <v>0</v>
      </c>
      <c r="FD47" s="20">
        <v>0</v>
      </c>
      <c r="FE47" s="20">
        <v>0</v>
      </c>
      <c r="FF47" s="20">
        <v>0</v>
      </c>
      <c r="FG47" s="20">
        <v>2</v>
      </c>
      <c r="FH47" s="20">
        <v>0</v>
      </c>
      <c r="FI47" s="20">
        <v>0</v>
      </c>
      <c r="FJ47" s="20">
        <v>0</v>
      </c>
      <c r="FK47" s="20">
        <v>0</v>
      </c>
      <c r="FL47" s="20">
        <v>0</v>
      </c>
      <c r="FM47" s="20">
        <v>0</v>
      </c>
      <c r="FN47" s="20">
        <v>0</v>
      </c>
      <c r="FO47" s="20">
        <v>0</v>
      </c>
      <c r="FP47" s="20">
        <v>0</v>
      </c>
      <c r="FQ47" s="20">
        <v>0</v>
      </c>
      <c r="FR47" s="20">
        <v>0</v>
      </c>
      <c r="FS47" s="20">
        <v>0</v>
      </c>
      <c r="FT47" s="20">
        <v>2</v>
      </c>
      <c r="FU47" s="20">
        <v>0</v>
      </c>
      <c r="FV47" s="20">
        <v>2</v>
      </c>
      <c r="FW47" s="20">
        <v>0</v>
      </c>
      <c r="FX47" s="20">
        <v>0</v>
      </c>
      <c r="FY47" s="20">
        <v>0</v>
      </c>
      <c r="FZ47" s="20">
        <v>0</v>
      </c>
      <c r="GA47" s="20">
        <v>0</v>
      </c>
      <c r="GC47" s="20"/>
      <c r="GD47" s="20"/>
      <c r="GE47" s="26" t="s">
        <v>518</v>
      </c>
      <c r="GF47" s="20">
        <v>0</v>
      </c>
      <c r="GG47" s="20">
        <v>0</v>
      </c>
      <c r="GH47" s="20">
        <v>0</v>
      </c>
      <c r="GI47" s="20">
        <v>0</v>
      </c>
      <c r="GJ47" s="20">
        <v>0</v>
      </c>
      <c r="GK47" s="20">
        <v>0</v>
      </c>
      <c r="GL47" s="20">
        <v>0</v>
      </c>
      <c r="GM47" s="20">
        <v>0</v>
      </c>
      <c r="GN47" s="20">
        <v>0</v>
      </c>
      <c r="GO47" s="20">
        <v>2</v>
      </c>
      <c r="GP47" s="20">
        <v>4</v>
      </c>
      <c r="GQ47" s="20">
        <v>0</v>
      </c>
      <c r="GR47" s="20">
        <v>2</v>
      </c>
      <c r="GS47" s="20">
        <v>0</v>
      </c>
      <c r="GT47" s="20">
        <v>2</v>
      </c>
      <c r="GU47" s="20">
        <v>2</v>
      </c>
      <c r="GV47" s="20">
        <v>0</v>
      </c>
      <c r="GW47" s="20">
        <v>0</v>
      </c>
      <c r="GX47" s="20">
        <v>0</v>
      </c>
      <c r="GY47" s="20">
        <v>0</v>
      </c>
      <c r="GZ47" s="20">
        <v>0</v>
      </c>
      <c r="HA47" s="20">
        <v>0</v>
      </c>
      <c r="HB47" s="20">
        <v>2</v>
      </c>
      <c r="HC47" s="20">
        <v>0</v>
      </c>
      <c r="HD47" s="20">
        <v>0</v>
      </c>
      <c r="HE47" s="20">
        <v>0</v>
      </c>
      <c r="HF47" s="20">
        <v>0</v>
      </c>
      <c r="HG47" s="20">
        <v>0</v>
      </c>
      <c r="HH47" s="20">
        <v>0</v>
      </c>
      <c r="HI47" s="20">
        <v>0</v>
      </c>
      <c r="HJ47" s="20">
        <v>0</v>
      </c>
      <c r="HK47" s="20">
        <v>0</v>
      </c>
      <c r="HL47" s="20">
        <v>0</v>
      </c>
      <c r="HM47" s="20">
        <v>0</v>
      </c>
      <c r="HN47" s="20">
        <v>0</v>
      </c>
      <c r="HO47" s="20">
        <v>0</v>
      </c>
      <c r="HP47" s="20">
        <v>0</v>
      </c>
      <c r="HQ47" s="20">
        <v>2</v>
      </c>
      <c r="HR47" s="20">
        <v>0</v>
      </c>
      <c r="HS47" s="20">
        <v>0</v>
      </c>
      <c r="HT47" s="20">
        <v>0</v>
      </c>
      <c r="HU47" s="20">
        <v>0</v>
      </c>
      <c r="HV47" s="20">
        <v>0</v>
      </c>
      <c r="HW47" s="20">
        <v>0</v>
      </c>
      <c r="HX47" s="20">
        <v>0</v>
      </c>
      <c r="HY47" s="20">
        <v>0</v>
      </c>
      <c r="HZ47" s="20">
        <v>0</v>
      </c>
      <c r="IA47" s="20">
        <v>0</v>
      </c>
      <c r="IB47" s="20">
        <v>0</v>
      </c>
      <c r="IC47" s="20">
        <v>2</v>
      </c>
      <c r="ID47" s="20">
        <v>0</v>
      </c>
      <c r="IF47" s="21" t="s">
        <v>518</v>
      </c>
      <c r="IG47" s="21">
        <v>0</v>
      </c>
      <c r="IH47" s="21">
        <v>0</v>
      </c>
      <c r="II47" s="21">
        <v>0</v>
      </c>
      <c r="IJ47" s="21">
        <v>4</v>
      </c>
      <c r="IK47" s="21">
        <v>2</v>
      </c>
      <c r="IL47" s="21">
        <v>0</v>
      </c>
      <c r="IM47" s="21">
        <v>0</v>
      </c>
      <c r="IN47" s="21">
        <v>0</v>
      </c>
      <c r="IO47" s="21">
        <v>0</v>
      </c>
      <c r="IP47" s="21">
        <v>0</v>
      </c>
      <c r="IQ47" s="21">
        <v>2</v>
      </c>
      <c r="IR47" s="21">
        <v>2</v>
      </c>
      <c r="IS47" s="21">
        <v>0</v>
      </c>
      <c r="IT47" s="21">
        <v>0</v>
      </c>
      <c r="IU47" s="21">
        <v>0</v>
      </c>
      <c r="IV47" s="21">
        <v>2</v>
      </c>
      <c r="IW47" s="21">
        <v>0</v>
      </c>
      <c r="IX47" s="21">
        <v>0</v>
      </c>
      <c r="IY47" s="21">
        <v>2</v>
      </c>
      <c r="IZ47" s="21">
        <v>0</v>
      </c>
      <c r="JA47" s="21">
        <v>0</v>
      </c>
      <c r="JB47" s="21">
        <v>0</v>
      </c>
      <c r="JC47" s="21">
        <v>2</v>
      </c>
      <c r="JD47" s="21">
        <v>2</v>
      </c>
      <c r="JE47" s="21">
        <v>0</v>
      </c>
      <c r="JF47" s="21">
        <v>0</v>
      </c>
      <c r="JS47" s="20" t="s">
        <v>127</v>
      </c>
      <c r="JT47" s="20">
        <v>0</v>
      </c>
      <c r="JU47" s="20">
        <v>0</v>
      </c>
      <c r="JV47" s="20">
        <v>0</v>
      </c>
      <c r="JW47" s="20">
        <v>0</v>
      </c>
      <c r="JX47" s="20">
        <v>2</v>
      </c>
      <c r="JY47" s="20">
        <v>0</v>
      </c>
      <c r="JZ47" s="20">
        <v>0</v>
      </c>
      <c r="KA47" s="20">
        <v>0</v>
      </c>
      <c r="KB47" s="20">
        <v>2</v>
      </c>
      <c r="KC47" s="20">
        <v>0</v>
      </c>
      <c r="KD47" s="20">
        <v>4</v>
      </c>
      <c r="KE47" s="20">
        <v>2</v>
      </c>
      <c r="KF47" s="20">
        <v>0</v>
      </c>
      <c r="KG47" s="20">
        <v>0</v>
      </c>
      <c r="KH47" s="20">
        <v>0</v>
      </c>
      <c r="KI47" s="20">
        <v>0</v>
      </c>
      <c r="KJ47" s="20">
        <v>0</v>
      </c>
      <c r="KK47" s="20">
        <v>0</v>
      </c>
      <c r="KL47" s="20">
        <v>0</v>
      </c>
      <c r="KM47" s="20">
        <v>0</v>
      </c>
      <c r="KN47" s="20">
        <v>2</v>
      </c>
      <c r="KO47" s="20">
        <v>2</v>
      </c>
      <c r="KP47" s="20">
        <v>0</v>
      </c>
      <c r="KQ47" s="20">
        <v>4</v>
      </c>
      <c r="KR47" s="20">
        <v>2</v>
      </c>
      <c r="KS47" s="20">
        <v>0</v>
      </c>
      <c r="KU47" s="20" t="s">
        <v>127</v>
      </c>
      <c r="KV47" s="20">
        <v>0</v>
      </c>
      <c r="KW47" s="20">
        <v>0</v>
      </c>
      <c r="KX47" s="20">
        <v>0</v>
      </c>
      <c r="KY47" s="20">
        <v>0</v>
      </c>
      <c r="KZ47" s="20">
        <v>0</v>
      </c>
      <c r="LA47" s="20">
        <v>0</v>
      </c>
      <c r="LB47" s="20">
        <v>0</v>
      </c>
      <c r="LC47" s="20">
        <v>0</v>
      </c>
      <c r="LD47" s="20">
        <v>0</v>
      </c>
      <c r="LE47" s="20">
        <v>2</v>
      </c>
      <c r="LF47" s="20">
        <v>0</v>
      </c>
      <c r="LG47" s="20">
        <v>2</v>
      </c>
      <c r="LH47" s="20">
        <v>0</v>
      </c>
      <c r="LI47" s="20">
        <v>2</v>
      </c>
      <c r="LJ47" s="20">
        <v>0</v>
      </c>
      <c r="LK47" s="20">
        <v>2</v>
      </c>
      <c r="LL47" s="20">
        <v>0</v>
      </c>
      <c r="LM47" s="20">
        <v>0</v>
      </c>
      <c r="LN47" s="20">
        <v>0</v>
      </c>
      <c r="LO47" s="20">
        <v>2</v>
      </c>
      <c r="LP47" s="20">
        <v>0</v>
      </c>
      <c r="LQ47" s="20">
        <v>2</v>
      </c>
      <c r="LR47" s="20">
        <v>0</v>
      </c>
      <c r="LS47" s="20">
        <v>0</v>
      </c>
      <c r="LT47" s="20">
        <v>0</v>
      </c>
      <c r="LU47" s="20">
        <v>0</v>
      </c>
      <c r="LW47" s="20" t="s">
        <v>127</v>
      </c>
      <c r="LX47" s="20">
        <v>0</v>
      </c>
      <c r="LY47" s="20">
        <v>0</v>
      </c>
      <c r="LZ47" s="20">
        <v>0</v>
      </c>
      <c r="MA47" s="20">
        <v>0</v>
      </c>
      <c r="MB47" s="20">
        <v>2</v>
      </c>
      <c r="MC47" s="20">
        <v>0</v>
      </c>
      <c r="MD47" s="20">
        <v>0</v>
      </c>
      <c r="ME47" s="20">
        <v>0</v>
      </c>
      <c r="MF47" s="20">
        <v>2</v>
      </c>
      <c r="MG47" s="20">
        <v>2</v>
      </c>
      <c r="MH47" s="20">
        <v>0</v>
      </c>
      <c r="MI47" s="20">
        <v>0</v>
      </c>
      <c r="MJ47" s="20">
        <v>0</v>
      </c>
      <c r="MK47" s="20">
        <v>2</v>
      </c>
      <c r="ML47" s="20">
        <v>0</v>
      </c>
      <c r="MM47" s="20">
        <v>0</v>
      </c>
      <c r="MN47" s="20">
        <v>0</v>
      </c>
      <c r="MO47" s="20">
        <v>2</v>
      </c>
      <c r="MP47" s="20">
        <v>2</v>
      </c>
      <c r="MQ47" s="20">
        <v>0</v>
      </c>
      <c r="MR47" s="20">
        <v>0</v>
      </c>
      <c r="MS47" s="20">
        <v>0</v>
      </c>
      <c r="MT47" s="20">
        <v>2</v>
      </c>
      <c r="MU47" s="20">
        <v>0</v>
      </c>
      <c r="MV47" s="20">
        <v>2</v>
      </c>
      <c r="MW47" s="20">
        <v>0</v>
      </c>
      <c r="MY47" s="21" t="s">
        <v>127</v>
      </c>
      <c r="MZ47" s="21">
        <v>0</v>
      </c>
      <c r="NA47" s="21">
        <v>0</v>
      </c>
      <c r="NB47" s="21">
        <v>0</v>
      </c>
      <c r="NC47" s="21">
        <v>0</v>
      </c>
      <c r="ND47" s="21">
        <v>0</v>
      </c>
      <c r="NE47" s="21">
        <v>0</v>
      </c>
      <c r="NF47" s="21">
        <v>0</v>
      </c>
      <c r="NG47" s="21">
        <v>0</v>
      </c>
      <c r="NH47" s="21">
        <v>2</v>
      </c>
      <c r="NI47" s="21">
        <v>0</v>
      </c>
      <c r="NJ47" s="21">
        <v>0</v>
      </c>
      <c r="NK47" s="21">
        <v>2</v>
      </c>
      <c r="NL47" s="21">
        <v>0</v>
      </c>
      <c r="NM47" s="21">
        <v>0</v>
      </c>
      <c r="NN47" s="21">
        <v>0</v>
      </c>
      <c r="NO47" s="21">
        <v>2</v>
      </c>
      <c r="NP47" s="20">
        <v>0</v>
      </c>
      <c r="NQ47" s="21">
        <v>0</v>
      </c>
      <c r="NR47" s="21">
        <v>2</v>
      </c>
      <c r="NS47" s="21">
        <v>0</v>
      </c>
      <c r="NT47" s="21">
        <v>0</v>
      </c>
      <c r="NU47" s="21">
        <v>2</v>
      </c>
      <c r="NV47" s="21">
        <v>0</v>
      </c>
      <c r="NW47" s="21">
        <v>0</v>
      </c>
      <c r="NX47" s="21">
        <v>2</v>
      </c>
      <c r="NY47" s="21">
        <v>0</v>
      </c>
    </row>
    <row r="48" spans="1:393" x14ac:dyDescent="0.25">
      <c r="A48" s="4"/>
      <c r="B48" s="6"/>
      <c r="C48" s="4"/>
      <c r="D48" s="4"/>
      <c r="E48" s="4"/>
      <c r="F48" s="4"/>
      <c r="G48" s="4"/>
      <c r="H48" s="4"/>
      <c r="I48" s="4"/>
      <c r="J48" s="4"/>
      <c r="K48" s="4"/>
      <c r="L48" s="6" t="str">
        <f>IF(E35=$AK$22,"NOWPAL40x40SR","-------")</f>
        <v>NOWPAL40x40SR</v>
      </c>
      <c r="M48" s="14">
        <f>INDEX(cennik!$A$2:$O$529,MATCH($L48,cennik!$B$2:$B$522,0),MATCH(M$27,cennik!$A$1:$O$1,0))</f>
        <v>890404</v>
      </c>
      <c r="N48" s="14" t="str">
        <f>INDEX(cennik!$A$2:$O$529,MATCH($L48,cennik!$B$2:$B$522,0),MATCH(N$27,cennik!$A$1:$O$1,0))</f>
        <v>szt.</v>
      </c>
      <c r="O48" s="14">
        <f>IF(L48="NOWPAL40X40SR",SUM(C27:C42)*4,0)</f>
        <v>4</v>
      </c>
      <c r="P48" s="22">
        <f>INDEX(cennik!$A$2:$O$529,MATCH($L48,cennik!$B$2:$B$522,0),MATCH(P$27,cennik!$A$1:$O$1,0))</f>
        <v>0.7</v>
      </c>
      <c r="Q48" s="22">
        <f t="shared" si="44"/>
        <v>2.8</v>
      </c>
      <c r="R48" s="23">
        <f t="shared" si="34"/>
        <v>0</v>
      </c>
      <c r="S48" s="22">
        <f t="shared" si="35"/>
        <v>0.7</v>
      </c>
      <c r="T48" s="22">
        <f t="shared" si="45"/>
        <v>2.8</v>
      </c>
      <c r="U48" s="22">
        <f>INDEX(cennik!$A$2:$O$529,MATCH($L48,cennik!$B$2:$B$522,0),MATCH(U$27,cennik!$A$1:$O$1,0))*O48</f>
        <v>0</v>
      </c>
      <c r="V48" s="20" t="s">
        <v>842</v>
      </c>
      <c r="W48" s="20">
        <f>IF(E54=$AH$30,$AJ$30,IF(E54=$AH$31,$AJ$31,IF(E54=$AH$32,$AJ$32,IF(E54=$AH$33,$AJ$33,IF(E54=$AH$34,$AJ$34,IF(E54=$AH$35,$AJ$35,IF(E54=$AH$36,$AJ$36,IF(E54=$AH$37,$AJ$37,IF(E54=$AH$38,$AJ$38,IF(E54=$AH$39,$AJ$39,IF(E54=$AH$40,$AJ$40,IF(E54=$AH$41,$AJ$41,IF(E54=$AH$42,$AJ$42,IF(E54=$AH$43,$AJ$43,IF(E54=$AH$44,$AJ$44,IF(E54=$AH$45,$AJ$45,IF(E54=$AH$46,$AJ$46,IF(E54=$AH$47,$AJ$47,0))))))))))))))))))</f>
        <v>1900</v>
      </c>
      <c r="X48" s="25">
        <f t="shared" si="52"/>
        <v>0</v>
      </c>
      <c r="Y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54,$BB$2:$CA$2,0),MATCH($W$46,$AH$22:$AH$47,0)))*C54</f>
        <v>0</v>
      </c>
      <c r="Z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54,$BB$2:$CA$2,0),MATCH($W$46,$AH$22:$AH$47,0)))*C54</f>
        <v>0</v>
      </c>
      <c r="AA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54,$BB$2:$CA$2,0),MATCH($W$46,$AH$22:$AH$47,0)))*C54</f>
        <v>0</v>
      </c>
      <c r="AB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54,$BB$2:$CA$2,0),MATCH($W$46,$AH$22:$AH$47,0)))*C54</f>
        <v>0</v>
      </c>
      <c r="AC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54,$BB$2:$CA$2,0),MATCH($W$46,$AH$22:$AH$47,0)))*C54</f>
        <v>0</v>
      </c>
      <c r="AD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54,$BB$2:$CA$2,0),MATCH($W$46,$AH$22:$AH$47,0)))*C54</f>
        <v>0</v>
      </c>
      <c r="AE48" s="20"/>
      <c r="AF48" s="20"/>
      <c r="AG48" s="20"/>
      <c r="AH48" s="20"/>
      <c r="AI48" s="20"/>
      <c r="AJ48" s="20"/>
      <c r="AK48" s="20"/>
      <c r="AL48" s="20">
        <f t="shared" si="53"/>
        <v>0</v>
      </c>
      <c r="AM48" s="20">
        <v>40</v>
      </c>
      <c r="AN48" s="20" t="s">
        <v>32</v>
      </c>
      <c r="AO48" s="20" t="s">
        <v>33</v>
      </c>
      <c r="AP48" s="20" t="s">
        <v>109</v>
      </c>
      <c r="AQ48" s="20" t="s">
        <v>14</v>
      </c>
      <c r="AS48" s="20">
        <v>40</v>
      </c>
      <c r="AT48" s="20" t="s">
        <v>44</v>
      </c>
      <c r="AU48" s="20" t="s">
        <v>45</v>
      </c>
      <c r="AV48" s="20" t="s">
        <v>151</v>
      </c>
      <c r="AW48" s="20" t="s">
        <v>151</v>
      </c>
      <c r="AX48" s="20"/>
      <c r="AY48" s="20"/>
      <c r="AZ48" s="20"/>
      <c r="BA48" s="26" t="s">
        <v>519</v>
      </c>
      <c r="BB48" s="20">
        <v>0</v>
      </c>
      <c r="BC48" s="20">
        <v>0</v>
      </c>
      <c r="BD48" s="20">
        <v>0</v>
      </c>
      <c r="BE48" s="20">
        <v>0</v>
      </c>
      <c r="BF48" s="20">
        <v>2</v>
      </c>
      <c r="BG48" s="20">
        <v>4</v>
      </c>
      <c r="BH48" s="20">
        <v>2</v>
      </c>
      <c r="BI48" s="20">
        <v>4</v>
      </c>
      <c r="BJ48" s="20">
        <v>6</v>
      </c>
      <c r="BK48" s="20">
        <v>4</v>
      </c>
      <c r="BL48" s="20">
        <v>6</v>
      </c>
      <c r="BM48" s="20">
        <v>8</v>
      </c>
      <c r="BN48" s="20">
        <v>6</v>
      </c>
      <c r="BO48" s="20">
        <v>8</v>
      </c>
      <c r="BP48" s="20">
        <v>8</v>
      </c>
      <c r="BQ48" s="20">
        <v>8</v>
      </c>
      <c r="BR48" s="20">
        <v>6</v>
      </c>
      <c r="BS48" s="20">
        <v>8</v>
      </c>
      <c r="BT48" s="20">
        <v>4</v>
      </c>
      <c r="BU48" s="20">
        <v>6</v>
      </c>
      <c r="BV48" s="20">
        <v>6</v>
      </c>
      <c r="BW48" s="20">
        <v>4</v>
      </c>
      <c r="BX48" s="20">
        <v>8</v>
      </c>
      <c r="BY48" s="20">
        <v>6</v>
      </c>
      <c r="BZ48" s="20">
        <v>4</v>
      </c>
      <c r="CA48" s="20">
        <v>4</v>
      </c>
      <c r="CB48" s="20">
        <v>4</v>
      </c>
      <c r="CC48" s="20">
        <v>4</v>
      </c>
      <c r="CD48" s="20">
        <v>18</v>
      </c>
      <c r="CE48" s="20">
        <v>2</v>
      </c>
      <c r="CF48" s="20">
        <v>16</v>
      </c>
      <c r="CG48" s="20">
        <v>16</v>
      </c>
      <c r="CH48" s="20">
        <v>2</v>
      </c>
      <c r="CI48" s="20">
        <v>14</v>
      </c>
      <c r="CJ48" s="20">
        <v>0</v>
      </c>
      <c r="CK48" s="20">
        <v>0</v>
      </c>
      <c r="CL48" s="20">
        <v>14</v>
      </c>
      <c r="CM48" s="20">
        <v>4</v>
      </c>
      <c r="CN48" s="20">
        <v>0</v>
      </c>
      <c r="CO48" s="20">
        <v>28</v>
      </c>
      <c r="CP48" s="20">
        <v>12</v>
      </c>
      <c r="CQ48" s="20">
        <v>0</v>
      </c>
      <c r="CR48" s="20">
        <v>0</v>
      </c>
      <c r="CS48" s="20">
        <v>12</v>
      </c>
      <c r="CT48" s="20">
        <v>0</v>
      </c>
      <c r="CU48" s="20">
        <v>10</v>
      </c>
      <c r="CV48" s="20">
        <v>10</v>
      </c>
      <c r="CW48" s="20">
        <v>0</v>
      </c>
      <c r="CX48" s="20">
        <v>24</v>
      </c>
      <c r="CY48" s="20">
        <v>8</v>
      </c>
      <c r="CZ48" s="20">
        <v>0</v>
      </c>
      <c r="DA48" s="54"/>
      <c r="DB48" s="54">
        <v>47</v>
      </c>
      <c r="DC48" s="54"/>
      <c r="DD48" s="20" t="s">
        <v>408</v>
      </c>
      <c r="DE48" s="20">
        <v>0</v>
      </c>
      <c r="DF48" s="20">
        <v>0</v>
      </c>
      <c r="DG48" s="20">
        <v>4</v>
      </c>
      <c r="DH48" s="20">
        <v>4</v>
      </c>
      <c r="DI48" s="20">
        <v>8</v>
      </c>
      <c r="DJ48" s="20">
        <v>8</v>
      </c>
      <c r="DK48" s="20">
        <v>12</v>
      </c>
      <c r="DL48" s="20">
        <v>12</v>
      </c>
      <c r="DM48" s="20">
        <v>16</v>
      </c>
      <c r="DN48" s="20">
        <v>16</v>
      </c>
      <c r="DO48" s="20">
        <v>20</v>
      </c>
      <c r="DP48" s="20">
        <v>20</v>
      </c>
      <c r="DQ48" s="20">
        <v>24</v>
      </c>
      <c r="DR48" s="20">
        <v>24</v>
      </c>
      <c r="DS48" s="20">
        <v>28</v>
      </c>
      <c r="DT48" s="20">
        <v>28</v>
      </c>
      <c r="DU48" s="20">
        <v>32</v>
      </c>
      <c r="DV48" s="20">
        <v>32</v>
      </c>
      <c r="DW48" s="20">
        <v>36</v>
      </c>
      <c r="DX48" s="20">
        <v>36</v>
      </c>
      <c r="DY48" s="20">
        <v>40</v>
      </c>
      <c r="DZ48" s="20"/>
      <c r="EA48" s="20"/>
      <c r="EB48" s="26" t="s">
        <v>519</v>
      </c>
      <c r="EC48" s="20">
        <v>0</v>
      </c>
      <c r="ED48" s="20">
        <v>0</v>
      </c>
      <c r="EE48" s="20">
        <v>0</v>
      </c>
      <c r="EF48" s="20">
        <v>0</v>
      </c>
      <c r="EG48" s="20">
        <v>2</v>
      </c>
      <c r="EH48" s="20">
        <v>6</v>
      </c>
      <c r="EI48" s="20">
        <v>2</v>
      </c>
      <c r="EJ48" s="20">
        <v>8</v>
      </c>
      <c r="EK48" s="20">
        <v>0</v>
      </c>
      <c r="EL48" s="20">
        <v>6</v>
      </c>
      <c r="EM48" s="20">
        <v>10</v>
      </c>
      <c r="EN48" s="20">
        <v>2</v>
      </c>
      <c r="EO48" s="20">
        <v>8</v>
      </c>
      <c r="EP48" s="20">
        <v>0</v>
      </c>
      <c r="EQ48" s="20">
        <v>2</v>
      </c>
      <c r="ER48" s="20">
        <v>6</v>
      </c>
      <c r="ES48" s="20">
        <v>14</v>
      </c>
      <c r="ET48" s="20">
        <v>6</v>
      </c>
      <c r="EU48" s="20">
        <v>10</v>
      </c>
      <c r="EV48" s="20">
        <v>16</v>
      </c>
      <c r="EW48" s="20">
        <v>8</v>
      </c>
      <c r="EX48" s="20">
        <v>12</v>
      </c>
      <c r="EY48" s="20">
        <v>4</v>
      </c>
      <c r="EZ48" s="20">
        <v>24</v>
      </c>
      <c r="FA48" s="20">
        <v>0</v>
      </c>
      <c r="FB48" s="20">
        <v>20</v>
      </c>
      <c r="FC48" s="20">
        <v>0</v>
      </c>
      <c r="FD48" s="20">
        <v>16</v>
      </c>
      <c r="FE48" s="20">
        <v>20</v>
      </c>
      <c r="FF48" s="20">
        <v>12</v>
      </c>
      <c r="FG48" s="20">
        <v>18</v>
      </c>
      <c r="FH48" s="20">
        <v>10</v>
      </c>
      <c r="FI48" s="20">
        <v>4</v>
      </c>
      <c r="FJ48" s="20">
        <v>6</v>
      </c>
      <c r="FK48" s="20">
        <v>26</v>
      </c>
      <c r="FL48" s="20">
        <v>2</v>
      </c>
      <c r="FM48" s="20">
        <v>22</v>
      </c>
      <c r="FN48" s="20">
        <v>0</v>
      </c>
      <c r="FO48" s="20">
        <v>18</v>
      </c>
      <c r="FP48" s="20">
        <v>0</v>
      </c>
      <c r="FQ48" s="20">
        <v>14</v>
      </c>
      <c r="FR48" s="20">
        <v>34</v>
      </c>
      <c r="FS48" s="20">
        <v>10</v>
      </c>
      <c r="FT48" s="20">
        <v>16</v>
      </c>
      <c r="FU48" s="20">
        <v>8</v>
      </c>
      <c r="FV48" s="20">
        <v>12</v>
      </c>
      <c r="FW48" s="20">
        <v>4</v>
      </c>
      <c r="FX48" s="20">
        <v>2</v>
      </c>
      <c r="FY48" s="20">
        <v>0</v>
      </c>
      <c r="FZ48" s="20">
        <v>20</v>
      </c>
      <c r="GA48" s="20">
        <v>0</v>
      </c>
      <c r="GC48" s="20"/>
      <c r="GD48" s="20"/>
      <c r="GE48" s="26" t="s">
        <v>519</v>
      </c>
      <c r="GF48" s="20">
        <v>0</v>
      </c>
      <c r="GG48" s="20">
        <v>0</v>
      </c>
      <c r="GH48" s="20">
        <v>0</v>
      </c>
      <c r="GI48" s="20">
        <v>4</v>
      </c>
      <c r="GJ48" s="20">
        <v>4</v>
      </c>
      <c r="GK48" s="20">
        <v>4</v>
      </c>
      <c r="GL48" s="20">
        <v>8</v>
      </c>
      <c r="GM48" s="20">
        <v>2</v>
      </c>
      <c r="GN48" s="20">
        <v>2</v>
      </c>
      <c r="GO48" s="20">
        <v>4</v>
      </c>
      <c r="GP48" s="20">
        <v>6</v>
      </c>
      <c r="GQ48" s="20">
        <v>8</v>
      </c>
      <c r="GR48" s="20">
        <v>10</v>
      </c>
      <c r="GS48" s="20">
        <v>0</v>
      </c>
      <c r="GT48" s="20">
        <v>0</v>
      </c>
      <c r="GU48" s="20">
        <v>18</v>
      </c>
      <c r="GV48" s="20">
        <v>4</v>
      </c>
      <c r="GW48" s="20">
        <v>22</v>
      </c>
      <c r="GX48" s="20">
        <v>22</v>
      </c>
      <c r="GY48" s="20">
        <v>12</v>
      </c>
      <c r="GZ48" s="20">
        <v>12</v>
      </c>
      <c r="HA48" s="20">
        <v>0</v>
      </c>
      <c r="HB48" s="20">
        <v>8</v>
      </c>
      <c r="HC48" s="20">
        <v>18</v>
      </c>
      <c r="HD48" s="20">
        <v>8</v>
      </c>
      <c r="HE48" s="20">
        <v>24</v>
      </c>
      <c r="HF48" s="20">
        <v>0</v>
      </c>
      <c r="HG48" s="20">
        <v>14</v>
      </c>
      <c r="HH48" s="20">
        <v>30</v>
      </c>
      <c r="HI48" s="20">
        <v>4</v>
      </c>
      <c r="HJ48" s="20">
        <v>20</v>
      </c>
      <c r="HK48" s="20">
        <v>0</v>
      </c>
      <c r="HL48" s="20">
        <v>10</v>
      </c>
      <c r="HM48" s="20">
        <v>26</v>
      </c>
      <c r="HN48" s="20">
        <v>0</v>
      </c>
      <c r="HO48" s="20">
        <v>16</v>
      </c>
      <c r="HP48" s="20">
        <v>32</v>
      </c>
      <c r="HQ48" s="20">
        <v>0</v>
      </c>
      <c r="HR48" s="20">
        <v>22</v>
      </c>
      <c r="HS48" s="20">
        <v>0</v>
      </c>
      <c r="HT48" s="20">
        <v>12</v>
      </c>
      <c r="HU48" s="20">
        <v>28</v>
      </c>
      <c r="HV48" s="20">
        <v>2</v>
      </c>
      <c r="HW48" s="20">
        <v>18</v>
      </c>
      <c r="HX48" s="20">
        <v>0</v>
      </c>
      <c r="HY48" s="20">
        <v>8</v>
      </c>
      <c r="HZ48" s="20">
        <v>24</v>
      </c>
      <c r="IA48" s="20">
        <v>0</v>
      </c>
      <c r="IB48" s="20">
        <v>14</v>
      </c>
      <c r="IC48" s="20">
        <v>16</v>
      </c>
      <c r="ID48" s="20">
        <v>4</v>
      </c>
      <c r="IF48" s="21" t="s">
        <v>519</v>
      </c>
      <c r="IG48" s="21">
        <v>0</v>
      </c>
      <c r="IH48" s="21">
        <v>2</v>
      </c>
      <c r="II48" s="21">
        <v>2</v>
      </c>
      <c r="IJ48" s="21">
        <v>2</v>
      </c>
      <c r="IK48" s="21">
        <v>0</v>
      </c>
      <c r="IL48" s="21">
        <v>8</v>
      </c>
      <c r="IM48" s="21">
        <v>4</v>
      </c>
      <c r="IN48" s="21">
        <v>4</v>
      </c>
      <c r="IO48" s="21">
        <v>10</v>
      </c>
      <c r="IP48" s="21">
        <v>8</v>
      </c>
      <c r="IQ48" s="21">
        <v>4</v>
      </c>
      <c r="IR48" s="21">
        <v>16</v>
      </c>
      <c r="IS48" s="21">
        <v>0</v>
      </c>
      <c r="IT48" s="21">
        <v>8</v>
      </c>
      <c r="IU48" s="21">
        <v>18</v>
      </c>
      <c r="IV48" s="21">
        <v>14</v>
      </c>
      <c r="IW48" s="21">
        <v>0</v>
      </c>
      <c r="IX48" s="21">
        <v>6</v>
      </c>
      <c r="IY48" s="21">
        <v>2</v>
      </c>
      <c r="IZ48" s="21">
        <v>28</v>
      </c>
      <c r="JA48" s="21">
        <v>0</v>
      </c>
      <c r="JB48" s="21">
        <v>6</v>
      </c>
      <c r="JC48" s="21">
        <v>8</v>
      </c>
      <c r="JD48" s="21">
        <v>12</v>
      </c>
      <c r="JE48" s="21">
        <v>0</v>
      </c>
      <c r="JF48" s="21">
        <v>4</v>
      </c>
      <c r="JS48" s="20" t="s">
        <v>1024</v>
      </c>
      <c r="JT48" s="20">
        <v>0</v>
      </c>
      <c r="JU48" s="20">
        <v>0</v>
      </c>
      <c r="JV48" s="20">
        <v>2</v>
      </c>
      <c r="JW48" s="20">
        <v>0</v>
      </c>
      <c r="JX48" s="20">
        <v>2</v>
      </c>
      <c r="JY48" s="20">
        <v>0</v>
      </c>
      <c r="JZ48" s="20">
        <v>0</v>
      </c>
      <c r="KA48" s="20">
        <v>0</v>
      </c>
      <c r="KB48" s="20">
        <v>0</v>
      </c>
      <c r="KC48" s="20">
        <v>0</v>
      </c>
      <c r="KD48" s="20">
        <v>0</v>
      </c>
      <c r="KE48" s="20">
        <v>0</v>
      </c>
      <c r="KF48" s="20">
        <v>0</v>
      </c>
      <c r="KG48" s="20">
        <v>0</v>
      </c>
      <c r="KH48" s="20">
        <v>0</v>
      </c>
      <c r="KI48" s="20">
        <v>0</v>
      </c>
      <c r="KJ48" s="20">
        <v>0</v>
      </c>
      <c r="KK48" s="20">
        <v>0</v>
      </c>
      <c r="KL48" s="20">
        <v>0</v>
      </c>
      <c r="KM48" s="20">
        <v>0</v>
      </c>
      <c r="KN48" s="20">
        <v>0</v>
      </c>
      <c r="KO48" s="20">
        <v>0</v>
      </c>
      <c r="KP48" s="20">
        <v>0</v>
      </c>
      <c r="KQ48" s="20">
        <v>0</v>
      </c>
      <c r="KR48" s="20">
        <v>0</v>
      </c>
      <c r="KS48" s="20">
        <v>0</v>
      </c>
      <c r="KU48" s="20" t="s">
        <v>1024</v>
      </c>
      <c r="KV48" s="20">
        <v>0</v>
      </c>
      <c r="KW48" s="20">
        <v>0</v>
      </c>
      <c r="KX48" s="20">
        <v>0</v>
      </c>
      <c r="KY48" s="20">
        <v>0</v>
      </c>
      <c r="KZ48" s="20">
        <v>0</v>
      </c>
      <c r="LA48" s="20">
        <v>0</v>
      </c>
      <c r="LB48" s="20">
        <v>0</v>
      </c>
      <c r="LC48" s="20">
        <v>2</v>
      </c>
      <c r="LD48" s="20">
        <v>0</v>
      </c>
      <c r="LE48" s="20">
        <v>0</v>
      </c>
      <c r="LF48" s="20">
        <v>0</v>
      </c>
      <c r="LG48" s="20">
        <v>0</v>
      </c>
      <c r="LH48" s="20">
        <v>0</v>
      </c>
      <c r="LI48" s="20">
        <v>0</v>
      </c>
      <c r="LJ48" s="20">
        <v>0</v>
      </c>
      <c r="LK48" s="20">
        <v>0</v>
      </c>
      <c r="LL48" s="20">
        <v>0</v>
      </c>
      <c r="LM48" s="20">
        <v>2</v>
      </c>
      <c r="LN48" s="20">
        <v>0</v>
      </c>
      <c r="LO48" s="20">
        <v>0</v>
      </c>
      <c r="LP48" s="20">
        <v>0</v>
      </c>
      <c r="LQ48" s="20">
        <v>0</v>
      </c>
      <c r="LR48" s="20">
        <v>0</v>
      </c>
      <c r="LS48" s="20">
        <v>0</v>
      </c>
      <c r="LT48" s="20">
        <v>0</v>
      </c>
      <c r="LU48" s="20">
        <v>0</v>
      </c>
      <c r="LW48" s="20" t="s">
        <v>1024</v>
      </c>
      <c r="LX48" s="20">
        <v>0</v>
      </c>
      <c r="LY48" s="20">
        <v>0</v>
      </c>
      <c r="LZ48" s="20">
        <v>0</v>
      </c>
      <c r="MA48" s="20">
        <v>0</v>
      </c>
      <c r="MB48" s="20">
        <v>2</v>
      </c>
      <c r="MC48" s="20">
        <v>0</v>
      </c>
      <c r="MD48" s="20">
        <v>0</v>
      </c>
      <c r="ME48" s="20">
        <v>0</v>
      </c>
      <c r="MF48" s="20">
        <v>0</v>
      </c>
      <c r="MG48" s="20">
        <v>0</v>
      </c>
      <c r="MH48" s="20">
        <v>0</v>
      </c>
      <c r="MI48" s="20">
        <v>0</v>
      </c>
      <c r="MJ48" s="20">
        <v>0</v>
      </c>
      <c r="MK48" s="20">
        <v>0</v>
      </c>
      <c r="ML48" s="20">
        <v>0</v>
      </c>
      <c r="MM48" s="20">
        <v>0</v>
      </c>
      <c r="MN48" s="20">
        <v>0</v>
      </c>
      <c r="MO48" s="20">
        <v>0</v>
      </c>
      <c r="MP48" s="20">
        <v>0</v>
      </c>
      <c r="MQ48" s="20">
        <v>0</v>
      </c>
      <c r="MR48" s="20">
        <v>0</v>
      </c>
      <c r="MS48" s="20">
        <v>0</v>
      </c>
      <c r="MT48" s="20">
        <v>0</v>
      </c>
      <c r="MU48" s="20">
        <v>0</v>
      </c>
      <c r="MV48" s="20">
        <v>0</v>
      </c>
      <c r="MW48" s="20">
        <v>0</v>
      </c>
      <c r="MY48" s="20" t="s">
        <v>1024</v>
      </c>
      <c r="MZ48" s="21">
        <v>0</v>
      </c>
      <c r="NA48" s="21">
        <v>0</v>
      </c>
      <c r="NB48" s="21">
        <v>0</v>
      </c>
      <c r="NC48" s="21">
        <v>0</v>
      </c>
      <c r="ND48" s="21">
        <v>0</v>
      </c>
      <c r="NE48" s="21">
        <v>0</v>
      </c>
      <c r="NF48" s="21">
        <v>0</v>
      </c>
      <c r="NG48" s="21">
        <v>0</v>
      </c>
      <c r="NH48" s="21">
        <v>0</v>
      </c>
      <c r="NI48" s="21">
        <v>0</v>
      </c>
      <c r="NJ48" s="21">
        <v>0</v>
      </c>
      <c r="NK48" s="21">
        <v>0</v>
      </c>
      <c r="NL48" s="21">
        <v>4</v>
      </c>
      <c r="NM48" s="21">
        <v>0</v>
      </c>
      <c r="NN48" s="21">
        <v>0</v>
      </c>
      <c r="NO48" s="21">
        <v>0</v>
      </c>
      <c r="NP48" s="20">
        <v>0</v>
      </c>
      <c r="NQ48" s="21">
        <v>0</v>
      </c>
      <c r="NR48" s="21">
        <v>0</v>
      </c>
      <c r="NS48" s="21">
        <v>0</v>
      </c>
      <c r="NT48" s="21">
        <v>0</v>
      </c>
      <c r="NU48" s="21">
        <v>0</v>
      </c>
      <c r="NV48" s="21">
        <v>0</v>
      </c>
      <c r="NW48" s="21">
        <v>0</v>
      </c>
      <c r="NX48" s="21">
        <v>0</v>
      </c>
      <c r="NY48" s="21">
        <v>0</v>
      </c>
    </row>
    <row r="49" spans="1:389" x14ac:dyDescent="0.25">
      <c r="A49" s="4"/>
      <c r="B49" s="6"/>
      <c r="C49" s="4"/>
      <c r="D49" s="4"/>
      <c r="E49" s="4"/>
      <c r="F49" s="4"/>
      <c r="G49" s="4"/>
      <c r="H49" s="4"/>
      <c r="I49" s="4"/>
      <c r="J49" s="4"/>
      <c r="K49" s="4"/>
      <c r="L49" s="6" t="s">
        <v>1019</v>
      </c>
      <c r="M49" s="14">
        <f>INDEX(cennik!$A$2:$O$529,MATCH($L49,cennik!$B$2:$B$522,0),MATCH(M$27,cennik!$A$1:$O$1,0))</f>
        <v>166794</v>
      </c>
      <c r="N49" s="14" t="str">
        <f>INDEX(cennik!$A$2:$O$529,MATCH($L49,cennik!$B$2:$B$522,0),MATCH(N$27,cennik!$A$1:$O$1,0))</f>
        <v>100 szt.</v>
      </c>
      <c r="O49" s="14">
        <f>ROUNDUP((O43/100),0)</f>
        <v>1</v>
      </c>
      <c r="P49" s="22">
        <f>INDEX(cennik!$A$2:$O$529,MATCH($L49,cennik!$B$2:$B$522,0),MATCH(P$27,cennik!$A$1:$O$1,0))</f>
        <v>3.95</v>
      </c>
      <c r="Q49" s="22">
        <f t="shared" si="44"/>
        <v>3.95</v>
      </c>
      <c r="R49" s="23">
        <f t="shared" si="34"/>
        <v>0</v>
      </c>
      <c r="S49" s="22">
        <f t="shared" si="35"/>
        <v>3.95</v>
      </c>
      <c r="T49" s="22">
        <f t="shared" si="45"/>
        <v>3.95</v>
      </c>
      <c r="U49" s="22">
        <f>INDEX(cennik!$A$2:$O$529,MATCH($L49,cennik!$B$2:$B$522,0),MATCH(U$27,cennik!$A$1:$O$1,0))*O49</f>
        <v>0</v>
      </c>
      <c r="V49" s="20"/>
      <c r="W49" s="20"/>
      <c r="X49" s="25">
        <f t="shared" si="52"/>
        <v>0</v>
      </c>
      <c r="Y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55,$BB$2:$CA$2,0),MATCH($W$46,$AH$22:$AH$47,0)))*C55</f>
        <v>0</v>
      </c>
      <c r="Z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55,$BB$2:$CA$2,0),MATCH($W$46,$AH$22:$AH$47,0)))*C55</f>
        <v>0</v>
      </c>
      <c r="AA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55,$BB$2:$CA$2,0),MATCH($W$46,$AH$22:$AH$47,0)))*C55</f>
        <v>0</v>
      </c>
      <c r="AB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55,$BB$2:$CA$2,0),MATCH($W$46,$AH$22:$AH$47,0)))*C55</f>
        <v>0</v>
      </c>
      <c r="AC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55,$BB$2:$CA$2,0),MATCH($W$46,$AH$22:$AH$47,0)))*C55</f>
        <v>0</v>
      </c>
      <c r="AD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55,$BB$2:$CA$2,0),MATCH($W$46,$AH$22:$AH$47,0)))*C55</f>
        <v>0</v>
      </c>
      <c r="AE49" s="20"/>
      <c r="AF49" s="20"/>
      <c r="AG49" s="20"/>
      <c r="AH49" s="20"/>
      <c r="AI49" s="20"/>
      <c r="AJ49" s="20"/>
      <c r="AK49" s="20"/>
      <c r="AL49" s="20">
        <f t="shared" si="53"/>
        <v>0</v>
      </c>
      <c r="AM49" s="20">
        <v>42</v>
      </c>
      <c r="AN49" s="20" t="s">
        <v>34</v>
      </c>
      <c r="AO49" s="20"/>
      <c r="AP49" s="20" t="s">
        <v>109</v>
      </c>
      <c r="AQ49" s="20" t="s">
        <v>14</v>
      </c>
      <c r="AS49" s="20">
        <v>42</v>
      </c>
      <c r="AT49" s="20" t="s">
        <v>46</v>
      </c>
      <c r="AU49" s="20"/>
      <c r="AV49" s="20" t="s">
        <v>151</v>
      </c>
      <c r="AW49" s="20" t="s">
        <v>151</v>
      </c>
      <c r="AX49" s="20"/>
      <c r="AY49" s="20"/>
      <c r="AZ49" s="20"/>
      <c r="BA49" s="26" t="s">
        <v>520</v>
      </c>
      <c r="BB49" s="20">
        <v>0</v>
      </c>
      <c r="BC49" s="20">
        <v>0</v>
      </c>
      <c r="BD49" s="20">
        <v>0</v>
      </c>
      <c r="BE49" s="20">
        <v>0</v>
      </c>
      <c r="BF49" s="20">
        <v>0</v>
      </c>
      <c r="BG49" s="20">
        <v>0</v>
      </c>
      <c r="BH49" s="20">
        <v>0</v>
      </c>
      <c r="BI49" s="20">
        <v>0</v>
      </c>
      <c r="BJ49" s="20">
        <v>0</v>
      </c>
      <c r="BK49" s="20">
        <v>0</v>
      </c>
      <c r="BL49" s="20">
        <v>0</v>
      </c>
      <c r="BM49" s="20">
        <v>0</v>
      </c>
      <c r="BN49" s="20">
        <v>0</v>
      </c>
      <c r="BO49" s="20">
        <v>0</v>
      </c>
      <c r="BP49" s="20">
        <v>2</v>
      </c>
      <c r="BQ49" s="20">
        <v>0</v>
      </c>
      <c r="BR49" s="20">
        <v>4</v>
      </c>
      <c r="BS49" s="20">
        <v>4</v>
      </c>
      <c r="BT49" s="20">
        <v>6</v>
      </c>
      <c r="BU49" s="20">
        <v>6</v>
      </c>
      <c r="BV49" s="20">
        <v>8</v>
      </c>
      <c r="BW49" s="20">
        <v>8</v>
      </c>
      <c r="BX49" s="20">
        <v>6</v>
      </c>
      <c r="BY49" s="20">
        <v>10</v>
      </c>
      <c r="BZ49" s="20">
        <v>10</v>
      </c>
      <c r="CA49" s="20">
        <v>12</v>
      </c>
      <c r="CB49" s="20">
        <v>14</v>
      </c>
      <c r="CC49" s="20">
        <v>12</v>
      </c>
      <c r="CD49" s="20">
        <v>2</v>
      </c>
      <c r="CE49" s="20">
        <v>18</v>
      </c>
      <c r="CF49" s="20">
        <v>4</v>
      </c>
      <c r="CG49" s="20">
        <v>6</v>
      </c>
      <c r="CH49" s="20">
        <v>20</v>
      </c>
      <c r="CI49" s="20">
        <v>8</v>
      </c>
      <c r="CJ49" s="20">
        <v>22</v>
      </c>
      <c r="CK49" s="20">
        <v>24</v>
      </c>
      <c r="CL49" s="20">
        <v>10</v>
      </c>
      <c r="CM49" s="20">
        <v>20</v>
      </c>
      <c r="CN49" s="20">
        <v>26</v>
      </c>
      <c r="CO49" s="20">
        <v>0</v>
      </c>
      <c r="CP49" s="20">
        <v>16</v>
      </c>
      <c r="CQ49" s="20">
        <v>28</v>
      </c>
      <c r="CR49" s="20">
        <v>26</v>
      </c>
      <c r="CS49" s="20">
        <v>18</v>
      </c>
      <c r="CT49" s="20">
        <v>30</v>
      </c>
      <c r="CU49" s="20">
        <v>20</v>
      </c>
      <c r="CV49" s="20">
        <v>22</v>
      </c>
      <c r="CW49" s="20">
        <v>32</v>
      </c>
      <c r="CX49" s="20">
        <v>10</v>
      </c>
      <c r="CY49" s="20">
        <v>26</v>
      </c>
      <c r="CZ49" s="20">
        <v>34</v>
      </c>
      <c r="DA49" s="54"/>
      <c r="DB49" s="54">
        <v>48</v>
      </c>
      <c r="DC49" s="54"/>
      <c r="DD49" s="20" t="s">
        <v>518</v>
      </c>
      <c r="DE49" s="20">
        <v>0</v>
      </c>
      <c r="DF49" s="20">
        <v>2</v>
      </c>
      <c r="DG49" s="20">
        <v>4</v>
      </c>
      <c r="DH49" s="20">
        <v>2</v>
      </c>
      <c r="DI49" s="20">
        <v>4</v>
      </c>
      <c r="DJ49" s="20">
        <v>2</v>
      </c>
      <c r="DK49" s="20">
        <v>4</v>
      </c>
      <c r="DL49" s="20">
        <v>2</v>
      </c>
      <c r="DM49" s="20">
        <v>4</v>
      </c>
      <c r="DN49" s="20">
        <v>2</v>
      </c>
      <c r="DO49" s="20">
        <v>4</v>
      </c>
      <c r="DP49" s="20">
        <v>2</v>
      </c>
      <c r="DQ49" s="20">
        <v>4</v>
      </c>
      <c r="DR49" s="20">
        <v>2</v>
      </c>
      <c r="DS49" s="20">
        <v>4</v>
      </c>
      <c r="DT49" s="20">
        <v>2</v>
      </c>
      <c r="DU49" s="20">
        <v>4</v>
      </c>
      <c r="DV49" s="20">
        <v>2</v>
      </c>
      <c r="DW49" s="20">
        <v>4</v>
      </c>
      <c r="DX49" s="20">
        <v>2</v>
      </c>
      <c r="DY49" s="20">
        <v>4</v>
      </c>
      <c r="DZ49" s="20"/>
      <c r="EA49" s="20"/>
      <c r="EB49" s="26" t="s">
        <v>520</v>
      </c>
      <c r="EC49" s="20">
        <v>0</v>
      </c>
      <c r="ED49" s="20">
        <v>0</v>
      </c>
      <c r="EE49" s="20">
        <v>0</v>
      </c>
      <c r="EF49" s="20">
        <v>2</v>
      </c>
      <c r="EG49" s="20">
        <v>0</v>
      </c>
      <c r="EH49" s="20">
        <v>0</v>
      </c>
      <c r="EI49" s="20">
        <v>2</v>
      </c>
      <c r="EJ49" s="20">
        <v>0</v>
      </c>
      <c r="EK49" s="20">
        <v>6</v>
      </c>
      <c r="EL49" s="20">
        <v>4</v>
      </c>
      <c r="EM49" s="20">
        <v>0</v>
      </c>
      <c r="EN49" s="20">
        <v>10</v>
      </c>
      <c r="EO49" s="20">
        <v>4</v>
      </c>
      <c r="EP49" s="20">
        <v>14</v>
      </c>
      <c r="EQ49" s="20">
        <v>12</v>
      </c>
      <c r="ER49" s="20">
        <v>8</v>
      </c>
      <c r="ES49" s="20">
        <v>4</v>
      </c>
      <c r="ET49" s="20">
        <v>10</v>
      </c>
      <c r="EU49" s="20">
        <v>10</v>
      </c>
      <c r="EV49" s="20">
        <v>4</v>
      </c>
      <c r="EW49" s="20">
        <v>14</v>
      </c>
      <c r="EX49" s="20">
        <v>10</v>
      </c>
      <c r="EY49" s="20">
        <v>20</v>
      </c>
      <c r="EZ49" s="20">
        <v>2</v>
      </c>
      <c r="FA49" s="20">
        <v>26</v>
      </c>
      <c r="FB49" s="20">
        <v>8</v>
      </c>
      <c r="FC49" s="20">
        <v>28</v>
      </c>
      <c r="FD49" s="20">
        <v>14</v>
      </c>
      <c r="FE49" s="20">
        <v>10</v>
      </c>
      <c r="FF49" s="20">
        <v>20</v>
      </c>
      <c r="FG49" s="20">
        <v>14</v>
      </c>
      <c r="FH49" s="20">
        <v>24</v>
      </c>
      <c r="FI49" s="20">
        <v>28</v>
      </c>
      <c r="FJ49" s="20">
        <v>30</v>
      </c>
      <c r="FK49" s="20">
        <v>12</v>
      </c>
      <c r="FL49" s="20">
        <v>36</v>
      </c>
      <c r="FM49" s="20">
        <v>18</v>
      </c>
      <c r="FN49" s="20">
        <v>40</v>
      </c>
      <c r="FO49" s="20">
        <v>24</v>
      </c>
      <c r="FP49" s="20">
        <v>42</v>
      </c>
      <c r="FQ49" s="20">
        <v>30</v>
      </c>
      <c r="FR49" s="20">
        <v>12</v>
      </c>
      <c r="FS49" s="20">
        <v>36</v>
      </c>
      <c r="FT49" s="20">
        <v>30</v>
      </c>
      <c r="FU49" s="20">
        <v>40</v>
      </c>
      <c r="FV49" s="20">
        <v>36</v>
      </c>
      <c r="FW49" s="20">
        <v>46</v>
      </c>
      <c r="FX49" s="20">
        <v>46</v>
      </c>
      <c r="FY49" s="20">
        <v>52</v>
      </c>
      <c r="FZ49" s="20">
        <v>34</v>
      </c>
      <c r="GA49" s="20">
        <v>54</v>
      </c>
      <c r="GC49" s="20"/>
      <c r="GD49" s="20"/>
      <c r="GE49" s="26" t="s">
        <v>520</v>
      </c>
      <c r="GF49" s="20">
        <v>0</v>
      </c>
      <c r="GG49" s="20">
        <v>0</v>
      </c>
      <c r="GH49" s="20">
        <v>0</v>
      </c>
      <c r="GI49" s="20">
        <v>0</v>
      </c>
      <c r="GJ49" s="20">
        <v>0</v>
      </c>
      <c r="GK49" s="20">
        <v>0</v>
      </c>
      <c r="GL49" s="20">
        <v>0</v>
      </c>
      <c r="GM49" s="20">
        <v>6</v>
      </c>
      <c r="GN49" s="20">
        <v>8</v>
      </c>
      <c r="GO49" s="20">
        <v>6</v>
      </c>
      <c r="GP49" s="20">
        <v>4</v>
      </c>
      <c r="GQ49" s="20">
        <v>6</v>
      </c>
      <c r="GR49" s="20">
        <v>4</v>
      </c>
      <c r="GS49" s="20">
        <v>16</v>
      </c>
      <c r="GT49" s="20">
        <v>16</v>
      </c>
      <c r="GU49" s="20">
        <v>0</v>
      </c>
      <c r="GV49" s="20">
        <v>16</v>
      </c>
      <c r="GW49" s="20">
        <v>0</v>
      </c>
      <c r="GX49" s="20">
        <v>0</v>
      </c>
      <c r="GY49" s="20">
        <v>12</v>
      </c>
      <c r="GZ49" s="20">
        <v>12</v>
      </c>
      <c r="HA49" s="20">
        <v>26</v>
      </c>
      <c r="HB49" s="20">
        <v>18</v>
      </c>
      <c r="HC49" s="20">
        <v>10</v>
      </c>
      <c r="HD49" s="20">
        <v>22</v>
      </c>
      <c r="HE49" s="20">
        <v>8</v>
      </c>
      <c r="HF49" s="20">
        <v>32</v>
      </c>
      <c r="HG49" s="20">
        <v>20</v>
      </c>
      <c r="HH49" s="20">
        <v>6</v>
      </c>
      <c r="HI49" s="20">
        <v>32</v>
      </c>
      <c r="HJ49" s="20">
        <v>18</v>
      </c>
      <c r="HK49" s="20">
        <v>38</v>
      </c>
      <c r="HL49" s="20">
        <v>30</v>
      </c>
      <c r="HM49" s="20">
        <v>16</v>
      </c>
      <c r="HN49" s="20">
        <v>42</v>
      </c>
      <c r="HO49" s="20">
        <v>28</v>
      </c>
      <c r="HP49" s="20">
        <v>14</v>
      </c>
      <c r="HQ49" s="20">
        <v>44</v>
      </c>
      <c r="HR49" s="20">
        <v>26</v>
      </c>
      <c r="HS49" s="20">
        <v>48</v>
      </c>
      <c r="HT49" s="20">
        <v>38</v>
      </c>
      <c r="HU49" s="20">
        <v>24</v>
      </c>
      <c r="HV49" s="20">
        <v>50</v>
      </c>
      <c r="HW49" s="20">
        <v>36</v>
      </c>
      <c r="HX49" s="20">
        <v>54</v>
      </c>
      <c r="HY49" s="20">
        <v>48</v>
      </c>
      <c r="HZ49" s="20">
        <v>34</v>
      </c>
      <c r="IA49" s="20">
        <v>58</v>
      </c>
      <c r="IB49" s="20">
        <v>46</v>
      </c>
      <c r="IC49" s="20">
        <v>44</v>
      </c>
      <c r="ID49" s="20">
        <v>58</v>
      </c>
      <c r="IF49" s="21" t="s">
        <v>520</v>
      </c>
      <c r="IG49" s="21">
        <v>0</v>
      </c>
      <c r="IH49" s="21">
        <v>0</v>
      </c>
      <c r="II49" s="21">
        <v>0</v>
      </c>
      <c r="IJ49" s="21">
        <v>0</v>
      </c>
      <c r="IK49" s="21">
        <v>4</v>
      </c>
      <c r="IL49" s="21">
        <v>0</v>
      </c>
      <c r="IM49" s="21">
        <v>4</v>
      </c>
      <c r="IN49" s="21">
        <v>6</v>
      </c>
      <c r="IO49" s="21">
        <v>0</v>
      </c>
      <c r="IP49" s="21">
        <v>6</v>
      </c>
      <c r="IQ49" s="21">
        <v>10</v>
      </c>
      <c r="IR49" s="21">
        <v>0</v>
      </c>
      <c r="IS49" s="21">
        <v>18</v>
      </c>
      <c r="IT49" s="21">
        <v>12</v>
      </c>
      <c r="IU49" s="21">
        <v>4</v>
      </c>
      <c r="IV49" s="21">
        <v>8</v>
      </c>
      <c r="IW49" s="21">
        <v>24</v>
      </c>
      <c r="IX49" s="21">
        <v>20</v>
      </c>
      <c r="IY49" s="21">
        <v>24</v>
      </c>
      <c r="IZ49" s="21">
        <v>2</v>
      </c>
      <c r="JA49" s="21">
        <v>30</v>
      </c>
      <c r="JB49" s="21">
        <v>26</v>
      </c>
      <c r="JC49" s="21">
        <v>24</v>
      </c>
      <c r="JD49" s="21">
        <v>22</v>
      </c>
      <c r="JE49" s="21">
        <v>36</v>
      </c>
      <c r="JF49" s="21">
        <v>34</v>
      </c>
      <c r="JS49" s="20" t="s">
        <v>15</v>
      </c>
      <c r="JT49" s="20">
        <v>0</v>
      </c>
      <c r="JU49" s="20">
        <v>0</v>
      </c>
      <c r="JV49" s="20">
        <v>0</v>
      </c>
      <c r="JW49" s="20">
        <v>0</v>
      </c>
      <c r="JX49" s="20">
        <v>0</v>
      </c>
      <c r="JY49" s="20">
        <v>0</v>
      </c>
      <c r="JZ49" s="20">
        <v>0</v>
      </c>
      <c r="KA49" s="20">
        <v>2</v>
      </c>
      <c r="KB49" s="20">
        <v>0</v>
      </c>
      <c r="KC49" s="20">
        <v>0</v>
      </c>
      <c r="KD49" s="20">
        <v>0</v>
      </c>
      <c r="KE49" s="20">
        <v>0</v>
      </c>
      <c r="KF49" s="20">
        <v>0</v>
      </c>
      <c r="KG49" s="20">
        <v>0</v>
      </c>
      <c r="KH49" s="20">
        <v>0</v>
      </c>
      <c r="KI49" s="20">
        <v>2</v>
      </c>
      <c r="KJ49" s="20">
        <v>0</v>
      </c>
      <c r="KK49" s="20">
        <v>0</v>
      </c>
      <c r="KL49" s="20">
        <v>0</v>
      </c>
      <c r="KM49" s="20">
        <v>0</v>
      </c>
      <c r="KN49" s="20">
        <v>0</v>
      </c>
      <c r="KO49" s="20">
        <v>0</v>
      </c>
      <c r="KP49" s="20">
        <v>0</v>
      </c>
      <c r="KQ49" s="20">
        <v>0</v>
      </c>
      <c r="KR49" s="20">
        <v>0</v>
      </c>
      <c r="KS49" s="20">
        <v>0</v>
      </c>
      <c r="KU49" s="20" t="s">
        <v>15</v>
      </c>
      <c r="KV49" s="20">
        <v>0</v>
      </c>
      <c r="KW49" s="20">
        <v>0</v>
      </c>
      <c r="KX49" s="20">
        <v>0</v>
      </c>
      <c r="KY49" s="20">
        <v>0</v>
      </c>
      <c r="KZ49" s="20">
        <v>0</v>
      </c>
      <c r="LA49" s="20">
        <v>0</v>
      </c>
      <c r="LB49" s="20">
        <v>0</v>
      </c>
      <c r="LC49" s="20">
        <v>2</v>
      </c>
      <c r="LD49" s="20">
        <v>0</v>
      </c>
      <c r="LE49" s="20">
        <v>0</v>
      </c>
      <c r="LF49" s="20">
        <v>0</v>
      </c>
      <c r="LG49" s="20">
        <v>0</v>
      </c>
      <c r="LH49" s="20">
        <v>0</v>
      </c>
      <c r="LI49" s="20">
        <v>0</v>
      </c>
      <c r="LJ49" s="20">
        <v>0</v>
      </c>
      <c r="LK49" s="20">
        <v>0</v>
      </c>
      <c r="LL49" s="20">
        <v>0</v>
      </c>
      <c r="LM49" s="20">
        <v>2</v>
      </c>
      <c r="LN49" s="20">
        <v>0</v>
      </c>
      <c r="LO49" s="20">
        <v>0</v>
      </c>
      <c r="LP49" s="20">
        <v>0</v>
      </c>
      <c r="LQ49" s="20">
        <v>0</v>
      </c>
      <c r="LR49" s="20">
        <v>0</v>
      </c>
      <c r="LS49" s="20">
        <v>0</v>
      </c>
      <c r="LT49" s="20">
        <v>0</v>
      </c>
      <c r="LU49" s="20">
        <v>0</v>
      </c>
      <c r="LW49" s="20" t="s">
        <v>15</v>
      </c>
      <c r="LX49" s="20">
        <v>0</v>
      </c>
      <c r="LY49" s="20">
        <v>0</v>
      </c>
      <c r="LZ49" s="20">
        <v>0</v>
      </c>
      <c r="MA49" s="20">
        <v>4</v>
      </c>
      <c r="MB49" s="20">
        <v>0</v>
      </c>
      <c r="MC49" s="20">
        <v>0</v>
      </c>
      <c r="MD49" s="20">
        <v>0</v>
      </c>
      <c r="ME49" s="20">
        <v>0</v>
      </c>
      <c r="MF49" s="20">
        <v>0</v>
      </c>
      <c r="MG49" s="20">
        <v>0</v>
      </c>
      <c r="MH49" s="20">
        <v>0</v>
      </c>
      <c r="MI49" s="20">
        <v>0</v>
      </c>
      <c r="MJ49" s="20">
        <v>0</v>
      </c>
      <c r="MK49" s="20">
        <v>0</v>
      </c>
      <c r="ML49" s="20">
        <v>0</v>
      </c>
      <c r="MM49" s="20">
        <v>0</v>
      </c>
      <c r="MN49" s="20">
        <v>0</v>
      </c>
      <c r="MO49" s="20">
        <v>0</v>
      </c>
      <c r="MP49" s="20">
        <v>0</v>
      </c>
      <c r="MQ49" s="20">
        <v>0</v>
      </c>
      <c r="MR49" s="20">
        <v>0</v>
      </c>
      <c r="MS49" s="20">
        <v>0</v>
      </c>
      <c r="MT49" s="20">
        <v>0</v>
      </c>
      <c r="MU49" s="20">
        <v>0</v>
      </c>
      <c r="MV49" s="20">
        <v>0</v>
      </c>
      <c r="MW49" s="20">
        <v>0</v>
      </c>
      <c r="MY49" s="21" t="s">
        <v>15</v>
      </c>
      <c r="MZ49" s="21">
        <v>0</v>
      </c>
      <c r="NA49" s="21">
        <v>2</v>
      </c>
      <c r="NB49" s="21">
        <v>2</v>
      </c>
      <c r="NC49" s="21">
        <v>0</v>
      </c>
      <c r="ND49" s="21">
        <v>2</v>
      </c>
      <c r="NE49" s="21">
        <v>2</v>
      </c>
      <c r="NF49" s="21">
        <v>0</v>
      </c>
      <c r="NG49" s="21">
        <v>0</v>
      </c>
      <c r="NH49" s="21">
        <v>0</v>
      </c>
      <c r="NI49" s="21">
        <v>0</v>
      </c>
      <c r="NJ49" s="21">
        <v>0</v>
      </c>
      <c r="NK49" s="21">
        <v>0</v>
      </c>
      <c r="NL49" s="21">
        <v>0</v>
      </c>
      <c r="NM49" s="21">
        <v>0</v>
      </c>
      <c r="NN49" s="21">
        <v>0</v>
      </c>
      <c r="NO49" s="21">
        <v>0</v>
      </c>
      <c r="NP49" s="20">
        <v>0</v>
      </c>
      <c r="NQ49" s="21">
        <v>0</v>
      </c>
      <c r="NR49" s="21">
        <v>0</v>
      </c>
      <c r="NS49" s="21">
        <v>0</v>
      </c>
      <c r="NT49" s="21">
        <v>0</v>
      </c>
      <c r="NU49" s="21">
        <v>0</v>
      </c>
      <c r="NV49" s="21">
        <v>2</v>
      </c>
      <c r="NW49" s="21">
        <v>0</v>
      </c>
      <c r="NX49" s="21">
        <v>0</v>
      </c>
      <c r="NY49" s="21">
        <v>0</v>
      </c>
    </row>
    <row r="50" spans="1:389" x14ac:dyDescent="0.25">
      <c r="A50" s="4"/>
      <c r="B50" s="6"/>
      <c r="C50" s="4"/>
      <c r="D50" s="4"/>
      <c r="E50" s="4"/>
      <c r="F50" s="4"/>
      <c r="G50" s="4"/>
      <c r="H50" s="4"/>
      <c r="I50" s="4"/>
      <c r="J50" s="4"/>
      <c r="K50" s="4"/>
      <c r="L50" s="6" t="s">
        <v>407</v>
      </c>
      <c r="M50" s="14">
        <f>INDEX(cennik!$A$2:$O$529,MATCH($L50,cennik!$B$2:$B$522,0),MATCH(M$27,cennik!$A$1:$O$1,0))</f>
        <v>651643</v>
      </c>
      <c r="N50" s="14" t="str">
        <f>INDEX(cennik!$A$2:$O$529,MATCH($L50,cennik!$B$2:$B$522,0),MATCH(N$27,cennik!$A$1:$O$1,0))</f>
        <v>100 szt.</v>
      </c>
      <c r="O50" s="14">
        <f>ROUNDUP(((IF(L36="LC40H35MC",O36*4,0))/100),0)</f>
        <v>0</v>
      </c>
      <c r="P50" s="22">
        <f>INDEX(cennik!$A$2:$O$529,MATCH($L50,cennik!$B$2:$B$522,0),MATCH(P$27,cennik!$A$1:$O$1,0))</f>
        <v>144.19</v>
      </c>
      <c r="Q50" s="22">
        <f t="shared" ref="Q50" si="54">O50*P50</f>
        <v>0</v>
      </c>
      <c r="R50" s="23">
        <f t="shared" si="34"/>
        <v>0</v>
      </c>
      <c r="S50" s="22">
        <f t="shared" si="35"/>
        <v>144.19</v>
      </c>
      <c r="T50" s="22">
        <f t="shared" ref="T50" si="55">O50*S50</f>
        <v>0</v>
      </c>
      <c r="U50" s="22">
        <f>INDEX(cennik!$A$2:$O$529,MATCH($L50,cennik!$B$2:$B$522,0),MATCH(U$27,cennik!$A$1:$O$1,0))*O50</f>
        <v>0</v>
      </c>
      <c r="V50" s="20"/>
      <c r="W50" s="20"/>
      <c r="X50" s="25">
        <f t="shared" si="52"/>
        <v>0</v>
      </c>
      <c r="Y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56,$BB$2:$CA$2,0),MATCH($W$46,$AH$22:$AH$47,0)))*C56</f>
        <v>0</v>
      </c>
      <c r="Z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56,$BB$2:$CA$2,0),MATCH($W$46,$AH$22:$AH$47,0)))*C56</f>
        <v>0</v>
      </c>
      <c r="AA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56,$BB$2:$CA$2,0),MATCH($W$46,$AH$22:$AH$47,0)))*C56</f>
        <v>0</v>
      </c>
      <c r="AB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56,$BB$2:$CA$2,0),MATCH($W$46,$AH$22:$AH$47,0)))*C56</f>
        <v>0</v>
      </c>
      <c r="AC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56,$BB$2:$CA$2,0),MATCH($W$46,$AH$22:$AH$47,0)))*C56</f>
        <v>0</v>
      </c>
      <c r="AD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56,$BB$2:$CA$2,0),MATCH($W$46,$AH$22:$AH$47,0)))*C56</f>
        <v>0</v>
      </c>
      <c r="AF50" s="20"/>
      <c r="AG50" s="20"/>
      <c r="AH50" s="20"/>
      <c r="AI50" s="20"/>
      <c r="AJ50" s="20"/>
      <c r="AK50" s="20"/>
      <c r="AL50" s="20">
        <f t="shared" si="53"/>
        <v>0</v>
      </c>
      <c r="AM50" s="20">
        <v>45</v>
      </c>
      <c r="AN50" s="20" t="s">
        <v>35</v>
      </c>
      <c r="AO50" s="20"/>
      <c r="AP50" s="20" t="s">
        <v>149</v>
      </c>
      <c r="AQ50" s="20" t="s">
        <v>14</v>
      </c>
      <c r="AS50" s="20">
        <v>45</v>
      </c>
      <c r="AT50" s="20" t="s">
        <v>47</v>
      </c>
      <c r="AU50" s="20"/>
      <c r="AV50" s="20" t="s">
        <v>151</v>
      </c>
      <c r="AW50" s="20" t="s">
        <v>151</v>
      </c>
      <c r="AX50" s="20"/>
      <c r="AY50" s="20"/>
      <c r="AZ50" s="20"/>
      <c r="BA50" s="26" t="s">
        <v>521</v>
      </c>
      <c r="BB50" s="20">
        <v>0</v>
      </c>
      <c r="BC50" s="20">
        <v>0</v>
      </c>
      <c r="BD50" s="20">
        <v>4</v>
      </c>
      <c r="BE50" s="20">
        <v>8</v>
      </c>
      <c r="BF50" s="20">
        <v>4</v>
      </c>
      <c r="BG50" s="20">
        <v>4</v>
      </c>
      <c r="BH50" s="20">
        <v>8</v>
      </c>
      <c r="BI50" s="20">
        <v>8</v>
      </c>
      <c r="BJ50" s="20">
        <v>8</v>
      </c>
      <c r="BK50" s="20">
        <v>12</v>
      </c>
      <c r="BL50" s="20">
        <v>12</v>
      </c>
      <c r="BM50" s="20">
        <v>12</v>
      </c>
      <c r="BN50" s="20">
        <v>16</v>
      </c>
      <c r="BO50" s="20">
        <v>16</v>
      </c>
      <c r="BP50" s="20">
        <v>16</v>
      </c>
      <c r="BQ50" s="20">
        <v>20</v>
      </c>
      <c r="BR50" s="20">
        <v>20</v>
      </c>
      <c r="BS50" s="20">
        <v>20</v>
      </c>
      <c r="BT50" s="20">
        <v>24</v>
      </c>
      <c r="BU50" s="20">
        <v>24</v>
      </c>
      <c r="BV50" s="20">
        <v>24</v>
      </c>
      <c r="BW50" s="20">
        <v>28</v>
      </c>
      <c r="BX50" s="20">
        <v>28</v>
      </c>
      <c r="BY50" s="20">
        <v>28</v>
      </c>
      <c r="BZ50" s="20">
        <v>32</v>
      </c>
      <c r="CA50" s="20">
        <v>32</v>
      </c>
      <c r="CB50" s="20">
        <v>32</v>
      </c>
      <c r="CC50" s="20">
        <v>36</v>
      </c>
      <c r="CD50" s="20">
        <v>36</v>
      </c>
      <c r="CE50" s="20">
        <v>36</v>
      </c>
      <c r="CF50" s="20">
        <v>40</v>
      </c>
      <c r="CG50" s="20">
        <v>40</v>
      </c>
      <c r="CH50" s="20">
        <v>40</v>
      </c>
      <c r="CI50" s="20">
        <v>44</v>
      </c>
      <c r="CJ50" s="20">
        <v>44</v>
      </c>
      <c r="CK50" s="20">
        <v>44</v>
      </c>
      <c r="CL50" s="20">
        <v>48</v>
      </c>
      <c r="CM50" s="20">
        <v>48</v>
      </c>
      <c r="CN50" s="20">
        <v>48</v>
      </c>
      <c r="CO50" s="20">
        <v>52</v>
      </c>
      <c r="CP50" s="20">
        <v>52</v>
      </c>
      <c r="CQ50" s="20">
        <v>52</v>
      </c>
      <c r="CR50" s="20">
        <v>56</v>
      </c>
      <c r="CS50" s="20">
        <v>56</v>
      </c>
      <c r="CT50" s="20">
        <v>56</v>
      </c>
      <c r="CU50" s="20">
        <v>60</v>
      </c>
      <c r="CV50" s="20">
        <v>60</v>
      </c>
      <c r="CW50" s="20">
        <v>60</v>
      </c>
      <c r="CX50" s="20">
        <v>64</v>
      </c>
      <c r="CY50" s="20">
        <v>64</v>
      </c>
      <c r="CZ50" s="20">
        <v>64</v>
      </c>
      <c r="DA50" s="54"/>
      <c r="DB50" s="54">
        <v>49</v>
      </c>
      <c r="DC50" s="54"/>
      <c r="DD50" s="20" t="s">
        <v>520</v>
      </c>
      <c r="DE50" s="20">
        <v>0</v>
      </c>
      <c r="DF50" s="20">
        <v>0</v>
      </c>
      <c r="DG50" s="20">
        <v>0</v>
      </c>
      <c r="DH50" s="20">
        <v>2</v>
      </c>
      <c r="DI50" s="20">
        <v>2</v>
      </c>
      <c r="DJ50" s="20">
        <v>4</v>
      </c>
      <c r="DK50" s="20">
        <v>4</v>
      </c>
      <c r="DL50" s="20">
        <v>6</v>
      </c>
      <c r="DM50" s="20">
        <v>6</v>
      </c>
      <c r="DN50" s="20">
        <v>8</v>
      </c>
      <c r="DO50" s="20">
        <v>8</v>
      </c>
      <c r="DP50" s="20">
        <v>10</v>
      </c>
      <c r="DQ50" s="20">
        <v>10</v>
      </c>
      <c r="DR50" s="20">
        <v>12</v>
      </c>
      <c r="DS50" s="20">
        <v>12</v>
      </c>
      <c r="DT50" s="20">
        <v>14</v>
      </c>
      <c r="DU50" s="20">
        <v>14</v>
      </c>
      <c r="DV50" s="20">
        <v>16</v>
      </c>
      <c r="DW50" s="20">
        <v>16</v>
      </c>
      <c r="DX50" s="20">
        <v>18</v>
      </c>
      <c r="DY50" s="20">
        <v>18</v>
      </c>
      <c r="DZ50" s="20"/>
      <c r="EA50" s="20"/>
      <c r="EB50" s="26" t="s">
        <v>521</v>
      </c>
      <c r="EC50" s="20">
        <v>0</v>
      </c>
      <c r="ED50" s="20">
        <v>0</v>
      </c>
      <c r="EE50" s="20">
        <v>4</v>
      </c>
      <c r="EF50" s="20">
        <v>4</v>
      </c>
      <c r="EG50" s="20">
        <v>8</v>
      </c>
      <c r="EH50" s="20">
        <v>8</v>
      </c>
      <c r="EI50" s="20">
        <v>12</v>
      </c>
      <c r="EJ50" s="20">
        <v>12</v>
      </c>
      <c r="EK50" s="20">
        <v>16</v>
      </c>
      <c r="EL50" s="20">
        <v>16</v>
      </c>
      <c r="EM50" s="20">
        <v>20</v>
      </c>
      <c r="EN50" s="20">
        <v>20</v>
      </c>
      <c r="EO50" s="20">
        <v>24</v>
      </c>
      <c r="EP50" s="20">
        <v>24</v>
      </c>
      <c r="EQ50" s="20">
        <v>28</v>
      </c>
      <c r="ER50" s="20">
        <v>32</v>
      </c>
      <c r="ES50" s="20">
        <v>32</v>
      </c>
      <c r="ET50" s="20">
        <v>36</v>
      </c>
      <c r="EU50" s="20">
        <v>36</v>
      </c>
      <c r="EV50" s="20">
        <v>40</v>
      </c>
      <c r="EW50" s="20">
        <v>40</v>
      </c>
      <c r="EX50" s="20">
        <v>44</v>
      </c>
      <c r="EY50" s="20">
        <v>44</v>
      </c>
      <c r="EZ50" s="20">
        <v>48</v>
      </c>
      <c r="FA50" s="20">
        <v>48</v>
      </c>
      <c r="FB50" s="20">
        <v>52</v>
      </c>
      <c r="FC50" s="20">
        <v>52</v>
      </c>
      <c r="FD50" s="20">
        <v>56</v>
      </c>
      <c r="FE50" s="20">
        <v>60</v>
      </c>
      <c r="FF50" s="20">
        <v>60</v>
      </c>
      <c r="FG50" s="20">
        <v>64</v>
      </c>
      <c r="FH50" s="20">
        <v>64</v>
      </c>
      <c r="FI50" s="20">
        <v>68</v>
      </c>
      <c r="FJ50" s="20">
        <v>68</v>
      </c>
      <c r="FK50" s="20">
        <v>72</v>
      </c>
      <c r="FL50" s="20">
        <v>72</v>
      </c>
      <c r="FM50" s="20">
        <v>76</v>
      </c>
      <c r="FN50" s="20">
        <v>76</v>
      </c>
      <c r="FO50" s="20">
        <v>80</v>
      </c>
      <c r="FP50" s="20">
        <v>80</v>
      </c>
      <c r="FQ50" s="20">
        <v>84</v>
      </c>
      <c r="FR50" s="20">
        <v>88</v>
      </c>
      <c r="FS50" s="20">
        <v>88</v>
      </c>
      <c r="FT50" s="20">
        <v>92</v>
      </c>
      <c r="FU50" s="20">
        <v>92</v>
      </c>
      <c r="FV50" s="20">
        <v>96</v>
      </c>
      <c r="FW50" s="20">
        <v>96</v>
      </c>
      <c r="FX50" s="20">
        <v>100</v>
      </c>
      <c r="FY50" s="20">
        <v>100</v>
      </c>
      <c r="FZ50" s="20">
        <v>104</v>
      </c>
      <c r="GA50" s="20">
        <v>104</v>
      </c>
      <c r="GC50" s="20"/>
      <c r="GD50" s="20"/>
      <c r="GE50" s="26" t="s">
        <v>521</v>
      </c>
      <c r="GF50" s="20">
        <v>0</v>
      </c>
      <c r="GG50" s="20">
        <v>0</v>
      </c>
      <c r="GH50" s="20">
        <v>4</v>
      </c>
      <c r="GI50" s="20">
        <v>4</v>
      </c>
      <c r="GJ50" s="20">
        <v>8</v>
      </c>
      <c r="GK50" s="20">
        <v>12</v>
      </c>
      <c r="GL50" s="20">
        <v>12</v>
      </c>
      <c r="GM50" s="20">
        <v>16</v>
      </c>
      <c r="GN50" s="20">
        <v>16</v>
      </c>
      <c r="GO50" s="20">
        <v>20</v>
      </c>
      <c r="GP50" s="20">
        <v>24</v>
      </c>
      <c r="GQ50" s="20">
        <v>24</v>
      </c>
      <c r="GR50" s="20">
        <v>28</v>
      </c>
      <c r="GS50" s="20">
        <v>28</v>
      </c>
      <c r="GT50" s="20">
        <v>32</v>
      </c>
      <c r="GU50" s="20">
        <v>36</v>
      </c>
      <c r="GV50" s="20">
        <v>36</v>
      </c>
      <c r="GW50" s="20">
        <v>40</v>
      </c>
      <c r="GX50" s="20">
        <v>44</v>
      </c>
      <c r="GY50" s="20">
        <v>44</v>
      </c>
      <c r="GZ50" s="20">
        <v>48</v>
      </c>
      <c r="HA50" s="20">
        <v>48</v>
      </c>
      <c r="HB50" s="20">
        <v>52</v>
      </c>
      <c r="HC50" s="20">
        <v>56</v>
      </c>
      <c r="HD50" s="20">
        <v>56</v>
      </c>
      <c r="HE50" s="20">
        <v>60</v>
      </c>
      <c r="HF50" s="20">
        <v>60</v>
      </c>
      <c r="HG50" s="20">
        <v>64</v>
      </c>
      <c r="HH50" s="20">
        <v>68</v>
      </c>
      <c r="HI50" s="20">
        <v>68</v>
      </c>
      <c r="HJ50" s="20">
        <v>72</v>
      </c>
      <c r="HK50" s="20">
        <v>72</v>
      </c>
      <c r="HL50" s="20">
        <v>76</v>
      </c>
      <c r="HM50" s="20">
        <v>80</v>
      </c>
      <c r="HN50" s="20">
        <v>80</v>
      </c>
      <c r="HO50" s="20">
        <v>84</v>
      </c>
      <c r="HP50" s="20">
        <v>88</v>
      </c>
      <c r="HQ50" s="20">
        <v>88</v>
      </c>
      <c r="HR50" s="20">
        <v>92</v>
      </c>
      <c r="HS50" s="20">
        <v>92</v>
      </c>
      <c r="HT50" s="20">
        <v>96</v>
      </c>
      <c r="HU50" s="20">
        <v>100</v>
      </c>
      <c r="HV50" s="20">
        <v>100</v>
      </c>
      <c r="HW50" s="20">
        <v>104</v>
      </c>
      <c r="HX50" s="20">
        <v>104</v>
      </c>
      <c r="HY50" s="20">
        <v>108</v>
      </c>
      <c r="HZ50" s="20">
        <v>112</v>
      </c>
      <c r="IA50" s="20">
        <v>112</v>
      </c>
      <c r="IB50" s="20">
        <v>116</v>
      </c>
      <c r="IC50" s="20">
        <v>120</v>
      </c>
      <c r="ID50" s="20">
        <v>120</v>
      </c>
      <c r="IF50" s="21" t="s">
        <v>521</v>
      </c>
      <c r="IG50" s="21">
        <v>0</v>
      </c>
      <c r="IH50" s="21">
        <v>0</v>
      </c>
      <c r="II50" s="21">
        <v>4</v>
      </c>
      <c r="IJ50" s="21">
        <v>8</v>
      </c>
      <c r="IK50" s="21">
        <v>12</v>
      </c>
      <c r="IL50" s="21">
        <v>12</v>
      </c>
      <c r="IM50" s="21">
        <v>16</v>
      </c>
      <c r="IN50" s="21">
        <v>20</v>
      </c>
      <c r="IO50" s="21">
        <v>24</v>
      </c>
      <c r="IP50" s="21">
        <v>24</v>
      </c>
      <c r="IQ50" s="21">
        <v>28</v>
      </c>
      <c r="IR50" s="21">
        <v>32</v>
      </c>
      <c r="IS50" s="21">
        <v>32</v>
      </c>
      <c r="IT50" s="21">
        <v>36</v>
      </c>
      <c r="IU50" s="21">
        <v>40</v>
      </c>
      <c r="IV50" s="21">
        <v>44</v>
      </c>
      <c r="IW50" s="21">
        <v>44</v>
      </c>
      <c r="IX50" s="21">
        <v>48</v>
      </c>
      <c r="IY50" s="21">
        <v>52</v>
      </c>
      <c r="IZ50" s="21">
        <v>56</v>
      </c>
      <c r="JA50" s="21">
        <v>56</v>
      </c>
      <c r="JB50" s="21">
        <v>60</v>
      </c>
      <c r="JC50" s="21">
        <v>64</v>
      </c>
      <c r="JD50" s="21">
        <v>68</v>
      </c>
      <c r="JE50" s="21">
        <v>68</v>
      </c>
      <c r="JF50" s="21">
        <v>72</v>
      </c>
      <c r="JI50" s="358" t="s">
        <v>160</v>
      </c>
      <c r="JJ50" s="358"/>
      <c r="JK50" s="358"/>
      <c r="JL50" s="358"/>
      <c r="JM50" s="358"/>
      <c r="JN50" s="358"/>
      <c r="JO50" s="358"/>
      <c r="JP50" s="27"/>
      <c r="JQ50" s="27"/>
      <c r="JS50" s="20" t="s">
        <v>19</v>
      </c>
      <c r="JT50" s="20">
        <v>0</v>
      </c>
      <c r="JU50" s="20">
        <v>0</v>
      </c>
      <c r="JV50" s="20">
        <v>0</v>
      </c>
      <c r="JW50" s="20">
        <v>0</v>
      </c>
      <c r="JX50" s="20">
        <v>0</v>
      </c>
      <c r="JY50" s="20">
        <v>0</v>
      </c>
      <c r="JZ50" s="20">
        <v>2</v>
      </c>
      <c r="KA50" s="20">
        <v>0</v>
      </c>
      <c r="KB50" s="20">
        <v>2</v>
      </c>
      <c r="KC50" s="20">
        <v>4</v>
      </c>
      <c r="KD50" s="20">
        <v>2</v>
      </c>
      <c r="KE50" s="20">
        <v>4</v>
      </c>
      <c r="KF50" s="20">
        <v>6</v>
      </c>
      <c r="KG50" s="20">
        <v>2</v>
      </c>
      <c r="KH50" s="20">
        <v>4</v>
      </c>
      <c r="KI50" s="20">
        <v>4</v>
      </c>
      <c r="KJ50" s="20">
        <v>0</v>
      </c>
      <c r="KK50" s="20">
        <v>6</v>
      </c>
      <c r="KL50" s="20">
        <v>8</v>
      </c>
      <c r="KM50" s="20">
        <v>0</v>
      </c>
      <c r="KN50" s="20">
        <v>8</v>
      </c>
      <c r="KO50" s="20">
        <v>0</v>
      </c>
      <c r="KP50" s="20">
        <v>2</v>
      </c>
      <c r="KQ50" s="20">
        <v>0</v>
      </c>
      <c r="KR50" s="20">
        <v>2</v>
      </c>
      <c r="KS50" s="20">
        <v>4</v>
      </c>
      <c r="KU50" s="20" t="s">
        <v>19</v>
      </c>
      <c r="KV50" s="20">
        <v>0</v>
      </c>
      <c r="KW50" s="20">
        <v>0</v>
      </c>
      <c r="KX50" s="20">
        <v>0</v>
      </c>
      <c r="KY50" s="20">
        <v>2</v>
      </c>
      <c r="KZ50" s="20">
        <v>0</v>
      </c>
      <c r="LA50" s="20">
        <v>2</v>
      </c>
      <c r="LB50" s="20">
        <v>0</v>
      </c>
      <c r="LC50" s="20">
        <v>2</v>
      </c>
      <c r="LD50" s="20">
        <v>0</v>
      </c>
      <c r="LE50" s="20">
        <v>4</v>
      </c>
      <c r="LF50" s="20">
        <v>0</v>
      </c>
      <c r="LG50" s="20">
        <v>4</v>
      </c>
      <c r="LH50" s="20">
        <v>2</v>
      </c>
      <c r="LI50" s="20">
        <v>4</v>
      </c>
      <c r="LJ50" s="20">
        <v>2</v>
      </c>
      <c r="LK50" s="20">
        <v>4</v>
      </c>
      <c r="LL50" s="20">
        <v>2</v>
      </c>
      <c r="LM50" s="20">
        <v>4</v>
      </c>
      <c r="LN50" s="20">
        <v>2</v>
      </c>
      <c r="LO50" s="20">
        <v>4</v>
      </c>
      <c r="LP50" s="20">
        <v>2</v>
      </c>
      <c r="LQ50" s="20">
        <v>4</v>
      </c>
      <c r="LR50" s="20">
        <v>4</v>
      </c>
      <c r="LS50" s="20">
        <v>4</v>
      </c>
      <c r="LT50" s="20">
        <v>2</v>
      </c>
      <c r="LU50" s="20">
        <v>4</v>
      </c>
      <c r="LW50" s="20" t="s">
        <v>19</v>
      </c>
      <c r="LX50" s="20">
        <v>0</v>
      </c>
      <c r="LY50" s="20">
        <v>0</v>
      </c>
      <c r="LZ50" s="20">
        <v>0</v>
      </c>
      <c r="MA50" s="20">
        <v>0</v>
      </c>
      <c r="MB50" s="20">
        <v>0</v>
      </c>
      <c r="MC50" s="20">
        <v>4</v>
      </c>
      <c r="MD50" s="20">
        <v>4</v>
      </c>
      <c r="ME50" s="20">
        <v>0</v>
      </c>
      <c r="MF50" s="20">
        <v>2</v>
      </c>
      <c r="MG50" s="20">
        <v>2</v>
      </c>
      <c r="MH50" s="20">
        <v>8</v>
      </c>
      <c r="MI50" s="20">
        <v>8</v>
      </c>
      <c r="MJ50" s="20">
        <v>6</v>
      </c>
      <c r="MK50" s="20">
        <v>6</v>
      </c>
      <c r="ML50" s="20">
        <v>2</v>
      </c>
      <c r="MM50" s="20">
        <v>2</v>
      </c>
      <c r="MN50" s="20">
        <v>0</v>
      </c>
      <c r="MO50" s="20">
        <v>0</v>
      </c>
      <c r="MP50" s="20">
        <v>0</v>
      </c>
      <c r="MQ50" s="20">
        <v>6</v>
      </c>
      <c r="MR50" s="20">
        <v>6</v>
      </c>
      <c r="MS50" s="20">
        <v>2</v>
      </c>
      <c r="MT50" s="20">
        <v>4</v>
      </c>
      <c r="MU50" s="20">
        <v>0</v>
      </c>
      <c r="MV50" s="20">
        <v>0</v>
      </c>
      <c r="MW50" s="20">
        <v>0</v>
      </c>
      <c r="MY50" s="21" t="s">
        <v>19</v>
      </c>
      <c r="MZ50" s="21">
        <v>0</v>
      </c>
      <c r="NA50" s="21">
        <v>0</v>
      </c>
      <c r="NB50" s="21">
        <v>0</v>
      </c>
      <c r="NC50" s="21">
        <v>2</v>
      </c>
      <c r="ND50" s="21">
        <v>2</v>
      </c>
      <c r="NE50" s="21">
        <v>0</v>
      </c>
      <c r="NF50" s="21">
        <v>0</v>
      </c>
      <c r="NG50" s="21">
        <v>4</v>
      </c>
      <c r="NH50" s="21">
        <v>2</v>
      </c>
      <c r="NI50" s="21">
        <v>8</v>
      </c>
      <c r="NJ50" s="21">
        <v>2</v>
      </c>
      <c r="NK50" s="21">
        <v>0</v>
      </c>
      <c r="NL50" s="21">
        <v>2</v>
      </c>
      <c r="NM50" s="21">
        <v>0</v>
      </c>
      <c r="NN50" s="21">
        <v>8</v>
      </c>
      <c r="NO50" s="21">
        <v>6</v>
      </c>
      <c r="NP50" s="20">
        <v>0</v>
      </c>
      <c r="NQ50" s="21">
        <v>6</v>
      </c>
      <c r="NR50" s="21">
        <v>4</v>
      </c>
      <c r="NS50" s="21">
        <v>0</v>
      </c>
      <c r="NT50" s="21">
        <v>4</v>
      </c>
      <c r="NU50" s="21">
        <v>2</v>
      </c>
      <c r="NV50" s="21">
        <v>2</v>
      </c>
      <c r="NW50" s="21">
        <v>2</v>
      </c>
      <c r="NX50" s="21">
        <v>0</v>
      </c>
      <c r="NY50" s="21">
        <v>6</v>
      </c>
    </row>
    <row r="51" spans="1:389" x14ac:dyDescent="0.25">
      <c r="A51" s="4"/>
      <c r="B51" s="6"/>
      <c r="C51" s="4"/>
      <c r="D51" s="4"/>
      <c r="E51" s="4"/>
      <c r="F51" s="4"/>
      <c r="G51" s="4"/>
      <c r="H51" s="4"/>
      <c r="I51" s="4"/>
      <c r="J51" s="4"/>
      <c r="K51" s="4"/>
      <c r="L51" s="4"/>
      <c r="M51" s="4"/>
      <c r="N51" s="4"/>
      <c r="O51" s="4"/>
      <c r="P51" s="4"/>
      <c r="Q51" s="4"/>
      <c r="R51" s="4"/>
      <c r="S51" s="4"/>
      <c r="T51" s="22">
        <f>SUM(T28:T50)</f>
        <v>1112.0200000000002</v>
      </c>
      <c r="U51" s="22">
        <f>SUM(U28:U50)</f>
        <v>23.457999999999998</v>
      </c>
      <c r="V51" s="20"/>
      <c r="W51" s="20"/>
      <c r="X51" s="25">
        <f t="shared" si="52"/>
        <v>0</v>
      </c>
      <c r="Y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57,$BB$2:$CA$2,0),MATCH($W$46,$AH$22:$AH$47,0)))*C57</f>
        <v>0</v>
      </c>
      <c r="Z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57,$BB$2:$CA$2,0),MATCH($W$46,$AH$22:$AH$47,0)))*C57</f>
        <v>0</v>
      </c>
      <c r="AA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57,$BB$2:$CA$2,0),MATCH($W$46,$AH$22:$AH$47,0)))*C57</f>
        <v>0</v>
      </c>
      <c r="AB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57,$BB$2:$CA$2,0),MATCH($W$46,$AH$22:$AH$47,0)))*C57</f>
        <v>0</v>
      </c>
      <c r="AC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57,$BB$2:$CA$2,0),MATCH($W$46,$AH$22:$AH$47,0)))*C57</f>
        <v>0</v>
      </c>
      <c r="AD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57,$BB$2:$CA$2,0),MATCH($W$46,$AH$22:$AH$47,0)))*C57</f>
        <v>0</v>
      </c>
      <c r="AE51" s="20"/>
      <c r="AF51" s="20"/>
      <c r="AG51" s="20"/>
      <c r="AH51" s="20"/>
      <c r="AI51" s="20"/>
      <c r="AJ51" s="20"/>
      <c r="AK51" s="20"/>
      <c r="AL51" s="20">
        <f t="shared" si="53"/>
        <v>0</v>
      </c>
      <c r="AM51" s="20">
        <v>50</v>
      </c>
      <c r="AN51" s="20" t="s">
        <v>36</v>
      </c>
      <c r="AO51" s="20" t="s">
        <v>37</v>
      </c>
      <c r="AP51" s="20" t="s">
        <v>150</v>
      </c>
      <c r="AQ51" s="20" t="s">
        <v>14</v>
      </c>
      <c r="AS51" s="20">
        <v>50</v>
      </c>
      <c r="AT51" s="20" t="s">
        <v>48</v>
      </c>
      <c r="AU51" s="20"/>
      <c r="AV51" s="20" t="s">
        <v>151</v>
      </c>
      <c r="AW51" s="20" t="s">
        <v>151</v>
      </c>
      <c r="AX51" s="20"/>
      <c r="AY51" s="20"/>
      <c r="AZ51" s="20"/>
      <c r="BA51" s="26" t="s">
        <v>710</v>
      </c>
      <c r="BB51" s="20">
        <v>0</v>
      </c>
      <c r="BC51" s="20">
        <v>2</v>
      </c>
      <c r="BD51" s="20">
        <v>0</v>
      </c>
      <c r="BE51" s="20">
        <v>4</v>
      </c>
      <c r="BF51" s="20">
        <v>2</v>
      </c>
      <c r="BG51" s="20">
        <v>0</v>
      </c>
      <c r="BH51" s="20">
        <v>4</v>
      </c>
      <c r="BI51" s="20">
        <v>2</v>
      </c>
      <c r="BJ51" s="20">
        <v>0</v>
      </c>
      <c r="BK51" s="20">
        <v>4</v>
      </c>
      <c r="BL51" s="20">
        <v>2</v>
      </c>
      <c r="BM51" s="20">
        <v>0</v>
      </c>
      <c r="BN51" s="20">
        <v>4</v>
      </c>
      <c r="BO51" s="20">
        <v>2</v>
      </c>
      <c r="BP51" s="20">
        <v>0</v>
      </c>
      <c r="BQ51" s="20">
        <v>4</v>
      </c>
      <c r="BR51" s="20">
        <v>2</v>
      </c>
      <c r="BS51" s="20">
        <v>0</v>
      </c>
      <c r="BT51" s="20">
        <v>4</v>
      </c>
      <c r="BU51" s="20">
        <v>2</v>
      </c>
      <c r="BV51" s="20">
        <v>0</v>
      </c>
      <c r="BW51" s="20">
        <v>4</v>
      </c>
      <c r="BX51" s="20">
        <v>2</v>
      </c>
      <c r="BY51" s="20">
        <v>0</v>
      </c>
      <c r="BZ51" s="20">
        <v>4</v>
      </c>
      <c r="CA51" s="20">
        <v>2</v>
      </c>
      <c r="CB51" s="20"/>
      <c r="CC51" s="20"/>
      <c r="CD51" s="20"/>
      <c r="CE51" s="20"/>
      <c r="CF51" s="20"/>
      <c r="CG51" s="20"/>
      <c r="CH51" s="20"/>
      <c r="CI51" s="20"/>
      <c r="CJ51" s="20"/>
      <c r="CK51" s="20"/>
      <c r="CL51" s="20"/>
      <c r="CM51" s="20"/>
      <c r="CN51" s="20"/>
      <c r="CO51" s="20"/>
      <c r="CP51" s="20"/>
      <c r="CQ51" s="20"/>
      <c r="CR51" s="20"/>
      <c r="CS51" s="20"/>
      <c r="CT51" s="20"/>
      <c r="CU51" s="20"/>
      <c r="CV51" s="20"/>
      <c r="CW51" s="20"/>
      <c r="CX51" s="20"/>
      <c r="CY51" s="20"/>
      <c r="CZ51" s="20"/>
      <c r="DA51" s="54"/>
      <c r="DB51" s="54">
        <v>50</v>
      </c>
      <c r="DC51" s="54"/>
      <c r="DD51" s="20" t="s">
        <v>521</v>
      </c>
      <c r="DE51" s="20">
        <v>0</v>
      </c>
      <c r="DF51" s="20">
        <v>0</v>
      </c>
      <c r="DG51" s="20">
        <v>4</v>
      </c>
      <c r="DH51" s="20">
        <v>4</v>
      </c>
      <c r="DI51" s="20">
        <v>8</v>
      </c>
      <c r="DJ51" s="20">
        <v>8</v>
      </c>
      <c r="DK51" s="20">
        <v>12</v>
      </c>
      <c r="DL51" s="20">
        <v>12</v>
      </c>
      <c r="DM51" s="20">
        <v>16</v>
      </c>
      <c r="DN51" s="20">
        <v>16</v>
      </c>
      <c r="DO51" s="20">
        <v>20</v>
      </c>
      <c r="DP51" s="20">
        <v>20</v>
      </c>
      <c r="DQ51" s="20">
        <v>24</v>
      </c>
      <c r="DR51" s="20">
        <v>24</v>
      </c>
      <c r="DS51" s="20">
        <v>28</v>
      </c>
      <c r="DT51" s="20">
        <v>28</v>
      </c>
      <c r="DU51" s="20">
        <v>32</v>
      </c>
      <c r="DV51" s="20">
        <v>32</v>
      </c>
      <c r="DW51" s="20">
        <v>36</v>
      </c>
      <c r="DX51" s="20">
        <v>36</v>
      </c>
      <c r="DY51" s="20">
        <v>40</v>
      </c>
      <c r="DZ51" s="20"/>
      <c r="EA51" s="20"/>
      <c r="EB51" s="26" t="s">
        <v>710</v>
      </c>
      <c r="EC51" s="20">
        <v>0</v>
      </c>
      <c r="ED51" s="20">
        <v>0</v>
      </c>
      <c r="EE51" s="20">
        <v>2</v>
      </c>
      <c r="EF51" s="20">
        <v>4</v>
      </c>
      <c r="EG51" s="20">
        <v>2</v>
      </c>
      <c r="EH51" s="20">
        <v>4</v>
      </c>
      <c r="EI51" s="20">
        <v>0</v>
      </c>
      <c r="EJ51" s="20">
        <v>4</v>
      </c>
      <c r="EK51" s="20">
        <v>0</v>
      </c>
      <c r="EL51" s="20">
        <v>4</v>
      </c>
      <c r="EM51" s="20">
        <v>0</v>
      </c>
      <c r="EN51" s="20">
        <v>2</v>
      </c>
      <c r="EO51" s="20">
        <v>0</v>
      </c>
      <c r="EP51" s="20">
        <v>2</v>
      </c>
      <c r="EQ51" s="20">
        <v>0</v>
      </c>
      <c r="ER51" s="20">
        <v>2</v>
      </c>
      <c r="ES51" s="20">
        <v>4</v>
      </c>
      <c r="ET51" s="20">
        <v>2</v>
      </c>
      <c r="EU51" s="20">
        <v>4</v>
      </c>
      <c r="EV51" s="20">
        <v>0</v>
      </c>
      <c r="EW51" s="20">
        <v>4</v>
      </c>
      <c r="EX51" s="20">
        <v>0</v>
      </c>
      <c r="EY51" s="20">
        <v>4</v>
      </c>
      <c r="EZ51" s="20">
        <v>0</v>
      </c>
      <c r="FA51" s="20">
        <v>2</v>
      </c>
      <c r="FB51" s="20">
        <v>0</v>
      </c>
      <c r="FC51" s="20">
        <v>2</v>
      </c>
      <c r="FD51" s="20"/>
      <c r="FE51" s="20"/>
      <c r="FF51" s="20"/>
      <c r="FG51" s="20"/>
      <c r="FH51" s="20"/>
      <c r="FI51" s="20"/>
      <c r="FJ51" s="20"/>
      <c r="FK51" s="20"/>
      <c r="FL51" s="20"/>
      <c r="FM51" s="20"/>
      <c r="FN51" s="20"/>
      <c r="FO51" s="20"/>
      <c r="FP51" s="20"/>
      <c r="FQ51" s="20"/>
      <c r="FR51" s="20"/>
      <c r="FS51" s="20"/>
      <c r="FT51" s="20"/>
      <c r="FU51" s="20"/>
      <c r="FV51" s="20"/>
      <c r="FW51" s="20"/>
      <c r="FX51" s="20"/>
      <c r="FY51" s="20"/>
      <c r="FZ51" s="20"/>
      <c r="GA51" s="20"/>
      <c r="GC51" s="20"/>
      <c r="GD51" s="20"/>
      <c r="GE51" s="26" t="s">
        <v>710</v>
      </c>
      <c r="GF51" s="20">
        <v>0</v>
      </c>
      <c r="GG51" s="20">
        <v>2</v>
      </c>
      <c r="GH51" s="20">
        <v>4</v>
      </c>
      <c r="GI51" s="20">
        <v>0</v>
      </c>
      <c r="GJ51" s="20">
        <v>2</v>
      </c>
      <c r="GK51" s="20">
        <v>4</v>
      </c>
      <c r="GL51" s="20">
        <v>0</v>
      </c>
      <c r="GM51" s="20">
        <v>4</v>
      </c>
      <c r="GN51" s="20">
        <v>0</v>
      </c>
      <c r="GO51" s="20">
        <v>2</v>
      </c>
      <c r="GP51" s="20">
        <v>4</v>
      </c>
      <c r="GQ51" s="20">
        <v>0</v>
      </c>
      <c r="GR51" s="20">
        <v>2</v>
      </c>
      <c r="GS51" s="20">
        <v>0</v>
      </c>
      <c r="GT51" s="20">
        <v>2</v>
      </c>
      <c r="GU51" s="20">
        <v>4</v>
      </c>
      <c r="GV51" s="20">
        <v>0</v>
      </c>
      <c r="GW51" s="20">
        <v>2</v>
      </c>
      <c r="GX51" s="20">
        <v>4</v>
      </c>
      <c r="GY51" s="20">
        <v>2</v>
      </c>
      <c r="GZ51" s="20">
        <v>4</v>
      </c>
      <c r="HA51" s="20">
        <v>0</v>
      </c>
      <c r="HB51" s="20">
        <v>2</v>
      </c>
      <c r="HC51" s="20">
        <v>4</v>
      </c>
      <c r="HD51" s="20">
        <v>0</v>
      </c>
      <c r="HE51" s="20">
        <v>4</v>
      </c>
      <c r="HF51" s="20"/>
      <c r="HG51" s="20"/>
      <c r="HH51" s="20"/>
      <c r="HI51" s="20"/>
      <c r="HJ51" s="20"/>
      <c r="HK51" s="20"/>
      <c r="HL51" s="20"/>
      <c r="HM51" s="20"/>
      <c r="HN51" s="20"/>
      <c r="HO51" s="20"/>
      <c r="HP51" s="20"/>
      <c r="HQ51" s="20"/>
      <c r="HR51" s="20"/>
      <c r="HS51" s="20"/>
      <c r="HT51" s="20"/>
      <c r="HU51" s="20"/>
      <c r="HV51" s="20"/>
      <c r="HW51" s="20"/>
      <c r="HX51" s="20"/>
      <c r="HY51" s="20"/>
      <c r="HZ51" s="20"/>
      <c r="IA51" s="20"/>
      <c r="IB51" s="20"/>
      <c r="IC51" s="20"/>
      <c r="ID51" s="20"/>
      <c r="IF51" s="21" t="s">
        <v>710</v>
      </c>
      <c r="IG51" s="21">
        <v>0</v>
      </c>
      <c r="IH51" s="21">
        <v>0</v>
      </c>
      <c r="II51" s="21">
        <v>2</v>
      </c>
      <c r="IJ51" s="21">
        <v>4</v>
      </c>
      <c r="IK51" s="21">
        <v>4</v>
      </c>
      <c r="IL51" s="21">
        <v>0</v>
      </c>
      <c r="IM51" s="21">
        <v>2</v>
      </c>
      <c r="IN51" s="21">
        <v>4</v>
      </c>
      <c r="IO51" s="21">
        <v>4</v>
      </c>
      <c r="IP51" s="21">
        <v>0</v>
      </c>
      <c r="IQ51" s="21">
        <v>2</v>
      </c>
      <c r="IR51" s="21">
        <v>4</v>
      </c>
      <c r="IS51" s="21">
        <v>0</v>
      </c>
      <c r="IT51" s="21">
        <v>0</v>
      </c>
      <c r="IU51" s="21">
        <v>2</v>
      </c>
      <c r="IV51" s="21">
        <v>4</v>
      </c>
      <c r="IW51" s="21">
        <v>0</v>
      </c>
      <c r="IX51" s="21">
        <v>0</v>
      </c>
      <c r="IY51" s="21">
        <v>2</v>
      </c>
      <c r="IZ51" s="21">
        <v>4</v>
      </c>
      <c r="JA51" s="21">
        <v>0</v>
      </c>
      <c r="JB51" s="21">
        <v>0</v>
      </c>
      <c r="JC51" s="21">
        <v>2</v>
      </c>
      <c r="JD51" s="21">
        <v>4</v>
      </c>
      <c r="JE51" s="21">
        <v>0</v>
      </c>
      <c r="JF51" s="21">
        <v>0</v>
      </c>
      <c r="JI51" s="26" t="s">
        <v>161</v>
      </c>
      <c r="JJ51" s="27">
        <v>1.1499999999999999</v>
      </c>
      <c r="JK51" s="27">
        <v>2.1</v>
      </c>
      <c r="JL51" s="27">
        <v>2.2000000000000002</v>
      </c>
      <c r="JM51" s="27">
        <v>2.4</v>
      </c>
      <c r="JN51" s="27">
        <v>3.15</v>
      </c>
      <c r="JO51" s="27">
        <v>3.3</v>
      </c>
      <c r="JP51" s="27">
        <v>3.6</v>
      </c>
      <c r="JQ51" s="27">
        <v>4.4000000000000004</v>
      </c>
      <c r="JS51" s="20" t="s">
        <v>1298</v>
      </c>
      <c r="JT51" s="20">
        <v>0</v>
      </c>
      <c r="JU51" s="20">
        <v>0</v>
      </c>
      <c r="JV51" s="20">
        <v>0</v>
      </c>
      <c r="JW51" s="20">
        <v>2</v>
      </c>
      <c r="JX51" s="20">
        <v>0</v>
      </c>
      <c r="JY51" s="20">
        <v>2</v>
      </c>
      <c r="JZ51" s="20">
        <v>2</v>
      </c>
      <c r="KA51" s="20">
        <v>2</v>
      </c>
      <c r="KB51" s="20">
        <v>2</v>
      </c>
      <c r="KC51" s="20">
        <v>2</v>
      </c>
      <c r="KD51" s="20">
        <v>2</v>
      </c>
      <c r="KE51" s="20">
        <v>2</v>
      </c>
      <c r="KF51" s="20">
        <v>2</v>
      </c>
      <c r="KG51" s="20">
        <v>4</v>
      </c>
      <c r="KH51" s="20">
        <v>4</v>
      </c>
      <c r="KI51" s="20">
        <v>4</v>
      </c>
      <c r="KJ51" s="20">
        <v>10</v>
      </c>
      <c r="KK51" s="20">
        <v>4</v>
      </c>
      <c r="KL51" s="20">
        <v>4</v>
      </c>
      <c r="KM51" s="20">
        <v>12</v>
      </c>
      <c r="KN51" s="20">
        <v>4</v>
      </c>
      <c r="KO51" s="20">
        <v>12</v>
      </c>
      <c r="KP51" s="20">
        <v>12</v>
      </c>
      <c r="KQ51" s="20">
        <v>12</v>
      </c>
      <c r="KR51" s="20">
        <v>12</v>
      </c>
      <c r="KS51" s="20">
        <v>12</v>
      </c>
      <c r="KU51" s="20" t="s">
        <v>1298</v>
      </c>
      <c r="KV51" s="20">
        <v>0</v>
      </c>
      <c r="KW51" s="20">
        <v>0</v>
      </c>
      <c r="KX51" s="20">
        <v>2</v>
      </c>
      <c r="KY51" s="20">
        <v>0</v>
      </c>
      <c r="KZ51" s="20">
        <v>4</v>
      </c>
      <c r="LA51" s="20">
        <v>2</v>
      </c>
      <c r="LB51" s="20">
        <v>6</v>
      </c>
      <c r="LC51" s="20">
        <v>2</v>
      </c>
      <c r="LD51" s="20">
        <v>8</v>
      </c>
      <c r="LE51" s="20">
        <v>4</v>
      </c>
      <c r="LF51" s="20">
        <v>10</v>
      </c>
      <c r="LG51" s="20">
        <v>6</v>
      </c>
      <c r="LH51" s="20">
        <v>10</v>
      </c>
      <c r="LI51" s="20">
        <v>8</v>
      </c>
      <c r="LJ51" s="20">
        <v>12</v>
      </c>
      <c r="LK51" s="20">
        <v>10</v>
      </c>
      <c r="LL51" s="20">
        <v>14</v>
      </c>
      <c r="LM51" s="20">
        <v>10</v>
      </c>
      <c r="LN51" s="20">
        <v>16</v>
      </c>
      <c r="LO51" s="20">
        <v>14</v>
      </c>
      <c r="LP51" s="20">
        <v>18</v>
      </c>
      <c r="LQ51" s="20">
        <v>16</v>
      </c>
      <c r="LR51" s="20">
        <v>18</v>
      </c>
      <c r="LS51" s="20">
        <v>18</v>
      </c>
      <c r="LT51" s="20">
        <v>22</v>
      </c>
      <c r="LU51" s="20">
        <v>20</v>
      </c>
      <c r="LW51" s="20" t="s">
        <v>1298</v>
      </c>
      <c r="LX51" s="20">
        <v>0</v>
      </c>
      <c r="LY51" s="20">
        <v>0</v>
      </c>
      <c r="LZ51" s="20">
        <v>0</v>
      </c>
      <c r="MA51" s="20">
        <v>0</v>
      </c>
      <c r="MB51" s="20">
        <v>2</v>
      </c>
      <c r="MC51" s="20">
        <v>2</v>
      </c>
      <c r="MD51" s="20">
        <v>2</v>
      </c>
      <c r="ME51" s="20">
        <v>8</v>
      </c>
      <c r="MF51" s="20">
        <v>6</v>
      </c>
      <c r="MG51" s="20">
        <v>6</v>
      </c>
      <c r="MH51" s="20">
        <v>4</v>
      </c>
      <c r="MI51" s="20">
        <v>4</v>
      </c>
      <c r="MJ51" s="20">
        <v>8</v>
      </c>
      <c r="MK51" s="20">
        <v>8</v>
      </c>
      <c r="ML51" s="20">
        <v>14</v>
      </c>
      <c r="MM51" s="20">
        <v>14</v>
      </c>
      <c r="MN51" s="20">
        <v>18</v>
      </c>
      <c r="MO51" s="20">
        <v>18</v>
      </c>
      <c r="MP51" s="20">
        <v>18</v>
      </c>
      <c r="MQ51" s="20">
        <v>16</v>
      </c>
      <c r="MR51" s="20">
        <v>16</v>
      </c>
      <c r="MS51" s="20">
        <v>22</v>
      </c>
      <c r="MT51" s="20">
        <v>20</v>
      </c>
      <c r="MU51" s="20">
        <v>26</v>
      </c>
      <c r="MV51" s="20">
        <v>26</v>
      </c>
      <c r="MW51" s="20">
        <v>26</v>
      </c>
      <c r="MY51" s="20" t="s">
        <v>1298</v>
      </c>
      <c r="MZ51" s="21">
        <v>0</v>
      </c>
      <c r="NA51" s="21">
        <v>0</v>
      </c>
      <c r="NB51" s="21">
        <v>0</v>
      </c>
      <c r="NC51" s="21">
        <v>0</v>
      </c>
      <c r="ND51" s="21">
        <v>2</v>
      </c>
      <c r="NE51" s="21">
        <v>4</v>
      </c>
      <c r="NF51" s="21">
        <v>6</v>
      </c>
      <c r="NG51" s="21">
        <v>6</v>
      </c>
      <c r="NH51" s="21">
        <v>8</v>
      </c>
      <c r="NI51" s="21">
        <v>4</v>
      </c>
      <c r="NJ51" s="21">
        <v>12</v>
      </c>
      <c r="NK51" s="21">
        <v>14</v>
      </c>
      <c r="NL51" s="21">
        <v>12</v>
      </c>
      <c r="NM51" s="21">
        <v>18</v>
      </c>
      <c r="NN51" s="21">
        <v>12</v>
      </c>
      <c r="NO51" s="21">
        <v>14</v>
      </c>
      <c r="NP51" s="20">
        <v>22</v>
      </c>
      <c r="NQ51" s="21">
        <v>18</v>
      </c>
      <c r="NR51" s="21">
        <v>20</v>
      </c>
      <c r="NS51" s="21">
        <v>24</v>
      </c>
      <c r="NT51" s="21">
        <v>24</v>
      </c>
      <c r="NU51" s="21">
        <v>26</v>
      </c>
      <c r="NV51" s="21">
        <v>26</v>
      </c>
      <c r="NW51" s="21">
        <v>30</v>
      </c>
      <c r="NX51" s="21">
        <v>32</v>
      </c>
      <c r="NY51" s="21">
        <v>28</v>
      </c>
    </row>
    <row r="52" spans="1:389" ht="51.75" x14ac:dyDescent="0.25">
      <c r="A52" s="3" t="s">
        <v>120</v>
      </c>
      <c r="B52" s="6"/>
      <c r="C52" s="3" t="s">
        <v>121</v>
      </c>
      <c r="D52" s="4"/>
      <c r="E52" s="4"/>
      <c r="F52" s="4"/>
      <c r="G52" s="4"/>
      <c r="H52" s="4"/>
      <c r="I52" s="4"/>
      <c r="J52" s="4"/>
      <c r="K52" s="4"/>
      <c r="L52" s="360" t="str">
        <f>IF(E56="wertykalny","KONSTRUKCJA DS-V3N",IF(E56="horyzontalny","KONSTRUKCJA DS-H3N"))</f>
        <v>KONSTRUKCJA DS-V3N</v>
      </c>
      <c r="M52" s="360"/>
      <c r="N52" s="360"/>
      <c r="O52" s="360"/>
      <c r="P52" s="360"/>
      <c r="Q52" s="360"/>
      <c r="R52" s="360"/>
      <c r="S52" s="360"/>
      <c r="T52" s="360"/>
      <c r="U52" s="360"/>
      <c r="V52" s="20"/>
      <c r="W52" s="20"/>
      <c r="X52" s="25">
        <f t="shared" si="52"/>
        <v>0</v>
      </c>
      <c r="Y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58,$BB$2:$CA$2,0),MATCH($W$46,$AH$22:$AH$47,0)))*C58</f>
        <v>0</v>
      </c>
      <c r="Z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58,$BB$2:$CA$2,0),MATCH($W$46,$AH$22:$AH$47,0)))*C58</f>
        <v>0</v>
      </c>
      <c r="AA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58,$BB$2:$CA$2,0),MATCH($W$46,$AH$22:$AH$47,0)))*C58</f>
        <v>0</v>
      </c>
      <c r="AB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58,$BB$2:$CA$2,0),MATCH($W$46,$AH$22:$AH$47,0)))*C58</f>
        <v>0</v>
      </c>
      <c r="AC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58,$BB$2:$CA$2,0),MATCH($W$46,$AH$22:$AH$47,0)))*C58</f>
        <v>0</v>
      </c>
      <c r="AD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58,$BB$2:$CA$2,0),MATCH($W$46,$AH$22:$AH$47,0)))*C58</f>
        <v>0</v>
      </c>
      <c r="AE52" s="20"/>
      <c r="AF52" s="20"/>
      <c r="AG52" s="20"/>
      <c r="AH52" s="20" t="s">
        <v>130</v>
      </c>
      <c r="AI52" s="20" t="s">
        <v>140</v>
      </c>
      <c r="AJ52" s="20"/>
      <c r="AK52" s="20"/>
      <c r="AL52" s="20">
        <f t="shared" si="53"/>
        <v>0</v>
      </c>
      <c r="AM52" s="20"/>
      <c r="AN52" s="20" t="s">
        <v>13</v>
      </c>
      <c r="AO52" s="20" t="s">
        <v>77</v>
      </c>
      <c r="AP52" s="20"/>
      <c r="AQ52" s="20"/>
      <c r="AS52" s="20"/>
      <c r="AT52" s="20" t="s">
        <v>6</v>
      </c>
      <c r="AU52" s="20" t="s">
        <v>78</v>
      </c>
      <c r="AV52" s="20"/>
      <c r="AW52" s="20"/>
      <c r="AX52" s="20"/>
      <c r="AY52" s="20"/>
      <c r="AZ52" s="20"/>
      <c r="BA52" s="26" t="s">
        <v>711</v>
      </c>
      <c r="BB52" s="20">
        <v>0</v>
      </c>
      <c r="BC52" s="20">
        <v>0</v>
      </c>
      <c r="BD52" s="20">
        <v>2</v>
      </c>
      <c r="BE52" s="20">
        <v>0</v>
      </c>
      <c r="BF52" s="20">
        <v>2</v>
      </c>
      <c r="BG52" s="20">
        <v>4</v>
      </c>
      <c r="BH52" s="20">
        <v>2</v>
      </c>
      <c r="BI52" s="20">
        <v>4</v>
      </c>
      <c r="BJ52" s="20">
        <v>6</v>
      </c>
      <c r="BK52" s="20">
        <v>4</v>
      </c>
      <c r="BL52" s="20">
        <v>6</v>
      </c>
      <c r="BM52" s="20">
        <v>8</v>
      </c>
      <c r="BN52" s="20">
        <v>6</v>
      </c>
      <c r="BO52" s="20">
        <v>8</v>
      </c>
      <c r="BP52" s="20">
        <v>10</v>
      </c>
      <c r="BQ52" s="20">
        <v>8</v>
      </c>
      <c r="BR52" s="20">
        <v>10</v>
      </c>
      <c r="BS52" s="20">
        <v>12</v>
      </c>
      <c r="BT52" s="20">
        <v>10</v>
      </c>
      <c r="BU52" s="20">
        <v>12</v>
      </c>
      <c r="BV52" s="20">
        <v>14</v>
      </c>
      <c r="BW52" s="20">
        <v>12</v>
      </c>
      <c r="BX52" s="20">
        <v>14</v>
      </c>
      <c r="BY52" s="20">
        <v>16</v>
      </c>
      <c r="BZ52" s="20">
        <v>14</v>
      </c>
      <c r="CA52" s="20">
        <v>16</v>
      </c>
      <c r="CB52" s="20"/>
      <c r="CC52" s="20"/>
      <c r="CD52" s="20"/>
      <c r="CE52" s="20"/>
      <c r="CF52" s="20"/>
      <c r="CG52" s="20"/>
      <c r="CH52" s="20"/>
      <c r="CI52" s="20"/>
      <c r="CJ52" s="20"/>
      <c r="CK52" s="20"/>
      <c r="CL52" s="20"/>
      <c r="CM52" s="20"/>
      <c r="CN52" s="20"/>
      <c r="CO52" s="20"/>
      <c r="CP52" s="20"/>
      <c r="CQ52" s="20"/>
      <c r="CR52" s="20"/>
      <c r="CS52" s="20"/>
      <c r="CT52" s="20"/>
      <c r="CU52" s="20"/>
      <c r="CV52" s="20"/>
      <c r="CW52" s="20"/>
      <c r="CX52" s="20"/>
      <c r="CY52" s="20"/>
      <c r="CZ52" s="20"/>
      <c r="DA52" s="54"/>
      <c r="DB52" s="54"/>
      <c r="DC52" s="54"/>
      <c r="DD52" s="26" t="s">
        <v>710</v>
      </c>
      <c r="DE52" s="20">
        <v>0</v>
      </c>
      <c r="DF52" s="20"/>
      <c r="DG52" s="20"/>
      <c r="DH52" s="20"/>
      <c r="DI52" s="20"/>
      <c r="DJ52" s="20"/>
      <c r="DK52" s="20"/>
      <c r="DL52" s="20"/>
      <c r="DM52" s="20"/>
      <c r="DN52" s="20"/>
      <c r="DO52" s="20"/>
      <c r="DP52" s="20"/>
      <c r="DQ52" s="20"/>
      <c r="DR52" s="20"/>
      <c r="DS52" s="20"/>
      <c r="DT52" s="20"/>
      <c r="DU52" s="20"/>
      <c r="DV52" s="20"/>
      <c r="DW52" s="20"/>
      <c r="DX52" s="20"/>
      <c r="DY52" s="20"/>
      <c r="DZ52" s="20"/>
      <c r="EA52" s="20"/>
      <c r="EB52" s="26" t="s">
        <v>711</v>
      </c>
      <c r="EC52" s="20">
        <v>0</v>
      </c>
      <c r="ED52" s="20">
        <v>0</v>
      </c>
      <c r="EE52" s="20">
        <v>0</v>
      </c>
      <c r="EF52" s="20">
        <v>0</v>
      </c>
      <c r="EG52" s="20">
        <v>2</v>
      </c>
      <c r="EH52" s="20">
        <v>2</v>
      </c>
      <c r="EI52" s="20">
        <v>6</v>
      </c>
      <c r="EJ52" s="20">
        <v>4</v>
      </c>
      <c r="EK52" s="20">
        <v>8</v>
      </c>
      <c r="EL52" s="20">
        <v>6</v>
      </c>
      <c r="EM52" s="20">
        <v>10</v>
      </c>
      <c r="EN52" s="20">
        <v>10</v>
      </c>
      <c r="EO52" s="20">
        <v>12</v>
      </c>
      <c r="EP52" s="20">
        <v>12</v>
      </c>
      <c r="EQ52" s="20">
        <v>14</v>
      </c>
      <c r="ER52" s="20">
        <v>14</v>
      </c>
      <c r="ES52" s="20">
        <v>14</v>
      </c>
      <c r="ET52" s="20">
        <v>16</v>
      </c>
      <c r="EU52" s="20">
        <v>16</v>
      </c>
      <c r="EV52" s="20">
        <v>20</v>
      </c>
      <c r="EW52" s="20">
        <v>18</v>
      </c>
      <c r="EX52" s="20">
        <v>22</v>
      </c>
      <c r="EY52" s="20">
        <v>20</v>
      </c>
      <c r="EZ52" s="20">
        <v>24</v>
      </c>
      <c r="FA52" s="20">
        <v>24</v>
      </c>
      <c r="FB52" s="20">
        <v>26</v>
      </c>
      <c r="FC52" s="20">
        <v>26</v>
      </c>
      <c r="FD52" s="20"/>
      <c r="FE52" s="20"/>
      <c r="FF52" s="20"/>
      <c r="FG52" s="20"/>
      <c r="FH52" s="20"/>
      <c r="FI52" s="20"/>
      <c r="FJ52" s="20"/>
      <c r="FK52" s="20"/>
      <c r="FL52" s="20"/>
      <c r="FM52" s="20"/>
      <c r="FN52" s="20"/>
      <c r="FO52" s="20"/>
      <c r="FP52" s="20"/>
      <c r="FQ52" s="20"/>
      <c r="FR52" s="20"/>
      <c r="FS52" s="20"/>
      <c r="FT52" s="20"/>
      <c r="FU52" s="20"/>
      <c r="FV52" s="20"/>
      <c r="FW52" s="20"/>
      <c r="FX52" s="20"/>
      <c r="FY52" s="20"/>
      <c r="FZ52" s="20"/>
      <c r="GA52" s="20"/>
      <c r="GC52" s="20"/>
      <c r="GD52" s="20"/>
      <c r="GE52" s="26" t="s">
        <v>711</v>
      </c>
      <c r="GF52" s="20">
        <v>0</v>
      </c>
      <c r="GG52" s="20">
        <v>0</v>
      </c>
      <c r="GH52" s="20">
        <v>0</v>
      </c>
      <c r="GI52" s="20">
        <v>4</v>
      </c>
      <c r="GJ52" s="20">
        <v>4</v>
      </c>
      <c r="GK52" s="20">
        <v>4</v>
      </c>
      <c r="GL52" s="20">
        <v>8</v>
      </c>
      <c r="GM52" s="20">
        <v>6</v>
      </c>
      <c r="GN52" s="20">
        <v>10</v>
      </c>
      <c r="GO52" s="20">
        <v>10</v>
      </c>
      <c r="GP52" s="20">
        <v>10</v>
      </c>
      <c r="GQ52" s="20">
        <v>14</v>
      </c>
      <c r="GR52" s="20">
        <v>14</v>
      </c>
      <c r="GS52" s="20">
        <v>16</v>
      </c>
      <c r="GT52" s="20">
        <v>16</v>
      </c>
      <c r="GU52" s="20">
        <v>16</v>
      </c>
      <c r="GV52" s="20">
        <v>20</v>
      </c>
      <c r="GW52" s="20">
        <v>20</v>
      </c>
      <c r="GX52" s="20">
        <v>20</v>
      </c>
      <c r="GY52" s="20">
        <v>22</v>
      </c>
      <c r="GZ52" s="20">
        <v>22</v>
      </c>
      <c r="HA52" s="20">
        <v>26</v>
      </c>
      <c r="HB52" s="20">
        <v>26</v>
      </c>
      <c r="HC52" s="20">
        <v>26</v>
      </c>
      <c r="HD52" s="20">
        <v>30</v>
      </c>
      <c r="HE52" s="20">
        <v>28</v>
      </c>
      <c r="HF52" s="20"/>
      <c r="HG52" s="20"/>
      <c r="HH52" s="20"/>
      <c r="HI52" s="20"/>
      <c r="HJ52" s="20"/>
      <c r="HK52" s="20"/>
      <c r="HL52" s="20"/>
      <c r="HM52" s="20"/>
      <c r="HN52" s="20"/>
      <c r="HO52" s="20"/>
      <c r="HP52" s="20"/>
      <c r="HQ52" s="20"/>
      <c r="HR52" s="20"/>
      <c r="HS52" s="20"/>
      <c r="HT52" s="20"/>
      <c r="HU52" s="20"/>
      <c r="HV52" s="20"/>
      <c r="HW52" s="20"/>
      <c r="HX52" s="20"/>
      <c r="HY52" s="20"/>
      <c r="HZ52" s="20"/>
      <c r="IA52" s="20"/>
      <c r="IB52" s="20"/>
      <c r="IC52" s="20"/>
      <c r="ID52" s="20"/>
      <c r="IF52" s="21" t="s">
        <v>711</v>
      </c>
      <c r="IG52" s="21">
        <v>0</v>
      </c>
      <c r="IH52" s="21">
        <v>2</v>
      </c>
      <c r="II52" s="21">
        <v>2</v>
      </c>
      <c r="IJ52" s="21">
        <v>2</v>
      </c>
      <c r="IK52" s="21">
        <v>4</v>
      </c>
      <c r="IL52" s="21">
        <v>8</v>
      </c>
      <c r="IM52" s="21">
        <v>8</v>
      </c>
      <c r="IN52" s="21">
        <v>8</v>
      </c>
      <c r="IO52" s="21">
        <v>10</v>
      </c>
      <c r="IP52" s="21">
        <v>14</v>
      </c>
      <c r="IQ52" s="21">
        <v>14</v>
      </c>
      <c r="IR52" s="21">
        <v>14</v>
      </c>
      <c r="IS52" s="21">
        <v>18</v>
      </c>
      <c r="IT52" s="21">
        <v>20</v>
      </c>
      <c r="IU52" s="21">
        <v>20</v>
      </c>
      <c r="IV52" s="21">
        <v>20</v>
      </c>
      <c r="IW52" s="21">
        <v>24</v>
      </c>
      <c r="IX52" s="21">
        <v>26</v>
      </c>
      <c r="IY52" s="21">
        <v>26</v>
      </c>
      <c r="IZ52" s="21">
        <v>26</v>
      </c>
      <c r="JA52" s="21">
        <v>30</v>
      </c>
      <c r="JB52" s="21">
        <v>32</v>
      </c>
      <c r="JC52" s="21">
        <v>32</v>
      </c>
      <c r="JD52" s="21">
        <v>32</v>
      </c>
      <c r="JE52" s="21">
        <v>36</v>
      </c>
      <c r="JF52" s="21">
        <v>38</v>
      </c>
      <c r="JI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53,$JT$2:$KS$2,0),MATCH($W$46,$AH$22:$AH$47,0)))*C53</f>
        <v>0</v>
      </c>
      <c r="JJ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53,$JT$2:$KS$2,0),MATCH($W$46,$AH$22:$AH$47,0)))*C53</f>
        <v>0</v>
      </c>
      <c r="JK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53,$JT$2:$KS$2,0),MATCH($W$46,$AH$22:$AH$47,0)))*C53</f>
        <v>0</v>
      </c>
      <c r="JL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53,$JT$2:$KS$2,0),MATCH($W$46,$AH$22:$AH$47,0)))*C53</f>
        <v>0</v>
      </c>
      <c r="JM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53,$JT$2:$KS$2,0),MATCH($W$46,$AH$22:$AH$47,0)))*C53</f>
        <v>0</v>
      </c>
      <c r="JN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53,$JT$2:$KS$2,0),MATCH($W$46,$AH$22:$AH$47,0)))*C53</f>
        <v>0</v>
      </c>
      <c r="JO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53,$JT$2:$KS$2,0),MATCH($W$46,$AH$22:$AH$47,0)))*C53</f>
        <v>0</v>
      </c>
      <c r="JP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53,$JT$2:$KS$2,0),MATCH($W$46,$AH$22:$AH$47,0)))*C53</f>
        <v>0</v>
      </c>
      <c r="JQ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53,$JT$2:$KS$2,0),MATCH($W$46,$AH$22:$AH$47,0)))*C53</f>
        <v>0</v>
      </c>
      <c r="JS52" s="20" t="s">
        <v>1026</v>
      </c>
      <c r="JT52" s="20">
        <v>0</v>
      </c>
      <c r="JU52" s="20">
        <v>0</v>
      </c>
      <c r="JV52" s="20">
        <v>0</v>
      </c>
      <c r="JW52" s="20">
        <v>0</v>
      </c>
      <c r="JX52" s="20">
        <v>0</v>
      </c>
      <c r="JY52" s="20">
        <v>0</v>
      </c>
      <c r="JZ52" s="20">
        <v>0</v>
      </c>
      <c r="KA52" s="20">
        <v>0</v>
      </c>
      <c r="KB52" s="20">
        <v>0</v>
      </c>
      <c r="KC52" s="20">
        <v>0</v>
      </c>
      <c r="KD52" s="20">
        <v>0</v>
      </c>
      <c r="KE52" s="20">
        <v>0</v>
      </c>
      <c r="KF52" s="20">
        <v>0</v>
      </c>
      <c r="KG52" s="20">
        <v>0</v>
      </c>
      <c r="KH52" s="20">
        <v>0</v>
      </c>
      <c r="KI52" s="20">
        <v>0</v>
      </c>
      <c r="KJ52" s="20">
        <v>0</v>
      </c>
      <c r="KK52" s="20">
        <v>0</v>
      </c>
      <c r="KL52" s="20">
        <v>0</v>
      </c>
      <c r="KM52" s="20">
        <v>0</v>
      </c>
      <c r="KN52" s="20">
        <v>0</v>
      </c>
      <c r="KO52" s="20">
        <v>0</v>
      </c>
      <c r="KP52" s="20">
        <v>0</v>
      </c>
      <c r="KQ52" s="20">
        <v>0</v>
      </c>
      <c r="KR52" s="20">
        <v>0</v>
      </c>
      <c r="KS52" s="20">
        <v>0</v>
      </c>
      <c r="KU52" s="20" t="s">
        <v>1026</v>
      </c>
      <c r="KV52" s="20">
        <v>0</v>
      </c>
      <c r="KW52" s="20">
        <v>0</v>
      </c>
      <c r="KX52" s="20">
        <v>0</v>
      </c>
      <c r="KY52" s="20">
        <v>0</v>
      </c>
      <c r="KZ52" s="20">
        <v>0</v>
      </c>
      <c r="LA52" s="20">
        <v>0</v>
      </c>
      <c r="LB52" s="20">
        <v>0</v>
      </c>
      <c r="LC52" s="20">
        <v>0</v>
      </c>
      <c r="LD52" s="20">
        <v>0</v>
      </c>
      <c r="LE52" s="20">
        <v>0</v>
      </c>
      <c r="LF52" s="20">
        <v>0</v>
      </c>
      <c r="LG52" s="20">
        <v>0</v>
      </c>
      <c r="LH52" s="20">
        <v>0</v>
      </c>
      <c r="LI52" s="20">
        <v>0</v>
      </c>
      <c r="LJ52" s="20">
        <v>0</v>
      </c>
      <c r="LK52" s="20">
        <v>0</v>
      </c>
      <c r="LL52" s="20">
        <v>0</v>
      </c>
      <c r="LM52" s="20">
        <v>0</v>
      </c>
      <c r="LN52" s="20">
        <v>0</v>
      </c>
      <c r="LO52" s="20">
        <v>0</v>
      </c>
      <c r="LP52" s="20">
        <v>0</v>
      </c>
      <c r="LQ52" s="20">
        <v>0</v>
      </c>
      <c r="LR52" s="20">
        <v>0</v>
      </c>
      <c r="LS52" s="20">
        <v>0</v>
      </c>
      <c r="LT52" s="20">
        <v>0</v>
      </c>
      <c r="LU52" s="20">
        <v>0</v>
      </c>
      <c r="LW52" s="20" t="s">
        <v>1026</v>
      </c>
      <c r="LX52" s="20">
        <v>0</v>
      </c>
      <c r="LY52" s="20">
        <v>0</v>
      </c>
      <c r="LZ52" s="20">
        <v>0</v>
      </c>
      <c r="MA52" s="20">
        <v>0</v>
      </c>
      <c r="MB52" s="20">
        <v>0</v>
      </c>
      <c r="MC52" s="20">
        <v>0</v>
      </c>
      <c r="MD52" s="20">
        <v>0</v>
      </c>
      <c r="ME52" s="20">
        <v>0</v>
      </c>
      <c r="MF52" s="20">
        <v>0</v>
      </c>
      <c r="MG52" s="20">
        <v>0</v>
      </c>
      <c r="MH52" s="20">
        <v>0</v>
      </c>
      <c r="MI52" s="20">
        <v>0</v>
      </c>
      <c r="MJ52" s="20">
        <v>0</v>
      </c>
      <c r="MK52" s="20">
        <v>0</v>
      </c>
      <c r="ML52" s="20">
        <v>0</v>
      </c>
      <c r="MM52" s="20">
        <v>0</v>
      </c>
      <c r="MN52" s="20">
        <v>0</v>
      </c>
      <c r="MO52" s="20">
        <v>0</v>
      </c>
      <c r="MP52" s="20">
        <v>0</v>
      </c>
      <c r="MQ52" s="20">
        <v>0</v>
      </c>
      <c r="MR52" s="20">
        <v>0</v>
      </c>
      <c r="MS52" s="20">
        <v>0</v>
      </c>
      <c r="MT52" s="20">
        <v>0</v>
      </c>
      <c r="MU52" s="20">
        <v>0</v>
      </c>
      <c r="MV52" s="20">
        <v>0</v>
      </c>
      <c r="MW52" s="20">
        <v>0</v>
      </c>
      <c r="MY52" s="20" t="s">
        <v>1026</v>
      </c>
      <c r="MZ52" s="21">
        <v>0</v>
      </c>
      <c r="NA52" s="21">
        <v>0</v>
      </c>
      <c r="NB52" s="21">
        <v>0</v>
      </c>
      <c r="NC52" s="21">
        <v>0</v>
      </c>
      <c r="ND52" s="21">
        <v>0</v>
      </c>
      <c r="NE52" s="21">
        <v>0</v>
      </c>
      <c r="NF52" s="21">
        <v>0</v>
      </c>
      <c r="NG52" s="21">
        <v>0</v>
      </c>
      <c r="NH52" s="21">
        <v>0</v>
      </c>
      <c r="NI52" s="21">
        <v>0</v>
      </c>
      <c r="NJ52" s="21">
        <v>0</v>
      </c>
      <c r="NK52" s="21">
        <v>0</v>
      </c>
      <c r="NL52" s="21">
        <v>0</v>
      </c>
      <c r="NM52" s="21">
        <v>0</v>
      </c>
      <c r="NN52" s="21">
        <v>0</v>
      </c>
      <c r="NO52" s="21">
        <v>0</v>
      </c>
      <c r="NP52" s="20">
        <v>0</v>
      </c>
      <c r="NQ52" s="21">
        <v>0</v>
      </c>
      <c r="NR52" s="21">
        <v>0</v>
      </c>
      <c r="NS52" s="21">
        <v>0</v>
      </c>
      <c r="NT52" s="21">
        <v>0</v>
      </c>
      <c r="NU52" s="21">
        <v>0</v>
      </c>
      <c r="NV52" s="21">
        <v>0</v>
      </c>
      <c r="NW52" s="21">
        <v>0</v>
      </c>
      <c r="NX52" s="21">
        <v>0</v>
      </c>
      <c r="NY52" s="21">
        <v>0</v>
      </c>
    </row>
    <row r="53" spans="1:389" x14ac:dyDescent="0.25">
      <c r="A53" s="8"/>
      <c r="B53" s="5" t="s">
        <v>116</v>
      </c>
      <c r="C53" s="8"/>
      <c r="D53" s="4"/>
      <c r="E53" s="4"/>
      <c r="F53" s="4"/>
      <c r="G53" s="4"/>
      <c r="H53" s="4"/>
      <c r="I53" s="4"/>
      <c r="J53" s="4"/>
      <c r="K53" s="4"/>
      <c r="L53" s="5" t="s">
        <v>103</v>
      </c>
      <c r="M53" s="5" t="s">
        <v>104</v>
      </c>
      <c r="N53" s="5" t="s">
        <v>107</v>
      </c>
      <c r="O53" s="5" t="s">
        <v>290</v>
      </c>
      <c r="P53" s="5" t="s">
        <v>446</v>
      </c>
      <c r="Q53" s="5" t="s">
        <v>448</v>
      </c>
      <c r="R53" s="5" t="s">
        <v>409</v>
      </c>
      <c r="S53" s="5" t="s">
        <v>447</v>
      </c>
      <c r="T53" s="5" t="s">
        <v>449</v>
      </c>
      <c r="U53" s="5" t="s">
        <v>106</v>
      </c>
      <c r="V53" s="20"/>
      <c r="W53" s="20"/>
      <c r="X53" s="25">
        <f t="shared" si="52"/>
        <v>0</v>
      </c>
      <c r="Y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59,$BB$2:$CA$2,0),MATCH($W$46,$AH$22:$AH$47,0)))*C59</f>
        <v>0</v>
      </c>
      <c r="Z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59,$BB$2:$CA$2,0),MATCH($W$46,$AH$22:$AH$47,0)))*C59</f>
        <v>0</v>
      </c>
      <c r="AA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59,$BB$2:$CA$2,0),MATCH($W$46,$AH$22:$AH$47,0)))*C59</f>
        <v>0</v>
      </c>
      <c r="AB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59,$BB$2:$CA$2,0),MATCH($W$46,$AH$22:$AH$47,0)))*C59</f>
        <v>0</v>
      </c>
      <c r="AC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59,$BB$2:$CA$2,0),MATCH($W$46,$AH$22:$AH$47,0)))*C59</f>
        <v>0</v>
      </c>
      <c r="AD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59,$BB$2:$CA$2,0),MATCH($W$46,$AH$22:$AH$47,0)))*C59</f>
        <v>0</v>
      </c>
      <c r="AE53" s="20"/>
      <c r="AF53" s="20"/>
      <c r="AG53" s="20">
        <v>30</v>
      </c>
      <c r="AH53" s="20" t="s">
        <v>881</v>
      </c>
      <c r="AI53" s="20">
        <v>0</v>
      </c>
      <c r="AJ53" s="20"/>
      <c r="AK53" s="20"/>
      <c r="AL53" s="20">
        <f t="shared" si="53"/>
        <v>0</v>
      </c>
      <c r="AM53" s="20"/>
      <c r="AN53" s="20"/>
      <c r="AO53" s="20"/>
      <c r="AP53" s="20"/>
      <c r="AQ53" s="20"/>
      <c r="AS53" s="20"/>
      <c r="AT53" s="20"/>
      <c r="AU53" s="20"/>
      <c r="AV53" s="20"/>
      <c r="AW53" s="20"/>
      <c r="AX53" s="20"/>
      <c r="AY53" s="20"/>
      <c r="AZ53" s="20"/>
      <c r="BA53" s="26" t="s">
        <v>712</v>
      </c>
      <c r="BB53" s="20">
        <v>0</v>
      </c>
      <c r="BC53" s="20">
        <v>0</v>
      </c>
      <c r="BD53" s="20">
        <v>0</v>
      </c>
      <c r="BE53" s="20">
        <v>2</v>
      </c>
      <c r="BF53" s="20">
        <v>2</v>
      </c>
      <c r="BG53" s="20">
        <v>2</v>
      </c>
      <c r="BH53" s="20">
        <v>4</v>
      </c>
      <c r="BI53" s="20">
        <v>4</v>
      </c>
      <c r="BJ53" s="20">
        <v>4</v>
      </c>
      <c r="BK53" s="20">
        <v>6</v>
      </c>
      <c r="BL53" s="20">
        <v>6</v>
      </c>
      <c r="BM53" s="20">
        <v>6</v>
      </c>
      <c r="BN53" s="20">
        <v>8</v>
      </c>
      <c r="BO53" s="20">
        <v>8</v>
      </c>
      <c r="BP53" s="20">
        <v>8</v>
      </c>
      <c r="BQ53" s="20">
        <v>10</v>
      </c>
      <c r="BR53" s="20">
        <v>10</v>
      </c>
      <c r="BS53" s="20">
        <v>10</v>
      </c>
      <c r="BT53" s="20">
        <v>12</v>
      </c>
      <c r="BU53" s="20">
        <v>12</v>
      </c>
      <c r="BV53" s="20">
        <v>12</v>
      </c>
      <c r="BW53" s="20">
        <v>14</v>
      </c>
      <c r="BX53" s="20">
        <v>14</v>
      </c>
      <c r="BY53" s="20">
        <v>14</v>
      </c>
      <c r="BZ53" s="20">
        <v>16</v>
      </c>
      <c r="CA53" s="20">
        <v>16</v>
      </c>
      <c r="CB53" s="20"/>
      <c r="CC53" s="20"/>
      <c r="CD53" s="20"/>
      <c r="CE53" s="20"/>
      <c r="CF53" s="20"/>
      <c r="CG53" s="20"/>
      <c r="CH53" s="20"/>
      <c r="CI53" s="20"/>
      <c r="CJ53" s="20"/>
      <c r="CK53" s="20"/>
      <c r="CL53" s="20"/>
      <c r="CM53" s="20"/>
      <c r="CN53" s="20"/>
      <c r="CO53" s="20"/>
      <c r="CP53" s="20"/>
      <c r="CQ53" s="20"/>
      <c r="CR53" s="20"/>
      <c r="CS53" s="20"/>
      <c r="CT53" s="20"/>
      <c r="CU53" s="20"/>
      <c r="CV53" s="20"/>
      <c r="CW53" s="20"/>
      <c r="CX53" s="20"/>
      <c r="CY53" s="20"/>
      <c r="CZ53" s="20"/>
      <c r="DA53" s="54"/>
      <c r="DB53" s="54"/>
      <c r="DC53" s="54"/>
      <c r="DD53" s="26" t="s">
        <v>711</v>
      </c>
      <c r="DE53" s="20">
        <v>0</v>
      </c>
      <c r="DF53" s="20"/>
      <c r="DG53" s="20"/>
      <c r="DH53" s="20"/>
      <c r="DI53" s="20"/>
      <c r="DJ53" s="20"/>
      <c r="DK53" s="20"/>
      <c r="DL53" s="20"/>
      <c r="DM53" s="20"/>
      <c r="DN53" s="20"/>
      <c r="DO53" s="20"/>
      <c r="DP53" s="20"/>
      <c r="DQ53" s="20"/>
      <c r="DR53" s="20"/>
      <c r="DS53" s="20"/>
      <c r="DT53" s="20"/>
      <c r="DU53" s="20"/>
      <c r="DV53" s="20"/>
      <c r="DW53" s="20"/>
      <c r="DX53" s="20"/>
      <c r="DY53" s="20"/>
      <c r="DZ53" s="20"/>
      <c r="EA53" s="20"/>
      <c r="EB53" s="26" t="s">
        <v>712</v>
      </c>
      <c r="EC53" s="20">
        <v>0</v>
      </c>
      <c r="ED53" s="20">
        <v>0</v>
      </c>
      <c r="EE53" s="20">
        <v>0</v>
      </c>
      <c r="EF53" s="20">
        <v>2</v>
      </c>
      <c r="EG53" s="20">
        <v>2</v>
      </c>
      <c r="EH53" s="20">
        <v>4</v>
      </c>
      <c r="EI53" s="20">
        <v>4</v>
      </c>
      <c r="EJ53" s="20">
        <v>6</v>
      </c>
      <c r="EK53" s="20">
        <v>6</v>
      </c>
      <c r="EL53" s="20">
        <v>8</v>
      </c>
      <c r="EM53" s="20">
        <v>8</v>
      </c>
      <c r="EN53" s="20">
        <v>10</v>
      </c>
      <c r="EO53" s="20">
        <v>10</v>
      </c>
      <c r="EP53" s="20">
        <v>12</v>
      </c>
      <c r="EQ53" s="20">
        <v>12</v>
      </c>
      <c r="ER53" s="20">
        <v>14</v>
      </c>
      <c r="ES53" s="20">
        <v>16</v>
      </c>
      <c r="ET53" s="20">
        <v>16</v>
      </c>
      <c r="EU53" s="20">
        <v>18</v>
      </c>
      <c r="EV53" s="20">
        <v>18</v>
      </c>
      <c r="EW53" s="20">
        <v>20</v>
      </c>
      <c r="EX53" s="20">
        <v>20</v>
      </c>
      <c r="EY53" s="20">
        <v>22</v>
      </c>
      <c r="EZ53" s="20">
        <v>22</v>
      </c>
      <c r="FA53" s="20">
        <v>24</v>
      </c>
      <c r="FB53" s="20">
        <v>24</v>
      </c>
      <c r="FC53" s="20">
        <v>26</v>
      </c>
      <c r="FD53" s="20"/>
      <c r="FE53" s="20"/>
      <c r="FF53" s="20"/>
      <c r="FG53" s="20"/>
      <c r="FH53" s="20"/>
      <c r="FI53" s="20"/>
      <c r="FJ53" s="20"/>
      <c r="FK53" s="20"/>
      <c r="FL53" s="20"/>
      <c r="FM53" s="20"/>
      <c r="FN53" s="20"/>
      <c r="FO53" s="20"/>
      <c r="FP53" s="20"/>
      <c r="FQ53" s="20"/>
      <c r="FR53" s="20"/>
      <c r="FS53" s="20"/>
      <c r="FT53" s="20"/>
      <c r="FU53" s="20"/>
      <c r="FV53" s="20"/>
      <c r="FW53" s="20"/>
      <c r="FX53" s="20"/>
      <c r="FY53" s="20"/>
      <c r="FZ53" s="20"/>
      <c r="GA53" s="20"/>
      <c r="GC53" s="20"/>
      <c r="GD53" s="20"/>
      <c r="GE53" s="26" t="s">
        <v>712</v>
      </c>
      <c r="GF53" s="20">
        <v>0</v>
      </c>
      <c r="GG53" s="20">
        <v>0</v>
      </c>
      <c r="GH53" s="20">
        <v>2</v>
      </c>
      <c r="GI53" s="20">
        <v>2</v>
      </c>
      <c r="GJ53" s="20">
        <v>4</v>
      </c>
      <c r="GK53" s="20">
        <v>6</v>
      </c>
      <c r="GL53" s="20">
        <v>6</v>
      </c>
      <c r="GM53" s="20">
        <v>8</v>
      </c>
      <c r="GN53" s="20">
        <v>8</v>
      </c>
      <c r="GO53" s="20">
        <v>10</v>
      </c>
      <c r="GP53" s="20">
        <v>12</v>
      </c>
      <c r="GQ53" s="20">
        <v>12</v>
      </c>
      <c r="GR53" s="20">
        <v>14</v>
      </c>
      <c r="GS53" s="20">
        <v>14</v>
      </c>
      <c r="GT53" s="20">
        <v>16</v>
      </c>
      <c r="GU53" s="20">
        <v>18</v>
      </c>
      <c r="GV53" s="20">
        <v>18</v>
      </c>
      <c r="GW53" s="20">
        <v>20</v>
      </c>
      <c r="GX53" s="20">
        <v>22</v>
      </c>
      <c r="GY53" s="20">
        <v>22</v>
      </c>
      <c r="GZ53" s="20">
        <v>24</v>
      </c>
      <c r="HA53" s="20">
        <v>24</v>
      </c>
      <c r="HB53" s="20">
        <v>26</v>
      </c>
      <c r="HC53" s="20">
        <v>28</v>
      </c>
      <c r="HD53" s="20">
        <v>28</v>
      </c>
      <c r="HE53" s="20">
        <v>30</v>
      </c>
      <c r="HF53" s="20"/>
      <c r="HG53" s="20"/>
      <c r="HH53" s="20"/>
      <c r="HI53" s="20"/>
      <c r="HJ53" s="20"/>
      <c r="HK53" s="20"/>
      <c r="HL53" s="20"/>
      <c r="HM53" s="20"/>
      <c r="HN53" s="20"/>
      <c r="HO53" s="20"/>
      <c r="HP53" s="20"/>
      <c r="HQ53" s="20"/>
      <c r="HR53" s="20"/>
      <c r="HS53" s="20"/>
      <c r="HT53" s="20"/>
      <c r="HU53" s="20"/>
      <c r="HV53" s="20"/>
      <c r="HW53" s="20"/>
      <c r="HX53" s="20"/>
      <c r="HY53" s="20"/>
      <c r="HZ53" s="20"/>
      <c r="IA53" s="20"/>
      <c r="IB53" s="20"/>
      <c r="IC53" s="20"/>
      <c r="ID53" s="20"/>
      <c r="IF53" s="21" t="s">
        <v>712</v>
      </c>
      <c r="IG53" s="21">
        <v>0</v>
      </c>
      <c r="IH53" s="21">
        <v>0</v>
      </c>
      <c r="II53" s="21">
        <v>2</v>
      </c>
      <c r="IJ53" s="21">
        <v>4</v>
      </c>
      <c r="IK53" s="21">
        <v>6</v>
      </c>
      <c r="IL53" s="21">
        <v>6</v>
      </c>
      <c r="IM53" s="21">
        <v>8</v>
      </c>
      <c r="IN53" s="21">
        <v>10</v>
      </c>
      <c r="IO53" s="21">
        <v>12</v>
      </c>
      <c r="IP53" s="21">
        <v>12</v>
      </c>
      <c r="IQ53" s="21">
        <v>14</v>
      </c>
      <c r="IR53" s="21">
        <v>16</v>
      </c>
      <c r="IS53" s="21">
        <v>16</v>
      </c>
      <c r="IT53" s="21">
        <v>18</v>
      </c>
      <c r="IU53" s="21">
        <v>20</v>
      </c>
      <c r="IV53" s="21">
        <v>22</v>
      </c>
      <c r="IW53" s="21">
        <v>22</v>
      </c>
      <c r="IX53" s="21">
        <v>24</v>
      </c>
      <c r="IY53" s="21">
        <v>26</v>
      </c>
      <c r="IZ53" s="21">
        <v>28</v>
      </c>
      <c r="JA53" s="21">
        <v>28</v>
      </c>
      <c r="JB53" s="21">
        <v>30</v>
      </c>
      <c r="JC53" s="21">
        <v>32</v>
      </c>
      <c r="JD53" s="21">
        <v>34</v>
      </c>
      <c r="JE53" s="21">
        <v>34</v>
      </c>
      <c r="JF53" s="21">
        <v>36</v>
      </c>
      <c r="JI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54,$JT$2:$KS$2,0),MATCH($W$46,$AH$22:$AH$47,0)))*C54</f>
        <v>0</v>
      </c>
      <c r="JJ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54,$JT$2:$KS$2,0),MATCH($W$46,$AH$22:$AH$47,0)))*C54</f>
        <v>0</v>
      </c>
      <c r="JK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54,$JT$2:$KS$2,0),MATCH($W$46,$AH$22:$AH$47,0)))*C54</f>
        <v>0</v>
      </c>
      <c r="JL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54,$JT$2:$KS$2,0),MATCH($W$46,$AH$22:$AH$47,0)))*C54</f>
        <v>0</v>
      </c>
      <c r="JM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54,$JT$2:$KS$2,0),MATCH($W$46,$AH$22:$AH$47,0)))*C54</f>
        <v>0</v>
      </c>
      <c r="JN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54,$JT$2:$KS$2,0),MATCH($W$46,$AH$22:$AH$47,0)))*C54</f>
        <v>0</v>
      </c>
      <c r="JO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54,$JT$2:$KS$2,0),MATCH($W$46,$AH$22:$AH$47,0)))*C54</f>
        <v>0</v>
      </c>
      <c r="JP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54,$JT$2:$KS$2,0),MATCH($W$46,$AH$22:$AH$47,0)))*C54</f>
        <v>0</v>
      </c>
      <c r="JQ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54,$JT$2:$KS$2,0),MATCH($W$46,$AH$22:$AH$47,0)))*C54</f>
        <v>0</v>
      </c>
      <c r="JS53" s="20" t="s">
        <v>408</v>
      </c>
      <c r="JT53" s="20">
        <v>0</v>
      </c>
      <c r="JU53" s="20">
        <f t="shared" ref="JU53:KS53" si="56">((((SUM(JU45:JU52))/2)-1))*4</f>
        <v>0</v>
      </c>
      <c r="JV53" s="20">
        <f t="shared" si="56"/>
        <v>0</v>
      </c>
      <c r="JW53" s="20">
        <f t="shared" si="56"/>
        <v>0</v>
      </c>
      <c r="JX53" s="20">
        <f t="shared" si="56"/>
        <v>4</v>
      </c>
      <c r="JY53" s="20">
        <f t="shared" si="56"/>
        <v>4</v>
      </c>
      <c r="JZ53" s="20">
        <f t="shared" si="56"/>
        <v>4</v>
      </c>
      <c r="KA53" s="20">
        <f t="shared" si="56"/>
        <v>8</v>
      </c>
      <c r="KB53" s="20">
        <f t="shared" si="56"/>
        <v>8</v>
      </c>
      <c r="KC53" s="20">
        <f t="shared" si="56"/>
        <v>8</v>
      </c>
      <c r="KD53" s="20">
        <f t="shared" si="56"/>
        <v>12</v>
      </c>
      <c r="KE53" s="20">
        <f t="shared" si="56"/>
        <v>12</v>
      </c>
      <c r="KF53" s="20">
        <f t="shared" si="56"/>
        <v>12</v>
      </c>
      <c r="KG53" s="20">
        <f t="shared" si="56"/>
        <v>16</v>
      </c>
      <c r="KH53" s="20">
        <f t="shared" si="56"/>
        <v>16</v>
      </c>
      <c r="KI53" s="20">
        <f t="shared" si="56"/>
        <v>16</v>
      </c>
      <c r="KJ53" s="20">
        <f t="shared" si="56"/>
        <v>16</v>
      </c>
      <c r="KK53" s="20">
        <f t="shared" si="56"/>
        <v>20</v>
      </c>
      <c r="KL53" s="20">
        <f t="shared" si="56"/>
        <v>20</v>
      </c>
      <c r="KM53" s="20">
        <f t="shared" si="56"/>
        <v>20</v>
      </c>
      <c r="KN53" s="20">
        <f t="shared" si="56"/>
        <v>24</v>
      </c>
      <c r="KO53" s="20">
        <f t="shared" si="56"/>
        <v>24</v>
      </c>
      <c r="KP53" s="20">
        <f t="shared" si="56"/>
        <v>24</v>
      </c>
      <c r="KQ53" s="20">
        <f t="shared" si="56"/>
        <v>28</v>
      </c>
      <c r="KR53" s="20">
        <f t="shared" si="56"/>
        <v>28</v>
      </c>
      <c r="KS53" s="20">
        <f t="shared" si="56"/>
        <v>28</v>
      </c>
      <c r="KU53" s="20" t="s">
        <v>408</v>
      </c>
      <c r="KV53" s="20">
        <v>0</v>
      </c>
      <c r="KW53" s="20">
        <f t="shared" ref="KW53:LU53" si="57">((((SUM(KW45:KW52))/2)-1))*4</f>
        <v>0</v>
      </c>
      <c r="KX53" s="20">
        <f t="shared" si="57"/>
        <v>0</v>
      </c>
      <c r="KY53" s="20">
        <f t="shared" si="57"/>
        <v>4</v>
      </c>
      <c r="KZ53" s="20">
        <f t="shared" si="57"/>
        <v>4</v>
      </c>
      <c r="LA53" s="20">
        <f t="shared" si="57"/>
        <v>8</v>
      </c>
      <c r="LB53" s="20">
        <f t="shared" si="57"/>
        <v>8</v>
      </c>
      <c r="LC53" s="20">
        <f t="shared" si="57"/>
        <v>12</v>
      </c>
      <c r="LD53" s="20">
        <f t="shared" si="57"/>
        <v>12</v>
      </c>
      <c r="LE53" s="20">
        <f t="shared" si="57"/>
        <v>16</v>
      </c>
      <c r="LF53" s="20">
        <f t="shared" si="57"/>
        <v>16</v>
      </c>
      <c r="LG53" s="20">
        <f t="shared" si="57"/>
        <v>20</v>
      </c>
      <c r="LH53" s="20">
        <f t="shared" si="57"/>
        <v>20</v>
      </c>
      <c r="LI53" s="20">
        <f t="shared" si="57"/>
        <v>24</v>
      </c>
      <c r="LJ53" s="20">
        <f t="shared" si="57"/>
        <v>24</v>
      </c>
      <c r="LK53" s="20">
        <f t="shared" si="57"/>
        <v>28</v>
      </c>
      <c r="LL53" s="20">
        <f t="shared" si="57"/>
        <v>28</v>
      </c>
      <c r="LM53" s="20">
        <f t="shared" si="57"/>
        <v>32</v>
      </c>
      <c r="LN53" s="20">
        <f t="shared" si="57"/>
        <v>32</v>
      </c>
      <c r="LO53" s="20">
        <f t="shared" si="57"/>
        <v>36</v>
      </c>
      <c r="LP53" s="20">
        <f t="shared" si="57"/>
        <v>36</v>
      </c>
      <c r="LQ53" s="20">
        <f t="shared" si="57"/>
        <v>40</v>
      </c>
      <c r="LR53" s="20">
        <f t="shared" si="57"/>
        <v>40</v>
      </c>
      <c r="LS53" s="20">
        <f t="shared" si="57"/>
        <v>44</v>
      </c>
      <c r="LT53" s="20">
        <f t="shared" si="57"/>
        <v>44</v>
      </c>
      <c r="LU53" s="20">
        <f t="shared" si="57"/>
        <v>48</v>
      </c>
      <c r="LW53" s="20" t="s">
        <v>408</v>
      </c>
      <c r="LX53" s="20">
        <v>0</v>
      </c>
      <c r="LY53" s="20">
        <f t="shared" ref="LY53:MW53" si="58">((((SUM(LY45:LY52))/2)-1))*4</f>
        <v>0</v>
      </c>
      <c r="LZ53" s="20">
        <f t="shared" si="58"/>
        <v>4</v>
      </c>
      <c r="MA53" s="20">
        <f t="shared" si="58"/>
        <v>4</v>
      </c>
      <c r="MB53" s="20">
        <f t="shared" si="58"/>
        <v>8</v>
      </c>
      <c r="MC53" s="20">
        <f t="shared" si="58"/>
        <v>8</v>
      </c>
      <c r="MD53" s="20">
        <f t="shared" si="58"/>
        <v>12</v>
      </c>
      <c r="ME53" s="20">
        <f t="shared" si="58"/>
        <v>12</v>
      </c>
      <c r="MF53" s="20">
        <f t="shared" si="58"/>
        <v>16</v>
      </c>
      <c r="MG53" s="20">
        <f t="shared" si="58"/>
        <v>20</v>
      </c>
      <c r="MH53" s="20">
        <f t="shared" si="58"/>
        <v>20</v>
      </c>
      <c r="MI53" s="20">
        <f t="shared" si="58"/>
        <v>24</v>
      </c>
      <c r="MJ53" s="20">
        <f t="shared" si="58"/>
        <v>24</v>
      </c>
      <c r="MK53" s="20">
        <f t="shared" si="58"/>
        <v>28</v>
      </c>
      <c r="ML53" s="20">
        <f t="shared" si="58"/>
        <v>28</v>
      </c>
      <c r="MM53" s="20">
        <f t="shared" si="58"/>
        <v>32</v>
      </c>
      <c r="MN53" s="20">
        <f t="shared" si="58"/>
        <v>32</v>
      </c>
      <c r="MO53" s="20">
        <f t="shared" si="58"/>
        <v>36</v>
      </c>
      <c r="MP53" s="20">
        <f t="shared" si="58"/>
        <v>40</v>
      </c>
      <c r="MQ53" s="20">
        <f t="shared" si="58"/>
        <v>40</v>
      </c>
      <c r="MR53" s="20">
        <f t="shared" si="58"/>
        <v>44</v>
      </c>
      <c r="MS53" s="20">
        <f t="shared" si="58"/>
        <v>44</v>
      </c>
      <c r="MT53" s="20">
        <f t="shared" si="58"/>
        <v>48</v>
      </c>
      <c r="MU53" s="20">
        <f t="shared" si="58"/>
        <v>48</v>
      </c>
      <c r="MV53" s="20">
        <f t="shared" si="58"/>
        <v>52</v>
      </c>
      <c r="MW53" s="20">
        <f t="shared" si="58"/>
        <v>56</v>
      </c>
      <c r="MY53" s="21" t="s">
        <v>408</v>
      </c>
      <c r="MZ53" s="21">
        <v>0</v>
      </c>
      <c r="NA53" s="20">
        <f t="shared" ref="NA53:NY53" si="59">((((SUM(NA45:NA52))/2)-1))*4</f>
        <v>0</v>
      </c>
      <c r="NB53" s="20">
        <f t="shared" si="59"/>
        <v>4</v>
      </c>
      <c r="NC53" s="20">
        <f t="shared" si="59"/>
        <v>8</v>
      </c>
      <c r="ND53" s="20">
        <f t="shared" si="59"/>
        <v>8</v>
      </c>
      <c r="NE53" s="20">
        <f t="shared" si="59"/>
        <v>12</v>
      </c>
      <c r="NF53" s="20">
        <f t="shared" si="59"/>
        <v>16</v>
      </c>
      <c r="NG53" s="20">
        <f t="shared" si="59"/>
        <v>16</v>
      </c>
      <c r="NH53" s="20">
        <f t="shared" si="59"/>
        <v>20</v>
      </c>
      <c r="NI53" s="20">
        <f t="shared" si="59"/>
        <v>24</v>
      </c>
      <c r="NJ53" s="20">
        <f t="shared" si="59"/>
        <v>24</v>
      </c>
      <c r="NK53" s="20">
        <f t="shared" si="59"/>
        <v>28</v>
      </c>
      <c r="NL53" s="20">
        <f t="shared" si="59"/>
        <v>32</v>
      </c>
      <c r="NM53" s="20">
        <f t="shared" si="59"/>
        <v>32</v>
      </c>
      <c r="NN53" s="20">
        <f t="shared" si="59"/>
        <v>36</v>
      </c>
      <c r="NO53" s="20">
        <f t="shared" si="59"/>
        <v>40</v>
      </c>
      <c r="NP53" s="20">
        <f t="shared" si="59"/>
        <v>40</v>
      </c>
      <c r="NQ53" s="20">
        <f t="shared" si="59"/>
        <v>44</v>
      </c>
      <c r="NR53" s="20">
        <f t="shared" si="59"/>
        <v>48</v>
      </c>
      <c r="NS53" s="20">
        <f t="shared" si="59"/>
        <v>52</v>
      </c>
      <c r="NT53" s="20">
        <f t="shared" si="59"/>
        <v>52</v>
      </c>
      <c r="NU53" s="20">
        <f t="shared" si="59"/>
        <v>56</v>
      </c>
      <c r="NV53" s="20">
        <f t="shared" si="59"/>
        <v>60</v>
      </c>
      <c r="NW53" s="20">
        <f t="shared" si="59"/>
        <v>60</v>
      </c>
      <c r="NX53" s="20">
        <f t="shared" si="59"/>
        <v>64</v>
      </c>
      <c r="NY53" s="20">
        <f t="shared" si="59"/>
        <v>68</v>
      </c>
    </row>
    <row r="54" spans="1:389" x14ac:dyDescent="0.25">
      <c r="A54" s="8"/>
      <c r="B54" s="5" t="s">
        <v>116</v>
      </c>
      <c r="C54" s="8"/>
      <c r="D54" s="6" t="s">
        <v>118</v>
      </c>
      <c r="E54" s="8" t="s">
        <v>471</v>
      </c>
      <c r="F54" s="5" t="s">
        <v>116</v>
      </c>
      <c r="G54" s="8" t="s">
        <v>115</v>
      </c>
      <c r="H54" s="5" t="s">
        <v>116</v>
      </c>
      <c r="I54" s="8">
        <v>30</v>
      </c>
      <c r="J54" s="5" t="s">
        <v>119</v>
      </c>
      <c r="K54" s="4"/>
      <c r="L54" s="6" t="str">
        <f>IF($E$61=$AK$22,"PAL40H40/1,15",IF($E$61=$AK$23,"PAL30H32/1,15","-------"))</f>
        <v>PAL40H40/1,15</v>
      </c>
      <c r="M54" s="14">
        <f>INDEX(cennik!$C$2:$L$529,MATCH($L54,cennik!$B$2:$B$522,0),MATCH(M$27,cennik!$C$1:$L$1,0))</f>
        <v>894510</v>
      </c>
      <c r="N54" s="14" t="str">
        <f>INDEX(cennik!$C$2:$L$529,MATCH($L54,cennik!$B$2:$B$522,0),MATCH(N$27,cennik!$C$1:$L$1,0))</f>
        <v>szt.</v>
      </c>
      <c r="O54" s="14">
        <f>IF(L54="-------",0,SUM(JJ52:JJ67))</f>
        <v>0</v>
      </c>
      <c r="P54" s="22">
        <f>INDEX(cennik!$C$2:$L$529,MATCH($L54,cennik!$B$2:$B$522,0),MATCH(P$27,cennik!$C$1:$L$1,0))</f>
        <v>36.799999999999997</v>
      </c>
      <c r="Q54" s="22">
        <f>O54*P54</f>
        <v>0</v>
      </c>
      <c r="R54" s="23">
        <f>$E$59</f>
        <v>0</v>
      </c>
      <c r="S54" s="22">
        <f>P54*((100-$E$59)/100)</f>
        <v>36.799999999999997</v>
      </c>
      <c r="T54" s="22">
        <f>O54*S54</f>
        <v>0</v>
      </c>
      <c r="U54" s="22">
        <f>INDEX(cennik!$C$2:$L$529,MATCH($L54,cennik!$B$2:$B$522,0),MATCH(U$27,cennik!$C$1:$L$1,0))*O54</f>
        <v>0</v>
      </c>
      <c r="V54" s="20"/>
      <c r="W54" s="20"/>
      <c r="X54" s="25">
        <f t="shared" si="52"/>
        <v>0</v>
      </c>
      <c r="Y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60,$BB$2:$CA$2,0),MATCH($W$46,$AH$22:$AH$47,0)))*C60</f>
        <v>0</v>
      </c>
      <c r="Z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60,$BB$2:$CA$2,0),MATCH($W$46,$AH$22:$AH$47,0)))*C60</f>
        <v>0</v>
      </c>
      <c r="AA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60,$BB$2:$CA$2,0),MATCH($W$46,$AH$22:$AH$47,0)))*C60</f>
        <v>0</v>
      </c>
      <c r="AB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60,$BB$2:$CA$2,0),MATCH($W$46,$AH$22:$AH$47,0)))*C60</f>
        <v>0</v>
      </c>
      <c r="AC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60,$BB$2:$CA$2,0),MATCH($W$46,$AH$22:$AH$47,0)))*C60</f>
        <v>0</v>
      </c>
      <c r="AD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60,$BB$2:$CA$2,0),MATCH($W$46,$AH$22:$AH$47,0)))*C60</f>
        <v>0</v>
      </c>
      <c r="AE54" s="20" t="str">
        <f>INDEX(($AH$53:$AI$62),MATCH(I54,$AG$53:$AG$62,0),MATCH(E57,$AH$52:$AI$52,0))</f>
        <v>suma</v>
      </c>
      <c r="AF54" s="20"/>
      <c r="AG54" s="20">
        <v>32</v>
      </c>
      <c r="AH54" s="20" t="s">
        <v>881</v>
      </c>
      <c r="AI54" s="20">
        <v>0</v>
      </c>
      <c r="AJ54" s="20"/>
      <c r="AK54" s="20"/>
      <c r="AL54" s="20">
        <f t="shared" si="53"/>
        <v>0</v>
      </c>
      <c r="AN54" s="20"/>
      <c r="AO54" s="20"/>
      <c r="AP54" s="20"/>
      <c r="AQ54" s="20"/>
      <c r="AS54" s="20"/>
      <c r="AT54" s="20"/>
      <c r="AU54" s="20"/>
      <c r="AV54" s="20"/>
      <c r="AW54" s="20"/>
      <c r="AX54" s="20"/>
      <c r="AY54" s="20"/>
      <c r="AZ54" s="20"/>
      <c r="BA54" s="26"/>
      <c r="BB54" s="20"/>
      <c r="BC54" s="20"/>
      <c r="BD54" s="20"/>
      <c r="BE54" s="20"/>
      <c r="BF54" s="20"/>
      <c r="BG54" s="20"/>
      <c r="BH54" s="20"/>
      <c r="BI54" s="20"/>
      <c r="BJ54" s="20"/>
      <c r="BK54" s="20"/>
      <c r="BL54" s="20"/>
      <c r="BM54" s="20"/>
      <c r="BN54" s="20"/>
      <c r="BO54" s="20"/>
      <c r="BP54" s="20"/>
      <c r="BQ54" s="20"/>
      <c r="BR54" s="20"/>
      <c r="BS54" s="20"/>
      <c r="BT54" s="20"/>
      <c r="BU54" s="20"/>
      <c r="BV54" s="20"/>
      <c r="BW54" s="20"/>
      <c r="BX54" s="20"/>
      <c r="BY54" s="20"/>
      <c r="BZ54" s="20"/>
      <c r="CA54" s="20"/>
      <c r="CB54" s="20"/>
      <c r="CC54" s="20"/>
      <c r="CD54" s="20"/>
      <c r="CE54" s="20"/>
      <c r="CF54" s="20"/>
      <c r="CG54" s="20"/>
      <c r="CH54" s="20"/>
      <c r="CI54" s="20"/>
      <c r="CJ54" s="20"/>
      <c r="CK54" s="20"/>
      <c r="CL54" s="20"/>
      <c r="CM54" s="20"/>
      <c r="CN54" s="20"/>
      <c r="CO54" s="20"/>
      <c r="CP54" s="20"/>
      <c r="CQ54" s="20"/>
      <c r="CR54" s="20"/>
      <c r="CS54" s="20"/>
      <c r="CT54" s="20"/>
      <c r="CU54" s="20"/>
      <c r="CV54" s="20"/>
      <c r="CW54" s="20"/>
      <c r="CX54" s="20"/>
      <c r="CY54" s="20"/>
      <c r="CZ54" s="20"/>
      <c r="DA54" s="54"/>
      <c r="DB54" s="54"/>
      <c r="DC54" s="54"/>
      <c r="DD54" s="26" t="s">
        <v>712</v>
      </c>
      <c r="DE54" s="20">
        <v>0</v>
      </c>
      <c r="DF54" s="20"/>
      <c r="DG54" s="20"/>
      <c r="DH54" s="20"/>
      <c r="DI54" s="20"/>
      <c r="DJ54" s="20"/>
      <c r="DK54" s="20"/>
      <c r="DL54" s="20"/>
      <c r="DM54" s="20"/>
      <c r="DN54" s="20"/>
      <c r="DO54" s="20"/>
      <c r="DP54" s="20"/>
      <c r="DQ54" s="20"/>
      <c r="DR54" s="20"/>
      <c r="DS54" s="20"/>
      <c r="DT54" s="20"/>
      <c r="DU54" s="20"/>
      <c r="DV54" s="20"/>
      <c r="DW54" s="20"/>
      <c r="DX54" s="20"/>
      <c r="DY54" s="20"/>
      <c r="DZ54" s="20"/>
      <c r="EA54" s="20"/>
      <c r="EB54" s="20"/>
      <c r="EC54" s="20"/>
      <c r="ED54" s="20"/>
      <c r="EE54" s="20"/>
      <c r="EF54" s="20"/>
      <c r="EG54" s="20"/>
      <c r="EH54" s="20"/>
      <c r="EI54" s="20"/>
      <c r="EJ54" s="20"/>
      <c r="EK54" s="20"/>
      <c r="EL54" s="20"/>
      <c r="EM54" s="20"/>
      <c r="EN54" s="20"/>
      <c r="EO54" s="20"/>
      <c r="EP54" s="20"/>
      <c r="EQ54" s="20"/>
      <c r="ER54" s="20"/>
      <c r="ES54" s="20"/>
      <c r="ET54" s="20"/>
      <c r="EU54" s="20"/>
      <c r="EV54" s="20"/>
      <c r="EW54" s="20"/>
      <c r="EX54" s="20"/>
      <c r="EY54" s="20"/>
      <c r="EZ54" s="20"/>
      <c r="FA54" s="20"/>
      <c r="FB54" s="20"/>
      <c r="FC54" s="20"/>
      <c r="FD54" s="20"/>
      <c r="FE54" s="20"/>
      <c r="FF54" s="20"/>
      <c r="FG54" s="20"/>
      <c r="FH54" s="20"/>
      <c r="FI54" s="20"/>
      <c r="FJ54" s="20"/>
      <c r="FK54" s="20"/>
      <c r="FL54" s="20"/>
      <c r="FM54" s="20"/>
      <c r="FN54" s="20"/>
      <c r="FO54" s="20"/>
      <c r="FP54" s="20"/>
      <c r="FQ54" s="20"/>
      <c r="FR54" s="20"/>
      <c r="FS54" s="20"/>
      <c r="FT54" s="20"/>
      <c r="FU54" s="20"/>
      <c r="FV54" s="20"/>
      <c r="FW54" s="20"/>
      <c r="FX54" s="20"/>
      <c r="FY54" s="20"/>
      <c r="FZ54" s="20"/>
      <c r="GA54" s="20"/>
      <c r="GC54" s="20"/>
      <c r="GD54" s="20"/>
      <c r="GE54" s="20"/>
      <c r="GF54" s="20"/>
      <c r="GG54" s="20"/>
      <c r="GH54" s="20"/>
      <c r="GI54" s="20"/>
      <c r="GJ54" s="20"/>
      <c r="GK54" s="20"/>
      <c r="GL54" s="20"/>
      <c r="GM54" s="20"/>
      <c r="GN54" s="20"/>
      <c r="GO54" s="20"/>
      <c r="GP54" s="20"/>
      <c r="GQ54" s="20"/>
      <c r="GR54" s="20"/>
      <c r="GS54" s="20"/>
      <c r="GT54" s="20"/>
      <c r="GU54" s="20"/>
      <c r="GV54" s="20"/>
      <c r="GW54" s="20"/>
      <c r="GX54" s="20"/>
      <c r="GY54" s="20"/>
      <c r="GZ54" s="20"/>
      <c r="HA54" s="20"/>
      <c r="HB54" s="20"/>
      <c r="HC54" s="20"/>
      <c r="HD54" s="20"/>
      <c r="HE54" s="20"/>
      <c r="HF54" s="20"/>
      <c r="HG54" s="20"/>
      <c r="HH54" s="20"/>
      <c r="HI54" s="20"/>
      <c r="HJ54" s="20"/>
      <c r="HK54" s="20"/>
      <c r="HL54" s="20"/>
      <c r="HM54" s="20"/>
      <c r="HN54" s="20"/>
      <c r="HO54" s="20"/>
      <c r="HP54" s="20"/>
      <c r="HQ54" s="20"/>
      <c r="HR54" s="20"/>
      <c r="HS54" s="20"/>
      <c r="HT54" s="20"/>
      <c r="HU54" s="20"/>
      <c r="HV54" s="20"/>
      <c r="HW54" s="20"/>
      <c r="HX54" s="20"/>
      <c r="HY54" s="20"/>
      <c r="HZ54" s="20"/>
      <c r="IA54" s="20"/>
      <c r="IB54" s="20"/>
      <c r="IC54" s="20"/>
      <c r="ID54" s="20"/>
      <c r="JI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55,$JT$2:$KS$2,0),MATCH($W$46,$AH$22:$AH$47,0)))*C55</f>
        <v>0</v>
      </c>
      <c r="JJ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55,$JT$2:$KS$2,0),MATCH($W$46,$AH$22:$AH$47,0)))*C55</f>
        <v>0</v>
      </c>
      <c r="JK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55,$JT$2:$KS$2,0),MATCH($W$46,$AH$22:$AH$47,0)))*C55</f>
        <v>0</v>
      </c>
      <c r="JL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55,$JT$2:$KS$2,0),MATCH($W$46,$AH$22:$AH$47,0)))*C55</f>
        <v>0</v>
      </c>
      <c r="JM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55,$JT$2:$KS$2,0),MATCH($W$46,$AH$22:$AH$47,0)))*C55</f>
        <v>0</v>
      </c>
      <c r="JN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55,$JT$2:$KS$2,0),MATCH($W$46,$AH$22:$AH$47,0)))*C55</f>
        <v>0</v>
      </c>
      <c r="JO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55,$JT$2:$KS$2,0),MATCH($W$46,$AH$22:$AH$47,0)))*C55</f>
        <v>0</v>
      </c>
      <c r="JP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55,$JT$2:$KS$2,0),MATCH($W$46,$AH$22:$AH$47,0)))*C55</f>
        <v>0</v>
      </c>
      <c r="JQ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55,$JT$2:$KS$2,0),MATCH($W$46,$AH$22:$AH$47,0)))*C55</f>
        <v>0</v>
      </c>
      <c r="JS54" s="26" t="s">
        <v>516</v>
      </c>
      <c r="JT54" s="20">
        <v>0</v>
      </c>
      <c r="JU54" s="20">
        <v>0</v>
      </c>
      <c r="JV54" s="20">
        <v>4</v>
      </c>
      <c r="JW54" s="20">
        <v>6</v>
      </c>
      <c r="JX54" s="20">
        <v>0</v>
      </c>
      <c r="JY54" s="20">
        <v>0</v>
      </c>
      <c r="JZ54" s="20">
        <v>0</v>
      </c>
      <c r="KA54" s="20">
        <v>0</v>
      </c>
      <c r="KB54" s="20">
        <v>0</v>
      </c>
      <c r="KC54" s="20">
        <v>0</v>
      </c>
      <c r="KD54" s="20">
        <v>0</v>
      </c>
      <c r="KE54" s="20">
        <v>0</v>
      </c>
      <c r="KF54" s="20">
        <v>0</v>
      </c>
      <c r="KG54" s="20">
        <v>0</v>
      </c>
      <c r="KH54" s="20">
        <v>0</v>
      </c>
      <c r="KI54" s="20">
        <v>0</v>
      </c>
      <c r="KJ54" s="20">
        <v>0</v>
      </c>
      <c r="KK54" s="20">
        <v>0</v>
      </c>
      <c r="KL54" s="20">
        <v>0</v>
      </c>
      <c r="KM54" s="20">
        <v>0</v>
      </c>
      <c r="KN54" s="20">
        <v>0</v>
      </c>
      <c r="KO54" s="20">
        <v>0</v>
      </c>
      <c r="KP54" s="20">
        <v>0</v>
      </c>
      <c r="KQ54" s="20">
        <v>0</v>
      </c>
      <c r="KR54" s="20">
        <v>0</v>
      </c>
      <c r="KS54" s="20">
        <v>0</v>
      </c>
      <c r="KU54" s="26" t="s">
        <v>516</v>
      </c>
      <c r="KV54" s="20">
        <v>0</v>
      </c>
      <c r="KW54" s="20">
        <v>0</v>
      </c>
      <c r="KX54" s="20">
        <v>0</v>
      </c>
      <c r="KY54" s="20">
        <v>0</v>
      </c>
      <c r="KZ54" s="20">
        <v>0</v>
      </c>
      <c r="LA54" s="20">
        <v>0</v>
      </c>
      <c r="LB54" s="20">
        <v>0</v>
      </c>
      <c r="LC54" s="20">
        <v>0</v>
      </c>
      <c r="LD54" s="20">
        <v>0</v>
      </c>
      <c r="LE54" s="20">
        <v>0</v>
      </c>
      <c r="LF54" s="20">
        <v>0</v>
      </c>
      <c r="LG54" s="20">
        <v>0</v>
      </c>
      <c r="LH54" s="20">
        <v>0</v>
      </c>
      <c r="LI54" s="20">
        <v>0</v>
      </c>
      <c r="LJ54" s="20">
        <v>0</v>
      </c>
      <c r="LK54" s="20">
        <v>0</v>
      </c>
      <c r="LL54" s="20">
        <v>0</v>
      </c>
      <c r="LM54" s="20">
        <v>0</v>
      </c>
      <c r="LN54" s="20">
        <v>0</v>
      </c>
      <c r="LO54" s="20">
        <v>0</v>
      </c>
      <c r="LP54" s="20">
        <v>0</v>
      </c>
      <c r="LQ54" s="20">
        <v>0</v>
      </c>
      <c r="LR54" s="20">
        <v>0</v>
      </c>
      <c r="LS54" s="20">
        <v>0</v>
      </c>
      <c r="LT54" s="20">
        <v>0</v>
      </c>
      <c r="LU54" s="20">
        <v>0</v>
      </c>
      <c r="LW54" s="26" t="s">
        <v>516</v>
      </c>
      <c r="LX54" s="20">
        <v>0</v>
      </c>
      <c r="LY54" s="20">
        <v>0</v>
      </c>
      <c r="LZ54" s="20">
        <v>0</v>
      </c>
      <c r="MA54" s="20">
        <v>0</v>
      </c>
      <c r="MB54" s="20">
        <v>0</v>
      </c>
      <c r="MC54" s="20">
        <v>0</v>
      </c>
      <c r="MD54" s="20">
        <v>0</v>
      </c>
      <c r="ME54" s="20">
        <v>2</v>
      </c>
      <c r="MF54" s="20">
        <v>0</v>
      </c>
      <c r="MG54" s="20">
        <v>0</v>
      </c>
      <c r="MH54" s="20">
        <v>0</v>
      </c>
      <c r="MI54" s="20">
        <v>0</v>
      </c>
      <c r="MJ54" s="20">
        <v>0</v>
      </c>
      <c r="MK54" s="20">
        <v>0</v>
      </c>
      <c r="ML54" s="20">
        <v>0</v>
      </c>
      <c r="MM54" s="20">
        <v>0</v>
      </c>
      <c r="MN54" s="20">
        <v>0</v>
      </c>
      <c r="MO54" s="20">
        <v>0</v>
      </c>
      <c r="MP54" s="20">
        <v>0</v>
      </c>
      <c r="MQ54" s="20">
        <v>0</v>
      </c>
      <c r="MR54" s="20">
        <v>0</v>
      </c>
      <c r="MS54" s="20">
        <v>0</v>
      </c>
      <c r="MT54" s="20">
        <v>0</v>
      </c>
      <c r="MU54" s="20">
        <v>0</v>
      </c>
      <c r="MV54" s="20">
        <v>0</v>
      </c>
      <c r="MW54" s="20">
        <v>0</v>
      </c>
      <c r="MY54" s="21" t="s">
        <v>516</v>
      </c>
      <c r="MZ54" s="21">
        <v>0</v>
      </c>
      <c r="NA54" s="21">
        <v>0</v>
      </c>
      <c r="NB54" s="21">
        <v>0</v>
      </c>
      <c r="NC54" s="21">
        <v>0</v>
      </c>
      <c r="ND54" s="21">
        <v>2</v>
      </c>
      <c r="NE54" s="21">
        <v>0</v>
      </c>
      <c r="NF54" s="21">
        <v>0</v>
      </c>
      <c r="NG54" s="21">
        <v>2</v>
      </c>
      <c r="NH54" s="21">
        <v>0</v>
      </c>
      <c r="NI54" s="21">
        <v>0</v>
      </c>
      <c r="NJ54" s="21">
        <v>0</v>
      </c>
      <c r="NK54" s="21">
        <v>0</v>
      </c>
      <c r="NL54" s="21">
        <v>0</v>
      </c>
      <c r="NM54" s="21">
        <v>0</v>
      </c>
      <c r="NN54" s="21">
        <v>0</v>
      </c>
      <c r="NO54" s="21">
        <v>0</v>
      </c>
      <c r="NP54" s="21">
        <v>0</v>
      </c>
      <c r="NQ54" s="21">
        <v>0</v>
      </c>
      <c r="NR54" s="21">
        <v>0</v>
      </c>
      <c r="NS54" s="21">
        <v>0</v>
      </c>
      <c r="NT54" s="21">
        <v>0</v>
      </c>
      <c r="NU54" s="21">
        <v>0</v>
      </c>
      <c r="NV54" s="21">
        <v>0</v>
      </c>
      <c r="NW54" s="21">
        <v>0</v>
      </c>
      <c r="NX54" s="21">
        <v>0</v>
      </c>
      <c r="NY54" s="21">
        <v>0</v>
      </c>
    </row>
    <row r="55" spans="1:389" x14ac:dyDescent="0.25">
      <c r="A55" s="8"/>
      <c r="B55" s="5" t="s">
        <v>116</v>
      </c>
      <c r="C55" s="8"/>
      <c r="D55" s="6" t="s">
        <v>117</v>
      </c>
      <c r="E55" s="8">
        <v>800</v>
      </c>
      <c r="F55" s="5"/>
      <c r="G55" s="5"/>
      <c r="H55" s="5"/>
      <c r="I55" s="5"/>
      <c r="J55" s="5" t="s">
        <v>119</v>
      </c>
      <c r="K55" s="4"/>
      <c r="L55" s="6" t="str">
        <f>IF($E$61=$AK$22,"PAL40H40/2,1",IF($E$61=$AK$23,"PAL30H32/2,1","-------"))</f>
        <v>PAL40H40/2,1</v>
      </c>
      <c r="M55" s="14">
        <f>INDEX(cennik!$C$2:$L$529,MATCH($L55,cennik!$B$2:$B$522,0),MATCH(M$27,cennik!$C$1:$L$1,0))</f>
        <v>894621</v>
      </c>
      <c r="N55" s="14" t="str">
        <f>INDEX(cennik!$C$2:$L$529,MATCH($L55,cennik!$B$2:$B$522,0),MATCH(N$27,cennik!$C$1:$L$1,0))</f>
        <v>szt.</v>
      </c>
      <c r="O55" s="14">
        <f>IF(L55="-------",0,SUM(JK52:JK67))</f>
        <v>0</v>
      </c>
      <c r="P55" s="22">
        <f>INDEX(cennik!$C$2:$L$529,MATCH($L55,cennik!$B$2:$B$522,0),MATCH(P$27,cennik!$C$1:$L$1,0))</f>
        <v>65.099999999999994</v>
      </c>
      <c r="Q55" s="22">
        <f>O55*P55</f>
        <v>0</v>
      </c>
      <c r="R55" s="23">
        <f>$E$59</f>
        <v>0</v>
      </c>
      <c r="S55" s="22">
        <f>P55*((100-$E$59)/100)</f>
        <v>65.099999999999994</v>
      </c>
      <c r="T55" s="22">
        <f t="shared" ref="T55:T59" si="60">O55*S55</f>
        <v>0</v>
      </c>
      <c r="U55" s="22">
        <f>INDEX(cennik!$C$2:$L$529,MATCH($L55,cennik!$B$2:$B$522,0),MATCH(U$27,cennik!$C$1:$L$1,0))*O55</f>
        <v>0</v>
      </c>
      <c r="V55" s="20"/>
      <c r="W55" s="20"/>
      <c r="X55" s="25">
        <f t="shared" si="52"/>
        <v>0</v>
      </c>
      <c r="Y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61,$BB$2:$CA$2,0),MATCH($W$46,$AH$22:$AH$47,0)))*C61</f>
        <v>0</v>
      </c>
      <c r="Z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61,$BB$2:$CA$2,0),MATCH($W$46,$AH$22:$AH$47,0)))*C61</f>
        <v>0</v>
      </c>
      <c r="AA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61,$BB$2:$CA$2,0),MATCH($W$46,$AH$22:$AH$47,0)))*C61</f>
        <v>0</v>
      </c>
      <c r="AB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61,$BB$2:$CA$2,0),MATCH($W$46,$AH$22:$AH$47,0)))*C61</f>
        <v>0</v>
      </c>
      <c r="AC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61,$BB$2:$CA$2,0),MATCH($W$46,$AH$22:$AH$47,0)))*C61</f>
        <v>0</v>
      </c>
      <c r="AD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61,$BB$2:$CA$2,0),MATCH($W$46,$AH$22:$AH$47,0)))*C61</f>
        <v>0</v>
      </c>
      <c r="AE55" s="20"/>
      <c r="AF55" s="20"/>
      <c r="AG55" s="20">
        <v>33</v>
      </c>
      <c r="AH55" s="20" t="s">
        <v>881</v>
      </c>
      <c r="AI55" s="20">
        <v>0</v>
      </c>
      <c r="AJ55" s="20"/>
      <c r="AK55" s="20"/>
      <c r="AL55" s="20">
        <f t="shared" si="53"/>
        <v>0</v>
      </c>
      <c r="AM55" s="20" t="s">
        <v>778</v>
      </c>
      <c r="AN55" s="20" t="s">
        <v>125</v>
      </c>
      <c r="AO55" s="20" t="s">
        <v>144</v>
      </c>
      <c r="AP55" s="20"/>
      <c r="AQ55" s="20"/>
      <c r="AS55" s="20" t="s">
        <v>778</v>
      </c>
      <c r="AT55" s="20" t="s">
        <v>125</v>
      </c>
      <c r="AU55" s="20" t="s">
        <v>144</v>
      </c>
      <c r="AV55" s="20"/>
      <c r="AW55" s="20"/>
      <c r="AX55" s="20"/>
      <c r="AY55" s="20"/>
      <c r="AZ55" s="20"/>
      <c r="BA55" s="20" t="s">
        <v>480</v>
      </c>
      <c r="BB55" s="20"/>
      <c r="BC55" s="20"/>
      <c r="BD55" s="20"/>
      <c r="BE55" s="20"/>
      <c r="BF55" s="20"/>
      <c r="BG55" s="20"/>
      <c r="BH55" s="20"/>
      <c r="BI55" s="20"/>
      <c r="BJ55" s="20"/>
      <c r="BK55" s="20"/>
      <c r="BL55" s="20"/>
      <c r="BM55" s="20"/>
      <c r="BN55" s="20"/>
      <c r="BO55" s="20"/>
      <c r="BP55" s="20"/>
      <c r="BQ55" s="20"/>
      <c r="BR55" s="20"/>
      <c r="BS55" s="20"/>
      <c r="BT55" s="20"/>
      <c r="BU55" s="20"/>
      <c r="BV55" s="20"/>
      <c r="BW55" s="20"/>
      <c r="BX55" s="20"/>
      <c r="BY55" s="20"/>
      <c r="BZ55" s="20"/>
      <c r="CA55" s="20"/>
      <c r="CB55" s="20"/>
      <c r="CC55" s="20"/>
      <c r="CD55" s="20"/>
      <c r="CE55" s="20"/>
      <c r="CF55" s="20"/>
      <c r="CG55" s="20"/>
      <c r="CH55" s="20"/>
      <c r="CI55" s="20"/>
      <c r="CJ55" s="20"/>
      <c r="CK55" s="20"/>
      <c r="CL55" s="20"/>
      <c r="CM55" s="20"/>
      <c r="CN55" s="20"/>
      <c r="CO55" s="20"/>
      <c r="CP55" s="20"/>
      <c r="CQ55" s="20"/>
      <c r="CR55" s="20"/>
      <c r="CS55" s="20"/>
      <c r="CT55" s="20"/>
      <c r="CU55" s="20"/>
      <c r="CV55" s="20"/>
      <c r="CW55" s="20"/>
      <c r="CX55" s="20"/>
      <c r="CY55" s="20"/>
      <c r="CZ55" s="20"/>
      <c r="DA55" s="54"/>
      <c r="DB55" s="54"/>
      <c r="DC55" s="54"/>
      <c r="DD55" s="20"/>
      <c r="DE55" s="20"/>
      <c r="DF55" s="20"/>
      <c r="DG55" s="20"/>
      <c r="DH55" s="20"/>
      <c r="DI55" s="20"/>
      <c r="DJ55" s="20"/>
      <c r="DK55" s="20"/>
      <c r="DL55" s="20"/>
      <c r="DM55" s="20"/>
      <c r="DN55" s="20"/>
      <c r="DO55" s="20"/>
      <c r="DP55" s="20"/>
      <c r="DQ55" s="20"/>
      <c r="DR55" s="20"/>
      <c r="DS55" s="20"/>
      <c r="DT55" s="20"/>
      <c r="DU55" s="20"/>
      <c r="DV55" s="20"/>
      <c r="DW55" s="20"/>
      <c r="DX55" s="20"/>
      <c r="DY55" s="20"/>
      <c r="DZ55" s="20"/>
      <c r="EA55" s="20"/>
      <c r="EB55" s="20" t="s">
        <v>470</v>
      </c>
      <c r="EC55" s="20"/>
      <c r="ED55" s="20"/>
      <c r="EE55" s="20"/>
      <c r="EF55" s="20"/>
      <c r="EG55" s="20"/>
      <c r="EH55" s="20"/>
      <c r="EI55" s="20"/>
      <c r="EJ55" s="20"/>
      <c r="EK55" s="20"/>
      <c r="EL55" s="20"/>
      <c r="EM55" s="20"/>
      <c r="EN55" s="20"/>
      <c r="EO55" s="20"/>
      <c r="EP55" s="20"/>
      <c r="EQ55" s="20"/>
      <c r="ER55" s="20"/>
      <c r="ES55" s="20"/>
      <c r="ET55" s="20"/>
      <c r="EU55" s="20"/>
      <c r="EV55" s="20"/>
      <c r="EW55" s="20"/>
      <c r="EX55" s="20"/>
      <c r="EY55" s="20"/>
      <c r="EZ55" s="20"/>
      <c r="FA55" s="20"/>
      <c r="FB55" s="20"/>
      <c r="FC55" s="20"/>
      <c r="FD55" s="20"/>
      <c r="FE55" s="20"/>
      <c r="FF55" s="20"/>
      <c r="FG55" s="20"/>
      <c r="FH55" s="20"/>
      <c r="FI55" s="20"/>
      <c r="FJ55" s="20"/>
      <c r="FK55" s="20"/>
      <c r="FL55" s="20"/>
      <c r="FM55" s="20"/>
      <c r="FN55" s="20"/>
      <c r="FO55" s="20"/>
      <c r="FP55" s="20"/>
      <c r="FQ55" s="20"/>
      <c r="FR55" s="20"/>
      <c r="FS55" s="20"/>
      <c r="FT55" s="20"/>
      <c r="FU55" s="20"/>
      <c r="FV55" s="20"/>
      <c r="FW55" s="20"/>
      <c r="FX55" s="20"/>
      <c r="FY55" s="20"/>
      <c r="FZ55" s="20"/>
      <c r="GA55" s="20"/>
      <c r="GC55" s="20"/>
      <c r="GD55" s="20"/>
      <c r="GE55" s="20" t="s">
        <v>137</v>
      </c>
      <c r="GF55" s="20"/>
      <c r="GG55" s="20"/>
      <c r="GH55" s="20"/>
      <c r="GI55" s="20"/>
      <c r="GJ55" s="20"/>
      <c r="GK55" s="20"/>
      <c r="GL55" s="20"/>
      <c r="GM55" s="20"/>
      <c r="GN55" s="20"/>
      <c r="GO55" s="20"/>
      <c r="GP55" s="20"/>
      <c r="GQ55" s="20"/>
      <c r="GR55" s="20"/>
      <c r="GS55" s="20"/>
      <c r="GT55" s="20"/>
      <c r="GU55" s="20"/>
      <c r="GV55" s="20"/>
      <c r="GW55" s="20"/>
      <c r="GX55" s="20"/>
      <c r="GY55" s="20"/>
      <c r="GZ55" s="20"/>
      <c r="HA55" s="20"/>
      <c r="HB55" s="20"/>
      <c r="HC55" s="20"/>
      <c r="HD55" s="20"/>
      <c r="HE55" s="20"/>
      <c r="HF55" s="20"/>
      <c r="HG55" s="20"/>
      <c r="HH55" s="20"/>
      <c r="HI55" s="20"/>
      <c r="HJ55" s="20"/>
      <c r="HK55" s="20"/>
      <c r="HL55" s="20"/>
      <c r="HM55" s="20"/>
      <c r="HN55" s="20"/>
      <c r="HO55" s="20"/>
      <c r="HP55" s="20"/>
      <c r="HQ55" s="20"/>
      <c r="HR55" s="20"/>
      <c r="HS55" s="20"/>
      <c r="HT55" s="20"/>
      <c r="HU55" s="20"/>
      <c r="HV55" s="20"/>
      <c r="HW55" s="20"/>
      <c r="HX55" s="20"/>
      <c r="HY55" s="20"/>
      <c r="HZ55" s="20"/>
      <c r="IA55" s="20"/>
      <c r="IB55" s="20"/>
      <c r="IC55" s="20"/>
      <c r="ID55" s="20"/>
      <c r="IF55" s="21" t="s">
        <v>833</v>
      </c>
      <c r="JI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56,$JT$2:$KS$2,0),MATCH($W$46,$AH$22:$AH$47,0)))*C56</f>
        <v>0</v>
      </c>
      <c r="JJ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56,$JT$2:$KS$2,0),MATCH($W$46,$AH$22:$AH$47,0)))*C56</f>
        <v>0</v>
      </c>
      <c r="JK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56,$JT$2:$KS$2,0),MATCH($W$46,$AH$22:$AH$47,0)))*C56</f>
        <v>0</v>
      </c>
      <c r="JL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56,$JT$2:$KS$2,0),MATCH($W$46,$AH$22:$AH$47,0)))*C56</f>
        <v>0</v>
      </c>
      <c r="JM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56,$JT$2:$KS$2,0),MATCH($W$46,$AH$22:$AH$47,0)))*C56</f>
        <v>0</v>
      </c>
      <c r="JN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56,$JT$2:$KS$2,0),MATCH($W$46,$AH$22:$AH$47,0)))*C56</f>
        <v>0</v>
      </c>
      <c r="JO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56,$JT$2:$KS$2,0),MATCH($W$46,$AH$22:$AH$47,0)))*C56</f>
        <v>0</v>
      </c>
      <c r="JP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56,$JT$2:$KS$2,0),MATCH($W$46,$AH$22:$AH$47,0)))*C56</f>
        <v>0</v>
      </c>
      <c r="JQ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56,$JT$2:$KS$2,0),MATCH($W$46,$AH$22:$AH$47,0)))*C56</f>
        <v>0</v>
      </c>
      <c r="JS55" s="26" t="s">
        <v>517</v>
      </c>
      <c r="JT55" s="20">
        <v>0</v>
      </c>
      <c r="JU55" s="20">
        <v>2</v>
      </c>
      <c r="JV55" s="20">
        <v>0</v>
      </c>
      <c r="JW55" s="20">
        <v>0</v>
      </c>
      <c r="JX55" s="20">
        <v>2</v>
      </c>
      <c r="JY55" s="20">
        <v>0</v>
      </c>
      <c r="JZ55" s="20">
        <v>4</v>
      </c>
      <c r="KA55" s="20">
        <v>2</v>
      </c>
      <c r="KB55" s="20">
        <v>0</v>
      </c>
      <c r="KC55" s="20">
        <v>4</v>
      </c>
      <c r="KD55" s="20">
        <v>2</v>
      </c>
      <c r="KE55" s="20">
        <v>0</v>
      </c>
      <c r="KF55" s="20">
        <v>4</v>
      </c>
      <c r="KG55" s="20">
        <v>2</v>
      </c>
      <c r="KH55" s="20">
        <v>0</v>
      </c>
      <c r="KI55" s="20">
        <v>0</v>
      </c>
      <c r="KJ55" s="20">
        <v>2</v>
      </c>
      <c r="KK55" s="20">
        <v>0</v>
      </c>
      <c r="KL55" s="20">
        <v>4</v>
      </c>
      <c r="KM55" s="20">
        <v>0</v>
      </c>
      <c r="KN55" s="20">
        <v>0</v>
      </c>
      <c r="KO55" s="20">
        <v>2</v>
      </c>
      <c r="KP55" s="20">
        <v>0</v>
      </c>
      <c r="KQ55" s="20">
        <v>0</v>
      </c>
      <c r="KR55" s="20">
        <v>0</v>
      </c>
      <c r="KS55" s="20">
        <v>0</v>
      </c>
      <c r="KU55" s="26" t="s">
        <v>517</v>
      </c>
      <c r="KV55" s="20">
        <v>0</v>
      </c>
      <c r="KW55" s="20">
        <v>2</v>
      </c>
      <c r="KX55" s="20">
        <v>4</v>
      </c>
      <c r="KY55" s="20">
        <v>2</v>
      </c>
      <c r="KZ55" s="20">
        <v>4</v>
      </c>
      <c r="LA55" s="20">
        <v>0</v>
      </c>
      <c r="LB55" s="20">
        <v>2</v>
      </c>
      <c r="LC55" s="20">
        <v>0</v>
      </c>
      <c r="LD55" s="20">
        <v>0</v>
      </c>
      <c r="LE55" s="20">
        <v>0</v>
      </c>
      <c r="LF55" s="20">
        <v>2</v>
      </c>
      <c r="LG55" s="20">
        <v>0</v>
      </c>
      <c r="LH55" s="20">
        <v>2</v>
      </c>
      <c r="LI55" s="20">
        <v>0</v>
      </c>
      <c r="LJ55" s="20">
        <v>2</v>
      </c>
      <c r="LK55" s="20">
        <v>4</v>
      </c>
      <c r="LL55" s="20">
        <v>0</v>
      </c>
      <c r="LM55" s="20">
        <v>4</v>
      </c>
      <c r="LN55" s="20">
        <v>0</v>
      </c>
      <c r="LO55" s="20">
        <v>0</v>
      </c>
      <c r="LP55" s="20">
        <v>0</v>
      </c>
      <c r="LQ55" s="20">
        <v>0</v>
      </c>
      <c r="LR55" s="20">
        <v>0</v>
      </c>
      <c r="LS55" s="20">
        <v>0</v>
      </c>
      <c r="LT55" s="20">
        <v>0</v>
      </c>
      <c r="LU55" s="20">
        <v>0</v>
      </c>
      <c r="LW55" s="26" t="s">
        <v>517</v>
      </c>
      <c r="LX55" s="20">
        <v>0</v>
      </c>
      <c r="LY55" s="20">
        <v>2</v>
      </c>
      <c r="LZ55" s="20">
        <v>4</v>
      </c>
      <c r="MA55" s="20">
        <v>0</v>
      </c>
      <c r="MB55" s="20">
        <v>2</v>
      </c>
      <c r="MC55" s="20">
        <v>4</v>
      </c>
      <c r="MD55" s="20">
        <v>0</v>
      </c>
      <c r="ME55" s="20">
        <v>0</v>
      </c>
      <c r="MF55" s="20">
        <v>0</v>
      </c>
      <c r="MG55" s="20">
        <v>0</v>
      </c>
      <c r="MH55" s="20">
        <v>0</v>
      </c>
      <c r="MI55" s="20">
        <v>0</v>
      </c>
      <c r="MJ55" s="20">
        <v>0</v>
      </c>
      <c r="MK55" s="20">
        <v>0</v>
      </c>
      <c r="ML55" s="20">
        <v>0</v>
      </c>
      <c r="MM55" s="20">
        <v>0</v>
      </c>
      <c r="MN55" s="20">
        <v>0</v>
      </c>
      <c r="MO55" s="20">
        <v>0</v>
      </c>
      <c r="MP55" s="20">
        <v>2</v>
      </c>
      <c r="MQ55" s="20">
        <v>0</v>
      </c>
      <c r="MR55" s="20">
        <v>2</v>
      </c>
      <c r="MS55" s="20">
        <v>0</v>
      </c>
      <c r="MT55" s="20">
        <v>0</v>
      </c>
      <c r="MU55" s="20">
        <v>2</v>
      </c>
      <c r="MV55" s="20">
        <v>0</v>
      </c>
      <c r="MW55" s="20">
        <v>0</v>
      </c>
      <c r="MY55" s="21" t="s">
        <v>517</v>
      </c>
      <c r="MZ55" s="21">
        <v>0</v>
      </c>
      <c r="NA55" s="21">
        <v>0</v>
      </c>
      <c r="NB55" s="21">
        <v>2</v>
      </c>
      <c r="NC55" s="21">
        <v>0</v>
      </c>
      <c r="ND55" s="21">
        <v>0</v>
      </c>
      <c r="NE55" s="21">
        <v>0</v>
      </c>
      <c r="NF55" s="21">
        <v>2</v>
      </c>
      <c r="NG55" s="21">
        <v>0</v>
      </c>
      <c r="NH55" s="21">
        <v>4</v>
      </c>
      <c r="NI55" s="21">
        <v>0</v>
      </c>
      <c r="NJ55" s="21">
        <v>0</v>
      </c>
      <c r="NK55" s="21">
        <v>0</v>
      </c>
      <c r="NL55" s="21">
        <v>0</v>
      </c>
      <c r="NM55" s="21">
        <v>0</v>
      </c>
      <c r="NN55" s="21">
        <v>0</v>
      </c>
      <c r="NO55" s="21">
        <v>0</v>
      </c>
      <c r="NP55" s="21">
        <v>0</v>
      </c>
      <c r="NQ55" s="21">
        <v>0</v>
      </c>
      <c r="NR55" s="21">
        <v>0</v>
      </c>
      <c r="NS55" s="21">
        <v>0</v>
      </c>
      <c r="NT55" s="21">
        <v>0</v>
      </c>
      <c r="NU55" s="21">
        <v>0</v>
      </c>
      <c r="NV55" s="21">
        <v>0</v>
      </c>
      <c r="NW55" s="21">
        <v>0</v>
      </c>
      <c r="NX55" s="21">
        <v>0</v>
      </c>
      <c r="NY55" s="21">
        <v>0</v>
      </c>
    </row>
    <row r="56" spans="1:389" x14ac:dyDescent="0.25">
      <c r="A56" s="8"/>
      <c r="B56" s="5" t="s">
        <v>116</v>
      </c>
      <c r="C56" s="8"/>
      <c r="D56" s="6" t="s">
        <v>122</v>
      </c>
      <c r="E56" s="8" t="s">
        <v>123</v>
      </c>
      <c r="F56" s="5"/>
      <c r="G56" s="5"/>
      <c r="H56" s="5"/>
      <c r="I56" s="5"/>
      <c r="J56" s="5"/>
      <c r="K56" s="4"/>
      <c r="L56" s="6" t="str">
        <f>IF($E$61=$AK$22,"PAL40H40/2,2",IF($E$61=$AK$23,"PAL30H32/2,2",IF($E$61=$AK$24,"CWP40H35/2,2MC","-------")))</f>
        <v>PAL40H40/2,2</v>
      </c>
      <c r="M56" s="14">
        <f>INDEX(cennik!$C$2:$L$529,MATCH($L56,cennik!$B$2:$B$522,0),MATCH(M$27,cennik!$C$1:$L$1,0))</f>
        <v>894622</v>
      </c>
      <c r="N56" s="14" t="str">
        <f>INDEX(cennik!$C$2:$L$529,MATCH($L56,cennik!$B$2:$B$522,0),MATCH(N$27,cennik!$C$1:$L$1,0))</f>
        <v>szt.</v>
      </c>
      <c r="O56" s="14">
        <f>IF(L56="-------",0,SUM(JL52:JL67))</f>
        <v>0</v>
      </c>
      <c r="P56" s="22">
        <f>INDEX(cennik!$C$2:$L$529,MATCH($L56,cennik!$B$2:$B$522,0),MATCH(P$27,cennik!$C$1:$L$1,0))</f>
        <v>68.2</v>
      </c>
      <c r="Q56" s="22">
        <f t="shared" ref="Q56:Q59" si="61">O56*P56</f>
        <v>0</v>
      </c>
      <c r="R56" s="23">
        <f>$E$59</f>
        <v>0</v>
      </c>
      <c r="S56" s="22">
        <f>P56*((100-$E$59)/100)</f>
        <v>68.2</v>
      </c>
      <c r="T56" s="22">
        <f t="shared" si="60"/>
        <v>0</v>
      </c>
      <c r="U56" s="22">
        <f>INDEX(cennik!$C$2:$L$529,MATCH($L56,cennik!$B$2:$B$522,0),MATCH(U$27,cennik!$C$1:$L$1,0))*O56</f>
        <v>0</v>
      </c>
      <c r="V56" s="20"/>
      <c r="W56" s="20"/>
      <c r="X56" s="25">
        <f t="shared" si="52"/>
        <v>0</v>
      </c>
      <c r="Y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62,$BB$2:$CA$2,0),MATCH($W$46,$AH$22:$AH$47,0)))*C62</f>
        <v>0</v>
      </c>
      <c r="Z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62,$BB$2:$CA$2,0),MATCH($W$46,$AH$22:$AH$47,0)))*C62</f>
        <v>0</v>
      </c>
      <c r="AA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62,$BB$2:$CA$2,0),MATCH($W$46,$AH$22:$AH$47,0)))*C62</f>
        <v>0</v>
      </c>
      <c r="AB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62,$BB$2:$CA$2,0),MATCH($W$46,$AH$22:$AH$47,0)))*C62</f>
        <v>0</v>
      </c>
      <c r="AC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62,$BB$2:$CA$2,0),MATCH($W$46,$AH$22:$AH$47,0)))*C62</f>
        <v>0</v>
      </c>
      <c r="AD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62,$BB$2:$CA$2,0),MATCH($W$46,$AH$22:$AH$47,0)))*C62</f>
        <v>0</v>
      </c>
      <c r="AE56" s="20"/>
      <c r="AF56" s="20"/>
      <c r="AG56" s="20">
        <v>34</v>
      </c>
      <c r="AH56" s="20" t="s">
        <v>881</v>
      </c>
      <c r="AI56" s="20">
        <v>0</v>
      </c>
      <c r="AJ56" s="20"/>
      <c r="AK56" s="20"/>
      <c r="AL56" s="20">
        <f t="shared" si="53"/>
        <v>0</v>
      </c>
      <c r="AM56" s="20">
        <v>30</v>
      </c>
      <c r="AN56" s="20" t="s">
        <v>475</v>
      </c>
      <c r="AO56" s="20" t="s">
        <v>476</v>
      </c>
      <c r="AP56" s="20" t="s">
        <v>477</v>
      </c>
      <c r="AQ56" s="20" t="s">
        <v>321</v>
      </c>
      <c r="AS56" s="20">
        <v>30</v>
      </c>
      <c r="AT56" s="20" t="s">
        <v>506</v>
      </c>
      <c r="AU56" s="20" t="s">
        <v>506</v>
      </c>
      <c r="AV56" s="20" t="s">
        <v>506</v>
      </c>
      <c r="AW56" s="20" t="s">
        <v>506</v>
      </c>
      <c r="AX56" s="20"/>
      <c r="AY56" s="20"/>
      <c r="AZ56" s="20"/>
      <c r="BB56" s="20">
        <v>0</v>
      </c>
      <c r="BC56" s="20">
        <v>1</v>
      </c>
      <c r="BD56" s="20">
        <v>2</v>
      </c>
      <c r="BE56" s="20">
        <v>3</v>
      </c>
      <c r="BF56" s="20">
        <v>4</v>
      </c>
      <c r="BG56" s="20">
        <v>5</v>
      </c>
      <c r="BH56" s="20">
        <v>6</v>
      </c>
      <c r="BI56" s="20">
        <v>7</v>
      </c>
      <c r="BJ56" s="20">
        <v>8</v>
      </c>
      <c r="BK56" s="20">
        <v>9</v>
      </c>
      <c r="BL56" s="20">
        <v>10</v>
      </c>
      <c r="BM56" s="20">
        <v>11</v>
      </c>
      <c r="BN56" s="20">
        <v>12</v>
      </c>
      <c r="BO56" s="20">
        <v>13</v>
      </c>
      <c r="BP56" s="20">
        <v>14</v>
      </c>
      <c r="BQ56" s="20">
        <v>15</v>
      </c>
      <c r="BR56" s="20">
        <v>16</v>
      </c>
      <c r="BS56" s="20">
        <v>17</v>
      </c>
      <c r="BT56" s="20">
        <v>18</v>
      </c>
      <c r="BU56" s="20">
        <v>19</v>
      </c>
      <c r="BV56" s="20">
        <v>20</v>
      </c>
      <c r="BW56" s="20">
        <v>21</v>
      </c>
      <c r="BX56" s="20">
        <v>22</v>
      </c>
      <c r="BY56" s="20">
        <v>23</v>
      </c>
      <c r="BZ56" s="20">
        <v>24</v>
      </c>
      <c r="CA56" s="20">
        <v>25</v>
      </c>
      <c r="CB56" s="20">
        <v>26</v>
      </c>
      <c r="CC56" s="20">
        <v>27</v>
      </c>
      <c r="CD56" s="20">
        <v>28</v>
      </c>
      <c r="CE56" s="20">
        <v>29</v>
      </c>
      <c r="CF56" s="20">
        <v>30</v>
      </c>
      <c r="CG56" s="20">
        <v>31</v>
      </c>
      <c r="CH56" s="20">
        <v>32</v>
      </c>
      <c r="CI56" s="20">
        <v>33</v>
      </c>
      <c r="CJ56" s="20">
        <v>34</v>
      </c>
      <c r="CK56" s="20">
        <v>35</v>
      </c>
      <c r="CL56" s="20">
        <v>36</v>
      </c>
      <c r="CM56" s="20">
        <v>37</v>
      </c>
      <c r="CN56" s="20">
        <v>38</v>
      </c>
      <c r="CO56" s="20">
        <v>39</v>
      </c>
      <c r="CP56" s="20">
        <v>40</v>
      </c>
      <c r="CQ56" s="20">
        <v>41</v>
      </c>
      <c r="CR56" s="20">
        <v>42</v>
      </c>
      <c r="CS56" s="20">
        <v>43</v>
      </c>
      <c r="CT56" s="20">
        <v>44</v>
      </c>
      <c r="CU56" s="20">
        <v>45</v>
      </c>
      <c r="CV56" s="20">
        <v>46</v>
      </c>
      <c r="CW56" s="20">
        <v>47</v>
      </c>
      <c r="CX56" s="20">
        <v>48</v>
      </c>
      <c r="CY56" s="20">
        <v>49</v>
      </c>
      <c r="CZ56" s="20">
        <v>50</v>
      </c>
      <c r="DA56" s="54"/>
      <c r="DB56" s="54"/>
      <c r="DC56" s="54"/>
      <c r="DD56" s="20" t="s">
        <v>112</v>
      </c>
      <c r="DE56" s="20">
        <v>0</v>
      </c>
      <c r="DF56" s="20">
        <v>1</v>
      </c>
      <c r="DG56" s="20">
        <v>2</v>
      </c>
      <c r="DH56" s="20">
        <v>3</v>
      </c>
      <c r="DI56" s="20">
        <v>4</v>
      </c>
      <c r="DJ56" s="20">
        <v>5</v>
      </c>
      <c r="DK56" s="20">
        <v>6</v>
      </c>
      <c r="DL56" s="20">
        <v>7</v>
      </c>
      <c r="DM56" s="20">
        <v>8</v>
      </c>
      <c r="DN56" s="20">
        <v>9</v>
      </c>
      <c r="DO56" s="20">
        <v>10</v>
      </c>
      <c r="DP56" s="20">
        <v>11</v>
      </c>
      <c r="DQ56" s="20">
        <v>12</v>
      </c>
      <c r="DR56" s="20">
        <v>13</v>
      </c>
      <c r="DS56" s="20">
        <v>14</v>
      </c>
      <c r="DT56" s="20">
        <v>15</v>
      </c>
      <c r="DU56" s="20">
        <v>16</v>
      </c>
      <c r="DV56" s="20">
        <v>17</v>
      </c>
      <c r="DW56" s="20">
        <v>18</v>
      </c>
      <c r="DX56" s="20">
        <v>19</v>
      </c>
      <c r="DY56" s="20">
        <v>20</v>
      </c>
      <c r="DZ56" s="20"/>
      <c r="EA56" s="20"/>
      <c r="EB56" s="20"/>
      <c r="EC56" s="20">
        <v>0</v>
      </c>
      <c r="ED56" s="20">
        <v>1</v>
      </c>
      <c r="EE56" s="20">
        <v>2</v>
      </c>
      <c r="EF56" s="20">
        <v>3</v>
      </c>
      <c r="EG56" s="20">
        <v>4</v>
      </c>
      <c r="EH56" s="20">
        <v>5</v>
      </c>
      <c r="EI56" s="20">
        <v>6</v>
      </c>
      <c r="EJ56" s="20">
        <v>7</v>
      </c>
      <c r="EK56" s="20">
        <v>8</v>
      </c>
      <c r="EL56" s="20">
        <v>9</v>
      </c>
      <c r="EM56" s="20">
        <v>10</v>
      </c>
      <c r="EN56" s="20">
        <v>11</v>
      </c>
      <c r="EO56" s="20">
        <v>12</v>
      </c>
      <c r="EP56" s="20">
        <v>13</v>
      </c>
      <c r="EQ56" s="20">
        <v>14</v>
      </c>
      <c r="ER56" s="20">
        <v>15</v>
      </c>
      <c r="ES56" s="20">
        <v>16</v>
      </c>
      <c r="ET56" s="20">
        <v>17</v>
      </c>
      <c r="EU56" s="20">
        <v>18</v>
      </c>
      <c r="EV56" s="20">
        <v>19</v>
      </c>
      <c r="EW56" s="20">
        <v>20</v>
      </c>
      <c r="EX56" s="20">
        <v>21</v>
      </c>
      <c r="EY56" s="20">
        <v>22</v>
      </c>
      <c r="EZ56" s="20">
        <v>23</v>
      </c>
      <c r="FA56" s="20">
        <v>24</v>
      </c>
      <c r="FB56" s="20">
        <v>25</v>
      </c>
      <c r="FC56" s="20">
        <v>26</v>
      </c>
      <c r="FD56" s="20">
        <v>27</v>
      </c>
      <c r="FE56" s="20">
        <v>28</v>
      </c>
      <c r="FF56" s="20">
        <v>29</v>
      </c>
      <c r="FG56" s="20">
        <v>30</v>
      </c>
      <c r="FH56" s="20">
        <v>31</v>
      </c>
      <c r="FI56" s="20">
        <v>32</v>
      </c>
      <c r="FJ56" s="20">
        <v>33</v>
      </c>
      <c r="FK56" s="20">
        <v>34</v>
      </c>
      <c r="FL56" s="20">
        <v>35</v>
      </c>
      <c r="FM56" s="20">
        <v>36</v>
      </c>
      <c r="FN56" s="20">
        <v>37</v>
      </c>
      <c r="FO56" s="20">
        <v>38</v>
      </c>
      <c r="FP56" s="20">
        <v>39</v>
      </c>
      <c r="FQ56" s="20">
        <v>40</v>
      </c>
      <c r="FR56" s="20">
        <v>41</v>
      </c>
      <c r="FS56" s="20">
        <v>42</v>
      </c>
      <c r="FT56" s="20">
        <v>43</v>
      </c>
      <c r="FU56" s="20">
        <v>44</v>
      </c>
      <c r="FV56" s="20">
        <v>45</v>
      </c>
      <c r="FW56" s="20">
        <v>46</v>
      </c>
      <c r="FX56" s="20">
        <v>47</v>
      </c>
      <c r="FY56" s="20">
        <v>48</v>
      </c>
      <c r="FZ56" s="20">
        <v>49</v>
      </c>
      <c r="GA56" s="20">
        <v>50</v>
      </c>
      <c r="GC56" s="20"/>
      <c r="GD56" s="20"/>
      <c r="GE56" s="20"/>
      <c r="GF56" s="20">
        <v>0</v>
      </c>
      <c r="GG56" s="20">
        <v>1</v>
      </c>
      <c r="GH56" s="20">
        <v>2</v>
      </c>
      <c r="GI56" s="20">
        <v>3</v>
      </c>
      <c r="GJ56" s="20">
        <v>4</v>
      </c>
      <c r="GK56" s="20">
        <v>5</v>
      </c>
      <c r="GL56" s="20">
        <v>6</v>
      </c>
      <c r="GM56" s="20">
        <v>7</v>
      </c>
      <c r="GN56" s="20">
        <v>8</v>
      </c>
      <c r="GO56" s="20">
        <v>9</v>
      </c>
      <c r="GP56" s="20">
        <v>10</v>
      </c>
      <c r="GQ56" s="20">
        <v>11</v>
      </c>
      <c r="GR56" s="20">
        <v>12</v>
      </c>
      <c r="GS56" s="20">
        <v>13</v>
      </c>
      <c r="GT56" s="20">
        <v>14</v>
      </c>
      <c r="GU56" s="20">
        <v>15</v>
      </c>
      <c r="GV56" s="20">
        <v>16</v>
      </c>
      <c r="GW56" s="20">
        <v>17</v>
      </c>
      <c r="GX56" s="20">
        <v>18</v>
      </c>
      <c r="GY56" s="20">
        <v>19</v>
      </c>
      <c r="GZ56" s="20">
        <v>20</v>
      </c>
      <c r="HA56" s="20">
        <v>21</v>
      </c>
      <c r="HB56" s="20">
        <v>22</v>
      </c>
      <c r="HC56" s="20">
        <v>23</v>
      </c>
      <c r="HD56" s="20">
        <v>24</v>
      </c>
      <c r="HE56" s="20">
        <v>25</v>
      </c>
      <c r="HF56" s="20">
        <v>26</v>
      </c>
      <c r="HG56" s="20">
        <v>27</v>
      </c>
      <c r="HH56" s="20">
        <v>28</v>
      </c>
      <c r="HI56" s="20">
        <v>29</v>
      </c>
      <c r="HJ56" s="20">
        <v>30</v>
      </c>
      <c r="HK56" s="20">
        <v>31</v>
      </c>
      <c r="HL56" s="20">
        <v>32</v>
      </c>
      <c r="HM56" s="20">
        <v>33</v>
      </c>
      <c r="HN56" s="20">
        <v>34</v>
      </c>
      <c r="HO56" s="20">
        <v>35</v>
      </c>
      <c r="HP56" s="20">
        <v>36</v>
      </c>
      <c r="HQ56" s="20">
        <v>37</v>
      </c>
      <c r="HR56" s="20">
        <v>38</v>
      </c>
      <c r="HS56" s="20">
        <v>39</v>
      </c>
      <c r="HT56" s="20">
        <v>40</v>
      </c>
      <c r="HU56" s="20">
        <v>41</v>
      </c>
      <c r="HV56" s="20">
        <v>42</v>
      </c>
      <c r="HW56" s="20">
        <v>43</v>
      </c>
      <c r="HX56" s="20">
        <v>44</v>
      </c>
      <c r="HY56" s="20">
        <v>45</v>
      </c>
      <c r="HZ56" s="20">
        <v>46</v>
      </c>
      <c r="IA56" s="20">
        <v>47</v>
      </c>
      <c r="IB56" s="20">
        <v>48</v>
      </c>
      <c r="IC56" s="20">
        <v>49</v>
      </c>
      <c r="ID56" s="20">
        <v>50</v>
      </c>
      <c r="IG56" s="21">
        <v>0</v>
      </c>
      <c r="IH56" s="21">
        <v>1</v>
      </c>
      <c r="II56" s="21">
        <v>2</v>
      </c>
      <c r="IJ56" s="21">
        <v>3</v>
      </c>
      <c r="IK56" s="21">
        <v>4</v>
      </c>
      <c r="IL56" s="21">
        <v>5</v>
      </c>
      <c r="IM56" s="21">
        <v>6</v>
      </c>
      <c r="IN56" s="21">
        <v>7</v>
      </c>
      <c r="IO56" s="21">
        <v>8</v>
      </c>
      <c r="IP56" s="21">
        <v>9</v>
      </c>
      <c r="IQ56" s="21">
        <v>10</v>
      </c>
      <c r="IR56" s="21">
        <v>11</v>
      </c>
      <c r="IS56" s="21">
        <v>12</v>
      </c>
      <c r="IT56" s="21">
        <v>13</v>
      </c>
      <c r="IU56" s="21">
        <v>14</v>
      </c>
      <c r="IV56" s="21">
        <v>15</v>
      </c>
      <c r="IW56" s="21">
        <v>16</v>
      </c>
      <c r="IX56" s="21">
        <v>17</v>
      </c>
      <c r="IY56" s="21">
        <v>18</v>
      </c>
      <c r="IZ56" s="21">
        <v>19</v>
      </c>
      <c r="JA56" s="21">
        <v>20</v>
      </c>
      <c r="JB56" s="21">
        <v>21</v>
      </c>
      <c r="JC56" s="21">
        <v>22</v>
      </c>
      <c r="JD56" s="21">
        <v>23</v>
      </c>
      <c r="JE56" s="21">
        <v>24</v>
      </c>
      <c r="JF56" s="21">
        <v>25</v>
      </c>
      <c r="JI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57,$JT$2:$KS$2,0),MATCH($W$46,$AH$22:$AH$47,0)))*C57</f>
        <v>0</v>
      </c>
      <c r="JJ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57,$JT$2:$KS$2,0),MATCH($W$46,$AH$22:$AH$47,0)))*C57</f>
        <v>0</v>
      </c>
      <c r="JK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57,$JT$2:$KS$2,0),MATCH($W$46,$AH$22:$AH$47,0)))*C57</f>
        <v>0</v>
      </c>
      <c r="JL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57,$JT$2:$KS$2,0),MATCH($W$46,$AH$22:$AH$47,0)))*C57</f>
        <v>0</v>
      </c>
      <c r="JM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57,$JT$2:$KS$2,0),MATCH($W$46,$AH$22:$AH$47,0)))*C57</f>
        <v>0</v>
      </c>
      <c r="JN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57,$JT$2:$KS$2,0),MATCH($W$46,$AH$22:$AH$47,0)))*C57</f>
        <v>0</v>
      </c>
      <c r="JO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57,$JT$2:$KS$2,0),MATCH($W$46,$AH$22:$AH$47,0)))*C57</f>
        <v>0</v>
      </c>
      <c r="JP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57,$JT$2:$KS$2,0),MATCH($W$46,$AH$22:$AH$47,0)))*C57</f>
        <v>0</v>
      </c>
      <c r="JQ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57,$JT$2:$KS$2,0),MATCH($W$46,$AH$22:$AH$47,0)))*C57</f>
        <v>0</v>
      </c>
      <c r="JS56" s="26" t="s">
        <v>518</v>
      </c>
      <c r="JT56" s="20">
        <v>0</v>
      </c>
      <c r="JU56" s="20">
        <v>0</v>
      </c>
      <c r="JV56" s="20">
        <v>0</v>
      </c>
      <c r="JW56" s="20">
        <v>0</v>
      </c>
      <c r="JX56" s="20">
        <v>0</v>
      </c>
      <c r="JY56" s="20">
        <v>0</v>
      </c>
      <c r="JZ56" s="20">
        <v>0</v>
      </c>
      <c r="KA56" s="20">
        <v>0</v>
      </c>
      <c r="KB56" s="20">
        <v>0</v>
      </c>
      <c r="KC56" s="20">
        <v>0</v>
      </c>
      <c r="KD56" s="20">
        <v>0</v>
      </c>
      <c r="KE56" s="20">
        <v>0</v>
      </c>
      <c r="KF56" s="20">
        <v>0</v>
      </c>
      <c r="KG56" s="20">
        <v>0</v>
      </c>
      <c r="KH56" s="20">
        <v>0</v>
      </c>
      <c r="KI56" s="20">
        <v>4</v>
      </c>
      <c r="KJ56" s="20">
        <v>0</v>
      </c>
      <c r="KK56" s="20">
        <v>0</v>
      </c>
      <c r="KL56" s="20">
        <v>0</v>
      </c>
      <c r="KM56" s="20">
        <v>2</v>
      </c>
      <c r="KN56" s="20">
        <v>0</v>
      </c>
      <c r="KO56" s="20">
        <v>2</v>
      </c>
      <c r="KP56" s="20">
        <v>2</v>
      </c>
      <c r="KQ56" s="20">
        <v>0</v>
      </c>
      <c r="KR56" s="20">
        <v>4</v>
      </c>
      <c r="KS56" s="20">
        <v>2</v>
      </c>
      <c r="KU56" s="26" t="s">
        <v>518</v>
      </c>
      <c r="KV56" s="20">
        <v>0</v>
      </c>
      <c r="KW56" s="20">
        <v>0</v>
      </c>
      <c r="KX56" s="20">
        <v>0</v>
      </c>
      <c r="KY56" s="20">
        <v>0</v>
      </c>
      <c r="KZ56" s="20">
        <v>0</v>
      </c>
      <c r="LA56" s="20">
        <v>0</v>
      </c>
      <c r="LB56" s="20">
        <v>2</v>
      </c>
      <c r="LC56" s="20">
        <v>0</v>
      </c>
      <c r="LD56" s="20">
        <v>4</v>
      </c>
      <c r="LE56" s="20">
        <v>0</v>
      </c>
      <c r="LF56" s="20">
        <v>0</v>
      </c>
      <c r="LG56" s="20">
        <v>0</v>
      </c>
      <c r="LH56" s="20">
        <v>0</v>
      </c>
      <c r="LI56" s="20">
        <v>0</v>
      </c>
      <c r="LJ56" s="20">
        <v>0</v>
      </c>
      <c r="LK56" s="20">
        <v>0</v>
      </c>
      <c r="LL56" s="20">
        <v>0</v>
      </c>
      <c r="LM56" s="20">
        <v>0</v>
      </c>
      <c r="LN56" s="20">
        <v>0</v>
      </c>
      <c r="LO56" s="20">
        <v>2</v>
      </c>
      <c r="LP56" s="20">
        <v>0</v>
      </c>
      <c r="LQ56" s="20">
        <v>2</v>
      </c>
      <c r="LR56" s="20">
        <v>0</v>
      </c>
      <c r="LS56" s="20">
        <v>0</v>
      </c>
      <c r="LT56" s="20">
        <v>0</v>
      </c>
      <c r="LU56" s="20">
        <v>0</v>
      </c>
      <c r="LW56" s="26" t="s">
        <v>518</v>
      </c>
      <c r="LX56" s="20">
        <v>0</v>
      </c>
      <c r="LY56" s="20">
        <v>0</v>
      </c>
      <c r="LZ56" s="20">
        <v>0</v>
      </c>
      <c r="MA56" s="20">
        <v>0</v>
      </c>
      <c r="MB56" s="20">
        <v>0</v>
      </c>
      <c r="MC56" s="20">
        <v>0</v>
      </c>
      <c r="MD56" s="20">
        <v>0</v>
      </c>
      <c r="ME56" s="20">
        <v>0</v>
      </c>
      <c r="MF56" s="20">
        <v>0</v>
      </c>
      <c r="MG56" s="20">
        <v>2</v>
      </c>
      <c r="MH56" s="20">
        <v>4</v>
      </c>
      <c r="MI56" s="20">
        <v>0</v>
      </c>
      <c r="MJ56" s="20">
        <v>2</v>
      </c>
      <c r="MK56" s="20">
        <v>0</v>
      </c>
      <c r="ML56" s="20">
        <v>2</v>
      </c>
      <c r="MM56" s="20">
        <v>2</v>
      </c>
      <c r="MN56" s="20">
        <v>0</v>
      </c>
      <c r="MO56" s="20">
        <v>0</v>
      </c>
      <c r="MP56" s="20">
        <v>0</v>
      </c>
      <c r="MQ56" s="20">
        <v>0</v>
      </c>
      <c r="MR56" s="20">
        <v>0</v>
      </c>
      <c r="MS56" s="20">
        <v>0</v>
      </c>
      <c r="MT56" s="20">
        <v>2</v>
      </c>
      <c r="MU56" s="20">
        <v>0</v>
      </c>
      <c r="MV56" s="20">
        <v>0</v>
      </c>
      <c r="MW56" s="20">
        <v>0</v>
      </c>
      <c r="MY56" s="21" t="s">
        <v>518</v>
      </c>
      <c r="MZ56" s="21">
        <v>0</v>
      </c>
      <c r="NA56" s="21">
        <v>0</v>
      </c>
      <c r="NB56" s="21">
        <v>0</v>
      </c>
      <c r="NC56" s="21">
        <v>4</v>
      </c>
      <c r="ND56" s="21">
        <v>2</v>
      </c>
      <c r="NE56" s="21">
        <v>0</v>
      </c>
      <c r="NF56" s="21">
        <v>0</v>
      </c>
      <c r="NG56" s="21">
        <v>0</v>
      </c>
      <c r="NH56" s="21">
        <v>0</v>
      </c>
      <c r="NI56" s="21">
        <v>0</v>
      </c>
      <c r="NJ56" s="21">
        <v>2</v>
      </c>
      <c r="NK56" s="21">
        <v>2</v>
      </c>
      <c r="NL56" s="21">
        <v>0</v>
      </c>
      <c r="NM56" s="21">
        <v>0</v>
      </c>
      <c r="NN56" s="21">
        <v>0</v>
      </c>
      <c r="NO56" s="21">
        <v>2</v>
      </c>
      <c r="NP56" s="21">
        <v>0</v>
      </c>
      <c r="NQ56" s="21">
        <v>0</v>
      </c>
      <c r="NR56" s="21">
        <v>2</v>
      </c>
      <c r="NS56" s="21">
        <v>0</v>
      </c>
      <c r="NT56" s="21">
        <v>0</v>
      </c>
      <c r="NU56" s="21">
        <v>0</v>
      </c>
      <c r="NV56" s="21">
        <v>2</v>
      </c>
      <c r="NW56" s="21">
        <v>2</v>
      </c>
      <c r="NX56" s="21">
        <v>0</v>
      </c>
      <c r="NY56" s="21">
        <v>0</v>
      </c>
    </row>
    <row r="57" spans="1:389" x14ac:dyDescent="0.25">
      <c r="A57" s="8"/>
      <c r="B57" s="5" t="s">
        <v>116</v>
      </c>
      <c r="C57" s="8"/>
      <c r="D57" s="6" t="s">
        <v>129</v>
      </c>
      <c r="E57" s="8" t="s">
        <v>130</v>
      </c>
      <c r="F57" s="63" t="str">
        <f>IF(E61="40x35 stal","niekompatybilne z profilem stalowym","")</f>
        <v/>
      </c>
      <c r="G57" s="5"/>
      <c r="H57" s="5"/>
      <c r="I57" s="5"/>
      <c r="J57" s="5"/>
      <c r="K57" s="4"/>
      <c r="L57" s="6" t="str">
        <f>IF($E$61=$AK$22,"PAL40H40/2,4",IF($E$61=$AK$23,"-------",IF($E$61=$AK$24,"-------","-------")))</f>
        <v>PAL40H40/2,4</v>
      </c>
      <c r="M57" s="14">
        <f>INDEX(cennik!$C$2:$L$529,MATCH($L57,cennik!$B$2:$B$522,0),MATCH(M$27,cennik!$C$1:$L$1,0))</f>
        <v>894624</v>
      </c>
      <c r="N57" s="14" t="str">
        <f>INDEX(cennik!$C$2:$L$529,MATCH($L57,cennik!$B$2:$B$522,0),MATCH(N$27,cennik!$C$1:$L$1,0))</f>
        <v>szt.</v>
      </c>
      <c r="O57" s="14">
        <f>IF(L57="-------",0,SUM(JM52:JM67))</f>
        <v>0</v>
      </c>
      <c r="P57" s="22">
        <f>INDEX(cennik!$C$2:$L$529,MATCH($L57,cennik!$B$2:$B$522,0),MATCH(P$27,cennik!$C$1:$L$1,0))</f>
        <v>74.400000000000006</v>
      </c>
      <c r="Q57" s="22">
        <f t="shared" ref="Q57" si="62">O57*P57</f>
        <v>0</v>
      </c>
      <c r="R57" s="23">
        <f>$E$59</f>
        <v>0</v>
      </c>
      <c r="S57" s="22">
        <f>P57*((100-$E$59)/100)</f>
        <v>74.400000000000006</v>
      </c>
      <c r="T57" s="22">
        <f t="shared" ref="T57" si="63">O57*S57</f>
        <v>0</v>
      </c>
      <c r="U57" s="22">
        <f>INDEX(cennik!$C$2:$L$529,MATCH($L57,cennik!$B$2:$B$522,0),MATCH(U$27,cennik!$C$1:$L$1,0))*O57</f>
        <v>0</v>
      </c>
      <c r="V57" s="20"/>
      <c r="W57" s="20"/>
      <c r="X57" s="25">
        <f t="shared" si="52"/>
        <v>0</v>
      </c>
      <c r="Y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63,$BB$2:$CA$2,0),MATCH($W$46,$AH$22:$AH$47,0)))*C63</f>
        <v>0</v>
      </c>
      <c r="Z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63,$BB$2:$CA$2,0),MATCH($W$46,$AH$22:$AH$47,0)))*C63</f>
        <v>0</v>
      </c>
      <c r="AA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63,$BB$2:$CA$2,0),MATCH($W$46,$AH$22:$AH$47,0)))*C63</f>
        <v>0</v>
      </c>
      <c r="AB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63,$BB$2:$CA$2,0),MATCH($W$46,$AH$22:$AH$47,0)))*C63</f>
        <v>0</v>
      </c>
      <c r="AC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63,$BB$2:$CA$2,0),MATCH($W$46,$AH$22:$AH$47,0)))*C63</f>
        <v>0</v>
      </c>
      <c r="AD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63,$BB$2:$CA$2,0),MATCH($W$46,$AH$22:$AH$47,0)))*C63</f>
        <v>0</v>
      </c>
      <c r="AE57" s="20"/>
      <c r="AF57" s="20"/>
      <c r="AG57" s="20">
        <v>35</v>
      </c>
      <c r="AH57" s="20" t="s">
        <v>881</v>
      </c>
      <c r="AI57" s="20">
        <v>0</v>
      </c>
      <c r="AJ57" s="20"/>
      <c r="AK57" s="20"/>
      <c r="AL57" s="20">
        <f t="shared" si="53"/>
        <v>0</v>
      </c>
      <c r="AM57" s="20">
        <v>32</v>
      </c>
      <c r="AN57" s="20" t="s">
        <v>26</v>
      </c>
      <c r="AO57" s="20" t="s">
        <v>27</v>
      </c>
      <c r="AP57" s="20" t="s">
        <v>110</v>
      </c>
      <c r="AQ57" s="20" t="s">
        <v>321</v>
      </c>
      <c r="AS57" s="20">
        <v>32</v>
      </c>
      <c r="AT57" s="20" t="s">
        <v>506</v>
      </c>
      <c r="AU57" s="20" t="s">
        <v>506</v>
      </c>
      <c r="AV57" s="20" t="s">
        <v>506</v>
      </c>
      <c r="AW57" s="20" t="s">
        <v>506</v>
      </c>
      <c r="AX57" s="20"/>
      <c r="AY57" s="20"/>
      <c r="AZ57" s="20"/>
      <c r="BA57" s="20" t="s">
        <v>126</v>
      </c>
      <c r="BB57" s="20">
        <v>0</v>
      </c>
      <c r="BC57" s="20">
        <v>0</v>
      </c>
      <c r="BD57" s="20">
        <v>0</v>
      </c>
      <c r="BE57" s="20">
        <v>0</v>
      </c>
      <c r="BF57" s="20">
        <v>0</v>
      </c>
      <c r="BG57" s="20">
        <v>0</v>
      </c>
      <c r="BH57" s="20">
        <v>0</v>
      </c>
      <c r="BI57" s="20">
        <v>0</v>
      </c>
      <c r="BJ57" s="20">
        <v>0</v>
      </c>
      <c r="BK57" s="20">
        <v>0</v>
      </c>
      <c r="BL57" s="20">
        <v>0</v>
      </c>
      <c r="BM57" s="20">
        <v>0</v>
      </c>
      <c r="BN57" s="20">
        <v>0</v>
      </c>
      <c r="BO57" s="20">
        <v>0</v>
      </c>
      <c r="BP57" s="20">
        <v>0</v>
      </c>
      <c r="BQ57" s="20">
        <v>2</v>
      </c>
      <c r="BR57" s="20">
        <v>0</v>
      </c>
      <c r="BS57" s="20">
        <v>0</v>
      </c>
      <c r="BT57" s="20">
        <v>0</v>
      </c>
      <c r="BU57" s="20">
        <v>0</v>
      </c>
      <c r="BV57" s="20">
        <v>0</v>
      </c>
      <c r="BW57" s="20">
        <v>0</v>
      </c>
      <c r="BX57" s="20">
        <v>0</v>
      </c>
      <c r="BY57" s="20">
        <v>0</v>
      </c>
      <c r="BZ57" s="20">
        <v>0</v>
      </c>
      <c r="CA57" s="20">
        <v>0</v>
      </c>
      <c r="CB57" s="20">
        <v>0</v>
      </c>
      <c r="CC57" s="20">
        <v>0</v>
      </c>
      <c r="CD57" s="20">
        <v>0</v>
      </c>
      <c r="CE57" s="20">
        <v>0</v>
      </c>
      <c r="CF57" s="20">
        <v>0</v>
      </c>
      <c r="CG57" s="20">
        <v>0</v>
      </c>
      <c r="CH57" s="20">
        <v>0</v>
      </c>
      <c r="CI57" s="20">
        <v>0</v>
      </c>
      <c r="CJ57" s="20">
        <v>0</v>
      </c>
      <c r="CK57" s="20">
        <v>0</v>
      </c>
      <c r="CL57" s="20">
        <v>0</v>
      </c>
      <c r="CM57" s="20">
        <v>0</v>
      </c>
      <c r="CN57" s="20">
        <v>0</v>
      </c>
      <c r="CO57" s="20">
        <v>0</v>
      </c>
      <c r="CP57" s="20">
        <v>0</v>
      </c>
      <c r="CQ57" s="20">
        <v>0</v>
      </c>
      <c r="CR57" s="20">
        <v>0</v>
      </c>
      <c r="CS57" s="20">
        <v>0</v>
      </c>
      <c r="CT57" s="20">
        <v>0</v>
      </c>
      <c r="CU57" s="20">
        <v>0</v>
      </c>
      <c r="CV57" s="20">
        <v>0</v>
      </c>
      <c r="CW57" s="20">
        <v>0</v>
      </c>
      <c r="CX57" s="20">
        <v>0</v>
      </c>
      <c r="CY57" s="20">
        <v>0</v>
      </c>
      <c r="CZ57" s="20">
        <v>0</v>
      </c>
      <c r="DA57" s="54"/>
      <c r="DB57" s="54"/>
      <c r="DC57" s="54"/>
      <c r="DD57" s="20" t="s">
        <v>127</v>
      </c>
      <c r="DE57" s="20">
        <v>0</v>
      </c>
      <c r="DF57" s="20">
        <v>2</v>
      </c>
      <c r="DG57" s="20">
        <v>4</v>
      </c>
      <c r="DH57" s="20">
        <v>2</v>
      </c>
      <c r="DI57" s="20">
        <v>4</v>
      </c>
      <c r="DJ57" s="20">
        <v>2</v>
      </c>
      <c r="DK57" s="20">
        <v>4</v>
      </c>
      <c r="DL57" s="20">
        <v>2</v>
      </c>
      <c r="DM57" s="20">
        <v>4</v>
      </c>
      <c r="DN57" s="20">
        <v>0</v>
      </c>
      <c r="DO57" s="20">
        <v>4</v>
      </c>
      <c r="DP57" s="20">
        <v>0</v>
      </c>
      <c r="DQ57" s="20">
        <v>4</v>
      </c>
      <c r="DR57" s="20">
        <v>0</v>
      </c>
      <c r="DS57" s="20">
        <v>4</v>
      </c>
      <c r="DT57" s="20">
        <v>0</v>
      </c>
      <c r="DU57" s="20">
        <v>2</v>
      </c>
      <c r="DV57" s="20">
        <v>0</v>
      </c>
      <c r="DW57" s="20">
        <v>2</v>
      </c>
      <c r="DX57" s="20">
        <v>0</v>
      </c>
      <c r="DY57" s="20">
        <v>2</v>
      </c>
      <c r="DZ57" s="20"/>
      <c r="EA57" s="20"/>
      <c r="EB57" s="20" t="s">
        <v>126</v>
      </c>
      <c r="EC57" s="20">
        <v>0</v>
      </c>
      <c r="ED57" s="20">
        <v>0</v>
      </c>
      <c r="EE57" s="20">
        <v>0</v>
      </c>
      <c r="EF57" s="20">
        <v>2</v>
      </c>
      <c r="EG57" s="20">
        <v>0</v>
      </c>
      <c r="EH57" s="20">
        <v>0</v>
      </c>
      <c r="EI57" s="20">
        <v>0</v>
      </c>
      <c r="EJ57" s="20">
        <v>0</v>
      </c>
      <c r="EK57" s="20">
        <v>0</v>
      </c>
      <c r="EL57" s="20">
        <v>0</v>
      </c>
      <c r="EM57" s="20">
        <v>0</v>
      </c>
      <c r="EN57" s="20">
        <v>0</v>
      </c>
      <c r="EO57" s="20">
        <v>0</v>
      </c>
      <c r="EP57" s="20">
        <v>0</v>
      </c>
      <c r="EQ57" s="20">
        <v>0</v>
      </c>
      <c r="ER57" s="20">
        <v>0</v>
      </c>
      <c r="ES57" s="20">
        <v>0</v>
      </c>
      <c r="ET57" s="20">
        <v>0</v>
      </c>
      <c r="EU57" s="20">
        <v>0</v>
      </c>
      <c r="EV57" s="20">
        <v>0</v>
      </c>
      <c r="EW57" s="20">
        <v>0</v>
      </c>
      <c r="EX57" s="20">
        <v>0</v>
      </c>
      <c r="EY57" s="20">
        <v>0</v>
      </c>
      <c r="EZ57" s="20">
        <v>0</v>
      </c>
      <c r="FA57" s="20">
        <v>0</v>
      </c>
      <c r="FB57" s="20">
        <v>0</v>
      </c>
      <c r="FC57" s="20">
        <v>0</v>
      </c>
      <c r="FD57" s="20">
        <v>0</v>
      </c>
      <c r="FE57" s="20">
        <v>0</v>
      </c>
      <c r="FF57" s="20">
        <v>0</v>
      </c>
      <c r="FG57" s="20">
        <v>0</v>
      </c>
      <c r="FH57" s="20">
        <v>0</v>
      </c>
      <c r="FI57" s="20">
        <v>0</v>
      </c>
      <c r="FJ57" s="20">
        <v>0</v>
      </c>
      <c r="FK57" s="20">
        <v>0</v>
      </c>
      <c r="FL57" s="20">
        <v>0</v>
      </c>
      <c r="FM57" s="20">
        <v>0</v>
      </c>
      <c r="FN57" s="20">
        <v>0</v>
      </c>
      <c r="FO57" s="20">
        <v>0</v>
      </c>
      <c r="FP57" s="20">
        <v>0</v>
      </c>
      <c r="FQ57" s="20">
        <v>0</v>
      </c>
      <c r="FR57" s="20">
        <v>0</v>
      </c>
      <c r="FS57" s="20">
        <v>0</v>
      </c>
      <c r="FT57" s="20">
        <v>0</v>
      </c>
      <c r="FU57" s="20">
        <v>0</v>
      </c>
      <c r="FV57" s="20">
        <v>0</v>
      </c>
      <c r="FW57" s="20">
        <v>0</v>
      </c>
      <c r="FX57" s="20">
        <v>0</v>
      </c>
      <c r="FY57" s="20">
        <v>0</v>
      </c>
      <c r="FZ57" s="20">
        <v>0</v>
      </c>
      <c r="GA57" s="20">
        <v>0</v>
      </c>
      <c r="GC57" s="20"/>
      <c r="GD57" s="20"/>
      <c r="GE57" s="20" t="s">
        <v>126</v>
      </c>
      <c r="GF57" s="20">
        <v>0</v>
      </c>
      <c r="GG57" s="20">
        <v>0</v>
      </c>
      <c r="GH57" s="20">
        <v>0</v>
      </c>
      <c r="GI57" s="20">
        <v>0</v>
      </c>
      <c r="GJ57" s="20">
        <v>0</v>
      </c>
      <c r="GK57" s="20">
        <v>0</v>
      </c>
      <c r="GL57" s="20">
        <v>0</v>
      </c>
      <c r="GM57" s="20">
        <v>0</v>
      </c>
      <c r="GN57" s="20">
        <v>0</v>
      </c>
      <c r="GO57" s="20">
        <v>0</v>
      </c>
      <c r="GP57" s="20">
        <v>0</v>
      </c>
      <c r="GQ57" s="20">
        <v>0</v>
      </c>
      <c r="GR57" s="20">
        <v>0</v>
      </c>
      <c r="GS57" s="20">
        <v>0</v>
      </c>
      <c r="GT57" s="20">
        <v>0</v>
      </c>
      <c r="GU57" s="20">
        <v>0</v>
      </c>
      <c r="GV57" s="20">
        <v>0</v>
      </c>
      <c r="GW57" s="20">
        <v>0</v>
      </c>
      <c r="GX57" s="20">
        <v>0</v>
      </c>
      <c r="GY57" s="20">
        <v>0</v>
      </c>
      <c r="GZ57" s="20">
        <v>0</v>
      </c>
      <c r="HA57" s="20">
        <v>0</v>
      </c>
      <c r="HB57" s="20">
        <v>0</v>
      </c>
      <c r="HC57" s="20">
        <v>0</v>
      </c>
      <c r="HD57" s="20">
        <v>0</v>
      </c>
      <c r="HE57" s="20">
        <v>0</v>
      </c>
      <c r="HF57" s="20">
        <v>0</v>
      </c>
      <c r="HG57" s="20">
        <v>0</v>
      </c>
      <c r="HH57" s="20">
        <v>0</v>
      </c>
      <c r="HI57" s="20">
        <v>0</v>
      </c>
      <c r="HJ57" s="20">
        <v>0</v>
      </c>
      <c r="HK57" s="20">
        <v>0</v>
      </c>
      <c r="HL57" s="20">
        <v>0</v>
      </c>
      <c r="HM57" s="20">
        <v>0</v>
      </c>
      <c r="HN57" s="20">
        <v>0</v>
      </c>
      <c r="HO57" s="20">
        <v>0</v>
      </c>
      <c r="HP57" s="20">
        <v>0</v>
      </c>
      <c r="HQ57" s="20">
        <v>0</v>
      </c>
      <c r="HR57" s="20">
        <v>0</v>
      </c>
      <c r="HS57" s="20">
        <v>0</v>
      </c>
      <c r="HT57" s="20">
        <v>0</v>
      </c>
      <c r="HU57" s="20">
        <v>0</v>
      </c>
      <c r="HV57" s="20">
        <v>0</v>
      </c>
      <c r="HW57" s="20">
        <v>0</v>
      </c>
      <c r="HX57" s="20">
        <v>0</v>
      </c>
      <c r="HY57" s="20">
        <v>0</v>
      </c>
      <c r="HZ57" s="20">
        <v>0</v>
      </c>
      <c r="IA57" s="20">
        <v>0</v>
      </c>
      <c r="IB57" s="20">
        <v>0</v>
      </c>
      <c r="IC57" s="20">
        <v>0</v>
      </c>
      <c r="ID57" s="20">
        <v>0</v>
      </c>
      <c r="IF57" s="21" t="s">
        <v>126</v>
      </c>
      <c r="IG57" s="21">
        <v>0</v>
      </c>
      <c r="IH57" s="21">
        <v>0</v>
      </c>
      <c r="II57" s="21">
        <v>0</v>
      </c>
      <c r="IJ57" s="21">
        <v>0</v>
      </c>
      <c r="IK57" s="21">
        <v>0</v>
      </c>
      <c r="IL57" s="21">
        <v>0</v>
      </c>
      <c r="IM57" s="21">
        <v>0</v>
      </c>
      <c r="IN57" s="21">
        <v>0</v>
      </c>
      <c r="IO57" s="21">
        <v>0</v>
      </c>
      <c r="IP57" s="21">
        <v>0</v>
      </c>
      <c r="IQ57" s="21">
        <v>0</v>
      </c>
      <c r="IR57" s="21">
        <v>0</v>
      </c>
      <c r="IS57" s="21">
        <v>0</v>
      </c>
      <c r="IT57" s="21">
        <v>0</v>
      </c>
      <c r="IU57" s="21">
        <v>0</v>
      </c>
      <c r="IV57" s="21">
        <v>0</v>
      </c>
      <c r="IW57" s="21">
        <v>0</v>
      </c>
      <c r="IX57" s="21">
        <v>0</v>
      </c>
      <c r="IY57" s="21">
        <v>0</v>
      </c>
      <c r="IZ57" s="21">
        <v>0</v>
      </c>
      <c r="JA57" s="21">
        <v>0</v>
      </c>
      <c r="JB57" s="21">
        <v>0</v>
      </c>
      <c r="JC57" s="21">
        <v>0</v>
      </c>
      <c r="JD57" s="21">
        <v>0</v>
      </c>
      <c r="JE57" s="21">
        <v>0</v>
      </c>
      <c r="JF57" s="21">
        <v>0</v>
      </c>
      <c r="JI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58,$JT$2:$KS$2,0),MATCH($W$46,$AH$22:$AH$47,0)))*C58</f>
        <v>0</v>
      </c>
      <c r="JJ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58,$JT$2:$KS$2,0),MATCH($W$46,$AH$22:$AH$47,0)))*C58</f>
        <v>0</v>
      </c>
      <c r="JK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58,$JT$2:$KS$2,0),MATCH($W$46,$AH$22:$AH$47,0)))*C58</f>
        <v>0</v>
      </c>
      <c r="JL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58,$JT$2:$KS$2,0),MATCH($W$46,$AH$22:$AH$47,0)))*C58</f>
        <v>0</v>
      </c>
      <c r="JM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58,$JT$2:$KS$2,0),MATCH($W$46,$AH$22:$AH$47,0)))*C58</f>
        <v>0</v>
      </c>
      <c r="JN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58,$JT$2:$KS$2,0),MATCH($W$46,$AH$22:$AH$47,0)))*C58</f>
        <v>0</v>
      </c>
      <c r="JO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58,$JT$2:$KS$2,0),MATCH($W$46,$AH$22:$AH$47,0)))*C58</f>
        <v>0</v>
      </c>
      <c r="JP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58,$JT$2:$KS$2,0),MATCH($W$46,$AH$22:$AH$47,0)))*C58</f>
        <v>0</v>
      </c>
      <c r="JQ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58,$JT$2:$KS$2,0),MATCH($W$46,$AH$22:$AH$47,0)))*C58</f>
        <v>0</v>
      </c>
      <c r="JS57" s="26" t="s">
        <v>519</v>
      </c>
      <c r="JT57" s="20">
        <v>0</v>
      </c>
      <c r="JU57" s="20">
        <v>0</v>
      </c>
      <c r="JV57" s="20">
        <v>0</v>
      </c>
      <c r="JW57" s="20">
        <v>0</v>
      </c>
      <c r="JX57" s="20">
        <v>2</v>
      </c>
      <c r="JY57" s="20">
        <v>4</v>
      </c>
      <c r="JZ57" s="20">
        <v>2</v>
      </c>
      <c r="KA57" s="20">
        <v>4</v>
      </c>
      <c r="KB57" s="20">
        <v>6</v>
      </c>
      <c r="KC57" s="20">
        <v>4</v>
      </c>
      <c r="KD57" s="20">
        <v>6</v>
      </c>
      <c r="KE57" s="20">
        <v>8</v>
      </c>
      <c r="KF57" s="20">
        <v>6</v>
      </c>
      <c r="KG57" s="20">
        <v>8</v>
      </c>
      <c r="KH57" s="20">
        <v>8</v>
      </c>
      <c r="KI57" s="20">
        <v>8</v>
      </c>
      <c r="KJ57" s="20">
        <v>6</v>
      </c>
      <c r="KK57" s="20">
        <v>8</v>
      </c>
      <c r="KL57" s="20">
        <v>4</v>
      </c>
      <c r="KM57" s="20">
        <v>6</v>
      </c>
      <c r="KN57" s="20">
        <v>6</v>
      </c>
      <c r="KO57" s="20">
        <v>4</v>
      </c>
      <c r="KP57" s="20">
        <v>8</v>
      </c>
      <c r="KQ57" s="20">
        <v>6</v>
      </c>
      <c r="KR57" s="20">
        <v>4</v>
      </c>
      <c r="KS57" s="20">
        <v>4</v>
      </c>
      <c r="KU57" s="26" t="s">
        <v>519</v>
      </c>
      <c r="KV57" s="20">
        <v>0</v>
      </c>
      <c r="KW57" s="20">
        <v>0</v>
      </c>
      <c r="KX57" s="20">
        <v>0</v>
      </c>
      <c r="KY57" s="20">
        <v>0</v>
      </c>
      <c r="KZ57" s="20">
        <v>2</v>
      </c>
      <c r="LA57" s="20">
        <v>6</v>
      </c>
      <c r="LB57" s="20">
        <v>2</v>
      </c>
      <c r="LC57" s="20">
        <v>8</v>
      </c>
      <c r="LD57" s="20">
        <v>0</v>
      </c>
      <c r="LE57" s="20">
        <v>6</v>
      </c>
      <c r="LF57" s="20">
        <v>10</v>
      </c>
      <c r="LG57" s="20">
        <v>2</v>
      </c>
      <c r="LH57" s="20">
        <v>8</v>
      </c>
      <c r="LI57" s="20">
        <v>0</v>
      </c>
      <c r="LJ57" s="20">
        <v>2</v>
      </c>
      <c r="LK57" s="20">
        <v>6</v>
      </c>
      <c r="LL57" s="20">
        <v>14</v>
      </c>
      <c r="LM57" s="20">
        <v>6</v>
      </c>
      <c r="LN57" s="20">
        <v>10</v>
      </c>
      <c r="LO57" s="20">
        <v>16</v>
      </c>
      <c r="LP57" s="20">
        <v>8</v>
      </c>
      <c r="LQ57" s="20">
        <v>12</v>
      </c>
      <c r="LR57" s="20">
        <v>4</v>
      </c>
      <c r="LS57" s="20">
        <v>24</v>
      </c>
      <c r="LT57" s="20">
        <v>0</v>
      </c>
      <c r="LU57" s="20">
        <v>20</v>
      </c>
      <c r="LW57" s="26" t="s">
        <v>519</v>
      </c>
      <c r="LX57" s="20">
        <v>0</v>
      </c>
      <c r="LY57" s="20">
        <v>0</v>
      </c>
      <c r="LZ57" s="20">
        <v>0</v>
      </c>
      <c r="MA57" s="20">
        <v>4</v>
      </c>
      <c r="MB57" s="20">
        <v>4</v>
      </c>
      <c r="MC57" s="20">
        <v>4</v>
      </c>
      <c r="MD57" s="20">
        <v>8</v>
      </c>
      <c r="ME57" s="20">
        <v>2</v>
      </c>
      <c r="MF57" s="20">
        <v>2</v>
      </c>
      <c r="MG57" s="20">
        <v>4</v>
      </c>
      <c r="MH57" s="20">
        <v>6</v>
      </c>
      <c r="MI57" s="20">
        <v>8</v>
      </c>
      <c r="MJ57" s="20">
        <v>10</v>
      </c>
      <c r="MK57" s="20">
        <v>0</v>
      </c>
      <c r="ML57" s="20">
        <v>0</v>
      </c>
      <c r="MM57" s="20">
        <v>18</v>
      </c>
      <c r="MN57" s="20">
        <v>4</v>
      </c>
      <c r="MO57" s="20">
        <v>22</v>
      </c>
      <c r="MP57" s="20">
        <v>22</v>
      </c>
      <c r="MQ57" s="20">
        <v>12</v>
      </c>
      <c r="MR57" s="20">
        <v>12</v>
      </c>
      <c r="MS57" s="20">
        <v>0</v>
      </c>
      <c r="MT57" s="20">
        <v>8</v>
      </c>
      <c r="MU57" s="20">
        <v>18</v>
      </c>
      <c r="MV57" s="20">
        <v>8</v>
      </c>
      <c r="MW57" s="20">
        <v>24</v>
      </c>
      <c r="MY57" s="21" t="s">
        <v>519</v>
      </c>
      <c r="MZ57" s="21">
        <v>0</v>
      </c>
      <c r="NA57" s="21">
        <v>2</v>
      </c>
      <c r="NB57" s="21">
        <v>2</v>
      </c>
      <c r="NC57" s="21">
        <v>2</v>
      </c>
      <c r="ND57" s="21">
        <v>0</v>
      </c>
      <c r="NE57" s="21">
        <v>8</v>
      </c>
      <c r="NF57" s="21">
        <v>4</v>
      </c>
      <c r="NG57" s="21">
        <v>4</v>
      </c>
      <c r="NH57" s="21">
        <v>10</v>
      </c>
      <c r="NI57" s="21">
        <v>8</v>
      </c>
      <c r="NJ57" s="21">
        <v>4</v>
      </c>
      <c r="NK57" s="21">
        <v>16</v>
      </c>
      <c r="NL57" s="21">
        <v>0</v>
      </c>
      <c r="NM57" s="21">
        <v>8</v>
      </c>
      <c r="NN57" s="21">
        <v>18</v>
      </c>
      <c r="NO57" s="21">
        <v>14</v>
      </c>
      <c r="NP57" s="21">
        <v>0</v>
      </c>
      <c r="NQ57" s="21">
        <v>6</v>
      </c>
      <c r="NR57" s="21">
        <v>2</v>
      </c>
      <c r="NS57" s="21">
        <v>28</v>
      </c>
      <c r="NT57" s="21">
        <v>0</v>
      </c>
      <c r="NU57" s="21">
        <v>6</v>
      </c>
      <c r="NV57" s="21">
        <v>8</v>
      </c>
      <c r="NW57" s="21">
        <v>12</v>
      </c>
      <c r="NX57" s="21">
        <v>0</v>
      </c>
      <c r="NY57" s="21">
        <v>4</v>
      </c>
    </row>
    <row r="58" spans="1:389" x14ac:dyDescent="0.25">
      <c r="A58" s="8"/>
      <c r="B58" s="5" t="s">
        <v>116</v>
      </c>
      <c r="C58" s="8"/>
      <c r="D58" s="6" t="s">
        <v>124</v>
      </c>
      <c r="E58" s="8" t="s">
        <v>144</v>
      </c>
      <c r="F58" s="5"/>
      <c r="G58" s="5"/>
      <c r="H58" s="5"/>
      <c r="I58" s="5"/>
      <c r="J58" s="5"/>
      <c r="K58" s="4"/>
      <c r="L58" s="6" t="str">
        <f>IF($E$61=$AK$22,"PAL40H40/3,15",IF($E$61=$AK$23,"PAL30H32/3,15","-------"))</f>
        <v>PAL40H40/3,15</v>
      </c>
      <c r="M58" s="14">
        <f>INDEX(cennik!$C$2:$L$529,MATCH($L58,cennik!$B$2:$B$522,0),MATCH(M$27,cennik!$C$1:$L$1,0))</f>
        <v>894631</v>
      </c>
      <c r="N58" s="14" t="str">
        <f>INDEX(cennik!$C$2:$L$529,MATCH($L58,cennik!$B$2:$B$522,0),MATCH(N$27,cennik!$C$1:$L$1,0))</f>
        <v>szt.</v>
      </c>
      <c r="O58" s="14">
        <f>IF(L58="-------",0,SUM(JN52:JN67))</f>
        <v>0</v>
      </c>
      <c r="P58" s="22">
        <f>INDEX(cennik!$C$2:$L$529,MATCH($L58,cennik!$B$2:$B$522,0),MATCH(P$27,cennik!$C$1:$L$1,0))</f>
        <v>97.65</v>
      </c>
      <c r="Q58" s="22">
        <f t="shared" si="61"/>
        <v>0</v>
      </c>
      <c r="R58" s="23">
        <f t="shared" ref="R58:R75" si="64">$E$59</f>
        <v>0</v>
      </c>
      <c r="S58" s="22">
        <f t="shared" ref="S58:S75" si="65">P58*((100-$E$59)/100)</f>
        <v>97.65</v>
      </c>
      <c r="T58" s="22">
        <f t="shared" si="60"/>
        <v>0</v>
      </c>
      <c r="U58" s="22">
        <f>INDEX(cennik!$C$2:$L$529,MATCH($L58,cennik!$B$2:$B$522,0),MATCH(U$27,cennik!$C$1:$L$1,0))*O58</f>
        <v>0</v>
      </c>
      <c r="V58" s="20"/>
      <c r="W58" s="20"/>
      <c r="X58" s="25">
        <f t="shared" si="52"/>
        <v>0</v>
      </c>
      <c r="Y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64,$BB$2:$CA$2,0),MATCH($W$46,$AH$22:$AH$47,0)))*C64</f>
        <v>0</v>
      </c>
      <c r="Z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64,$BB$2:$CA$2,0),MATCH($W$46,$AH$22:$AH$47,0)))*C64</f>
        <v>0</v>
      </c>
      <c r="AA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64,$BB$2:$CA$2,0),MATCH($W$46,$AH$22:$AH$47,0)))*C64</f>
        <v>0</v>
      </c>
      <c r="AB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64,$BB$2:$CA$2,0),MATCH($W$46,$AH$22:$AH$47,0)))*C64</f>
        <v>0</v>
      </c>
      <c r="AC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64,$BB$2:$CA$2,0),MATCH($W$46,$AH$22:$AH$47,0)))*C64</f>
        <v>0</v>
      </c>
      <c r="AD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64,$BB$2:$CA$2,0),MATCH($W$46,$AH$22:$AH$47,0)))*C64</f>
        <v>0</v>
      </c>
      <c r="AE58" s="20"/>
      <c r="AF58" s="20"/>
      <c r="AG58" s="20">
        <v>38</v>
      </c>
      <c r="AH58" s="20" t="s">
        <v>881</v>
      </c>
      <c r="AI58" s="20">
        <v>0</v>
      </c>
      <c r="AJ58" s="20"/>
      <c r="AK58" s="20"/>
      <c r="AL58" s="20">
        <f t="shared" si="53"/>
        <v>0</v>
      </c>
      <c r="AM58" s="20">
        <v>33</v>
      </c>
      <c r="AN58" s="20" t="s">
        <v>28</v>
      </c>
      <c r="AO58" s="20"/>
      <c r="AP58" s="20" t="s">
        <v>110</v>
      </c>
      <c r="AQ58" s="20" t="s">
        <v>321</v>
      </c>
      <c r="AS58" s="20">
        <v>33</v>
      </c>
      <c r="AT58" s="20" t="s">
        <v>506</v>
      </c>
      <c r="AU58" s="20" t="s">
        <v>506</v>
      </c>
      <c r="AV58" s="20" t="s">
        <v>506</v>
      </c>
      <c r="AW58" s="20" t="s">
        <v>506</v>
      </c>
      <c r="AX58" s="20"/>
      <c r="AY58" s="20"/>
      <c r="AZ58" s="20"/>
      <c r="BA58" s="20" t="s">
        <v>12</v>
      </c>
      <c r="BB58" s="20">
        <v>0</v>
      </c>
      <c r="BC58" s="20">
        <v>2</v>
      </c>
      <c r="BD58" s="20">
        <v>0</v>
      </c>
      <c r="BE58" s="20">
        <v>4</v>
      </c>
      <c r="BF58" s="20">
        <v>2</v>
      </c>
      <c r="BG58" s="20">
        <v>0</v>
      </c>
      <c r="BH58" s="20">
        <v>4</v>
      </c>
      <c r="BI58" s="20">
        <v>2</v>
      </c>
      <c r="BJ58" s="20">
        <v>0</v>
      </c>
      <c r="BK58" s="20">
        <v>0</v>
      </c>
      <c r="BL58" s="20">
        <v>2</v>
      </c>
      <c r="BM58" s="20">
        <v>0</v>
      </c>
      <c r="BN58" s="20">
        <v>4</v>
      </c>
      <c r="BO58" s="20">
        <v>0</v>
      </c>
      <c r="BP58" s="20">
        <v>0</v>
      </c>
      <c r="BQ58" s="20">
        <v>0</v>
      </c>
      <c r="BR58" s="20">
        <v>0</v>
      </c>
      <c r="BS58" s="20">
        <v>4</v>
      </c>
      <c r="BT58" s="20">
        <v>2</v>
      </c>
      <c r="BU58" s="20">
        <v>0</v>
      </c>
      <c r="BV58" s="20">
        <v>2</v>
      </c>
      <c r="BW58" s="20">
        <v>0</v>
      </c>
      <c r="BX58" s="20">
        <v>0</v>
      </c>
      <c r="BY58" s="20">
        <v>0</v>
      </c>
      <c r="BZ58" s="20">
        <v>0</v>
      </c>
      <c r="CA58" s="20">
        <v>0</v>
      </c>
      <c r="CB58" s="20">
        <v>2</v>
      </c>
      <c r="CC58" s="20">
        <v>0</v>
      </c>
      <c r="CD58" s="20">
        <v>0</v>
      </c>
      <c r="CE58" s="20">
        <v>0</v>
      </c>
      <c r="CF58" s="20">
        <v>0</v>
      </c>
      <c r="CG58" s="20">
        <v>0</v>
      </c>
      <c r="CH58" s="20">
        <v>0</v>
      </c>
      <c r="CI58" s="20">
        <v>0</v>
      </c>
      <c r="CJ58" s="20">
        <v>2</v>
      </c>
      <c r="CK58" s="20">
        <v>0</v>
      </c>
      <c r="CL58" s="20">
        <v>0</v>
      </c>
      <c r="CM58" s="20">
        <v>4</v>
      </c>
      <c r="CN58" s="20">
        <v>0</v>
      </c>
      <c r="CO58" s="20">
        <v>0</v>
      </c>
      <c r="CP58" s="20">
        <v>0</v>
      </c>
      <c r="CQ58" s="20">
        <v>0</v>
      </c>
      <c r="CR58" s="20">
        <v>0</v>
      </c>
      <c r="CS58" s="20">
        <v>0</v>
      </c>
      <c r="CT58" s="20">
        <v>0</v>
      </c>
      <c r="CU58" s="20">
        <v>0</v>
      </c>
      <c r="CV58" s="20">
        <v>0</v>
      </c>
      <c r="CW58" s="20">
        <v>0</v>
      </c>
      <c r="CX58" s="20">
        <v>0</v>
      </c>
      <c r="CY58" s="20">
        <v>0</v>
      </c>
      <c r="CZ58" s="20">
        <v>0</v>
      </c>
      <c r="DA58" s="54"/>
      <c r="DB58" s="54"/>
      <c r="DC58" s="54"/>
      <c r="DD58" s="20" t="s">
        <v>19</v>
      </c>
      <c r="DE58" s="20">
        <v>0</v>
      </c>
      <c r="DF58" s="20">
        <v>0</v>
      </c>
      <c r="DG58" s="20">
        <v>0</v>
      </c>
      <c r="DH58" s="20">
        <v>2</v>
      </c>
      <c r="DI58" s="20">
        <v>2</v>
      </c>
      <c r="DJ58" s="20">
        <v>4</v>
      </c>
      <c r="DK58" s="20">
        <v>4</v>
      </c>
      <c r="DL58" s="20">
        <v>6</v>
      </c>
      <c r="DM58" s="20">
        <v>6</v>
      </c>
      <c r="DN58" s="20">
        <v>10</v>
      </c>
      <c r="DO58" s="20">
        <v>8</v>
      </c>
      <c r="DP58" s="20">
        <v>12</v>
      </c>
      <c r="DQ58" s="20">
        <v>10</v>
      </c>
      <c r="DR58" s="20">
        <v>14</v>
      </c>
      <c r="DS58" s="20">
        <v>12</v>
      </c>
      <c r="DT58" s="20">
        <v>16</v>
      </c>
      <c r="DU58" s="20">
        <v>16</v>
      </c>
      <c r="DV58" s="20">
        <v>18</v>
      </c>
      <c r="DW58" s="20">
        <v>18</v>
      </c>
      <c r="DX58" s="20">
        <v>20</v>
      </c>
      <c r="DY58" s="20">
        <v>20</v>
      </c>
      <c r="DZ58" s="20"/>
      <c r="EA58" s="20"/>
      <c r="EB58" s="20" t="s">
        <v>12</v>
      </c>
      <c r="EC58" s="20">
        <v>0</v>
      </c>
      <c r="ED58" s="20">
        <v>2</v>
      </c>
      <c r="EE58" s="20">
        <v>4</v>
      </c>
      <c r="EF58" s="20">
        <v>0</v>
      </c>
      <c r="EG58" s="20">
        <v>4</v>
      </c>
      <c r="EH58" s="20">
        <v>0</v>
      </c>
      <c r="EI58" s="20">
        <v>0</v>
      </c>
      <c r="EJ58" s="20">
        <v>0</v>
      </c>
      <c r="EK58" s="20">
        <v>2</v>
      </c>
      <c r="EL58" s="20">
        <v>0</v>
      </c>
      <c r="EM58" s="20">
        <v>0</v>
      </c>
      <c r="EN58" s="20">
        <v>4</v>
      </c>
      <c r="EO58" s="20">
        <v>0</v>
      </c>
      <c r="EP58" s="20">
        <v>2</v>
      </c>
      <c r="EQ58" s="20">
        <v>0</v>
      </c>
      <c r="ER58" s="20">
        <v>2</v>
      </c>
      <c r="ES58" s="20">
        <v>0</v>
      </c>
      <c r="ET58" s="20">
        <v>0</v>
      </c>
      <c r="EU58" s="20">
        <v>0</v>
      </c>
      <c r="EV58" s="20">
        <v>0</v>
      </c>
      <c r="EW58" s="20">
        <v>2</v>
      </c>
      <c r="EX58" s="20">
        <v>0</v>
      </c>
      <c r="EY58" s="20">
        <v>0</v>
      </c>
      <c r="EZ58" s="20">
        <v>0</v>
      </c>
      <c r="FA58" s="20">
        <v>0</v>
      </c>
      <c r="FB58" s="20">
        <v>0</v>
      </c>
      <c r="FC58" s="20">
        <v>0</v>
      </c>
      <c r="FD58" s="20">
        <v>0</v>
      </c>
      <c r="FE58" s="20">
        <v>0</v>
      </c>
      <c r="FF58" s="20">
        <v>0</v>
      </c>
      <c r="FG58" s="20">
        <v>0</v>
      </c>
      <c r="FH58" s="20">
        <v>0</v>
      </c>
      <c r="FI58" s="20">
        <v>0</v>
      </c>
      <c r="FJ58" s="20">
        <v>0</v>
      </c>
      <c r="FK58" s="20">
        <v>0</v>
      </c>
      <c r="FL58" s="20">
        <v>0</v>
      </c>
      <c r="FM58" s="20">
        <v>0</v>
      </c>
      <c r="FN58" s="20">
        <v>0</v>
      </c>
      <c r="FO58" s="20">
        <v>0</v>
      </c>
      <c r="FP58" s="20">
        <v>0</v>
      </c>
      <c r="FQ58" s="20">
        <v>0</v>
      </c>
      <c r="FR58" s="20">
        <v>0</v>
      </c>
      <c r="FS58" s="20">
        <v>4</v>
      </c>
      <c r="FT58" s="20">
        <v>0</v>
      </c>
      <c r="FU58" s="20">
        <v>0</v>
      </c>
      <c r="FV58" s="20">
        <v>0</v>
      </c>
      <c r="FW58" s="20">
        <v>0</v>
      </c>
      <c r="FX58" s="20">
        <v>0</v>
      </c>
      <c r="FY58" s="20">
        <v>0</v>
      </c>
      <c r="FZ58" s="20">
        <v>0</v>
      </c>
      <c r="GA58" s="20">
        <v>0</v>
      </c>
      <c r="GC58" s="20"/>
      <c r="GD58" s="20"/>
      <c r="GE58" s="20" t="s">
        <v>12</v>
      </c>
      <c r="GF58" s="20">
        <v>0</v>
      </c>
      <c r="GG58" s="20">
        <v>0</v>
      </c>
      <c r="GH58" s="20">
        <v>4</v>
      </c>
      <c r="GI58" s="20">
        <v>0</v>
      </c>
      <c r="GJ58" s="20">
        <v>2</v>
      </c>
      <c r="GK58" s="20">
        <v>4</v>
      </c>
      <c r="GL58" s="20">
        <v>0</v>
      </c>
      <c r="GM58" s="20">
        <v>2</v>
      </c>
      <c r="GN58" s="20">
        <v>4</v>
      </c>
      <c r="GO58" s="20">
        <v>0</v>
      </c>
      <c r="GP58" s="20">
        <v>0</v>
      </c>
      <c r="GQ58" s="20">
        <v>0</v>
      </c>
      <c r="GR58" s="20">
        <v>0</v>
      </c>
      <c r="GS58" s="20">
        <v>0</v>
      </c>
      <c r="GT58" s="20">
        <v>0</v>
      </c>
      <c r="GU58" s="20">
        <v>2</v>
      </c>
      <c r="GV58" s="20">
        <v>0</v>
      </c>
      <c r="GW58" s="20">
        <v>0</v>
      </c>
      <c r="GX58" s="20">
        <v>2</v>
      </c>
      <c r="GY58" s="20">
        <v>0</v>
      </c>
      <c r="GZ58" s="20">
        <v>0</v>
      </c>
      <c r="HA58" s="20">
        <v>2</v>
      </c>
      <c r="HB58" s="20">
        <v>0</v>
      </c>
      <c r="HC58" s="20">
        <v>0</v>
      </c>
      <c r="HD58" s="20">
        <v>0</v>
      </c>
      <c r="HE58" s="20">
        <v>0</v>
      </c>
      <c r="HF58" s="20">
        <v>0</v>
      </c>
      <c r="HG58" s="20">
        <v>0</v>
      </c>
      <c r="HH58" s="20">
        <v>0</v>
      </c>
      <c r="HI58" s="20">
        <v>0</v>
      </c>
      <c r="HJ58" s="20">
        <v>0</v>
      </c>
      <c r="HK58" s="20">
        <v>0</v>
      </c>
      <c r="HL58" s="20">
        <v>4</v>
      </c>
      <c r="HM58" s="20">
        <v>0</v>
      </c>
      <c r="HN58" s="20">
        <v>0</v>
      </c>
      <c r="HO58" s="20">
        <v>0</v>
      </c>
      <c r="HP58" s="20">
        <v>0</v>
      </c>
      <c r="HQ58" s="20">
        <v>4</v>
      </c>
      <c r="HR58" s="20">
        <v>0</v>
      </c>
      <c r="HS58" s="20">
        <v>0</v>
      </c>
      <c r="HT58" s="20">
        <v>0</v>
      </c>
      <c r="HU58" s="20">
        <v>0</v>
      </c>
      <c r="HV58" s="20">
        <v>0</v>
      </c>
      <c r="HW58" s="20">
        <v>0</v>
      </c>
      <c r="HX58" s="20">
        <v>0</v>
      </c>
      <c r="HY58" s="20">
        <v>0</v>
      </c>
      <c r="HZ58" s="20">
        <v>0</v>
      </c>
      <c r="IA58" s="20">
        <v>0</v>
      </c>
      <c r="IB58" s="20">
        <v>0</v>
      </c>
      <c r="IC58" s="20">
        <v>0</v>
      </c>
      <c r="ID58" s="20">
        <v>0</v>
      </c>
      <c r="IF58" s="21" t="s">
        <v>12</v>
      </c>
      <c r="IG58" s="21">
        <v>0</v>
      </c>
      <c r="IH58" s="21">
        <v>0</v>
      </c>
      <c r="II58" s="21">
        <v>2</v>
      </c>
      <c r="IJ58" s="21">
        <v>0</v>
      </c>
      <c r="IK58" s="21">
        <v>4</v>
      </c>
      <c r="IL58" s="21">
        <v>0</v>
      </c>
      <c r="IM58" s="21">
        <v>2</v>
      </c>
      <c r="IN58" s="21">
        <v>2</v>
      </c>
      <c r="IO58" s="21">
        <v>4</v>
      </c>
      <c r="IP58" s="21">
        <v>0</v>
      </c>
      <c r="IQ58" s="21">
        <v>0</v>
      </c>
      <c r="IR58" s="21">
        <v>2</v>
      </c>
      <c r="IS58" s="21">
        <v>4</v>
      </c>
      <c r="IT58" s="21">
        <v>0</v>
      </c>
      <c r="IU58" s="21">
        <v>0</v>
      </c>
      <c r="IV58" s="21">
        <v>0</v>
      </c>
      <c r="IW58" s="21">
        <v>0</v>
      </c>
      <c r="IX58" s="21">
        <v>0</v>
      </c>
      <c r="IY58" s="21">
        <v>0</v>
      </c>
      <c r="IZ58" s="21">
        <v>0</v>
      </c>
      <c r="JA58" s="21">
        <v>0</v>
      </c>
      <c r="JB58" s="21">
        <v>0</v>
      </c>
      <c r="JC58" s="21">
        <v>0</v>
      </c>
      <c r="JD58" s="21">
        <v>0</v>
      </c>
      <c r="JE58" s="21">
        <v>0</v>
      </c>
      <c r="JF58" s="21">
        <v>0</v>
      </c>
      <c r="JI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59,$JT$2:$KS$2,0),MATCH($W$46,$AH$22:$AH$47,0)))*C59</f>
        <v>0</v>
      </c>
      <c r="JJ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59,$JT$2:$KS$2,0),MATCH($W$46,$AH$22:$AH$47,0)))*C59</f>
        <v>0</v>
      </c>
      <c r="JK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59,$JT$2:$KS$2,0),MATCH($W$46,$AH$22:$AH$47,0)))*C59</f>
        <v>0</v>
      </c>
      <c r="JL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59,$JT$2:$KS$2,0),MATCH($W$46,$AH$22:$AH$47,0)))*C59</f>
        <v>0</v>
      </c>
      <c r="JM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59,$JT$2:$KS$2,0),MATCH($W$46,$AH$22:$AH$47,0)))*C59</f>
        <v>0</v>
      </c>
      <c r="JN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59,$JT$2:$KS$2,0),MATCH($W$46,$AH$22:$AH$47,0)))*C59</f>
        <v>0</v>
      </c>
      <c r="JO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59,$JT$2:$KS$2,0),MATCH($W$46,$AH$22:$AH$47,0)))*C59</f>
        <v>0</v>
      </c>
      <c r="JP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59,$JT$2:$KS$2,0),MATCH($W$46,$AH$22:$AH$47,0)))*C59</f>
        <v>0</v>
      </c>
      <c r="JQ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59,$JT$2:$KS$2,0),MATCH($W$46,$AH$22:$AH$47,0)))*C59</f>
        <v>0</v>
      </c>
      <c r="JS58" s="26" t="s">
        <v>520</v>
      </c>
      <c r="JT58" s="20">
        <v>0</v>
      </c>
      <c r="JU58" s="20">
        <v>0</v>
      </c>
      <c r="JV58" s="20">
        <v>0</v>
      </c>
      <c r="JW58" s="20">
        <v>0</v>
      </c>
      <c r="JX58" s="20">
        <v>0</v>
      </c>
      <c r="JY58" s="20">
        <v>0</v>
      </c>
      <c r="JZ58" s="20">
        <v>0</v>
      </c>
      <c r="KA58" s="20">
        <v>0</v>
      </c>
      <c r="KB58" s="20">
        <v>0</v>
      </c>
      <c r="KC58" s="20">
        <v>0</v>
      </c>
      <c r="KD58" s="20">
        <v>0</v>
      </c>
      <c r="KE58" s="20">
        <v>0</v>
      </c>
      <c r="KF58" s="20">
        <v>0</v>
      </c>
      <c r="KG58" s="20">
        <v>0</v>
      </c>
      <c r="KH58" s="20">
        <v>2</v>
      </c>
      <c r="KI58" s="20">
        <v>0</v>
      </c>
      <c r="KJ58" s="20">
        <v>4</v>
      </c>
      <c r="KK58" s="20">
        <v>4</v>
      </c>
      <c r="KL58" s="20">
        <v>6</v>
      </c>
      <c r="KM58" s="20">
        <v>6</v>
      </c>
      <c r="KN58" s="20">
        <v>8</v>
      </c>
      <c r="KO58" s="20">
        <v>8</v>
      </c>
      <c r="KP58" s="20">
        <v>6</v>
      </c>
      <c r="KQ58" s="20">
        <v>10</v>
      </c>
      <c r="KR58" s="20">
        <v>10</v>
      </c>
      <c r="KS58" s="20">
        <v>12</v>
      </c>
      <c r="KU58" s="26" t="s">
        <v>520</v>
      </c>
      <c r="KV58" s="20">
        <v>0</v>
      </c>
      <c r="KW58" s="20">
        <v>0</v>
      </c>
      <c r="KX58" s="20">
        <v>0</v>
      </c>
      <c r="KY58" s="20">
        <v>2</v>
      </c>
      <c r="KZ58" s="20">
        <v>0</v>
      </c>
      <c r="LA58" s="20">
        <v>0</v>
      </c>
      <c r="LB58" s="20">
        <v>2</v>
      </c>
      <c r="LC58" s="20">
        <v>0</v>
      </c>
      <c r="LD58" s="20">
        <v>6</v>
      </c>
      <c r="LE58" s="20">
        <v>4</v>
      </c>
      <c r="LF58" s="20">
        <v>0</v>
      </c>
      <c r="LG58" s="20">
        <v>10</v>
      </c>
      <c r="LH58" s="20">
        <v>4</v>
      </c>
      <c r="LI58" s="20">
        <v>14</v>
      </c>
      <c r="LJ58" s="20">
        <v>12</v>
      </c>
      <c r="LK58" s="20">
        <v>8</v>
      </c>
      <c r="LL58" s="20">
        <v>4</v>
      </c>
      <c r="LM58" s="20">
        <v>10</v>
      </c>
      <c r="LN58" s="20">
        <v>10</v>
      </c>
      <c r="LO58" s="20">
        <v>4</v>
      </c>
      <c r="LP58" s="20">
        <v>14</v>
      </c>
      <c r="LQ58" s="20">
        <v>10</v>
      </c>
      <c r="LR58" s="20">
        <v>20</v>
      </c>
      <c r="LS58" s="20">
        <v>2</v>
      </c>
      <c r="LT58" s="20">
        <v>26</v>
      </c>
      <c r="LU58" s="20">
        <v>8</v>
      </c>
      <c r="LW58" s="26" t="s">
        <v>520</v>
      </c>
      <c r="LX58" s="20">
        <v>0</v>
      </c>
      <c r="LY58" s="20">
        <v>0</v>
      </c>
      <c r="LZ58" s="20">
        <v>0</v>
      </c>
      <c r="MA58" s="20">
        <v>0</v>
      </c>
      <c r="MB58" s="20">
        <v>0</v>
      </c>
      <c r="MC58" s="20">
        <v>0</v>
      </c>
      <c r="MD58" s="20">
        <v>0</v>
      </c>
      <c r="ME58" s="20">
        <v>6</v>
      </c>
      <c r="MF58" s="20">
        <v>8</v>
      </c>
      <c r="MG58" s="20">
        <v>6</v>
      </c>
      <c r="MH58" s="20">
        <v>4</v>
      </c>
      <c r="MI58" s="20">
        <v>6</v>
      </c>
      <c r="MJ58" s="20">
        <v>4</v>
      </c>
      <c r="MK58" s="20">
        <v>16</v>
      </c>
      <c r="ML58" s="20">
        <v>16</v>
      </c>
      <c r="MM58" s="20">
        <v>0</v>
      </c>
      <c r="MN58" s="20">
        <v>16</v>
      </c>
      <c r="MO58" s="20">
        <v>0</v>
      </c>
      <c r="MP58" s="20">
        <v>0</v>
      </c>
      <c r="MQ58" s="20">
        <v>12</v>
      </c>
      <c r="MR58" s="20">
        <v>12</v>
      </c>
      <c r="MS58" s="20">
        <v>26</v>
      </c>
      <c r="MT58" s="20">
        <v>18</v>
      </c>
      <c r="MU58" s="20">
        <v>10</v>
      </c>
      <c r="MV58" s="20">
        <v>22</v>
      </c>
      <c r="MW58" s="20">
        <v>8</v>
      </c>
      <c r="MY58" s="21" t="s">
        <v>520</v>
      </c>
      <c r="MZ58" s="21">
        <v>0</v>
      </c>
      <c r="NA58" s="21">
        <v>0</v>
      </c>
      <c r="NB58" s="21">
        <v>0</v>
      </c>
      <c r="NC58" s="21">
        <v>0</v>
      </c>
      <c r="ND58" s="21">
        <v>4</v>
      </c>
      <c r="NE58" s="21">
        <v>0</v>
      </c>
      <c r="NF58" s="21">
        <v>4</v>
      </c>
      <c r="NG58" s="21">
        <v>6</v>
      </c>
      <c r="NH58" s="21">
        <v>0</v>
      </c>
      <c r="NI58" s="21">
        <v>6</v>
      </c>
      <c r="NJ58" s="21">
        <v>10</v>
      </c>
      <c r="NK58" s="21">
        <v>0</v>
      </c>
      <c r="NL58" s="21">
        <v>18</v>
      </c>
      <c r="NM58" s="21">
        <v>12</v>
      </c>
      <c r="NN58" s="21">
        <v>4</v>
      </c>
      <c r="NO58" s="21">
        <v>8</v>
      </c>
      <c r="NP58" s="21">
        <v>24</v>
      </c>
      <c r="NQ58" s="21">
        <v>20</v>
      </c>
      <c r="NR58" s="21">
        <v>24</v>
      </c>
      <c r="NS58" s="21">
        <v>2</v>
      </c>
      <c r="NT58" s="21">
        <v>30</v>
      </c>
      <c r="NU58" s="21">
        <v>26</v>
      </c>
      <c r="NV58" s="21">
        <v>24</v>
      </c>
      <c r="NW58" s="21">
        <v>22</v>
      </c>
      <c r="NX58" s="21">
        <v>36</v>
      </c>
      <c r="NY58" s="21">
        <v>34</v>
      </c>
    </row>
    <row r="59" spans="1:389" x14ac:dyDescent="0.25">
      <c r="A59" s="8"/>
      <c r="B59" s="5" t="s">
        <v>116</v>
      </c>
      <c r="C59" s="8"/>
      <c r="D59" s="6" t="s">
        <v>162</v>
      </c>
      <c r="E59" s="8">
        <v>0</v>
      </c>
      <c r="F59" s="5"/>
      <c r="G59" s="5"/>
      <c r="H59" s="5"/>
      <c r="I59" s="5"/>
      <c r="J59" s="5" t="s">
        <v>163</v>
      </c>
      <c r="K59" s="4"/>
      <c r="L59" s="6" t="str">
        <f>IF($E$61=$AK$22,"PAL40H40/3,3",IF($E$61=$AK$23,"PAL30H32/3,3",IF($E$61=$AK$24,"CWP40H35/3,3MC","-------")))</f>
        <v>PAL40H40/3,3</v>
      </c>
      <c r="M59" s="14">
        <f>INDEX(cennik!$C$2:$L$529,MATCH($L59,cennik!$B$2:$B$522,0),MATCH(M$27,cennik!$C$1:$L$1,0))</f>
        <v>894633</v>
      </c>
      <c r="N59" s="14" t="str">
        <f>INDEX(cennik!$C$2:$L$529,MATCH($L59,cennik!$B$2:$B$522,0),MATCH(N$27,cennik!$C$1:$L$1,0))</f>
        <v>szt.</v>
      </c>
      <c r="O59" s="14">
        <f>IF(L59="-------",0,SUM(JO52:JO67))</f>
        <v>0</v>
      </c>
      <c r="P59" s="22">
        <f>INDEX(cennik!$C$2:$L$529,MATCH($L59,cennik!$B$2:$B$522,0),MATCH(P$27,cennik!$C$1:$L$1,0))</f>
        <v>102.3</v>
      </c>
      <c r="Q59" s="22">
        <f t="shared" si="61"/>
        <v>0</v>
      </c>
      <c r="R59" s="23">
        <f t="shared" si="64"/>
        <v>0</v>
      </c>
      <c r="S59" s="22">
        <f t="shared" si="65"/>
        <v>102.3</v>
      </c>
      <c r="T59" s="22">
        <f t="shared" si="60"/>
        <v>0</v>
      </c>
      <c r="U59" s="22">
        <f>INDEX(cennik!$C$2:$L$529,MATCH($L59,cennik!$B$2:$B$522,0),MATCH(U$27,cennik!$C$1:$L$1,0))*O59</f>
        <v>0</v>
      </c>
      <c r="V59" s="20"/>
      <c r="W59" s="20"/>
      <c r="X59" s="25">
        <f t="shared" si="52"/>
        <v>0</v>
      </c>
      <c r="Y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65,$BB$2:$CA$2,0),MATCH($W$46,$AH$22:$AH$47,0)))*C65</f>
        <v>0</v>
      </c>
      <c r="Z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65,$BB$2:$CA$2,0),MATCH($W$46,$AH$22:$AH$47,0)))*C65</f>
        <v>0</v>
      </c>
      <c r="AA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65,$BB$2:$CA$2,0),MATCH($W$46,$AH$22:$AH$47,0)))*C65</f>
        <v>0</v>
      </c>
      <c r="AB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65,$BB$2:$CA$2,0),MATCH($W$46,$AH$22:$AH$47,0)))*C65</f>
        <v>0</v>
      </c>
      <c r="AC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65,$BB$2:$CA$2,0),MATCH($W$46,$AH$22:$AH$47,0)))*C65</f>
        <v>0</v>
      </c>
      <c r="AD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65,$BB$2:$CA$2,0),MATCH($W$46,$AH$22:$AH$47,0)))*C65</f>
        <v>0</v>
      </c>
      <c r="AE59" s="20"/>
      <c r="AF59" s="20"/>
      <c r="AG59" s="20">
        <v>40</v>
      </c>
      <c r="AH59" s="20" t="s">
        <v>881</v>
      </c>
      <c r="AI59" s="20">
        <v>0</v>
      </c>
      <c r="AJ59" s="20"/>
      <c r="AK59" s="20"/>
      <c r="AL59" s="20">
        <f t="shared" si="53"/>
        <v>0</v>
      </c>
      <c r="AM59" s="20">
        <v>34</v>
      </c>
      <c r="AN59" s="20"/>
      <c r="AO59" s="20"/>
      <c r="AP59" s="20" t="s">
        <v>110</v>
      </c>
      <c r="AQ59" s="20" t="s">
        <v>321</v>
      </c>
      <c r="AS59" s="20">
        <v>34</v>
      </c>
      <c r="AT59" s="20" t="s">
        <v>506</v>
      </c>
      <c r="AU59" s="20" t="s">
        <v>506</v>
      </c>
      <c r="AV59" s="20" t="s">
        <v>506</v>
      </c>
      <c r="AW59" s="20" t="s">
        <v>506</v>
      </c>
      <c r="AX59" s="20"/>
      <c r="AY59" s="20"/>
      <c r="AZ59" s="20"/>
      <c r="BA59" s="20" t="s">
        <v>127</v>
      </c>
      <c r="BB59" s="20">
        <v>0</v>
      </c>
      <c r="BC59" s="20">
        <v>0</v>
      </c>
      <c r="BD59" s="20">
        <v>0</v>
      </c>
      <c r="BE59" s="20">
        <v>0</v>
      </c>
      <c r="BF59" s="20">
        <v>0</v>
      </c>
      <c r="BG59" s="20">
        <v>0</v>
      </c>
      <c r="BH59" s="20">
        <v>0</v>
      </c>
      <c r="BI59" s="20">
        <v>0</v>
      </c>
      <c r="BJ59" s="20">
        <v>0</v>
      </c>
      <c r="BK59" s="20">
        <v>4</v>
      </c>
      <c r="BL59" s="20">
        <v>0</v>
      </c>
      <c r="BM59" s="20">
        <v>0</v>
      </c>
      <c r="BN59" s="20">
        <v>0</v>
      </c>
      <c r="BO59" s="20">
        <v>2</v>
      </c>
      <c r="BP59" s="20">
        <v>0</v>
      </c>
      <c r="BQ59" s="20">
        <v>0</v>
      </c>
      <c r="BR59" s="20">
        <v>0</v>
      </c>
      <c r="BS59" s="20">
        <v>0</v>
      </c>
      <c r="BT59" s="20">
        <v>0</v>
      </c>
      <c r="BU59" s="20">
        <v>0</v>
      </c>
      <c r="BV59" s="20">
        <v>2</v>
      </c>
      <c r="BW59" s="20">
        <v>2</v>
      </c>
      <c r="BX59" s="20">
        <v>0</v>
      </c>
      <c r="BY59" s="20">
        <v>4</v>
      </c>
      <c r="BZ59" s="20">
        <v>0</v>
      </c>
      <c r="CA59" s="20">
        <v>0</v>
      </c>
      <c r="CB59" s="20">
        <v>0</v>
      </c>
      <c r="CC59" s="20">
        <v>0</v>
      </c>
      <c r="CD59" s="20">
        <v>0</v>
      </c>
      <c r="CE59" s="20">
        <v>2</v>
      </c>
      <c r="CF59" s="20">
        <v>0</v>
      </c>
      <c r="CG59" s="20">
        <v>4</v>
      </c>
      <c r="CH59" s="20">
        <v>0</v>
      </c>
      <c r="CI59" s="20">
        <v>0</v>
      </c>
      <c r="CJ59" s="20">
        <v>0</v>
      </c>
      <c r="CK59" s="20">
        <v>0</v>
      </c>
      <c r="CL59" s="20">
        <v>0</v>
      </c>
      <c r="CM59" s="20">
        <v>0</v>
      </c>
      <c r="CN59" s="20">
        <v>2</v>
      </c>
      <c r="CO59" s="20">
        <v>0</v>
      </c>
      <c r="CP59" s="20">
        <v>0</v>
      </c>
      <c r="CQ59" s="20">
        <v>0</v>
      </c>
      <c r="CR59" s="20">
        <v>0</v>
      </c>
      <c r="CS59" s="20">
        <v>0</v>
      </c>
      <c r="CT59" s="20">
        <v>0</v>
      </c>
      <c r="CU59" s="20">
        <v>0</v>
      </c>
      <c r="CV59" s="20">
        <v>2</v>
      </c>
      <c r="CW59" s="20">
        <v>0</v>
      </c>
      <c r="CX59" s="20">
        <v>0</v>
      </c>
      <c r="CY59" s="20">
        <v>0</v>
      </c>
      <c r="CZ59" s="20">
        <v>0</v>
      </c>
      <c r="DA59" s="54"/>
      <c r="DB59" s="54"/>
      <c r="DC59" s="54"/>
      <c r="DD59" s="20" t="s">
        <v>408</v>
      </c>
      <c r="DE59" s="20">
        <v>0</v>
      </c>
      <c r="DF59" s="20">
        <v>0</v>
      </c>
      <c r="DG59" s="20">
        <v>4</v>
      </c>
      <c r="DH59" s="20">
        <v>4</v>
      </c>
      <c r="DI59" s="20">
        <v>8</v>
      </c>
      <c r="DJ59" s="20">
        <v>8</v>
      </c>
      <c r="DK59" s="20">
        <v>12</v>
      </c>
      <c r="DL59" s="20">
        <v>12</v>
      </c>
      <c r="DM59" s="20">
        <v>16</v>
      </c>
      <c r="DN59" s="20">
        <v>16</v>
      </c>
      <c r="DO59" s="20">
        <v>20</v>
      </c>
      <c r="DP59" s="20">
        <v>20</v>
      </c>
      <c r="DQ59" s="20">
        <v>24</v>
      </c>
      <c r="DR59" s="20">
        <v>24</v>
      </c>
      <c r="DS59" s="20">
        <v>28</v>
      </c>
      <c r="DT59" s="20">
        <v>28</v>
      </c>
      <c r="DU59" s="20">
        <v>32</v>
      </c>
      <c r="DV59" s="20">
        <v>32</v>
      </c>
      <c r="DW59" s="20">
        <v>36</v>
      </c>
      <c r="DX59" s="20">
        <v>36</v>
      </c>
      <c r="DY59" s="20">
        <v>40</v>
      </c>
      <c r="DZ59" s="20"/>
      <c r="EA59" s="20"/>
      <c r="EB59" s="20" t="s">
        <v>127</v>
      </c>
      <c r="EC59" s="20">
        <v>0</v>
      </c>
      <c r="ED59" s="20">
        <v>0</v>
      </c>
      <c r="EE59" s="20">
        <v>0</v>
      </c>
      <c r="EF59" s="20">
        <v>4</v>
      </c>
      <c r="EG59" s="20">
        <v>0</v>
      </c>
      <c r="EH59" s="20">
        <v>0</v>
      </c>
      <c r="EI59" s="20">
        <v>4</v>
      </c>
      <c r="EJ59" s="20">
        <v>0</v>
      </c>
      <c r="EK59" s="20">
        <v>0</v>
      </c>
      <c r="EL59" s="20">
        <v>0</v>
      </c>
      <c r="EM59" s="20">
        <v>2</v>
      </c>
      <c r="EN59" s="20">
        <v>0</v>
      </c>
      <c r="EO59" s="20">
        <v>0</v>
      </c>
      <c r="EP59" s="20">
        <v>2</v>
      </c>
      <c r="EQ59" s="20">
        <v>0</v>
      </c>
      <c r="ER59" s="20">
        <v>0</v>
      </c>
      <c r="ES59" s="20">
        <v>0</v>
      </c>
      <c r="ET59" s="20">
        <v>2</v>
      </c>
      <c r="EU59" s="20">
        <v>0</v>
      </c>
      <c r="EV59" s="20">
        <v>0</v>
      </c>
      <c r="EW59" s="20">
        <v>0</v>
      </c>
      <c r="EX59" s="20">
        <v>0</v>
      </c>
      <c r="EY59" s="20">
        <v>4</v>
      </c>
      <c r="EZ59" s="20">
        <v>0</v>
      </c>
      <c r="FA59" s="20">
        <v>0</v>
      </c>
      <c r="FB59" s="20">
        <v>0</v>
      </c>
      <c r="FC59" s="20">
        <v>0</v>
      </c>
      <c r="FD59" s="20">
        <v>0</v>
      </c>
      <c r="FE59" s="20">
        <v>0</v>
      </c>
      <c r="FF59" s="20">
        <v>2</v>
      </c>
      <c r="FG59" s="20">
        <v>0</v>
      </c>
      <c r="FH59" s="20">
        <v>0</v>
      </c>
      <c r="FI59" s="20">
        <v>2</v>
      </c>
      <c r="FJ59" s="20">
        <v>2</v>
      </c>
      <c r="FK59" s="20">
        <v>0</v>
      </c>
      <c r="FL59" s="20">
        <v>0</v>
      </c>
      <c r="FM59" s="20">
        <v>0</v>
      </c>
      <c r="FN59" s="20">
        <v>2</v>
      </c>
      <c r="FO59" s="20">
        <v>0</v>
      </c>
      <c r="FP59" s="20">
        <v>0</v>
      </c>
      <c r="FQ59" s="20">
        <v>0</v>
      </c>
      <c r="FR59" s="20">
        <v>0</v>
      </c>
      <c r="FS59" s="20">
        <v>0</v>
      </c>
      <c r="FT59" s="20">
        <v>0</v>
      </c>
      <c r="FU59" s="20">
        <v>0</v>
      </c>
      <c r="FV59" s="20">
        <v>0</v>
      </c>
      <c r="FW59" s="20">
        <v>0</v>
      </c>
      <c r="FX59" s="20">
        <v>0</v>
      </c>
      <c r="FY59" s="20">
        <v>0</v>
      </c>
      <c r="FZ59" s="20">
        <v>2</v>
      </c>
      <c r="GA59" s="20">
        <v>0</v>
      </c>
      <c r="GC59" s="20"/>
      <c r="GD59" s="20"/>
      <c r="GE59" s="20" t="s">
        <v>127</v>
      </c>
      <c r="GF59" s="20">
        <v>0</v>
      </c>
      <c r="GG59" s="20">
        <v>2</v>
      </c>
      <c r="GH59" s="20">
        <v>0</v>
      </c>
      <c r="GI59" s="20">
        <v>0</v>
      </c>
      <c r="GJ59" s="20">
        <v>0</v>
      </c>
      <c r="GK59" s="20">
        <v>0</v>
      </c>
      <c r="GL59" s="20">
        <v>0</v>
      </c>
      <c r="GM59" s="20">
        <v>0</v>
      </c>
      <c r="GN59" s="20">
        <v>0</v>
      </c>
      <c r="GO59" s="20">
        <v>2</v>
      </c>
      <c r="GP59" s="20">
        <v>4</v>
      </c>
      <c r="GQ59" s="20">
        <v>0</v>
      </c>
      <c r="GR59" s="20">
        <v>2</v>
      </c>
      <c r="GS59" s="20">
        <v>4</v>
      </c>
      <c r="GT59" s="20">
        <v>0</v>
      </c>
      <c r="GU59" s="20">
        <v>0</v>
      </c>
      <c r="GV59" s="20">
        <v>4</v>
      </c>
      <c r="GW59" s="20">
        <v>0</v>
      </c>
      <c r="GX59" s="20">
        <v>0</v>
      </c>
      <c r="GY59" s="20">
        <v>0</v>
      </c>
      <c r="GZ59" s="20">
        <v>0</v>
      </c>
      <c r="HA59" s="20">
        <v>0</v>
      </c>
      <c r="HB59" s="20">
        <v>0</v>
      </c>
      <c r="HC59" s="20">
        <v>0</v>
      </c>
      <c r="HD59" s="20">
        <v>2</v>
      </c>
      <c r="HE59" s="20">
        <v>0</v>
      </c>
      <c r="HF59" s="20">
        <v>2</v>
      </c>
      <c r="HG59" s="20">
        <v>0</v>
      </c>
      <c r="HH59" s="20">
        <v>0</v>
      </c>
      <c r="HI59" s="20">
        <v>0</v>
      </c>
      <c r="HJ59" s="20">
        <v>0</v>
      </c>
      <c r="HK59" s="20">
        <v>0</v>
      </c>
      <c r="HL59" s="20">
        <v>0</v>
      </c>
      <c r="HM59" s="20">
        <v>0</v>
      </c>
      <c r="HN59" s="20">
        <v>0</v>
      </c>
      <c r="HO59" s="20">
        <v>0</v>
      </c>
      <c r="HP59" s="20">
        <v>0</v>
      </c>
      <c r="HQ59" s="20">
        <v>0</v>
      </c>
      <c r="HR59" s="20">
        <v>0</v>
      </c>
      <c r="HS59" s="20">
        <v>0</v>
      </c>
      <c r="HT59" s="20">
        <v>2</v>
      </c>
      <c r="HU59" s="20">
        <v>0</v>
      </c>
      <c r="HV59" s="20">
        <v>2</v>
      </c>
      <c r="HW59" s="20">
        <v>0</v>
      </c>
      <c r="HX59" s="20">
        <v>0</v>
      </c>
      <c r="HY59" s="20">
        <v>0</v>
      </c>
      <c r="HZ59" s="20">
        <v>0</v>
      </c>
      <c r="IA59" s="20">
        <v>0</v>
      </c>
      <c r="IB59" s="20">
        <v>0</v>
      </c>
      <c r="IC59" s="20">
        <v>0</v>
      </c>
      <c r="ID59" s="20">
        <v>0</v>
      </c>
      <c r="IF59" s="21" t="s">
        <v>127</v>
      </c>
      <c r="IG59" s="21">
        <v>0</v>
      </c>
      <c r="IH59" s="21">
        <v>0</v>
      </c>
      <c r="II59" s="21">
        <v>0</v>
      </c>
      <c r="IJ59" s="21">
        <v>4</v>
      </c>
      <c r="IK59" s="21">
        <v>0</v>
      </c>
      <c r="IL59" s="21">
        <v>0</v>
      </c>
      <c r="IM59" s="21">
        <v>0</v>
      </c>
      <c r="IN59" s="21">
        <v>0</v>
      </c>
      <c r="IO59" s="21">
        <v>0</v>
      </c>
      <c r="IP59" s="21">
        <v>0</v>
      </c>
      <c r="IQ59" s="21">
        <v>0</v>
      </c>
      <c r="IR59" s="21">
        <v>0</v>
      </c>
      <c r="IS59" s="21">
        <v>0</v>
      </c>
      <c r="IT59" s="21">
        <v>0</v>
      </c>
      <c r="IU59" s="21">
        <v>0</v>
      </c>
      <c r="IV59" s="21">
        <v>2</v>
      </c>
      <c r="IW59" s="21">
        <v>2</v>
      </c>
      <c r="IX59" s="21">
        <v>0</v>
      </c>
      <c r="IY59" s="21">
        <v>0</v>
      </c>
      <c r="IZ59" s="21">
        <v>2</v>
      </c>
      <c r="JA59" s="21">
        <v>2</v>
      </c>
      <c r="JB59" s="21">
        <v>2</v>
      </c>
      <c r="JC59" s="21">
        <v>0</v>
      </c>
      <c r="JD59" s="21">
        <v>0</v>
      </c>
      <c r="JE59" s="21">
        <v>2</v>
      </c>
      <c r="JF59" s="21">
        <v>0</v>
      </c>
      <c r="JI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60,$JT$2:$KS$2,0),MATCH($W$46,$AH$22:$AH$47,0)))*C60</f>
        <v>0</v>
      </c>
      <c r="JJ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60,$JT$2:$KS$2,0),MATCH($W$46,$AH$22:$AH$47,0)))*C60</f>
        <v>0</v>
      </c>
      <c r="JK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60,$JT$2:$KS$2,0),MATCH($W$46,$AH$22:$AH$47,0)))*C60</f>
        <v>0</v>
      </c>
      <c r="JL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60,$JT$2:$KS$2,0),MATCH($W$46,$AH$22:$AH$47,0)))*C60</f>
        <v>0</v>
      </c>
      <c r="JM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60,$JT$2:$KS$2,0),MATCH($W$46,$AH$22:$AH$47,0)))*C60</f>
        <v>0</v>
      </c>
      <c r="JN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60,$JT$2:$KS$2,0),MATCH($W$46,$AH$22:$AH$47,0)))*C60</f>
        <v>0</v>
      </c>
      <c r="JO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60,$JT$2:$KS$2,0),MATCH($W$46,$AH$22:$AH$47,0)))*C60</f>
        <v>0</v>
      </c>
      <c r="JP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60,$JT$2:$KS$2,0),MATCH($W$46,$AH$22:$AH$47,0)))*C60</f>
        <v>0</v>
      </c>
      <c r="JQ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60,$JT$2:$KS$2,0),MATCH($W$46,$AH$22:$AH$47,0)))*C60</f>
        <v>0</v>
      </c>
      <c r="JS59" s="26" t="s">
        <v>521</v>
      </c>
      <c r="JT59" s="20">
        <v>0</v>
      </c>
      <c r="JU59" s="20">
        <v>0</v>
      </c>
      <c r="JV59" s="20">
        <v>4</v>
      </c>
      <c r="JW59" s="20">
        <v>8</v>
      </c>
      <c r="JX59" s="20">
        <v>4</v>
      </c>
      <c r="JY59" s="20">
        <v>4</v>
      </c>
      <c r="JZ59" s="20">
        <v>8</v>
      </c>
      <c r="KA59" s="20">
        <v>8</v>
      </c>
      <c r="KB59" s="20">
        <v>8</v>
      </c>
      <c r="KC59" s="20">
        <v>12</v>
      </c>
      <c r="KD59" s="20">
        <v>12</v>
      </c>
      <c r="KE59" s="20">
        <v>12</v>
      </c>
      <c r="KF59" s="20">
        <v>16</v>
      </c>
      <c r="KG59" s="20">
        <v>16</v>
      </c>
      <c r="KH59" s="20">
        <v>16</v>
      </c>
      <c r="KI59" s="20">
        <v>20</v>
      </c>
      <c r="KJ59" s="20">
        <v>20</v>
      </c>
      <c r="KK59" s="20">
        <v>20</v>
      </c>
      <c r="KL59" s="20">
        <v>24</v>
      </c>
      <c r="KM59" s="20">
        <v>24</v>
      </c>
      <c r="KN59" s="20">
        <v>24</v>
      </c>
      <c r="KO59" s="20">
        <v>28</v>
      </c>
      <c r="KP59" s="20">
        <v>28</v>
      </c>
      <c r="KQ59" s="20">
        <v>28</v>
      </c>
      <c r="KR59" s="20">
        <v>32</v>
      </c>
      <c r="KS59" s="20">
        <v>32</v>
      </c>
      <c r="KU59" s="26" t="s">
        <v>521</v>
      </c>
      <c r="KV59" s="20">
        <v>0</v>
      </c>
      <c r="KW59" s="20">
        <v>0</v>
      </c>
      <c r="KX59" s="20">
        <v>4</v>
      </c>
      <c r="KY59" s="20">
        <v>4</v>
      </c>
      <c r="KZ59" s="20">
        <v>8</v>
      </c>
      <c r="LA59" s="20">
        <v>8</v>
      </c>
      <c r="LB59" s="20">
        <v>12</v>
      </c>
      <c r="LC59" s="20">
        <v>12</v>
      </c>
      <c r="LD59" s="20">
        <v>16</v>
      </c>
      <c r="LE59" s="20">
        <v>16</v>
      </c>
      <c r="LF59" s="20">
        <v>20</v>
      </c>
      <c r="LG59" s="20">
        <v>20</v>
      </c>
      <c r="LH59" s="20">
        <v>24</v>
      </c>
      <c r="LI59" s="20">
        <v>24</v>
      </c>
      <c r="LJ59" s="20">
        <v>28</v>
      </c>
      <c r="LK59" s="20">
        <v>32</v>
      </c>
      <c r="LL59" s="20">
        <v>32</v>
      </c>
      <c r="LM59" s="20">
        <v>36</v>
      </c>
      <c r="LN59" s="20">
        <v>36</v>
      </c>
      <c r="LO59" s="20">
        <v>40</v>
      </c>
      <c r="LP59" s="20">
        <v>40</v>
      </c>
      <c r="LQ59" s="20">
        <v>44</v>
      </c>
      <c r="LR59" s="20">
        <v>44</v>
      </c>
      <c r="LS59" s="20">
        <v>48</v>
      </c>
      <c r="LT59" s="20">
        <v>48</v>
      </c>
      <c r="LU59" s="20">
        <v>52</v>
      </c>
      <c r="LW59" s="26" t="s">
        <v>521</v>
      </c>
      <c r="LX59" s="20">
        <v>0</v>
      </c>
      <c r="LY59" s="20">
        <v>0</v>
      </c>
      <c r="LZ59" s="20">
        <v>4</v>
      </c>
      <c r="MA59" s="20">
        <v>4</v>
      </c>
      <c r="MB59" s="20">
        <v>8</v>
      </c>
      <c r="MC59" s="20">
        <v>12</v>
      </c>
      <c r="MD59" s="20">
        <v>12</v>
      </c>
      <c r="ME59" s="20">
        <v>16</v>
      </c>
      <c r="MF59" s="20">
        <v>16</v>
      </c>
      <c r="MG59" s="20">
        <v>20</v>
      </c>
      <c r="MH59" s="20">
        <v>24</v>
      </c>
      <c r="MI59" s="20">
        <v>24</v>
      </c>
      <c r="MJ59" s="20">
        <v>28</v>
      </c>
      <c r="MK59" s="20">
        <v>28</v>
      </c>
      <c r="ML59" s="20">
        <v>32</v>
      </c>
      <c r="MM59" s="20">
        <v>36</v>
      </c>
      <c r="MN59" s="20">
        <v>36</v>
      </c>
      <c r="MO59" s="20">
        <v>40</v>
      </c>
      <c r="MP59" s="20">
        <v>44</v>
      </c>
      <c r="MQ59" s="20">
        <v>44</v>
      </c>
      <c r="MR59" s="20">
        <v>48</v>
      </c>
      <c r="MS59" s="20">
        <v>48</v>
      </c>
      <c r="MT59" s="20">
        <v>52</v>
      </c>
      <c r="MU59" s="20">
        <v>56</v>
      </c>
      <c r="MV59" s="20">
        <v>56</v>
      </c>
      <c r="MW59" s="20">
        <v>60</v>
      </c>
      <c r="MY59" s="21" t="s">
        <v>521</v>
      </c>
      <c r="MZ59" s="21">
        <v>0</v>
      </c>
      <c r="NA59" s="21">
        <v>0</v>
      </c>
      <c r="NB59" s="21">
        <v>4</v>
      </c>
      <c r="NC59" s="21">
        <v>8</v>
      </c>
      <c r="ND59" s="21">
        <v>12</v>
      </c>
      <c r="NE59" s="21">
        <v>12</v>
      </c>
      <c r="NF59" s="21">
        <v>16</v>
      </c>
      <c r="NG59" s="21">
        <v>20</v>
      </c>
      <c r="NH59" s="21">
        <v>24</v>
      </c>
      <c r="NI59" s="21">
        <v>24</v>
      </c>
      <c r="NJ59" s="21">
        <v>28</v>
      </c>
      <c r="NK59" s="21">
        <v>32</v>
      </c>
      <c r="NL59" s="21">
        <v>32</v>
      </c>
      <c r="NM59" s="21">
        <v>36</v>
      </c>
      <c r="NN59" s="21">
        <v>40</v>
      </c>
      <c r="NO59" s="21">
        <v>44</v>
      </c>
      <c r="NP59" s="21">
        <v>44</v>
      </c>
      <c r="NQ59" s="21">
        <v>48</v>
      </c>
      <c r="NR59" s="21">
        <v>52</v>
      </c>
      <c r="NS59" s="21">
        <v>56</v>
      </c>
      <c r="NT59" s="21">
        <v>56</v>
      </c>
      <c r="NU59" s="21">
        <v>60</v>
      </c>
      <c r="NV59" s="21">
        <v>64</v>
      </c>
      <c r="NW59" s="21">
        <v>68</v>
      </c>
      <c r="NX59" s="21">
        <v>68</v>
      </c>
      <c r="NY59" s="21">
        <v>72</v>
      </c>
    </row>
    <row r="60" spans="1:389" x14ac:dyDescent="0.25">
      <c r="A60" s="8"/>
      <c r="B60" s="5" t="s">
        <v>116</v>
      </c>
      <c r="C60" s="8"/>
      <c r="D60" s="6" t="s">
        <v>291</v>
      </c>
      <c r="E60" s="8" t="s">
        <v>514</v>
      </c>
      <c r="F60" s="4"/>
      <c r="G60" s="4"/>
      <c r="H60" s="4"/>
      <c r="I60" s="4"/>
      <c r="J60" s="4"/>
      <c r="K60" s="4"/>
      <c r="L60" s="6" t="str">
        <f>IF($E$61=$AK$22,"PAL40H40/3,6",IF($E$61=$AK$23,"-------",IF($E$61=$AK$24,"-------","-------")))</f>
        <v>PAL40H40/3,6</v>
      </c>
      <c r="M60" s="14">
        <f>INDEX(cennik!$C$2:$L$529,MATCH($L60,cennik!$B$2:$B$522,0),MATCH(M$27,cennik!$C$1:$L$1,0))</f>
        <v>894636</v>
      </c>
      <c r="N60" s="14" t="str">
        <f>INDEX(cennik!$C$2:$L$529,MATCH($L60,cennik!$B$2:$B$522,0),MATCH(N$27,cennik!$C$1:$L$1,0))</f>
        <v>szt.</v>
      </c>
      <c r="O60" s="14">
        <f>IF(L60="-------",0,SUM(JP52:JP67))</f>
        <v>0</v>
      </c>
      <c r="P60" s="22">
        <f>INDEX(cennik!$C$2:$L$529,MATCH($L60,cennik!$B$2:$B$522,0),MATCH(P$27,cennik!$C$1:$L$1,0))</f>
        <v>111.6</v>
      </c>
      <c r="Q60" s="22">
        <f t="shared" ref="Q60:Q61" si="66">O60*P60</f>
        <v>0</v>
      </c>
      <c r="R60" s="23">
        <f t="shared" si="64"/>
        <v>0</v>
      </c>
      <c r="S60" s="22">
        <f t="shared" si="65"/>
        <v>111.6</v>
      </c>
      <c r="T60" s="22">
        <f t="shared" ref="T60:T61" si="67">O60*S60</f>
        <v>0</v>
      </c>
      <c r="U60" s="22">
        <f>INDEX(cennik!$C$2:$L$529,MATCH($L60,cennik!$B$2:$B$522,0),MATCH(U$27,cennik!$C$1:$L$1,0))*O60</f>
        <v>0</v>
      </c>
      <c r="V60" s="20"/>
      <c r="W60" s="20"/>
      <c r="X60" s="25">
        <f t="shared" si="52"/>
        <v>0</v>
      </c>
      <c r="Y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66,$BB$2:$CA$2,0),MATCH($W$46,$AH$22:$AH$47,0)))*C66</f>
        <v>0</v>
      </c>
      <c r="Z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66,$BB$2:$CA$2,0),MATCH($W$46,$AH$22:$AH$47,0)))*C66</f>
        <v>0</v>
      </c>
      <c r="AA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66,$BB$2:$CA$2,0),MATCH($W$46,$AH$22:$AH$47,0)))*C66</f>
        <v>0</v>
      </c>
      <c r="AB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66,$BB$2:$CA$2,0),MATCH($W$46,$AH$22:$AH$47,0)))*C66</f>
        <v>0</v>
      </c>
      <c r="AC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66,$BB$2:$CA$2,0),MATCH($W$46,$AH$22:$AH$47,0)))*C66</f>
        <v>0</v>
      </c>
      <c r="AD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66,$BB$2:$CA$2,0),MATCH($W$46,$AH$22:$AH$47,0)))*C66</f>
        <v>0</v>
      </c>
      <c r="AE60" s="20"/>
      <c r="AF60" s="20"/>
      <c r="AG60" s="20">
        <v>42</v>
      </c>
      <c r="AH60" s="20" t="s">
        <v>881</v>
      </c>
      <c r="AI60" s="20">
        <v>0</v>
      </c>
      <c r="AJ60" s="20"/>
      <c r="AK60" s="20"/>
      <c r="AL60" s="20">
        <f t="shared" si="53"/>
        <v>0</v>
      </c>
      <c r="AM60" s="20">
        <v>35</v>
      </c>
      <c r="AN60" s="20" t="s">
        <v>29</v>
      </c>
      <c r="AO60" s="20" t="s">
        <v>30</v>
      </c>
      <c r="AP60" s="20" t="s">
        <v>110</v>
      </c>
      <c r="AQ60" s="20" t="s">
        <v>321</v>
      </c>
      <c r="AS60" s="20">
        <v>35</v>
      </c>
      <c r="AT60" s="20" t="s">
        <v>506</v>
      </c>
      <c r="AU60" s="20" t="s">
        <v>506</v>
      </c>
      <c r="AV60" s="20" t="s">
        <v>506</v>
      </c>
      <c r="AW60" s="20" t="s">
        <v>506</v>
      </c>
      <c r="AX60" s="20"/>
      <c r="AY60" s="20"/>
      <c r="AZ60" s="20"/>
      <c r="BA60" s="20" t="s">
        <v>15</v>
      </c>
      <c r="BB60" s="20">
        <v>0</v>
      </c>
      <c r="BC60" s="20">
        <v>0</v>
      </c>
      <c r="BD60" s="20">
        <v>2</v>
      </c>
      <c r="BE60" s="20">
        <v>0</v>
      </c>
      <c r="BF60" s="20">
        <v>2</v>
      </c>
      <c r="BG60" s="20">
        <v>4</v>
      </c>
      <c r="BH60" s="20">
        <v>2</v>
      </c>
      <c r="BI60" s="20">
        <v>4</v>
      </c>
      <c r="BJ60" s="20">
        <v>6</v>
      </c>
      <c r="BK60" s="20">
        <v>4</v>
      </c>
      <c r="BL60" s="20">
        <v>2</v>
      </c>
      <c r="BM60" s="20">
        <v>2</v>
      </c>
      <c r="BN60" s="20">
        <v>0</v>
      </c>
      <c r="BO60" s="20">
        <v>0</v>
      </c>
      <c r="BP60" s="20">
        <v>0</v>
      </c>
      <c r="BQ60" s="20">
        <v>0</v>
      </c>
      <c r="BR60" s="20">
        <v>12</v>
      </c>
      <c r="BS60" s="20">
        <v>10</v>
      </c>
      <c r="BT60" s="20">
        <v>8</v>
      </c>
      <c r="BU60" s="20">
        <v>8</v>
      </c>
      <c r="BV60" s="20">
        <v>6</v>
      </c>
      <c r="BW60" s="20">
        <v>6</v>
      </c>
      <c r="BX60" s="20">
        <v>8</v>
      </c>
      <c r="BY60" s="20">
        <v>4</v>
      </c>
      <c r="BZ60" s="20">
        <v>18</v>
      </c>
      <c r="CA60" s="20">
        <v>2</v>
      </c>
      <c r="CB60" s="20">
        <v>14</v>
      </c>
      <c r="CC60" s="20">
        <v>14</v>
      </c>
      <c r="CD60" s="20">
        <v>0</v>
      </c>
      <c r="CE60" s="20">
        <v>12</v>
      </c>
      <c r="CF60" s="20">
        <v>12</v>
      </c>
      <c r="CG60" s="20">
        <v>10</v>
      </c>
      <c r="CH60" s="20">
        <v>24</v>
      </c>
      <c r="CI60" s="20">
        <v>8</v>
      </c>
      <c r="CJ60" s="20">
        <v>20</v>
      </c>
      <c r="CK60" s="20">
        <v>20</v>
      </c>
      <c r="CL60" s="20">
        <v>4</v>
      </c>
      <c r="CM60" s="20">
        <v>6</v>
      </c>
      <c r="CN60" s="20">
        <v>2</v>
      </c>
      <c r="CO60" s="20">
        <v>2</v>
      </c>
      <c r="CP60" s="20">
        <v>30</v>
      </c>
      <c r="CQ60" s="20">
        <v>14</v>
      </c>
      <c r="CR60" s="20">
        <v>0</v>
      </c>
      <c r="CS60" s="20">
        <v>26</v>
      </c>
      <c r="CT60" s="20">
        <v>10</v>
      </c>
      <c r="CU60" s="20">
        <v>0</v>
      </c>
      <c r="CV60" s="20">
        <v>8</v>
      </c>
      <c r="CW60" s="20">
        <v>8</v>
      </c>
      <c r="CX60" s="20">
        <v>36</v>
      </c>
      <c r="CY60" s="20">
        <v>20</v>
      </c>
      <c r="CZ60" s="20">
        <v>4</v>
      </c>
      <c r="DA60" s="54"/>
      <c r="DB60" s="54"/>
      <c r="DC60" s="54"/>
      <c r="DD60" s="20" t="s">
        <v>518</v>
      </c>
      <c r="DE60" s="20">
        <v>0</v>
      </c>
      <c r="DF60" s="20">
        <v>2</v>
      </c>
      <c r="DG60" s="20">
        <v>4</v>
      </c>
      <c r="DH60" s="20">
        <v>2</v>
      </c>
      <c r="DI60" s="20">
        <v>4</v>
      </c>
      <c r="DJ60" s="20">
        <v>2</v>
      </c>
      <c r="DK60" s="20">
        <v>4</v>
      </c>
      <c r="DL60" s="20">
        <v>2</v>
      </c>
      <c r="DM60" s="20">
        <v>4</v>
      </c>
      <c r="DN60" s="20">
        <v>0</v>
      </c>
      <c r="DO60" s="20">
        <v>4</v>
      </c>
      <c r="DP60" s="20">
        <v>0</v>
      </c>
      <c r="DQ60" s="20">
        <v>4</v>
      </c>
      <c r="DR60" s="20">
        <v>0</v>
      </c>
      <c r="DS60" s="20">
        <v>4</v>
      </c>
      <c r="DT60" s="20">
        <v>0</v>
      </c>
      <c r="DU60" s="20">
        <v>2</v>
      </c>
      <c r="DV60" s="20">
        <v>0</v>
      </c>
      <c r="DW60" s="20">
        <v>2</v>
      </c>
      <c r="DX60" s="20">
        <v>0</v>
      </c>
      <c r="DY60" s="20">
        <v>2</v>
      </c>
      <c r="DZ60" s="20"/>
      <c r="EA60" s="20"/>
      <c r="EB60" s="20" t="s">
        <v>15</v>
      </c>
      <c r="EC60" s="20">
        <v>0</v>
      </c>
      <c r="ED60" s="20">
        <v>0</v>
      </c>
      <c r="EE60" s="20">
        <v>0</v>
      </c>
      <c r="EF60" s="20">
        <v>0</v>
      </c>
      <c r="EG60" s="20">
        <v>2</v>
      </c>
      <c r="EH60" s="20">
        <v>6</v>
      </c>
      <c r="EI60" s="20">
        <v>0</v>
      </c>
      <c r="EJ60" s="20">
        <v>4</v>
      </c>
      <c r="EK60" s="20">
        <v>8</v>
      </c>
      <c r="EL60" s="20">
        <v>0</v>
      </c>
      <c r="EM60" s="20">
        <v>4</v>
      </c>
      <c r="EN60" s="20">
        <v>6</v>
      </c>
      <c r="EO60" s="20">
        <v>14</v>
      </c>
      <c r="EP60" s="20">
        <v>2</v>
      </c>
      <c r="EQ60" s="20">
        <v>8</v>
      </c>
      <c r="ER60" s="20">
        <v>12</v>
      </c>
      <c r="ES60" s="20">
        <v>4</v>
      </c>
      <c r="ET60" s="20">
        <v>12</v>
      </c>
      <c r="EU60" s="20">
        <v>0</v>
      </c>
      <c r="EV60" s="20">
        <v>18</v>
      </c>
      <c r="EW60" s="20">
        <v>22</v>
      </c>
      <c r="EX60" s="20">
        <v>14</v>
      </c>
      <c r="EY60" s="20">
        <v>8</v>
      </c>
      <c r="EZ60" s="20">
        <v>8</v>
      </c>
      <c r="FA60" s="20">
        <v>28</v>
      </c>
      <c r="FB60" s="20">
        <v>4</v>
      </c>
      <c r="FC60" s="20">
        <v>22</v>
      </c>
      <c r="FD60" s="20">
        <v>0</v>
      </c>
      <c r="FE60" s="20">
        <v>18</v>
      </c>
      <c r="FF60" s="20">
        <v>22</v>
      </c>
      <c r="FG60" s="20">
        <v>12</v>
      </c>
      <c r="FH60" s="20">
        <v>32</v>
      </c>
      <c r="FI60" s="20">
        <v>0</v>
      </c>
      <c r="FJ60" s="20">
        <v>12</v>
      </c>
      <c r="FK60" s="20">
        <v>2</v>
      </c>
      <c r="FL60" s="20">
        <v>22</v>
      </c>
      <c r="FM60" s="20">
        <v>0</v>
      </c>
      <c r="FN60" s="20">
        <v>2</v>
      </c>
      <c r="FO60" s="20">
        <v>0</v>
      </c>
      <c r="FP60" s="20">
        <v>12</v>
      </c>
      <c r="FQ60" s="20">
        <v>32</v>
      </c>
      <c r="FR60" s="20">
        <v>8</v>
      </c>
      <c r="FS60" s="20">
        <v>4</v>
      </c>
      <c r="FT60" s="20">
        <v>2</v>
      </c>
      <c r="FU60" s="20">
        <v>22</v>
      </c>
      <c r="FV60" s="20">
        <v>0</v>
      </c>
      <c r="FW60" s="20">
        <v>16</v>
      </c>
      <c r="FX60" s="20">
        <v>0</v>
      </c>
      <c r="FY60" s="20">
        <v>12</v>
      </c>
      <c r="FZ60" s="20">
        <v>16</v>
      </c>
      <c r="GA60" s="20">
        <v>6</v>
      </c>
      <c r="GC60" s="20"/>
      <c r="GD60" s="20"/>
      <c r="GE60" s="20" t="s">
        <v>15</v>
      </c>
      <c r="GF60" s="20">
        <v>0</v>
      </c>
      <c r="GG60" s="20">
        <v>0</v>
      </c>
      <c r="GH60" s="20">
        <v>0</v>
      </c>
      <c r="GI60" s="20">
        <v>4</v>
      </c>
      <c r="GJ60" s="20">
        <v>4</v>
      </c>
      <c r="GK60" s="20">
        <v>4</v>
      </c>
      <c r="GL60" s="20">
        <v>8</v>
      </c>
      <c r="GM60" s="20">
        <v>8</v>
      </c>
      <c r="GN60" s="20">
        <v>8</v>
      </c>
      <c r="GO60" s="20">
        <v>0</v>
      </c>
      <c r="GP60" s="20">
        <v>0</v>
      </c>
      <c r="GQ60" s="20">
        <v>2</v>
      </c>
      <c r="GR60" s="20">
        <v>2</v>
      </c>
      <c r="GS60" s="20">
        <v>4</v>
      </c>
      <c r="GT60" s="20">
        <v>6</v>
      </c>
      <c r="GU60" s="20">
        <v>6</v>
      </c>
      <c r="GV60" s="20">
        <v>8</v>
      </c>
      <c r="GW60" s="20">
        <v>10</v>
      </c>
      <c r="GX60" s="20">
        <v>10</v>
      </c>
      <c r="GY60" s="20">
        <v>0</v>
      </c>
      <c r="GZ60" s="20">
        <v>14</v>
      </c>
      <c r="HA60" s="20">
        <v>14</v>
      </c>
      <c r="HB60" s="20">
        <v>2</v>
      </c>
      <c r="HC60" s="20">
        <v>18</v>
      </c>
      <c r="HD60" s="20">
        <v>20</v>
      </c>
      <c r="HE60" s="20">
        <v>8</v>
      </c>
      <c r="HF60" s="20">
        <v>8</v>
      </c>
      <c r="HG60" s="20">
        <v>2</v>
      </c>
      <c r="HH60" s="20">
        <v>12</v>
      </c>
      <c r="HI60" s="20">
        <v>28</v>
      </c>
      <c r="HJ60" s="20">
        <v>0</v>
      </c>
      <c r="HK60" s="20">
        <v>16</v>
      </c>
      <c r="HL60" s="20">
        <v>8</v>
      </c>
      <c r="HM60" s="20">
        <v>4</v>
      </c>
      <c r="HN60" s="20">
        <v>20</v>
      </c>
      <c r="HO60" s="20">
        <v>0</v>
      </c>
      <c r="HP60" s="20">
        <v>8</v>
      </c>
      <c r="HQ60" s="20">
        <v>2</v>
      </c>
      <c r="HR60" s="20">
        <v>0</v>
      </c>
      <c r="HS60" s="20">
        <v>12</v>
      </c>
      <c r="HT60" s="20">
        <v>14</v>
      </c>
      <c r="HU60" s="20">
        <v>2</v>
      </c>
      <c r="HV60" s="20">
        <v>2</v>
      </c>
      <c r="HW60" s="20">
        <v>0</v>
      </c>
      <c r="HX60" s="20">
        <v>6</v>
      </c>
      <c r="HY60" s="20">
        <v>22</v>
      </c>
      <c r="HZ60" s="20">
        <v>22</v>
      </c>
      <c r="IA60" s="20">
        <v>10</v>
      </c>
      <c r="IB60" s="20">
        <v>26</v>
      </c>
      <c r="IC60" s="20">
        <v>0</v>
      </c>
      <c r="ID60" s="20">
        <v>14</v>
      </c>
      <c r="IF60" s="21" t="s">
        <v>15</v>
      </c>
      <c r="IG60" s="21">
        <v>0</v>
      </c>
      <c r="IH60" s="21">
        <v>2</v>
      </c>
      <c r="II60" s="21">
        <v>2</v>
      </c>
      <c r="IJ60" s="21">
        <v>0</v>
      </c>
      <c r="IK60" s="21">
        <v>4</v>
      </c>
      <c r="IL60" s="21">
        <v>6</v>
      </c>
      <c r="IM60" s="21">
        <v>0</v>
      </c>
      <c r="IN60" s="21">
        <v>10</v>
      </c>
      <c r="IO60" s="21">
        <v>4</v>
      </c>
      <c r="IP60" s="21">
        <v>2</v>
      </c>
      <c r="IQ60" s="21">
        <v>12</v>
      </c>
      <c r="IR60" s="21">
        <v>6</v>
      </c>
      <c r="IS60" s="21">
        <v>4</v>
      </c>
      <c r="IT60" s="21">
        <v>0</v>
      </c>
      <c r="IU60" s="21">
        <v>8</v>
      </c>
      <c r="IV60" s="21">
        <v>4</v>
      </c>
      <c r="IW60" s="21">
        <v>14</v>
      </c>
      <c r="IX60" s="21">
        <v>0</v>
      </c>
      <c r="IY60" s="21">
        <v>6</v>
      </c>
      <c r="IZ60" s="21">
        <v>0</v>
      </c>
      <c r="JA60" s="21">
        <v>10</v>
      </c>
      <c r="JB60" s="21">
        <v>20</v>
      </c>
      <c r="JC60" s="21">
        <v>2</v>
      </c>
      <c r="JD60" s="21">
        <v>12</v>
      </c>
      <c r="JE60" s="21">
        <v>6</v>
      </c>
      <c r="JF60" s="21">
        <v>32</v>
      </c>
      <c r="JI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61,$JT$2:$KS$2,0),MATCH($W$46,$AH$22:$AH$47,0)))*C61</f>
        <v>0</v>
      </c>
      <c r="JJ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61,$JT$2:$KS$2,0),MATCH($W$46,$AH$22:$AH$47,0)))*C61</f>
        <v>0</v>
      </c>
      <c r="JK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61,$JT$2:$KS$2,0),MATCH($W$46,$AH$22:$AH$47,0)))*C61</f>
        <v>0</v>
      </c>
      <c r="JL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61,$JT$2:$KS$2,0),MATCH($W$46,$AH$22:$AH$47,0)))*C61</f>
        <v>0</v>
      </c>
      <c r="JM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61,$JT$2:$KS$2,0),MATCH($W$46,$AH$22:$AH$47,0)))*C61</f>
        <v>0</v>
      </c>
      <c r="JN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61,$JT$2:$KS$2,0),MATCH($W$46,$AH$22:$AH$47,0)))*C61</f>
        <v>0</v>
      </c>
      <c r="JO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61,$JT$2:$KS$2,0),MATCH($W$46,$AH$22:$AH$47,0)))*C61</f>
        <v>0</v>
      </c>
      <c r="JP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61,$JT$2:$KS$2,0),MATCH($W$46,$AH$22:$AH$47,0)))*C61</f>
        <v>0</v>
      </c>
      <c r="JQ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61,$JT$2:$KS$2,0),MATCH($W$46,$AH$22:$AH$47,0)))*C61</f>
        <v>0</v>
      </c>
      <c r="JS60" s="26" t="s">
        <v>710</v>
      </c>
      <c r="JT60" s="20">
        <v>0</v>
      </c>
      <c r="JU60" s="20">
        <v>2</v>
      </c>
      <c r="JV60" s="20">
        <v>0</v>
      </c>
      <c r="JW60" s="20">
        <v>4</v>
      </c>
      <c r="JX60" s="20">
        <v>2</v>
      </c>
      <c r="JY60" s="20">
        <v>0</v>
      </c>
      <c r="JZ60" s="20">
        <v>4</v>
      </c>
      <c r="KA60" s="20">
        <v>2</v>
      </c>
      <c r="KB60" s="20">
        <v>0</v>
      </c>
      <c r="KC60" s="20">
        <v>4</v>
      </c>
      <c r="KD60" s="20">
        <v>2</v>
      </c>
      <c r="KE60" s="20">
        <v>0</v>
      </c>
      <c r="KF60" s="20">
        <v>4</v>
      </c>
      <c r="KG60" s="20">
        <v>2</v>
      </c>
      <c r="KH60" s="20">
        <v>0</v>
      </c>
      <c r="KI60" s="20">
        <v>4</v>
      </c>
      <c r="KJ60" s="20">
        <v>2</v>
      </c>
      <c r="KK60" s="20">
        <v>0</v>
      </c>
      <c r="KL60" s="20">
        <v>4</v>
      </c>
      <c r="KM60" s="20">
        <v>2</v>
      </c>
      <c r="KN60" s="20">
        <v>0</v>
      </c>
      <c r="KO60" s="20">
        <v>4</v>
      </c>
      <c r="KP60" s="20">
        <v>2</v>
      </c>
      <c r="KQ60" s="20">
        <v>0</v>
      </c>
      <c r="KR60" s="20">
        <v>4</v>
      </c>
      <c r="KS60" s="20">
        <v>2</v>
      </c>
      <c r="KU60" s="26" t="s">
        <v>710</v>
      </c>
      <c r="KV60" s="20">
        <v>0</v>
      </c>
      <c r="KW60" s="20">
        <v>0</v>
      </c>
      <c r="KX60" s="20">
        <v>2</v>
      </c>
      <c r="KY60" s="20">
        <v>4</v>
      </c>
      <c r="KZ60" s="20">
        <v>2</v>
      </c>
      <c r="LA60" s="20">
        <v>4</v>
      </c>
      <c r="LB60" s="20">
        <v>0</v>
      </c>
      <c r="LC60" s="20">
        <v>4</v>
      </c>
      <c r="LD60" s="20">
        <v>0</v>
      </c>
      <c r="LE60" s="20">
        <v>4</v>
      </c>
      <c r="LF60" s="20">
        <v>0</v>
      </c>
      <c r="LG60" s="20">
        <v>2</v>
      </c>
      <c r="LH60" s="20">
        <v>0</v>
      </c>
      <c r="LI60" s="20">
        <v>2</v>
      </c>
      <c r="LJ60" s="20">
        <v>0</v>
      </c>
      <c r="LK60" s="20">
        <v>2</v>
      </c>
      <c r="LL60" s="20">
        <v>4</v>
      </c>
      <c r="LM60" s="20">
        <v>2</v>
      </c>
      <c r="LN60" s="20">
        <v>4</v>
      </c>
      <c r="LO60" s="20">
        <v>0</v>
      </c>
      <c r="LP60" s="20">
        <v>4</v>
      </c>
      <c r="LQ60" s="20">
        <v>0</v>
      </c>
      <c r="LR60" s="20">
        <v>4</v>
      </c>
      <c r="LS60" s="20">
        <v>0</v>
      </c>
      <c r="LT60" s="20">
        <v>2</v>
      </c>
      <c r="LU60" s="20">
        <v>0</v>
      </c>
      <c r="LW60" s="26" t="s">
        <v>710</v>
      </c>
      <c r="LX60" s="20">
        <v>0</v>
      </c>
      <c r="LY60" s="20">
        <v>2</v>
      </c>
      <c r="LZ60" s="20">
        <v>4</v>
      </c>
      <c r="MA60" s="20">
        <v>0</v>
      </c>
      <c r="MB60" s="20">
        <v>2</v>
      </c>
      <c r="MC60" s="20">
        <v>4</v>
      </c>
      <c r="MD60" s="20">
        <v>0</v>
      </c>
      <c r="ME60" s="20">
        <v>4</v>
      </c>
      <c r="MF60" s="20">
        <v>0</v>
      </c>
      <c r="MG60" s="20">
        <v>2</v>
      </c>
      <c r="MH60" s="20">
        <v>4</v>
      </c>
      <c r="MI60" s="20">
        <v>0</v>
      </c>
      <c r="MJ60" s="20">
        <v>2</v>
      </c>
      <c r="MK60" s="20">
        <v>0</v>
      </c>
      <c r="ML60" s="20">
        <v>2</v>
      </c>
      <c r="MM60" s="20">
        <v>4</v>
      </c>
      <c r="MN60" s="20">
        <v>0</v>
      </c>
      <c r="MO60" s="20">
        <v>2</v>
      </c>
      <c r="MP60" s="20">
        <v>4</v>
      </c>
      <c r="MQ60" s="20">
        <v>2</v>
      </c>
      <c r="MR60" s="20">
        <v>4</v>
      </c>
      <c r="MS60" s="20">
        <v>0</v>
      </c>
      <c r="MT60" s="20">
        <v>2</v>
      </c>
      <c r="MU60" s="20">
        <v>4</v>
      </c>
      <c r="MV60" s="20">
        <v>0</v>
      </c>
      <c r="MW60" s="20">
        <v>4</v>
      </c>
      <c r="MY60" s="21" t="s">
        <v>710</v>
      </c>
      <c r="MZ60" s="21">
        <v>0</v>
      </c>
      <c r="NA60" s="21">
        <v>0</v>
      </c>
      <c r="NB60" s="21">
        <v>2</v>
      </c>
      <c r="NC60" s="21">
        <v>4</v>
      </c>
      <c r="ND60" s="21">
        <v>4</v>
      </c>
      <c r="NE60" s="21">
        <v>0</v>
      </c>
      <c r="NF60" s="21">
        <v>2</v>
      </c>
      <c r="NG60" s="21">
        <v>4</v>
      </c>
      <c r="NH60" s="21">
        <v>4</v>
      </c>
      <c r="NI60" s="21">
        <v>0</v>
      </c>
      <c r="NJ60" s="21">
        <v>2</v>
      </c>
      <c r="NK60" s="21">
        <v>4</v>
      </c>
      <c r="NL60" s="21">
        <v>0</v>
      </c>
      <c r="NM60" s="21">
        <v>0</v>
      </c>
      <c r="NN60" s="21">
        <v>2</v>
      </c>
      <c r="NO60" s="21">
        <v>4</v>
      </c>
      <c r="NP60" s="21">
        <v>0</v>
      </c>
      <c r="NQ60" s="21">
        <v>0</v>
      </c>
      <c r="NR60" s="21">
        <v>2</v>
      </c>
      <c r="NS60" s="21">
        <v>4</v>
      </c>
      <c r="NT60" s="21">
        <v>0</v>
      </c>
      <c r="NU60" s="21">
        <v>0</v>
      </c>
      <c r="NV60" s="21">
        <v>2</v>
      </c>
      <c r="NW60" s="21">
        <v>4</v>
      </c>
      <c r="NX60" s="21">
        <v>0</v>
      </c>
      <c r="NY60" s="21">
        <v>0</v>
      </c>
    </row>
    <row r="61" spans="1:389" x14ac:dyDescent="0.25">
      <c r="A61" s="8"/>
      <c r="B61" s="5" t="s">
        <v>116</v>
      </c>
      <c r="C61" s="8"/>
      <c r="D61" s="6" t="s">
        <v>709</v>
      </c>
      <c r="E61" s="8" t="s">
        <v>781</v>
      </c>
      <c r="F61" s="359" t="str">
        <f>IF(E61="30x32 alu","możliwość stosowania w 1 strefie wiatrowej oraz 1,2,3 strefie śniegowej przy max. rozstawie podpór wynoszącym 0,8m","")</f>
        <v/>
      </c>
      <c r="G61" s="359"/>
      <c r="H61" s="359"/>
      <c r="I61" s="359"/>
      <c r="J61" s="4"/>
      <c r="K61" s="4"/>
      <c r="L61" s="6" t="str">
        <f>IF($E$61=$AK$22,"PAL40H40/4,4",IF($E$61=$AK$23,"-------",IF($E$61=$AK$24,"-------","-------")))</f>
        <v>PAL40H40/4,4</v>
      </c>
      <c r="M61" s="14">
        <f>INDEX(cennik!$C$2:$L$529,MATCH($L61,cennik!$B$2:$B$522,0),MATCH(M$27,cennik!$C$1:$L$1,0))</f>
        <v>894644</v>
      </c>
      <c r="N61" s="14" t="str">
        <f>INDEX(cennik!$C$2:$L$529,MATCH($L61,cennik!$B$2:$B$522,0),MATCH(N$27,cennik!$C$1:$L$1,0))</f>
        <v>szt.</v>
      </c>
      <c r="O61" s="14">
        <f>IF(L61="-------",0,SUM(JQ52:JQ67))</f>
        <v>0</v>
      </c>
      <c r="P61" s="22">
        <f>INDEX(cennik!$C$2:$L$529,MATCH($L61,cennik!$B$2:$B$522,0),MATCH(P$27,cennik!$C$1:$L$1,0))</f>
        <v>140.80000000000001</v>
      </c>
      <c r="Q61" s="22">
        <f t="shared" si="66"/>
        <v>0</v>
      </c>
      <c r="R61" s="23">
        <f t="shared" si="64"/>
        <v>0</v>
      </c>
      <c r="S61" s="22">
        <f t="shared" si="65"/>
        <v>140.80000000000001</v>
      </c>
      <c r="T61" s="22">
        <f t="shared" si="67"/>
        <v>0</v>
      </c>
      <c r="U61" s="22">
        <f>INDEX(cennik!$C$2:$L$529,MATCH($L61,cennik!$B$2:$B$522,0),MATCH(U$27,cennik!$C$1:$L$1,0))*O61</f>
        <v>0</v>
      </c>
      <c r="V61" s="20"/>
      <c r="W61" s="20"/>
      <c r="X61" s="25">
        <f t="shared" si="52"/>
        <v>0</v>
      </c>
      <c r="Y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67,$BB$2:$CA$2,0),MATCH($W$46,$AH$22:$AH$47,0)))*C67</f>
        <v>0</v>
      </c>
      <c r="Z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67,$BB$2:$CA$2,0),MATCH($W$46,$AH$22:$AH$47,0)))*C67</f>
        <v>0</v>
      </c>
      <c r="AA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67,$BB$2:$CA$2,0),MATCH($W$46,$AH$22:$AH$47,0)))*C67</f>
        <v>0</v>
      </c>
      <c r="AB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67,$BB$2:$CA$2,0),MATCH($W$46,$AH$22:$AH$47,0)))*C67</f>
        <v>0</v>
      </c>
      <c r="AC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67,$BB$2:$CA$2,0),MATCH($W$46,$AH$22:$AH$47,0)))*C67</f>
        <v>0</v>
      </c>
      <c r="AD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67,$BB$2:$CA$2,0),MATCH($W$46,$AH$22:$AH$47,0)))*C67</f>
        <v>0</v>
      </c>
      <c r="AE61" s="20"/>
      <c r="AF61" s="20"/>
      <c r="AG61" s="20">
        <v>45</v>
      </c>
      <c r="AH61" s="20" t="s">
        <v>881</v>
      </c>
      <c r="AI61" s="20">
        <v>0</v>
      </c>
      <c r="AJ61" s="20"/>
      <c r="AK61" s="20"/>
      <c r="AL61" s="20">
        <f t="shared" si="53"/>
        <v>0</v>
      </c>
      <c r="AM61" s="20">
        <v>38</v>
      </c>
      <c r="AN61" s="20" t="s">
        <v>31</v>
      </c>
      <c r="AO61" s="20"/>
      <c r="AP61" s="20" t="s">
        <v>110</v>
      </c>
      <c r="AQ61" s="20" t="s">
        <v>321</v>
      </c>
      <c r="AS61" s="20">
        <v>38</v>
      </c>
      <c r="AT61" s="20" t="s">
        <v>506</v>
      </c>
      <c r="AU61" s="20" t="s">
        <v>506</v>
      </c>
      <c r="AV61" s="20" t="s">
        <v>506</v>
      </c>
      <c r="AW61" s="20" t="s">
        <v>506</v>
      </c>
      <c r="AX61" s="20"/>
      <c r="AY61" s="20"/>
      <c r="AZ61" s="20"/>
      <c r="BA61" s="20" t="s">
        <v>19</v>
      </c>
      <c r="BB61" s="20">
        <v>0</v>
      </c>
      <c r="BC61" s="20">
        <v>0</v>
      </c>
      <c r="BD61" s="20">
        <v>0</v>
      </c>
      <c r="BE61" s="20">
        <v>0</v>
      </c>
      <c r="BF61" s="20">
        <v>0</v>
      </c>
      <c r="BG61" s="20">
        <v>0</v>
      </c>
      <c r="BH61" s="20">
        <v>0</v>
      </c>
      <c r="BI61" s="20">
        <v>0</v>
      </c>
      <c r="BJ61" s="20">
        <v>0</v>
      </c>
      <c r="BK61" s="20">
        <v>0</v>
      </c>
      <c r="BL61" s="20">
        <v>4</v>
      </c>
      <c r="BM61" s="20">
        <v>6</v>
      </c>
      <c r="BN61" s="20">
        <v>6</v>
      </c>
      <c r="BO61" s="20">
        <v>8</v>
      </c>
      <c r="BP61" s="20">
        <v>10</v>
      </c>
      <c r="BQ61" s="20">
        <v>10</v>
      </c>
      <c r="BR61" s="20">
        <v>0</v>
      </c>
      <c r="BS61" s="20">
        <v>0</v>
      </c>
      <c r="BT61" s="20">
        <v>4</v>
      </c>
      <c r="BU61" s="20">
        <v>6</v>
      </c>
      <c r="BV61" s="20">
        <v>6</v>
      </c>
      <c r="BW61" s="20">
        <v>8</v>
      </c>
      <c r="BX61" s="20">
        <v>8</v>
      </c>
      <c r="BY61" s="20">
        <v>10</v>
      </c>
      <c r="BZ61" s="20">
        <v>0</v>
      </c>
      <c r="CA61" s="20">
        <v>16</v>
      </c>
      <c r="CB61" s="20">
        <v>4</v>
      </c>
      <c r="CC61" s="20">
        <v>6</v>
      </c>
      <c r="CD61" s="20">
        <v>20</v>
      </c>
      <c r="CE61" s="20">
        <v>8</v>
      </c>
      <c r="CF61" s="20">
        <v>10</v>
      </c>
      <c r="CG61" s="20">
        <v>10</v>
      </c>
      <c r="CH61" s="20">
        <v>0</v>
      </c>
      <c r="CI61" s="20">
        <v>16</v>
      </c>
      <c r="CJ61" s="20">
        <v>4</v>
      </c>
      <c r="CK61" s="20">
        <v>6</v>
      </c>
      <c r="CL61" s="20">
        <v>22</v>
      </c>
      <c r="CM61" s="20">
        <v>18</v>
      </c>
      <c r="CN61" s="20">
        <v>24</v>
      </c>
      <c r="CO61" s="20">
        <v>26</v>
      </c>
      <c r="CP61" s="20">
        <v>0</v>
      </c>
      <c r="CQ61" s="20">
        <v>16</v>
      </c>
      <c r="CR61" s="20">
        <v>30</v>
      </c>
      <c r="CS61" s="20">
        <v>6</v>
      </c>
      <c r="CT61" s="20">
        <v>22</v>
      </c>
      <c r="CU61" s="20">
        <v>32</v>
      </c>
      <c r="CV61" s="20">
        <v>24</v>
      </c>
      <c r="CW61" s="20">
        <v>26</v>
      </c>
      <c r="CX61" s="20">
        <v>0</v>
      </c>
      <c r="CY61" s="20">
        <v>16</v>
      </c>
      <c r="CZ61" s="20">
        <v>32</v>
      </c>
      <c r="DA61" s="54"/>
      <c r="DB61" s="54">
        <v>30</v>
      </c>
      <c r="DC61" s="54"/>
      <c r="DD61" s="20" t="s">
        <v>520</v>
      </c>
      <c r="DE61" s="20">
        <v>0</v>
      </c>
      <c r="DF61" s="20">
        <v>0</v>
      </c>
      <c r="DG61" s="20">
        <v>0</v>
      </c>
      <c r="DH61" s="20">
        <v>2</v>
      </c>
      <c r="DI61" s="20">
        <v>2</v>
      </c>
      <c r="DJ61" s="20">
        <v>4</v>
      </c>
      <c r="DK61" s="20">
        <v>4</v>
      </c>
      <c r="DL61" s="20">
        <v>6</v>
      </c>
      <c r="DM61" s="20">
        <v>6</v>
      </c>
      <c r="DN61" s="20">
        <v>10</v>
      </c>
      <c r="DO61" s="20">
        <v>8</v>
      </c>
      <c r="DP61" s="20">
        <v>12</v>
      </c>
      <c r="DQ61" s="20">
        <v>10</v>
      </c>
      <c r="DR61" s="20">
        <v>14</v>
      </c>
      <c r="DS61" s="20">
        <v>12</v>
      </c>
      <c r="DT61" s="20">
        <v>16</v>
      </c>
      <c r="DU61" s="20">
        <v>16</v>
      </c>
      <c r="DV61" s="20">
        <v>18</v>
      </c>
      <c r="DW61" s="20">
        <v>18</v>
      </c>
      <c r="DX61" s="20">
        <v>20</v>
      </c>
      <c r="DY61" s="20">
        <v>20</v>
      </c>
      <c r="DZ61" s="20"/>
      <c r="EA61" s="20"/>
      <c r="EB61" s="20" t="s">
        <v>19</v>
      </c>
      <c r="EC61" s="20">
        <v>0</v>
      </c>
      <c r="ED61" s="20">
        <v>0</v>
      </c>
      <c r="EE61" s="20">
        <v>0</v>
      </c>
      <c r="EF61" s="20">
        <v>0</v>
      </c>
      <c r="EG61" s="20">
        <v>0</v>
      </c>
      <c r="EH61" s="20">
        <v>0</v>
      </c>
      <c r="EI61" s="20">
        <v>4</v>
      </c>
      <c r="EJ61" s="20">
        <v>4</v>
      </c>
      <c r="EK61" s="20">
        <v>0</v>
      </c>
      <c r="EL61" s="20">
        <v>10</v>
      </c>
      <c r="EM61" s="20">
        <v>6</v>
      </c>
      <c r="EN61" s="20">
        <v>4</v>
      </c>
      <c r="EO61" s="20">
        <v>0</v>
      </c>
      <c r="EP61" s="20">
        <v>10</v>
      </c>
      <c r="EQ61" s="20">
        <v>8</v>
      </c>
      <c r="ER61" s="20">
        <v>4</v>
      </c>
      <c r="ES61" s="20">
        <v>14</v>
      </c>
      <c r="ET61" s="20">
        <v>6</v>
      </c>
      <c r="EU61" s="20">
        <v>20</v>
      </c>
      <c r="EV61" s="20">
        <v>4</v>
      </c>
      <c r="EW61" s="20">
        <v>0</v>
      </c>
      <c r="EX61" s="20">
        <v>10</v>
      </c>
      <c r="EY61" s="20">
        <v>14</v>
      </c>
      <c r="EZ61" s="20">
        <v>18</v>
      </c>
      <c r="FA61" s="20">
        <v>0</v>
      </c>
      <c r="FB61" s="20">
        <v>24</v>
      </c>
      <c r="FC61" s="20">
        <v>8</v>
      </c>
      <c r="FD61" s="20">
        <v>30</v>
      </c>
      <c r="FE61" s="20">
        <v>14</v>
      </c>
      <c r="FF61" s="20">
        <v>10</v>
      </c>
      <c r="FG61" s="20">
        <v>22</v>
      </c>
      <c r="FH61" s="20">
        <v>4</v>
      </c>
      <c r="FI61" s="20">
        <v>34</v>
      </c>
      <c r="FJ61" s="20">
        <v>24</v>
      </c>
      <c r="FK61" s="20">
        <v>36</v>
      </c>
      <c r="FL61" s="20">
        <v>18</v>
      </c>
      <c r="FM61" s="20">
        <v>40</v>
      </c>
      <c r="FN61" s="20">
        <v>38</v>
      </c>
      <c r="FO61" s="20">
        <v>42</v>
      </c>
      <c r="FP61" s="20">
        <v>32</v>
      </c>
      <c r="FQ61" s="20">
        <v>14</v>
      </c>
      <c r="FR61" s="20">
        <v>38</v>
      </c>
      <c r="FS61" s="20">
        <v>40</v>
      </c>
      <c r="FT61" s="20">
        <v>46</v>
      </c>
      <c r="FU61" s="20">
        <v>28</v>
      </c>
      <c r="FV61" s="20">
        <v>50</v>
      </c>
      <c r="FW61" s="20">
        <v>36</v>
      </c>
      <c r="FX61" s="20">
        <v>52</v>
      </c>
      <c r="FY61" s="20">
        <v>42</v>
      </c>
      <c r="FZ61" s="20">
        <v>38</v>
      </c>
      <c r="GA61" s="20">
        <v>50</v>
      </c>
      <c r="GC61" s="20"/>
      <c r="GD61" s="20"/>
      <c r="GE61" s="20" t="s">
        <v>19</v>
      </c>
      <c r="GF61" s="20">
        <v>0</v>
      </c>
      <c r="GG61" s="20">
        <v>0</v>
      </c>
      <c r="GH61" s="20">
        <v>0</v>
      </c>
      <c r="GI61" s="20">
        <v>0</v>
      </c>
      <c r="GJ61" s="20">
        <v>0</v>
      </c>
      <c r="GK61" s="20">
        <v>0</v>
      </c>
      <c r="GL61" s="20">
        <v>0</v>
      </c>
      <c r="GM61" s="20">
        <v>0</v>
      </c>
      <c r="GN61" s="20">
        <v>0</v>
      </c>
      <c r="GO61" s="20">
        <v>10</v>
      </c>
      <c r="GP61" s="20">
        <v>10</v>
      </c>
      <c r="GQ61" s="20">
        <v>12</v>
      </c>
      <c r="GR61" s="20">
        <v>12</v>
      </c>
      <c r="GS61" s="20">
        <v>10</v>
      </c>
      <c r="GT61" s="20">
        <v>12</v>
      </c>
      <c r="GU61" s="20">
        <v>12</v>
      </c>
      <c r="GV61" s="20">
        <v>10</v>
      </c>
      <c r="GW61" s="20">
        <v>12</v>
      </c>
      <c r="GX61" s="20">
        <v>12</v>
      </c>
      <c r="GY61" s="20">
        <v>24</v>
      </c>
      <c r="GZ61" s="20">
        <v>12</v>
      </c>
      <c r="HA61" s="20">
        <v>12</v>
      </c>
      <c r="HB61" s="20">
        <v>26</v>
      </c>
      <c r="HC61" s="20">
        <v>12</v>
      </c>
      <c r="HD61" s="20">
        <v>10</v>
      </c>
      <c r="HE61" s="20">
        <v>24</v>
      </c>
      <c r="HF61" s="20">
        <v>24</v>
      </c>
      <c r="HG61" s="20">
        <v>32</v>
      </c>
      <c r="HH61" s="20">
        <v>24</v>
      </c>
      <c r="HI61" s="20">
        <v>10</v>
      </c>
      <c r="HJ61" s="20">
        <v>38</v>
      </c>
      <c r="HK61" s="20">
        <v>24</v>
      </c>
      <c r="HL61" s="20">
        <v>30</v>
      </c>
      <c r="HM61" s="20">
        <v>38</v>
      </c>
      <c r="HN61" s="20">
        <v>24</v>
      </c>
      <c r="HO61" s="20">
        <v>44</v>
      </c>
      <c r="HP61" s="20">
        <v>38</v>
      </c>
      <c r="HQ61" s="20">
        <v>42</v>
      </c>
      <c r="HR61" s="20">
        <v>48</v>
      </c>
      <c r="HS61" s="20">
        <v>38</v>
      </c>
      <c r="HT61" s="20">
        <v>36</v>
      </c>
      <c r="HU61" s="20">
        <v>50</v>
      </c>
      <c r="HV61" s="20">
        <v>50</v>
      </c>
      <c r="HW61" s="20">
        <v>54</v>
      </c>
      <c r="HX61" s="20">
        <v>50</v>
      </c>
      <c r="HY61" s="20">
        <v>36</v>
      </c>
      <c r="HZ61" s="20">
        <v>36</v>
      </c>
      <c r="IA61" s="20">
        <v>50</v>
      </c>
      <c r="IB61" s="20">
        <v>36</v>
      </c>
      <c r="IC61" s="20">
        <v>62</v>
      </c>
      <c r="ID61" s="20">
        <v>50</v>
      </c>
      <c r="IF61" s="21" t="s">
        <v>19</v>
      </c>
      <c r="IG61" s="21">
        <v>0</v>
      </c>
      <c r="IH61" s="21">
        <v>0</v>
      </c>
      <c r="II61" s="21">
        <v>0</v>
      </c>
      <c r="IJ61" s="21">
        <v>2</v>
      </c>
      <c r="IK61" s="21">
        <v>0</v>
      </c>
      <c r="IL61" s="21">
        <v>2</v>
      </c>
      <c r="IM61" s="21">
        <v>8</v>
      </c>
      <c r="IN61" s="21">
        <v>0</v>
      </c>
      <c r="IO61" s="21">
        <v>6</v>
      </c>
      <c r="IP61" s="21">
        <v>12</v>
      </c>
      <c r="IQ61" s="21">
        <v>4</v>
      </c>
      <c r="IR61" s="21">
        <v>10</v>
      </c>
      <c r="IS61" s="21">
        <v>12</v>
      </c>
      <c r="IT61" s="21">
        <v>20</v>
      </c>
      <c r="IU61" s="21">
        <v>14</v>
      </c>
      <c r="IV61" s="21">
        <v>18</v>
      </c>
      <c r="IW61" s="21">
        <v>10</v>
      </c>
      <c r="IX61" s="21">
        <v>26</v>
      </c>
      <c r="IY61" s="21">
        <v>22</v>
      </c>
      <c r="IZ61" s="21">
        <v>28</v>
      </c>
      <c r="JA61" s="21">
        <v>20</v>
      </c>
      <c r="JB61" s="21">
        <v>12</v>
      </c>
      <c r="JC61" s="21">
        <v>32</v>
      </c>
      <c r="JD61" s="21">
        <v>24</v>
      </c>
      <c r="JE61" s="21">
        <v>30</v>
      </c>
      <c r="JF61" s="21">
        <v>8</v>
      </c>
      <c r="JI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62,$JT$2:$KS$2,0),MATCH($W$46,$AH$22:$AH$47,0)))*C62</f>
        <v>0</v>
      </c>
      <c r="JJ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62,$JT$2:$KS$2,0),MATCH($W$46,$AH$22:$AH$47,0)))*C62</f>
        <v>0</v>
      </c>
      <c r="JK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62,$JT$2:$KS$2,0),MATCH($W$46,$AH$22:$AH$47,0)))*C62</f>
        <v>0</v>
      </c>
      <c r="JL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62,$JT$2:$KS$2,0),MATCH($W$46,$AH$22:$AH$47,0)))*C62</f>
        <v>0</v>
      </c>
      <c r="JM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62,$JT$2:$KS$2,0),MATCH($W$46,$AH$22:$AH$47,0)))*C62</f>
        <v>0</v>
      </c>
      <c r="JN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62,$JT$2:$KS$2,0),MATCH($W$46,$AH$22:$AH$47,0)))*C62</f>
        <v>0</v>
      </c>
      <c r="JO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62,$JT$2:$KS$2,0),MATCH($W$46,$AH$22:$AH$47,0)))*C62</f>
        <v>0</v>
      </c>
      <c r="JP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62,$JT$2:$KS$2,0),MATCH($W$46,$AH$22:$AH$47,0)))*C62</f>
        <v>0</v>
      </c>
      <c r="JQ6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62,$JT$2:$KS$2,0),MATCH($W$46,$AH$22:$AH$47,0)))*C62</f>
        <v>0</v>
      </c>
      <c r="JS61" s="26" t="s">
        <v>711</v>
      </c>
      <c r="JT61" s="20">
        <v>0</v>
      </c>
      <c r="JU61" s="20">
        <v>0</v>
      </c>
      <c r="JV61" s="20">
        <v>2</v>
      </c>
      <c r="JW61" s="20">
        <v>0</v>
      </c>
      <c r="JX61" s="20">
        <v>2</v>
      </c>
      <c r="JY61" s="20">
        <v>4</v>
      </c>
      <c r="JZ61" s="20">
        <v>2</v>
      </c>
      <c r="KA61" s="20">
        <v>4</v>
      </c>
      <c r="KB61" s="20">
        <v>6</v>
      </c>
      <c r="KC61" s="20">
        <v>4</v>
      </c>
      <c r="KD61" s="20">
        <v>6</v>
      </c>
      <c r="KE61" s="20">
        <v>8</v>
      </c>
      <c r="KF61" s="20">
        <v>6</v>
      </c>
      <c r="KG61" s="20">
        <v>8</v>
      </c>
      <c r="KH61" s="20">
        <v>10</v>
      </c>
      <c r="KI61" s="20">
        <v>8</v>
      </c>
      <c r="KJ61" s="20">
        <v>10</v>
      </c>
      <c r="KK61" s="20">
        <v>12</v>
      </c>
      <c r="KL61" s="20">
        <v>10</v>
      </c>
      <c r="KM61" s="20">
        <v>12</v>
      </c>
      <c r="KN61" s="20">
        <v>14</v>
      </c>
      <c r="KO61" s="20">
        <v>12</v>
      </c>
      <c r="KP61" s="20">
        <v>14</v>
      </c>
      <c r="KQ61" s="20">
        <v>16</v>
      </c>
      <c r="KR61" s="20">
        <v>14</v>
      </c>
      <c r="KS61" s="20">
        <v>16</v>
      </c>
      <c r="KU61" s="26" t="s">
        <v>711</v>
      </c>
      <c r="KV61" s="20">
        <v>0</v>
      </c>
      <c r="KW61" s="20">
        <v>0</v>
      </c>
      <c r="KX61" s="20">
        <v>0</v>
      </c>
      <c r="KY61" s="20">
        <v>0</v>
      </c>
      <c r="KZ61" s="20">
        <v>2</v>
      </c>
      <c r="LA61" s="20">
        <v>2</v>
      </c>
      <c r="LB61" s="20">
        <v>6</v>
      </c>
      <c r="LC61" s="20">
        <v>4</v>
      </c>
      <c r="LD61" s="20">
        <v>8</v>
      </c>
      <c r="LE61" s="20">
        <v>6</v>
      </c>
      <c r="LF61" s="20">
        <v>10</v>
      </c>
      <c r="LG61" s="20">
        <v>10</v>
      </c>
      <c r="LH61" s="20">
        <v>12</v>
      </c>
      <c r="LI61" s="20">
        <v>12</v>
      </c>
      <c r="LJ61" s="20">
        <v>14</v>
      </c>
      <c r="LK61" s="20">
        <v>14</v>
      </c>
      <c r="LL61" s="20">
        <v>14</v>
      </c>
      <c r="LM61" s="20">
        <v>16</v>
      </c>
      <c r="LN61" s="20">
        <v>16</v>
      </c>
      <c r="LO61" s="20">
        <v>20</v>
      </c>
      <c r="LP61" s="20">
        <v>18</v>
      </c>
      <c r="LQ61" s="20">
        <v>22</v>
      </c>
      <c r="LR61" s="20">
        <v>20</v>
      </c>
      <c r="LS61" s="20">
        <v>24</v>
      </c>
      <c r="LT61" s="20">
        <v>24</v>
      </c>
      <c r="LU61" s="20">
        <v>26</v>
      </c>
      <c r="LW61" s="26" t="s">
        <v>711</v>
      </c>
      <c r="LX61" s="20">
        <v>0</v>
      </c>
      <c r="LY61" s="20">
        <v>0</v>
      </c>
      <c r="LZ61" s="20">
        <v>0</v>
      </c>
      <c r="MA61" s="20">
        <v>4</v>
      </c>
      <c r="MB61" s="20">
        <v>4</v>
      </c>
      <c r="MC61" s="20">
        <v>4</v>
      </c>
      <c r="MD61" s="20">
        <v>8</v>
      </c>
      <c r="ME61" s="20">
        <v>6</v>
      </c>
      <c r="MF61" s="20">
        <v>10</v>
      </c>
      <c r="MG61" s="20">
        <v>10</v>
      </c>
      <c r="MH61" s="20">
        <v>10</v>
      </c>
      <c r="MI61" s="20">
        <v>14</v>
      </c>
      <c r="MJ61" s="20">
        <v>14</v>
      </c>
      <c r="MK61" s="20">
        <v>16</v>
      </c>
      <c r="ML61" s="20">
        <v>16</v>
      </c>
      <c r="MM61" s="20">
        <v>16</v>
      </c>
      <c r="MN61" s="20">
        <v>20</v>
      </c>
      <c r="MO61" s="20">
        <v>20</v>
      </c>
      <c r="MP61" s="20">
        <v>20</v>
      </c>
      <c r="MQ61" s="20">
        <v>22</v>
      </c>
      <c r="MR61" s="20">
        <v>22</v>
      </c>
      <c r="MS61" s="20">
        <v>26</v>
      </c>
      <c r="MT61" s="20">
        <v>26</v>
      </c>
      <c r="MU61" s="20">
        <v>26</v>
      </c>
      <c r="MV61" s="20">
        <v>30</v>
      </c>
      <c r="MW61" s="20">
        <v>28</v>
      </c>
      <c r="MY61" s="21" t="s">
        <v>711</v>
      </c>
      <c r="MZ61" s="21">
        <v>0</v>
      </c>
      <c r="NA61" s="21">
        <v>2</v>
      </c>
      <c r="NB61" s="21">
        <v>2</v>
      </c>
      <c r="NC61" s="21">
        <v>2</v>
      </c>
      <c r="ND61" s="21">
        <v>4</v>
      </c>
      <c r="NE61" s="21">
        <v>8</v>
      </c>
      <c r="NF61" s="21">
        <v>8</v>
      </c>
      <c r="NG61" s="21">
        <v>8</v>
      </c>
      <c r="NH61" s="21">
        <v>10</v>
      </c>
      <c r="NI61" s="21">
        <v>14</v>
      </c>
      <c r="NJ61" s="21">
        <v>14</v>
      </c>
      <c r="NK61" s="21">
        <v>14</v>
      </c>
      <c r="NL61" s="21">
        <v>18</v>
      </c>
      <c r="NM61" s="21">
        <v>20</v>
      </c>
      <c r="NN61" s="21">
        <v>20</v>
      </c>
      <c r="NO61" s="21">
        <v>20</v>
      </c>
      <c r="NP61" s="21">
        <v>24</v>
      </c>
      <c r="NQ61" s="21">
        <v>26</v>
      </c>
      <c r="NR61" s="21">
        <v>26</v>
      </c>
      <c r="NS61" s="21">
        <v>26</v>
      </c>
      <c r="NT61" s="21">
        <v>30</v>
      </c>
      <c r="NU61" s="21">
        <v>32</v>
      </c>
      <c r="NV61" s="21">
        <v>32</v>
      </c>
      <c r="NW61" s="21">
        <v>32</v>
      </c>
      <c r="NX61" s="21">
        <v>36</v>
      </c>
      <c r="NY61" s="21">
        <v>38</v>
      </c>
    </row>
    <row r="62" spans="1:389" x14ac:dyDescent="0.25">
      <c r="A62" s="8"/>
      <c r="B62" s="5" t="s">
        <v>116</v>
      </c>
      <c r="C62" s="8"/>
      <c r="D62" s="6" t="s">
        <v>510</v>
      </c>
      <c r="E62" s="8">
        <v>0</v>
      </c>
      <c r="F62" s="359"/>
      <c r="G62" s="359"/>
      <c r="H62" s="359"/>
      <c r="I62" s="359"/>
      <c r="J62" s="5" t="s">
        <v>509</v>
      </c>
      <c r="K62" s="4"/>
      <c r="L62" s="6" t="str">
        <f>IF($E$61=$AK$22,"LPAN40",IF($E$61=$AK$23,"LPAN30",IF($E$61=$AK$24,"LC40H35MC",0)))</f>
        <v>LPAN40</v>
      </c>
      <c r="M62" s="14">
        <f>INDEX(cennik!$C$2:$L$529,MATCH($L62,cennik!$B$2:$B$522,0),MATCH(M$27,cennik!$C$1:$L$1,0))</f>
        <v>890512</v>
      </c>
      <c r="N62" s="14" t="str">
        <f>INDEX(cennik!$C$2:$L$529,MATCH($L62,cennik!$B$2:$B$522,0),MATCH(N$27,cennik!$C$1:$L$1,0))</f>
        <v>szt.</v>
      </c>
      <c r="O62" s="14">
        <f>IF(L62="-------",0,SUM(JI52:JI67))</f>
        <v>0</v>
      </c>
      <c r="P62" s="22">
        <f>INDEX(cennik!$C$2:$L$529,MATCH($L62,cennik!$B$2:$B$522,0),MATCH(P$27,cennik!$C$1:$L$1,0))</f>
        <v>4.28</v>
      </c>
      <c r="Q62" s="22">
        <f t="shared" ref="Q62:Q75" si="68">O62*P62</f>
        <v>0</v>
      </c>
      <c r="R62" s="23">
        <f t="shared" si="64"/>
        <v>0</v>
      </c>
      <c r="S62" s="22">
        <f t="shared" si="65"/>
        <v>4.28</v>
      </c>
      <c r="T62" s="22">
        <f t="shared" ref="T62:T75" si="69">O62*S62</f>
        <v>0</v>
      </c>
      <c r="U62" s="22">
        <f>INDEX(cennik!$C$2:$L$529,MATCH($L62,cennik!$B$2:$B$522,0),MATCH(U$27,cennik!$C$1:$L$1,0))*O62</f>
        <v>0</v>
      </c>
      <c r="V62" s="20"/>
      <c r="W62" s="20"/>
      <c r="X62" s="25"/>
      <c r="Y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$62,$BA$3:$BA$17,0),MATCH(A68,$BB$2:$CA$2,0),MATCH($W$46,$AH$22:$AH$47,0)))*C68</f>
        <v>0</v>
      </c>
      <c r="Z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$54,$BA$3:$BA$17,0),MATCH(A68,$BB$2:$CA$2,0),MATCH($W$46,$AH$22:$AH$47,0)))*C68</f>
        <v>0</v>
      </c>
      <c r="AA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$55,$BA$3:$BA$17,0),MATCH(A68,$BB$2:$CA$2,0),MATCH($W$46,$AH$22:$AH$47,0)))*C68</f>
        <v>0</v>
      </c>
      <c r="AB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$56,$BA$3:$BA$17,0),MATCH(A68,$BB$2:$CA$2,0),MATCH($W$46,$AH$22:$AH$47,0)))*C68</f>
        <v>0</v>
      </c>
      <c r="AC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$58,$BA$3:$BA$17,0),MATCH(A68,$BB$2:$CA$2,0),MATCH($W$46,$AH$22:$AH$47,0)))*C68</f>
        <v>0</v>
      </c>
      <c r="AD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$59,$BA$3:$BA$17,0),MATCH(A68,$BB$2:$CA$2,0),MATCH($W$46,$AH$22:$AH$47,0)))*C68</f>
        <v>0</v>
      </c>
      <c r="AE62" s="20"/>
      <c r="AF62" s="20"/>
      <c r="AG62" s="20">
        <v>50</v>
      </c>
      <c r="AH62" s="20" t="s">
        <v>881</v>
      </c>
      <c r="AI62" s="20">
        <v>0</v>
      </c>
      <c r="AJ62" s="20"/>
      <c r="AK62" s="20"/>
      <c r="AL62" s="20"/>
      <c r="AM62" s="20">
        <v>40</v>
      </c>
      <c r="AN62" s="20" t="s">
        <v>32</v>
      </c>
      <c r="AO62" s="20" t="s">
        <v>33</v>
      </c>
      <c r="AP62" s="20" t="s">
        <v>109</v>
      </c>
      <c r="AQ62" s="20" t="s">
        <v>321</v>
      </c>
      <c r="AS62" s="20">
        <v>40</v>
      </c>
      <c r="AT62" s="20" t="s">
        <v>506</v>
      </c>
      <c r="AU62" s="20" t="s">
        <v>506</v>
      </c>
      <c r="AV62" s="20" t="s">
        <v>506</v>
      </c>
      <c r="AW62" s="20" t="s">
        <v>506</v>
      </c>
      <c r="AX62" s="20"/>
      <c r="AY62" s="20"/>
      <c r="AZ62" s="20"/>
      <c r="BA62" s="20" t="s">
        <v>408</v>
      </c>
      <c r="BB62" s="20">
        <v>0</v>
      </c>
      <c r="BC62" s="20">
        <f>((((SUM(BC57:BC61))/2)-1))*4</f>
        <v>0</v>
      </c>
      <c r="BD62" s="20">
        <f t="shared" ref="BD62:CZ62" si="70">((((SUM(BD57:BD61))/2)-1))*4</f>
        <v>0</v>
      </c>
      <c r="BE62" s="20">
        <f t="shared" si="70"/>
        <v>4</v>
      </c>
      <c r="BF62" s="20">
        <f t="shared" si="70"/>
        <v>4</v>
      </c>
      <c r="BG62" s="20">
        <f t="shared" si="70"/>
        <v>4</v>
      </c>
      <c r="BH62" s="20">
        <f t="shared" si="70"/>
        <v>8</v>
      </c>
      <c r="BI62" s="20">
        <f t="shared" si="70"/>
        <v>8</v>
      </c>
      <c r="BJ62" s="20">
        <f t="shared" si="70"/>
        <v>8</v>
      </c>
      <c r="BK62" s="20">
        <f t="shared" si="70"/>
        <v>12</v>
      </c>
      <c r="BL62" s="20">
        <f t="shared" si="70"/>
        <v>12</v>
      </c>
      <c r="BM62" s="20">
        <f t="shared" si="70"/>
        <v>12</v>
      </c>
      <c r="BN62" s="20">
        <f t="shared" si="70"/>
        <v>16</v>
      </c>
      <c r="BO62" s="20">
        <f t="shared" si="70"/>
        <v>16</v>
      </c>
      <c r="BP62" s="20">
        <f t="shared" si="70"/>
        <v>16</v>
      </c>
      <c r="BQ62" s="20">
        <f t="shared" si="70"/>
        <v>20</v>
      </c>
      <c r="BR62" s="20">
        <f t="shared" si="70"/>
        <v>20</v>
      </c>
      <c r="BS62" s="20">
        <f t="shared" si="70"/>
        <v>24</v>
      </c>
      <c r="BT62" s="20">
        <f t="shared" si="70"/>
        <v>24</v>
      </c>
      <c r="BU62" s="20">
        <f t="shared" si="70"/>
        <v>24</v>
      </c>
      <c r="BV62" s="20">
        <f t="shared" si="70"/>
        <v>28</v>
      </c>
      <c r="BW62" s="20">
        <f t="shared" si="70"/>
        <v>28</v>
      </c>
      <c r="BX62" s="20">
        <f t="shared" si="70"/>
        <v>28</v>
      </c>
      <c r="BY62" s="20">
        <f t="shared" si="70"/>
        <v>32</v>
      </c>
      <c r="BZ62" s="20">
        <f t="shared" si="70"/>
        <v>32</v>
      </c>
      <c r="CA62" s="20">
        <f t="shared" si="70"/>
        <v>32</v>
      </c>
      <c r="CB62" s="20">
        <f t="shared" si="70"/>
        <v>36</v>
      </c>
      <c r="CC62" s="20">
        <f t="shared" si="70"/>
        <v>36</v>
      </c>
      <c r="CD62" s="20">
        <f t="shared" si="70"/>
        <v>36</v>
      </c>
      <c r="CE62" s="20">
        <f t="shared" si="70"/>
        <v>40</v>
      </c>
      <c r="CF62" s="20">
        <f t="shared" si="70"/>
        <v>40</v>
      </c>
      <c r="CG62" s="20">
        <f t="shared" si="70"/>
        <v>44</v>
      </c>
      <c r="CH62" s="20">
        <f t="shared" si="70"/>
        <v>44</v>
      </c>
      <c r="CI62" s="20">
        <f t="shared" si="70"/>
        <v>44</v>
      </c>
      <c r="CJ62" s="20">
        <f t="shared" si="70"/>
        <v>48</v>
      </c>
      <c r="CK62" s="20">
        <f t="shared" si="70"/>
        <v>48</v>
      </c>
      <c r="CL62" s="20">
        <f t="shared" si="70"/>
        <v>48</v>
      </c>
      <c r="CM62" s="20">
        <f t="shared" si="70"/>
        <v>52</v>
      </c>
      <c r="CN62" s="20">
        <f t="shared" si="70"/>
        <v>52</v>
      </c>
      <c r="CO62" s="20">
        <f t="shared" si="70"/>
        <v>52</v>
      </c>
      <c r="CP62" s="20">
        <f t="shared" si="70"/>
        <v>56</v>
      </c>
      <c r="CQ62" s="20">
        <f t="shared" si="70"/>
        <v>56</v>
      </c>
      <c r="CR62" s="20">
        <f t="shared" si="70"/>
        <v>56</v>
      </c>
      <c r="CS62" s="20">
        <f t="shared" si="70"/>
        <v>60</v>
      </c>
      <c r="CT62" s="20">
        <f t="shared" si="70"/>
        <v>60</v>
      </c>
      <c r="CU62" s="20">
        <f t="shared" si="70"/>
        <v>60</v>
      </c>
      <c r="CV62" s="20">
        <f t="shared" si="70"/>
        <v>64</v>
      </c>
      <c r="CW62" s="20">
        <f t="shared" si="70"/>
        <v>64</v>
      </c>
      <c r="CX62" s="20">
        <f t="shared" si="70"/>
        <v>68</v>
      </c>
      <c r="CY62" s="20">
        <f t="shared" si="70"/>
        <v>68</v>
      </c>
      <c r="CZ62" s="20">
        <f t="shared" si="70"/>
        <v>68</v>
      </c>
      <c r="DA62" s="54"/>
      <c r="DB62" s="54">
        <v>32</v>
      </c>
      <c r="DC62" s="54"/>
      <c r="DD62" s="20" t="s">
        <v>521</v>
      </c>
      <c r="DE62" s="20">
        <v>0</v>
      </c>
      <c r="DF62" s="20">
        <v>0</v>
      </c>
      <c r="DG62" s="20">
        <v>4</v>
      </c>
      <c r="DH62" s="20">
        <v>4</v>
      </c>
      <c r="DI62" s="20">
        <v>8</v>
      </c>
      <c r="DJ62" s="20">
        <v>8</v>
      </c>
      <c r="DK62" s="20">
        <v>12</v>
      </c>
      <c r="DL62" s="20">
        <v>12</v>
      </c>
      <c r="DM62" s="20">
        <v>16</v>
      </c>
      <c r="DN62" s="20">
        <v>16</v>
      </c>
      <c r="DO62" s="20">
        <v>20</v>
      </c>
      <c r="DP62" s="20">
        <v>20</v>
      </c>
      <c r="DQ62" s="20">
        <v>24</v>
      </c>
      <c r="DR62" s="20">
        <v>24</v>
      </c>
      <c r="DS62" s="20">
        <v>28</v>
      </c>
      <c r="DT62" s="20">
        <v>28</v>
      </c>
      <c r="DU62" s="20">
        <v>32</v>
      </c>
      <c r="DV62" s="20">
        <v>32</v>
      </c>
      <c r="DW62" s="20">
        <v>36</v>
      </c>
      <c r="DX62" s="20">
        <v>36</v>
      </c>
      <c r="DY62" s="20">
        <v>40</v>
      </c>
      <c r="DZ62" s="20"/>
      <c r="EA62" s="20"/>
      <c r="EB62" s="20" t="s">
        <v>408</v>
      </c>
      <c r="EC62" s="20">
        <v>0</v>
      </c>
      <c r="ED62" s="20">
        <v>0</v>
      </c>
      <c r="EE62" s="20">
        <v>4</v>
      </c>
      <c r="EF62" s="20">
        <v>8</v>
      </c>
      <c r="EG62" s="20">
        <v>8</v>
      </c>
      <c r="EH62" s="20">
        <v>8</v>
      </c>
      <c r="EI62" s="20">
        <v>12</v>
      </c>
      <c r="EJ62" s="20">
        <v>12</v>
      </c>
      <c r="EK62" s="20">
        <v>16</v>
      </c>
      <c r="EL62" s="20">
        <v>16</v>
      </c>
      <c r="EM62" s="20">
        <v>20</v>
      </c>
      <c r="EN62" s="20">
        <v>24</v>
      </c>
      <c r="EO62" s="20">
        <v>24</v>
      </c>
      <c r="EP62" s="20">
        <v>28</v>
      </c>
      <c r="EQ62" s="20">
        <v>28</v>
      </c>
      <c r="ER62" s="20">
        <v>32</v>
      </c>
      <c r="ES62" s="20">
        <v>32</v>
      </c>
      <c r="ET62" s="20">
        <v>36</v>
      </c>
      <c r="EU62" s="20">
        <v>36</v>
      </c>
      <c r="EV62" s="20">
        <v>40</v>
      </c>
      <c r="EW62" s="20">
        <v>44</v>
      </c>
      <c r="EX62" s="20">
        <v>44</v>
      </c>
      <c r="EY62" s="20">
        <v>48</v>
      </c>
      <c r="EZ62" s="20">
        <v>48</v>
      </c>
      <c r="FA62" s="20">
        <v>52</v>
      </c>
      <c r="FB62" s="20">
        <v>52</v>
      </c>
      <c r="FC62" s="20">
        <v>56</v>
      </c>
      <c r="FD62" s="20">
        <v>56</v>
      </c>
      <c r="FE62" s="20">
        <v>60</v>
      </c>
      <c r="FF62" s="20">
        <v>64</v>
      </c>
      <c r="FG62" s="20">
        <v>64</v>
      </c>
      <c r="FH62" s="20">
        <v>68</v>
      </c>
      <c r="FI62" s="20">
        <v>68</v>
      </c>
      <c r="FJ62" s="20">
        <v>72</v>
      </c>
      <c r="FK62" s="20">
        <v>72</v>
      </c>
      <c r="FL62" s="20">
        <v>76</v>
      </c>
      <c r="FM62" s="20">
        <v>76</v>
      </c>
      <c r="FN62" s="20">
        <v>80</v>
      </c>
      <c r="FO62" s="20">
        <v>80</v>
      </c>
      <c r="FP62" s="20">
        <v>84</v>
      </c>
      <c r="FQ62" s="20">
        <v>88</v>
      </c>
      <c r="FR62" s="20">
        <v>88</v>
      </c>
      <c r="FS62" s="20">
        <v>92</v>
      </c>
      <c r="FT62" s="20">
        <v>92</v>
      </c>
      <c r="FU62" s="20">
        <v>96</v>
      </c>
      <c r="FV62" s="20">
        <v>96</v>
      </c>
      <c r="FW62" s="20">
        <v>100</v>
      </c>
      <c r="FX62" s="20">
        <v>100</v>
      </c>
      <c r="FY62" s="20">
        <v>104</v>
      </c>
      <c r="FZ62" s="20">
        <v>108</v>
      </c>
      <c r="GA62" s="20">
        <v>108</v>
      </c>
      <c r="GC62" s="20"/>
      <c r="GD62" s="20"/>
      <c r="GE62" s="20" t="s">
        <v>408</v>
      </c>
      <c r="GF62" s="20">
        <v>0</v>
      </c>
      <c r="GG62" s="20">
        <f>((((SUM(GG57:GG61))/2)-1))*4</f>
        <v>0</v>
      </c>
      <c r="GH62" s="20">
        <f t="shared" ref="GH62:ID62" si="71">((((SUM(GH57:GH61))/2)-1))*4</f>
        <v>4</v>
      </c>
      <c r="GI62" s="20">
        <f t="shared" si="71"/>
        <v>4</v>
      </c>
      <c r="GJ62" s="20">
        <f t="shared" si="71"/>
        <v>8</v>
      </c>
      <c r="GK62" s="20">
        <f t="shared" si="71"/>
        <v>12</v>
      </c>
      <c r="GL62" s="20">
        <f t="shared" si="71"/>
        <v>12</v>
      </c>
      <c r="GM62" s="20">
        <f t="shared" si="71"/>
        <v>16</v>
      </c>
      <c r="GN62" s="20">
        <f t="shared" si="71"/>
        <v>20</v>
      </c>
      <c r="GO62" s="20">
        <f t="shared" si="71"/>
        <v>20</v>
      </c>
      <c r="GP62" s="20">
        <f t="shared" si="71"/>
        <v>24</v>
      </c>
      <c r="GQ62" s="20">
        <f t="shared" si="71"/>
        <v>24</v>
      </c>
      <c r="GR62" s="20">
        <f t="shared" si="71"/>
        <v>28</v>
      </c>
      <c r="GS62" s="20">
        <f t="shared" si="71"/>
        <v>32</v>
      </c>
      <c r="GT62" s="20">
        <f t="shared" si="71"/>
        <v>32</v>
      </c>
      <c r="GU62" s="20">
        <f t="shared" si="71"/>
        <v>36</v>
      </c>
      <c r="GV62" s="20">
        <f t="shared" si="71"/>
        <v>40</v>
      </c>
      <c r="GW62" s="20">
        <f t="shared" si="71"/>
        <v>40</v>
      </c>
      <c r="GX62" s="20">
        <f t="shared" si="71"/>
        <v>44</v>
      </c>
      <c r="GY62" s="20">
        <f t="shared" si="71"/>
        <v>44</v>
      </c>
      <c r="GZ62" s="20">
        <f t="shared" si="71"/>
        <v>48</v>
      </c>
      <c r="HA62" s="20">
        <f t="shared" si="71"/>
        <v>52</v>
      </c>
      <c r="HB62" s="20">
        <f t="shared" si="71"/>
        <v>52</v>
      </c>
      <c r="HC62" s="20">
        <f t="shared" si="71"/>
        <v>56</v>
      </c>
      <c r="HD62" s="20">
        <f t="shared" si="71"/>
        <v>60</v>
      </c>
      <c r="HE62" s="20">
        <f t="shared" si="71"/>
        <v>60</v>
      </c>
      <c r="HF62" s="20">
        <f t="shared" si="71"/>
        <v>64</v>
      </c>
      <c r="HG62" s="20">
        <f t="shared" si="71"/>
        <v>64</v>
      </c>
      <c r="HH62" s="20">
        <f t="shared" si="71"/>
        <v>68</v>
      </c>
      <c r="HI62" s="20">
        <f t="shared" si="71"/>
        <v>72</v>
      </c>
      <c r="HJ62" s="20">
        <f t="shared" si="71"/>
        <v>72</v>
      </c>
      <c r="HK62" s="20">
        <f t="shared" si="71"/>
        <v>76</v>
      </c>
      <c r="HL62" s="20">
        <f t="shared" si="71"/>
        <v>80</v>
      </c>
      <c r="HM62" s="20">
        <f t="shared" si="71"/>
        <v>80</v>
      </c>
      <c r="HN62" s="20">
        <f t="shared" si="71"/>
        <v>84</v>
      </c>
      <c r="HO62" s="20">
        <f t="shared" si="71"/>
        <v>84</v>
      </c>
      <c r="HP62" s="20">
        <f t="shared" si="71"/>
        <v>88</v>
      </c>
      <c r="HQ62" s="20">
        <f t="shared" si="71"/>
        <v>92</v>
      </c>
      <c r="HR62" s="20">
        <f t="shared" si="71"/>
        <v>92</v>
      </c>
      <c r="HS62" s="20">
        <f t="shared" si="71"/>
        <v>96</v>
      </c>
      <c r="HT62" s="20">
        <f t="shared" si="71"/>
        <v>100</v>
      </c>
      <c r="HU62" s="20">
        <f t="shared" si="71"/>
        <v>100</v>
      </c>
      <c r="HV62" s="20">
        <f t="shared" si="71"/>
        <v>104</v>
      </c>
      <c r="HW62" s="20">
        <f t="shared" si="71"/>
        <v>104</v>
      </c>
      <c r="HX62" s="20">
        <f t="shared" si="71"/>
        <v>108</v>
      </c>
      <c r="HY62" s="20">
        <f t="shared" si="71"/>
        <v>112</v>
      </c>
      <c r="HZ62" s="20">
        <f t="shared" si="71"/>
        <v>112</v>
      </c>
      <c r="IA62" s="20">
        <f t="shared" si="71"/>
        <v>116</v>
      </c>
      <c r="IB62" s="20">
        <f t="shared" si="71"/>
        <v>120</v>
      </c>
      <c r="IC62" s="20">
        <f t="shared" si="71"/>
        <v>120</v>
      </c>
      <c r="ID62" s="20">
        <f t="shared" si="71"/>
        <v>124</v>
      </c>
      <c r="IF62" s="21" t="s">
        <v>408</v>
      </c>
      <c r="IG62" s="21">
        <v>0</v>
      </c>
      <c r="IH62" s="21">
        <v>0</v>
      </c>
      <c r="II62" s="21">
        <v>4</v>
      </c>
      <c r="IJ62" s="21">
        <v>8</v>
      </c>
      <c r="IK62" s="21">
        <v>12</v>
      </c>
      <c r="IL62" s="21">
        <v>12</v>
      </c>
      <c r="IM62" s="21">
        <v>16</v>
      </c>
      <c r="IN62" s="21">
        <v>20</v>
      </c>
      <c r="IO62" s="21">
        <v>24</v>
      </c>
      <c r="IP62" s="21">
        <v>24</v>
      </c>
      <c r="IQ62" s="21">
        <v>28</v>
      </c>
      <c r="IR62" s="21">
        <v>32</v>
      </c>
      <c r="IS62" s="21">
        <v>36</v>
      </c>
      <c r="IT62" s="21">
        <v>36</v>
      </c>
      <c r="IU62" s="21">
        <v>40</v>
      </c>
      <c r="IV62" s="21">
        <v>44</v>
      </c>
      <c r="IW62" s="21">
        <v>48</v>
      </c>
      <c r="IX62" s="21">
        <v>48</v>
      </c>
      <c r="IY62" s="21">
        <v>52</v>
      </c>
      <c r="IZ62" s="21">
        <v>56</v>
      </c>
      <c r="JA62" s="21">
        <v>60</v>
      </c>
      <c r="JB62" s="21">
        <v>64</v>
      </c>
      <c r="JC62" s="21">
        <v>64</v>
      </c>
      <c r="JD62" s="21">
        <v>68</v>
      </c>
      <c r="JE62" s="21">
        <v>72</v>
      </c>
      <c r="JF62" s="21">
        <v>76</v>
      </c>
      <c r="JI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63,$JT$2:$KS$2,0),MATCH($W$46,$AH$22:$AH$47,0)))*C63</f>
        <v>0</v>
      </c>
      <c r="JJ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63,$JT$2:$KS$2,0),MATCH($W$46,$AH$22:$AH$47,0)))*C63</f>
        <v>0</v>
      </c>
      <c r="JK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63,$JT$2:$KS$2,0),MATCH($W$46,$AH$22:$AH$47,0)))*C63</f>
        <v>0</v>
      </c>
      <c r="JL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63,$JT$2:$KS$2,0),MATCH($W$46,$AH$22:$AH$47,0)))*C63</f>
        <v>0</v>
      </c>
      <c r="JM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63,$JT$2:$KS$2,0),MATCH($W$46,$AH$22:$AH$47,0)))*C63</f>
        <v>0</v>
      </c>
      <c r="JN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63,$JT$2:$KS$2,0),MATCH($W$46,$AH$22:$AH$47,0)))*C63</f>
        <v>0</v>
      </c>
      <c r="JO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63,$JT$2:$KS$2,0),MATCH($W$46,$AH$22:$AH$47,0)))*C63</f>
        <v>0</v>
      </c>
      <c r="JP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63,$JT$2:$KS$2,0),MATCH($W$46,$AH$22:$AH$47,0)))*C63</f>
        <v>0</v>
      </c>
      <c r="JQ6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63,$JT$2:$KS$2,0),MATCH($W$46,$AH$22:$AH$47,0)))*C63</f>
        <v>0</v>
      </c>
      <c r="JS62" s="26" t="s">
        <v>712</v>
      </c>
      <c r="JT62" s="20">
        <v>0</v>
      </c>
      <c r="JU62" s="20">
        <v>0</v>
      </c>
      <c r="JV62" s="20">
        <v>0</v>
      </c>
      <c r="JW62" s="20">
        <v>2</v>
      </c>
      <c r="JX62" s="20">
        <v>2</v>
      </c>
      <c r="JY62" s="20">
        <v>2</v>
      </c>
      <c r="JZ62" s="20">
        <v>4</v>
      </c>
      <c r="KA62" s="20">
        <v>4</v>
      </c>
      <c r="KB62" s="20">
        <v>4</v>
      </c>
      <c r="KC62" s="20">
        <v>6</v>
      </c>
      <c r="KD62" s="20">
        <v>6</v>
      </c>
      <c r="KE62" s="20">
        <v>6</v>
      </c>
      <c r="KF62" s="20">
        <v>8</v>
      </c>
      <c r="KG62" s="20">
        <v>8</v>
      </c>
      <c r="KH62" s="20">
        <v>8</v>
      </c>
      <c r="KI62" s="20">
        <v>10</v>
      </c>
      <c r="KJ62" s="20">
        <v>10</v>
      </c>
      <c r="KK62" s="20">
        <v>10</v>
      </c>
      <c r="KL62" s="20">
        <v>12</v>
      </c>
      <c r="KM62" s="20">
        <v>12</v>
      </c>
      <c r="KN62" s="20">
        <v>12</v>
      </c>
      <c r="KO62" s="20">
        <v>14</v>
      </c>
      <c r="KP62" s="20">
        <v>14</v>
      </c>
      <c r="KQ62" s="20">
        <v>14</v>
      </c>
      <c r="KR62" s="20">
        <v>16</v>
      </c>
      <c r="KS62" s="20">
        <v>16</v>
      </c>
      <c r="KU62" s="26" t="s">
        <v>712</v>
      </c>
      <c r="KV62" s="20">
        <v>0</v>
      </c>
      <c r="KW62" s="20">
        <v>0</v>
      </c>
      <c r="KX62" s="20">
        <v>0</v>
      </c>
      <c r="KY62" s="20">
        <v>2</v>
      </c>
      <c r="KZ62" s="20">
        <v>2</v>
      </c>
      <c r="LA62" s="20">
        <v>4</v>
      </c>
      <c r="LB62" s="20">
        <v>4</v>
      </c>
      <c r="LC62" s="20">
        <v>6</v>
      </c>
      <c r="LD62" s="20">
        <v>6</v>
      </c>
      <c r="LE62" s="20">
        <v>8</v>
      </c>
      <c r="LF62" s="20">
        <v>8</v>
      </c>
      <c r="LG62" s="20">
        <v>10</v>
      </c>
      <c r="LH62" s="20">
        <v>10</v>
      </c>
      <c r="LI62" s="20">
        <v>12</v>
      </c>
      <c r="LJ62" s="20">
        <v>12</v>
      </c>
      <c r="LK62" s="20">
        <v>14</v>
      </c>
      <c r="LL62" s="20">
        <v>16</v>
      </c>
      <c r="LM62" s="20">
        <v>16</v>
      </c>
      <c r="LN62" s="20">
        <v>18</v>
      </c>
      <c r="LO62" s="20">
        <v>18</v>
      </c>
      <c r="LP62" s="20">
        <v>20</v>
      </c>
      <c r="LQ62" s="20">
        <v>20</v>
      </c>
      <c r="LR62" s="20">
        <v>22</v>
      </c>
      <c r="LS62" s="20">
        <v>22</v>
      </c>
      <c r="LT62" s="20">
        <v>24</v>
      </c>
      <c r="LU62" s="20">
        <v>24</v>
      </c>
      <c r="LW62" s="26" t="s">
        <v>712</v>
      </c>
      <c r="LX62" s="20">
        <v>0</v>
      </c>
      <c r="LY62" s="20">
        <v>0</v>
      </c>
      <c r="LZ62" s="20">
        <v>2</v>
      </c>
      <c r="MA62" s="20">
        <v>2</v>
      </c>
      <c r="MB62" s="20">
        <v>4</v>
      </c>
      <c r="MC62" s="20">
        <v>6</v>
      </c>
      <c r="MD62" s="20">
        <v>6</v>
      </c>
      <c r="ME62" s="20">
        <v>8</v>
      </c>
      <c r="MF62" s="20">
        <v>8</v>
      </c>
      <c r="MG62" s="20">
        <v>10</v>
      </c>
      <c r="MH62" s="20">
        <v>12</v>
      </c>
      <c r="MI62" s="20">
        <v>12</v>
      </c>
      <c r="MJ62" s="20">
        <v>14</v>
      </c>
      <c r="MK62" s="20">
        <v>14</v>
      </c>
      <c r="ML62" s="20">
        <v>16</v>
      </c>
      <c r="MM62" s="20">
        <v>18</v>
      </c>
      <c r="MN62" s="20">
        <v>18</v>
      </c>
      <c r="MO62" s="20">
        <v>20</v>
      </c>
      <c r="MP62" s="20">
        <v>22</v>
      </c>
      <c r="MQ62" s="20">
        <v>22</v>
      </c>
      <c r="MR62" s="20">
        <v>24</v>
      </c>
      <c r="MS62" s="20">
        <v>24</v>
      </c>
      <c r="MT62" s="20">
        <v>26</v>
      </c>
      <c r="MU62" s="20">
        <v>28</v>
      </c>
      <c r="MV62" s="20">
        <v>28</v>
      </c>
      <c r="MW62" s="20">
        <v>30</v>
      </c>
      <c r="MY62" s="21" t="s">
        <v>712</v>
      </c>
      <c r="MZ62" s="21">
        <v>0</v>
      </c>
      <c r="NA62" s="21">
        <v>0</v>
      </c>
      <c r="NB62" s="21">
        <v>2</v>
      </c>
      <c r="NC62" s="21">
        <v>4</v>
      </c>
      <c r="ND62" s="21">
        <v>6</v>
      </c>
      <c r="NE62" s="21">
        <v>6</v>
      </c>
      <c r="NF62" s="21">
        <v>8</v>
      </c>
      <c r="NG62" s="21">
        <v>10</v>
      </c>
      <c r="NH62" s="21">
        <v>12</v>
      </c>
      <c r="NI62" s="21">
        <v>12</v>
      </c>
      <c r="NJ62" s="21">
        <v>14</v>
      </c>
      <c r="NK62" s="21">
        <v>16</v>
      </c>
      <c r="NL62" s="21">
        <v>16</v>
      </c>
      <c r="NM62" s="21">
        <v>18</v>
      </c>
      <c r="NN62" s="21">
        <v>20</v>
      </c>
      <c r="NO62" s="21">
        <v>22</v>
      </c>
      <c r="NP62" s="21">
        <v>22</v>
      </c>
      <c r="NQ62" s="21">
        <v>24</v>
      </c>
      <c r="NR62" s="21">
        <v>26</v>
      </c>
      <c r="NS62" s="21">
        <v>28</v>
      </c>
      <c r="NT62" s="21">
        <v>28</v>
      </c>
      <c r="NU62" s="21">
        <v>30</v>
      </c>
      <c r="NV62" s="21">
        <v>32</v>
      </c>
      <c r="NW62" s="21">
        <v>34</v>
      </c>
      <c r="NX62" s="21">
        <v>34</v>
      </c>
      <c r="NY62" s="21">
        <v>36</v>
      </c>
    </row>
    <row r="63" spans="1:389" x14ac:dyDescent="0.25">
      <c r="A63" s="8"/>
      <c r="B63" s="5" t="s">
        <v>116</v>
      </c>
      <c r="C63" s="8"/>
      <c r="D63" s="6" t="s">
        <v>511</v>
      </c>
      <c r="E63" s="4"/>
      <c r="F63" s="359"/>
      <c r="G63" s="359"/>
      <c r="H63" s="359"/>
      <c r="I63" s="359"/>
      <c r="J63" s="4"/>
      <c r="K63" s="4"/>
      <c r="L63" s="6" t="str">
        <f>IF($E$60=AF46,"DUFR60E",IF($E$60=AF45,"DUF60E",0))</f>
        <v>DUFR60E</v>
      </c>
      <c r="M63" s="14">
        <f>INDEX(cennik!$C$2:$L$529,MATCH($L63,cennik!$B$2:$B$522,0),MATCH(M$27,cennik!$C$1:$L$1,0))</f>
        <v>897860</v>
      </c>
      <c r="N63" s="14" t="str">
        <f>INDEX(cennik!$C$2:$L$529,MATCH($L63,cennik!$B$2:$B$522,0),MATCH(N$27,cennik!$C$1:$L$1,0))</f>
        <v>szt.</v>
      </c>
      <c r="O63" s="14">
        <f>SUM(AL46:AL61)</f>
        <v>0</v>
      </c>
      <c r="P63" s="22">
        <f>INDEX(cennik!$C$2:$L$529,MATCH($L63,cennik!$B$2:$B$522,0),MATCH(P$27,cennik!$C$1:$L$1,0))</f>
        <v>21.53</v>
      </c>
      <c r="Q63" s="22">
        <f t="shared" si="68"/>
        <v>0</v>
      </c>
      <c r="R63" s="23">
        <f t="shared" si="64"/>
        <v>0</v>
      </c>
      <c r="S63" s="22">
        <f t="shared" si="65"/>
        <v>21.53</v>
      </c>
      <c r="T63" s="22">
        <f t="shared" si="69"/>
        <v>0</v>
      </c>
      <c r="U63" s="22">
        <f>INDEX(cennik!$C$2:$L$529,MATCH($L63,cennik!$B$2:$B$522,0),MATCH(U$27,cennik!$C$1:$L$1,0))*O63</f>
        <v>0</v>
      </c>
      <c r="V63" s="20"/>
      <c r="AE63" s="20"/>
      <c r="AF63" s="20"/>
      <c r="AG63" s="20"/>
      <c r="AH63" s="20"/>
      <c r="AI63" s="20"/>
      <c r="AJ63" s="20"/>
      <c r="AK63" s="20"/>
      <c r="AL63" s="20"/>
      <c r="AM63" s="20">
        <v>42</v>
      </c>
      <c r="AN63" s="20" t="s">
        <v>34</v>
      </c>
      <c r="AO63" s="20"/>
      <c r="AP63" s="20" t="s">
        <v>109</v>
      </c>
      <c r="AQ63" s="20" t="s">
        <v>321</v>
      </c>
      <c r="AS63" s="20">
        <v>42</v>
      </c>
      <c r="AT63" s="20" t="s">
        <v>506</v>
      </c>
      <c r="AU63" s="20" t="s">
        <v>506</v>
      </c>
      <c r="AV63" s="20" t="s">
        <v>506</v>
      </c>
      <c r="AW63" s="20" t="s">
        <v>506</v>
      </c>
      <c r="AX63" s="20"/>
      <c r="AY63" s="20"/>
      <c r="AZ63" s="20"/>
      <c r="BA63" s="26" t="s">
        <v>516</v>
      </c>
      <c r="BB63" s="20">
        <v>0</v>
      </c>
      <c r="BC63" s="20">
        <v>0</v>
      </c>
      <c r="BD63" s="20">
        <v>0</v>
      </c>
      <c r="BE63" s="20">
        <v>0</v>
      </c>
      <c r="BF63" s="20">
        <v>0</v>
      </c>
      <c r="BG63" s="20">
        <v>0</v>
      </c>
      <c r="BH63" s="20">
        <v>0</v>
      </c>
      <c r="BI63" s="20">
        <v>0</v>
      </c>
      <c r="BJ63" s="20">
        <v>0</v>
      </c>
      <c r="BK63" s="20">
        <v>0</v>
      </c>
      <c r="BL63" s="20">
        <v>0</v>
      </c>
      <c r="BM63" s="20">
        <v>0</v>
      </c>
      <c r="BN63" s="20">
        <v>0</v>
      </c>
      <c r="BO63" s="20">
        <v>0</v>
      </c>
      <c r="BP63" s="20">
        <v>0</v>
      </c>
      <c r="BQ63" s="20">
        <v>2</v>
      </c>
      <c r="BR63" s="20">
        <v>0</v>
      </c>
      <c r="BS63" s="20">
        <v>0</v>
      </c>
      <c r="BT63" s="20">
        <v>0</v>
      </c>
      <c r="BU63" s="20">
        <v>0</v>
      </c>
      <c r="BV63" s="20">
        <v>0</v>
      </c>
      <c r="BW63" s="20">
        <v>0</v>
      </c>
      <c r="BX63" s="20">
        <v>0</v>
      </c>
      <c r="BY63" s="20">
        <v>0</v>
      </c>
      <c r="BZ63" s="20">
        <v>0</v>
      </c>
      <c r="CA63" s="20">
        <v>0</v>
      </c>
      <c r="CB63" s="20">
        <v>0</v>
      </c>
      <c r="CC63" s="20">
        <v>0</v>
      </c>
      <c r="CD63" s="20">
        <v>0</v>
      </c>
      <c r="CE63" s="20">
        <v>0</v>
      </c>
      <c r="CF63" s="20">
        <v>0</v>
      </c>
      <c r="CG63" s="20">
        <v>0</v>
      </c>
      <c r="CH63" s="20">
        <v>0</v>
      </c>
      <c r="CI63" s="20">
        <v>0</v>
      </c>
      <c r="CJ63" s="20">
        <v>0</v>
      </c>
      <c r="CK63" s="20">
        <v>0</v>
      </c>
      <c r="CL63" s="20">
        <v>0</v>
      </c>
      <c r="CM63" s="20">
        <v>0</v>
      </c>
      <c r="CN63" s="20">
        <v>0</v>
      </c>
      <c r="CO63" s="20">
        <v>0</v>
      </c>
      <c r="CP63" s="20">
        <v>0</v>
      </c>
      <c r="CQ63" s="20">
        <v>0</v>
      </c>
      <c r="CR63" s="20">
        <v>0</v>
      </c>
      <c r="CS63" s="20">
        <v>0</v>
      </c>
      <c r="CT63" s="20">
        <v>0</v>
      </c>
      <c r="CU63" s="20">
        <v>0</v>
      </c>
      <c r="CV63" s="20">
        <v>0</v>
      </c>
      <c r="CW63" s="20">
        <v>0</v>
      </c>
      <c r="CX63" s="20">
        <v>0</v>
      </c>
      <c r="CY63" s="20">
        <v>0</v>
      </c>
      <c r="CZ63" s="20">
        <v>0</v>
      </c>
      <c r="DA63" s="54"/>
      <c r="DB63" s="54">
        <v>35</v>
      </c>
      <c r="DC63" s="54"/>
      <c r="DD63" s="26" t="s">
        <v>710</v>
      </c>
      <c r="DE63" s="20">
        <v>0</v>
      </c>
      <c r="DF63" s="20"/>
      <c r="DG63" s="20"/>
      <c r="DH63" s="20"/>
      <c r="DI63" s="20"/>
      <c r="DJ63" s="20"/>
      <c r="DK63" s="20"/>
      <c r="DL63" s="20"/>
      <c r="DM63" s="20"/>
      <c r="DN63" s="20"/>
      <c r="DO63" s="20"/>
      <c r="DP63" s="20"/>
      <c r="DQ63" s="20"/>
      <c r="DR63" s="20"/>
      <c r="DS63" s="20"/>
      <c r="DT63" s="20"/>
      <c r="DU63" s="20"/>
      <c r="DV63" s="20"/>
      <c r="DW63" s="20"/>
      <c r="DX63" s="20"/>
      <c r="DY63" s="20"/>
      <c r="DZ63" s="20"/>
      <c r="EA63" s="20"/>
      <c r="EB63" s="26" t="s">
        <v>516</v>
      </c>
      <c r="EC63" s="20">
        <v>0</v>
      </c>
      <c r="ED63" s="20">
        <v>0</v>
      </c>
      <c r="EE63" s="20">
        <v>0</v>
      </c>
      <c r="EF63" s="20">
        <v>2</v>
      </c>
      <c r="EG63" s="20">
        <v>0</v>
      </c>
      <c r="EH63" s="20">
        <v>0</v>
      </c>
      <c r="EI63" s="20">
        <v>0</v>
      </c>
      <c r="EJ63" s="20">
        <v>0</v>
      </c>
      <c r="EK63" s="20">
        <v>0</v>
      </c>
      <c r="EL63" s="20">
        <v>0</v>
      </c>
      <c r="EM63" s="20">
        <v>0</v>
      </c>
      <c r="EN63" s="20">
        <v>0</v>
      </c>
      <c r="EO63" s="20">
        <v>0</v>
      </c>
      <c r="EP63" s="20">
        <v>0</v>
      </c>
      <c r="EQ63" s="20">
        <v>0</v>
      </c>
      <c r="ER63" s="20">
        <v>0</v>
      </c>
      <c r="ES63" s="20">
        <v>0</v>
      </c>
      <c r="ET63" s="20">
        <v>0</v>
      </c>
      <c r="EU63" s="20">
        <v>0</v>
      </c>
      <c r="EV63" s="20">
        <v>0</v>
      </c>
      <c r="EW63" s="20">
        <v>0</v>
      </c>
      <c r="EX63" s="20">
        <v>0</v>
      </c>
      <c r="EY63" s="20">
        <v>0</v>
      </c>
      <c r="EZ63" s="20">
        <v>0</v>
      </c>
      <c r="FA63" s="20">
        <v>0</v>
      </c>
      <c r="FB63" s="20">
        <v>0</v>
      </c>
      <c r="FC63" s="20">
        <v>0</v>
      </c>
      <c r="FD63" s="20">
        <v>0</v>
      </c>
      <c r="FE63" s="20">
        <v>0</v>
      </c>
      <c r="FF63" s="20">
        <v>0</v>
      </c>
      <c r="FG63" s="20">
        <v>0</v>
      </c>
      <c r="FH63" s="20">
        <v>0</v>
      </c>
      <c r="FI63" s="20">
        <v>0</v>
      </c>
      <c r="FJ63" s="20">
        <v>0</v>
      </c>
      <c r="FK63" s="20">
        <v>0</v>
      </c>
      <c r="FL63" s="20">
        <v>0</v>
      </c>
      <c r="FM63" s="20">
        <v>0</v>
      </c>
      <c r="FN63" s="20">
        <v>0</v>
      </c>
      <c r="FO63" s="20">
        <v>0</v>
      </c>
      <c r="FP63" s="20">
        <v>0</v>
      </c>
      <c r="FQ63" s="20">
        <v>0</v>
      </c>
      <c r="FR63" s="20">
        <v>0</v>
      </c>
      <c r="FS63" s="20">
        <v>0</v>
      </c>
      <c r="FT63" s="20">
        <v>0</v>
      </c>
      <c r="FU63" s="20">
        <v>0</v>
      </c>
      <c r="FV63" s="20">
        <v>0</v>
      </c>
      <c r="FW63" s="20">
        <v>0</v>
      </c>
      <c r="FX63" s="20">
        <v>0</v>
      </c>
      <c r="FY63" s="20">
        <v>0</v>
      </c>
      <c r="FZ63" s="20">
        <v>0</v>
      </c>
      <c r="GA63" s="20">
        <v>0</v>
      </c>
      <c r="GC63" s="20"/>
      <c r="GD63" s="20"/>
      <c r="GE63" s="26" t="s">
        <v>516</v>
      </c>
      <c r="GF63" s="20">
        <v>0</v>
      </c>
      <c r="GG63" s="20">
        <v>0</v>
      </c>
      <c r="GH63" s="20">
        <v>0</v>
      </c>
      <c r="GI63" s="20">
        <v>0</v>
      </c>
      <c r="GJ63" s="20">
        <v>0</v>
      </c>
      <c r="GK63" s="20">
        <v>0</v>
      </c>
      <c r="GL63" s="20">
        <v>0</v>
      </c>
      <c r="GM63" s="20">
        <v>0</v>
      </c>
      <c r="GN63" s="20">
        <v>0</v>
      </c>
      <c r="GO63" s="20">
        <v>0</v>
      </c>
      <c r="GP63" s="20">
        <v>0</v>
      </c>
      <c r="GQ63" s="20">
        <v>0</v>
      </c>
      <c r="GR63" s="20">
        <v>0</v>
      </c>
      <c r="GS63" s="20">
        <v>0</v>
      </c>
      <c r="GT63" s="20">
        <v>0</v>
      </c>
      <c r="GU63" s="20">
        <v>0</v>
      </c>
      <c r="GV63" s="20">
        <v>0</v>
      </c>
      <c r="GW63" s="20">
        <v>0</v>
      </c>
      <c r="GX63" s="20">
        <v>0</v>
      </c>
      <c r="GY63" s="20">
        <v>0</v>
      </c>
      <c r="GZ63" s="20">
        <v>0</v>
      </c>
      <c r="HA63" s="20">
        <v>0</v>
      </c>
      <c r="HB63" s="20">
        <v>0</v>
      </c>
      <c r="HC63" s="20">
        <v>0</v>
      </c>
      <c r="HD63" s="20">
        <v>0</v>
      </c>
      <c r="HE63" s="20">
        <v>0</v>
      </c>
      <c r="HF63" s="20">
        <v>0</v>
      </c>
      <c r="HG63" s="20">
        <v>0</v>
      </c>
      <c r="HH63" s="20">
        <v>0</v>
      </c>
      <c r="HI63" s="20">
        <v>0</v>
      </c>
      <c r="HJ63" s="20">
        <v>0</v>
      </c>
      <c r="HK63" s="20">
        <v>0</v>
      </c>
      <c r="HL63" s="20">
        <v>0</v>
      </c>
      <c r="HM63" s="20">
        <v>0</v>
      </c>
      <c r="HN63" s="20">
        <v>0</v>
      </c>
      <c r="HO63" s="20">
        <v>0</v>
      </c>
      <c r="HP63" s="20">
        <v>0</v>
      </c>
      <c r="HQ63" s="20">
        <v>0</v>
      </c>
      <c r="HR63" s="20">
        <v>0</v>
      </c>
      <c r="HS63" s="20">
        <v>0</v>
      </c>
      <c r="HT63" s="20">
        <v>0</v>
      </c>
      <c r="HU63" s="20">
        <v>0</v>
      </c>
      <c r="HV63" s="20">
        <v>0</v>
      </c>
      <c r="HW63" s="20">
        <v>0</v>
      </c>
      <c r="HX63" s="20">
        <v>0</v>
      </c>
      <c r="HY63" s="20">
        <v>0</v>
      </c>
      <c r="HZ63" s="20">
        <v>0</v>
      </c>
      <c r="IA63" s="20">
        <v>0</v>
      </c>
      <c r="IB63" s="20">
        <v>0</v>
      </c>
      <c r="IC63" s="20">
        <v>0</v>
      </c>
      <c r="ID63" s="20">
        <v>0</v>
      </c>
      <c r="IF63" s="21" t="s">
        <v>516</v>
      </c>
      <c r="IG63" s="21">
        <v>0</v>
      </c>
      <c r="IH63" s="21">
        <v>0</v>
      </c>
      <c r="II63" s="21">
        <v>0</v>
      </c>
      <c r="IJ63" s="21">
        <v>0</v>
      </c>
      <c r="IK63" s="21">
        <v>0</v>
      </c>
      <c r="IL63" s="21">
        <v>0</v>
      </c>
      <c r="IM63" s="21">
        <v>0</v>
      </c>
      <c r="IN63" s="21">
        <v>0</v>
      </c>
      <c r="IO63" s="21">
        <v>0</v>
      </c>
      <c r="IP63" s="21">
        <v>0</v>
      </c>
      <c r="IQ63" s="21">
        <v>0</v>
      </c>
      <c r="IR63" s="21">
        <v>0</v>
      </c>
      <c r="IS63" s="21">
        <v>0</v>
      </c>
      <c r="IT63" s="21">
        <v>0</v>
      </c>
      <c r="IU63" s="21">
        <v>0</v>
      </c>
      <c r="IV63" s="21">
        <v>0</v>
      </c>
      <c r="IW63" s="21">
        <v>0</v>
      </c>
      <c r="IX63" s="21">
        <v>0</v>
      </c>
      <c r="IY63" s="21">
        <v>0</v>
      </c>
      <c r="IZ63" s="21">
        <v>0</v>
      </c>
      <c r="JA63" s="21">
        <v>0</v>
      </c>
      <c r="JB63" s="21">
        <v>0</v>
      </c>
      <c r="JC63" s="21">
        <v>0</v>
      </c>
      <c r="JD63" s="21">
        <v>0</v>
      </c>
      <c r="JE63" s="21">
        <v>0</v>
      </c>
      <c r="JF63" s="21">
        <v>0</v>
      </c>
      <c r="JI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64,$JT$2:$KS$2,0),MATCH($W$46,$AH$22:$AH$47,0)))*C64</f>
        <v>0</v>
      </c>
      <c r="JJ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64,$JT$2:$KS$2,0),MATCH($W$46,$AH$22:$AH$47,0)))*C64</f>
        <v>0</v>
      </c>
      <c r="JK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64,$JT$2:$KS$2,0),MATCH($W$46,$AH$22:$AH$47,0)))*C64</f>
        <v>0</v>
      </c>
      <c r="JL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64,$JT$2:$KS$2,0),MATCH($W$46,$AH$22:$AH$47,0)))*C64</f>
        <v>0</v>
      </c>
      <c r="JM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64,$JT$2:$KS$2,0),MATCH($W$46,$AH$22:$AH$47,0)))*C64</f>
        <v>0</v>
      </c>
      <c r="JN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64,$JT$2:$KS$2,0),MATCH($W$46,$AH$22:$AH$47,0)))*C64</f>
        <v>0</v>
      </c>
      <c r="JO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64,$JT$2:$KS$2,0),MATCH($W$46,$AH$22:$AH$47,0)))*C64</f>
        <v>0</v>
      </c>
      <c r="JP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64,$JT$2:$KS$2,0),MATCH($W$46,$AH$22:$AH$47,0)))*C64</f>
        <v>0</v>
      </c>
      <c r="JQ6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64,$JT$2:$KS$2,0),MATCH($W$46,$AH$22:$AH$47,0)))*C64</f>
        <v>0</v>
      </c>
      <c r="JS63" s="26"/>
      <c r="JT63" s="20"/>
      <c r="JU63" s="20"/>
      <c r="JV63" s="20"/>
      <c r="JW63" s="20"/>
      <c r="JX63" s="20"/>
      <c r="JY63" s="20"/>
      <c r="JZ63" s="20"/>
      <c r="KA63" s="20"/>
      <c r="KB63" s="20"/>
      <c r="KC63" s="20"/>
      <c r="KD63" s="20"/>
      <c r="KE63" s="20"/>
      <c r="KF63" s="20"/>
      <c r="KG63" s="20"/>
      <c r="KH63" s="20"/>
      <c r="KI63" s="20"/>
      <c r="KJ63" s="20"/>
      <c r="KK63" s="20"/>
      <c r="KL63" s="20"/>
      <c r="KM63" s="20"/>
      <c r="KN63" s="20"/>
      <c r="KO63" s="20"/>
      <c r="KP63" s="20"/>
      <c r="KQ63" s="20"/>
      <c r="KR63" s="20"/>
      <c r="KS63" s="20"/>
      <c r="KU63" s="20"/>
      <c r="KV63" s="20"/>
      <c r="KW63" s="20"/>
      <c r="KX63" s="20"/>
      <c r="KY63" s="20"/>
      <c r="KZ63" s="20"/>
      <c r="LA63" s="20"/>
      <c r="LB63" s="20"/>
      <c r="LC63" s="20"/>
      <c r="LD63" s="20"/>
      <c r="LE63" s="20"/>
      <c r="LF63" s="20"/>
      <c r="LG63" s="20"/>
      <c r="LH63" s="20"/>
      <c r="LI63" s="20"/>
      <c r="LJ63" s="20"/>
      <c r="LK63" s="20"/>
      <c r="LL63" s="20"/>
      <c r="LM63" s="20"/>
      <c r="LN63" s="20"/>
      <c r="LO63" s="20"/>
      <c r="LP63" s="20"/>
      <c r="LQ63" s="20"/>
      <c r="LR63" s="20"/>
      <c r="LS63" s="20"/>
      <c r="LT63" s="20"/>
      <c r="LU63" s="20"/>
      <c r="LW63" s="20"/>
      <c r="LX63" s="20"/>
      <c r="LY63" s="20"/>
      <c r="LZ63" s="20"/>
      <c r="MA63" s="20"/>
      <c r="MB63" s="20"/>
      <c r="MC63" s="20"/>
      <c r="MD63" s="20"/>
      <c r="ME63" s="20"/>
      <c r="MF63" s="20"/>
      <c r="MG63" s="20"/>
      <c r="MH63" s="20"/>
      <c r="MI63" s="20"/>
      <c r="MJ63" s="20"/>
      <c r="MK63" s="20"/>
      <c r="ML63" s="20"/>
      <c r="MM63" s="20"/>
      <c r="MN63" s="20"/>
      <c r="MO63" s="20"/>
      <c r="MP63" s="20"/>
      <c r="MQ63" s="20"/>
      <c r="MR63" s="20"/>
      <c r="MS63" s="20"/>
      <c r="MT63" s="20"/>
      <c r="MU63" s="20"/>
      <c r="MV63" s="20"/>
      <c r="MW63" s="20"/>
    </row>
    <row r="64" spans="1:389" x14ac:dyDescent="0.25">
      <c r="A64" s="8"/>
      <c r="B64" s="5" t="s">
        <v>116</v>
      </c>
      <c r="C64" s="8"/>
      <c r="D64" s="6" t="s">
        <v>1470</v>
      </c>
      <c r="E64" s="8" t="s">
        <v>1471</v>
      </c>
      <c r="F64" s="359"/>
      <c r="G64" s="359"/>
      <c r="H64" s="359"/>
      <c r="I64" s="359"/>
      <c r="J64" s="4"/>
      <c r="K64" s="4"/>
      <c r="L64" s="6" t="s">
        <v>1</v>
      </c>
      <c r="M64" s="14">
        <f>INDEX(cennik!$C$2:$L$529,MATCH($L64,cennik!$B$2:$B$522,0),MATCH(M$27,cennik!$C$1:$L$1,0))</f>
        <v>890661</v>
      </c>
      <c r="N64" s="14" t="str">
        <f>INDEX(cennik!$C$2:$L$529,MATCH($L64,cennik!$B$2:$B$522,0),MATCH(N$27,cennik!$C$1:$L$1,0))</f>
        <v>100 szt.</v>
      </c>
      <c r="O64" s="14">
        <f>ROUNDUP((O63*2)/100,0)</f>
        <v>0</v>
      </c>
      <c r="P64" s="22">
        <f>INDEX(cennik!$C$2:$L$529,MATCH($L64,cennik!$B$2:$B$522,0),MATCH(P$27,cennik!$C$1:$L$1,0))</f>
        <v>103.15</v>
      </c>
      <c r="Q64" s="22">
        <f t="shared" si="68"/>
        <v>0</v>
      </c>
      <c r="R64" s="23">
        <f t="shared" si="64"/>
        <v>0</v>
      </c>
      <c r="S64" s="22">
        <f t="shared" si="65"/>
        <v>103.15</v>
      </c>
      <c r="T64" s="22">
        <f t="shared" si="69"/>
        <v>0</v>
      </c>
      <c r="U64" s="22">
        <f>INDEX(cennik!$C$2:$L$529,MATCH($L64,cennik!$B$2:$B$522,0),MATCH(U$27,cennik!$C$1:$L$1,0))*O64</f>
        <v>0</v>
      </c>
      <c r="V64" s="20"/>
      <c r="W64" s="27" t="s">
        <v>160</v>
      </c>
      <c r="X64" s="27" t="s">
        <v>2</v>
      </c>
      <c r="Y64" s="358" t="s">
        <v>160</v>
      </c>
      <c r="Z64" s="358"/>
      <c r="AA64" s="358"/>
      <c r="AB64" s="358"/>
      <c r="AC64" s="358"/>
      <c r="AD64" s="358"/>
      <c r="AE64" s="20"/>
      <c r="AF64" s="20"/>
      <c r="AG64" s="20"/>
      <c r="AH64" s="20"/>
      <c r="AI64" s="20"/>
      <c r="AJ64" s="20"/>
      <c r="AK64" s="20"/>
      <c r="AL64" s="20"/>
      <c r="AM64" s="20">
        <v>45</v>
      </c>
      <c r="AN64" s="20" t="s">
        <v>35</v>
      </c>
      <c r="AO64" s="20"/>
      <c r="AP64" s="20" t="s">
        <v>149</v>
      </c>
      <c r="AQ64" s="20" t="s">
        <v>321</v>
      </c>
      <c r="AS64" s="20">
        <v>45</v>
      </c>
      <c r="AT64" s="20" t="s">
        <v>506</v>
      </c>
      <c r="AU64" s="20" t="s">
        <v>506</v>
      </c>
      <c r="AV64" s="20" t="s">
        <v>506</v>
      </c>
      <c r="AW64" s="20" t="s">
        <v>506</v>
      </c>
      <c r="AX64" s="20"/>
      <c r="AY64" s="20"/>
      <c r="AZ64" s="20"/>
      <c r="BA64" s="26" t="s">
        <v>517</v>
      </c>
      <c r="BB64" s="20">
        <v>0</v>
      </c>
      <c r="BC64" s="20">
        <v>2</v>
      </c>
      <c r="BD64" s="20">
        <v>0</v>
      </c>
      <c r="BE64" s="20">
        <v>4</v>
      </c>
      <c r="BF64" s="20">
        <v>2</v>
      </c>
      <c r="BG64" s="20">
        <v>0</v>
      </c>
      <c r="BH64" s="20">
        <v>4</v>
      </c>
      <c r="BI64" s="20">
        <v>2</v>
      </c>
      <c r="BJ64" s="20">
        <v>0</v>
      </c>
      <c r="BK64" s="20">
        <v>0</v>
      </c>
      <c r="BL64" s="20">
        <v>2</v>
      </c>
      <c r="BM64" s="20">
        <v>0</v>
      </c>
      <c r="BN64" s="20">
        <v>4</v>
      </c>
      <c r="BO64" s="20">
        <v>0</v>
      </c>
      <c r="BP64" s="20">
        <v>0</v>
      </c>
      <c r="BQ64" s="20">
        <v>0</v>
      </c>
      <c r="BR64" s="20">
        <v>0</v>
      </c>
      <c r="BS64" s="20">
        <v>4</v>
      </c>
      <c r="BT64" s="20">
        <v>2</v>
      </c>
      <c r="BU64" s="20">
        <v>0</v>
      </c>
      <c r="BV64" s="20">
        <v>2</v>
      </c>
      <c r="BW64" s="20">
        <v>0</v>
      </c>
      <c r="BX64" s="20">
        <v>0</v>
      </c>
      <c r="BY64" s="20">
        <v>0</v>
      </c>
      <c r="BZ64" s="20">
        <v>0</v>
      </c>
      <c r="CA64" s="20">
        <v>0</v>
      </c>
      <c r="CB64" s="20">
        <v>2</v>
      </c>
      <c r="CC64" s="20">
        <v>0</v>
      </c>
      <c r="CD64" s="20">
        <v>0</v>
      </c>
      <c r="CE64" s="20">
        <v>0</v>
      </c>
      <c r="CF64" s="20">
        <v>0</v>
      </c>
      <c r="CG64" s="20">
        <v>0</v>
      </c>
      <c r="CH64" s="20">
        <v>0</v>
      </c>
      <c r="CI64" s="20">
        <v>0</v>
      </c>
      <c r="CJ64" s="20">
        <v>2</v>
      </c>
      <c r="CK64" s="20">
        <v>0</v>
      </c>
      <c r="CL64" s="20">
        <v>0</v>
      </c>
      <c r="CM64" s="20">
        <v>4</v>
      </c>
      <c r="CN64" s="20">
        <v>0</v>
      </c>
      <c r="CO64" s="20">
        <v>0</v>
      </c>
      <c r="CP64" s="20">
        <v>0</v>
      </c>
      <c r="CQ64" s="20">
        <v>0</v>
      </c>
      <c r="CR64" s="20">
        <v>0</v>
      </c>
      <c r="CS64" s="20">
        <v>0</v>
      </c>
      <c r="CT64" s="20">
        <v>0</v>
      </c>
      <c r="CU64" s="20">
        <v>0</v>
      </c>
      <c r="CV64" s="20">
        <v>0</v>
      </c>
      <c r="CW64" s="20">
        <v>0</v>
      </c>
      <c r="CX64" s="20">
        <v>0</v>
      </c>
      <c r="CY64" s="20">
        <v>0</v>
      </c>
      <c r="CZ64" s="20">
        <v>0</v>
      </c>
      <c r="DA64" s="54"/>
      <c r="DB64" s="54">
        <v>38</v>
      </c>
      <c r="DC64" s="54"/>
      <c r="DD64" s="26" t="s">
        <v>711</v>
      </c>
      <c r="DE64" s="20">
        <v>0</v>
      </c>
      <c r="DF64" s="20"/>
      <c r="DG64" s="20"/>
      <c r="DH64" s="20"/>
      <c r="DI64" s="20"/>
      <c r="DJ64" s="20"/>
      <c r="DK64" s="20"/>
      <c r="DL64" s="20"/>
      <c r="DM64" s="20"/>
      <c r="DN64" s="20"/>
      <c r="DO64" s="20"/>
      <c r="DP64" s="20"/>
      <c r="DQ64" s="20"/>
      <c r="DR64" s="20"/>
      <c r="DS64" s="20"/>
      <c r="DT64" s="20"/>
      <c r="DU64" s="20"/>
      <c r="DV64" s="20"/>
      <c r="DW64" s="20"/>
      <c r="DX64" s="20"/>
      <c r="DY64" s="20"/>
      <c r="DZ64" s="20"/>
      <c r="EA64" s="20"/>
      <c r="EB64" s="26" t="s">
        <v>517</v>
      </c>
      <c r="EC64" s="20">
        <v>0</v>
      </c>
      <c r="ED64" s="20">
        <v>2</v>
      </c>
      <c r="EE64" s="20">
        <v>4</v>
      </c>
      <c r="EF64" s="20">
        <v>0</v>
      </c>
      <c r="EG64" s="20">
        <v>4</v>
      </c>
      <c r="EH64" s="20">
        <v>0</v>
      </c>
      <c r="EI64" s="20">
        <v>0</v>
      </c>
      <c r="EJ64" s="20">
        <v>0</v>
      </c>
      <c r="EK64" s="20">
        <v>2</v>
      </c>
      <c r="EL64" s="20">
        <v>0</v>
      </c>
      <c r="EM64" s="20">
        <v>0</v>
      </c>
      <c r="EN64" s="20">
        <v>4</v>
      </c>
      <c r="EO64" s="20">
        <v>0</v>
      </c>
      <c r="EP64" s="20">
        <v>2</v>
      </c>
      <c r="EQ64" s="20">
        <v>0</v>
      </c>
      <c r="ER64" s="20">
        <v>2</v>
      </c>
      <c r="ES64" s="20">
        <v>0</v>
      </c>
      <c r="ET64" s="20">
        <v>0</v>
      </c>
      <c r="EU64" s="20">
        <v>0</v>
      </c>
      <c r="EV64" s="20">
        <v>0</v>
      </c>
      <c r="EW64" s="20">
        <v>2</v>
      </c>
      <c r="EX64" s="20">
        <v>0</v>
      </c>
      <c r="EY64" s="20">
        <v>0</v>
      </c>
      <c r="EZ64" s="20">
        <v>0</v>
      </c>
      <c r="FA64" s="20">
        <v>0</v>
      </c>
      <c r="FB64" s="20">
        <v>0</v>
      </c>
      <c r="FC64" s="20">
        <v>0</v>
      </c>
      <c r="FD64" s="20">
        <v>0</v>
      </c>
      <c r="FE64" s="20">
        <v>0</v>
      </c>
      <c r="FF64" s="20">
        <v>0</v>
      </c>
      <c r="FG64" s="20">
        <v>0</v>
      </c>
      <c r="FH64" s="20">
        <v>0</v>
      </c>
      <c r="FI64" s="20">
        <v>0</v>
      </c>
      <c r="FJ64" s="20">
        <v>0</v>
      </c>
      <c r="FK64" s="20">
        <v>0</v>
      </c>
      <c r="FL64" s="20">
        <v>0</v>
      </c>
      <c r="FM64" s="20">
        <v>0</v>
      </c>
      <c r="FN64" s="20">
        <v>0</v>
      </c>
      <c r="FO64" s="20">
        <v>0</v>
      </c>
      <c r="FP64" s="20">
        <v>0</v>
      </c>
      <c r="FQ64" s="20">
        <v>0</v>
      </c>
      <c r="FR64" s="20">
        <v>0</v>
      </c>
      <c r="FS64" s="20">
        <v>4</v>
      </c>
      <c r="FT64" s="20">
        <v>0</v>
      </c>
      <c r="FU64" s="20">
        <v>0</v>
      </c>
      <c r="FV64" s="20">
        <v>0</v>
      </c>
      <c r="FW64" s="20">
        <v>0</v>
      </c>
      <c r="FX64" s="20">
        <v>0</v>
      </c>
      <c r="FY64" s="20">
        <v>0</v>
      </c>
      <c r="FZ64" s="20">
        <v>0</v>
      </c>
      <c r="GA64" s="20">
        <v>0</v>
      </c>
      <c r="GC64" s="20"/>
      <c r="GD64" s="20"/>
      <c r="GE64" s="26" t="s">
        <v>517</v>
      </c>
      <c r="GF64" s="20">
        <v>0</v>
      </c>
      <c r="GG64" s="20">
        <v>0</v>
      </c>
      <c r="GH64" s="20">
        <v>4</v>
      </c>
      <c r="GI64" s="20">
        <v>0</v>
      </c>
      <c r="GJ64" s="20">
        <v>2</v>
      </c>
      <c r="GK64" s="20">
        <v>4</v>
      </c>
      <c r="GL64" s="20">
        <v>0</v>
      </c>
      <c r="GM64" s="20">
        <v>2</v>
      </c>
      <c r="GN64" s="20">
        <v>4</v>
      </c>
      <c r="GO64" s="20">
        <v>0</v>
      </c>
      <c r="GP64" s="20">
        <v>0</v>
      </c>
      <c r="GQ64" s="20">
        <v>0</v>
      </c>
      <c r="GR64" s="20">
        <v>0</v>
      </c>
      <c r="GS64" s="20">
        <v>0</v>
      </c>
      <c r="GT64" s="20">
        <v>0</v>
      </c>
      <c r="GU64" s="20">
        <v>2</v>
      </c>
      <c r="GV64" s="20">
        <v>0</v>
      </c>
      <c r="GW64" s="20">
        <v>0</v>
      </c>
      <c r="GX64" s="20">
        <v>2</v>
      </c>
      <c r="GY64" s="20">
        <v>0</v>
      </c>
      <c r="GZ64" s="20">
        <v>0</v>
      </c>
      <c r="HA64" s="20">
        <v>2</v>
      </c>
      <c r="HB64" s="20">
        <v>0</v>
      </c>
      <c r="HC64" s="20">
        <v>0</v>
      </c>
      <c r="HD64" s="20">
        <v>0</v>
      </c>
      <c r="HE64" s="20">
        <v>0</v>
      </c>
      <c r="HF64" s="20">
        <v>0</v>
      </c>
      <c r="HG64" s="20">
        <v>0</v>
      </c>
      <c r="HH64" s="20">
        <v>0</v>
      </c>
      <c r="HI64" s="20">
        <v>0</v>
      </c>
      <c r="HJ64" s="20">
        <v>0</v>
      </c>
      <c r="HK64" s="20">
        <v>0</v>
      </c>
      <c r="HL64" s="20">
        <v>4</v>
      </c>
      <c r="HM64" s="20">
        <v>0</v>
      </c>
      <c r="HN64" s="20">
        <v>0</v>
      </c>
      <c r="HO64" s="20">
        <v>0</v>
      </c>
      <c r="HP64" s="20">
        <v>0</v>
      </c>
      <c r="HQ64" s="20">
        <v>4</v>
      </c>
      <c r="HR64" s="20">
        <v>0</v>
      </c>
      <c r="HS64" s="20">
        <v>0</v>
      </c>
      <c r="HT64" s="20">
        <v>0</v>
      </c>
      <c r="HU64" s="20">
        <v>0</v>
      </c>
      <c r="HV64" s="20">
        <v>0</v>
      </c>
      <c r="HW64" s="20">
        <v>0</v>
      </c>
      <c r="HX64" s="20">
        <v>0</v>
      </c>
      <c r="HY64" s="20">
        <v>0</v>
      </c>
      <c r="HZ64" s="20">
        <v>0</v>
      </c>
      <c r="IA64" s="20">
        <v>0</v>
      </c>
      <c r="IB64" s="20">
        <v>0</v>
      </c>
      <c r="IC64" s="20">
        <v>0</v>
      </c>
      <c r="ID64" s="20">
        <v>0</v>
      </c>
      <c r="IF64" s="21" t="s">
        <v>517</v>
      </c>
      <c r="IG64" s="21">
        <v>0</v>
      </c>
      <c r="IH64" s="21">
        <v>0</v>
      </c>
      <c r="II64" s="21">
        <v>2</v>
      </c>
      <c r="IJ64" s="21">
        <v>0</v>
      </c>
      <c r="IK64" s="21">
        <v>4</v>
      </c>
      <c r="IL64" s="21">
        <v>0</v>
      </c>
      <c r="IM64" s="21">
        <v>2</v>
      </c>
      <c r="IN64" s="21">
        <v>2</v>
      </c>
      <c r="IO64" s="21">
        <v>4</v>
      </c>
      <c r="IP64" s="21">
        <v>0</v>
      </c>
      <c r="IQ64" s="21">
        <v>0</v>
      </c>
      <c r="IR64" s="21">
        <v>2</v>
      </c>
      <c r="IS64" s="21">
        <v>4</v>
      </c>
      <c r="IT64" s="21">
        <v>0</v>
      </c>
      <c r="IU64" s="21">
        <v>0</v>
      </c>
      <c r="IV64" s="21">
        <v>0</v>
      </c>
      <c r="IW64" s="21">
        <v>0</v>
      </c>
      <c r="IX64" s="21">
        <v>0</v>
      </c>
      <c r="IY64" s="21">
        <v>0</v>
      </c>
      <c r="IZ64" s="21">
        <v>0</v>
      </c>
      <c r="JA64" s="21">
        <v>0</v>
      </c>
      <c r="JB64" s="21">
        <v>0</v>
      </c>
      <c r="JC64" s="21">
        <v>0</v>
      </c>
      <c r="JD64" s="21">
        <v>0</v>
      </c>
      <c r="JE64" s="21">
        <v>0</v>
      </c>
      <c r="JF64" s="21">
        <v>0</v>
      </c>
      <c r="JI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65,$JT$2:$KS$2,0),MATCH($W$46,$AH$22:$AH$47,0)))*C65</f>
        <v>0</v>
      </c>
      <c r="JJ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65,$JT$2:$KS$2,0),MATCH($W$46,$AH$22:$AH$47,0)))*C65</f>
        <v>0</v>
      </c>
      <c r="JK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65,$JT$2:$KS$2,0),MATCH($W$46,$AH$22:$AH$47,0)))*C65</f>
        <v>0</v>
      </c>
      <c r="JL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65,$JT$2:$KS$2,0),MATCH($W$46,$AH$22:$AH$47,0)))*C65</f>
        <v>0</v>
      </c>
      <c r="JM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65,$JT$2:$KS$2,0),MATCH($W$46,$AH$22:$AH$47,0)))*C65</f>
        <v>0</v>
      </c>
      <c r="JN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65,$JT$2:$KS$2,0),MATCH($W$46,$AH$22:$AH$47,0)))*C65</f>
        <v>0</v>
      </c>
      <c r="JO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65,$JT$2:$KS$2,0),MATCH($W$46,$AH$22:$AH$47,0)))*C65</f>
        <v>0</v>
      </c>
      <c r="JP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65,$JT$2:$KS$2,0),MATCH($W$46,$AH$22:$AH$47,0)))*C65</f>
        <v>0</v>
      </c>
      <c r="JQ6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65,$JT$2:$KS$2,0),MATCH($W$46,$AH$22:$AH$47,0)))*C65</f>
        <v>0</v>
      </c>
      <c r="JS64" s="20" t="s">
        <v>480</v>
      </c>
      <c r="JT64" s="20"/>
      <c r="JU64" s="20"/>
      <c r="JV64" s="20"/>
      <c r="JW64" s="20"/>
      <c r="JX64" s="20"/>
      <c r="JY64" s="20"/>
      <c r="JZ64" s="20"/>
      <c r="KA64" s="20"/>
      <c r="KB64" s="20"/>
      <c r="KC64" s="20"/>
      <c r="KD64" s="20"/>
      <c r="KE64" s="20"/>
      <c r="KF64" s="20"/>
      <c r="KG64" s="20"/>
      <c r="KH64" s="20"/>
      <c r="KI64" s="20"/>
      <c r="KJ64" s="20"/>
      <c r="KK64" s="20"/>
      <c r="KL64" s="20"/>
      <c r="KM64" s="20"/>
      <c r="KN64" s="20"/>
      <c r="KO64" s="20"/>
      <c r="KP64" s="20"/>
      <c r="KQ64" s="20"/>
      <c r="KR64" s="20"/>
      <c r="KS64" s="20"/>
      <c r="KU64" s="20" t="s">
        <v>470</v>
      </c>
      <c r="KV64" s="20"/>
      <c r="KW64" s="20"/>
      <c r="KX64" s="20"/>
      <c r="KY64" s="20"/>
      <c r="KZ64" s="20"/>
      <c r="LA64" s="20"/>
      <c r="LB64" s="20"/>
      <c r="LC64" s="20"/>
      <c r="LD64" s="20"/>
      <c r="LE64" s="20"/>
      <c r="LF64" s="20"/>
      <c r="LG64" s="20"/>
      <c r="LH64" s="20"/>
      <c r="LI64" s="20"/>
      <c r="LJ64" s="20"/>
      <c r="LK64" s="20"/>
      <c r="LL64" s="20"/>
      <c r="LM64" s="20"/>
      <c r="LN64" s="20"/>
      <c r="LO64" s="20"/>
      <c r="LP64" s="20"/>
      <c r="LQ64" s="20"/>
      <c r="LR64" s="20"/>
      <c r="LS64" s="20"/>
      <c r="LT64" s="20"/>
      <c r="LU64" s="20"/>
      <c r="LW64" s="20" t="s">
        <v>137</v>
      </c>
      <c r="LX64" s="20"/>
      <c r="LY64" s="20"/>
      <c r="LZ64" s="20"/>
      <c r="MA64" s="20"/>
      <c r="MB64" s="20"/>
      <c r="MC64" s="20"/>
      <c r="MD64" s="20"/>
      <c r="ME64" s="20"/>
      <c r="MF64" s="20"/>
      <c r="MG64" s="20"/>
      <c r="MH64" s="20"/>
      <c r="MI64" s="20"/>
      <c r="MJ64" s="20"/>
      <c r="MK64" s="20"/>
      <c r="ML64" s="20"/>
      <c r="MM64" s="20"/>
      <c r="MN64" s="20"/>
      <c r="MO64" s="20"/>
      <c r="MP64" s="20"/>
      <c r="MQ64" s="20"/>
      <c r="MR64" s="20"/>
      <c r="MS64" s="20"/>
      <c r="MT64" s="20"/>
      <c r="MU64" s="20"/>
      <c r="MV64" s="20"/>
      <c r="MW64" s="20"/>
      <c r="MY64" s="21" t="s">
        <v>833</v>
      </c>
    </row>
    <row r="65" spans="1:389" x14ac:dyDescent="0.25">
      <c r="A65" s="8"/>
      <c r="B65" s="5" t="s">
        <v>116</v>
      </c>
      <c r="C65" s="8"/>
      <c r="D65" s="6" t="s">
        <v>1469</v>
      </c>
      <c r="E65" s="4"/>
      <c r="F65" s="359"/>
      <c r="G65" s="359"/>
      <c r="H65" s="359"/>
      <c r="I65" s="359"/>
      <c r="J65" s="4"/>
      <c r="K65" s="4"/>
      <c r="L65" s="6" t="str">
        <f>IF(E64=$AT$2,(IF(E61=$AK$22,"SSZ10x20E A2",IF(E61=$AK$23,"SSZ10x20E A2",IF(E61=$AK$24,"SGKFM10X20PV",0)))),IF(E64=$AT$3,(IF(E61=$AK$22,"SMHM10X33E",IF(E61=$AK$23,"SMHM10X33E",IF(E61=$AK$24,"SGKFM10X20PV",0))))))</f>
        <v>SSZ10x20E A2</v>
      </c>
      <c r="M65" s="14">
        <f>INDEX(cennik!$C$2:$L$529,MATCH($L65,cennik!$B$2:$B$522,0),MATCH(M$27,cennik!$C$1:$L$1,0))</f>
        <v>991020</v>
      </c>
      <c r="N65" s="14" t="str">
        <f>INDEX(cennik!$C$2:$L$529,MATCH($L65,cennik!$B$2:$B$522,0),MATCH(N$27,cennik!$C$1:$L$1,0))</f>
        <v>100 szt.</v>
      </c>
      <c r="O65" s="14">
        <f>ROUNDUP(((O63+IF(E61=$AK$24,E62+O62*4,0))/100),0)</f>
        <v>0</v>
      </c>
      <c r="P65" s="22">
        <f>INDEX(cennik!$C$2:$L$529,MATCH($L65,cennik!$B$2:$B$522,0),MATCH(P$27,cennik!$C$1:$L$1,0))</f>
        <v>69.75</v>
      </c>
      <c r="Q65" s="22">
        <f t="shared" si="68"/>
        <v>0</v>
      </c>
      <c r="R65" s="23">
        <f t="shared" si="64"/>
        <v>0</v>
      </c>
      <c r="S65" s="22">
        <f t="shared" si="65"/>
        <v>69.75</v>
      </c>
      <c r="T65" s="22">
        <f t="shared" si="69"/>
        <v>0</v>
      </c>
      <c r="U65" s="22">
        <f>INDEX(cennik!$C$2:$L$529,MATCH($L65,cennik!$B$2:$B$522,0),MATCH(U$27,cennik!$C$1:$L$1,0))*O65</f>
        <v>0</v>
      </c>
      <c r="V65" s="20"/>
      <c r="W65" s="20" t="str">
        <f>IF(E81="WERTYKALNY",G79,IF(E81="HORYZONTALNY",E79,0))</f>
        <v>1100-1150</v>
      </c>
      <c r="X65" s="25">
        <f t="shared" ref="X65:X80" si="72">(IF($E$81=$AB$1,(IF(A78=0,0,IF(A78&gt;0,IF((((INT(((A78*$W$70)+((A78-1)*20)+80)/$E$80))-1)*$E$80)+500&gt;=((A78*$W$70)+((A78-1)*20)+80),(INT(((A78*$W$70)+((A78-1)*20)+80)/$E$80))*2,((INT(((A78*$W$70)+((A78-1)*20)+80)/$E$80))+1)*2)))),IF($E$81=$AB$2,(IF(A78=0,0,IF(A78&gt;0,IF((((INT(((A78*$W$71)+((A78-1)*20)+80)/$E$80))-1)*$E$80)+500&gt;=((A78*$W$71)+((A78-1)*20)+80),(INT(((A78*$W$71)+((A78-1)*20)+80)/$E$80))*2,((INT(((A78*$W$71)+((A78-1)*20)+80)/$E$80))+1)*2)))))))</f>
        <v>12</v>
      </c>
      <c r="Y65" s="27" t="s">
        <v>161</v>
      </c>
      <c r="Z65" s="27">
        <v>1.1499999999999999</v>
      </c>
      <c r="AA65" s="27">
        <v>2.1</v>
      </c>
      <c r="AB65" s="27">
        <v>2.2000000000000002</v>
      </c>
      <c r="AC65" s="27">
        <v>3.15</v>
      </c>
      <c r="AD65" s="27">
        <v>3.3</v>
      </c>
      <c r="AE65" s="20"/>
      <c r="AF65" s="20"/>
      <c r="AG65" s="20"/>
      <c r="AH65" s="20"/>
      <c r="AI65" s="20"/>
      <c r="AJ65" s="20"/>
      <c r="AK65" s="20"/>
      <c r="AL65" s="20">
        <f t="shared" ref="AL65:AL80" si="73">IF(X65=2,X65+2*C78,X65*C78)</f>
        <v>12</v>
      </c>
      <c r="AM65" s="20">
        <v>50</v>
      </c>
      <c r="AN65" s="20" t="s">
        <v>36</v>
      </c>
      <c r="AO65" s="20" t="s">
        <v>37</v>
      </c>
      <c r="AP65" s="20" t="s">
        <v>150</v>
      </c>
      <c r="AQ65" s="20" t="s">
        <v>321</v>
      </c>
      <c r="AS65" s="20">
        <v>50</v>
      </c>
      <c r="AT65" s="20" t="s">
        <v>506</v>
      </c>
      <c r="AU65" s="20" t="s">
        <v>506</v>
      </c>
      <c r="AV65" s="20" t="s">
        <v>506</v>
      </c>
      <c r="AW65" s="20" t="s">
        <v>506</v>
      </c>
      <c r="AX65" s="20"/>
      <c r="AY65" s="20"/>
      <c r="AZ65" s="20"/>
      <c r="BA65" s="26" t="s">
        <v>518</v>
      </c>
      <c r="BB65" s="20">
        <v>0</v>
      </c>
      <c r="BC65" s="20">
        <v>0</v>
      </c>
      <c r="BD65" s="20">
        <v>0</v>
      </c>
      <c r="BE65" s="20">
        <v>0</v>
      </c>
      <c r="BF65" s="20">
        <v>0</v>
      </c>
      <c r="BG65" s="20">
        <v>0</v>
      </c>
      <c r="BH65" s="20">
        <v>0</v>
      </c>
      <c r="BI65" s="20">
        <v>0</v>
      </c>
      <c r="BJ65" s="20">
        <v>0</v>
      </c>
      <c r="BK65" s="20">
        <v>4</v>
      </c>
      <c r="BL65" s="20">
        <v>0</v>
      </c>
      <c r="BM65" s="20">
        <v>0</v>
      </c>
      <c r="BN65" s="20">
        <v>0</v>
      </c>
      <c r="BO65" s="20">
        <v>2</v>
      </c>
      <c r="BP65" s="20">
        <v>0</v>
      </c>
      <c r="BQ65" s="20">
        <v>0</v>
      </c>
      <c r="BR65" s="20">
        <v>0</v>
      </c>
      <c r="BS65" s="20">
        <v>0</v>
      </c>
      <c r="BT65" s="20">
        <v>0</v>
      </c>
      <c r="BU65" s="20">
        <v>0</v>
      </c>
      <c r="BV65" s="20">
        <v>2</v>
      </c>
      <c r="BW65" s="20">
        <v>2</v>
      </c>
      <c r="BX65" s="20">
        <v>0</v>
      </c>
      <c r="BY65" s="20">
        <v>4</v>
      </c>
      <c r="BZ65" s="20">
        <v>0</v>
      </c>
      <c r="CA65" s="20">
        <v>0</v>
      </c>
      <c r="CB65" s="20">
        <v>0</v>
      </c>
      <c r="CC65" s="20">
        <v>0</v>
      </c>
      <c r="CD65" s="20">
        <v>0</v>
      </c>
      <c r="CE65" s="20">
        <v>2</v>
      </c>
      <c r="CF65" s="20">
        <v>0</v>
      </c>
      <c r="CG65" s="20">
        <v>4</v>
      </c>
      <c r="CH65" s="20">
        <v>0</v>
      </c>
      <c r="CI65" s="20">
        <v>0</v>
      </c>
      <c r="CJ65" s="20">
        <v>0</v>
      </c>
      <c r="CK65" s="20">
        <v>0</v>
      </c>
      <c r="CL65" s="20">
        <v>0</v>
      </c>
      <c r="CM65" s="20">
        <v>0</v>
      </c>
      <c r="CN65" s="20">
        <v>2</v>
      </c>
      <c r="CO65" s="20">
        <v>0</v>
      </c>
      <c r="CP65" s="20">
        <v>0</v>
      </c>
      <c r="CQ65" s="20">
        <v>0</v>
      </c>
      <c r="CR65" s="20">
        <v>0</v>
      </c>
      <c r="CS65" s="20">
        <v>0</v>
      </c>
      <c r="CT65" s="20">
        <v>0</v>
      </c>
      <c r="CU65" s="20">
        <v>0</v>
      </c>
      <c r="CV65" s="20">
        <v>2</v>
      </c>
      <c r="CW65" s="20">
        <v>0</v>
      </c>
      <c r="CX65" s="20">
        <v>0</v>
      </c>
      <c r="CY65" s="20">
        <v>0</v>
      </c>
      <c r="CZ65" s="20">
        <v>0</v>
      </c>
      <c r="DA65" s="54"/>
      <c r="DB65" s="54">
        <v>40</v>
      </c>
      <c r="DC65" s="54"/>
      <c r="DD65" s="26" t="s">
        <v>712</v>
      </c>
      <c r="DE65" s="20">
        <v>0</v>
      </c>
      <c r="DF65" s="20"/>
      <c r="DG65" s="20"/>
      <c r="DH65" s="20"/>
      <c r="DI65" s="20"/>
      <c r="DJ65" s="20"/>
      <c r="DK65" s="20"/>
      <c r="DL65" s="20"/>
      <c r="DM65" s="20"/>
      <c r="DN65" s="20"/>
      <c r="DO65" s="20"/>
      <c r="DP65" s="20"/>
      <c r="DQ65" s="20"/>
      <c r="DR65" s="20"/>
      <c r="DS65" s="20"/>
      <c r="DT65" s="20"/>
      <c r="DU65" s="20"/>
      <c r="DV65" s="20"/>
      <c r="DW65" s="20"/>
      <c r="DX65" s="20"/>
      <c r="DY65" s="20"/>
      <c r="DZ65" s="20"/>
      <c r="EA65" s="20"/>
      <c r="EB65" s="26" t="s">
        <v>518</v>
      </c>
      <c r="EC65" s="20">
        <v>0</v>
      </c>
      <c r="ED65" s="20">
        <v>0</v>
      </c>
      <c r="EE65" s="20">
        <v>0</v>
      </c>
      <c r="EF65" s="20">
        <v>4</v>
      </c>
      <c r="EG65" s="20">
        <v>0</v>
      </c>
      <c r="EH65" s="20">
        <v>0</v>
      </c>
      <c r="EI65" s="20">
        <v>4</v>
      </c>
      <c r="EJ65" s="20">
        <v>0</v>
      </c>
      <c r="EK65" s="20">
        <v>0</v>
      </c>
      <c r="EL65" s="20">
        <v>0</v>
      </c>
      <c r="EM65" s="20">
        <v>2</v>
      </c>
      <c r="EN65" s="20">
        <v>0</v>
      </c>
      <c r="EO65" s="20">
        <v>0</v>
      </c>
      <c r="EP65" s="20">
        <v>2</v>
      </c>
      <c r="EQ65" s="20">
        <v>0</v>
      </c>
      <c r="ER65" s="20">
        <v>0</v>
      </c>
      <c r="ES65" s="20">
        <v>0</v>
      </c>
      <c r="ET65" s="20">
        <v>2</v>
      </c>
      <c r="EU65" s="20">
        <v>0</v>
      </c>
      <c r="EV65" s="20">
        <v>0</v>
      </c>
      <c r="EW65" s="20">
        <v>0</v>
      </c>
      <c r="EX65" s="20">
        <v>0</v>
      </c>
      <c r="EY65" s="20">
        <v>4</v>
      </c>
      <c r="EZ65" s="20">
        <v>0</v>
      </c>
      <c r="FA65" s="20">
        <v>0</v>
      </c>
      <c r="FB65" s="20">
        <v>0</v>
      </c>
      <c r="FC65" s="20">
        <v>0</v>
      </c>
      <c r="FD65" s="20">
        <v>0</v>
      </c>
      <c r="FE65" s="20">
        <v>0</v>
      </c>
      <c r="FF65" s="20">
        <v>2</v>
      </c>
      <c r="FG65" s="20">
        <v>0</v>
      </c>
      <c r="FH65" s="20">
        <v>0</v>
      </c>
      <c r="FI65" s="20">
        <v>2</v>
      </c>
      <c r="FJ65" s="20">
        <v>2</v>
      </c>
      <c r="FK65" s="20">
        <v>0</v>
      </c>
      <c r="FL65" s="20">
        <v>0</v>
      </c>
      <c r="FM65" s="20">
        <v>0</v>
      </c>
      <c r="FN65" s="20">
        <v>2</v>
      </c>
      <c r="FO65" s="20">
        <v>0</v>
      </c>
      <c r="FP65" s="20">
        <v>0</v>
      </c>
      <c r="FQ65" s="20">
        <v>0</v>
      </c>
      <c r="FR65" s="20">
        <v>0</v>
      </c>
      <c r="FS65" s="20">
        <v>0</v>
      </c>
      <c r="FT65" s="20">
        <v>0</v>
      </c>
      <c r="FU65" s="20">
        <v>0</v>
      </c>
      <c r="FV65" s="20">
        <v>0</v>
      </c>
      <c r="FW65" s="20">
        <v>0</v>
      </c>
      <c r="FX65" s="20">
        <v>0</v>
      </c>
      <c r="FY65" s="20">
        <v>0</v>
      </c>
      <c r="FZ65" s="20">
        <v>2</v>
      </c>
      <c r="GA65" s="20">
        <v>0</v>
      </c>
      <c r="GC65" s="20"/>
      <c r="GD65" s="20"/>
      <c r="GE65" s="26" t="s">
        <v>518</v>
      </c>
      <c r="GF65" s="20">
        <v>0</v>
      </c>
      <c r="GG65" s="20">
        <v>2</v>
      </c>
      <c r="GH65" s="20">
        <v>0</v>
      </c>
      <c r="GI65" s="20">
        <v>0</v>
      </c>
      <c r="GJ65" s="20">
        <v>0</v>
      </c>
      <c r="GK65" s="20">
        <v>0</v>
      </c>
      <c r="GL65" s="20">
        <v>0</v>
      </c>
      <c r="GM65" s="20">
        <v>0</v>
      </c>
      <c r="GN65" s="20">
        <v>0</v>
      </c>
      <c r="GO65" s="20">
        <v>2</v>
      </c>
      <c r="GP65" s="20">
        <v>4</v>
      </c>
      <c r="GQ65" s="20">
        <v>0</v>
      </c>
      <c r="GR65" s="20">
        <v>2</v>
      </c>
      <c r="GS65" s="20">
        <v>4</v>
      </c>
      <c r="GT65" s="20">
        <v>0</v>
      </c>
      <c r="GU65" s="20">
        <v>0</v>
      </c>
      <c r="GV65" s="20">
        <v>4</v>
      </c>
      <c r="GW65" s="20">
        <v>0</v>
      </c>
      <c r="GX65" s="20">
        <v>0</v>
      </c>
      <c r="GY65" s="20">
        <v>0</v>
      </c>
      <c r="GZ65" s="20">
        <v>0</v>
      </c>
      <c r="HA65" s="20">
        <v>0</v>
      </c>
      <c r="HB65" s="20">
        <v>0</v>
      </c>
      <c r="HC65" s="20">
        <v>0</v>
      </c>
      <c r="HD65" s="20">
        <v>2</v>
      </c>
      <c r="HE65" s="20">
        <v>0</v>
      </c>
      <c r="HF65" s="20">
        <v>2</v>
      </c>
      <c r="HG65" s="20">
        <v>0</v>
      </c>
      <c r="HH65" s="20">
        <v>0</v>
      </c>
      <c r="HI65" s="20">
        <v>0</v>
      </c>
      <c r="HJ65" s="20">
        <v>0</v>
      </c>
      <c r="HK65" s="20">
        <v>0</v>
      </c>
      <c r="HL65" s="20">
        <v>0</v>
      </c>
      <c r="HM65" s="20">
        <v>0</v>
      </c>
      <c r="HN65" s="20">
        <v>0</v>
      </c>
      <c r="HO65" s="20">
        <v>0</v>
      </c>
      <c r="HP65" s="20">
        <v>0</v>
      </c>
      <c r="HQ65" s="20">
        <v>0</v>
      </c>
      <c r="HR65" s="20">
        <v>0</v>
      </c>
      <c r="HS65" s="20">
        <v>0</v>
      </c>
      <c r="HT65" s="20">
        <v>2</v>
      </c>
      <c r="HU65" s="20">
        <v>0</v>
      </c>
      <c r="HV65" s="20">
        <v>2</v>
      </c>
      <c r="HW65" s="20">
        <v>0</v>
      </c>
      <c r="HX65" s="20">
        <v>0</v>
      </c>
      <c r="HY65" s="20">
        <v>0</v>
      </c>
      <c r="HZ65" s="20">
        <v>0</v>
      </c>
      <c r="IA65" s="20">
        <v>0</v>
      </c>
      <c r="IB65" s="20">
        <v>0</v>
      </c>
      <c r="IC65" s="20">
        <v>0</v>
      </c>
      <c r="ID65" s="20">
        <v>0</v>
      </c>
      <c r="IF65" s="21" t="s">
        <v>518</v>
      </c>
      <c r="IG65" s="21">
        <v>0</v>
      </c>
      <c r="IH65" s="21">
        <v>0</v>
      </c>
      <c r="II65" s="21">
        <v>0</v>
      </c>
      <c r="IJ65" s="21">
        <v>4</v>
      </c>
      <c r="IK65" s="21">
        <v>0</v>
      </c>
      <c r="IL65" s="21">
        <v>0</v>
      </c>
      <c r="IM65" s="21">
        <v>0</v>
      </c>
      <c r="IN65" s="21">
        <v>0</v>
      </c>
      <c r="IO65" s="21">
        <v>0</v>
      </c>
      <c r="IP65" s="21">
        <v>0</v>
      </c>
      <c r="IQ65" s="21">
        <v>0</v>
      </c>
      <c r="IR65" s="21">
        <v>0</v>
      </c>
      <c r="IS65" s="21">
        <v>0</v>
      </c>
      <c r="IT65" s="21">
        <v>0</v>
      </c>
      <c r="IU65" s="21">
        <v>0</v>
      </c>
      <c r="IV65" s="21">
        <v>2</v>
      </c>
      <c r="IW65" s="21">
        <v>2</v>
      </c>
      <c r="IX65" s="21">
        <v>0</v>
      </c>
      <c r="IY65" s="21">
        <v>0</v>
      </c>
      <c r="IZ65" s="21">
        <v>2</v>
      </c>
      <c r="JA65" s="21">
        <v>2</v>
      </c>
      <c r="JB65" s="21">
        <v>2</v>
      </c>
      <c r="JC65" s="21">
        <v>0</v>
      </c>
      <c r="JD65" s="21">
        <v>0</v>
      </c>
      <c r="JE65" s="21">
        <v>2</v>
      </c>
      <c r="JF65" s="21">
        <v>0</v>
      </c>
      <c r="JI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66,$JT$2:$KS$2,0),MATCH($W$46,$AH$22:$AH$47,0)))*C66</f>
        <v>0</v>
      </c>
      <c r="JJ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66,$JT$2:$KS$2,0),MATCH($W$46,$AH$22:$AH$47,0)))*C66</f>
        <v>0</v>
      </c>
      <c r="JK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66,$JT$2:$KS$2,0),MATCH($W$46,$AH$22:$AH$47,0)))*C66</f>
        <v>0</v>
      </c>
      <c r="JL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66,$JT$2:$KS$2,0),MATCH($W$46,$AH$22:$AH$47,0)))*C66</f>
        <v>0</v>
      </c>
      <c r="JM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66,$JT$2:$KS$2,0),MATCH($W$46,$AH$22:$AH$47,0)))*C66</f>
        <v>0</v>
      </c>
      <c r="JN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66,$JT$2:$KS$2,0),MATCH($W$46,$AH$22:$AH$47,0)))*C66</f>
        <v>0</v>
      </c>
      <c r="JO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66,$JT$2:$KS$2,0),MATCH($W$46,$AH$22:$AH$47,0)))*C66</f>
        <v>0</v>
      </c>
      <c r="JP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66,$JT$2:$KS$2,0),MATCH($W$46,$AH$22:$AH$47,0)))*C66</f>
        <v>0</v>
      </c>
      <c r="JQ6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66,$JT$2:$KS$2,0),MATCH($W$46,$AH$22:$AH$47,0)))*C66</f>
        <v>0</v>
      </c>
      <c r="JT65" s="20">
        <v>0</v>
      </c>
      <c r="JU65" s="20">
        <v>1</v>
      </c>
      <c r="JV65" s="20">
        <v>2</v>
      </c>
      <c r="JW65" s="20">
        <v>3</v>
      </c>
      <c r="JX65" s="20">
        <v>4</v>
      </c>
      <c r="JY65" s="20">
        <v>5</v>
      </c>
      <c r="JZ65" s="20">
        <v>6</v>
      </c>
      <c r="KA65" s="20">
        <v>7</v>
      </c>
      <c r="KB65" s="20">
        <v>8</v>
      </c>
      <c r="KC65" s="20">
        <v>9</v>
      </c>
      <c r="KD65" s="20">
        <v>10</v>
      </c>
      <c r="KE65" s="20">
        <v>11</v>
      </c>
      <c r="KF65" s="20">
        <v>12</v>
      </c>
      <c r="KG65" s="20">
        <v>13</v>
      </c>
      <c r="KH65" s="20">
        <v>14</v>
      </c>
      <c r="KI65" s="20">
        <v>15</v>
      </c>
      <c r="KJ65" s="20">
        <v>16</v>
      </c>
      <c r="KK65" s="20">
        <v>17</v>
      </c>
      <c r="KL65" s="20">
        <v>18</v>
      </c>
      <c r="KM65" s="20">
        <v>19</v>
      </c>
      <c r="KN65" s="20">
        <v>20</v>
      </c>
      <c r="KO65" s="20">
        <v>21</v>
      </c>
      <c r="KP65" s="20">
        <v>22</v>
      </c>
      <c r="KQ65" s="20">
        <v>23</v>
      </c>
      <c r="KR65" s="20">
        <v>24</v>
      </c>
      <c r="KS65" s="20">
        <v>25</v>
      </c>
      <c r="KU65" s="20"/>
      <c r="KV65" s="20">
        <v>0</v>
      </c>
      <c r="KW65" s="20">
        <v>1</v>
      </c>
      <c r="KX65" s="20">
        <v>2</v>
      </c>
      <c r="KY65" s="20">
        <v>3</v>
      </c>
      <c r="KZ65" s="20">
        <v>4</v>
      </c>
      <c r="LA65" s="20">
        <v>5</v>
      </c>
      <c r="LB65" s="20">
        <v>6</v>
      </c>
      <c r="LC65" s="20">
        <v>7</v>
      </c>
      <c r="LD65" s="20">
        <v>8</v>
      </c>
      <c r="LE65" s="20">
        <v>9</v>
      </c>
      <c r="LF65" s="20">
        <v>10</v>
      </c>
      <c r="LG65" s="20">
        <v>11</v>
      </c>
      <c r="LH65" s="20">
        <v>12</v>
      </c>
      <c r="LI65" s="20">
        <v>13</v>
      </c>
      <c r="LJ65" s="20">
        <v>14</v>
      </c>
      <c r="LK65" s="20">
        <v>15</v>
      </c>
      <c r="LL65" s="20">
        <v>16</v>
      </c>
      <c r="LM65" s="20">
        <v>17</v>
      </c>
      <c r="LN65" s="20">
        <v>18</v>
      </c>
      <c r="LO65" s="20">
        <v>19</v>
      </c>
      <c r="LP65" s="20">
        <v>20</v>
      </c>
      <c r="LQ65" s="20">
        <v>21</v>
      </c>
      <c r="LR65" s="20">
        <v>22</v>
      </c>
      <c r="LS65" s="20">
        <v>23</v>
      </c>
      <c r="LT65" s="20">
        <v>24</v>
      </c>
      <c r="LU65" s="20">
        <v>25</v>
      </c>
      <c r="LW65" s="20"/>
      <c r="LX65" s="20">
        <v>0</v>
      </c>
      <c r="LY65" s="20">
        <v>1</v>
      </c>
      <c r="LZ65" s="20">
        <v>2</v>
      </c>
      <c r="MA65" s="20">
        <v>3</v>
      </c>
      <c r="MB65" s="20">
        <v>4</v>
      </c>
      <c r="MC65" s="20">
        <v>5</v>
      </c>
      <c r="MD65" s="20">
        <v>6</v>
      </c>
      <c r="ME65" s="20">
        <v>7</v>
      </c>
      <c r="MF65" s="20">
        <v>8</v>
      </c>
      <c r="MG65" s="20">
        <v>9</v>
      </c>
      <c r="MH65" s="20">
        <v>10</v>
      </c>
      <c r="MI65" s="20">
        <v>11</v>
      </c>
      <c r="MJ65" s="20">
        <v>12</v>
      </c>
      <c r="MK65" s="20">
        <v>13</v>
      </c>
      <c r="ML65" s="20">
        <v>14</v>
      </c>
      <c r="MM65" s="20">
        <v>15</v>
      </c>
      <c r="MN65" s="20">
        <v>16</v>
      </c>
      <c r="MO65" s="20">
        <v>17</v>
      </c>
      <c r="MP65" s="20">
        <v>18</v>
      </c>
      <c r="MQ65" s="20">
        <v>19</v>
      </c>
      <c r="MR65" s="20">
        <v>20</v>
      </c>
      <c r="MS65" s="20">
        <v>21</v>
      </c>
      <c r="MT65" s="20">
        <v>22</v>
      </c>
      <c r="MU65" s="20">
        <v>23</v>
      </c>
      <c r="MV65" s="20">
        <v>24</v>
      </c>
      <c r="MW65" s="20">
        <v>25</v>
      </c>
      <c r="MZ65" s="21">
        <v>0</v>
      </c>
      <c r="NA65" s="21">
        <v>1</v>
      </c>
      <c r="NB65" s="21">
        <v>2</v>
      </c>
      <c r="NC65" s="21">
        <v>3</v>
      </c>
      <c r="ND65" s="21">
        <v>4</v>
      </c>
      <c r="NE65" s="21">
        <v>5</v>
      </c>
      <c r="NF65" s="21">
        <v>6</v>
      </c>
      <c r="NG65" s="21">
        <v>7</v>
      </c>
      <c r="NH65" s="21">
        <v>8</v>
      </c>
      <c r="NI65" s="21">
        <v>9</v>
      </c>
      <c r="NJ65" s="21">
        <v>10</v>
      </c>
      <c r="NK65" s="21">
        <v>11</v>
      </c>
      <c r="NL65" s="21">
        <v>12</v>
      </c>
      <c r="NM65" s="21">
        <v>13</v>
      </c>
      <c r="NN65" s="21">
        <v>14</v>
      </c>
      <c r="NO65" s="21">
        <v>15</v>
      </c>
      <c r="NP65" s="21">
        <v>16</v>
      </c>
      <c r="NQ65" s="21">
        <v>17</v>
      </c>
      <c r="NR65" s="21">
        <v>18</v>
      </c>
      <c r="NS65" s="21">
        <v>19</v>
      </c>
      <c r="NT65" s="21">
        <v>20</v>
      </c>
      <c r="NU65" s="21">
        <v>21</v>
      </c>
      <c r="NV65" s="21">
        <v>22</v>
      </c>
      <c r="NW65" s="21">
        <v>23</v>
      </c>
      <c r="NX65" s="21">
        <v>24</v>
      </c>
      <c r="NY65" s="21">
        <v>25</v>
      </c>
    </row>
    <row r="66" spans="1:389" x14ac:dyDescent="0.25">
      <c r="A66" s="8"/>
      <c r="B66" s="5" t="s">
        <v>116</v>
      </c>
      <c r="C66" s="8"/>
      <c r="D66" s="40" t="s">
        <v>944</v>
      </c>
      <c r="E66" s="4"/>
      <c r="F66" s="4"/>
      <c r="G66" s="4"/>
      <c r="H66" s="4"/>
      <c r="I66" s="4"/>
      <c r="J66" s="4"/>
      <c r="K66" s="4"/>
      <c r="L66" s="6" t="str">
        <f>IF(E61=$AK$22,"NKZM10E A2",IF(E61=$AK$23,"NKZM10E A2",IF(E61=$AK$24,"-------",0)))</f>
        <v>NKZM10E A2</v>
      </c>
      <c r="M66" s="14">
        <f>INDEX(cennik!$C$2:$L$529,MATCH($L66,cennik!$B$2:$B$522,0),MATCH(M$27,cennik!$C$1:$L$1,0))</f>
        <v>890009</v>
      </c>
      <c r="N66" s="14" t="str">
        <f>INDEX(cennik!$C$2:$L$529,MATCH($L66,cennik!$B$2:$B$522,0),MATCH(N$27,cennik!$C$1:$L$1,0))</f>
        <v>100 szt.</v>
      </c>
      <c r="O66" s="14">
        <f>IF(L66="-------",0,ROUNDUP((O63/100),0))</f>
        <v>0</v>
      </c>
      <c r="P66" s="22">
        <f>INDEX(cennik!$C$2:$L$529,MATCH($L66,cennik!$B$2:$B$522,0),MATCH(P$27,cennik!$C$1:$L$1,0))</f>
        <v>46.15</v>
      </c>
      <c r="Q66" s="22">
        <f t="shared" si="68"/>
        <v>0</v>
      </c>
      <c r="R66" s="23">
        <f t="shared" si="64"/>
        <v>0</v>
      </c>
      <c r="S66" s="22">
        <f t="shared" si="65"/>
        <v>46.15</v>
      </c>
      <c r="T66" s="22">
        <f t="shared" si="69"/>
        <v>0</v>
      </c>
      <c r="U66" s="22">
        <f>INDEX(cennik!$C$2:$L$529,MATCH($L66,cennik!$B$2:$B$522,0),MATCH(U$27,cennik!$C$1:$L$1,0))*O66</f>
        <v>0</v>
      </c>
      <c r="V66" s="20"/>
      <c r="W66" s="20"/>
      <c r="X66" s="25">
        <f t="shared" si="72"/>
        <v>0</v>
      </c>
      <c r="Y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78,$BB$2:$CA$2,0),MATCH($W$65,$AH$22:$AH$47,0)))*C78</f>
        <v>4</v>
      </c>
      <c r="Z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78,$BB$2:$CA$2,0),MATCH($W$65,$AH$22:$AH$47,0)))*C78</f>
        <v>0</v>
      </c>
      <c r="AA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78,$BB$2:$CA$2,0),MATCH($W$65,$AH$22:$AH$47,0)))*C78</f>
        <v>0</v>
      </c>
      <c r="AB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78,$BB$2:$CA$2,0),MATCH($W$65,$AH$22:$AH$47,0)))*C78</f>
        <v>0</v>
      </c>
      <c r="AC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78,$BB$2:$CA$2,0),MATCH($W$65,$AH$22:$AH$47,0)))*C78</f>
        <v>4</v>
      </c>
      <c r="AD6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78,$BB$2:$CA$2,0),MATCH($W$65,$AH$22:$AH$47,0)))*C78</f>
        <v>0</v>
      </c>
      <c r="AE66" s="20"/>
      <c r="AF66" s="20"/>
      <c r="AG66" s="20"/>
      <c r="AH66" s="20"/>
      <c r="AI66" s="20"/>
      <c r="AJ66" s="20"/>
      <c r="AK66" s="20"/>
      <c r="AL66" s="20">
        <f t="shared" si="73"/>
        <v>0</v>
      </c>
      <c r="AM66" s="20"/>
      <c r="AN66" s="20" t="s">
        <v>13</v>
      </c>
      <c r="AO66" s="20" t="s">
        <v>77</v>
      </c>
      <c r="AP66" s="20"/>
      <c r="AQ66" s="20"/>
      <c r="AS66" s="20"/>
      <c r="AT66" s="20" t="s">
        <v>506</v>
      </c>
      <c r="AU66" s="20" t="s">
        <v>506</v>
      </c>
      <c r="AV66" s="20"/>
      <c r="AW66" s="20"/>
      <c r="AX66" s="20"/>
      <c r="AY66" s="20"/>
      <c r="AZ66" s="20"/>
      <c r="BA66" s="26" t="s">
        <v>519</v>
      </c>
      <c r="BB66" s="20">
        <v>0</v>
      </c>
      <c r="BC66" s="20">
        <v>0</v>
      </c>
      <c r="BD66" s="20">
        <v>2</v>
      </c>
      <c r="BE66" s="20">
        <v>0</v>
      </c>
      <c r="BF66" s="20">
        <v>2</v>
      </c>
      <c r="BG66" s="20">
        <v>4</v>
      </c>
      <c r="BH66" s="20">
        <v>2</v>
      </c>
      <c r="BI66" s="20">
        <v>4</v>
      </c>
      <c r="BJ66" s="20">
        <v>6</v>
      </c>
      <c r="BK66" s="20">
        <v>4</v>
      </c>
      <c r="BL66" s="20">
        <v>2</v>
      </c>
      <c r="BM66" s="20">
        <v>2</v>
      </c>
      <c r="BN66" s="20">
        <v>0</v>
      </c>
      <c r="BO66" s="20">
        <v>0</v>
      </c>
      <c r="BP66" s="20">
        <v>0</v>
      </c>
      <c r="BQ66" s="20">
        <v>0</v>
      </c>
      <c r="BR66" s="20">
        <v>12</v>
      </c>
      <c r="BS66" s="20">
        <v>10</v>
      </c>
      <c r="BT66" s="20">
        <v>8</v>
      </c>
      <c r="BU66" s="20">
        <v>8</v>
      </c>
      <c r="BV66" s="20">
        <v>6</v>
      </c>
      <c r="BW66" s="20">
        <v>6</v>
      </c>
      <c r="BX66" s="20">
        <v>8</v>
      </c>
      <c r="BY66" s="20">
        <v>4</v>
      </c>
      <c r="BZ66" s="20">
        <v>18</v>
      </c>
      <c r="CA66" s="20">
        <v>2</v>
      </c>
      <c r="CB66" s="20">
        <v>14</v>
      </c>
      <c r="CC66" s="20">
        <v>14</v>
      </c>
      <c r="CD66" s="20">
        <v>0</v>
      </c>
      <c r="CE66" s="20">
        <v>12</v>
      </c>
      <c r="CF66" s="20">
        <v>12</v>
      </c>
      <c r="CG66" s="20">
        <v>10</v>
      </c>
      <c r="CH66" s="20">
        <v>24</v>
      </c>
      <c r="CI66" s="20">
        <v>8</v>
      </c>
      <c r="CJ66" s="20">
        <v>20</v>
      </c>
      <c r="CK66" s="20">
        <v>20</v>
      </c>
      <c r="CL66" s="20">
        <v>4</v>
      </c>
      <c r="CM66" s="20">
        <v>6</v>
      </c>
      <c r="CN66" s="20">
        <v>2</v>
      </c>
      <c r="CO66" s="20">
        <v>2</v>
      </c>
      <c r="CP66" s="20">
        <v>30</v>
      </c>
      <c r="CQ66" s="20">
        <v>14</v>
      </c>
      <c r="CR66" s="20">
        <v>0</v>
      </c>
      <c r="CS66" s="20">
        <v>26</v>
      </c>
      <c r="CT66" s="20">
        <v>10</v>
      </c>
      <c r="CU66" s="20">
        <v>0</v>
      </c>
      <c r="CV66" s="20">
        <v>8</v>
      </c>
      <c r="CW66" s="20">
        <v>8</v>
      </c>
      <c r="CX66" s="20">
        <v>36</v>
      </c>
      <c r="CY66" s="20">
        <v>20</v>
      </c>
      <c r="CZ66" s="20">
        <v>4</v>
      </c>
      <c r="DA66" s="54"/>
      <c r="DB66" s="54">
        <v>42</v>
      </c>
      <c r="DC66" s="54"/>
      <c r="DD66" s="20"/>
      <c r="DE66" s="20"/>
      <c r="DF66" s="20"/>
      <c r="DG66" s="20"/>
      <c r="DH66" s="20"/>
      <c r="DI66" s="20"/>
      <c r="DJ66" s="20"/>
      <c r="DK66" s="20"/>
      <c r="DL66" s="20"/>
      <c r="DM66" s="20"/>
      <c r="DN66" s="20"/>
      <c r="DO66" s="20"/>
      <c r="DP66" s="20"/>
      <c r="DQ66" s="20"/>
      <c r="DR66" s="20"/>
      <c r="DS66" s="20"/>
      <c r="DT66" s="20"/>
      <c r="DU66" s="20"/>
      <c r="DV66" s="20"/>
      <c r="DW66" s="20"/>
      <c r="DX66" s="20"/>
      <c r="DY66" s="20"/>
      <c r="DZ66" s="20"/>
      <c r="EA66" s="20"/>
      <c r="EB66" s="26" t="s">
        <v>519</v>
      </c>
      <c r="EC66" s="20">
        <v>0</v>
      </c>
      <c r="ED66" s="20">
        <v>0</v>
      </c>
      <c r="EE66" s="20">
        <v>0</v>
      </c>
      <c r="EF66" s="20">
        <v>0</v>
      </c>
      <c r="EG66" s="20">
        <v>2</v>
      </c>
      <c r="EH66" s="20">
        <v>6</v>
      </c>
      <c r="EI66" s="20">
        <v>0</v>
      </c>
      <c r="EJ66" s="20">
        <v>4</v>
      </c>
      <c r="EK66" s="20">
        <v>8</v>
      </c>
      <c r="EL66" s="20">
        <v>0</v>
      </c>
      <c r="EM66" s="20">
        <v>4</v>
      </c>
      <c r="EN66" s="20">
        <v>6</v>
      </c>
      <c r="EO66" s="20">
        <v>14</v>
      </c>
      <c r="EP66" s="20">
        <v>2</v>
      </c>
      <c r="EQ66" s="20">
        <v>8</v>
      </c>
      <c r="ER66" s="20">
        <v>12</v>
      </c>
      <c r="ES66" s="20">
        <v>4</v>
      </c>
      <c r="ET66" s="20">
        <v>12</v>
      </c>
      <c r="EU66" s="20">
        <v>0</v>
      </c>
      <c r="EV66" s="20">
        <v>18</v>
      </c>
      <c r="EW66" s="20">
        <v>22</v>
      </c>
      <c r="EX66" s="20">
        <v>14</v>
      </c>
      <c r="EY66" s="20">
        <v>8</v>
      </c>
      <c r="EZ66" s="20">
        <v>8</v>
      </c>
      <c r="FA66" s="20">
        <v>28</v>
      </c>
      <c r="FB66" s="20">
        <v>4</v>
      </c>
      <c r="FC66" s="20">
        <v>22</v>
      </c>
      <c r="FD66" s="20">
        <v>0</v>
      </c>
      <c r="FE66" s="20">
        <v>18</v>
      </c>
      <c r="FF66" s="20">
        <v>22</v>
      </c>
      <c r="FG66" s="20">
        <v>12</v>
      </c>
      <c r="FH66" s="20">
        <v>32</v>
      </c>
      <c r="FI66" s="20">
        <v>0</v>
      </c>
      <c r="FJ66" s="20">
        <v>12</v>
      </c>
      <c r="FK66" s="20">
        <v>2</v>
      </c>
      <c r="FL66" s="20">
        <v>22</v>
      </c>
      <c r="FM66" s="20">
        <v>0</v>
      </c>
      <c r="FN66" s="20">
        <v>2</v>
      </c>
      <c r="FO66" s="20">
        <v>0</v>
      </c>
      <c r="FP66" s="20">
        <v>12</v>
      </c>
      <c r="FQ66" s="20">
        <v>32</v>
      </c>
      <c r="FR66" s="20">
        <v>8</v>
      </c>
      <c r="FS66" s="20">
        <v>4</v>
      </c>
      <c r="FT66" s="20">
        <v>2</v>
      </c>
      <c r="FU66" s="20">
        <v>22</v>
      </c>
      <c r="FV66" s="20">
        <v>0</v>
      </c>
      <c r="FW66" s="20">
        <v>16</v>
      </c>
      <c r="FX66" s="20">
        <v>0</v>
      </c>
      <c r="FY66" s="20">
        <v>12</v>
      </c>
      <c r="FZ66" s="20">
        <v>16</v>
      </c>
      <c r="GA66" s="20">
        <v>6</v>
      </c>
      <c r="GC66" s="20"/>
      <c r="GD66" s="20"/>
      <c r="GE66" s="26" t="s">
        <v>519</v>
      </c>
      <c r="GF66" s="20">
        <v>0</v>
      </c>
      <c r="GG66" s="20">
        <v>0</v>
      </c>
      <c r="GH66" s="20">
        <v>0</v>
      </c>
      <c r="GI66" s="20">
        <v>4</v>
      </c>
      <c r="GJ66" s="20">
        <v>4</v>
      </c>
      <c r="GK66" s="20">
        <v>4</v>
      </c>
      <c r="GL66" s="20">
        <v>8</v>
      </c>
      <c r="GM66" s="20">
        <v>8</v>
      </c>
      <c r="GN66" s="20">
        <v>8</v>
      </c>
      <c r="GO66" s="20">
        <v>0</v>
      </c>
      <c r="GP66" s="20">
        <v>0</v>
      </c>
      <c r="GQ66" s="20">
        <v>2</v>
      </c>
      <c r="GR66" s="20">
        <v>2</v>
      </c>
      <c r="GS66" s="20">
        <v>4</v>
      </c>
      <c r="GT66" s="20">
        <v>6</v>
      </c>
      <c r="GU66" s="20">
        <v>6</v>
      </c>
      <c r="GV66" s="20">
        <v>8</v>
      </c>
      <c r="GW66" s="20">
        <v>10</v>
      </c>
      <c r="GX66" s="20">
        <v>10</v>
      </c>
      <c r="GY66" s="20">
        <v>0</v>
      </c>
      <c r="GZ66" s="20">
        <v>14</v>
      </c>
      <c r="HA66" s="20">
        <v>14</v>
      </c>
      <c r="HB66" s="20">
        <v>2</v>
      </c>
      <c r="HC66" s="20">
        <v>18</v>
      </c>
      <c r="HD66" s="20">
        <v>20</v>
      </c>
      <c r="HE66" s="20">
        <v>8</v>
      </c>
      <c r="HF66" s="20">
        <v>8</v>
      </c>
      <c r="HG66" s="20">
        <v>2</v>
      </c>
      <c r="HH66" s="20">
        <v>12</v>
      </c>
      <c r="HI66" s="20">
        <v>28</v>
      </c>
      <c r="HJ66" s="20">
        <v>0</v>
      </c>
      <c r="HK66" s="20">
        <v>16</v>
      </c>
      <c r="HL66" s="20">
        <v>8</v>
      </c>
      <c r="HM66" s="20">
        <v>4</v>
      </c>
      <c r="HN66" s="20">
        <v>20</v>
      </c>
      <c r="HO66" s="20">
        <v>0</v>
      </c>
      <c r="HP66" s="20">
        <v>8</v>
      </c>
      <c r="HQ66" s="20">
        <v>2</v>
      </c>
      <c r="HR66" s="20">
        <v>0</v>
      </c>
      <c r="HS66" s="20">
        <v>12</v>
      </c>
      <c r="HT66" s="20">
        <v>14</v>
      </c>
      <c r="HU66" s="20">
        <v>2</v>
      </c>
      <c r="HV66" s="20">
        <v>2</v>
      </c>
      <c r="HW66" s="20">
        <v>0</v>
      </c>
      <c r="HX66" s="20">
        <v>6</v>
      </c>
      <c r="HY66" s="20">
        <v>22</v>
      </c>
      <c r="HZ66" s="20">
        <v>22</v>
      </c>
      <c r="IA66" s="20">
        <v>10</v>
      </c>
      <c r="IB66" s="20">
        <v>26</v>
      </c>
      <c r="IC66" s="20">
        <v>0</v>
      </c>
      <c r="ID66" s="20">
        <v>14</v>
      </c>
      <c r="IF66" s="21" t="s">
        <v>519</v>
      </c>
      <c r="IG66" s="21">
        <v>0</v>
      </c>
      <c r="IH66" s="21">
        <v>2</v>
      </c>
      <c r="II66" s="21">
        <v>2</v>
      </c>
      <c r="IJ66" s="21">
        <v>0</v>
      </c>
      <c r="IK66" s="21">
        <v>4</v>
      </c>
      <c r="IL66" s="21">
        <v>6</v>
      </c>
      <c r="IM66" s="21">
        <v>0</v>
      </c>
      <c r="IN66" s="21">
        <v>10</v>
      </c>
      <c r="IO66" s="21">
        <v>4</v>
      </c>
      <c r="IP66" s="21">
        <v>2</v>
      </c>
      <c r="IQ66" s="21">
        <v>12</v>
      </c>
      <c r="IR66" s="21">
        <v>6</v>
      </c>
      <c r="IS66" s="21">
        <v>4</v>
      </c>
      <c r="IT66" s="21">
        <v>0</v>
      </c>
      <c r="IU66" s="21">
        <v>8</v>
      </c>
      <c r="IV66" s="21">
        <v>4</v>
      </c>
      <c r="IW66" s="21">
        <v>14</v>
      </c>
      <c r="IX66" s="21">
        <v>0</v>
      </c>
      <c r="IY66" s="21">
        <v>6</v>
      </c>
      <c r="IZ66" s="21">
        <v>0</v>
      </c>
      <c r="JA66" s="21">
        <v>10</v>
      </c>
      <c r="JB66" s="21">
        <v>20</v>
      </c>
      <c r="JC66" s="21">
        <v>2</v>
      </c>
      <c r="JD66" s="21">
        <v>12</v>
      </c>
      <c r="JE66" s="21">
        <v>6</v>
      </c>
      <c r="JF66" s="21">
        <v>32</v>
      </c>
      <c r="JI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67,$JT$2:$KS$2,0),MATCH($W$46,$AH$22:$AH$47,0)))*C67</f>
        <v>0</v>
      </c>
      <c r="JJ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67,$JT$2:$KS$2,0),MATCH($W$46,$AH$22:$AH$47,0)))*C67</f>
        <v>0</v>
      </c>
      <c r="JK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67,$JT$2:$KS$2,0),MATCH($W$46,$AH$22:$AH$47,0)))*C67</f>
        <v>0</v>
      </c>
      <c r="JL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67,$JT$2:$KS$2,0),MATCH($W$46,$AH$22:$AH$47,0)))*C67</f>
        <v>0</v>
      </c>
      <c r="JM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67,$JT$2:$KS$2,0),MATCH($W$46,$AH$22:$AH$47,0)))*C67</f>
        <v>0</v>
      </c>
      <c r="JN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67,$JT$2:$KS$2,0),MATCH($W$46,$AH$22:$AH$47,0)))*C67</f>
        <v>0</v>
      </c>
      <c r="JO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67,$JT$2:$KS$2,0),MATCH($W$46,$AH$22:$AH$47,0)))*C67</f>
        <v>0</v>
      </c>
      <c r="JP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67,$JT$2:$KS$2,0),MATCH($W$46,$AH$22:$AH$47,0)))*C67</f>
        <v>0</v>
      </c>
      <c r="JQ6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67,$JT$2:$KS$2,0),MATCH($W$46,$AH$22:$AH$47,0)))*C67</f>
        <v>0</v>
      </c>
      <c r="JS66" s="20" t="s">
        <v>126</v>
      </c>
      <c r="JT66" s="20">
        <v>0</v>
      </c>
      <c r="JU66" s="20">
        <v>0</v>
      </c>
      <c r="JV66" s="20">
        <v>0</v>
      </c>
      <c r="JW66" s="20">
        <v>0</v>
      </c>
      <c r="JX66" s="20">
        <v>0</v>
      </c>
      <c r="JY66" s="20">
        <v>0</v>
      </c>
      <c r="JZ66" s="20">
        <v>0</v>
      </c>
      <c r="KA66" s="20">
        <v>2</v>
      </c>
      <c r="KB66" s="20">
        <v>0</v>
      </c>
      <c r="KC66" s="20">
        <v>0</v>
      </c>
      <c r="KD66" s="20">
        <v>0</v>
      </c>
      <c r="KE66" s="20">
        <v>0</v>
      </c>
      <c r="KF66" s="20">
        <v>0</v>
      </c>
      <c r="KG66" s="20">
        <v>0</v>
      </c>
      <c r="KH66" s="20">
        <v>0</v>
      </c>
      <c r="KI66" s="20">
        <v>0</v>
      </c>
      <c r="KJ66" s="20">
        <v>0</v>
      </c>
      <c r="KK66" s="20">
        <v>0</v>
      </c>
      <c r="KL66" s="20">
        <v>0</v>
      </c>
      <c r="KM66" s="20">
        <v>0</v>
      </c>
      <c r="KN66" s="20">
        <v>0</v>
      </c>
      <c r="KO66" s="20">
        <v>0</v>
      </c>
      <c r="KP66" s="20">
        <v>0</v>
      </c>
      <c r="KQ66" s="20">
        <v>0</v>
      </c>
      <c r="KR66" s="20">
        <v>0</v>
      </c>
      <c r="KS66" s="20">
        <v>0</v>
      </c>
      <c r="KU66" s="20" t="s">
        <v>126</v>
      </c>
      <c r="KV66" s="20">
        <v>0</v>
      </c>
      <c r="KW66" s="20">
        <v>0</v>
      </c>
      <c r="KX66" s="20">
        <v>0</v>
      </c>
      <c r="KY66" s="20">
        <v>0</v>
      </c>
      <c r="KZ66" s="20">
        <v>0</v>
      </c>
      <c r="LA66" s="20">
        <v>0</v>
      </c>
      <c r="LB66" s="20">
        <v>0</v>
      </c>
      <c r="LC66" s="20">
        <v>0</v>
      </c>
      <c r="LD66" s="20">
        <v>0</v>
      </c>
      <c r="LE66" s="20">
        <v>0</v>
      </c>
      <c r="LF66" s="20">
        <v>0</v>
      </c>
      <c r="LG66" s="20">
        <v>0</v>
      </c>
      <c r="LH66" s="20">
        <v>0</v>
      </c>
      <c r="LI66" s="20">
        <v>0</v>
      </c>
      <c r="LJ66" s="20">
        <v>0</v>
      </c>
      <c r="LK66" s="20">
        <v>0</v>
      </c>
      <c r="LL66" s="20">
        <v>0</v>
      </c>
      <c r="LM66" s="20">
        <v>0</v>
      </c>
      <c r="LN66" s="20">
        <v>0</v>
      </c>
      <c r="LO66" s="20">
        <v>0</v>
      </c>
      <c r="LP66" s="20">
        <v>0</v>
      </c>
      <c r="LQ66" s="20">
        <v>0</v>
      </c>
      <c r="LR66" s="20">
        <v>0</v>
      </c>
      <c r="LS66" s="20">
        <v>0</v>
      </c>
      <c r="LT66" s="20">
        <v>0</v>
      </c>
      <c r="LU66" s="20">
        <v>0</v>
      </c>
      <c r="LW66" s="20" t="s">
        <v>126</v>
      </c>
      <c r="LX66" s="20">
        <v>0</v>
      </c>
      <c r="LY66" s="20">
        <v>0</v>
      </c>
      <c r="LZ66" s="20">
        <v>0</v>
      </c>
      <c r="MA66" s="20">
        <v>0</v>
      </c>
      <c r="MB66" s="20">
        <v>0</v>
      </c>
      <c r="MC66" s="20">
        <v>0</v>
      </c>
      <c r="MD66" s="20">
        <v>0</v>
      </c>
      <c r="ME66" s="20">
        <v>0</v>
      </c>
      <c r="MF66" s="20">
        <v>0</v>
      </c>
      <c r="MG66" s="20">
        <v>0</v>
      </c>
      <c r="MH66" s="20">
        <v>0</v>
      </c>
      <c r="MI66" s="20">
        <v>0</v>
      </c>
      <c r="MJ66" s="20">
        <v>0</v>
      </c>
      <c r="MK66" s="20">
        <v>0</v>
      </c>
      <c r="ML66" s="20">
        <v>0</v>
      </c>
      <c r="MM66" s="20">
        <v>0</v>
      </c>
      <c r="MN66" s="20">
        <v>0</v>
      </c>
      <c r="MO66" s="20">
        <v>0</v>
      </c>
      <c r="MP66" s="20">
        <v>0</v>
      </c>
      <c r="MQ66" s="20">
        <v>0</v>
      </c>
      <c r="MR66" s="20">
        <v>0</v>
      </c>
      <c r="MS66" s="20">
        <v>0</v>
      </c>
      <c r="MT66" s="20">
        <v>0</v>
      </c>
      <c r="MU66" s="20">
        <v>0</v>
      </c>
      <c r="MV66" s="20">
        <v>0</v>
      </c>
      <c r="MW66" s="20">
        <v>0</v>
      </c>
      <c r="MY66" s="21" t="s">
        <v>126</v>
      </c>
      <c r="MZ66" s="21">
        <v>0</v>
      </c>
      <c r="NA66" s="21">
        <v>0</v>
      </c>
      <c r="NB66" s="21">
        <v>0</v>
      </c>
      <c r="NC66" s="21">
        <v>0</v>
      </c>
      <c r="ND66" s="21">
        <v>0</v>
      </c>
      <c r="NE66" s="21">
        <v>0</v>
      </c>
      <c r="NF66" s="21">
        <v>0</v>
      </c>
      <c r="NG66" s="21">
        <v>0</v>
      </c>
      <c r="NH66" s="21">
        <v>0</v>
      </c>
      <c r="NI66" s="21">
        <v>0</v>
      </c>
      <c r="NJ66" s="21">
        <v>0</v>
      </c>
      <c r="NK66" s="21">
        <v>0</v>
      </c>
      <c r="NL66" s="21">
        <v>0</v>
      </c>
      <c r="NM66" s="21">
        <v>0</v>
      </c>
      <c r="NN66" s="21">
        <v>0</v>
      </c>
      <c r="NO66" s="21">
        <v>0</v>
      </c>
      <c r="NP66" s="21">
        <v>0</v>
      </c>
      <c r="NQ66" s="21">
        <v>0</v>
      </c>
      <c r="NR66" s="21">
        <v>0</v>
      </c>
      <c r="NS66" s="21">
        <v>0</v>
      </c>
      <c r="NT66" s="21">
        <v>0</v>
      </c>
      <c r="NU66" s="21">
        <v>0</v>
      </c>
      <c r="NV66" s="21">
        <v>0</v>
      </c>
      <c r="NW66" s="21">
        <v>0</v>
      </c>
      <c r="NX66" s="21">
        <v>0</v>
      </c>
      <c r="NY66" s="21">
        <v>0</v>
      </c>
    </row>
    <row r="67" spans="1:389" x14ac:dyDescent="0.25">
      <c r="A67" s="8"/>
      <c r="B67" s="5" t="s">
        <v>116</v>
      </c>
      <c r="C67" s="8"/>
      <c r="D67" s="4"/>
      <c r="E67" s="4"/>
      <c r="F67" s="4"/>
      <c r="G67" s="4"/>
      <c r="H67" s="4"/>
      <c r="I67" s="4"/>
      <c r="J67" s="4"/>
      <c r="K67" s="4"/>
      <c r="L67" s="6" t="str">
        <f>IF(E57=$AC$1,INDEX(($AN$28:$AO$37,$AN$42:$AO$51,$AN$56:$AO$65),MATCH(I54,$AM$28:$AM$37,0),MATCH(E58,$AN$27:$AO$27,0),MATCH(E61,$AK$22:$AK$24,0)),IF(E57=$AC$2,INDEX(($AT$28:$AU$37,$AT$42:$AU$51,$AT$56:$AU$65),MATCH(I54,$AS$28:$AS$37,0),MATCH(E58,$AT$27:$AU$27,0),MATCH(E61,$AK$22:$AK$24,0)),0))</f>
        <v>BUF30L</v>
      </c>
      <c r="M67" s="14">
        <f>INDEX(cennik!$C$2:$L$529,MATCH($L67,cennik!$B$2:$B$522,0),MATCH(M$27,cennik!$C$1:$L$1,0))</f>
        <v>8973302</v>
      </c>
      <c r="N67" s="14" t="str">
        <f>INDEX(cennik!$C$2:$L$529,MATCH($L67,cennik!$B$2:$B$522,0),MATCH(N$27,cennik!$C$1:$L$1,0))</f>
        <v>szt.</v>
      </c>
      <c r="O67" s="14">
        <f>SUM(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IF(A64=0,0,IF((A64&gt;0),C64*4)),IF(A65=0,0,IF((A65&gt;0),C65*4)),IF(A66=0,0,IF((A66&gt;0),C66*4)),IF(A67=0,0,IF((A67&gt;0),C67*4)),,IF(A68=0,0,IF((A68&gt;0),C68*4)))</f>
        <v>0</v>
      </c>
      <c r="P67" s="22">
        <f>INDEX(cennik!$C$2:$L$529,MATCH($L67,cennik!$B$2:$B$522,0),MATCH(P$27,cennik!$C$1:$L$1,0))</f>
        <v>3.58</v>
      </c>
      <c r="Q67" s="22">
        <f t="shared" si="68"/>
        <v>0</v>
      </c>
      <c r="R67" s="23">
        <f t="shared" si="64"/>
        <v>0</v>
      </c>
      <c r="S67" s="22">
        <f t="shared" si="65"/>
        <v>3.58</v>
      </c>
      <c r="T67" s="22">
        <f t="shared" si="69"/>
        <v>0</v>
      </c>
      <c r="U67" s="22">
        <f>INDEX(cennik!$C$2:$L$529,MATCH($L67,cennik!$B$2:$B$522,0),MATCH(U$27,cennik!$C$1:$L$1,0))*O67</f>
        <v>0</v>
      </c>
      <c r="V67" s="20"/>
      <c r="W67" s="20"/>
      <c r="X67" s="25">
        <f t="shared" si="72"/>
        <v>0</v>
      </c>
      <c r="Y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79,$BB$2:$CA$2,0),MATCH($W$65,$AH$22:$AH$47,0)))*C79</f>
        <v>0</v>
      </c>
      <c r="Z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79,$BB$2:$CA$2,0),MATCH($W$65,$AH$22:$AH$47,0)))*C79</f>
        <v>0</v>
      </c>
      <c r="AA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79,$BB$2:$CA$2,0),MATCH($W$65,$AH$22:$AH$47,0)))*C79</f>
        <v>0</v>
      </c>
      <c r="AB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79,$BB$2:$CA$2,0),MATCH($W$65,$AH$22:$AH$47,0)))*C79</f>
        <v>0</v>
      </c>
      <c r="AC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79,$BB$2:$CA$2,0),MATCH($W$65,$AH$22:$AH$47,0)))*C79</f>
        <v>0</v>
      </c>
      <c r="AD6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79,$BB$2:$CA$2,0),MATCH($W$65,$AH$22:$AH$47,0)))*C79</f>
        <v>0</v>
      </c>
      <c r="AE67" s="20"/>
      <c r="AF67" s="20"/>
      <c r="AG67" s="20"/>
      <c r="AH67" s="20"/>
      <c r="AI67" s="20"/>
      <c r="AJ67" s="20"/>
      <c r="AK67" s="20"/>
      <c r="AL67" s="20">
        <f t="shared" si="73"/>
        <v>0</v>
      </c>
      <c r="AM67" s="20"/>
      <c r="AN67" s="20"/>
      <c r="AO67" s="20"/>
      <c r="AP67" s="20"/>
      <c r="AQ67" s="20"/>
      <c r="AR67" s="20"/>
      <c r="AS67" s="20"/>
      <c r="AT67" s="20"/>
      <c r="AU67" s="20"/>
      <c r="AV67" s="20"/>
      <c r="AW67" s="20"/>
      <c r="AX67" s="20"/>
      <c r="AY67" s="20"/>
      <c r="AZ67" s="20"/>
      <c r="BA67" s="26" t="s">
        <v>520</v>
      </c>
      <c r="BB67" s="20">
        <v>0</v>
      </c>
      <c r="BC67" s="20">
        <v>0</v>
      </c>
      <c r="BD67" s="20">
        <v>0</v>
      </c>
      <c r="BE67" s="20">
        <v>0</v>
      </c>
      <c r="BF67" s="20">
        <v>0</v>
      </c>
      <c r="BG67" s="20">
        <v>0</v>
      </c>
      <c r="BH67" s="20">
        <v>0</v>
      </c>
      <c r="BI67" s="20">
        <v>0</v>
      </c>
      <c r="BJ67" s="20">
        <v>0</v>
      </c>
      <c r="BK67" s="20">
        <v>0</v>
      </c>
      <c r="BL67" s="20">
        <v>4</v>
      </c>
      <c r="BM67" s="20">
        <v>6</v>
      </c>
      <c r="BN67" s="20">
        <v>6</v>
      </c>
      <c r="BO67" s="20">
        <v>8</v>
      </c>
      <c r="BP67" s="20">
        <v>10</v>
      </c>
      <c r="BQ67" s="20">
        <v>10</v>
      </c>
      <c r="BR67" s="20">
        <v>0</v>
      </c>
      <c r="BS67" s="20">
        <v>0</v>
      </c>
      <c r="BT67" s="20">
        <v>4</v>
      </c>
      <c r="BU67" s="20">
        <v>6</v>
      </c>
      <c r="BV67" s="20">
        <v>6</v>
      </c>
      <c r="BW67" s="20">
        <v>8</v>
      </c>
      <c r="BX67" s="20">
        <v>8</v>
      </c>
      <c r="BY67" s="20">
        <v>10</v>
      </c>
      <c r="BZ67" s="20">
        <v>0</v>
      </c>
      <c r="CA67" s="20">
        <v>16</v>
      </c>
      <c r="CB67" s="20">
        <v>4</v>
      </c>
      <c r="CC67" s="20">
        <v>6</v>
      </c>
      <c r="CD67" s="20">
        <v>20</v>
      </c>
      <c r="CE67" s="20">
        <v>8</v>
      </c>
      <c r="CF67" s="20">
        <v>10</v>
      </c>
      <c r="CG67" s="20">
        <v>10</v>
      </c>
      <c r="CH67" s="20">
        <v>0</v>
      </c>
      <c r="CI67" s="20">
        <v>16</v>
      </c>
      <c r="CJ67" s="20">
        <v>4</v>
      </c>
      <c r="CK67" s="20">
        <v>6</v>
      </c>
      <c r="CL67" s="20">
        <v>22</v>
      </c>
      <c r="CM67" s="20">
        <v>18</v>
      </c>
      <c r="CN67" s="20">
        <v>24</v>
      </c>
      <c r="CO67" s="20">
        <v>26</v>
      </c>
      <c r="CP67" s="20">
        <v>0</v>
      </c>
      <c r="CQ67" s="20">
        <v>16</v>
      </c>
      <c r="CR67" s="20">
        <v>30</v>
      </c>
      <c r="CS67" s="20">
        <v>6</v>
      </c>
      <c r="CT67" s="20">
        <v>22</v>
      </c>
      <c r="CU67" s="20">
        <v>32</v>
      </c>
      <c r="CV67" s="20">
        <v>24</v>
      </c>
      <c r="CW67" s="20">
        <v>26</v>
      </c>
      <c r="CX67" s="20">
        <v>0</v>
      </c>
      <c r="CY67" s="20">
        <v>16</v>
      </c>
      <c r="CZ67" s="20">
        <v>32</v>
      </c>
      <c r="DA67" s="54"/>
      <c r="DB67" s="54">
        <v>45</v>
      </c>
      <c r="DC67" s="54"/>
      <c r="DD67" s="20" t="s">
        <v>132</v>
      </c>
      <c r="DE67" s="20">
        <v>0</v>
      </c>
      <c r="DF67" s="20">
        <v>1</v>
      </c>
      <c r="DG67" s="20">
        <v>2</v>
      </c>
      <c r="DH67" s="20">
        <v>3</v>
      </c>
      <c r="DI67" s="20">
        <v>4</v>
      </c>
      <c r="DJ67" s="20">
        <v>5</v>
      </c>
      <c r="DK67" s="20">
        <v>6</v>
      </c>
      <c r="DL67" s="20">
        <v>7</v>
      </c>
      <c r="DM67" s="20">
        <v>8</v>
      </c>
      <c r="DN67" s="20">
        <v>9</v>
      </c>
      <c r="DO67" s="20">
        <v>10</v>
      </c>
      <c r="DP67" s="20">
        <v>11</v>
      </c>
      <c r="DQ67" s="20">
        <v>12</v>
      </c>
      <c r="DR67" s="20">
        <v>13</v>
      </c>
      <c r="DS67" s="20">
        <v>14</v>
      </c>
      <c r="DT67" s="20">
        <v>15</v>
      </c>
      <c r="DU67" s="20">
        <v>16</v>
      </c>
      <c r="DV67" s="20">
        <v>17</v>
      </c>
      <c r="DW67" s="20">
        <v>18</v>
      </c>
      <c r="DX67" s="20">
        <v>19</v>
      </c>
      <c r="DY67" s="20">
        <v>20</v>
      </c>
      <c r="DZ67" s="20"/>
      <c r="EA67" s="20"/>
      <c r="EB67" s="26" t="s">
        <v>520</v>
      </c>
      <c r="EC67" s="20">
        <v>0</v>
      </c>
      <c r="ED67" s="20">
        <v>0</v>
      </c>
      <c r="EE67" s="20">
        <v>0</v>
      </c>
      <c r="EF67" s="20">
        <v>0</v>
      </c>
      <c r="EG67" s="20">
        <v>0</v>
      </c>
      <c r="EH67" s="20">
        <v>0</v>
      </c>
      <c r="EI67" s="20">
        <v>4</v>
      </c>
      <c r="EJ67" s="20">
        <v>4</v>
      </c>
      <c r="EK67" s="20">
        <v>0</v>
      </c>
      <c r="EL67" s="20">
        <v>10</v>
      </c>
      <c r="EM67" s="20">
        <v>6</v>
      </c>
      <c r="EN67" s="20">
        <v>4</v>
      </c>
      <c r="EO67" s="20">
        <v>0</v>
      </c>
      <c r="EP67" s="20">
        <v>10</v>
      </c>
      <c r="EQ67" s="20">
        <v>8</v>
      </c>
      <c r="ER67" s="20">
        <v>4</v>
      </c>
      <c r="ES67" s="20">
        <v>14</v>
      </c>
      <c r="ET67" s="20">
        <v>6</v>
      </c>
      <c r="EU67" s="20">
        <v>20</v>
      </c>
      <c r="EV67" s="20">
        <v>4</v>
      </c>
      <c r="EW67" s="20">
        <v>0</v>
      </c>
      <c r="EX67" s="20">
        <v>10</v>
      </c>
      <c r="EY67" s="20">
        <v>14</v>
      </c>
      <c r="EZ67" s="20">
        <v>18</v>
      </c>
      <c r="FA67" s="20">
        <v>0</v>
      </c>
      <c r="FB67" s="20">
        <v>24</v>
      </c>
      <c r="FC67" s="20">
        <v>8</v>
      </c>
      <c r="FD67" s="20">
        <v>30</v>
      </c>
      <c r="FE67" s="20">
        <v>14</v>
      </c>
      <c r="FF67" s="20">
        <v>10</v>
      </c>
      <c r="FG67" s="20">
        <v>22</v>
      </c>
      <c r="FH67" s="20">
        <v>4</v>
      </c>
      <c r="FI67" s="20">
        <v>34</v>
      </c>
      <c r="FJ67" s="20">
        <v>24</v>
      </c>
      <c r="FK67" s="20">
        <v>36</v>
      </c>
      <c r="FL67" s="20">
        <v>18</v>
      </c>
      <c r="FM67" s="20">
        <v>40</v>
      </c>
      <c r="FN67" s="20">
        <v>38</v>
      </c>
      <c r="FO67" s="20">
        <v>42</v>
      </c>
      <c r="FP67" s="20">
        <v>32</v>
      </c>
      <c r="FQ67" s="20">
        <v>14</v>
      </c>
      <c r="FR67" s="20">
        <v>38</v>
      </c>
      <c r="FS67" s="20">
        <v>40</v>
      </c>
      <c r="FT67" s="20">
        <v>46</v>
      </c>
      <c r="FU67" s="20">
        <v>28</v>
      </c>
      <c r="FV67" s="20">
        <v>50</v>
      </c>
      <c r="FW67" s="20">
        <v>36</v>
      </c>
      <c r="FX67" s="20">
        <v>52</v>
      </c>
      <c r="FY67" s="20">
        <v>42</v>
      </c>
      <c r="FZ67" s="20">
        <v>38</v>
      </c>
      <c r="GA67" s="20">
        <v>50</v>
      </c>
      <c r="GC67" s="20"/>
      <c r="GD67" s="20"/>
      <c r="GE67" s="26" t="s">
        <v>520</v>
      </c>
      <c r="GF67" s="20">
        <v>0</v>
      </c>
      <c r="GG67" s="20">
        <v>0</v>
      </c>
      <c r="GH67" s="20">
        <v>0</v>
      </c>
      <c r="GI67" s="20">
        <v>0</v>
      </c>
      <c r="GJ67" s="20">
        <v>0</v>
      </c>
      <c r="GK67" s="20">
        <v>0</v>
      </c>
      <c r="GL67" s="20">
        <v>0</v>
      </c>
      <c r="GM67" s="20">
        <v>0</v>
      </c>
      <c r="GN67" s="20">
        <v>0</v>
      </c>
      <c r="GO67" s="20">
        <v>10</v>
      </c>
      <c r="GP67" s="20">
        <v>10</v>
      </c>
      <c r="GQ67" s="20">
        <v>12</v>
      </c>
      <c r="GR67" s="20">
        <v>12</v>
      </c>
      <c r="GS67" s="20">
        <v>10</v>
      </c>
      <c r="GT67" s="20">
        <v>12</v>
      </c>
      <c r="GU67" s="20">
        <v>12</v>
      </c>
      <c r="GV67" s="20">
        <v>10</v>
      </c>
      <c r="GW67" s="20">
        <v>12</v>
      </c>
      <c r="GX67" s="20">
        <v>12</v>
      </c>
      <c r="GY67" s="20">
        <v>24</v>
      </c>
      <c r="GZ67" s="20">
        <v>12</v>
      </c>
      <c r="HA67" s="20">
        <v>12</v>
      </c>
      <c r="HB67" s="20">
        <v>26</v>
      </c>
      <c r="HC67" s="20">
        <v>12</v>
      </c>
      <c r="HD67" s="20">
        <v>10</v>
      </c>
      <c r="HE67" s="20">
        <v>24</v>
      </c>
      <c r="HF67" s="20">
        <v>24</v>
      </c>
      <c r="HG67" s="20">
        <v>32</v>
      </c>
      <c r="HH67" s="20">
        <v>24</v>
      </c>
      <c r="HI67" s="20">
        <v>10</v>
      </c>
      <c r="HJ67" s="20">
        <v>38</v>
      </c>
      <c r="HK67" s="20">
        <v>24</v>
      </c>
      <c r="HL67" s="20">
        <v>30</v>
      </c>
      <c r="HM67" s="20">
        <v>38</v>
      </c>
      <c r="HN67" s="20">
        <v>24</v>
      </c>
      <c r="HO67" s="20">
        <v>44</v>
      </c>
      <c r="HP67" s="20">
        <v>38</v>
      </c>
      <c r="HQ67" s="20">
        <v>42</v>
      </c>
      <c r="HR67" s="20">
        <v>48</v>
      </c>
      <c r="HS67" s="20">
        <v>38</v>
      </c>
      <c r="HT67" s="20">
        <v>36</v>
      </c>
      <c r="HU67" s="20">
        <v>50</v>
      </c>
      <c r="HV67" s="20">
        <v>50</v>
      </c>
      <c r="HW67" s="20">
        <v>54</v>
      </c>
      <c r="HX67" s="20">
        <v>50</v>
      </c>
      <c r="HY67" s="20">
        <v>36</v>
      </c>
      <c r="HZ67" s="20">
        <v>36</v>
      </c>
      <c r="IA67" s="20">
        <v>50</v>
      </c>
      <c r="IB67" s="20">
        <v>36</v>
      </c>
      <c r="IC67" s="20">
        <v>62</v>
      </c>
      <c r="ID67" s="20">
        <v>50</v>
      </c>
      <c r="IF67" s="21" t="s">
        <v>520</v>
      </c>
      <c r="IG67" s="21">
        <v>0</v>
      </c>
      <c r="IH67" s="21">
        <v>0</v>
      </c>
      <c r="II67" s="21">
        <v>0</v>
      </c>
      <c r="IJ67" s="21">
        <v>2</v>
      </c>
      <c r="IK67" s="21">
        <v>0</v>
      </c>
      <c r="IL67" s="21">
        <v>2</v>
      </c>
      <c r="IM67" s="21">
        <v>8</v>
      </c>
      <c r="IN67" s="21">
        <v>0</v>
      </c>
      <c r="IO67" s="21">
        <v>6</v>
      </c>
      <c r="IP67" s="21">
        <v>12</v>
      </c>
      <c r="IQ67" s="21">
        <v>4</v>
      </c>
      <c r="IR67" s="21">
        <v>10</v>
      </c>
      <c r="IS67" s="21">
        <v>12</v>
      </c>
      <c r="IT67" s="21">
        <v>20</v>
      </c>
      <c r="IU67" s="21">
        <v>14</v>
      </c>
      <c r="IV67" s="21">
        <v>18</v>
      </c>
      <c r="IW67" s="21">
        <v>10</v>
      </c>
      <c r="IX67" s="21">
        <v>26</v>
      </c>
      <c r="IY67" s="21">
        <v>22</v>
      </c>
      <c r="IZ67" s="21">
        <v>28</v>
      </c>
      <c r="JA67" s="21">
        <v>20</v>
      </c>
      <c r="JB67" s="21">
        <v>12</v>
      </c>
      <c r="JC67" s="21">
        <v>32</v>
      </c>
      <c r="JD67" s="21">
        <v>24</v>
      </c>
      <c r="JE67" s="21">
        <v>30</v>
      </c>
      <c r="JF67" s="21">
        <v>8</v>
      </c>
      <c r="JI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$62,$JS$3:$JS$20,0),MATCH(A68,$JT$2:$KS$2,0),MATCH($W$46,$AH$22:$AH$47,0)))*C68</f>
        <v>0</v>
      </c>
      <c r="JJ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$54,$JS$3:$JS$20,0),MATCH(A68,$JT$2:$KS$2,0),MATCH($W$46,$AH$22:$AH$47,0)))*C68</f>
        <v>0</v>
      </c>
      <c r="JK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$55,$JS$3:$JS$20,0),MATCH(A68,$JT$2:$KS$2,0),MATCH($W$46,$AH$22:$AH$47,0)))*C68</f>
        <v>0</v>
      </c>
      <c r="JL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$56,$JS$3:$JS$20,0),MATCH(A68,$JT$2:$KS$2,0),MATCH($W$46,$AH$22:$AH$47,0)))*C68</f>
        <v>0</v>
      </c>
      <c r="JM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$57,$JS$3:$JS$20,0),MATCH(A68,$JT$2:$KS$2,0),MATCH($W$46,$AH$22:$AH$47,0)))*C68</f>
        <v>0</v>
      </c>
      <c r="JN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$58,$JS$3:$JS$20,0),MATCH(A68,$JT$2:$KS$2,0),MATCH($W$46,$AH$22:$AH$47,0)))*C68</f>
        <v>0</v>
      </c>
      <c r="JO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$59,$JS$3:$JS$20,0),MATCH(A68,$JT$2:$KS$2,0),MATCH($W$46,$AH$22:$AH$47,0)))*C68</f>
        <v>0</v>
      </c>
      <c r="JP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$60,$JS$3:$JS$20,0),MATCH(A68,$JT$2:$KS$2,0),MATCH($W$46,$AH$22:$AH$47,0)))*C68</f>
        <v>0</v>
      </c>
      <c r="JQ6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$61,$JS$3:$JS$20,0),MATCH(A68,$JT$2:$KS$2,0),MATCH($W$46,$AH$22:$AH$47,0)))*C68</f>
        <v>0</v>
      </c>
      <c r="JS67" s="20" t="s">
        <v>12</v>
      </c>
      <c r="JT67" s="20">
        <v>0</v>
      </c>
      <c r="JU67" s="20">
        <v>2</v>
      </c>
      <c r="JV67" s="20">
        <v>0</v>
      </c>
      <c r="JW67" s="20">
        <v>0</v>
      </c>
      <c r="JX67" s="20">
        <v>0</v>
      </c>
      <c r="JY67" s="20">
        <v>0</v>
      </c>
      <c r="JZ67" s="20">
        <v>0</v>
      </c>
      <c r="KA67" s="20">
        <v>0</v>
      </c>
      <c r="KB67" s="20">
        <v>0</v>
      </c>
      <c r="KC67" s="20">
        <v>0</v>
      </c>
      <c r="KD67" s="20">
        <v>2</v>
      </c>
      <c r="KE67" s="20">
        <v>0</v>
      </c>
      <c r="KF67" s="20">
        <v>0</v>
      </c>
      <c r="KG67" s="20">
        <v>0</v>
      </c>
      <c r="KH67" s="20">
        <v>0</v>
      </c>
      <c r="KI67" s="20">
        <v>0</v>
      </c>
      <c r="KJ67" s="20">
        <v>2</v>
      </c>
      <c r="KK67" s="20">
        <v>0</v>
      </c>
      <c r="KL67" s="20">
        <v>0</v>
      </c>
      <c r="KM67" s="20">
        <v>2</v>
      </c>
      <c r="KN67" s="20">
        <v>2</v>
      </c>
      <c r="KO67" s="20">
        <v>0</v>
      </c>
      <c r="KP67" s="20">
        <v>4</v>
      </c>
      <c r="KQ67" s="20">
        <v>0</v>
      </c>
      <c r="KR67" s="20">
        <v>0</v>
      </c>
      <c r="KS67" s="20">
        <v>0</v>
      </c>
      <c r="KU67" s="20" t="s">
        <v>12</v>
      </c>
      <c r="KV67" s="20">
        <v>0</v>
      </c>
      <c r="KW67" s="20">
        <v>2</v>
      </c>
      <c r="KX67" s="20">
        <v>4</v>
      </c>
      <c r="KY67" s="20">
        <v>0</v>
      </c>
      <c r="KZ67" s="20">
        <v>4</v>
      </c>
      <c r="LA67" s="20">
        <v>2</v>
      </c>
      <c r="LB67" s="20">
        <v>0</v>
      </c>
      <c r="LC67" s="20">
        <v>2</v>
      </c>
      <c r="LD67" s="20">
        <v>4</v>
      </c>
      <c r="LE67" s="20">
        <v>0</v>
      </c>
      <c r="LF67" s="20">
        <v>2</v>
      </c>
      <c r="LG67" s="20">
        <v>0</v>
      </c>
      <c r="LH67" s="20">
        <v>4</v>
      </c>
      <c r="LI67" s="20">
        <v>0</v>
      </c>
      <c r="LJ67" s="20">
        <v>4</v>
      </c>
      <c r="LK67" s="20">
        <v>0</v>
      </c>
      <c r="LL67" s="20">
        <v>4</v>
      </c>
      <c r="LM67" s="20">
        <v>0</v>
      </c>
      <c r="LN67" s="20">
        <v>2</v>
      </c>
      <c r="LO67" s="20">
        <v>0</v>
      </c>
      <c r="LP67" s="20">
        <v>0</v>
      </c>
      <c r="LQ67" s="20">
        <v>0</v>
      </c>
      <c r="LR67" s="20">
        <v>0</v>
      </c>
      <c r="LS67" s="20">
        <v>0</v>
      </c>
      <c r="LT67" s="20">
        <v>2</v>
      </c>
      <c r="LU67" s="20">
        <v>0</v>
      </c>
      <c r="LW67" s="20" t="s">
        <v>12</v>
      </c>
      <c r="LX67" s="20">
        <v>0</v>
      </c>
      <c r="LY67" s="20">
        <v>0</v>
      </c>
      <c r="LZ67" s="20">
        <v>4</v>
      </c>
      <c r="MA67" s="20">
        <v>0</v>
      </c>
      <c r="MB67" s="20">
        <v>0</v>
      </c>
      <c r="MC67" s="20">
        <v>0</v>
      </c>
      <c r="MD67" s="20">
        <v>2</v>
      </c>
      <c r="ME67" s="20">
        <v>4</v>
      </c>
      <c r="MF67" s="20">
        <v>0</v>
      </c>
      <c r="MG67" s="20">
        <v>0</v>
      </c>
      <c r="MH67" s="20">
        <v>0</v>
      </c>
      <c r="MI67" s="20">
        <v>0</v>
      </c>
      <c r="MJ67" s="20">
        <v>0</v>
      </c>
      <c r="MK67" s="20">
        <v>0</v>
      </c>
      <c r="ML67" s="20">
        <v>0</v>
      </c>
      <c r="MM67" s="20">
        <v>0</v>
      </c>
      <c r="MN67" s="20">
        <v>0</v>
      </c>
      <c r="MO67" s="20">
        <v>0</v>
      </c>
      <c r="MP67" s="20">
        <v>0</v>
      </c>
      <c r="MQ67" s="20">
        <v>0</v>
      </c>
      <c r="MR67" s="20">
        <v>0</v>
      </c>
      <c r="MS67" s="20">
        <v>2</v>
      </c>
      <c r="MT67" s="20">
        <v>0</v>
      </c>
      <c r="MU67" s="20">
        <v>0</v>
      </c>
      <c r="MV67" s="20">
        <v>0</v>
      </c>
      <c r="MW67" s="20">
        <v>0</v>
      </c>
      <c r="MY67" s="21" t="s">
        <v>12</v>
      </c>
      <c r="MZ67" s="21">
        <v>0</v>
      </c>
      <c r="NA67" s="21">
        <v>0</v>
      </c>
      <c r="NB67" s="21">
        <v>2</v>
      </c>
      <c r="NC67" s="21">
        <v>0</v>
      </c>
      <c r="ND67" s="21">
        <v>0</v>
      </c>
      <c r="NE67" s="21">
        <v>0</v>
      </c>
      <c r="NF67" s="21">
        <v>2</v>
      </c>
      <c r="NG67" s="21">
        <v>0</v>
      </c>
      <c r="NH67" s="21">
        <v>0</v>
      </c>
      <c r="NI67" s="21">
        <v>0</v>
      </c>
      <c r="NJ67" s="21">
        <v>4</v>
      </c>
      <c r="NK67" s="21">
        <v>0</v>
      </c>
      <c r="NL67" s="21">
        <v>0</v>
      </c>
      <c r="NM67" s="21">
        <v>2</v>
      </c>
      <c r="NN67" s="21">
        <v>0</v>
      </c>
      <c r="NO67" s="21">
        <v>0</v>
      </c>
      <c r="NP67" s="21">
        <v>0</v>
      </c>
      <c r="NQ67" s="21">
        <v>0</v>
      </c>
      <c r="NR67" s="21">
        <v>0</v>
      </c>
      <c r="NS67" s="21">
        <v>0</v>
      </c>
      <c r="NT67" s="21">
        <v>0</v>
      </c>
      <c r="NU67" s="21">
        <v>0</v>
      </c>
      <c r="NV67" s="21">
        <v>0</v>
      </c>
      <c r="NW67" s="21">
        <v>0</v>
      </c>
      <c r="NX67" s="21">
        <v>0</v>
      </c>
      <c r="NY67" s="21">
        <v>0</v>
      </c>
    </row>
    <row r="68" spans="1:389" x14ac:dyDescent="0.25">
      <c r="A68" s="8"/>
      <c r="B68" s="5" t="s">
        <v>116</v>
      </c>
      <c r="C68" s="8"/>
      <c r="D68" s="4"/>
      <c r="E68" s="4"/>
      <c r="F68" s="4"/>
      <c r="G68" s="4"/>
      <c r="H68" s="4"/>
      <c r="I68" s="4"/>
      <c r="J68" s="4"/>
      <c r="K68" s="4"/>
      <c r="L68" s="6" t="str">
        <f>IF(E57=$AC$1,INDEX(($AN$38:$AO$38,$AN$52:$AO$52,$AN$66:$AO$66),1,MATCH($E$58,$AN$27:$AO$27,0),MATCH($E$61,$AK$22:$AK$24,0)),IF(E57=$AC$2,INDEX(($AT$38:$AU$38,$AT$52:$AU$52,$AT$66:$AU$66),1,MATCH($E$58,$AT$27:$AU$27,0),MATCH($E$61,$AK$22:$AK$24,0)),0))</f>
        <v>PUFL</v>
      </c>
      <c r="M68" s="14">
        <f>INDEX(cennik!$C$2:$L$529,MATCH($L68,cennik!$B$2:$B$522,0),MATCH(M$27,cennik!$C$1:$L$1,0))</f>
        <v>897302</v>
      </c>
      <c r="N68" s="14" t="str">
        <f>INDEX(cennik!$C$2:$L$529,MATCH($L68,cennik!$B$2:$B$522,0),MATCH(N$27,cennik!$C$1:$L$1,0))</f>
        <v>szt.</v>
      </c>
      <c r="O68" s="14">
        <f>SUM(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,IF(A65=0,0,IF(A65&gt;0,(A65-1)*2*C65)),IF(A66=0,0,IF(A66&gt;0,(A66-1)*2*C66)),IF(A67=0,0,IF(A67&gt;0,(A67-1)*2*C67)),IF(A68=0,0,IF(A68&gt;0,(A68-1)*2*C68)))</f>
        <v>0</v>
      </c>
      <c r="P68" s="22">
        <f>INDEX(cennik!$C$2:$L$529,MATCH($L68,cennik!$B$2:$B$522,0),MATCH(P$27,cennik!$C$1:$L$1,0))</f>
        <v>4.3099999999999996</v>
      </c>
      <c r="Q68" s="22">
        <f t="shared" si="68"/>
        <v>0</v>
      </c>
      <c r="R68" s="23">
        <f t="shared" si="64"/>
        <v>0</v>
      </c>
      <c r="S68" s="22">
        <f t="shared" si="65"/>
        <v>4.3099999999999996</v>
      </c>
      <c r="T68" s="22">
        <f t="shared" si="69"/>
        <v>0</v>
      </c>
      <c r="U68" s="22">
        <f>INDEX(cennik!$C$2:$L$529,MATCH($L68,cennik!$B$2:$B$522,0),MATCH(U$27,cennik!$C$1:$L$1,0))*O68</f>
        <v>0</v>
      </c>
      <c r="V68" s="20"/>
      <c r="W68" s="20"/>
      <c r="X68" s="25">
        <f t="shared" si="72"/>
        <v>0</v>
      </c>
      <c r="Y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80,$BB$2:$CA$2,0),MATCH($W$65,$AH$22:$AH$47,0)))*C80</f>
        <v>0</v>
      </c>
      <c r="Z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80,$BB$2:$CA$2,0),MATCH($W$65,$AH$22:$AH$47,0)))*C80</f>
        <v>0</v>
      </c>
      <c r="AA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80,$BB$2:$CA$2,0),MATCH($W$65,$AH$22:$AH$47,0)))*C80</f>
        <v>0</v>
      </c>
      <c r="AB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80,$BB$2:$CA$2,0),MATCH($W$65,$AH$22:$AH$47,0)))*C80</f>
        <v>0</v>
      </c>
      <c r="AC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80,$BB$2:$CA$2,0),MATCH($W$65,$AH$22:$AH$47,0)))*C80</f>
        <v>0</v>
      </c>
      <c r="AD6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80,$BB$2:$CA$2,0),MATCH($W$65,$AH$22:$AH$47,0)))*C80</f>
        <v>0</v>
      </c>
      <c r="AE68" s="20"/>
      <c r="AF68" s="20"/>
      <c r="AG68" s="20"/>
      <c r="AH68" s="20"/>
      <c r="AI68" s="20"/>
      <c r="AJ68" s="20"/>
      <c r="AK68" s="20"/>
      <c r="AL68" s="20">
        <f t="shared" si="73"/>
        <v>0</v>
      </c>
      <c r="AM68" s="20"/>
      <c r="AN68" s="20"/>
      <c r="AO68" s="20"/>
      <c r="AP68" s="20"/>
      <c r="AQ68" s="20"/>
      <c r="AR68" s="20"/>
      <c r="AS68" s="20"/>
      <c r="AT68" s="20"/>
      <c r="AU68" s="20"/>
      <c r="AV68" s="20"/>
      <c r="AW68" s="20"/>
      <c r="AX68" s="20"/>
      <c r="AY68" s="20"/>
      <c r="AZ68" s="20"/>
      <c r="BA68" s="26" t="s">
        <v>521</v>
      </c>
      <c r="BB68" s="20">
        <v>0</v>
      </c>
      <c r="BC68" s="20">
        <v>0</v>
      </c>
      <c r="BD68" s="20">
        <v>0</v>
      </c>
      <c r="BE68" s="20">
        <v>4</v>
      </c>
      <c r="BF68" s="20">
        <v>4</v>
      </c>
      <c r="BG68" s="20">
        <v>4</v>
      </c>
      <c r="BH68" s="20">
        <v>8</v>
      </c>
      <c r="BI68" s="20">
        <v>8</v>
      </c>
      <c r="BJ68" s="20">
        <v>8</v>
      </c>
      <c r="BK68" s="20">
        <v>12</v>
      </c>
      <c r="BL68" s="20">
        <v>12</v>
      </c>
      <c r="BM68" s="20">
        <v>12</v>
      </c>
      <c r="BN68" s="20">
        <v>16</v>
      </c>
      <c r="BO68" s="20">
        <v>16</v>
      </c>
      <c r="BP68" s="20">
        <v>16</v>
      </c>
      <c r="BQ68" s="20">
        <v>20</v>
      </c>
      <c r="BR68" s="20">
        <v>20</v>
      </c>
      <c r="BS68" s="20">
        <v>24</v>
      </c>
      <c r="BT68" s="20">
        <v>24</v>
      </c>
      <c r="BU68" s="20">
        <v>24</v>
      </c>
      <c r="BV68" s="20">
        <v>28</v>
      </c>
      <c r="BW68" s="20">
        <v>28</v>
      </c>
      <c r="BX68" s="20">
        <v>28</v>
      </c>
      <c r="BY68" s="20">
        <v>32</v>
      </c>
      <c r="BZ68" s="20">
        <v>32</v>
      </c>
      <c r="CA68" s="20">
        <v>32</v>
      </c>
      <c r="CB68" s="20">
        <v>36</v>
      </c>
      <c r="CC68" s="20">
        <v>36</v>
      </c>
      <c r="CD68" s="20">
        <v>36</v>
      </c>
      <c r="CE68" s="20">
        <v>40</v>
      </c>
      <c r="CF68" s="20">
        <v>40</v>
      </c>
      <c r="CG68" s="20">
        <v>44</v>
      </c>
      <c r="CH68" s="20">
        <v>44</v>
      </c>
      <c r="CI68" s="20">
        <v>44</v>
      </c>
      <c r="CJ68" s="20">
        <v>48</v>
      </c>
      <c r="CK68" s="20">
        <v>48</v>
      </c>
      <c r="CL68" s="20">
        <v>48</v>
      </c>
      <c r="CM68" s="20">
        <v>52</v>
      </c>
      <c r="CN68" s="20">
        <v>52</v>
      </c>
      <c r="CO68" s="20">
        <v>52</v>
      </c>
      <c r="CP68" s="20">
        <v>56</v>
      </c>
      <c r="CQ68" s="20">
        <v>56</v>
      </c>
      <c r="CR68" s="20">
        <v>56</v>
      </c>
      <c r="CS68" s="20">
        <v>60</v>
      </c>
      <c r="CT68" s="20">
        <v>60</v>
      </c>
      <c r="CU68" s="20">
        <v>60</v>
      </c>
      <c r="CV68" s="20">
        <v>64</v>
      </c>
      <c r="CW68" s="20">
        <v>64</v>
      </c>
      <c r="CX68" s="20">
        <v>68</v>
      </c>
      <c r="CY68" s="20">
        <v>68</v>
      </c>
      <c r="CZ68" s="20">
        <v>68</v>
      </c>
      <c r="DA68" s="54"/>
      <c r="DB68" s="54">
        <v>50</v>
      </c>
      <c r="DC68" s="54"/>
      <c r="DD68" s="20" t="s">
        <v>127</v>
      </c>
      <c r="DE68" s="20">
        <v>0</v>
      </c>
      <c r="DF68" s="20">
        <v>2</v>
      </c>
      <c r="DG68" s="20">
        <v>4</v>
      </c>
      <c r="DH68" s="20">
        <v>2</v>
      </c>
      <c r="DI68" s="20">
        <v>4</v>
      </c>
      <c r="DJ68" s="20">
        <v>0</v>
      </c>
      <c r="DK68" s="20">
        <v>4</v>
      </c>
      <c r="DL68" s="20">
        <v>0</v>
      </c>
      <c r="DM68" s="20">
        <v>4</v>
      </c>
      <c r="DN68" s="20">
        <v>0</v>
      </c>
      <c r="DO68" s="20">
        <v>2</v>
      </c>
      <c r="DP68" s="20">
        <v>0</v>
      </c>
      <c r="DQ68" s="20">
        <v>2</v>
      </c>
      <c r="DR68" s="20">
        <v>0</v>
      </c>
      <c r="DS68" s="20">
        <v>2</v>
      </c>
      <c r="DT68" s="20">
        <v>4</v>
      </c>
      <c r="DU68" s="20">
        <v>2</v>
      </c>
      <c r="DV68" s="20">
        <v>4</v>
      </c>
      <c r="DW68" s="20">
        <v>0</v>
      </c>
      <c r="DX68" s="20">
        <v>4</v>
      </c>
      <c r="DY68" s="20">
        <v>0</v>
      </c>
      <c r="DZ68" s="20"/>
      <c r="EA68" s="20"/>
      <c r="EB68" s="26" t="s">
        <v>521</v>
      </c>
      <c r="EC68" s="20">
        <v>0</v>
      </c>
      <c r="ED68" s="20">
        <v>0</v>
      </c>
      <c r="EE68" s="20">
        <v>4</v>
      </c>
      <c r="EF68" s="20">
        <v>8</v>
      </c>
      <c r="EG68" s="20">
        <v>8</v>
      </c>
      <c r="EH68" s="20">
        <v>8</v>
      </c>
      <c r="EI68" s="20">
        <v>12</v>
      </c>
      <c r="EJ68" s="20">
        <v>12</v>
      </c>
      <c r="EK68" s="20">
        <v>16</v>
      </c>
      <c r="EL68" s="20">
        <v>16</v>
      </c>
      <c r="EM68" s="20">
        <v>20</v>
      </c>
      <c r="EN68" s="20">
        <v>24</v>
      </c>
      <c r="EO68" s="20">
        <v>24</v>
      </c>
      <c r="EP68" s="20">
        <v>28</v>
      </c>
      <c r="EQ68" s="20">
        <v>28</v>
      </c>
      <c r="ER68" s="20">
        <v>32</v>
      </c>
      <c r="ES68" s="20">
        <v>32</v>
      </c>
      <c r="ET68" s="20">
        <v>36</v>
      </c>
      <c r="EU68" s="20">
        <v>36</v>
      </c>
      <c r="EV68" s="20">
        <v>40</v>
      </c>
      <c r="EW68" s="20">
        <v>44</v>
      </c>
      <c r="EX68" s="20">
        <v>44</v>
      </c>
      <c r="EY68" s="20">
        <v>48</v>
      </c>
      <c r="EZ68" s="20">
        <v>48</v>
      </c>
      <c r="FA68" s="20">
        <v>52</v>
      </c>
      <c r="FB68" s="20">
        <v>52</v>
      </c>
      <c r="FC68" s="20">
        <v>56</v>
      </c>
      <c r="FD68" s="20">
        <v>56</v>
      </c>
      <c r="FE68" s="20">
        <v>60</v>
      </c>
      <c r="FF68" s="20">
        <v>64</v>
      </c>
      <c r="FG68" s="20">
        <v>64</v>
      </c>
      <c r="FH68" s="20">
        <v>68</v>
      </c>
      <c r="FI68" s="20">
        <v>68</v>
      </c>
      <c r="FJ68" s="20">
        <v>72</v>
      </c>
      <c r="FK68" s="20">
        <v>72</v>
      </c>
      <c r="FL68" s="20">
        <v>76</v>
      </c>
      <c r="FM68" s="20">
        <v>76</v>
      </c>
      <c r="FN68" s="20">
        <v>80</v>
      </c>
      <c r="FO68" s="20">
        <v>80</v>
      </c>
      <c r="FP68" s="20">
        <v>84</v>
      </c>
      <c r="FQ68" s="20">
        <v>88</v>
      </c>
      <c r="FR68" s="20">
        <v>88</v>
      </c>
      <c r="FS68" s="20">
        <v>92</v>
      </c>
      <c r="FT68" s="20">
        <v>92</v>
      </c>
      <c r="FU68" s="20">
        <v>96</v>
      </c>
      <c r="FV68" s="20">
        <v>96</v>
      </c>
      <c r="FW68" s="20">
        <v>100</v>
      </c>
      <c r="FX68" s="20">
        <v>100</v>
      </c>
      <c r="FY68" s="20">
        <v>104</v>
      </c>
      <c r="FZ68" s="20">
        <v>108</v>
      </c>
      <c r="GA68" s="20">
        <v>108</v>
      </c>
      <c r="GC68" s="20"/>
      <c r="GD68" s="20"/>
      <c r="GE68" s="26" t="s">
        <v>521</v>
      </c>
      <c r="GF68" s="20">
        <v>0</v>
      </c>
      <c r="GG68" s="20">
        <v>0</v>
      </c>
      <c r="GH68" s="20">
        <v>4</v>
      </c>
      <c r="GI68" s="20">
        <v>4</v>
      </c>
      <c r="GJ68" s="20">
        <v>8</v>
      </c>
      <c r="GK68" s="20">
        <v>12</v>
      </c>
      <c r="GL68" s="20">
        <v>12</v>
      </c>
      <c r="GM68" s="20">
        <v>16</v>
      </c>
      <c r="GN68" s="20">
        <v>20</v>
      </c>
      <c r="GO68" s="20">
        <v>20</v>
      </c>
      <c r="GP68" s="20">
        <v>24</v>
      </c>
      <c r="GQ68" s="20">
        <v>24</v>
      </c>
      <c r="GR68" s="20">
        <v>28</v>
      </c>
      <c r="GS68" s="20">
        <v>32</v>
      </c>
      <c r="GT68" s="20">
        <v>32</v>
      </c>
      <c r="GU68" s="20">
        <v>36</v>
      </c>
      <c r="GV68" s="20">
        <v>40</v>
      </c>
      <c r="GW68" s="20">
        <v>40</v>
      </c>
      <c r="GX68" s="20">
        <v>44</v>
      </c>
      <c r="GY68" s="20">
        <v>44</v>
      </c>
      <c r="GZ68" s="20">
        <v>48</v>
      </c>
      <c r="HA68" s="20">
        <v>52</v>
      </c>
      <c r="HB68" s="20">
        <v>52</v>
      </c>
      <c r="HC68" s="20">
        <v>56</v>
      </c>
      <c r="HD68" s="20">
        <v>60</v>
      </c>
      <c r="HE68" s="20">
        <v>60</v>
      </c>
      <c r="HF68" s="20">
        <v>64</v>
      </c>
      <c r="HG68" s="20">
        <v>64</v>
      </c>
      <c r="HH68" s="20">
        <v>68</v>
      </c>
      <c r="HI68" s="20">
        <v>72</v>
      </c>
      <c r="HJ68" s="20">
        <v>72</v>
      </c>
      <c r="HK68" s="20">
        <v>76</v>
      </c>
      <c r="HL68" s="20">
        <v>80</v>
      </c>
      <c r="HM68" s="20">
        <v>80</v>
      </c>
      <c r="HN68" s="20">
        <v>84</v>
      </c>
      <c r="HO68" s="20">
        <v>84</v>
      </c>
      <c r="HP68" s="20">
        <v>88</v>
      </c>
      <c r="HQ68" s="20">
        <v>92</v>
      </c>
      <c r="HR68" s="20">
        <v>92</v>
      </c>
      <c r="HS68" s="20">
        <v>96</v>
      </c>
      <c r="HT68" s="20">
        <v>100</v>
      </c>
      <c r="HU68" s="20">
        <v>100</v>
      </c>
      <c r="HV68" s="20">
        <v>104</v>
      </c>
      <c r="HW68" s="20">
        <v>104</v>
      </c>
      <c r="HX68" s="20">
        <v>108</v>
      </c>
      <c r="HY68" s="20">
        <v>112</v>
      </c>
      <c r="HZ68" s="20">
        <v>112</v>
      </c>
      <c r="IA68" s="20">
        <v>116</v>
      </c>
      <c r="IB68" s="20">
        <v>120</v>
      </c>
      <c r="IC68" s="20">
        <v>120</v>
      </c>
      <c r="ID68" s="20">
        <v>124</v>
      </c>
      <c r="IF68" s="21" t="s">
        <v>521</v>
      </c>
      <c r="IG68" s="21">
        <v>0</v>
      </c>
      <c r="IH68" s="21">
        <v>0</v>
      </c>
      <c r="II68" s="21">
        <v>4</v>
      </c>
      <c r="IJ68" s="21">
        <v>8</v>
      </c>
      <c r="IK68" s="21">
        <v>12</v>
      </c>
      <c r="IL68" s="21">
        <v>12</v>
      </c>
      <c r="IM68" s="21">
        <v>16</v>
      </c>
      <c r="IN68" s="21">
        <v>20</v>
      </c>
      <c r="IO68" s="21">
        <v>24</v>
      </c>
      <c r="IP68" s="21">
        <v>24</v>
      </c>
      <c r="IQ68" s="21">
        <v>28</v>
      </c>
      <c r="IR68" s="21">
        <v>32</v>
      </c>
      <c r="IS68" s="21">
        <v>36</v>
      </c>
      <c r="IT68" s="21">
        <v>36</v>
      </c>
      <c r="IU68" s="21">
        <v>40</v>
      </c>
      <c r="IV68" s="21">
        <v>44</v>
      </c>
      <c r="IW68" s="21">
        <v>48</v>
      </c>
      <c r="IX68" s="21">
        <v>48</v>
      </c>
      <c r="IY68" s="21">
        <v>52</v>
      </c>
      <c r="IZ68" s="21">
        <v>56</v>
      </c>
      <c r="JA68" s="21">
        <v>60</v>
      </c>
      <c r="JB68" s="21">
        <v>64</v>
      </c>
      <c r="JC68" s="21">
        <v>64</v>
      </c>
      <c r="JD68" s="21">
        <v>68</v>
      </c>
      <c r="JE68" s="21">
        <v>72</v>
      </c>
      <c r="JF68" s="21">
        <v>76</v>
      </c>
      <c r="JS68" s="20" t="s">
        <v>127</v>
      </c>
      <c r="JT68" s="20">
        <v>0</v>
      </c>
      <c r="JU68" s="20">
        <v>0</v>
      </c>
      <c r="JV68" s="20">
        <v>0</v>
      </c>
      <c r="JW68" s="20">
        <v>0</v>
      </c>
      <c r="JX68" s="20">
        <v>0</v>
      </c>
      <c r="JY68" s="20">
        <v>0</v>
      </c>
      <c r="JZ68" s="20">
        <v>0</v>
      </c>
      <c r="KA68" s="20">
        <v>0</v>
      </c>
      <c r="KB68" s="20">
        <v>0</v>
      </c>
      <c r="KC68" s="20">
        <v>0</v>
      </c>
      <c r="KD68" s="20">
        <v>0</v>
      </c>
      <c r="KE68" s="20">
        <v>2</v>
      </c>
      <c r="KF68" s="20">
        <v>0</v>
      </c>
      <c r="KG68" s="20">
        <v>2</v>
      </c>
      <c r="KH68" s="20">
        <v>2</v>
      </c>
      <c r="KI68" s="20">
        <v>0</v>
      </c>
      <c r="KJ68" s="20">
        <v>0</v>
      </c>
      <c r="KK68" s="20">
        <v>0</v>
      </c>
      <c r="KL68" s="20">
        <v>0</v>
      </c>
      <c r="KM68" s="20">
        <v>0</v>
      </c>
      <c r="KN68" s="20">
        <v>0</v>
      </c>
      <c r="KO68" s="20">
        <v>0</v>
      </c>
      <c r="KP68" s="20">
        <v>0</v>
      </c>
      <c r="KQ68" s="20">
        <v>2</v>
      </c>
      <c r="KR68" s="20">
        <v>0</v>
      </c>
      <c r="KS68" s="20">
        <v>4</v>
      </c>
      <c r="KU68" s="20" t="s">
        <v>127</v>
      </c>
      <c r="KV68" s="20">
        <v>0</v>
      </c>
      <c r="KW68" s="20">
        <v>0</v>
      </c>
      <c r="KX68" s="20">
        <v>0</v>
      </c>
      <c r="KY68" s="20">
        <v>0</v>
      </c>
      <c r="KZ68" s="20">
        <v>0</v>
      </c>
      <c r="LA68" s="20">
        <v>0</v>
      </c>
      <c r="LB68" s="20">
        <v>4</v>
      </c>
      <c r="LC68" s="20">
        <v>0</v>
      </c>
      <c r="LD68" s="20">
        <v>0</v>
      </c>
      <c r="LE68" s="20">
        <v>2</v>
      </c>
      <c r="LF68" s="20">
        <v>2</v>
      </c>
      <c r="LG68" s="20">
        <v>2</v>
      </c>
      <c r="LH68" s="20">
        <v>0</v>
      </c>
      <c r="LI68" s="20">
        <v>2</v>
      </c>
      <c r="LJ68" s="20">
        <v>0</v>
      </c>
      <c r="LK68" s="20">
        <v>0</v>
      </c>
      <c r="LL68" s="20">
        <v>0</v>
      </c>
      <c r="LM68" s="20">
        <v>2</v>
      </c>
      <c r="LN68" s="20">
        <v>2</v>
      </c>
      <c r="LO68" s="20">
        <v>0</v>
      </c>
      <c r="LP68" s="20">
        <v>4</v>
      </c>
      <c r="LQ68" s="20">
        <v>0</v>
      </c>
      <c r="LR68" s="20">
        <v>4</v>
      </c>
      <c r="LS68" s="20">
        <v>0</v>
      </c>
      <c r="LT68" s="20">
        <v>0</v>
      </c>
      <c r="LU68" s="20">
        <v>0</v>
      </c>
      <c r="LW68" s="20" t="s">
        <v>127</v>
      </c>
      <c r="LX68" s="20">
        <v>0</v>
      </c>
      <c r="LY68" s="20">
        <v>2</v>
      </c>
      <c r="LZ68" s="20">
        <v>0</v>
      </c>
      <c r="MA68" s="20">
        <v>0</v>
      </c>
      <c r="MB68" s="20">
        <v>0</v>
      </c>
      <c r="MC68" s="20">
        <v>0</v>
      </c>
      <c r="MD68" s="20">
        <v>0</v>
      </c>
      <c r="ME68" s="20">
        <v>0</v>
      </c>
      <c r="MF68" s="20">
        <v>0</v>
      </c>
      <c r="MG68" s="20">
        <v>4</v>
      </c>
      <c r="MH68" s="20">
        <v>0</v>
      </c>
      <c r="MI68" s="20">
        <v>2</v>
      </c>
      <c r="MJ68" s="20">
        <v>0</v>
      </c>
      <c r="MK68" s="20">
        <v>2</v>
      </c>
      <c r="ML68" s="20">
        <v>4</v>
      </c>
      <c r="MM68" s="20">
        <v>0</v>
      </c>
      <c r="MN68" s="20">
        <v>2</v>
      </c>
      <c r="MO68" s="20">
        <v>0</v>
      </c>
      <c r="MP68" s="20">
        <v>2</v>
      </c>
      <c r="MQ68" s="20">
        <v>0</v>
      </c>
      <c r="MR68" s="20">
        <v>2</v>
      </c>
      <c r="MS68" s="20">
        <v>2</v>
      </c>
      <c r="MT68" s="20">
        <v>0</v>
      </c>
      <c r="MU68" s="20">
        <v>2</v>
      </c>
      <c r="MV68" s="20">
        <v>0</v>
      </c>
      <c r="MW68" s="20">
        <v>2</v>
      </c>
      <c r="MY68" s="21" t="s">
        <v>127</v>
      </c>
      <c r="MZ68" s="21">
        <v>0</v>
      </c>
      <c r="NA68" s="21">
        <v>0</v>
      </c>
      <c r="NB68" s="21">
        <v>0</v>
      </c>
      <c r="NC68" s="21">
        <v>4</v>
      </c>
      <c r="ND68" s="21">
        <v>0</v>
      </c>
      <c r="NE68" s="21">
        <v>2</v>
      </c>
      <c r="NF68" s="21">
        <v>0</v>
      </c>
      <c r="NG68" s="21">
        <v>0</v>
      </c>
      <c r="NH68" s="21">
        <v>0</v>
      </c>
      <c r="NI68" s="21">
        <v>2</v>
      </c>
      <c r="NJ68" s="21">
        <v>0</v>
      </c>
      <c r="NK68" s="21">
        <v>0</v>
      </c>
      <c r="NL68" s="21">
        <v>0</v>
      </c>
      <c r="NM68" s="21">
        <v>2</v>
      </c>
      <c r="NN68" s="21">
        <v>0</v>
      </c>
      <c r="NO68" s="21">
        <v>2</v>
      </c>
      <c r="NP68" s="21">
        <v>2</v>
      </c>
      <c r="NQ68" s="21">
        <v>0</v>
      </c>
      <c r="NR68" s="21">
        <v>0</v>
      </c>
      <c r="NS68" s="21">
        <v>2</v>
      </c>
      <c r="NT68" s="21">
        <v>4</v>
      </c>
      <c r="NU68" s="21">
        <v>0</v>
      </c>
      <c r="NV68" s="21">
        <v>0</v>
      </c>
      <c r="NW68" s="21">
        <v>2</v>
      </c>
      <c r="NX68" s="21">
        <v>0</v>
      </c>
      <c r="NY68" s="21">
        <v>0</v>
      </c>
    </row>
    <row r="69" spans="1:389" x14ac:dyDescent="0.25">
      <c r="A69" s="4"/>
      <c r="B69" s="6"/>
      <c r="C69" s="4"/>
      <c r="D69" s="4"/>
      <c r="E69" s="4"/>
      <c r="F69" s="4"/>
      <c r="G69" s="4"/>
      <c r="H69" s="4"/>
      <c r="I69" s="4"/>
      <c r="J69" s="4"/>
      <c r="K69" s="4"/>
      <c r="L69" s="6" t="str">
        <f>IF(E57=$AC$1,INDEX(($AP$28:$AP$37,$AP$42:$AP$51,$AP$56:$AP$65),MATCH(I54,$AM$28:$AM$37,0),1,MATCH(E61,$AK$22:$AK$24,0)),IF(E57=$AC$2,INDEX(($AV$28:$AV$37,$AV$42:$AV$51,$AV$56:$AV$65),MATCH(I54,$AS$28:$AS$37,0),1,MATCH(E61,$AK$22:$AK$24,0)),0))</f>
        <v>SAM8X25E</v>
      </c>
      <c r="M69" s="14">
        <f>INDEX(cennik!$C$2:$L$529,MATCH($L69,cennik!$B$2:$B$522,0),MATCH(M$27,cennik!$C$1:$L$1,0))</f>
        <v>898525</v>
      </c>
      <c r="N69" s="14" t="str">
        <f>INDEX(cennik!$C$2:$L$529,MATCH($L69,cennik!$B$2:$B$522,0),MATCH(N$27,cennik!$C$1:$L$1,0))</f>
        <v>szt.</v>
      </c>
      <c r="O69" s="14">
        <f>IF(AE54="suma",SUM(O67:O68),IF(AE54="tylko buf",O67,IF(AE54=0,0,0)))</f>
        <v>0</v>
      </c>
      <c r="P69" s="22">
        <f>INDEX(cennik!$C$2:$L$529,MATCH($L69,cennik!$B$2:$B$522,0),MATCH(P$27,cennik!$C$1:$L$1,0))</f>
        <v>0.45</v>
      </c>
      <c r="Q69" s="22">
        <f t="shared" si="68"/>
        <v>0</v>
      </c>
      <c r="R69" s="23">
        <f t="shared" si="64"/>
        <v>0</v>
      </c>
      <c r="S69" s="22">
        <f t="shared" si="65"/>
        <v>0.45</v>
      </c>
      <c r="T69" s="22">
        <f t="shared" si="69"/>
        <v>0</v>
      </c>
      <c r="U69" s="22">
        <f>INDEX(cennik!$C$2:$L$529,MATCH($L69,cennik!$B$2:$B$522,0),MATCH(U$27,cennik!$C$1:$L$1,0))*O69</f>
        <v>0</v>
      </c>
      <c r="V69" s="20"/>
      <c r="W69" s="20"/>
      <c r="X69" s="25">
        <f t="shared" si="72"/>
        <v>0</v>
      </c>
      <c r="Y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81,$BB$2:$CA$2,0),MATCH($W$65,$AH$22:$AH$47,0)))*C81</f>
        <v>0</v>
      </c>
      <c r="Z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81,$BB$2:$CA$2,0),MATCH($W$65,$AH$22:$AH$47,0)))*C81</f>
        <v>0</v>
      </c>
      <c r="AA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81,$BB$2:$CA$2,0),MATCH($W$65,$AH$22:$AH$47,0)))*C81</f>
        <v>0</v>
      </c>
      <c r="AB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81,$BB$2:$CA$2,0),MATCH($W$65,$AH$22:$AH$47,0)))*C81</f>
        <v>0</v>
      </c>
      <c r="AC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81,$BB$2:$CA$2,0),MATCH($W$65,$AH$22:$AH$47,0)))*C81</f>
        <v>0</v>
      </c>
      <c r="AD6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81,$BB$2:$CA$2,0),MATCH($W$65,$AH$22:$AH$47,0)))*C81</f>
        <v>0</v>
      </c>
      <c r="AE69" s="20"/>
      <c r="AF69" s="20"/>
      <c r="AG69" s="20"/>
      <c r="AH69" s="20"/>
      <c r="AI69" s="20"/>
      <c r="AJ69" s="20"/>
      <c r="AK69" s="20"/>
      <c r="AL69" s="20">
        <f t="shared" si="73"/>
        <v>0</v>
      </c>
      <c r="AM69" s="20"/>
      <c r="AN69" s="20"/>
      <c r="AO69" s="20"/>
      <c r="AP69" s="20"/>
      <c r="AQ69" s="20"/>
      <c r="AR69" s="20"/>
      <c r="AS69" s="20"/>
      <c r="AT69" s="20"/>
      <c r="AU69" s="20"/>
      <c r="AV69" s="20"/>
      <c r="AW69" s="20"/>
      <c r="AX69" s="20"/>
      <c r="AY69" s="20"/>
      <c r="AZ69" s="20"/>
      <c r="BA69" s="26" t="s">
        <v>710</v>
      </c>
      <c r="BB69" s="20">
        <v>0</v>
      </c>
      <c r="BC69" s="20">
        <v>2</v>
      </c>
      <c r="BD69" s="20">
        <v>0</v>
      </c>
      <c r="BE69" s="20">
        <v>4</v>
      </c>
      <c r="BF69" s="20">
        <v>2</v>
      </c>
      <c r="BG69" s="20">
        <v>0</v>
      </c>
      <c r="BH69" s="20">
        <v>4</v>
      </c>
      <c r="BI69" s="20">
        <v>2</v>
      </c>
      <c r="BJ69" s="20">
        <v>0</v>
      </c>
      <c r="BK69" s="20">
        <v>4</v>
      </c>
      <c r="BL69" s="20">
        <v>2</v>
      </c>
      <c r="BM69" s="20">
        <v>0</v>
      </c>
      <c r="BN69" s="20">
        <v>4</v>
      </c>
      <c r="BO69" s="20">
        <v>2</v>
      </c>
      <c r="BP69" s="20">
        <v>0</v>
      </c>
      <c r="BQ69" s="20">
        <v>2</v>
      </c>
      <c r="BR69" s="20">
        <v>0</v>
      </c>
      <c r="BS69" s="20">
        <v>4</v>
      </c>
      <c r="BT69" s="20">
        <v>2</v>
      </c>
      <c r="BU69" s="20">
        <v>0</v>
      </c>
      <c r="BV69" s="20">
        <v>4</v>
      </c>
      <c r="BW69" s="20">
        <v>2</v>
      </c>
      <c r="BX69" s="20">
        <v>0</v>
      </c>
      <c r="BY69" s="20">
        <v>4</v>
      </c>
      <c r="BZ69" s="20">
        <v>2</v>
      </c>
      <c r="CA69" s="20">
        <v>0</v>
      </c>
      <c r="CB69" s="20"/>
      <c r="CC69" s="20"/>
      <c r="CD69" s="20"/>
      <c r="CE69" s="20"/>
      <c r="CF69" s="20"/>
      <c r="CG69" s="20"/>
      <c r="CH69" s="20"/>
      <c r="CI69" s="20"/>
      <c r="CJ69" s="20"/>
      <c r="CK69" s="20"/>
      <c r="CL69" s="20"/>
      <c r="CM69" s="20"/>
      <c r="CN69" s="20"/>
      <c r="CO69" s="20"/>
      <c r="CP69" s="20"/>
      <c r="CQ69" s="20"/>
      <c r="CR69" s="20"/>
      <c r="CS69" s="20"/>
      <c r="CT69" s="20"/>
      <c r="CU69" s="20"/>
      <c r="CV69" s="20"/>
      <c r="CW69" s="20"/>
      <c r="CX69" s="20"/>
      <c r="CY69" s="20"/>
      <c r="CZ69" s="20"/>
      <c r="DA69" s="54"/>
      <c r="DB69" s="54"/>
      <c r="DC69" s="54"/>
      <c r="DD69" s="20" t="s">
        <v>19</v>
      </c>
      <c r="DE69" s="20">
        <v>0</v>
      </c>
      <c r="DF69" s="20">
        <v>0</v>
      </c>
      <c r="DG69" s="20">
        <v>0</v>
      </c>
      <c r="DH69" s="20">
        <v>2</v>
      </c>
      <c r="DI69" s="20">
        <v>2</v>
      </c>
      <c r="DJ69" s="20">
        <v>6</v>
      </c>
      <c r="DK69" s="20">
        <v>4</v>
      </c>
      <c r="DL69" s="20">
        <v>8</v>
      </c>
      <c r="DM69" s="20">
        <v>6</v>
      </c>
      <c r="DN69" s="20">
        <v>10</v>
      </c>
      <c r="DO69" s="20">
        <v>10</v>
      </c>
      <c r="DP69" s="20">
        <v>12</v>
      </c>
      <c r="DQ69" s="20">
        <v>12</v>
      </c>
      <c r="DR69" s="20">
        <v>14</v>
      </c>
      <c r="DS69" s="20">
        <v>14</v>
      </c>
      <c r="DT69" s="20">
        <v>14</v>
      </c>
      <c r="DU69" s="20">
        <v>16</v>
      </c>
      <c r="DV69" s="20">
        <v>16</v>
      </c>
      <c r="DW69" s="20">
        <v>20</v>
      </c>
      <c r="DX69" s="20">
        <v>18</v>
      </c>
      <c r="DY69" s="20">
        <v>22</v>
      </c>
      <c r="DZ69" s="20"/>
      <c r="EA69" s="20"/>
      <c r="EB69" s="26" t="s">
        <v>710</v>
      </c>
      <c r="EC69" s="20">
        <v>0</v>
      </c>
      <c r="ED69" s="20">
        <v>2</v>
      </c>
      <c r="EE69" s="20">
        <v>4</v>
      </c>
      <c r="EF69" s="20">
        <v>0</v>
      </c>
      <c r="EG69" s="20">
        <v>4</v>
      </c>
      <c r="EH69" s="20">
        <v>0</v>
      </c>
      <c r="EI69" s="20">
        <v>4</v>
      </c>
      <c r="EJ69" s="20">
        <v>0</v>
      </c>
      <c r="EK69" s="20">
        <v>2</v>
      </c>
      <c r="EL69" s="20">
        <v>0</v>
      </c>
      <c r="EM69" s="20">
        <v>2</v>
      </c>
      <c r="EN69" s="20">
        <v>4</v>
      </c>
      <c r="EO69" s="20">
        <v>2</v>
      </c>
      <c r="EP69" s="20">
        <v>4</v>
      </c>
      <c r="EQ69" s="20">
        <v>0</v>
      </c>
      <c r="ER69" s="20">
        <v>4</v>
      </c>
      <c r="ES69" s="20">
        <v>0</v>
      </c>
      <c r="ET69" s="20">
        <v>2</v>
      </c>
      <c r="EU69" s="20">
        <v>0</v>
      </c>
      <c r="EV69" s="20">
        <v>2</v>
      </c>
      <c r="EW69" s="20">
        <v>4</v>
      </c>
      <c r="EX69" s="20">
        <v>2</v>
      </c>
      <c r="EY69" s="20">
        <v>4</v>
      </c>
      <c r="EZ69" s="20">
        <v>0</v>
      </c>
      <c r="FA69" s="20">
        <v>4</v>
      </c>
      <c r="FB69" s="20">
        <v>0</v>
      </c>
      <c r="FC69" s="20"/>
      <c r="FD69" s="20"/>
      <c r="FE69" s="20"/>
      <c r="FF69" s="20"/>
      <c r="FG69" s="20"/>
      <c r="FH69" s="20"/>
      <c r="FI69" s="20"/>
      <c r="FJ69" s="20"/>
      <c r="FK69" s="20"/>
      <c r="FL69" s="20"/>
      <c r="FM69" s="20"/>
      <c r="FN69" s="20"/>
      <c r="FO69" s="20"/>
      <c r="FP69" s="20"/>
      <c r="FQ69" s="20"/>
      <c r="FR69" s="20"/>
      <c r="FS69" s="20"/>
      <c r="FT69" s="20"/>
      <c r="FU69" s="20"/>
      <c r="FV69" s="20"/>
      <c r="FW69" s="20"/>
      <c r="FX69" s="20"/>
      <c r="FY69" s="20"/>
      <c r="FZ69" s="20"/>
      <c r="GA69" s="20"/>
      <c r="GC69" s="20"/>
      <c r="GD69" s="20"/>
      <c r="GE69" s="26" t="s">
        <v>710</v>
      </c>
      <c r="GF69" s="20">
        <v>0</v>
      </c>
      <c r="GG69" s="20">
        <v>2</v>
      </c>
      <c r="GH69" s="20">
        <v>4</v>
      </c>
      <c r="GI69" s="20">
        <v>0</v>
      </c>
      <c r="GJ69" s="20">
        <v>2</v>
      </c>
      <c r="GK69" s="20">
        <v>4</v>
      </c>
      <c r="GL69" s="20">
        <v>0</v>
      </c>
      <c r="GM69" s="20">
        <v>2</v>
      </c>
      <c r="GN69" s="20">
        <v>4</v>
      </c>
      <c r="GO69" s="20">
        <v>2</v>
      </c>
      <c r="GP69" s="20">
        <v>4</v>
      </c>
      <c r="GQ69" s="20">
        <v>0</v>
      </c>
      <c r="GR69" s="20">
        <v>2</v>
      </c>
      <c r="GS69" s="20">
        <v>4</v>
      </c>
      <c r="GT69" s="20">
        <v>0</v>
      </c>
      <c r="GU69" s="20">
        <v>2</v>
      </c>
      <c r="GV69" s="20">
        <v>4</v>
      </c>
      <c r="GW69" s="20">
        <v>0</v>
      </c>
      <c r="GX69" s="20">
        <v>4</v>
      </c>
      <c r="GY69" s="20">
        <v>0</v>
      </c>
      <c r="GZ69" s="20">
        <v>2</v>
      </c>
      <c r="HA69" s="20">
        <v>4</v>
      </c>
      <c r="HB69" s="20">
        <v>0</v>
      </c>
      <c r="HC69" s="20">
        <v>2</v>
      </c>
      <c r="HD69" s="20">
        <v>4</v>
      </c>
      <c r="HE69" s="20">
        <v>0</v>
      </c>
      <c r="HF69" s="20"/>
      <c r="HG69" s="20"/>
      <c r="HH69" s="20"/>
      <c r="HI69" s="20"/>
      <c r="HJ69" s="20"/>
      <c r="HK69" s="20"/>
      <c r="HL69" s="20"/>
      <c r="HM69" s="20"/>
      <c r="HN69" s="20"/>
      <c r="HO69" s="20"/>
      <c r="HP69" s="20"/>
      <c r="HQ69" s="20"/>
      <c r="HR69" s="20"/>
      <c r="HS69" s="20"/>
      <c r="HT69" s="20"/>
      <c r="HU69" s="20"/>
      <c r="HV69" s="20"/>
      <c r="HW69" s="20"/>
      <c r="HX69" s="20"/>
      <c r="HY69" s="20"/>
      <c r="HZ69" s="20"/>
      <c r="IA69" s="20"/>
      <c r="IB69" s="20"/>
      <c r="IC69" s="20"/>
      <c r="ID69" s="20"/>
      <c r="IF69" s="21" t="s">
        <v>710</v>
      </c>
      <c r="IG69" s="21">
        <v>0</v>
      </c>
      <c r="IH69" s="21">
        <v>0</v>
      </c>
      <c r="II69" s="21">
        <v>2</v>
      </c>
      <c r="IJ69" s="21">
        <v>4</v>
      </c>
      <c r="IK69" s="21">
        <v>4</v>
      </c>
      <c r="IL69" s="21">
        <v>0</v>
      </c>
      <c r="IM69" s="21">
        <v>2</v>
      </c>
      <c r="IN69" s="21">
        <v>2</v>
      </c>
      <c r="IO69" s="21">
        <v>4</v>
      </c>
      <c r="IP69" s="21">
        <v>0</v>
      </c>
      <c r="IQ69" s="21">
        <v>2</v>
      </c>
      <c r="IR69" s="21">
        <v>2</v>
      </c>
      <c r="IS69" s="21">
        <v>4</v>
      </c>
      <c r="IT69" s="21">
        <v>0</v>
      </c>
      <c r="IU69" s="21">
        <v>0</v>
      </c>
      <c r="IV69" s="21">
        <v>2</v>
      </c>
      <c r="IW69" s="21">
        <v>4</v>
      </c>
      <c r="IX69" s="21">
        <v>0</v>
      </c>
      <c r="IY69" s="21">
        <v>0</v>
      </c>
      <c r="IZ69" s="21">
        <v>2</v>
      </c>
      <c r="JA69" s="21">
        <v>4</v>
      </c>
      <c r="JB69" s="21">
        <v>4</v>
      </c>
      <c r="JC69" s="21">
        <v>0</v>
      </c>
      <c r="JD69" s="21">
        <v>2</v>
      </c>
      <c r="JE69" s="21">
        <v>2</v>
      </c>
      <c r="JF69" s="21">
        <v>4</v>
      </c>
      <c r="JS69" s="20" t="s">
        <v>1024</v>
      </c>
      <c r="JT69" s="20">
        <v>0</v>
      </c>
      <c r="JU69" s="20">
        <v>0</v>
      </c>
      <c r="JV69" s="20">
        <v>2</v>
      </c>
      <c r="JW69" s="20">
        <v>0</v>
      </c>
      <c r="JX69" s="20">
        <v>4</v>
      </c>
      <c r="JY69" s="20">
        <v>2</v>
      </c>
      <c r="JZ69" s="20">
        <v>0</v>
      </c>
      <c r="KA69" s="20">
        <v>0</v>
      </c>
      <c r="KB69" s="20">
        <v>0</v>
      </c>
      <c r="KC69" s="20">
        <v>0</v>
      </c>
      <c r="KD69" s="20">
        <v>0</v>
      </c>
      <c r="KE69" s="20">
        <v>0</v>
      </c>
      <c r="KF69" s="20">
        <v>0</v>
      </c>
      <c r="KG69" s="20">
        <v>0</v>
      </c>
      <c r="KH69" s="20">
        <v>0</v>
      </c>
      <c r="KI69" s="20">
        <v>0</v>
      </c>
      <c r="KJ69" s="20">
        <v>0</v>
      </c>
      <c r="KK69" s="20">
        <v>2</v>
      </c>
      <c r="KL69" s="20">
        <v>0</v>
      </c>
      <c r="KM69" s="20">
        <v>0</v>
      </c>
      <c r="KN69" s="20">
        <v>0</v>
      </c>
      <c r="KO69" s="20">
        <v>0</v>
      </c>
      <c r="KP69" s="20">
        <v>0</v>
      </c>
      <c r="KQ69" s="20">
        <v>0</v>
      </c>
      <c r="KR69" s="20">
        <v>0</v>
      </c>
      <c r="KS69" s="20">
        <v>0</v>
      </c>
      <c r="KU69" s="20" t="s">
        <v>1024</v>
      </c>
      <c r="KV69" s="20">
        <v>0</v>
      </c>
      <c r="KW69" s="20">
        <v>0</v>
      </c>
      <c r="KX69" s="20">
        <v>0</v>
      </c>
      <c r="KY69" s="20">
        <v>2</v>
      </c>
      <c r="KZ69" s="20">
        <v>0</v>
      </c>
      <c r="LA69" s="20">
        <v>0</v>
      </c>
      <c r="LB69" s="20">
        <v>0</v>
      </c>
      <c r="LC69" s="20">
        <v>0</v>
      </c>
      <c r="LD69" s="20">
        <v>0</v>
      </c>
      <c r="LE69" s="20">
        <v>0</v>
      </c>
      <c r="LF69" s="20">
        <v>0</v>
      </c>
      <c r="LG69" s="20">
        <v>0</v>
      </c>
      <c r="LH69" s="20">
        <v>0</v>
      </c>
      <c r="LI69" s="20">
        <v>0</v>
      </c>
      <c r="LJ69" s="20">
        <v>0</v>
      </c>
      <c r="LK69" s="20">
        <v>0</v>
      </c>
      <c r="LL69" s="20">
        <v>0</v>
      </c>
      <c r="LM69" s="20">
        <v>0</v>
      </c>
      <c r="LN69" s="20">
        <v>0</v>
      </c>
      <c r="LO69" s="20">
        <v>0</v>
      </c>
      <c r="LP69" s="20">
        <v>0</v>
      </c>
      <c r="LQ69" s="20">
        <v>0</v>
      </c>
      <c r="LR69" s="20">
        <v>0</v>
      </c>
      <c r="LS69" s="20">
        <v>0</v>
      </c>
      <c r="LT69" s="20">
        <v>0</v>
      </c>
      <c r="LU69" s="20">
        <v>0</v>
      </c>
      <c r="LW69" s="20" t="s">
        <v>1024</v>
      </c>
      <c r="LX69" s="20">
        <v>0</v>
      </c>
      <c r="LY69" s="20">
        <v>0</v>
      </c>
      <c r="LZ69" s="20">
        <v>0</v>
      </c>
      <c r="MA69" s="20">
        <v>0</v>
      </c>
      <c r="MB69" s="20">
        <v>4</v>
      </c>
      <c r="MC69" s="20">
        <v>0</v>
      </c>
      <c r="MD69" s="20">
        <v>0</v>
      </c>
      <c r="ME69" s="20">
        <v>0</v>
      </c>
      <c r="MF69" s="20">
        <v>0</v>
      </c>
      <c r="MG69" s="20">
        <v>0</v>
      </c>
      <c r="MH69" s="20">
        <v>0</v>
      </c>
      <c r="MI69" s="20">
        <v>0</v>
      </c>
      <c r="MJ69" s="20">
        <v>0</v>
      </c>
      <c r="MK69" s="20">
        <v>0</v>
      </c>
      <c r="ML69" s="20">
        <v>0</v>
      </c>
      <c r="MM69" s="20">
        <v>0</v>
      </c>
      <c r="MN69" s="20">
        <v>0</v>
      </c>
      <c r="MO69" s="20">
        <v>0</v>
      </c>
      <c r="MP69" s="20">
        <v>0</v>
      </c>
      <c r="MQ69" s="20">
        <v>0</v>
      </c>
      <c r="MR69" s="20">
        <v>0</v>
      </c>
      <c r="MS69" s="20">
        <v>0</v>
      </c>
      <c r="MT69" s="20">
        <v>2</v>
      </c>
      <c r="MU69" s="20">
        <v>0</v>
      </c>
      <c r="MV69" s="20">
        <v>0</v>
      </c>
      <c r="MW69" s="20">
        <v>0</v>
      </c>
      <c r="MY69" s="20" t="s">
        <v>1024</v>
      </c>
      <c r="MZ69" s="21">
        <v>0</v>
      </c>
      <c r="NA69" s="21">
        <v>0</v>
      </c>
      <c r="NB69" s="21">
        <v>0</v>
      </c>
      <c r="NC69" s="21">
        <v>0</v>
      </c>
      <c r="ND69" s="21">
        <v>0</v>
      </c>
      <c r="NE69" s="21">
        <v>0</v>
      </c>
      <c r="NF69" s="21">
        <v>0</v>
      </c>
      <c r="NG69" s="21">
        <v>0</v>
      </c>
      <c r="NH69" s="21">
        <v>0</v>
      </c>
      <c r="NI69" s="21">
        <v>0</v>
      </c>
      <c r="NJ69" s="21">
        <v>0</v>
      </c>
      <c r="NK69" s="21">
        <v>0</v>
      </c>
      <c r="NL69" s="21">
        <v>2</v>
      </c>
      <c r="NM69" s="21">
        <v>0</v>
      </c>
      <c r="NN69" s="21">
        <v>0</v>
      </c>
      <c r="NO69" s="21">
        <v>0</v>
      </c>
      <c r="NP69" s="21">
        <v>0</v>
      </c>
      <c r="NQ69" s="21">
        <v>0</v>
      </c>
      <c r="NR69" s="21">
        <v>0</v>
      </c>
      <c r="NS69" s="21">
        <v>0</v>
      </c>
      <c r="NT69" s="21">
        <v>0</v>
      </c>
      <c r="NU69" s="21">
        <v>0</v>
      </c>
      <c r="NV69" s="21">
        <v>2</v>
      </c>
      <c r="NW69" s="21">
        <v>0</v>
      </c>
      <c r="NX69" s="21">
        <v>0</v>
      </c>
      <c r="NY69" s="21">
        <v>0</v>
      </c>
    </row>
    <row r="70" spans="1:389" x14ac:dyDescent="0.25">
      <c r="A70" s="4"/>
      <c r="B70" s="6"/>
      <c r="C70" s="4"/>
      <c r="D70" s="4"/>
      <c r="E70" s="4"/>
      <c r="F70" s="4"/>
      <c r="G70" s="4"/>
      <c r="H70" s="4"/>
      <c r="I70" s="4"/>
      <c r="J70" s="4"/>
      <c r="K70" s="4"/>
      <c r="L70" s="6" t="str">
        <f>IF(E57=$AC$1,INDEX(($AQ$28:$AQ$37,$AQ$42:$AQ$51,$AQ$56:$AQ$65),MATCH(I54,$AM$28:$AM$37,0),1,MATCH(E61,$AK$22:$AK$24,0)),IF(E57=$AC$2,INDEX(($AW$28:$AW$37,$AW$42:$AW$51,$AW$56:$AW$65),MATCH(I54,$AS$28:$AS$37,0),1,MATCH(E61,$AK$22:$AK$24,0)),0))</f>
        <v>NKWSM8A</v>
      </c>
      <c r="M70" s="14">
        <f>INDEX(cennik!$C$2:$L$529,MATCH($L70,cennik!$B$2:$B$522,0),MATCH(M$27,cennik!$C$1:$L$1,0))</f>
        <v>600909</v>
      </c>
      <c r="N70" s="14" t="str">
        <f>INDEX(cennik!$C$2:$L$529,MATCH($L70,cennik!$B$2:$B$522,0),MATCH(N$27,cennik!$C$1:$L$1,0))</f>
        <v>szt.</v>
      </c>
      <c r="O70" s="14">
        <f>O69</f>
        <v>0</v>
      </c>
      <c r="P70" s="22">
        <f>INDEX(cennik!$C$2:$L$529,MATCH($L70,cennik!$B$2:$B$522,0),MATCH(P$27,cennik!$C$1:$L$1,0))</f>
        <v>0.6</v>
      </c>
      <c r="Q70" s="22">
        <f t="shared" si="68"/>
        <v>0</v>
      </c>
      <c r="R70" s="23">
        <f t="shared" si="64"/>
        <v>0</v>
      </c>
      <c r="S70" s="22">
        <f t="shared" si="65"/>
        <v>0.6</v>
      </c>
      <c r="T70" s="22">
        <f t="shared" si="69"/>
        <v>0</v>
      </c>
      <c r="U70" s="22">
        <f>INDEX(cennik!$C$2:$L$529,MATCH($L70,cennik!$B$2:$B$522,0),MATCH(U$27,cennik!$C$1:$L$1,0))*O70</f>
        <v>0</v>
      </c>
      <c r="V70" s="20" t="s">
        <v>841</v>
      </c>
      <c r="W70" s="20">
        <f>IF(G79=$AH$22,$AJ$22,IF(G79=$AH$23,$AJ$23,IF(G79=$AH$24,$AJ$24,IF(G79=$AH$25,$AJ$25,IF(G79=$AH$26,$AJ$26,IF(G79=$AH$27,$AJ$27,IF(G79=$AH$28,$AJ$28,IF(G79=$AH$29,$AJ$29,0))))))))</f>
        <v>1150</v>
      </c>
      <c r="X70" s="25">
        <f t="shared" si="72"/>
        <v>0</v>
      </c>
      <c r="Y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82,$BB$2:$CA$2,0),MATCH($W$65,$AH$22:$AH$47,0)))*C82</f>
        <v>0</v>
      </c>
      <c r="Z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82,$BB$2:$CA$2,0),MATCH($W$65,$AH$22:$AH$47,0)))*C82</f>
        <v>0</v>
      </c>
      <c r="AA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82,$BB$2:$CA$2,0),MATCH($W$65,$AH$22:$AH$47,0)))*C82</f>
        <v>0</v>
      </c>
      <c r="AB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82,$BB$2:$CA$2,0),MATCH($W$65,$AH$22:$AH$47,0)))*C82</f>
        <v>0</v>
      </c>
      <c r="AC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82,$BB$2:$CA$2,0),MATCH($W$65,$AH$22:$AH$47,0)))*C82</f>
        <v>0</v>
      </c>
      <c r="AD7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82,$BB$2:$CA$2,0),MATCH($W$65,$AH$22:$AH$47,0)))*C82</f>
        <v>0</v>
      </c>
      <c r="AE70" s="20"/>
      <c r="AF70" s="20"/>
      <c r="AG70" s="20"/>
      <c r="AH70" s="20"/>
      <c r="AI70" s="20"/>
      <c r="AJ70" s="20"/>
      <c r="AK70" s="20"/>
      <c r="AL70" s="20">
        <f t="shared" si="73"/>
        <v>0</v>
      </c>
      <c r="AM70" s="20"/>
      <c r="AN70" s="20"/>
      <c r="AO70" s="20"/>
      <c r="AP70" s="20"/>
      <c r="AQ70" s="20"/>
      <c r="AR70" s="20"/>
      <c r="AS70" s="20"/>
      <c r="AT70" s="20"/>
      <c r="AU70" s="20"/>
      <c r="AV70" s="20"/>
      <c r="AW70" s="20"/>
      <c r="AX70" s="20"/>
      <c r="AY70" s="20"/>
      <c r="AZ70" s="20"/>
      <c r="BA70" s="26" t="s">
        <v>711</v>
      </c>
      <c r="BB70" s="20">
        <v>0</v>
      </c>
      <c r="BC70" s="20">
        <v>0</v>
      </c>
      <c r="BD70" s="20">
        <v>2</v>
      </c>
      <c r="BE70" s="20">
        <v>0</v>
      </c>
      <c r="BF70" s="20">
        <v>2</v>
      </c>
      <c r="BG70" s="20">
        <v>4</v>
      </c>
      <c r="BH70" s="20">
        <v>2</v>
      </c>
      <c r="BI70" s="20">
        <v>4</v>
      </c>
      <c r="BJ70" s="20">
        <v>6</v>
      </c>
      <c r="BK70" s="20">
        <v>4</v>
      </c>
      <c r="BL70" s="20">
        <v>6</v>
      </c>
      <c r="BM70" s="20">
        <v>8</v>
      </c>
      <c r="BN70" s="20">
        <v>6</v>
      </c>
      <c r="BO70" s="20">
        <v>8</v>
      </c>
      <c r="BP70" s="20">
        <v>10</v>
      </c>
      <c r="BQ70" s="20">
        <v>10</v>
      </c>
      <c r="BR70" s="20">
        <v>12</v>
      </c>
      <c r="BS70" s="20">
        <v>10</v>
      </c>
      <c r="BT70" s="20">
        <v>12</v>
      </c>
      <c r="BU70" s="20">
        <v>14</v>
      </c>
      <c r="BV70" s="20">
        <v>12</v>
      </c>
      <c r="BW70" s="20">
        <v>14</v>
      </c>
      <c r="BX70" s="20">
        <v>16</v>
      </c>
      <c r="BY70" s="20">
        <v>14</v>
      </c>
      <c r="BZ70" s="20">
        <v>16</v>
      </c>
      <c r="CA70" s="20">
        <v>18</v>
      </c>
      <c r="CB70" s="20"/>
      <c r="CC70" s="20"/>
      <c r="CD70" s="20"/>
      <c r="CE70" s="20"/>
      <c r="CF70" s="20"/>
      <c r="CG70" s="20"/>
      <c r="CH70" s="20"/>
      <c r="CI70" s="20"/>
      <c r="CJ70" s="20"/>
      <c r="CK70" s="20"/>
      <c r="CL70" s="20"/>
      <c r="CM70" s="20"/>
      <c r="CN70" s="20"/>
      <c r="CO70" s="20"/>
      <c r="CP70" s="20"/>
      <c r="CQ70" s="20"/>
      <c r="CR70" s="20"/>
      <c r="CS70" s="20"/>
      <c r="CT70" s="20"/>
      <c r="CU70" s="20"/>
      <c r="CV70" s="20"/>
      <c r="CW70" s="20"/>
      <c r="CX70" s="20"/>
      <c r="CY70" s="20"/>
      <c r="CZ70" s="20"/>
      <c r="DA70" s="54"/>
      <c r="DB70" s="54"/>
      <c r="DC70" s="54"/>
      <c r="DD70" s="20" t="s">
        <v>408</v>
      </c>
      <c r="DE70" s="20">
        <v>0</v>
      </c>
      <c r="DF70" s="20">
        <v>0</v>
      </c>
      <c r="DG70" s="20">
        <v>4</v>
      </c>
      <c r="DH70" s="20">
        <v>4</v>
      </c>
      <c r="DI70" s="20">
        <v>8</v>
      </c>
      <c r="DJ70" s="20">
        <v>8</v>
      </c>
      <c r="DK70" s="20">
        <v>12</v>
      </c>
      <c r="DL70" s="20">
        <v>12</v>
      </c>
      <c r="DM70" s="20">
        <v>16</v>
      </c>
      <c r="DN70" s="20">
        <v>16</v>
      </c>
      <c r="DO70" s="20">
        <v>20</v>
      </c>
      <c r="DP70" s="20">
        <v>20</v>
      </c>
      <c r="DQ70" s="20">
        <v>24</v>
      </c>
      <c r="DR70" s="20">
        <v>24</v>
      </c>
      <c r="DS70" s="20">
        <v>28</v>
      </c>
      <c r="DT70" s="20">
        <v>32</v>
      </c>
      <c r="DU70" s="20">
        <v>32</v>
      </c>
      <c r="DV70" s="20">
        <v>36</v>
      </c>
      <c r="DW70" s="20">
        <v>36</v>
      </c>
      <c r="DX70" s="20">
        <v>40</v>
      </c>
      <c r="DY70" s="20">
        <v>40</v>
      </c>
      <c r="DZ70" s="20"/>
      <c r="EA70" s="20"/>
      <c r="EB70" s="26" t="s">
        <v>711</v>
      </c>
      <c r="EC70" s="20">
        <v>0</v>
      </c>
      <c r="ED70" s="20">
        <v>0</v>
      </c>
      <c r="EE70" s="20">
        <v>0</v>
      </c>
      <c r="EF70" s="20">
        <v>4</v>
      </c>
      <c r="EG70" s="20">
        <v>2</v>
      </c>
      <c r="EH70" s="20">
        <v>6</v>
      </c>
      <c r="EI70" s="20">
        <v>4</v>
      </c>
      <c r="EJ70" s="20">
        <v>8</v>
      </c>
      <c r="EK70" s="20">
        <v>8</v>
      </c>
      <c r="EL70" s="20">
        <v>10</v>
      </c>
      <c r="EM70" s="20">
        <v>10</v>
      </c>
      <c r="EN70" s="20">
        <v>10</v>
      </c>
      <c r="EO70" s="20">
        <v>12</v>
      </c>
      <c r="EP70" s="20">
        <v>12</v>
      </c>
      <c r="EQ70" s="20">
        <v>16</v>
      </c>
      <c r="ER70" s="20">
        <v>14</v>
      </c>
      <c r="ES70" s="20">
        <v>18</v>
      </c>
      <c r="ET70" s="20">
        <v>18</v>
      </c>
      <c r="EU70" s="20">
        <v>20</v>
      </c>
      <c r="EV70" s="20">
        <v>20</v>
      </c>
      <c r="EW70" s="20">
        <v>20</v>
      </c>
      <c r="EX70" s="20">
        <v>22</v>
      </c>
      <c r="EY70" s="20">
        <v>22</v>
      </c>
      <c r="EZ70" s="20">
        <v>26</v>
      </c>
      <c r="FA70" s="20">
        <v>24</v>
      </c>
      <c r="FB70" s="20">
        <v>28</v>
      </c>
      <c r="FC70" s="20"/>
      <c r="FD70" s="20"/>
      <c r="FE70" s="20"/>
      <c r="FF70" s="20"/>
      <c r="FG70" s="20"/>
      <c r="FH70" s="20"/>
      <c r="FI70" s="20"/>
      <c r="FJ70" s="20"/>
      <c r="FK70" s="20"/>
      <c r="FL70" s="20"/>
      <c r="FM70" s="20"/>
      <c r="FN70" s="20"/>
      <c r="FO70" s="20"/>
      <c r="FP70" s="20"/>
      <c r="FQ70" s="20"/>
      <c r="FR70" s="20"/>
      <c r="FS70" s="20"/>
      <c r="FT70" s="20"/>
      <c r="FU70" s="20"/>
      <c r="FV70" s="20"/>
      <c r="FW70" s="20"/>
      <c r="FX70" s="20"/>
      <c r="FY70" s="20"/>
      <c r="FZ70" s="20"/>
      <c r="GA70" s="20"/>
      <c r="GC70" s="20"/>
      <c r="GD70" s="20"/>
      <c r="GE70" s="26" t="s">
        <v>711</v>
      </c>
      <c r="GF70" s="20">
        <v>0</v>
      </c>
      <c r="GG70" s="20">
        <v>0</v>
      </c>
      <c r="GH70" s="20">
        <v>0</v>
      </c>
      <c r="GI70" s="20">
        <v>4</v>
      </c>
      <c r="GJ70" s="20">
        <v>4</v>
      </c>
      <c r="GK70" s="20">
        <v>4</v>
      </c>
      <c r="GL70" s="20">
        <v>8</v>
      </c>
      <c r="GM70" s="20">
        <v>8</v>
      </c>
      <c r="GN70" s="20">
        <v>8</v>
      </c>
      <c r="GO70" s="20">
        <v>10</v>
      </c>
      <c r="GP70" s="20">
        <v>10</v>
      </c>
      <c r="GQ70" s="20">
        <v>14</v>
      </c>
      <c r="GR70" s="20">
        <v>14</v>
      </c>
      <c r="GS70" s="20">
        <v>14</v>
      </c>
      <c r="GT70" s="20">
        <v>18</v>
      </c>
      <c r="GU70" s="20">
        <v>18</v>
      </c>
      <c r="GV70" s="20">
        <v>18</v>
      </c>
      <c r="GW70" s="20">
        <v>22</v>
      </c>
      <c r="GX70" s="20">
        <v>20</v>
      </c>
      <c r="GY70" s="20">
        <v>24</v>
      </c>
      <c r="GZ70" s="20">
        <v>24</v>
      </c>
      <c r="HA70" s="20">
        <v>24</v>
      </c>
      <c r="HB70" s="20">
        <v>28</v>
      </c>
      <c r="HC70" s="20">
        <v>28</v>
      </c>
      <c r="HD70" s="20">
        <v>28</v>
      </c>
      <c r="HE70" s="20">
        <v>32</v>
      </c>
      <c r="HF70" s="20"/>
      <c r="HG70" s="20"/>
      <c r="HH70" s="20"/>
      <c r="HI70" s="20"/>
      <c r="HJ70" s="20"/>
      <c r="HK70" s="20"/>
      <c r="HL70" s="20"/>
      <c r="HM70" s="20"/>
      <c r="HN70" s="20"/>
      <c r="HO70" s="20"/>
      <c r="HP70" s="20"/>
      <c r="HQ70" s="20"/>
      <c r="HR70" s="20"/>
      <c r="HS70" s="20"/>
      <c r="HT70" s="20"/>
      <c r="HU70" s="20"/>
      <c r="HV70" s="20"/>
      <c r="HW70" s="20"/>
      <c r="HX70" s="20"/>
      <c r="HY70" s="20"/>
      <c r="HZ70" s="20"/>
      <c r="IA70" s="20"/>
      <c r="IB70" s="20"/>
      <c r="IC70" s="20"/>
      <c r="ID70" s="20"/>
      <c r="IF70" s="21" t="s">
        <v>711</v>
      </c>
      <c r="IG70" s="21">
        <v>0</v>
      </c>
      <c r="IH70" s="21">
        <v>2</v>
      </c>
      <c r="II70" s="21">
        <v>2</v>
      </c>
      <c r="IJ70" s="21">
        <v>2</v>
      </c>
      <c r="IK70" s="21">
        <v>4</v>
      </c>
      <c r="IL70" s="21">
        <v>8</v>
      </c>
      <c r="IM70" s="21">
        <v>8</v>
      </c>
      <c r="IN70" s="21">
        <v>10</v>
      </c>
      <c r="IO70" s="21">
        <v>10</v>
      </c>
      <c r="IP70" s="21">
        <v>14</v>
      </c>
      <c r="IQ70" s="21">
        <v>14</v>
      </c>
      <c r="IR70" s="21">
        <v>16</v>
      </c>
      <c r="IS70" s="21">
        <v>16</v>
      </c>
      <c r="IT70" s="21">
        <v>20</v>
      </c>
      <c r="IU70" s="21">
        <v>22</v>
      </c>
      <c r="IV70" s="21">
        <v>22</v>
      </c>
      <c r="IW70" s="21">
        <v>22</v>
      </c>
      <c r="IX70" s="21">
        <v>26</v>
      </c>
      <c r="IY70" s="21">
        <v>28</v>
      </c>
      <c r="IZ70" s="21">
        <v>28</v>
      </c>
      <c r="JA70" s="21">
        <v>28</v>
      </c>
      <c r="JB70" s="21">
        <v>30</v>
      </c>
      <c r="JC70" s="21">
        <v>34</v>
      </c>
      <c r="JD70" s="21">
        <v>34</v>
      </c>
      <c r="JE70" s="21">
        <v>36</v>
      </c>
      <c r="JF70" s="21">
        <v>36</v>
      </c>
      <c r="JS70" s="20" t="s">
        <v>15</v>
      </c>
      <c r="JT70" s="20">
        <v>0</v>
      </c>
      <c r="JU70" s="20">
        <v>0</v>
      </c>
      <c r="JV70" s="20">
        <v>0</v>
      </c>
      <c r="JW70" s="20">
        <v>0</v>
      </c>
      <c r="JX70" s="20">
        <v>0</v>
      </c>
      <c r="JY70" s="20">
        <v>0</v>
      </c>
      <c r="JZ70" s="20">
        <v>0</v>
      </c>
      <c r="KA70" s="20">
        <v>0</v>
      </c>
      <c r="KB70" s="20">
        <v>6</v>
      </c>
      <c r="KC70" s="20">
        <v>0</v>
      </c>
      <c r="KD70" s="20">
        <v>2</v>
      </c>
      <c r="KE70" s="20">
        <v>0</v>
      </c>
      <c r="KF70" s="20">
        <v>0</v>
      </c>
      <c r="KG70" s="20">
        <v>0</v>
      </c>
      <c r="KH70" s="20">
        <v>0</v>
      </c>
      <c r="KI70" s="20">
        <v>0</v>
      </c>
      <c r="KJ70" s="20">
        <v>0</v>
      </c>
      <c r="KK70" s="20">
        <v>2</v>
      </c>
      <c r="KL70" s="20">
        <v>0</v>
      </c>
      <c r="KM70" s="20">
        <v>0</v>
      </c>
      <c r="KN70" s="20">
        <v>0</v>
      </c>
      <c r="KO70" s="20">
        <v>2</v>
      </c>
      <c r="KP70" s="20">
        <v>0</v>
      </c>
      <c r="KQ70" s="20">
        <v>0</v>
      </c>
      <c r="KR70" s="20">
        <v>0</v>
      </c>
      <c r="KS70" s="20">
        <v>0</v>
      </c>
      <c r="KU70" s="20" t="s">
        <v>15</v>
      </c>
      <c r="KV70" s="20">
        <v>0</v>
      </c>
      <c r="KW70" s="20">
        <v>0</v>
      </c>
      <c r="KX70" s="20">
        <v>0</v>
      </c>
      <c r="KY70" s="20">
        <v>2</v>
      </c>
      <c r="KZ70" s="20">
        <v>2</v>
      </c>
      <c r="LA70" s="20">
        <v>0</v>
      </c>
      <c r="LB70" s="20">
        <v>0</v>
      </c>
      <c r="LC70" s="20">
        <v>0</v>
      </c>
      <c r="LD70" s="20">
        <v>0</v>
      </c>
      <c r="LE70" s="20">
        <v>0</v>
      </c>
      <c r="LF70" s="20">
        <v>0</v>
      </c>
      <c r="LG70" s="20">
        <v>0</v>
      </c>
      <c r="LH70" s="20">
        <v>0</v>
      </c>
      <c r="LI70" s="20">
        <v>0</v>
      </c>
      <c r="LJ70" s="20">
        <v>0</v>
      </c>
      <c r="LK70" s="20">
        <v>0</v>
      </c>
      <c r="LL70" s="20">
        <v>0</v>
      </c>
      <c r="LM70" s="20">
        <v>0</v>
      </c>
      <c r="LN70" s="20">
        <v>0</v>
      </c>
      <c r="LO70" s="20">
        <v>0</v>
      </c>
      <c r="LP70" s="20">
        <v>0</v>
      </c>
      <c r="LQ70" s="20">
        <v>0</v>
      </c>
      <c r="LR70" s="20">
        <v>0</v>
      </c>
      <c r="LS70" s="20">
        <v>0</v>
      </c>
      <c r="LT70" s="20">
        <v>0</v>
      </c>
      <c r="LU70" s="20">
        <v>0</v>
      </c>
      <c r="LW70" s="20" t="s">
        <v>15</v>
      </c>
      <c r="LX70" s="20">
        <v>0</v>
      </c>
      <c r="LY70" s="20">
        <v>0</v>
      </c>
      <c r="LZ70" s="20">
        <v>0</v>
      </c>
      <c r="MA70" s="20">
        <v>4</v>
      </c>
      <c r="MB70" s="20">
        <v>0</v>
      </c>
      <c r="MC70" s="20">
        <v>0</v>
      </c>
      <c r="MD70" s="20">
        <v>0</v>
      </c>
      <c r="ME70" s="20">
        <v>2</v>
      </c>
      <c r="MF70" s="20">
        <v>0</v>
      </c>
      <c r="MG70" s="20">
        <v>0</v>
      </c>
      <c r="MH70" s="20">
        <v>2</v>
      </c>
      <c r="MI70" s="20">
        <v>0</v>
      </c>
      <c r="MJ70" s="20">
        <v>0</v>
      </c>
      <c r="MK70" s="20">
        <v>0</v>
      </c>
      <c r="ML70" s="20">
        <v>0</v>
      </c>
      <c r="MM70" s="20">
        <v>0</v>
      </c>
      <c r="MN70" s="20">
        <v>0</v>
      </c>
      <c r="MO70" s="20">
        <v>2</v>
      </c>
      <c r="MP70" s="20">
        <v>0</v>
      </c>
      <c r="MQ70" s="20">
        <v>0</v>
      </c>
      <c r="MR70" s="20">
        <v>0</v>
      </c>
      <c r="MS70" s="20">
        <v>0</v>
      </c>
      <c r="MT70" s="20">
        <v>0</v>
      </c>
      <c r="MU70" s="20">
        <v>0</v>
      </c>
      <c r="MV70" s="20">
        <v>0</v>
      </c>
      <c r="MW70" s="20">
        <v>0</v>
      </c>
      <c r="MY70" s="21" t="s">
        <v>15</v>
      </c>
      <c r="MZ70" s="21">
        <v>0</v>
      </c>
      <c r="NA70" s="21">
        <v>2</v>
      </c>
      <c r="NB70" s="21">
        <v>2</v>
      </c>
      <c r="NC70" s="21">
        <v>0</v>
      </c>
      <c r="ND70" s="21">
        <v>0</v>
      </c>
      <c r="NE70" s="21">
        <v>0</v>
      </c>
      <c r="NF70" s="21">
        <v>0</v>
      </c>
      <c r="NG70" s="21">
        <v>0</v>
      </c>
      <c r="NH70" s="21">
        <v>0</v>
      </c>
      <c r="NI70" s="21">
        <v>0</v>
      </c>
      <c r="NJ70" s="21">
        <v>0</v>
      </c>
      <c r="NK70" s="21">
        <v>0</v>
      </c>
      <c r="NL70" s="21">
        <v>0</v>
      </c>
      <c r="NM70" s="21">
        <v>0</v>
      </c>
      <c r="NN70" s="21">
        <v>0</v>
      </c>
      <c r="NO70" s="21">
        <v>0</v>
      </c>
      <c r="NP70" s="21">
        <v>0</v>
      </c>
      <c r="NQ70" s="21">
        <v>0</v>
      </c>
      <c r="NR70" s="21">
        <v>0</v>
      </c>
      <c r="NS70" s="21">
        <v>0</v>
      </c>
      <c r="NT70" s="21">
        <v>0</v>
      </c>
      <c r="NU70" s="21">
        <v>0</v>
      </c>
      <c r="NV70" s="21">
        <v>0</v>
      </c>
      <c r="NW70" s="21">
        <v>0</v>
      </c>
      <c r="NX70" s="21">
        <v>0</v>
      </c>
      <c r="NY70" s="21">
        <v>0</v>
      </c>
    </row>
    <row r="71" spans="1:389" x14ac:dyDescent="0.25">
      <c r="A71" s="4"/>
      <c r="B71" s="6"/>
      <c r="C71" s="4"/>
      <c r="D71" s="4"/>
      <c r="E71" s="4"/>
      <c r="F71" s="4"/>
      <c r="G71" s="4"/>
      <c r="H71" s="4"/>
      <c r="I71" s="4"/>
      <c r="J71" s="4"/>
      <c r="K71" s="4"/>
      <c r="L71" s="6" t="str">
        <f>IF(L68="PUFK","PUPK",IF(L68="PUFKL","PUPK","PUP"))</f>
        <v>PUP</v>
      </c>
      <c r="M71" s="14">
        <f>INDEX(cennik!$C$2:$L$529,MATCH($L71,cennik!$B$2:$B$522,0),MATCH(M$27,cennik!$C$1:$L$1,0))</f>
        <v>897303</v>
      </c>
      <c r="N71" s="14" t="str">
        <f>INDEX(cennik!$C$2:$L$529,MATCH($L71,cennik!$B$2:$B$522,0),MATCH(N$27,cennik!$C$1:$L$1,0))</f>
        <v>szt.</v>
      </c>
      <c r="O71" s="14">
        <f>SUM((IF(MOD(A53,2)=0,A53/2,IF(MOD(A53,2)=1,FLOOR(A53/2,1)+1,0))*C53),(IF(MOD(A54,2)=0,A54/2,IF(MOD(A54,2)=1,FLOOR(A54/2,1)+1,0))*C54),(IF(MOD(A55,2)=0,A55/2,IF(MOD(A55,2)=1,FLOOR(A55/2,1)+1,0))*C55),(IF(MOD(A56,2)=0,A56/2,IF(MOD(A56,2)=1,FLOOR(A56/2,1)+1,0))*C56),(IF(MOD(A57,2)=0,A57/2,IF(MOD(A57,2)=1,FLOOR(A57/2,1)+1,0))*C57),(IF(MOD(A58,2)=0,A58/2,IF(MOD(A58,2)=1,FLOOR(A58/2,1)+1,0))*C58),(IF(MOD(A59,2)=0,A59/2,IF(MOD(A59,2)=1,FLOOR(A59/2,1)+1,0))*C59),(IF(MOD(A60,2)=0,A60/2,IF(MOD(A60,2)=1,FLOOR(A60/2,1)+1,0))*C60),(IF(MOD(A61,2)=0,A61/2,IF(MOD(A61,2)=1,FLOOR(A61/2,1)+1,0))*C61),(IF(MOD(A62,2)=0,A62/2,IF(MOD(A62,2)=1,FLOOR(A62/2,1)+1,0))*C62),(IF(MOD(A63,2)=0,A63/2,IF(MOD(A63,2)=1,FLOOR(A63/2,1)+1,0))*C63),(IF(MOD(A64,2)=0,A64/2,IF(MOD(A64,2)=1,FLOOR(A64/2,1)+1,0))*C64),(IF(MOD(A65,2)=0,A65/2,IF(MOD(A65,2)=1,FLOOR(A65/2,1)+1,0))*C65),(IF(MOD(A66,2)=0,A66/2,IF(MOD(A66,2)=1,FLOOR(A66/2,1)+1,0))*C66),(IF(MOD(A67,2)=0,A67/2,IF(MOD(A67,2)=1,FLOOR(A67/2,1)+1,0))*C67),(IF(MOD(A68,2)=0,A68/2,IF(MOD(A68,2)=1,FLOOR(A68/2,1)+1,0))*C68))</f>
        <v>0</v>
      </c>
      <c r="P71" s="22">
        <f>INDEX(cennik!$C$2:$L$529,MATCH($L71,cennik!$B$2:$B$522,0),MATCH(P$27,cennik!$C$1:$L$1,0))</f>
        <v>2.4</v>
      </c>
      <c r="Q71" s="22">
        <f t="shared" si="68"/>
        <v>0</v>
      </c>
      <c r="R71" s="23">
        <f t="shared" si="64"/>
        <v>0</v>
      </c>
      <c r="S71" s="22">
        <f t="shared" si="65"/>
        <v>2.4</v>
      </c>
      <c r="T71" s="22">
        <f t="shared" si="69"/>
        <v>0</v>
      </c>
      <c r="U71" s="22">
        <f>INDEX(cennik!$C$2:$L$529,MATCH($L71,cennik!$B$2:$B$522,0),MATCH(U$27,cennik!$C$1:$L$1,0))*O71</f>
        <v>0</v>
      </c>
      <c r="V71" s="20" t="s">
        <v>842</v>
      </c>
      <c r="W71" s="20">
        <f>IF(E79=$AH$30,$AJ$30,IF(E79=$AH$31,$AJ$31,IF(E79=$AH$32,$AJ$32,IF(E79=$AH$33,$AJ$33,IF(E79=$AH$34,$AJ$34,IF(E79=$AH$35,$AJ$35,IF(E79=$AH$36,$AJ$36,IF(E79=$AH$37,$AJ$37,IF(E79=$AH$38,$AJ$38,IF(E79=$AH$39,$AJ$39,IF(E79=$AH$40,$AJ$40,IF(E79=$AH$41,$AJ$41,IF(E79=$AH$42,$AJ$42,IF(E79=$AH$43,$AJ$43,IF(E79=$AH$44,$AJ$44,IF(E79=$AH$45,$AJ$45,IF(E79=$AH$46,$AJ$46,IF(E79=$AH$47,$AJ$47,0))))))))))))))))))</f>
        <v>2300</v>
      </c>
      <c r="X71" s="25">
        <f t="shared" si="72"/>
        <v>0</v>
      </c>
      <c r="Y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83,$BB$2:$CA$2,0),MATCH($W$65,$AH$22:$AH$47,0)))*C83</f>
        <v>0</v>
      </c>
      <c r="Z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83,$BB$2:$CA$2,0),MATCH($W$65,$AH$22:$AH$47,0)))*C83</f>
        <v>0</v>
      </c>
      <c r="AA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83,$BB$2:$CA$2,0),MATCH($W$65,$AH$22:$AH$47,0)))*C83</f>
        <v>0</v>
      </c>
      <c r="AB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83,$BB$2:$CA$2,0),MATCH($W$65,$AH$22:$AH$47,0)))*C83</f>
        <v>0</v>
      </c>
      <c r="AC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83,$BB$2:$CA$2,0),MATCH($W$65,$AH$22:$AH$47,0)))*C83</f>
        <v>0</v>
      </c>
      <c r="AD7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83,$BB$2:$CA$2,0),MATCH($W$65,$AH$22:$AH$47,0)))*C83</f>
        <v>0</v>
      </c>
      <c r="AE71" s="20"/>
      <c r="AF71" s="20"/>
      <c r="AG71" s="20"/>
      <c r="AH71" s="20"/>
      <c r="AI71" s="20"/>
      <c r="AJ71" s="20"/>
      <c r="AK71" s="20"/>
      <c r="AL71" s="20">
        <f t="shared" si="73"/>
        <v>0</v>
      </c>
      <c r="AM71" s="20"/>
      <c r="AN71" s="20"/>
      <c r="AO71" s="20"/>
      <c r="AP71" s="20"/>
      <c r="AQ71" s="20"/>
      <c r="AR71" s="20"/>
      <c r="AS71" s="20"/>
      <c r="AT71" s="20"/>
      <c r="AU71" s="20"/>
      <c r="AV71" s="20"/>
      <c r="AW71" s="20"/>
      <c r="AX71" s="20"/>
      <c r="AY71" s="20"/>
      <c r="AZ71" s="20"/>
      <c r="BA71" s="26" t="s">
        <v>712</v>
      </c>
      <c r="BB71" s="20">
        <v>0</v>
      </c>
      <c r="BC71" s="20">
        <v>0</v>
      </c>
      <c r="BD71" s="20">
        <v>0</v>
      </c>
      <c r="BE71" s="20">
        <v>2</v>
      </c>
      <c r="BF71" s="20">
        <v>2</v>
      </c>
      <c r="BG71" s="20">
        <v>2</v>
      </c>
      <c r="BH71" s="20">
        <v>4</v>
      </c>
      <c r="BI71" s="20">
        <v>4</v>
      </c>
      <c r="BJ71" s="20">
        <v>4</v>
      </c>
      <c r="BK71" s="20">
        <v>6</v>
      </c>
      <c r="BL71" s="20">
        <v>6</v>
      </c>
      <c r="BM71" s="20">
        <v>6</v>
      </c>
      <c r="BN71" s="20">
        <v>8</v>
      </c>
      <c r="BO71" s="20">
        <v>8</v>
      </c>
      <c r="BP71" s="20">
        <v>8</v>
      </c>
      <c r="BQ71" s="20">
        <v>10</v>
      </c>
      <c r="BR71" s="20">
        <v>10</v>
      </c>
      <c r="BS71" s="20">
        <v>12</v>
      </c>
      <c r="BT71" s="20">
        <v>12</v>
      </c>
      <c r="BU71" s="20">
        <v>12</v>
      </c>
      <c r="BV71" s="20">
        <v>14</v>
      </c>
      <c r="BW71" s="20">
        <v>14</v>
      </c>
      <c r="BX71" s="20">
        <v>14</v>
      </c>
      <c r="BY71" s="20">
        <v>16</v>
      </c>
      <c r="BZ71" s="20">
        <v>16</v>
      </c>
      <c r="CA71" s="20">
        <v>16</v>
      </c>
      <c r="CB71" s="20"/>
      <c r="CC71" s="20"/>
      <c r="CD71" s="20"/>
      <c r="CE71" s="20"/>
      <c r="CF71" s="20"/>
      <c r="CG71" s="20"/>
      <c r="CH71" s="20"/>
      <c r="CI71" s="20"/>
      <c r="CJ71" s="20"/>
      <c r="CK71" s="20"/>
      <c r="CL71" s="20"/>
      <c r="CM71" s="20"/>
      <c r="CN71" s="20"/>
      <c r="CO71" s="20"/>
      <c r="CP71" s="20"/>
      <c r="CQ71" s="20"/>
      <c r="CR71" s="20"/>
      <c r="CS71" s="20"/>
      <c r="CT71" s="20"/>
      <c r="CU71" s="20"/>
      <c r="CV71" s="20"/>
      <c r="CW71" s="20"/>
      <c r="CX71" s="20"/>
      <c r="CY71" s="20"/>
      <c r="CZ71" s="20"/>
      <c r="DA71" s="54"/>
      <c r="DB71" s="54"/>
      <c r="DC71" s="54"/>
      <c r="DD71" s="20" t="s">
        <v>518</v>
      </c>
      <c r="DE71" s="20">
        <v>0</v>
      </c>
      <c r="DF71" s="20">
        <v>2</v>
      </c>
      <c r="DG71" s="20">
        <v>4</v>
      </c>
      <c r="DH71" s="20">
        <v>2</v>
      </c>
      <c r="DI71" s="20">
        <v>4</v>
      </c>
      <c r="DJ71" s="20">
        <v>0</v>
      </c>
      <c r="DK71" s="20">
        <v>4</v>
      </c>
      <c r="DL71" s="20">
        <v>0</v>
      </c>
      <c r="DM71" s="20">
        <v>4</v>
      </c>
      <c r="DN71" s="20">
        <v>0</v>
      </c>
      <c r="DO71" s="20">
        <v>2</v>
      </c>
      <c r="DP71" s="20">
        <v>0</v>
      </c>
      <c r="DQ71" s="20">
        <v>2</v>
      </c>
      <c r="DR71" s="20">
        <v>0</v>
      </c>
      <c r="DS71" s="20">
        <v>2</v>
      </c>
      <c r="DT71" s="20">
        <v>4</v>
      </c>
      <c r="DU71" s="20">
        <v>2</v>
      </c>
      <c r="DV71" s="20">
        <v>4</v>
      </c>
      <c r="DW71" s="20">
        <v>0</v>
      </c>
      <c r="DX71" s="20">
        <v>4</v>
      </c>
      <c r="DY71" s="20">
        <v>0</v>
      </c>
      <c r="DZ71" s="20"/>
      <c r="EA71" s="20"/>
      <c r="EB71" s="26" t="s">
        <v>712</v>
      </c>
      <c r="EC71" s="20">
        <v>0</v>
      </c>
      <c r="ED71" s="20">
        <v>0</v>
      </c>
      <c r="EE71" s="20">
        <v>2</v>
      </c>
      <c r="EF71" s="20">
        <v>2</v>
      </c>
      <c r="EG71" s="20">
        <v>4</v>
      </c>
      <c r="EH71" s="20">
        <v>4</v>
      </c>
      <c r="EI71" s="20">
        <v>6</v>
      </c>
      <c r="EJ71" s="20">
        <v>6</v>
      </c>
      <c r="EK71" s="20">
        <v>8</v>
      </c>
      <c r="EL71" s="20">
        <v>8</v>
      </c>
      <c r="EM71" s="20">
        <v>10</v>
      </c>
      <c r="EN71" s="20">
        <v>12</v>
      </c>
      <c r="EO71" s="20">
        <v>12</v>
      </c>
      <c r="EP71" s="20">
        <v>14</v>
      </c>
      <c r="EQ71" s="20">
        <v>14</v>
      </c>
      <c r="ER71" s="20">
        <v>16</v>
      </c>
      <c r="ES71" s="20">
        <v>16</v>
      </c>
      <c r="ET71" s="20">
        <v>18</v>
      </c>
      <c r="EU71" s="20">
        <v>18</v>
      </c>
      <c r="EV71" s="20">
        <v>20</v>
      </c>
      <c r="EW71" s="20">
        <v>22</v>
      </c>
      <c r="EX71" s="20">
        <v>22</v>
      </c>
      <c r="EY71" s="20">
        <v>24</v>
      </c>
      <c r="EZ71" s="20">
        <v>24</v>
      </c>
      <c r="FA71" s="20">
        <v>26</v>
      </c>
      <c r="FB71" s="20">
        <v>26</v>
      </c>
      <c r="FC71" s="20"/>
      <c r="FD71" s="20"/>
      <c r="FE71" s="20"/>
      <c r="FF71" s="20"/>
      <c r="FG71" s="20"/>
      <c r="FH71" s="20"/>
      <c r="FI71" s="20"/>
      <c r="FJ71" s="20"/>
      <c r="FK71" s="20"/>
      <c r="FL71" s="20"/>
      <c r="FM71" s="20"/>
      <c r="FN71" s="20"/>
      <c r="FO71" s="20"/>
      <c r="FP71" s="20"/>
      <c r="FQ71" s="20"/>
      <c r="FR71" s="20"/>
      <c r="FS71" s="20"/>
      <c r="FT71" s="20"/>
      <c r="FU71" s="20"/>
      <c r="FV71" s="20"/>
      <c r="FW71" s="20"/>
      <c r="FX71" s="20"/>
      <c r="FY71" s="20"/>
      <c r="FZ71" s="20"/>
      <c r="GA71" s="20"/>
      <c r="GC71" s="20"/>
      <c r="GD71" s="20"/>
      <c r="GE71" s="26" t="s">
        <v>712</v>
      </c>
      <c r="GF71" s="20">
        <v>0</v>
      </c>
      <c r="GG71" s="20">
        <v>0</v>
      </c>
      <c r="GH71" s="20">
        <v>2</v>
      </c>
      <c r="GI71" s="20">
        <v>2</v>
      </c>
      <c r="GJ71" s="20">
        <v>4</v>
      </c>
      <c r="GK71" s="20">
        <v>6</v>
      </c>
      <c r="GL71" s="20">
        <v>6</v>
      </c>
      <c r="GM71" s="20">
        <v>8</v>
      </c>
      <c r="GN71" s="20">
        <v>10</v>
      </c>
      <c r="GO71" s="20">
        <v>10</v>
      </c>
      <c r="GP71" s="20">
        <v>12</v>
      </c>
      <c r="GQ71" s="20">
        <v>12</v>
      </c>
      <c r="GR71" s="20">
        <v>14</v>
      </c>
      <c r="GS71" s="20">
        <v>16</v>
      </c>
      <c r="GT71" s="20">
        <v>16</v>
      </c>
      <c r="GU71" s="20">
        <v>18</v>
      </c>
      <c r="GV71" s="20">
        <v>20</v>
      </c>
      <c r="GW71" s="20">
        <v>20</v>
      </c>
      <c r="GX71" s="20">
        <v>22</v>
      </c>
      <c r="GY71" s="20">
        <v>22</v>
      </c>
      <c r="GZ71" s="20">
        <v>24</v>
      </c>
      <c r="HA71" s="20">
        <v>26</v>
      </c>
      <c r="HB71" s="20">
        <v>26</v>
      </c>
      <c r="HC71" s="20">
        <v>28</v>
      </c>
      <c r="HD71" s="20">
        <v>30</v>
      </c>
      <c r="HE71" s="20">
        <v>30</v>
      </c>
      <c r="HF71" s="20"/>
      <c r="HG71" s="20"/>
      <c r="HH71" s="20"/>
      <c r="HI71" s="20"/>
      <c r="HJ71" s="20"/>
      <c r="HK71" s="20"/>
      <c r="HL71" s="20"/>
      <c r="HM71" s="20"/>
      <c r="HN71" s="20"/>
      <c r="HO71" s="20"/>
      <c r="HP71" s="20"/>
      <c r="HQ71" s="20"/>
      <c r="HR71" s="20"/>
      <c r="HS71" s="20"/>
      <c r="HT71" s="20"/>
      <c r="HU71" s="20"/>
      <c r="HV71" s="20"/>
      <c r="HW71" s="20"/>
      <c r="HX71" s="20"/>
      <c r="HY71" s="20"/>
      <c r="HZ71" s="20"/>
      <c r="IA71" s="20"/>
      <c r="IB71" s="20"/>
      <c r="IC71" s="20"/>
      <c r="ID71" s="20"/>
      <c r="IF71" s="21" t="s">
        <v>712</v>
      </c>
      <c r="IG71" s="21">
        <v>0</v>
      </c>
      <c r="IH71" s="21">
        <v>0</v>
      </c>
      <c r="II71" s="21">
        <v>2</v>
      </c>
      <c r="IJ71" s="21">
        <v>4</v>
      </c>
      <c r="IK71" s="21">
        <v>6</v>
      </c>
      <c r="IL71" s="21">
        <v>6</v>
      </c>
      <c r="IM71" s="21">
        <v>8</v>
      </c>
      <c r="IN71" s="21">
        <v>10</v>
      </c>
      <c r="IO71" s="21">
        <v>12</v>
      </c>
      <c r="IP71" s="21">
        <v>12</v>
      </c>
      <c r="IQ71" s="21">
        <v>14</v>
      </c>
      <c r="IR71" s="21">
        <v>16</v>
      </c>
      <c r="IS71" s="21">
        <v>18</v>
      </c>
      <c r="IT71" s="21">
        <v>18</v>
      </c>
      <c r="IU71" s="21">
        <v>20</v>
      </c>
      <c r="IV71" s="21">
        <v>22</v>
      </c>
      <c r="IW71" s="21">
        <v>24</v>
      </c>
      <c r="IX71" s="21">
        <v>24</v>
      </c>
      <c r="IY71" s="21">
        <v>26</v>
      </c>
      <c r="IZ71" s="21">
        <v>28</v>
      </c>
      <c r="JA71" s="21">
        <v>30</v>
      </c>
      <c r="JB71" s="21">
        <v>32</v>
      </c>
      <c r="JC71" s="21">
        <v>32</v>
      </c>
      <c r="JD71" s="21">
        <v>34</v>
      </c>
      <c r="JE71" s="21">
        <v>36</v>
      </c>
      <c r="JF71" s="21">
        <v>38</v>
      </c>
      <c r="JS71" s="20" t="s">
        <v>19</v>
      </c>
      <c r="JT71" s="20">
        <v>0</v>
      </c>
      <c r="JU71" s="20">
        <v>0</v>
      </c>
      <c r="JV71" s="20">
        <v>0</v>
      </c>
      <c r="JW71" s="20">
        <v>0</v>
      </c>
      <c r="JX71" s="20">
        <v>0</v>
      </c>
      <c r="JY71" s="20">
        <v>0</v>
      </c>
      <c r="JZ71" s="20">
        <v>0</v>
      </c>
      <c r="KA71" s="20">
        <v>0</v>
      </c>
      <c r="KB71" s="20">
        <v>0</v>
      </c>
      <c r="KC71" s="20">
        <v>0</v>
      </c>
      <c r="KD71" s="20">
        <v>4</v>
      </c>
      <c r="KE71" s="20">
        <v>0</v>
      </c>
      <c r="KF71" s="20">
        <v>2</v>
      </c>
      <c r="KG71" s="20">
        <v>8</v>
      </c>
      <c r="KH71" s="20">
        <v>0</v>
      </c>
      <c r="KI71" s="20">
        <v>2</v>
      </c>
      <c r="KJ71" s="20">
        <v>8</v>
      </c>
      <c r="KK71" s="20">
        <v>0</v>
      </c>
      <c r="KL71" s="20">
        <v>2</v>
      </c>
      <c r="KM71" s="20">
        <v>8</v>
      </c>
      <c r="KN71" s="20">
        <v>0</v>
      </c>
      <c r="KO71" s="20">
        <v>0</v>
      </c>
      <c r="KP71" s="20">
        <v>0</v>
      </c>
      <c r="KQ71" s="20">
        <v>2</v>
      </c>
      <c r="KR71" s="20">
        <v>4</v>
      </c>
      <c r="KS71" s="20">
        <v>0</v>
      </c>
      <c r="KU71" s="20" t="s">
        <v>19</v>
      </c>
      <c r="KV71" s="20">
        <v>0</v>
      </c>
      <c r="KW71" s="20">
        <v>0</v>
      </c>
      <c r="KX71" s="20">
        <v>0</v>
      </c>
      <c r="KY71" s="20">
        <v>0</v>
      </c>
      <c r="KZ71" s="20">
        <v>0</v>
      </c>
      <c r="LA71" s="20">
        <v>0</v>
      </c>
      <c r="LB71" s="20">
        <v>4</v>
      </c>
      <c r="LC71" s="20">
        <v>0</v>
      </c>
      <c r="LD71" s="20">
        <v>2</v>
      </c>
      <c r="LE71" s="20">
        <v>0</v>
      </c>
      <c r="LF71" s="20">
        <v>2</v>
      </c>
      <c r="LG71" s="20">
        <v>0</v>
      </c>
      <c r="LH71" s="20">
        <v>2</v>
      </c>
      <c r="LI71" s="20">
        <v>0</v>
      </c>
      <c r="LJ71" s="20">
        <v>0</v>
      </c>
      <c r="LK71" s="20">
        <v>8</v>
      </c>
      <c r="LL71" s="20">
        <v>0</v>
      </c>
      <c r="LM71" s="20">
        <v>0</v>
      </c>
      <c r="LN71" s="20">
        <v>0</v>
      </c>
      <c r="LO71" s="20">
        <v>8</v>
      </c>
      <c r="LP71" s="20">
        <v>0</v>
      </c>
      <c r="LQ71" s="20">
        <v>8</v>
      </c>
      <c r="LR71" s="20">
        <v>2</v>
      </c>
      <c r="LS71" s="20">
        <v>6</v>
      </c>
      <c r="LT71" s="20">
        <v>8</v>
      </c>
      <c r="LU71" s="20">
        <v>6</v>
      </c>
      <c r="LW71" s="20" t="s">
        <v>19</v>
      </c>
      <c r="LX71" s="20">
        <v>0</v>
      </c>
      <c r="LY71" s="20">
        <v>0</v>
      </c>
      <c r="LZ71" s="20">
        <v>0</v>
      </c>
      <c r="MA71" s="20">
        <v>0</v>
      </c>
      <c r="MB71" s="20">
        <v>0</v>
      </c>
      <c r="MC71" s="20">
        <v>2</v>
      </c>
      <c r="MD71" s="20">
        <v>2</v>
      </c>
      <c r="ME71" s="20">
        <v>0</v>
      </c>
      <c r="MF71" s="20">
        <v>8</v>
      </c>
      <c r="MG71" s="20">
        <v>0</v>
      </c>
      <c r="MH71" s="20">
        <v>2</v>
      </c>
      <c r="MI71" s="20">
        <v>6</v>
      </c>
      <c r="MJ71" s="20">
        <v>2</v>
      </c>
      <c r="MK71" s="20">
        <v>2</v>
      </c>
      <c r="ML71" s="20">
        <v>2</v>
      </c>
      <c r="MM71" s="20">
        <v>8</v>
      </c>
      <c r="MN71" s="20">
        <v>8</v>
      </c>
      <c r="MO71" s="20">
        <v>2</v>
      </c>
      <c r="MP71" s="20">
        <v>4</v>
      </c>
      <c r="MQ71" s="20">
        <v>0</v>
      </c>
      <c r="MR71" s="20">
        <v>0</v>
      </c>
      <c r="MS71" s="20">
        <v>0</v>
      </c>
      <c r="MT71" s="20">
        <v>0</v>
      </c>
      <c r="MU71" s="20">
        <v>6</v>
      </c>
      <c r="MV71" s="20">
        <v>2</v>
      </c>
      <c r="MW71" s="20">
        <v>2</v>
      </c>
      <c r="MY71" s="21" t="s">
        <v>19</v>
      </c>
      <c r="MZ71" s="21">
        <v>0</v>
      </c>
      <c r="NA71" s="21">
        <v>0</v>
      </c>
      <c r="NB71" s="21">
        <v>0</v>
      </c>
      <c r="NC71" s="21">
        <v>2</v>
      </c>
      <c r="ND71" s="21">
        <v>4</v>
      </c>
      <c r="NE71" s="21">
        <v>2</v>
      </c>
      <c r="NF71" s="21">
        <v>8</v>
      </c>
      <c r="NG71" s="21">
        <v>2</v>
      </c>
      <c r="NH71" s="21">
        <v>8</v>
      </c>
      <c r="NI71" s="21">
        <v>6</v>
      </c>
      <c r="NJ71" s="21">
        <v>2</v>
      </c>
      <c r="NK71" s="21">
        <v>6</v>
      </c>
      <c r="NL71" s="21">
        <v>6</v>
      </c>
      <c r="NM71" s="21">
        <v>0</v>
      </c>
      <c r="NN71" s="21">
        <v>2</v>
      </c>
      <c r="NO71" s="21">
        <v>0</v>
      </c>
      <c r="NP71" s="21">
        <v>8</v>
      </c>
      <c r="NQ71" s="21">
        <v>2</v>
      </c>
      <c r="NR71" s="21">
        <v>8</v>
      </c>
      <c r="NS71" s="21">
        <v>4</v>
      </c>
      <c r="NT71" s="21">
        <v>2</v>
      </c>
      <c r="NU71" s="21">
        <v>4</v>
      </c>
      <c r="NV71" s="21">
        <v>6</v>
      </c>
      <c r="NW71" s="21">
        <v>8</v>
      </c>
      <c r="NX71" s="21">
        <v>2</v>
      </c>
      <c r="NY71" s="21">
        <v>8</v>
      </c>
    </row>
    <row r="72" spans="1:389" x14ac:dyDescent="0.25">
      <c r="A72" s="4"/>
      <c r="B72" s="6"/>
      <c r="C72" s="4"/>
      <c r="D72" s="4"/>
      <c r="E72" s="4"/>
      <c r="F72" s="4"/>
      <c r="G72" s="4"/>
      <c r="H72" s="4"/>
      <c r="I72" s="4"/>
      <c r="J72" s="4"/>
      <c r="K72" s="4"/>
      <c r="L72" s="6" t="s">
        <v>512</v>
      </c>
      <c r="M72" s="14">
        <f>INDEX(cennik!$C$2:$L$529,MATCH($L72,cennik!$B$2:$B$522,0),MATCH(M$27,cennik!$C$1:$L$1,0))</f>
        <v>808251</v>
      </c>
      <c r="N72" s="14" t="str">
        <f>INDEX(cennik!$C$2:$L$529,MATCH($L72,cennik!$B$2:$B$522,0),MATCH(N$27,cennik!$C$1:$L$1,0))</f>
        <v>szt.</v>
      </c>
      <c r="O72" s="14">
        <f>IF(E61=$AK$24,0,E62)</f>
        <v>0</v>
      </c>
      <c r="P72" s="22">
        <f>INDEX(cennik!$C$2:$L$529,MATCH($L72,cennik!$B$2:$B$522,0),MATCH(P$27,cennik!$C$1:$L$1,0))</f>
        <v>0.63</v>
      </c>
      <c r="Q72" s="22">
        <f t="shared" si="68"/>
        <v>0</v>
      </c>
      <c r="R72" s="23">
        <f t="shared" si="64"/>
        <v>0</v>
      </c>
      <c r="S72" s="22">
        <f t="shared" si="65"/>
        <v>0.63</v>
      </c>
      <c r="T72" s="22">
        <f t="shared" si="69"/>
        <v>0</v>
      </c>
      <c r="U72" s="22">
        <f>INDEX(cennik!$C$2:$L$529,MATCH($L72,cennik!$B$2:$B$522,0),MATCH(U$27,cennik!$C$1:$L$1,0))*O72</f>
        <v>0</v>
      </c>
      <c r="V72" s="20"/>
      <c r="W72" s="20"/>
      <c r="X72" s="25">
        <f t="shared" si="72"/>
        <v>0</v>
      </c>
      <c r="Y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84,$BB$2:$CA$2,0),MATCH($W$65,$AH$22:$AH$47,0)))*C84</f>
        <v>0</v>
      </c>
      <c r="Z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84,$BB$2:$CA$2,0),MATCH($W$65,$AH$22:$AH$47,0)))*C84</f>
        <v>0</v>
      </c>
      <c r="AA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84,$BB$2:$CA$2,0),MATCH($W$65,$AH$22:$AH$47,0)))*C84</f>
        <v>0</v>
      </c>
      <c r="AB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84,$BB$2:$CA$2,0),MATCH($W$65,$AH$22:$AH$47,0)))*C84</f>
        <v>0</v>
      </c>
      <c r="AC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84,$BB$2:$CA$2,0),MATCH($W$65,$AH$22:$AH$47,0)))*C84</f>
        <v>0</v>
      </c>
      <c r="AD7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84,$BB$2:$CA$2,0),MATCH($W$65,$AH$22:$AH$47,0)))*C84</f>
        <v>0</v>
      </c>
      <c r="AE72" s="20"/>
      <c r="AF72" s="20"/>
      <c r="AG72" s="20"/>
      <c r="AH72" s="20"/>
      <c r="AI72" s="20"/>
      <c r="AJ72" s="20"/>
      <c r="AK72" s="20"/>
      <c r="AL72" s="20">
        <f t="shared" si="73"/>
        <v>0</v>
      </c>
      <c r="AM72" s="20"/>
      <c r="AN72" s="20"/>
      <c r="AO72" s="20"/>
      <c r="AP72" s="20"/>
      <c r="AQ72" s="20"/>
      <c r="AR72" s="20"/>
      <c r="AS72" s="20"/>
      <c r="AT72" s="20"/>
      <c r="AU72" s="20"/>
      <c r="AV72" s="20"/>
      <c r="AW72" s="20"/>
      <c r="AX72" s="20"/>
      <c r="AY72" s="20"/>
      <c r="AZ72" s="20"/>
      <c r="BA72" s="26"/>
      <c r="BB72" s="20"/>
      <c r="BC72" s="20"/>
      <c r="BD72" s="20"/>
      <c r="BE72" s="20"/>
      <c r="BF72" s="20"/>
      <c r="BG72" s="20"/>
      <c r="BH72" s="20"/>
      <c r="BI72" s="20"/>
      <c r="BJ72" s="20"/>
      <c r="BK72" s="20"/>
      <c r="BL72" s="20"/>
      <c r="BM72" s="20"/>
      <c r="BN72" s="20"/>
      <c r="BO72" s="20"/>
      <c r="BP72" s="20"/>
      <c r="BQ72" s="20"/>
      <c r="BR72" s="20"/>
      <c r="BS72" s="20"/>
      <c r="BT72" s="20"/>
      <c r="BU72" s="20"/>
      <c r="BV72" s="20"/>
      <c r="BW72" s="20"/>
      <c r="BX72" s="20"/>
      <c r="BY72" s="20"/>
      <c r="BZ72" s="20"/>
      <c r="CA72" s="20"/>
      <c r="CB72" s="20"/>
      <c r="CC72" s="20"/>
      <c r="CD72" s="20"/>
      <c r="CE72" s="20"/>
      <c r="CF72" s="20"/>
      <c r="CG72" s="20"/>
      <c r="CH72" s="20"/>
      <c r="CI72" s="20"/>
      <c r="CJ72" s="20"/>
      <c r="CK72" s="20"/>
      <c r="CL72" s="20"/>
      <c r="CM72" s="20"/>
      <c r="CN72" s="20"/>
      <c r="CO72" s="20"/>
      <c r="CP72" s="20"/>
      <c r="CQ72" s="20"/>
      <c r="CR72" s="20"/>
      <c r="CS72" s="20"/>
      <c r="CT72" s="20"/>
      <c r="CU72" s="20"/>
      <c r="CV72" s="20"/>
      <c r="CW72" s="20"/>
      <c r="CX72" s="20"/>
      <c r="CY72" s="20"/>
      <c r="CZ72" s="20"/>
      <c r="DA72" s="54"/>
      <c r="DB72" s="54"/>
      <c r="DC72" s="54"/>
      <c r="DD72" s="20" t="s">
        <v>520</v>
      </c>
      <c r="DE72" s="20">
        <v>0</v>
      </c>
      <c r="DF72" s="20">
        <v>0</v>
      </c>
      <c r="DG72" s="20">
        <v>0</v>
      </c>
      <c r="DH72" s="20">
        <v>2</v>
      </c>
      <c r="DI72" s="20">
        <v>2</v>
      </c>
      <c r="DJ72" s="20">
        <v>6</v>
      </c>
      <c r="DK72" s="20">
        <v>4</v>
      </c>
      <c r="DL72" s="20">
        <v>8</v>
      </c>
      <c r="DM72" s="20">
        <v>6</v>
      </c>
      <c r="DN72" s="20">
        <v>10</v>
      </c>
      <c r="DO72" s="20">
        <v>10</v>
      </c>
      <c r="DP72" s="20">
        <v>12</v>
      </c>
      <c r="DQ72" s="20">
        <v>12</v>
      </c>
      <c r="DR72" s="20">
        <v>14</v>
      </c>
      <c r="DS72" s="20">
        <v>14</v>
      </c>
      <c r="DT72" s="20">
        <v>14</v>
      </c>
      <c r="DU72" s="20">
        <v>16</v>
      </c>
      <c r="DV72" s="20">
        <v>16</v>
      </c>
      <c r="DW72" s="20">
        <v>20</v>
      </c>
      <c r="DX72" s="20">
        <v>18</v>
      </c>
      <c r="DY72" s="20">
        <v>22</v>
      </c>
      <c r="DZ72" s="20"/>
      <c r="EA72" s="20"/>
      <c r="EB72" s="20"/>
      <c r="EC72" s="20"/>
      <c r="ED72" s="20"/>
      <c r="EE72" s="20"/>
      <c r="EF72" s="20"/>
      <c r="EG72" s="20"/>
      <c r="EH72" s="20"/>
      <c r="EI72" s="20"/>
      <c r="EJ72" s="20"/>
      <c r="EK72" s="20"/>
      <c r="EL72" s="20"/>
      <c r="EM72" s="20"/>
      <c r="EN72" s="20"/>
      <c r="EO72" s="20"/>
      <c r="EP72" s="20"/>
      <c r="EQ72" s="20"/>
      <c r="ER72" s="20"/>
      <c r="ES72" s="20"/>
      <c r="ET72" s="20"/>
      <c r="EU72" s="20"/>
      <c r="EV72" s="20"/>
      <c r="EW72" s="20"/>
      <c r="EX72" s="20"/>
      <c r="EY72" s="20"/>
      <c r="EZ72" s="20"/>
      <c r="FA72" s="20"/>
      <c r="FB72" s="20"/>
      <c r="FC72" s="20"/>
      <c r="FD72" s="20"/>
      <c r="FE72" s="20"/>
      <c r="FF72" s="20"/>
      <c r="FG72" s="20"/>
      <c r="FH72" s="20"/>
      <c r="FI72" s="20"/>
      <c r="FJ72" s="20"/>
      <c r="FK72" s="20"/>
      <c r="FL72" s="20"/>
      <c r="FM72" s="20"/>
      <c r="FN72" s="20"/>
      <c r="FO72" s="20"/>
      <c r="FP72" s="20"/>
      <c r="FQ72" s="20"/>
      <c r="FR72" s="20"/>
      <c r="FS72" s="20"/>
      <c r="FT72" s="20"/>
      <c r="FU72" s="20"/>
      <c r="FV72" s="20"/>
      <c r="FW72" s="20"/>
      <c r="FX72" s="20"/>
      <c r="FY72" s="20"/>
      <c r="FZ72" s="20"/>
      <c r="GA72" s="20"/>
      <c r="GC72" s="20"/>
      <c r="GD72" s="20"/>
      <c r="GE72" s="20"/>
      <c r="GF72" s="20"/>
      <c r="GG72" s="20"/>
      <c r="GH72" s="20"/>
      <c r="GI72" s="20"/>
      <c r="GJ72" s="20"/>
      <c r="GK72" s="20"/>
      <c r="GL72" s="20"/>
      <c r="GM72" s="20"/>
      <c r="GN72" s="20"/>
      <c r="GO72" s="20"/>
      <c r="GP72" s="20"/>
      <c r="GQ72" s="20"/>
      <c r="GR72" s="20"/>
      <c r="GS72" s="20"/>
      <c r="GT72" s="20"/>
      <c r="GU72" s="20"/>
      <c r="GV72" s="20"/>
      <c r="GW72" s="20"/>
      <c r="GX72" s="20"/>
      <c r="GY72" s="20"/>
      <c r="GZ72" s="20"/>
      <c r="HA72" s="20"/>
      <c r="HB72" s="20"/>
      <c r="HC72" s="20"/>
      <c r="HD72" s="20"/>
      <c r="HE72" s="20"/>
      <c r="HF72" s="20"/>
      <c r="HG72" s="20"/>
      <c r="HH72" s="20"/>
      <c r="HI72" s="20"/>
      <c r="HJ72" s="20"/>
      <c r="HK72" s="20"/>
      <c r="HL72" s="20"/>
      <c r="HM72" s="20"/>
      <c r="HN72" s="20"/>
      <c r="HO72" s="20"/>
      <c r="HP72" s="20"/>
      <c r="HQ72" s="20"/>
      <c r="HR72" s="20"/>
      <c r="HS72" s="20"/>
      <c r="HT72" s="20"/>
      <c r="HU72" s="20"/>
      <c r="HV72" s="20"/>
      <c r="HW72" s="20"/>
      <c r="HX72" s="20"/>
      <c r="HY72" s="20"/>
      <c r="HZ72" s="20"/>
      <c r="IA72" s="20"/>
      <c r="IB72" s="20"/>
      <c r="IC72" s="20"/>
      <c r="ID72" s="20"/>
      <c r="JS72" s="20" t="s">
        <v>1298</v>
      </c>
      <c r="JT72" s="20">
        <v>0</v>
      </c>
      <c r="JU72" s="20">
        <v>0</v>
      </c>
      <c r="JV72" s="20">
        <v>0</v>
      </c>
      <c r="JW72" s="20">
        <v>2</v>
      </c>
      <c r="JX72" s="20">
        <v>0</v>
      </c>
      <c r="JY72" s="20">
        <v>2</v>
      </c>
      <c r="JZ72" s="20">
        <v>4</v>
      </c>
      <c r="KA72" s="20">
        <v>4</v>
      </c>
      <c r="KB72" s="20">
        <v>0</v>
      </c>
      <c r="KC72" s="20">
        <v>6</v>
      </c>
      <c r="KD72" s="20">
        <v>0</v>
      </c>
      <c r="KE72" s="20">
        <v>6</v>
      </c>
      <c r="KF72" s="20">
        <v>6</v>
      </c>
      <c r="KG72" s="20">
        <v>0</v>
      </c>
      <c r="KH72" s="20">
        <v>8</v>
      </c>
      <c r="KI72" s="20">
        <v>8</v>
      </c>
      <c r="KJ72" s="20">
        <v>2</v>
      </c>
      <c r="KK72" s="20">
        <v>8</v>
      </c>
      <c r="KL72" s="20">
        <v>10</v>
      </c>
      <c r="KM72" s="20">
        <v>4</v>
      </c>
      <c r="KN72" s="20">
        <v>12</v>
      </c>
      <c r="KO72" s="20">
        <v>12</v>
      </c>
      <c r="KP72" s="20">
        <v>12</v>
      </c>
      <c r="KQ72" s="20">
        <v>12</v>
      </c>
      <c r="KR72" s="20">
        <v>12</v>
      </c>
      <c r="KS72" s="20">
        <v>14</v>
      </c>
      <c r="KU72" s="20" t="s">
        <v>1298</v>
      </c>
      <c r="KV72" s="20">
        <v>0</v>
      </c>
      <c r="KW72" s="20">
        <v>0</v>
      </c>
      <c r="KX72" s="20">
        <v>0</v>
      </c>
      <c r="KY72" s="20">
        <v>0</v>
      </c>
      <c r="KZ72" s="20">
        <v>0</v>
      </c>
      <c r="LA72" s="20">
        <v>4</v>
      </c>
      <c r="LB72" s="20">
        <v>0</v>
      </c>
      <c r="LC72" s="20">
        <v>6</v>
      </c>
      <c r="LD72" s="20">
        <v>4</v>
      </c>
      <c r="LE72" s="20">
        <v>8</v>
      </c>
      <c r="LF72" s="20">
        <v>6</v>
      </c>
      <c r="LG72" s="20">
        <v>10</v>
      </c>
      <c r="LH72" s="20">
        <v>8</v>
      </c>
      <c r="LI72" s="20">
        <v>12</v>
      </c>
      <c r="LJ72" s="20">
        <v>12</v>
      </c>
      <c r="LK72" s="20">
        <v>8</v>
      </c>
      <c r="LL72" s="20">
        <v>14</v>
      </c>
      <c r="LM72" s="20">
        <v>16</v>
      </c>
      <c r="LN72" s="20">
        <v>16</v>
      </c>
      <c r="LO72" s="20">
        <v>12</v>
      </c>
      <c r="LP72" s="20">
        <v>18</v>
      </c>
      <c r="LQ72" s="20">
        <v>14</v>
      </c>
      <c r="LR72" s="20">
        <v>18</v>
      </c>
      <c r="LS72" s="20">
        <v>18</v>
      </c>
      <c r="LT72" s="20">
        <v>16</v>
      </c>
      <c r="LU72" s="20">
        <v>20</v>
      </c>
      <c r="LW72" s="20" t="s">
        <v>1298</v>
      </c>
      <c r="LX72" s="20">
        <v>0</v>
      </c>
      <c r="LY72" s="20">
        <v>0</v>
      </c>
      <c r="LZ72" s="20">
        <v>0</v>
      </c>
      <c r="MA72" s="20">
        <v>0</v>
      </c>
      <c r="MB72" s="20">
        <v>2</v>
      </c>
      <c r="MC72" s="20">
        <v>4</v>
      </c>
      <c r="MD72" s="20">
        <v>4</v>
      </c>
      <c r="ME72" s="20">
        <v>4</v>
      </c>
      <c r="MF72" s="20">
        <v>2</v>
      </c>
      <c r="MG72" s="20">
        <v>8</v>
      </c>
      <c r="MH72" s="20">
        <v>8</v>
      </c>
      <c r="MI72" s="20">
        <v>6</v>
      </c>
      <c r="MJ72" s="20">
        <v>12</v>
      </c>
      <c r="MK72" s="20">
        <v>12</v>
      </c>
      <c r="ML72" s="20">
        <v>12</v>
      </c>
      <c r="MM72" s="20">
        <v>10</v>
      </c>
      <c r="MN72" s="20">
        <v>10</v>
      </c>
      <c r="MO72" s="20">
        <v>16</v>
      </c>
      <c r="MP72" s="20">
        <v>16</v>
      </c>
      <c r="MQ72" s="20">
        <v>22</v>
      </c>
      <c r="MR72" s="20">
        <v>22</v>
      </c>
      <c r="MS72" s="20">
        <v>22</v>
      </c>
      <c r="MT72" s="20">
        <v>24</v>
      </c>
      <c r="MU72" s="20">
        <v>20</v>
      </c>
      <c r="MV72" s="20">
        <v>26</v>
      </c>
      <c r="MW72" s="20">
        <v>26</v>
      </c>
      <c r="MY72" s="20" t="s">
        <v>1298</v>
      </c>
      <c r="MZ72" s="21">
        <v>0</v>
      </c>
      <c r="NA72" s="21">
        <v>0</v>
      </c>
      <c r="NB72" s="21">
        <v>0</v>
      </c>
      <c r="NC72" s="21">
        <v>0</v>
      </c>
      <c r="ND72" s="21">
        <v>2</v>
      </c>
      <c r="NE72" s="21">
        <v>4</v>
      </c>
      <c r="NF72" s="21">
        <v>0</v>
      </c>
      <c r="NG72" s="21">
        <v>8</v>
      </c>
      <c r="NH72" s="21">
        <v>4</v>
      </c>
      <c r="NI72" s="21">
        <v>6</v>
      </c>
      <c r="NJ72" s="21">
        <v>10</v>
      </c>
      <c r="NK72" s="21">
        <v>10</v>
      </c>
      <c r="NL72" s="21">
        <v>10</v>
      </c>
      <c r="NM72" s="21">
        <v>16</v>
      </c>
      <c r="NN72" s="21">
        <v>18</v>
      </c>
      <c r="NO72" s="21">
        <v>20</v>
      </c>
      <c r="NP72" s="21">
        <v>14</v>
      </c>
      <c r="NQ72" s="21">
        <v>22</v>
      </c>
      <c r="NR72" s="21">
        <v>18</v>
      </c>
      <c r="NS72" s="21">
        <v>22</v>
      </c>
      <c r="NT72" s="21">
        <v>24</v>
      </c>
      <c r="NU72" s="21">
        <v>26</v>
      </c>
      <c r="NV72" s="21">
        <v>24</v>
      </c>
      <c r="NW72" s="21">
        <v>24</v>
      </c>
      <c r="NX72" s="21">
        <v>32</v>
      </c>
      <c r="NY72" s="21">
        <v>28</v>
      </c>
    </row>
    <row r="73" spans="1:389" x14ac:dyDescent="0.25">
      <c r="A73" s="4"/>
      <c r="B73" s="6"/>
      <c r="C73" s="4"/>
      <c r="D73" s="4"/>
      <c r="E73" s="4"/>
      <c r="F73" s="4"/>
      <c r="G73" s="4"/>
      <c r="H73" s="4"/>
      <c r="I73" s="4"/>
      <c r="J73" s="4"/>
      <c r="K73" s="4"/>
      <c r="L73" s="6" t="s">
        <v>67</v>
      </c>
      <c r="M73" s="14">
        <f>INDEX(cennik!$C$2:$L$529,MATCH($L73,cennik!$B$2:$B$522,0),MATCH(M$27,cennik!$C$1:$L$1,0))</f>
        <v>890008</v>
      </c>
      <c r="N73" s="14" t="str">
        <f>INDEX(cennik!$C$2:$L$529,MATCH($L73,cennik!$B$2:$B$522,0),MATCH(N$27,cennik!$C$1:$L$1,0))</f>
        <v>100 szt.</v>
      </c>
      <c r="O73" s="14">
        <f>ROUNDUP((O72/100),0)</f>
        <v>0</v>
      </c>
      <c r="P73" s="22">
        <f>INDEX(cennik!$C$2:$L$529,MATCH($L73,cennik!$B$2:$B$522,0),MATCH(P$27,cennik!$C$1:$L$1,0))</f>
        <v>28.15</v>
      </c>
      <c r="Q73" s="22">
        <f t="shared" si="68"/>
        <v>0</v>
      </c>
      <c r="R73" s="23">
        <f t="shared" si="64"/>
        <v>0</v>
      </c>
      <c r="S73" s="22">
        <f t="shared" si="65"/>
        <v>28.15</v>
      </c>
      <c r="T73" s="22">
        <f t="shared" si="69"/>
        <v>0</v>
      </c>
      <c r="U73" s="22">
        <f>INDEX(cennik!$C$2:$L$529,MATCH($L73,cennik!$B$2:$B$522,0),MATCH(U$27,cennik!$C$1:$L$1,0))*O73</f>
        <v>0</v>
      </c>
      <c r="V73" s="20"/>
      <c r="W73" s="20"/>
      <c r="X73" s="25">
        <f t="shared" si="72"/>
        <v>0</v>
      </c>
      <c r="Y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85,$BB$2:$CA$2,0),MATCH($W$65,$AH$22:$AH$47,0)))*C85</f>
        <v>0</v>
      </c>
      <c r="Z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85,$BB$2:$CA$2,0),MATCH($W$65,$AH$22:$AH$47,0)))*C85</f>
        <v>0</v>
      </c>
      <c r="AA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85,$BB$2:$CA$2,0),MATCH($W$65,$AH$22:$AH$47,0)))*C85</f>
        <v>0</v>
      </c>
      <c r="AB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85,$BB$2:$CA$2,0),MATCH($W$65,$AH$22:$AH$47,0)))*C85</f>
        <v>0</v>
      </c>
      <c r="AC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85,$BB$2:$CA$2,0),MATCH($W$65,$AH$22:$AH$47,0)))*C85</f>
        <v>0</v>
      </c>
      <c r="AD7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85,$BB$2:$CA$2,0),MATCH($W$65,$AH$22:$AH$47,0)))*C85</f>
        <v>0</v>
      </c>
      <c r="AE73" s="20"/>
      <c r="AF73" s="20"/>
      <c r="AG73" s="20"/>
      <c r="AH73" s="20"/>
      <c r="AI73" s="20"/>
      <c r="AJ73" s="20"/>
      <c r="AK73" s="20"/>
      <c r="AL73" s="20">
        <f t="shared" si="73"/>
        <v>0</v>
      </c>
      <c r="AM73" s="20"/>
      <c r="AN73" s="20"/>
      <c r="AO73" s="20"/>
      <c r="AP73" s="20"/>
      <c r="AQ73" s="20"/>
      <c r="AR73" s="20"/>
      <c r="AS73" s="20"/>
      <c r="AT73" s="20"/>
      <c r="AU73" s="20"/>
      <c r="AV73" s="20"/>
      <c r="AW73" s="20"/>
      <c r="AX73" s="20"/>
      <c r="AY73" s="20"/>
      <c r="AZ73" s="20"/>
      <c r="BA73" s="20" t="s">
        <v>713</v>
      </c>
      <c r="BB73" s="20"/>
      <c r="BC73" s="20"/>
      <c r="BD73" s="20"/>
      <c r="BE73" s="20"/>
      <c r="BF73" s="20"/>
      <c r="BG73" s="20"/>
      <c r="BH73" s="20"/>
      <c r="BI73" s="20"/>
      <c r="BJ73" s="20"/>
      <c r="BK73" s="20"/>
      <c r="BL73" s="20"/>
      <c r="BM73" s="20"/>
      <c r="BN73" s="20"/>
      <c r="BO73" s="20"/>
      <c r="BP73" s="20"/>
      <c r="BQ73" s="20"/>
      <c r="BR73" s="20"/>
      <c r="BS73" s="20"/>
      <c r="BT73" s="20"/>
      <c r="BU73" s="20"/>
      <c r="BV73" s="20"/>
      <c r="BW73" s="20"/>
      <c r="BX73" s="20"/>
      <c r="BY73" s="20"/>
      <c r="BZ73" s="20"/>
      <c r="CA73" s="20"/>
      <c r="CB73" s="20"/>
      <c r="CC73" s="20"/>
      <c r="CD73" s="20"/>
      <c r="CE73" s="20"/>
      <c r="CF73" s="20"/>
      <c r="CG73" s="20"/>
      <c r="CH73" s="20"/>
      <c r="CI73" s="20"/>
      <c r="CJ73" s="20"/>
      <c r="CK73" s="20"/>
      <c r="CL73" s="20"/>
      <c r="CM73" s="20"/>
      <c r="CN73" s="20"/>
      <c r="CO73" s="20"/>
      <c r="CP73" s="20"/>
      <c r="CQ73" s="20"/>
      <c r="CR73" s="20"/>
      <c r="CS73" s="20"/>
      <c r="CT73" s="20"/>
      <c r="CU73" s="20"/>
      <c r="CV73" s="20"/>
      <c r="CW73" s="20"/>
      <c r="CX73" s="20"/>
      <c r="CY73" s="20"/>
      <c r="CZ73" s="20"/>
      <c r="DA73" s="54"/>
      <c r="DB73" s="54"/>
      <c r="DC73" s="54"/>
      <c r="DD73" s="20" t="s">
        <v>521</v>
      </c>
      <c r="DE73" s="20">
        <v>0</v>
      </c>
      <c r="DF73" s="20">
        <v>0</v>
      </c>
      <c r="DG73" s="20">
        <v>4</v>
      </c>
      <c r="DH73" s="20">
        <v>4</v>
      </c>
      <c r="DI73" s="20">
        <v>8</v>
      </c>
      <c r="DJ73" s="20">
        <v>8</v>
      </c>
      <c r="DK73" s="20">
        <v>12</v>
      </c>
      <c r="DL73" s="20">
        <v>12</v>
      </c>
      <c r="DM73" s="20">
        <v>16</v>
      </c>
      <c r="DN73" s="20">
        <v>16</v>
      </c>
      <c r="DO73" s="20">
        <v>20</v>
      </c>
      <c r="DP73" s="20">
        <v>20</v>
      </c>
      <c r="DQ73" s="20">
        <v>24</v>
      </c>
      <c r="DR73" s="20">
        <v>24</v>
      </c>
      <c r="DS73" s="20">
        <v>28</v>
      </c>
      <c r="DT73" s="20">
        <v>32</v>
      </c>
      <c r="DU73" s="20">
        <v>32</v>
      </c>
      <c r="DV73" s="20">
        <v>36</v>
      </c>
      <c r="DW73" s="20">
        <v>36</v>
      </c>
      <c r="DX73" s="20">
        <v>40</v>
      </c>
      <c r="DY73" s="20">
        <v>40</v>
      </c>
      <c r="DZ73" s="20"/>
      <c r="EA73" s="20"/>
      <c r="EB73" s="20" t="s">
        <v>472</v>
      </c>
      <c r="EC73" s="20"/>
      <c r="ED73" s="20"/>
      <c r="EE73" s="20"/>
      <c r="EF73" s="20"/>
      <c r="EG73" s="20"/>
      <c r="EH73" s="20"/>
      <c r="EI73" s="20"/>
      <c r="EJ73" s="20"/>
      <c r="EK73" s="20"/>
      <c r="EL73" s="20"/>
      <c r="EM73" s="20"/>
      <c r="EN73" s="20"/>
      <c r="EO73" s="20"/>
      <c r="EP73" s="20"/>
      <c r="EQ73" s="20"/>
      <c r="ER73" s="20"/>
      <c r="ES73" s="20"/>
      <c r="ET73" s="20"/>
      <c r="EU73" s="20"/>
      <c r="EV73" s="20"/>
      <c r="EW73" s="20"/>
      <c r="EX73" s="20"/>
      <c r="EY73" s="20"/>
      <c r="EZ73" s="20"/>
      <c r="FA73" s="20"/>
      <c r="FB73" s="20"/>
      <c r="FC73" s="20"/>
      <c r="FD73" s="20"/>
      <c r="FE73" s="20"/>
      <c r="FF73" s="20"/>
      <c r="FG73" s="20"/>
      <c r="FH73" s="20"/>
      <c r="FI73" s="20"/>
      <c r="FJ73" s="20"/>
      <c r="FK73" s="20"/>
      <c r="FL73" s="20"/>
      <c r="FM73" s="20"/>
      <c r="FN73" s="20"/>
      <c r="FO73" s="20"/>
      <c r="FP73" s="20"/>
      <c r="FQ73" s="20"/>
      <c r="FR73" s="20"/>
      <c r="FS73" s="20"/>
      <c r="FT73" s="20"/>
      <c r="FU73" s="20"/>
      <c r="FV73" s="20"/>
      <c r="FW73" s="20"/>
      <c r="FX73" s="20"/>
      <c r="FY73" s="20"/>
      <c r="FZ73" s="20"/>
      <c r="GA73" s="20"/>
      <c r="GC73" s="20"/>
      <c r="GD73" s="20"/>
      <c r="GE73" s="20" t="s">
        <v>138</v>
      </c>
      <c r="GF73" s="20"/>
      <c r="GG73" s="20"/>
      <c r="GH73" s="20"/>
      <c r="GI73" s="20"/>
      <c r="GJ73" s="20"/>
      <c r="GK73" s="20"/>
      <c r="GL73" s="20"/>
      <c r="GM73" s="20"/>
      <c r="GN73" s="20"/>
      <c r="GO73" s="20"/>
      <c r="GP73" s="20"/>
      <c r="GQ73" s="20"/>
      <c r="GR73" s="20"/>
      <c r="GS73" s="20"/>
      <c r="GT73" s="20"/>
      <c r="GU73" s="20"/>
      <c r="GV73" s="20"/>
      <c r="GW73" s="20"/>
      <c r="GX73" s="20"/>
      <c r="GY73" s="20"/>
      <c r="GZ73" s="20"/>
      <c r="HA73" s="20"/>
      <c r="HB73" s="20"/>
      <c r="HC73" s="20"/>
      <c r="HD73" s="20"/>
      <c r="HE73" s="20"/>
      <c r="HF73" s="20"/>
      <c r="HG73" s="20"/>
      <c r="HH73" s="20"/>
      <c r="HI73" s="20"/>
      <c r="HJ73" s="20"/>
      <c r="HK73" s="20"/>
      <c r="HL73" s="20"/>
      <c r="HM73" s="20"/>
      <c r="HN73" s="20"/>
      <c r="HO73" s="20"/>
      <c r="HP73" s="20"/>
      <c r="HQ73" s="20"/>
      <c r="HR73" s="20"/>
      <c r="HS73" s="20"/>
      <c r="HT73" s="20"/>
      <c r="HU73" s="20"/>
      <c r="HV73" s="20"/>
      <c r="HW73" s="20"/>
      <c r="HX73" s="20"/>
      <c r="HY73" s="20"/>
      <c r="HZ73" s="20"/>
      <c r="IA73" s="20"/>
      <c r="IB73" s="20"/>
      <c r="IC73" s="20"/>
      <c r="ID73" s="20"/>
      <c r="JS73" s="20" t="s">
        <v>1026</v>
      </c>
      <c r="JT73" s="20">
        <v>0</v>
      </c>
      <c r="JU73" s="20">
        <v>0</v>
      </c>
      <c r="JV73" s="20">
        <v>0</v>
      </c>
      <c r="JW73" s="20">
        <v>0</v>
      </c>
      <c r="JX73" s="20">
        <v>0</v>
      </c>
      <c r="JY73" s="20">
        <v>0</v>
      </c>
      <c r="JZ73" s="20">
        <v>0</v>
      </c>
      <c r="KA73" s="20">
        <v>0</v>
      </c>
      <c r="KB73" s="20">
        <v>0</v>
      </c>
      <c r="KC73" s="20">
        <v>0</v>
      </c>
      <c r="KD73" s="20">
        <v>0</v>
      </c>
      <c r="KE73" s="20">
        <v>0</v>
      </c>
      <c r="KF73" s="20">
        <v>0</v>
      </c>
      <c r="KG73" s="20">
        <v>0</v>
      </c>
      <c r="KH73" s="20">
        <v>0</v>
      </c>
      <c r="KI73" s="20">
        <v>0</v>
      </c>
      <c r="KJ73" s="20">
        <v>0</v>
      </c>
      <c r="KK73" s="20">
        <v>0</v>
      </c>
      <c r="KL73" s="20">
        <v>0</v>
      </c>
      <c r="KM73" s="20">
        <v>0</v>
      </c>
      <c r="KN73" s="20">
        <v>0</v>
      </c>
      <c r="KO73" s="20">
        <v>0</v>
      </c>
      <c r="KP73" s="20">
        <v>0</v>
      </c>
      <c r="KQ73" s="20">
        <v>0</v>
      </c>
      <c r="KR73" s="20">
        <v>0</v>
      </c>
      <c r="KS73" s="20">
        <v>0</v>
      </c>
      <c r="KU73" s="20" t="s">
        <v>1026</v>
      </c>
      <c r="KV73" s="20">
        <v>0</v>
      </c>
      <c r="KW73" s="20">
        <v>0</v>
      </c>
      <c r="KX73" s="20">
        <v>0</v>
      </c>
      <c r="KY73" s="20">
        <v>0</v>
      </c>
      <c r="KZ73" s="20">
        <v>0</v>
      </c>
      <c r="LA73" s="20">
        <v>0</v>
      </c>
      <c r="LB73" s="20">
        <v>0</v>
      </c>
      <c r="LC73" s="20">
        <v>0</v>
      </c>
      <c r="LD73" s="20">
        <v>0</v>
      </c>
      <c r="LE73" s="20">
        <v>0</v>
      </c>
      <c r="LF73" s="20">
        <v>0</v>
      </c>
      <c r="LG73" s="20">
        <v>0</v>
      </c>
      <c r="LH73" s="20">
        <v>0</v>
      </c>
      <c r="LI73" s="20">
        <v>0</v>
      </c>
      <c r="LJ73" s="20">
        <v>0</v>
      </c>
      <c r="LK73" s="20">
        <v>0</v>
      </c>
      <c r="LL73" s="20">
        <v>0</v>
      </c>
      <c r="LM73" s="20">
        <v>0</v>
      </c>
      <c r="LN73" s="20">
        <v>0</v>
      </c>
      <c r="LO73" s="20">
        <v>0</v>
      </c>
      <c r="LP73" s="20">
        <v>0</v>
      </c>
      <c r="LQ73" s="20">
        <v>0</v>
      </c>
      <c r="LR73" s="20">
        <v>0</v>
      </c>
      <c r="LS73" s="20">
        <v>0</v>
      </c>
      <c r="LT73" s="20">
        <v>0</v>
      </c>
      <c r="LU73" s="20">
        <v>0</v>
      </c>
      <c r="LW73" s="20" t="s">
        <v>1026</v>
      </c>
      <c r="LX73" s="20">
        <v>0</v>
      </c>
      <c r="LY73" s="20">
        <v>0</v>
      </c>
      <c r="LZ73" s="20">
        <v>0</v>
      </c>
      <c r="MA73" s="20">
        <v>0</v>
      </c>
      <c r="MB73" s="20">
        <v>0</v>
      </c>
      <c r="MC73" s="20">
        <v>0</v>
      </c>
      <c r="MD73" s="20">
        <v>0</v>
      </c>
      <c r="ME73" s="20">
        <v>0</v>
      </c>
      <c r="MF73" s="20">
        <v>0</v>
      </c>
      <c r="MG73" s="20">
        <v>0</v>
      </c>
      <c r="MH73" s="20">
        <v>0</v>
      </c>
      <c r="MI73" s="20">
        <v>0</v>
      </c>
      <c r="MJ73" s="20">
        <v>0</v>
      </c>
      <c r="MK73" s="20">
        <v>0</v>
      </c>
      <c r="ML73" s="20">
        <v>0</v>
      </c>
      <c r="MM73" s="20">
        <v>0</v>
      </c>
      <c r="MN73" s="20">
        <v>0</v>
      </c>
      <c r="MO73" s="20">
        <v>0</v>
      </c>
      <c r="MP73" s="20">
        <v>0</v>
      </c>
      <c r="MQ73" s="20">
        <v>0</v>
      </c>
      <c r="MR73" s="20">
        <v>0</v>
      </c>
      <c r="MS73" s="20">
        <v>0</v>
      </c>
      <c r="MT73" s="20">
        <v>0</v>
      </c>
      <c r="MU73" s="20">
        <v>0</v>
      </c>
      <c r="MV73" s="20">
        <v>0</v>
      </c>
      <c r="MW73" s="20">
        <v>0</v>
      </c>
      <c r="MY73" s="20" t="s">
        <v>1026</v>
      </c>
      <c r="MZ73" s="21">
        <v>0</v>
      </c>
      <c r="NA73" s="21">
        <v>0</v>
      </c>
      <c r="NB73" s="21">
        <v>0</v>
      </c>
      <c r="NC73" s="21">
        <v>0</v>
      </c>
      <c r="ND73" s="21">
        <v>0</v>
      </c>
      <c r="NE73" s="21">
        <v>0</v>
      </c>
      <c r="NF73" s="21">
        <v>0</v>
      </c>
      <c r="NG73" s="21">
        <v>0</v>
      </c>
      <c r="NH73" s="21">
        <v>0</v>
      </c>
      <c r="NI73" s="21">
        <v>0</v>
      </c>
      <c r="NJ73" s="21">
        <v>0</v>
      </c>
      <c r="NK73" s="21">
        <v>0</v>
      </c>
      <c r="NL73" s="21">
        <v>0</v>
      </c>
      <c r="NM73" s="21">
        <v>0</v>
      </c>
      <c r="NN73" s="21">
        <v>0</v>
      </c>
      <c r="NO73" s="21">
        <v>0</v>
      </c>
      <c r="NP73" s="21">
        <v>0</v>
      </c>
      <c r="NQ73" s="21">
        <v>0</v>
      </c>
      <c r="NR73" s="21">
        <v>0</v>
      </c>
      <c r="NS73" s="21">
        <v>0</v>
      </c>
      <c r="NT73" s="21">
        <v>0</v>
      </c>
      <c r="NU73" s="21">
        <v>0</v>
      </c>
      <c r="NV73" s="21">
        <v>0</v>
      </c>
      <c r="NW73" s="21">
        <v>0</v>
      </c>
      <c r="NX73" s="21">
        <v>0</v>
      </c>
      <c r="NY73" s="21">
        <v>0</v>
      </c>
    </row>
    <row r="74" spans="1:389" x14ac:dyDescent="0.25">
      <c r="A74" s="4"/>
      <c r="B74" s="6"/>
      <c r="C74" s="4"/>
      <c r="D74" s="4"/>
      <c r="E74" s="4"/>
      <c r="F74" s="4"/>
      <c r="G74" s="4"/>
      <c r="H74" s="4"/>
      <c r="I74" s="4"/>
      <c r="J74" s="4"/>
      <c r="K74" s="4"/>
      <c r="L74" s="6" t="str">
        <f>IF(E61=$AK$22,"NOWPAL40x40SR","-------")</f>
        <v>NOWPAL40x40SR</v>
      </c>
      <c r="M74" s="14">
        <f>INDEX(cennik!$C$2:$L$529,MATCH($L74,cennik!$B$2:$B$522,0),MATCH(M$27,cennik!$C$1:$L$1,0))</f>
        <v>890404</v>
      </c>
      <c r="N74" s="14" t="str">
        <f>INDEX(cennik!$C$2:$L$529,MATCH($L74,cennik!$B$2:$B$522,0),MATCH(N$27,cennik!$C$1:$L$1,0))</f>
        <v>szt.</v>
      </c>
      <c r="O74" s="14">
        <f>IF(L74="NOWPAL40X40SR",SUM(C53:C68)*4,0)</f>
        <v>0</v>
      </c>
      <c r="P74" s="22">
        <f>INDEX(cennik!$C$2:$L$529,MATCH($L74,cennik!$B$2:$B$522,0),MATCH(P$27,cennik!$C$1:$L$1,0))</f>
        <v>0.7</v>
      </c>
      <c r="Q74" s="22">
        <f t="shared" si="68"/>
        <v>0</v>
      </c>
      <c r="R74" s="23">
        <f t="shared" si="64"/>
        <v>0</v>
      </c>
      <c r="S74" s="22">
        <f t="shared" si="65"/>
        <v>0.7</v>
      </c>
      <c r="T74" s="22">
        <f t="shared" si="69"/>
        <v>0</v>
      </c>
      <c r="U74" s="22">
        <f>INDEX(cennik!$C$2:$L$529,MATCH($L74,cennik!$B$2:$B$522,0),MATCH(U$27,cennik!$C$1:$L$1,0))*O74</f>
        <v>0</v>
      </c>
      <c r="V74" s="20"/>
      <c r="W74" s="20"/>
      <c r="X74" s="25">
        <f t="shared" si="72"/>
        <v>0</v>
      </c>
      <c r="Y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86,$BB$2:$CA$2,0),MATCH($W$65,$AH$22:$AH$47,0)))*C86</f>
        <v>0</v>
      </c>
      <c r="Z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86,$BB$2:$CA$2,0),MATCH($W$65,$AH$22:$AH$47,0)))*C86</f>
        <v>0</v>
      </c>
      <c r="AA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86,$BB$2:$CA$2,0),MATCH($W$65,$AH$22:$AH$47,0)))*C86</f>
        <v>0</v>
      </c>
      <c r="AB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86,$BB$2:$CA$2,0),MATCH($W$65,$AH$22:$AH$47,0)))*C86</f>
        <v>0</v>
      </c>
      <c r="AC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86,$BB$2:$CA$2,0),MATCH($W$65,$AH$22:$AH$47,0)))*C86</f>
        <v>0</v>
      </c>
      <c r="AD7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86,$BB$2:$CA$2,0),MATCH($W$65,$AH$22:$AH$47,0)))*C86</f>
        <v>0</v>
      </c>
      <c r="AE74" s="20"/>
      <c r="AF74" s="20"/>
      <c r="AG74" s="20"/>
      <c r="AH74" s="20"/>
      <c r="AI74" s="20"/>
      <c r="AJ74" s="20"/>
      <c r="AK74" s="20"/>
      <c r="AL74" s="20">
        <f t="shared" si="73"/>
        <v>0</v>
      </c>
      <c r="AM74" s="20"/>
      <c r="AN74" s="20"/>
      <c r="AO74" s="20"/>
      <c r="AP74" s="20"/>
      <c r="AQ74" s="20"/>
      <c r="AR74" s="20"/>
      <c r="AS74" s="20"/>
      <c r="AT74" s="20"/>
      <c r="AU74" s="20"/>
      <c r="AV74" s="20"/>
      <c r="AW74" s="20"/>
      <c r="AX74" s="20"/>
      <c r="AY74" s="20"/>
      <c r="AZ74" s="20"/>
      <c r="BB74" s="21">
        <v>0</v>
      </c>
      <c r="BC74" s="21">
        <v>1</v>
      </c>
      <c r="BD74" s="21">
        <v>2</v>
      </c>
      <c r="BE74" s="21">
        <v>3</v>
      </c>
      <c r="BF74" s="21">
        <v>4</v>
      </c>
      <c r="BG74" s="21">
        <v>5</v>
      </c>
      <c r="BH74" s="21">
        <v>6</v>
      </c>
      <c r="BI74" s="21">
        <v>7</v>
      </c>
      <c r="BJ74" s="21">
        <v>8</v>
      </c>
      <c r="BK74" s="21">
        <v>9</v>
      </c>
      <c r="BL74" s="21">
        <v>10</v>
      </c>
      <c r="BM74" s="21">
        <v>11</v>
      </c>
      <c r="BN74" s="21">
        <v>12</v>
      </c>
      <c r="BO74" s="21">
        <v>13</v>
      </c>
      <c r="BP74" s="21">
        <v>14</v>
      </c>
      <c r="BQ74" s="21">
        <v>15</v>
      </c>
      <c r="BR74" s="21">
        <v>16</v>
      </c>
      <c r="BS74" s="21">
        <v>17</v>
      </c>
      <c r="BT74" s="21">
        <v>18</v>
      </c>
      <c r="BU74" s="21">
        <v>19</v>
      </c>
      <c r="BV74" s="21">
        <v>20</v>
      </c>
      <c r="BW74" s="21">
        <v>21</v>
      </c>
      <c r="BX74" s="21">
        <v>22</v>
      </c>
      <c r="BY74" s="21">
        <v>23</v>
      </c>
      <c r="BZ74" s="21">
        <v>24</v>
      </c>
      <c r="CA74" s="21">
        <v>25</v>
      </c>
      <c r="DA74" s="54"/>
      <c r="DB74" s="54"/>
      <c r="DC74" s="54"/>
      <c r="DD74" s="26" t="s">
        <v>710</v>
      </c>
      <c r="DE74" s="20">
        <v>0</v>
      </c>
      <c r="DF74" s="20"/>
      <c r="DG74" s="20"/>
      <c r="DH74" s="20"/>
      <c r="DI74" s="20"/>
      <c r="DJ74" s="20"/>
      <c r="DK74" s="20"/>
      <c r="DL74" s="20"/>
      <c r="DM74" s="20"/>
      <c r="DN74" s="20"/>
      <c r="DO74" s="20"/>
      <c r="DP74" s="20"/>
      <c r="DQ74" s="20"/>
      <c r="DR74" s="20"/>
      <c r="DS74" s="20"/>
      <c r="DT74" s="20"/>
      <c r="DU74" s="20"/>
      <c r="DV74" s="20"/>
      <c r="DW74" s="20"/>
      <c r="DX74" s="20"/>
      <c r="DY74" s="20"/>
      <c r="DZ74" s="20"/>
      <c r="EA74" s="20"/>
      <c r="EB74" s="20"/>
      <c r="EC74" s="20">
        <v>0</v>
      </c>
      <c r="ED74" s="20">
        <v>1</v>
      </c>
      <c r="EE74" s="20">
        <v>2</v>
      </c>
      <c r="EF74" s="20">
        <v>3</v>
      </c>
      <c r="EG74" s="20">
        <v>4</v>
      </c>
      <c r="EH74" s="20">
        <v>5</v>
      </c>
      <c r="EI74" s="20">
        <v>6</v>
      </c>
      <c r="EJ74" s="20">
        <v>7</v>
      </c>
      <c r="EK74" s="20">
        <v>8</v>
      </c>
      <c r="EL74" s="20">
        <v>9</v>
      </c>
      <c r="EM74" s="20">
        <v>10</v>
      </c>
      <c r="EN74" s="20">
        <v>11</v>
      </c>
      <c r="EO74" s="20">
        <v>12</v>
      </c>
      <c r="EP74" s="20">
        <v>13</v>
      </c>
      <c r="EQ74" s="20">
        <v>14</v>
      </c>
      <c r="ER74" s="20">
        <v>15</v>
      </c>
      <c r="ES74" s="20">
        <v>16</v>
      </c>
      <c r="ET74" s="20">
        <v>17</v>
      </c>
      <c r="EU74" s="20">
        <v>18</v>
      </c>
      <c r="EV74" s="20">
        <v>19</v>
      </c>
      <c r="EW74" s="20">
        <v>20</v>
      </c>
      <c r="EX74" s="20">
        <v>21</v>
      </c>
      <c r="EY74" s="20">
        <v>22</v>
      </c>
      <c r="EZ74" s="20">
        <v>23</v>
      </c>
      <c r="FA74" s="20">
        <v>24</v>
      </c>
      <c r="FB74" s="20">
        <v>25</v>
      </c>
      <c r="FC74" s="20">
        <v>26</v>
      </c>
      <c r="FD74" s="20">
        <v>27</v>
      </c>
      <c r="FE74" s="20">
        <v>28</v>
      </c>
      <c r="FF74" s="20">
        <v>29</v>
      </c>
      <c r="FG74" s="20">
        <v>30</v>
      </c>
      <c r="FH74" s="20">
        <v>31</v>
      </c>
      <c r="FI74" s="20">
        <v>32</v>
      </c>
      <c r="FJ74" s="20">
        <v>33</v>
      </c>
      <c r="FK74" s="20">
        <v>34</v>
      </c>
      <c r="FL74" s="20">
        <v>35</v>
      </c>
      <c r="FM74" s="20">
        <v>36</v>
      </c>
      <c r="FN74" s="20">
        <v>37</v>
      </c>
      <c r="FO74" s="20">
        <v>38</v>
      </c>
      <c r="FP74" s="20">
        <v>39</v>
      </c>
      <c r="FQ74" s="20">
        <v>40</v>
      </c>
      <c r="FR74" s="20">
        <v>41</v>
      </c>
      <c r="FS74" s="20">
        <v>42</v>
      </c>
      <c r="FT74" s="20">
        <v>43</v>
      </c>
      <c r="FU74" s="20">
        <v>44</v>
      </c>
      <c r="FV74" s="20">
        <v>45</v>
      </c>
      <c r="FW74" s="20">
        <v>46</v>
      </c>
      <c r="FX74" s="20">
        <v>47</v>
      </c>
      <c r="FY74" s="20">
        <v>48</v>
      </c>
      <c r="FZ74" s="20">
        <v>49</v>
      </c>
      <c r="GA74" s="20">
        <v>50</v>
      </c>
      <c r="GC74" s="20"/>
      <c r="GD74" s="20"/>
      <c r="GE74" s="20"/>
      <c r="GF74" s="20">
        <v>0</v>
      </c>
      <c r="GG74" s="20">
        <v>1</v>
      </c>
      <c r="GH74" s="20">
        <v>2</v>
      </c>
      <c r="GI74" s="20">
        <v>3</v>
      </c>
      <c r="GJ74" s="20">
        <v>4</v>
      </c>
      <c r="GK74" s="20">
        <v>5</v>
      </c>
      <c r="GL74" s="20">
        <v>6</v>
      </c>
      <c r="GM74" s="20">
        <v>7</v>
      </c>
      <c r="GN74" s="20">
        <v>8</v>
      </c>
      <c r="GO74" s="20">
        <v>9</v>
      </c>
      <c r="GP74" s="20">
        <v>10</v>
      </c>
      <c r="GQ74" s="20">
        <v>11</v>
      </c>
      <c r="GR74" s="20">
        <v>12</v>
      </c>
      <c r="GS74" s="20">
        <v>13</v>
      </c>
      <c r="GT74" s="20">
        <v>14</v>
      </c>
      <c r="GU74" s="20">
        <v>15</v>
      </c>
      <c r="GV74" s="20">
        <v>16</v>
      </c>
      <c r="GW74" s="20">
        <v>17</v>
      </c>
      <c r="GX74" s="20">
        <v>18</v>
      </c>
      <c r="GY74" s="20">
        <v>19</v>
      </c>
      <c r="GZ74" s="20">
        <v>20</v>
      </c>
      <c r="HA74" s="20">
        <v>21</v>
      </c>
      <c r="HB74" s="20">
        <v>22</v>
      </c>
      <c r="HC74" s="20">
        <v>23</v>
      </c>
      <c r="HD74" s="20">
        <v>24</v>
      </c>
      <c r="HE74" s="20">
        <v>25</v>
      </c>
      <c r="HF74" s="20">
        <v>26</v>
      </c>
      <c r="HG74" s="20">
        <v>27</v>
      </c>
      <c r="HH74" s="20">
        <v>28</v>
      </c>
      <c r="HI74" s="20">
        <v>29</v>
      </c>
      <c r="HJ74" s="20">
        <v>30</v>
      </c>
      <c r="HK74" s="20">
        <v>31</v>
      </c>
      <c r="HL74" s="20">
        <v>32</v>
      </c>
      <c r="HM74" s="20">
        <v>33</v>
      </c>
      <c r="HN74" s="20">
        <v>34</v>
      </c>
      <c r="HO74" s="20">
        <v>35</v>
      </c>
      <c r="HP74" s="20">
        <v>36</v>
      </c>
      <c r="HQ74" s="20">
        <v>37</v>
      </c>
      <c r="HR74" s="20">
        <v>38</v>
      </c>
      <c r="HS74" s="20">
        <v>39</v>
      </c>
      <c r="HT74" s="20">
        <v>40</v>
      </c>
      <c r="HU74" s="20">
        <v>41</v>
      </c>
      <c r="HV74" s="20">
        <v>42</v>
      </c>
      <c r="HW74" s="20">
        <v>43</v>
      </c>
      <c r="HX74" s="20">
        <v>44</v>
      </c>
      <c r="HY74" s="20">
        <v>45</v>
      </c>
      <c r="HZ74" s="20">
        <v>46</v>
      </c>
      <c r="IA74" s="20">
        <v>47</v>
      </c>
      <c r="IB74" s="20">
        <v>48</v>
      </c>
      <c r="IC74" s="20">
        <v>49</v>
      </c>
      <c r="ID74" s="20">
        <v>50</v>
      </c>
      <c r="JS74" s="20" t="s">
        <v>408</v>
      </c>
      <c r="JT74" s="20">
        <v>0</v>
      </c>
      <c r="JU74" s="20">
        <f t="shared" ref="JU74:KS74" si="74">((((SUM(JU66:JU73))/2)-1))*4</f>
        <v>0</v>
      </c>
      <c r="JV74" s="20">
        <f t="shared" si="74"/>
        <v>0</v>
      </c>
      <c r="JW74" s="20">
        <f t="shared" si="74"/>
        <v>0</v>
      </c>
      <c r="JX74" s="20">
        <f t="shared" si="74"/>
        <v>4</v>
      </c>
      <c r="JY74" s="20">
        <f t="shared" si="74"/>
        <v>4</v>
      </c>
      <c r="JZ74" s="20">
        <f t="shared" si="74"/>
        <v>4</v>
      </c>
      <c r="KA74" s="20">
        <f t="shared" si="74"/>
        <v>8</v>
      </c>
      <c r="KB74" s="20">
        <f t="shared" si="74"/>
        <v>8</v>
      </c>
      <c r="KC74" s="20">
        <f t="shared" si="74"/>
        <v>8</v>
      </c>
      <c r="KD74" s="20">
        <f t="shared" si="74"/>
        <v>12</v>
      </c>
      <c r="KE74" s="20">
        <f t="shared" si="74"/>
        <v>12</v>
      </c>
      <c r="KF74" s="20">
        <f t="shared" si="74"/>
        <v>12</v>
      </c>
      <c r="KG74" s="20">
        <f t="shared" si="74"/>
        <v>16</v>
      </c>
      <c r="KH74" s="20">
        <f t="shared" si="74"/>
        <v>16</v>
      </c>
      <c r="KI74" s="20">
        <f t="shared" si="74"/>
        <v>16</v>
      </c>
      <c r="KJ74" s="20">
        <f t="shared" si="74"/>
        <v>20</v>
      </c>
      <c r="KK74" s="20">
        <f t="shared" si="74"/>
        <v>20</v>
      </c>
      <c r="KL74" s="20">
        <f t="shared" si="74"/>
        <v>20</v>
      </c>
      <c r="KM74" s="20">
        <f t="shared" si="74"/>
        <v>24</v>
      </c>
      <c r="KN74" s="20">
        <f t="shared" si="74"/>
        <v>24</v>
      </c>
      <c r="KO74" s="20">
        <f t="shared" si="74"/>
        <v>24</v>
      </c>
      <c r="KP74" s="20">
        <f t="shared" si="74"/>
        <v>28</v>
      </c>
      <c r="KQ74" s="20">
        <f t="shared" si="74"/>
        <v>28</v>
      </c>
      <c r="KR74" s="20">
        <f t="shared" si="74"/>
        <v>28</v>
      </c>
      <c r="KS74" s="20">
        <f t="shared" si="74"/>
        <v>32</v>
      </c>
      <c r="KU74" s="20" t="s">
        <v>408</v>
      </c>
      <c r="KV74" s="20">
        <v>0</v>
      </c>
      <c r="KW74" s="20">
        <f t="shared" ref="KW74:LU74" si="75">((((SUM(KW66:KW73))/2)-1))*4</f>
        <v>0</v>
      </c>
      <c r="KX74" s="20">
        <f t="shared" si="75"/>
        <v>4</v>
      </c>
      <c r="KY74" s="20">
        <f t="shared" si="75"/>
        <v>4</v>
      </c>
      <c r="KZ74" s="20">
        <f t="shared" si="75"/>
        <v>8</v>
      </c>
      <c r="LA74" s="20">
        <f t="shared" si="75"/>
        <v>8</v>
      </c>
      <c r="LB74" s="20">
        <f t="shared" si="75"/>
        <v>12</v>
      </c>
      <c r="LC74" s="20">
        <f t="shared" si="75"/>
        <v>12</v>
      </c>
      <c r="LD74" s="20">
        <f t="shared" si="75"/>
        <v>16</v>
      </c>
      <c r="LE74" s="20">
        <f t="shared" si="75"/>
        <v>16</v>
      </c>
      <c r="LF74" s="20">
        <f t="shared" si="75"/>
        <v>20</v>
      </c>
      <c r="LG74" s="20">
        <f t="shared" si="75"/>
        <v>20</v>
      </c>
      <c r="LH74" s="20">
        <f t="shared" si="75"/>
        <v>24</v>
      </c>
      <c r="LI74" s="20">
        <f t="shared" si="75"/>
        <v>24</v>
      </c>
      <c r="LJ74" s="20">
        <f t="shared" si="75"/>
        <v>28</v>
      </c>
      <c r="LK74" s="20">
        <f t="shared" si="75"/>
        <v>28</v>
      </c>
      <c r="LL74" s="20">
        <f t="shared" si="75"/>
        <v>32</v>
      </c>
      <c r="LM74" s="20">
        <f t="shared" si="75"/>
        <v>32</v>
      </c>
      <c r="LN74" s="20">
        <f t="shared" si="75"/>
        <v>36</v>
      </c>
      <c r="LO74" s="20">
        <f t="shared" si="75"/>
        <v>36</v>
      </c>
      <c r="LP74" s="20">
        <f t="shared" si="75"/>
        <v>40</v>
      </c>
      <c r="LQ74" s="20">
        <f t="shared" si="75"/>
        <v>40</v>
      </c>
      <c r="LR74" s="20">
        <f t="shared" si="75"/>
        <v>44</v>
      </c>
      <c r="LS74" s="20">
        <f t="shared" si="75"/>
        <v>44</v>
      </c>
      <c r="LT74" s="20">
        <f t="shared" si="75"/>
        <v>48</v>
      </c>
      <c r="LU74" s="20">
        <f t="shared" si="75"/>
        <v>48</v>
      </c>
      <c r="LW74" s="20" t="s">
        <v>408</v>
      </c>
      <c r="LX74" s="20">
        <v>0</v>
      </c>
      <c r="LY74" s="20">
        <f t="shared" ref="LY74:MW74" si="76">((((SUM(LY66:LY73))/2)-1))*4</f>
        <v>0</v>
      </c>
      <c r="LZ74" s="20">
        <f t="shared" si="76"/>
        <v>4</v>
      </c>
      <c r="MA74" s="20">
        <f t="shared" si="76"/>
        <v>4</v>
      </c>
      <c r="MB74" s="20">
        <f t="shared" si="76"/>
        <v>8</v>
      </c>
      <c r="MC74" s="20">
        <f t="shared" si="76"/>
        <v>8</v>
      </c>
      <c r="MD74" s="20">
        <f t="shared" si="76"/>
        <v>12</v>
      </c>
      <c r="ME74" s="20">
        <f t="shared" si="76"/>
        <v>16</v>
      </c>
      <c r="MF74" s="20">
        <f t="shared" si="76"/>
        <v>16</v>
      </c>
      <c r="MG74" s="20">
        <f t="shared" si="76"/>
        <v>20</v>
      </c>
      <c r="MH74" s="20">
        <f t="shared" si="76"/>
        <v>20</v>
      </c>
      <c r="MI74" s="20">
        <f t="shared" si="76"/>
        <v>24</v>
      </c>
      <c r="MJ74" s="20">
        <f t="shared" si="76"/>
        <v>24</v>
      </c>
      <c r="MK74" s="20">
        <f t="shared" si="76"/>
        <v>28</v>
      </c>
      <c r="ML74" s="20">
        <f t="shared" si="76"/>
        <v>32</v>
      </c>
      <c r="MM74" s="20">
        <f t="shared" si="76"/>
        <v>32</v>
      </c>
      <c r="MN74" s="20">
        <f t="shared" si="76"/>
        <v>36</v>
      </c>
      <c r="MO74" s="20">
        <f t="shared" si="76"/>
        <v>36</v>
      </c>
      <c r="MP74" s="20">
        <f t="shared" si="76"/>
        <v>40</v>
      </c>
      <c r="MQ74" s="20">
        <f t="shared" si="76"/>
        <v>40</v>
      </c>
      <c r="MR74" s="20">
        <f t="shared" si="76"/>
        <v>44</v>
      </c>
      <c r="MS74" s="20">
        <f t="shared" si="76"/>
        <v>48</v>
      </c>
      <c r="MT74" s="20">
        <f t="shared" si="76"/>
        <v>48</v>
      </c>
      <c r="MU74" s="20">
        <f t="shared" si="76"/>
        <v>52</v>
      </c>
      <c r="MV74" s="20">
        <f t="shared" si="76"/>
        <v>52</v>
      </c>
      <c r="MW74" s="20">
        <f t="shared" si="76"/>
        <v>56</v>
      </c>
      <c r="MY74" s="21" t="s">
        <v>408</v>
      </c>
      <c r="MZ74" s="21">
        <v>0</v>
      </c>
      <c r="NA74" s="20">
        <f t="shared" ref="NA74:NY74" si="77">((((SUM(NA66:NA73))/2)-1))*4</f>
        <v>0</v>
      </c>
      <c r="NB74" s="20">
        <f t="shared" si="77"/>
        <v>4</v>
      </c>
      <c r="NC74" s="20">
        <f t="shared" si="77"/>
        <v>8</v>
      </c>
      <c r="ND74" s="20">
        <f t="shared" si="77"/>
        <v>8</v>
      </c>
      <c r="NE74" s="20">
        <f t="shared" si="77"/>
        <v>12</v>
      </c>
      <c r="NF74" s="20">
        <f t="shared" si="77"/>
        <v>16</v>
      </c>
      <c r="NG74" s="20">
        <f t="shared" si="77"/>
        <v>16</v>
      </c>
      <c r="NH74" s="20">
        <f t="shared" si="77"/>
        <v>20</v>
      </c>
      <c r="NI74" s="20">
        <f t="shared" si="77"/>
        <v>24</v>
      </c>
      <c r="NJ74" s="20">
        <f t="shared" si="77"/>
        <v>28</v>
      </c>
      <c r="NK74" s="20">
        <f t="shared" si="77"/>
        <v>28</v>
      </c>
      <c r="NL74" s="20">
        <f t="shared" si="77"/>
        <v>32</v>
      </c>
      <c r="NM74" s="20">
        <f t="shared" si="77"/>
        <v>36</v>
      </c>
      <c r="NN74" s="20">
        <f t="shared" si="77"/>
        <v>36</v>
      </c>
      <c r="NO74" s="20">
        <f t="shared" si="77"/>
        <v>40</v>
      </c>
      <c r="NP74" s="20">
        <f t="shared" si="77"/>
        <v>44</v>
      </c>
      <c r="NQ74" s="20">
        <f t="shared" si="77"/>
        <v>44</v>
      </c>
      <c r="NR74" s="20">
        <f t="shared" si="77"/>
        <v>48</v>
      </c>
      <c r="NS74" s="20">
        <f t="shared" si="77"/>
        <v>52</v>
      </c>
      <c r="NT74" s="20">
        <f t="shared" si="77"/>
        <v>56</v>
      </c>
      <c r="NU74" s="20">
        <f t="shared" si="77"/>
        <v>56</v>
      </c>
      <c r="NV74" s="20">
        <f t="shared" si="77"/>
        <v>60</v>
      </c>
      <c r="NW74" s="20">
        <f t="shared" si="77"/>
        <v>64</v>
      </c>
      <c r="NX74" s="20">
        <f t="shared" si="77"/>
        <v>64</v>
      </c>
      <c r="NY74" s="20">
        <f t="shared" si="77"/>
        <v>68</v>
      </c>
    </row>
    <row r="75" spans="1:389" x14ac:dyDescent="0.25">
      <c r="A75" s="4"/>
      <c r="B75" s="6"/>
      <c r="C75" s="4"/>
      <c r="D75" s="4"/>
      <c r="E75" s="4"/>
      <c r="F75" s="4"/>
      <c r="G75" s="4"/>
      <c r="H75" s="4"/>
      <c r="I75" s="4"/>
      <c r="J75" s="4"/>
      <c r="K75" s="4"/>
      <c r="L75" s="6" t="s">
        <v>1019</v>
      </c>
      <c r="M75" s="14">
        <f>INDEX(cennik!$C$2:$L$529,MATCH($L75,cennik!$B$2:$B$522,0),MATCH(M$27,cennik!$C$1:$L$1,0))</f>
        <v>166794</v>
      </c>
      <c r="N75" s="14" t="str">
        <f>INDEX(cennik!$C$2:$L$529,MATCH($L75,cennik!$B$2:$B$522,0),MATCH(N$27,cennik!$C$1:$L$1,0))</f>
        <v>100 szt.</v>
      </c>
      <c r="O75" s="14">
        <f>ROUNDUP((O69/100),0)</f>
        <v>0</v>
      </c>
      <c r="P75" s="22">
        <f>INDEX(cennik!$C$2:$L$529,MATCH($L75,cennik!$B$2:$B$522,0),MATCH(P$27,cennik!$C$1:$L$1,0))</f>
        <v>3.95</v>
      </c>
      <c r="Q75" s="22">
        <f t="shared" si="68"/>
        <v>0</v>
      </c>
      <c r="R75" s="23">
        <f t="shared" si="64"/>
        <v>0</v>
      </c>
      <c r="S75" s="22">
        <f t="shared" si="65"/>
        <v>3.95</v>
      </c>
      <c r="T75" s="22">
        <f t="shared" si="69"/>
        <v>0</v>
      </c>
      <c r="U75" s="22">
        <f>INDEX(cennik!$C$2:$L$529,MATCH($L75,cennik!$B$2:$B$522,0),MATCH(U$27,cennik!$C$1:$L$1,0))*O75</f>
        <v>0</v>
      </c>
      <c r="V75" s="20"/>
      <c r="W75" s="20"/>
      <c r="X75" s="25">
        <f t="shared" si="72"/>
        <v>0</v>
      </c>
      <c r="Y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87,$BB$2:$CA$2,0),MATCH($W$65,$AH$22:$AH$47,0)))*C87</f>
        <v>0</v>
      </c>
      <c r="Z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87,$BB$2:$CA$2,0),MATCH($W$65,$AH$22:$AH$47,0)))*C87</f>
        <v>0</v>
      </c>
      <c r="AA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87,$BB$2:$CA$2,0),MATCH($W$65,$AH$22:$AH$47,0)))*C87</f>
        <v>0</v>
      </c>
      <c r="AB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87,$BB$2:$CA$2,0),MATCH($W$65,$AH$22:$AH$47,0)))*C87</f>
        <v>0</v>
      </c>
      <c r="AC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87,$BB$2:$CA$2,0),MATCH($W$65,$AH$22:$AH$47,0)))*C87</f>
        <v>0</v>
      </c>
      <c r="AD7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87,$BB$2:$CA$2,0),MATCH($W$65,$AH$22:$AH$47,0)))*C87</f>
        <v>0</v>
      </c>
      <c r="AE75" s="20"/>
      <c r="AF75" s="20"/>
      <c r="AG75" s="20"/>
      <c r="AH75" s="20"/>
      <c r="AI75" s="20"/>
      <c r="AJ75" s="20"/>
      <c r="AK75" s="20"/>
      <c r="AL75" s="20">
        <f t="shared" si="73"/>
        <v>0</v>
      </c>
      <c r="AM75" s="20"/>
      <c r="AN75" s="20"/>
      <c r="AO75" s="20"/>
      <c r="AP75" s="20"/>
      <c r="AQ75" s="20"/>
      <c r="AR75" s="20"/>
      <c r="AS75" s="20"/>
      <c r="AT75" s="20"/>
      <c r="AU75" s="20"/>
      <c r="AV75" s="20"/>
      <c r="AW75" s="20"/>
      <c r="AX75" s="20"/>
      <c r="AY75" s="20"/>
      <c r="AZ75" s="20"/>
      <c r="BA75" s="21" t="s">
        <v>126</v>
      </c>
      <c r="BB75" s="21">
        <v>0</v>
      </c>
      <c r="BC75" s="21">
        <v>0</v>
      </c>
      <c r="BD75" s="21">
        <v>0</v>
      </c>
      <c r="BE75" s="21">
        <v>0</v>
      </c>
      <c r="BF75" s="21">
        <v>0</v>
      </c>
      <c r="BG75" s="21">
        <v>0</v>
      </c>
      <c r="BH75" s="21">
        <v>2</v>
      </c>
      <c r="BI75" s="21">
        <v>0</v>
      </c>
      <c r="BJ75" s="21">
        <v>0</v>
      </c>
      <c r="BK75" s="21">
        <v>2</v>
      </c>
      <c r="BL75" s="21">
        <v>0</v>
      </c>
      <c r="BM75" s="21">
        <v>0</v>
      </c>
      <c r="BN75" s="21">
        <v>0</v>
      </c>
      <c r="BO75" s="21">
        <v>0</v>
      </c>
      <c r="BP75" s="21">
        <v>0</v>
      </c>
      <c r="BQ75" s="21">
        <v>0</v>
      </c>
      <c r="BR75" s="21">
        <v>0</v>
      </c>
      <c r="BS75" s="21">
        <v>2</v>
      </c>
      <c r="BT75" s="21">
        <v>0</v>
      </c>
      <c r="BU75" s="21">
        <v>0</v>
      </c>
      <c r="BV75" s="21">
        <v>0</v>
      </c>
      <c r="BW75" s="21">
        <v>0</v>
      </c>
      <c r="BX75" s="21">
        <v>0</v>
      </c>
      <c r="BY75" s="21">
        <v>0</v>
      </c>
      <c r="BZ75" s="21">
        <v>0</v>
      </c>
      <c r="CA75" s="21">
        <v>0</v>
      </c>
      <c r="DA75" s="54"/>
      <c r="DB75" s="54"/>
      <c r="DC75" s="54"/>
      <c r="DD75" s="26" t="s">
        <v>711</v>
      </c>
      <c r="DE75" s="20">
        <v>0</v>
      </c>
      <c r="DF75" s="20"/>
      <c r="DG75" s="20"/>
      <c r="DH75" s="20"/>
      <c r="DI75" s="20"/>
      <c r="DJ75" s="20"/>
      <c r="DK75" s="20"/>
      <c r="DL75" s="20"/>
      <c r="DM75" s="20"/>
      <c r="DN75" s="20"/>
      <c r="DO75" s="20"/>
      <c r="DP75" s="20"/>
      <c r="DQ75" s="20"/>
      <c r="DR75" s="20"/>
      <c r="DS75" s="20"/>
      <c r="DT75" s="20"/>
      <c r="DU75" s="20"/>
      <c r="DV75" s="20"/>
      <c r="DW75" s="20"/>
      <c r="DX75" s="20"/>
      <c r="DY75" s="20"/>
      <c r="DZ75" s="20"/>
      <c r="EA75" s="20"/>
      <c r="EB75" s="20" t="s">
        <v>126</v>
      </c>
      <c r="EC75" s="20">
        <v>0</v>
      </c>
      <c r="ED75" s="20">
        <v>0</v>
      </c>
      <c r="EE75" s="20">
        <v>0</v>
      </c>
      <c r="EF75" s="20">
        <v>0</v>
      </c>
      <c r="EG75" s="20">
        <v>0</v>
      </c>
      <c r="EH75" s="20">
        <v>0</v>
      </c>
      <c r="EI75" s="20">
        <v>0</v>
      </c>
      <c r="EJ75" s="20">
        <v>0</v>
      </c>
      <c r="EK75" s="20">
        <v>0</v>
      </c>
      <c r="EL75" s="20">
        <v>0</v>
      </c>
      <c r="EM75" s="20">
        <v>0</v>
      </c>
      <c r="EN75" s="20">
        <v>0</v>
      </c>
      <c r="EO75" s="20">
        <v>0</v>
      </c>
      <c r="EP75" s="20">
        <v>0</v>
      </c>
      <c r="EQ75" s="20">
        <v>0</v>
      </c>
      <c r="ER75" s="20">
        <v>0</v>
      </c>
      <c r="ES75" s="20">
        <v>0</v>
      </c>
      <c r="ET75" s="20">
        <v>0</v>
      </c>
      <c r="EU75" s="20">
        <v>0</v>
      </c>
      <c r="EV75" s="20">
        <v>0</v>
      </c>
      <c r="EW75" s="20">
        <v>0</v>
      </c>
      <c r="EX75" s="20">
        <v>0</v>
      </c>
      <c r="EY75" s="20">
        <v>0</v>
      </c>
      <c r="EZ75" s="20">
        <v>0</v>
      </c>
      <c r="FA75" s="20">
        <v>0</v>
      </c>
      <c r="FB75" s="20">
        <v>0</v>
      </c>
      <c r="FC75" s="20">
        <v>0</v>
      </c>
      <c r="FD75" s="20">
        <v>0</v>
      </c>
      <c r="FE75" s="20">
        <v>0</v>
      </c>
      <c r="FF75" s="20">
        <v>0</v>
      </c>
      <c r="FG75" s="20">
        <v>0</v>
      </c>
      <c r="FH75" s="20">
        <v>0</v>
      </c>
      <c r="FI75" s="20">
        <v>0</v>
      </c>
      <c r="FJ75" s="20">
        <v>0</v>
      </c>
      <c r="FK75" s="20">
        <v>0</v>
      </c>
      <c r="FL75" s="20">
        <v>0</v>
      </c>
      <c r="FM75" s="20">
        <v>0</v>
      </c>
      <c r="FN75" s="20">
        <v>0</v>
      </c>
      <c r="FO75" s="20">
        <v>0</v>
      </c>
      <c r="FP75" s="20">
        <v>0</v>
      </c>
      <c r="FQ75" s="20">
        <v>0</v>
      </c>
      <c r="FR75" s="20">
        <v>0</v>
      </c>
      <c r="FS75" s="20">
        <v>0</v>
      </c>
      <c r="FT75" s="20">
        <v>0</v>
      </c>
      <c r="FU75" s="20">
        <v>0</v>
      </c>
      <c r="FV75" s="20">
        <v>0</v>
      </c>
      <c r="FW75" s="20">
        <v>0</v>
      </c>
      <c r="FX75" s="20">
        <v>0</v>
      </c>
      <c r="FY75" s="20">
        <v>0</v>
      </c>
      <c r="FZ75" s="20">
        <v>0</v>
      </c>
      <c r="GA75" s="20">
        <v>0</v>
      </c>
      <c r="GC75" s="20"/>
      <c r="GD75" s="20"/>
      <c r="GE75" s="20" t="s">
        <v>126</v>
      </c>
      <c r="GF75" s="20">
        <v>0</v>
      </c>
      <c r="GG75" s="20">
        <v>0</v>
      </c>
      <c r="GH75" s="20">
        <v>2</v>
      </c>
      <c r="GI75" s="20">
        <v>0</v>
      </c>
      <c r="GJ75" s="20">
        <v>0</v>
      </c>
      <c r="GK75" s="20">
        <v>0</v>
      </c>
      <c r="GL75" s="20">
        <v>0</v>
      </c>
      <c r="GM75" s="20">
        <v>0</v>
      </c>
      <c r="GN75" s="20">
        <v>0</v>
      </c>
      <c r="GO75" s="20">
        <v>0</v>
      </c>
      <c r="GP75" s="20">
        <v>0</v>
      </c>
      <c r="GQ75" s="20">
        <v>0</v>
      </c>
      <c r="GR75" s="20">
        <v>0</v>
      </c>
      <c r="GS75" s="20">
        <v>0</v>
      </c>
      <c r="GT75" s="20">
        <v>0</v>
      </c>
      <c r="GU75" s="20">
        <v>0</v>
      </c>
      <c r="GV75" s="20">
        <v>0</v>
      </c>
      <c r="GW75" s="20">
        <v>0</v>
      </c>
      <c r="GX75" s="20">
        <v>0</v>
      </c>
      <c r="GY75" s="20">
        <v>0</v>
      </c>
      <c r="GZ75" s="20">
        <v>0</v>
      </c>
      <c r="HA75" s="20">
        <v>0</v>
      </c>
      <c r="HB75" s="20">
        <v>0</v>
      </c>
      <c r="HC75" s="20">
        <v>0</v>
      </c>
      <c r="HD75" s="20">
        <v>0</v>
      </c>
      <c r="HE75" s="20">
        <v>0</v>
      </c>
      <c r="HF75" s="20">
        <v>0</v>
      </c>
      <c r="HG75" s="20">
        <v>0</v>
      </c>
      <c r="HH75" s="20">
        <v>0</v>
      </c>
      <c r="HI75" s="20">
        <v>0</v>
      </c>
      <c r="HJ75" s="20">
        <v>0</v>
      </c>
      <c r="HK75" s="20">
        <v>0</v>
      </c>
      <c r="HL75" s="20">
        <v>0</v>
      </c>
      <c r="HM75" s="20">
        <v>0</v>
      </c>
      <c r="HN75" s="20">
        <v>0</v>
      </c>
      <c r="HO75" s="20">
        <v>0</v>
      </c>
      <c r="HP75" s="20">
        <v>0</v>
      </c>
      <c r="HQ75" s="20">
        <v>0</v>
      </c>
      <c r="HR75" s="20">
        <v>0</v>
      </c>
      <c r="HS75" s="20">
        <v>0</v>
      </c>
      <c r="HT75" s="20">
        <v>0</v>
      </c>
      <c r="HU75" s="20">
        <v>0</v>
      </c>
      <c r="HV75" s="20">
        <v>0</v>
      </c>
      <c r="HW75" s="20">
        <v>0</v>
      </c>
      <c r="HX75" s="20">
        <v>0</v>
      </c>
      <c r="HY75" s="20">
        <v>0</v>
      </c>
      <c r="HZ75" s="20">
        <v>0</v>
      </c>
      <c r="IA75" s="20">
        <v>2</v>
      </c>
      <c r="IB75" s="20">
        <v>0</v>
      </c>
      <c r="IC75" s="20">
        <v>0</v>
      </c>
      <c r="ID75" s="20">
        <v>0</v>
      </c>
      <c r="JS75" s="26" t="s">
        <v>516</v>
      </c>
      <c r="JT75" s="20">
        <v>0</v>
      </c>
      <c r="JU75" s="20">
        <v>0</v>
      </c>
      <c r="JV75" s="20">
        <v>0</v>
      </c>
      <c r="JW75" s="20">
        <v>0</v>
      </c>
      <c r="JX75" s="20">
        <v>0</v>
      </c>
      <c r="JY75" s="20">
        <v>0</v>
      </c>
      <c r="JZ75" s="20">
        <v>0</v>
      </c>
      <c r="KA75" s="20">
        <v>0</v>
      </c>
      <c r="KB75" s="20">
        <v>0</v>
      </c>
      <c r="KC75" s="20">
        <v>0</v>
      </c>
      <c r="KD75" s="20">
        <v>0</v>
      </c>
      <c r="KE75" s="20">
        <v>0</v>
      </c>
      <c r="KF75" s="20">
        <v>0</v>
      </c>
      <c r="KG75" s="20">
        <v>0</v>
      </c>
      <c r="KH75" s="20">
        <v>0</v>
      </c>
      <c r="KI75" s="20">
        <v>2</v>
      </c>
      <c r="KJ75" s="20">
        <v>0</v>
      </c>
      <c r="KK75" s="20">
        <v>0</v>
      </c>
      <c r="KL75" s="20">
        <v>0</v>
      </c>
      <c r="KM75" s="20">
        <v>0</v>
      </c>
      <c r="KN75" s="20">
        <v>0</v>
      </c>
      <c r="KO75" s="20">
        <v>0</v>
      </c>
      <c r="KP75" s="20">
        <v>0</v>
      </c>
      <c r="KQ75" s="20">
        <v>0</v>
      </c>
      <c r="KR75" s="20">
        <v>0</v>
      </c>
      <c r="KS75" s="20">
        <v>0</v>
      </c>
      <c r="KU75" s="26" t="s">
        <v>516</v>
      </c>
      <c r="KV75" s="20">
        <v>0</v>
      </c>
      <c r="KW75" s="20">
        <v>0</v>
      </c>
      <c r="KX75" s="20">
        <v>0</v>
      </c>
      <c r="KY75" s="20">
        <v>2</v>
      </c>
      <c r="KZ75" s="20">
        <v>0</v>
      </c>
      <c r="LA75" s="20">
        <v>0</v>
      </c>
      <c r="LB75" s="20">
        <v>0</v>
      </c>
      <c r="LC75" s="20">
        <v>0</v>
      </c>
      <c r="LD75" s="20">
        <v>0</v>
      </c>
      <c r="LE75" s="20">
        <v>0</v>
      </c>
      <c r="LF75" s="20">
        <v>0</v>
      </c>
      <c r="LG75" s="20">
        <v>0</v>
      </c>
      <c r="LH75" s="20">
        <v>0</v>
      </c>
      <c r="LI75" s="20">
        <v>0</v>
      </c>
      <c r="LJ75" s="20">
        <v>0</v>
      </c>
      <c r="LK75" s="20">
        <v>0</v>
      </c>
      <c r="LL75" s="20">
        <v>0</v>
      </c>
      <c r="LM75" s="20">
        <v>0</v>
      </c>
      <c r="LN75" s="20">
        <v>0</v>
      </c>
      <c r="LO75" s="20">
        <v>0</v>
      </c>
      <c r="LP75" s="20">
        <v>0</v>
      </c>
      <c r="LQ75" s="20">
        <v>0</v>
      </c>
      <c r="LR75" s="20">
        <v>0</v>
      </c>
      <c r="LS75" s="20">
        <v>0</v>
      </c>
      <c r="LT75" s="20">
        <v>0</v>
      </c>
      <c r="LU75" s="20">
        <v>0</v>
      </c>
      <c r="LW75" s="26" t="s">
        <v>516</v>
      </c>
      <c r="LX75" s="20">
        <v>0</v>
      </c>
      <c r="LY75" s="20">
        <v>0</v>
      </c>
      <c r="LZ75" s="20">
        <v>0</v>
      </c>
      <c r="MA75" s="20">
        <v>0</v>
      </c>
      <c r="MB75" s="20">
        <v>0</v>
      </c>
      <c r="MC75" s="20">
        <v>0</v>
      </c>
      <c r="MD75" s="20">
        <v>0</v>
      </c>
      <c r="ME75" s="20">
        <v>0</v>
      </c>
      <c r="MF75" s="20">
        <v>0</v>
      </c>
      <c r="MG75" s="20">
        <v>0</v>
      </c>
      <c r="MH75" s="20">
        <v>0</v>
      </c>
      <c r="MI75" s="20">
        <v>0</v>
      </c>
      <c r="MJ75" s="20">
        <v>0</v>
      </c>
      <c r="MK75" s="20">
        <v>0</v>
      </c>
      <c r="ML75" s="20">
        <v>0</v>
      </c>
      <c r="MM75" s="20">
        <v>0</v>
      </c>
      <c r="MN75" s="20">
        <v>0</v>
      </c>
      <c r="MO75" s="20">
        <v>0</v>
      </c>
      <c r="MP75" s="20">
        <v>0</v>
      </c>
      <c r="MQ75" s="20">
        <v>0</v>
      </c>
      <c r="MR75" s="20">
        <v>0</v>
      </c>
      <c r="MS75" s="20">
        <v>0</v>
      </c>
      <c r="MT75" s="20">
        <v>0</v>
      </c>
      <c r="MU75" s="20">
        <v>0</v>
      </c>
      <c r="MV75" s="20">
        <v>0</v>
      </c>
      <c r="MW75" s="20">
        <v>0</v>
      </c>
      <c r="MY75" s="21" t="s">
        <v>516</v>
      </c>
      <c r="MZ75" s="21">
        <v>0</v>
      </c>
      <c r="NA75" s="21">
        <v>0</v>
      </c>
      <c r="NB75" s="21">
        <v>0</v>
      </c>
      <c r="NC75" s="21">
        <v>0</v>
      </c>
      <c r="ND75" s="21">
        <v>0</v>
      </c>
      <c r="NE75" s="21">
        <v>0</v>
      </c>
      <c r="NF75" s="21">
        <v>0</v>
      </c>
      <c r="NG75" s="21">
        <v>0</v>
      </c>
      <c r="NH75" s="21">
        <v>0</v>
      </c>
      <c r="NI75" s="21">
        <v>0</v>
      </c>
      <c r="NJ75" s="21">
        <v>0</v>
      </c>
      <c r="NK75" s="21">
        <v>0</v>
      </c>
      <c r="NL75" s="21">
        <v>0</v>
      </c>
      <c r="NM75" s="21">
        <v>0</v>
      </c>
      <c r="NN75" s="21">
        <v>0</v>
      </c>
      <c r="NO75" s="21">
        <v>0</v>
      </c>
      <c r="NP75" s="21">
        <v>0</v>
      </c>
      <c r="NQ75" s="21">
        <v>0</v>
      </c>
      <c r="NR75" s="21">
        <v>0</v>
      </c>
      <c r="NS75" s="21">
        <v>0</v>
      </c>
      <c r="NT75" s="21">
        <v>0</v>
      </c>
      <c r="NU75" s="21">
        <v>0</v>
      </c>
      <c r="NV75" s="21">
        <v>0</v>
      </c>
      <c r="NW75" s="21">
        <v>0</v>
      </c>
      <c r="NX75" s="21">
        <v>0</v>
      </c>
      <c r="NY75" s="21">
        <v>0</v>
      </c>
    </row>
    <row r="76" spans="1:389" x14ac:dyDescent="0.25">
      <c r="A76" s="4"/>
      <c r="B76" s="6"/>
      <c r="C76" s="4"/>
      <c r="D76" s="4"/>
      <c r="E76" s="4"/>
      <c r="F76" s="4"/>
      <c r="G76" s="4"/>
      <c r="H76" s="4"/>
      <c r="I76" s="4"/>
      <c r="J76" s="4"/>
      <c r="K76" s="4"/>
      <c r="L76" s="4"/>
      <c r="M76" s="4"/>
      <c r="N76" s="4"/>
      <c r="O76" s="4"/>
      <c r="P76" s="4"/>
      <c r="Q76" s="4"/>
      <c r="R76" s="4"/>
      <c r="S76" s="4"/>
      <c r="T76" s="22">
        <f>SUM(T54:T75)</f>
        <v>0</v>
      </c>
      <c r="U76" s="22">
        <f>SUM(U54:U75)</f>
        <v>0</v>
      </c>
      <c r="V76" s="20"/>
      <c r="W76" s="20"/>
      <c r="X76" s="25">
        <f t="shared" si="72"/>
        <v>0</v>
      </c>
      <c r="Y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88,$BB$2:$CA$2,0),MATCH($W$65,$AH$22:$AH$47,0)))*C88</f>
        <v>0</v>
      </c>
      <c r="Z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88,$BB$2:$CA$2,0),MATCH($W$65,$AH$22:$AH$47,0)))*C88</f>
        <v>0</v>
      </c>
      <c r="AA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88,$BB$2:$CA$2,0),MATCH($W$65,$AH$22:$AH$47,0)))*C88</f>
        <v>0</v>
      </c>
      <c r="AB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88,$BB$2:$CA$2,0),MATCH($W$65,$AH$22:$AH$47,0)))*C88</f>
        <v>0</v>
      </c>
      <c r="AC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88,$BB$2:$CA$2,0),MATCH($W$65,$AH$22:$AH$47,0)))*C88</f>
        <v>0</v>
      </c>
      <c r="AD7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88,$BB$2:$CA$2,0),MATCH($W$65,$AH$22:$AH$47,0)))*C88</f>
        <v>0</v>
      </c>
      <c r="AE76" s="20"/>
      <c r="AF76" s="20"/>
      <c r="AG76" s="20"/>
      <c r="AH76" s="20"/>
      <c r="AI76" s="20"/>
      <c r="AJ76" s="20"/>
      <c r="AK76" s="20"/>
      <c r="AL76" s="20">
        <f t="shared" si="73"/>
        <v>0</v>
      </c>
      <c r="AM76" s="20"/>
      <c r="AN76" s="20"/>
      <c r="AO76" s="20"/>
      <c r="AP76" s="20"/>
      <c r="AQ76" s="20"/>
      <c r="AR76" s="20"/>
      <c r="AS76" s="20"/>
      <c r="AT76" s="20"/>
      <c r="AU76" s="20"/>
      <c r="AV76" s="20"/>
      <c r="AW76" s="20"/>
      <c r="AX76" s="20"/>
      <c r="AY76" s="20"/>
      <c r="AZ76" s="20"/>
      <c r="BA76" s="21" t="s">
        <v>12</v>
      </c>
      <c r="BB76" s="21">
        <v>0</v>
      </c>
      <c r="BC76" s="21">
        <v>0</v>
      </c>
      <c r="BD76" s="21">
        <v>0</v>
      </c>
      <c r="BE76" s="21">
        <v>4</v>
      </c>
      <c r="BF76" s="21">
        <v>2</v>
      </c>
      <c r="BG76" s="21">
        <v>0</v>
      </c>
      <c r="BH76" s="21">
        <v>0</v>
      </c>
      <c r="BI76" s="21">
        <v>0</v>
      </c>
      <c r="BJ76" s="21">
        <v>0</v>
      </c>
      <c r="BK76" s="21">
        <v>0</v>
      </c>
      <c r="BL76" s="21">
        <v>0</v>
      </c>
      <c r="BM76" s="21">
        <v>4</v>
      </c>
      <c r="BN76" s="21">
        <v>2</v>
      </c>
      <c r="BO76" s="21">
        <v>0</v>
      </c>
      <c r="BP76" s="21">
        <v>0</v>
      </c>
      <c r="BQ76" s="21">
        <v>0</v>
      </c>
      <c r="BR76" s="21">
        <v>0</v>
      </c>
      <c r="BS76" s="21">
        <v>0</v>
      </c>
      <c r="BT76" s="21">
        <v>0</v>
      </c>
      <c r="BU76" s="21">
        <v>0</v>
      </c>
      <c r="BV76" s="21">
        <v>0</v>
      </c>
      <c r="BW76" s="21">
        <v>0</v>
      </c>
      <c r="BX76" s="21">
        <v>0</v>
      </c>
      <c r="BY76" s="21">
        <v>0</v>
      </c>
      <c r="BZ76" s="21">
        <v>0</v>
      </c>
      <c r="CA76" s="21">
        <v>0</v>
      </c>
      <c r="DA76" s="54"/>
      <c r="DB76" s="54"/>
      <c r="DC76" s="54"/>
      <c r="DD76" s="26" t="s">
        <v>712</v>
      </c>
      <c r="DE76" s="20">
        <v>0</v>
      </c>
      <c r="DF76" s="20"/>
      <c r="DG76" s="20"/>
      <c r="DH76" s="20"/>
      <c r="DI76" s="20"/>
      <c r="DJ76" s="20"/>
      <c r="DK76" s="20"/>
      <c r="DL76" s="20"/>
      <c r="DM76" s="20"/>
      <c r="DN76" s="20"/>
      <c r="DO76" s="20"/>
      <c r="DP76" s="20"/>
      <c r="DQ76" s="20"/>
      <c r="DR76" s="20"/>
      <c r="DS76" s="20"/>
      <c r="DT76" s="20"/>
      <c r="DU76" s="20"/>
      <c r="DV76" s="20"/>
      <c r="DW76" s="20"/>
      <c r="DX76" s="20"/>
      <c r="DY76" s="20"/>
      <c r="DZ76" s="20"/>
      <c r="EA76" s="20"/>
      <c r="EB76" s="20" t="s">
        <v>12</v>
      </c>
      <c r="EC76" s="20">
        <v>0</v>
      </c>
      <c r="ED76" s="20">
        <v>2</v>
      </c>
      <c r="EE76" s="20">
        <v>4</v>
      </c>
      <c r="EF76" s="20">
        <v>0</v>
      </c>
      <c r="EG76" s="20">
        <v>2</v>
      </c>
      <c r="EH76" s="20">
        <v>0</v>
      </c>
      <c r="EI76" s="20">
        <v>2</v>
      </c>
      <c r="EJ76" s="20">
        <v>0</v>
      </c>
      <c r="EK76" s="20">
        <v>2</v>
      </c>
      <c r="EL76" s="20">
        <v>0</v>
      </c>
      <c r="EM76" s="20">
        <v>0</v>
      </c>
      <c r="EN76" s="20">
        <v>2</v>
      </c>
      <c r="EO76" s="20">
        <v>0</v>
      </c>
      <c r="EP76" s="20">
        <v>2</v>
      </c>
      <c r="EQ76" s="20">
        <v>0</v>
      </c>
      <c r="ER76" s="20">
        <v>0</v>
      </c>
      <c r="ES76" s="20">
        <v>2</v>
      </c>
      <c r="ET76" s="20">
        <v>0</v>
      </c>
      <c r="EU76" s="20">
        <v>2</v>
      </c>
      <c r="EV76" s="20">
        <v>0</v>
      </c>
      <c r="EW76" s="20">
        <v>0</v>
      </c>
      <c r="EX76" s="20">
        <v>0</v>
      </c>
      <c r="EY76" s="20">
        <v>0</v>
      </c>
      <c r="EZ76" s="20">
        <v>2</v>
      </c>
      <c r="FA76" s="20">
        <v>0</v>
      </c>
      <c r="FB76" s="20">
        <v>0</v>
      </c>
      <c r="FC76" s="20">
        <v>0</v>
      </c>
      <c r="FD76" s="20">
        <v>0</v>
      </c>
      <c r="FE76" s="20">
        <v>0</v>
      </c>
      <c r="FF76" s="20">
        <v>0</v>
      </c>
      <c r="FG76" s="20">
        <v>0</v>
      </c>
      <c r="FH76" s="20">
        <v>0</v>
      </c>
      <c r="FI76" s="20">
        <v>0</v>
      </c>
      <c r="FJ76" s="20">
        <v>0</v>
      </c>
      <c r="FK76" s="20">
        <v>0</v>
      </c>
      <c r="FL76" s="20">
        <v>0</v>
      </c>
      <c r="FM76" s="20">
        <v>0</v>
      </c>
      <c r="FN76" s="20">
        <v>0</v>
      </c>
      <c r="FO76" s="20">
        <v>0</v>
      </c>
      <c r="FP76" s="20">
        <v>0</v>
      </c>
      <c r="FQ76" s="20">
        <v>0</v>
      </c>
      <c r="FR76" s="20">
        <v>0</v>
      </c>
      <c r="FS76" s="20">
        <v>0</v>
      </c>
      <c r="FT76" s="20">
        <v>0</v>
      </c>
      <c r="FU76" s="20">
        <v>0</v>
      </c>
      <c r="FV76" s="20">
        <v>0</v>
      </c>
      <c r="FW76" s="20">
        <v>0</v>
      </c>
      <c r="FX76" s="20">
        <v>0</v>
      </c>
      <c r="FY76" s="20">
        <v>0</v>
      </c>
      <c r="FZ76" s="20">
        <v>0</v>
      </c>
      <c r="GA76" s="20">
        <v>0</v>
      </c>
      <c r="GC76" s="20"/>
      <c r="GD76" s="20"/>
      <c r="GE76" s="20" t="s">
        <v>12</v>
      </c>
      <c r="GF76" s="20">
        <v>0</v>
      </c>
      <c r="GG76" s="20">
        <v>0</v>
      </c>
      <c r="GH76" s="20">
        <v>0</v>
      </c>
      <c r="GI76" s="20">
        <v>0</v>
      </c>
      <c r="GJ76" s="20">
        <v>2</v>
      </c>
      <c r="GK76" s="20">
        <v>2</v>
      </c>
      <c r="GL76" s="20">
        <v>0</v>
      </c>
      <c r="GM76" s="20">
        <v>2</v>
      </c>
      <c r="GN76" s="20">
        <v>0</v>
      </c>
      <c r="GO76" s="20">
        <v>0</v>
      </c>
      <c r="GP76" s="20">
        <v>2</v>
      </c>
      <c r="GQ76" s="20">
        <v>0</v>
      </c>
      <c r="GR76" s="20">
        <v>0</v>
      </c>
      <c r="GS76" s="20">
        <v>0</v>
      </c>
      <c r="GT76" s="20">
        <v>4</v>
      </c>
      <c r="GU76" s="20">
        <v>0</v>
      </c>
      <c r="GV76" s="20">
        <v>0</v>
      </c>
      <c r="GW76" s="20">
        <v>0</v>
      </c>
      <c r="GX76" s="20">
        <v>0</v>
      </c>
      <c r="GY76" s="20">
        <v>0</v>
      </c>
      <c r="GZ76" s="20">
        <v>0</v>
      </c>
      <c r="HA76" s="20">
        <v>0</v>
      </c>
      <c r="HB76" s="20">
        <v>0</v>
      </c>
      <c r="HC76" s="20">
        <v>0</v>
      </c>
      <c r="HD76" s="20">
        <v>0</v>
      </c>
      <c r="HE76" s="20">
        <v>0</v>
      </c>
      <c r="HF76" s="20">
        <v>0</v>
      </c>
      <c r="HG76" s="20">
        <v>0</v>
      </c>
      <c r="HH76" s="20">
        <v>0</v>
      </c>
      <c r="HI76" s="20">
        <v>0</v>
      </c>
      <c r="HJ76" s="20">
        <v>0</v>
      </c>
      <c r="HK76" s="20">
        <v>0</v>
      </c>
      <c r="HL76" s="20">
        <v>0</v>
      </c>
      <c r="HM76" s="20">
        <v>0</v>
      </c>
      <c r="HN76" s="20">
        <v>0</v>
      </c>
      <c r="HO76" s="20">
        <v>0</v>
      </c>
      <c r="HP76" s="20">
        <v>0</v>
      </c>
      <c r="HQ76" s="20">
        <v>0</v>
      </c>
      <c r="HR76" s="20">
        <v>0</v>
      </c>
      <c r="HS76" s="20">
        <v>0</v>
      </c>
      <c r="HT76" s="20">
        <v>0</v>
      </c>
      <c r="HU76" s="20">
        <v>0</v>
      </c>
      <c r="HV76" s="20">
        <v>0</v>
      </c>
      <c r="HW76" s="20">
        <v>0</v>
      </c>
      <c r="HX76" s="20">
        <v>0</v>
      </c>
      <c r="HY76" s="20">
        <v>0</v>
      </c>
      <c r="HZ76" s="20">
        <v>0</v>
      </c>
      <c r="IA76" s="20">
        <v>0</v>
      </c>
      <c r="IB76" s="20">
        <v>0</v>
      </c>
      <c r="IC76" s="20">
        <v>0</v>
      </c>
      <c r="ID76" s="20">
        <v>0</v>
      </c>
      <c r="JI76" s="358" t="s">
        <v>160</v>
      </c>
      <c r="JJ76" s="358"/>
      <c r="JK76" s="358"/>
      <c r="JL76" s="358"/>
      <c r="JM76" s="358"/>
      <c r="JN76" s="358"/>
      <c r="JO76" s="358"/>
      <c r="JP76" s="27"/>
      <c r="JQ76" s="27"/>
      <c r="JS76" s="26" t="s">
        <v>517</v>
      </c>
      <c r="JT76" s="20">
        <v>0</v>
      </c>
      <c r="JU76" s="20">
        <v>2</v>
      </c>
      <c r="JV76" s="20">
        <v>0</v>
      </c>
      <c r="JW76" s="20">
        <v>4</v>
      </c>
      <c r="JX76" s="20">
        <v>2</v>
      </c>
      <c r="JY76" s="20">
        <v>0</v>
      </c>
      <c r="JZ76" s="20">
        <v>4</v>
      </c>
      <c r="KA76" s="20">
        <v>2</v>
      </c>
      <c r="KB76" s="20">
        <v>0</v>
      </c>
      <c r="KC76" s="20">
        <v>0</v>
      </c>
      <c r="KD76" s="20">
        <v>2</v>
      </c>
      <c r="KE76" s="20">
        <v>0</v>
      </c>
      <c r="KF76" s="20">
        <v>4</v>
      </c>
      <c r="KG76" s="20">
        <v>0</v>
      </c>
      <c r="KH76" s="20">
        <v>0</v>
      </c>
      <c r="KI76" s="20">
        <v>0</v>
      </c>
      <c r="KJ76" s="20">
        <v>0</v>
      </c>
      <c r="KK76" s="20">
        <v>4</v>
      </c>
      <c r="KL76" s="20">
        <v>2</v>
      </c>
      <c r="KM76" s="20">
        <v>0</v>
      </c>
      <c r="KN76" s="20">
        <v>2</v>
      </c>
      <c r="KO76" s="20">
        <v>0</v>
      </c>
      <c r="KP76" s="20">
        <v>0</v>
      </c>
      <c r="KQ76" s="20">
        <v>0</v>
      </c>
      <c r="KR76" s="20">
        <v>0</v>
      </c>
      <c r="KS76" s="20">
        <v>0</v>
      </c>
      <c r="KU76" s="26" t="s">
        <v>517</v>
      </c>
      <c r="KV76" s="20">
        <v>0</v>
      </c>
      <c r="KW76" s="20">
        <v>2</v>
      </c>
      <c r="KX76" s="20">
        <v>4</v>
      </c>
      <c r="KY76" s="20">
        <v>0</v>
      </c>
      <c r="KZ76" s="20">
        <v>4</v>
      </c>
      <c r="LA76" s="20">
        <v>0</v>
      </c>
      <c r="LB76" s="20">
        <v>0</v>
      </c>
      <c r="LC76" s="20">
        <v>0</v>
      </c>
      <c r="LD76" s="20">
        <v>2</v>
      </c>
      <c r="LE76" s="20">
        <v>0</v>
      </c>
      <c r="LF76" s="20">
        <v>0</v>
      </c>
      <c r="LG76" s="20">
        <v>4</v>
      </c>
      <c r="LH76" s="20">
        <v>0</v>
      </c>
      <c r="LI76" s="20">
        <v>2</v>
      </c>
      <c r="LJ76" s="20">
        <v>0</v>
      </c>
      <c r="LK76" s="20">
        <v>2</v>
      </c>
      <c r="LL76" s="20">
        <v>0</v>
      </c>
      <c r="LM76" s="20">
        <v>0</v>
      </c>
      <c r="LN76" s="20">
        <v>0</v>
      </c>
      <c r="LO76" s="20">
        <v>0</v>
      </c>
      <c r="LP76" s="20">
        <v>2</v>
      </c>
      <c r="LQ76" s="20">
        <v>0</v>
      </c>
      <c r="LR76" s="20">
        <v>0</v>
      </c>
      <c r="LS76" s="20">
        <v>0</v>
      </c>
      <c r="LT76" s="20">
        <v>0</v>
      </c>
      <c r="LU76" s="20">
        <v>0</v>
      </c>
      <c r="LW76" s="26" t="s">
        <v>517</v>
      </c>
      <c r="LX76" s="20">
        <v>0</v>
      </c>
      <c r="LY76" s="20">
        <v>0</v>
      </c>
      <c r="LZ76" s="20">
        <v>4</v>
      </c>
      <c r="MA76" s="20">
        <v>0</v>
      </c>
      <c r="MB76" s="20">
        <v>2</v>
      </c>
      <c r="MC76" s="20">
        <v>4</v>
      </c>
      <c r="MD76" s="20">
        <v>0</v>
      </c>
      <c r="ME76" s="20">
        <v>2</v>
      </c>
      <c r="MF76" s="20">
        <v>4</v>
      </c>
      <c r="MG76" s="20">
        <v>0</v>
      </c>
      <c r="MH76" s="20">
        <v>0</v>
      </c>
      <c r="MI76" s="20">
        <v>0</v>
      </c>
      <c r="MJ76" s="20">
        <v>0</v>
      </c>
      <c r="MK76" s="20">
        <v>0</v>
      </c>
      <c r="ML76" s="20">
        <v>0</v>
      </c>
      <c r="MM76" s="20">
        <v>2</v>
      </c>
      <c r="MN76" s="20">
        <v>0</v>
      </c>
      <c r="MO76" s="20">
        <v>0</v>
      </c>
      <c r="MP76" s="20">
        <v>2</v>
      </c>
      <c r="MQ76" s="20">
        <v>0</v>
      </c>
      <c r="MR76" s="20">
        <v>0</v>
      </c>
      <c r="MS76" s="20">
        <v>2</v>
      </c>
      <c r="MT76" s="20">
        <v>0</v>
      </c>
      <c r="MU76" s="20">
        <v>0</v>
      </c>
      <c r="MV76" s="20">
        <v>0</v>
      </c>
      <c r="MW76" s="20">
        <v>0</v>
      </c>
      <c r="MY76" s="21" t="s">
        <v>517</v>
      </c>
      <c r="MZ76" s="21">
        <v>0</v>
      </c>
      <c r="NA76" s="21">
        <v>0</v>
      </c>
      <c r="NB76" s="21">
        <v>2</v>
      </c>
      <c r="NC76" s="21">
        <v>0</v>
      </c>
      <c r="ND76" s="21">
        <v>4</v>
      </c>
      <c r="NE76" s="21">
        <v>0</v>
      </c>
      <c r="NF76" s="21">
        <v>2</v>
      </c>
      <c r="NG76" s="21">
        <v>2</v>
      </c>
      <c r="NH76" s="21">
        <v>4</v>
      </c>
      <c r="NI76" s="21">
        <v>0</v>
      </c>
      <c r="NJ76" s="21">
        <v>0</v>
      </c>
      <c r="NK76" s="21">
        <v>2</v>
      </c>
      <c r="NL76" s="21">
        <v>4</v>
      </c>
      <c r="NM76" s="21">
        <v>0</v>
      </c>
      <c r="NN76" s="21">
        <v>0</v>
      </c>
      <c r="NO76" s="21">
        <v>0</v>
      </c>
      <c r="NP76" s="21">
        <v>0</v>
      </c>
      <c r="NQ76" s="21">
        <v>0</v>
      </c>
      <c r="NR76" s="21">
        <v>0</v>
      </c>
      <c r="NS76" s="21">
        <v>0</v>
      </c>
      <c r="NT76" s="21">
        <v>0</v>
      </c>
      <c r="NU76" s="21">
        <v>0</v>
      </c>
      <c r="NV76" s="21">
        <v>0</v>
      </c>
      <c r="NW76" s="21">
        <v>0</v>
      </c>
      <c r="NX76" s="21">
        <v>0</v>
      </c>
      <c r="NY76" s="21">
        <v>0</v>
      </c>
    </row>
    <row r="77" spans="1:389" ht="51.75" x14ac:dyDescent="0.25">
      <c r="A77" s="3" t="s">
        <v>120</v>
      </c>
      <c r="B77" s="5"/>
      <c r="C77" s="3" t="s">
        <v>121</v>
      </c>
      <c r="D77" s="4"/>
      <c r="E77" s="4"/>
      <c r="F77" s="4"/>
      <c r="G77" s="4"/>
      <c r="H77" s="4"/>
      <c r="I77" s="4"/>
      <c r="J77" s="4"/>
      <c r="K77" s="4"/>
      <c r="L77" s="360" t="str">
        <f>IF(E81="wertykalny","KONSTRUKCJA DS-V4N",IF(E81="horyzontalny","KONSTRUKCJA DS-H4N"))</f>
        <v>KONSTRUKCJA DS-V4N</v>
      </c>
      <c r="M77" s="360"/>
      <c r="N77" s="360"/>
      <c r="O77" s="360"/>
      <c r="P77" s="360"/>
      <c r="Q77" s="360"/>
      <c r="R77" s="360"/>
      <c r="S77" s="360"/>
      <c r="T77" s="360"/>
      <c r="U77" s="360"/>
      <c r="V77" s="20"/>
      <c r="W77" s="20"/>
      <c r="X77" s="25">
        <f t="shared" si="72"/>
        <v>0</v>
      </c>
      <c r="Y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89,$BB$2:$CA$2,0),MATCH($W$65,$AH$22:$AH$47,0)))*C89</f>
        <v>0</v>
      </c>
      <c r="Z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89,$BB$2:$CA$2,0),MATCH($W$65,$AH$22:$AH$47,0)))*C89</f>
        <v>0</v>
      </c>
      <c r="AA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89,$BB$2:$CA$2,0),MATCH($W$65,$AH$22:$AH$47,0)))*C89</f>
        <v>0</v>
      </c>
      <c r="AB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89,$BB$2:$CA$2,0),MATCH($W$65,$AH$22:$AH$47,0)))*C89</f>
        <v>0</v>
      </c>
      <c r="AC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89,$BB$2:$CA$2,0),MATCH($W$65,$AH$22:$AH$47,0)))*C89</f>
        <v>0</v>
      </c>
      <c r="AD7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89,$BB$2:$CA$2,0),MATCH($W$65,$AH$22:$AH$47,0)))*C89</f>
        <v>0</v>
      </c>
      <c r="AE77" s="20"/>
      <c r="AF77" s="20"/>
      <c r="AG77" s="20"/>
      <c r="AH77" s="20"/>
      <c r="AI77" s="20"/>
      <c r="AJ77" s="20"/>
      <c r="AK77" s="20"/>
      <c r="AL77" s="20">
        <f t="shared" si="73"/>
        <v>0</v>
      </c>
      <c r="AM77" s="20"/>
      <c r="AN77" s="20"/>
      <c r="AO77" s="20"/>
      <c r="AP77" s="20"/>
      <c r="AQ77" s="20"/>
      <c r="AR77" s="20"/>
      <c r="AS77" s="20"/>
      <c r="AT77" s="20"/>
      <c r="AU77" s="20"/>
      <c r="AV77" s="20"/>
      <c r="AW77" s="20"/>
      <c r="AX77" s="20"/>
      <c r="AY77" s="20"/>
      <c r="AZ77" s="20"/>
      <c r="BA77" s="21" t="s">
        <v>127</v>
      </c>
      <c r="BB77" s="21">
        <v>0</v>
      </c>
      <c r="BC77" s="21">
        <v>2</v>
      </c>
      <c r="BD77" s="21">
        <v>0</v>
      </c>
      <c r="BE77" s="21">
        <v>0</v>
      </c>
      <c r="BF77" s="21">
        <v>0</v>
      </c>
      <c r="BG77" s="21">
        <v>0</v>
      </c>
      <c r="BH77" s="21">
        <v>0</v>
      </c>
      <c r="BI77" s="21">
        <v>2</v>
      </c>
      <c r="BJ77" s="21">
        <v>0</v>
      </c>
      <c r="BK77" s="21">
        <v>0</v>
      </c>
      <c r="BL77" s="21">
        <v>0</v>
      </c>
      <c r="BM77" s="21">
        <v>0</v>
      </c>
      <c r="BN77" s="21">
        <v>0</v>
      </c>
      <c r="BO77" s="21">
        <v>0</v>
      </c>
      <c r="BP77" s="21">
        <v>4</v>
      </c>
      <c r="BQ77" s="21">
        <v>2</v>
      </c>
      <c r="BR77" s="21">
        <v>0</v>
      </c>
      <c r="BS77" s="21">
        <v>0</v>
      </c>
      <c r="BT77" s="21">
        <v>0</v>
      </c>
      <c r="BU77" s="21">
        <v>4</v>
      </c>
      <c r="BV77" s="21">
        <v>2</v>
      </c>
      <c r="BW77" s="21">
        <v>0</v>
      </c>
      <c r="BX77" s="21">
        <v>4</v>
      </c>
      <c r="BY77" s="21">
        <v>0</v>
      </c>
      <c r="BZ77" s="21">
        <v>0</v>
      </c>
      <c r="CA77" s="21">
        <v>2</v>
      </c>
      <c r="DA77" s="54"/>
      <c r="DB77" s="54"/>
      <c r="DC77" s="54"/>
      <c r="DD77" s="20"/>
      <c r="DE77" s="20"/>
      <c r="DF77" s="20"/>
      <c r="DG77" s="20"/>
      <c r="DH77" s="20"/>
      <c r="DI77" s="20"/>
      <c r="DJ77" s="20"/>
      <c r="DK77" s="20"/>
      <c r="DL77" s="20"/>
      <c r="DM77" s="20"/>
      <c r="DN77" s="20"/>
      <c r="DO77" s="20"/>
      <c r="DP77" s="20"/>
      <c r="DQ77" s="20"/>
      <c r="DR77" s="20"/>
      <c r="DS77" s="20"/>
      <c r="DT77" s="20"/>
      <c r="DU77" s="20"/>
      <c r="DV77" s="20"/>
      <c r="DW77" s="20"/>
      <c r="DX77" s="20"/>
      <c r="DY77" s="20"/>
      <c r="DZ77" s="20"/>
      <c r="EA77" s="20"/>
      <c r="EB77" s="20" t="s">
        <v>127</v>
      </c>
      <c r="EC77" s="20">
        <v>0</v>
      </c>
      <c r="ED77" s="20">
        <v>0</v>
      </c>
      <c r="EE77" s="20">
        <v>0</v>
      </c>
      <c r="EF77" s="20">
        <v>0</v>
      </c>
      <c r="EG77" s="20">
        <v>2</v>
      </c>
      <c r="EH77" s="20">
        <v>0</v>
      </c>
      <c r="EI77" s="20">
        <v>0</v>
      </c>
      <c r="EJ77" s="20">
        <v>0</v>
      </c>
      <c r="EK77" s="20">
        <v>0</v>
      </c>
      <c r="EL77" s="20">
        <v>4</v>
      </c>
      <c r="EM77" s="20">
        <v>0</v>
      </c>
      <c r="EN77" s="20">
        <v>2</v>
      </c>
      <c r="EO77" s="20">
        <v>0</v>
      </c>
      <c r="EP77" s="20">
        <v>0</v>
      </c>
      <c r="EQ77" s="20">
        <v>0</v>
      </c>
      <c r="ER77" s="20">
        <v>0</v>
      </c>
      <c r="ES77" s="20">
        <v>2</v>
      </c>
      <c r="ET77" s="20">
        <v>0</v>
      </c>
      <c r="EU77" s="20">
        <v>0</v>
      </c>
      <c r="EV77" s="20">
        <v>0</v>
      </c>
      <c r="EW77" s="20">
        <v>0</v>
      </c>
      <c r="EX77" s="20">
        <v>0</v>
      </c>
      <c r="EY77" s="20">
        <v>2</v>
      </c>
      <c r="EZ77" s="20">
        <v>0</v>
      </c>
      <c r="FA77" s="20">
        <v>0</v>
      </c>
      <c r="FB77" s="20">
        <v>0</v>
      </c>
      <c r="FC77" s="20">
        <v>0</v>
      </c>
      <c r="FD77" s="20">
        <v>0</v>
      </c>
      <c r="FE77" s="20">
        <v>0</v>
      </c>
      <c r="FF77" s="20">
        <v>0</v>
      </c>
      <c r="FG77" s="20">
        <v>0</v>
      </c>
      <c r="FH77" s="20">
        <v>0</v>
      </c>
      <c r="FI77" s="20">
        <v>4</v>
      </c>
      <c r="FJ77" s="20">
        <v>0</v>
      </c>
      <c r="FK77" s="20">
        <v>0</v>
      </c>
      <c r="FL77" s="20">
        <v>0</v>
      </c>
      <c r="FM77" s="20">
        <v>2</v>
      </c>
      <c r="FN77" s="20">
        <v>0</v>
      </c>
      <c r="FO77" s="20">
        <v>0</v>
      </c>
      <c r="FP77" s="20">
        <v>0</v>
      </c>
      <c r="FQ77" s="20">
        <v>0</v>
      </c>
      <c r="FR77" s="20">
        <v>2</v>
      </c>
      <c r="FS77" s="20">
        <v>0</v>
      </c>
      <c r="FT77" s="20">
        <v>2</v>
      </c>
      <c r="FU77" s="20">
        <v>0</v>
      </c>
      <c r="FV77" s="20">
        <v>0</v>
      </c>
      <c r="FW77" s="20">
        <v>0</v>
      </c>
      <c r="FX77" s="20">
        <v>0</v>
      </c>
      <c r="FY77" s="20">
        <v>2</v>
      </c>
      <c r="FZ77" s="20">
        <v>0</v>
      </c>
      <c r="GA77" s="20">
        <v>0</v>
      </c>
      <c r="GC77" s="20"/>
      <c r="GD77" s="20"/>
      <c r="GE77" s="20" t="s">
        <v>127</v>
      </c>
      <c r="GF77" s="20">
        <v>0</v>
      </c>
      <c r="GG77" s="20">
        <v>2</v>
      </c>
      <c r="GH77" s="20">
        <v>0</v>
      </c>
      <c r="GI77" s="20">
        <v>0</v>
      </c>
      <c r="GJ77" s="20">
        <v>0</v>
      </c>
      <c r="GK77" s="20">
        <v>2</v>
      </c>
      <c r="GL77" s="20">
        <v>0</v>
      </c>
      <c r="GM77" s="20">
        <v>0</v>
      </c>
      <c r="GN77" s="20">
        <v>4</v>
      </c>
      <c r="GO77" s="20">
        <v>0</v>
      </c>
      <c r="GP77" s="20">
        <v>0</v>
      </c>
      <c r="GQ77" s="20">
        <v>4</v>
      </c>
      <c r="GR77" s="20">
        <v>0</v>
      </c>
      <c r="GS77" s="20">
        <v>2</v>
      </c>
      <c r="GT77" s="20">
        <v>0</v>
      </c>
      <c r="GU77" s="20">
        <v>0</v>
      </c>
      <c r="GV77" s="20">
        <v>2</v>
      </c>
      <c r="GW77" s="20">
        <v>0</v>
      </c>
      <c r="GX77" s="20">
        <v>0</v>
      </c>
      <c r="GY77" s="20">
        <v>2</v>
      </c>
      <c r="GZ77" s="20">
        <v>0</v>
      </c>
      <c r="HA77" s="20">
        <v>0</v>
      </c>
      <c r="HB77" s="20">
        <v>4</v>
      </c>
      <c r="HC77" s="20">
        <v>0</v>
      </c>
      <c r="HD77" s="20">
        <v>0</v>
      </c>
      <c r="HE77" s="20">
        <v>0</v>
      </c>
      <c r="HF77" s="20">
        <v>0</v>
      </c>
      <c r="HG77" s="20">
        <v>2</v>
      </c>
      <c r="HH77" s="20">
        <v>0</v>
      </c>
      <c r="HI77" s="20">
        <v>0</v>
      </c>
      <c r="HJ77" s="20">
        <v>2</v>
      </c>
      <c r="HK77" s="20">
        <v>0</v>
      </c>
      <c r="HL77" s="20">
        <v>2</v>
      </c>
      <c r="HM77" s="20">
        <v>0</v>
      </c>
      <c r="HN77" s="20">
        <v>0</v>
      </c>
      <c r="HO77" s="20">
        <v>0</v>
      </c>
      <c r="HP77" s="20">
        <v>0</v>
      </c>
      <c r="HQ77" s="20">
        <v>0</v>
      </c>
      <c r="HR77" s="20">
        <v>2</v>
      </c>
      <c r="HS77" s="20">
        <v>0</v>
      </c>
      <c r="HT77" s="20">
        <v>0</v>
      </c>
      <c r="HU77" s="20">
        <v>2</v>
      </c>
      <c r="HV77" s="20">
        <v>0</v>
      </c>
      <c r="HW77" s="20">
        <v>0</v>
      </c>
      <c r="HX77" s="20">
        <v>0</v>
      </c>
      <c r="HY77" s="20">
        <v>0</v>
      </c>
      <c r="HZ77" s="20">
        <v>0</v>
      </c>
      <c r="IA77" s="20">
        <v>0</v>
      </c>
      <c r="IB77" s="20">
        <v>0</v>
      </c>
      <c r="IC77" s="20">
        <v>0</v>
      </c>
      <c r="ID77" s="20">
        <v>0</v>
      </c>
      <c r="JI77" s="26" t="s">
        <v>161</v>
      </c>
      <c r="JJ77" s="27">
        <v>1.1499999999999999</v>
      </c>
      <c r="JK77" s="27">
        <v>2.1</v>
      </c>
      <c r="JL77" s="27">
        <v>2.2000000000000002</v>
      </c>
      <c r="JM77" s="27">
        <v>2.4</v>
      </c>
      <c r="JN77" s="27">
        <v>3.15</v>
      </c>
      <c r="JO77" s="27">
        <v>3.3</v>
      </c>
      <c r="JP77" s="27">
        <v>3.6</v>
      </c>
      <c r="JQ77" s="27">
        <v>4.4000000000000004</v>
      </c>
      <c r="JS77" s="26" t="s">
        <v>518</v>
      </c>
      <c r="JT77" s="20">
        <v>0</v>
      </c>
      <c r="JU77" s="20">
        <v>0</v>
      </c>
      <c r="JV77" s="20">
        <v>0</v>
      </c>
      <c r="JW77" s="20">
        <v>0</v>
      </c>
      <c r="JX77" s="20">
        <v>0</v>
      </c>
      <c r="JY77" s="20">
        <v>0</v>
      </c>
      <c r="JZ77" s="20">
        <v>0</v>
      </c>
      <c r="KA77" s="20">
        <v>0</v>
      </c>
      <c r="KB77" s="20">
        <v>0</v>
      </c>
      <c r="KC77" s="20">
        <v>4</v>
      </c>
      <c r="KD77" s="20">
        <v>0</v>
      </c>
      <c r="KE77" s="20">
        <v>0</v>
      </c>
      <c r="KF77" s="20">
        <v>0</v>
      </c>
      <c r="KG77" s="20">
        <v>2</v>
      </c>
      <c r="KH77" s="20">
        <v>0</v>
      </c>
      <c r="KI77" s="20">
        <v>0</v>
      </c>
      <c r="KJ77" s="20">
        <v>0</v>
      </c>
      <c r="KK77" s="20">
        <v>0</v>
      </c>
      <c r="KL77" s="20">
        <v>0</v>
      </c>
      <c r="KM77" s="20">
        <v>0</v>
      </c>
      <c r="KN77" s="20">
        <v>2</v>
      </c>
      <c r="KO77" s="20">
        <v>2</v>
      </c>
      <c r="KP77" s="20">
        <v>0</v>
      </c>
      <c r="KQ77" s="20">
        <v>4</v>
      </c>
      <c r="KR77" s="20">
        <v>0</v>
      </c>
      <c r="KS77" s="20">
        <v>0</v>
      </c>
      <c r="KU77" s="26" t="s">
        <v>518</v>
      </c>
      <c r="KV77" s="20">
        <v>0</v>
      </c>
      <c r="KW77" s="20">
        <v>0</v>
      </c>
      <c r="KX77" s="20">
        <v>0</v>
      </c>
      <c r="KY77" s="20">
        <v>4</v>
      </c>
      <c r="KZ77" s="20">
        <v>0</v>
      </c>
      <c r="LA77" s="20">
        <v>0</v>
      </c>
      <c r="LB77" s="20">
        <v>4</v>
      </c>
      <c r="LC77" s="20">
        <v>0</v>
      </c>
      <c r="LD77" s="20">
        <v>0</v>
      </c>
      <c r="LE77" s="20">
        <v>0</v>
      </c>
      <c r="LF77" s="20">
        <v>2</v>
      </c>
      <c r="LG77" s="20">
        <v>0</v>
      </c>
      <c r="LH77" s="20">
        <v>0</v>
      </c>
      <c r="LI77" s="20">
        <v>2</v>
      </c>
      <c r="LJ77" s="20">
        <v>0</v>
      </c>
      <c r="LK77" s="20">
        <v>0</v>
      </c>
      <c r="LL77" s="20">
        <v>0</v>
      </c>
      <c r="LM77" s="20">
        <v>2</v>
      </c>
      <c r="LN77" s="20">
        <v>0</v>
      </c>
      <c r="LO77" s="20">
        <v>0</v>
      </c>
      <c r="LP77" s="20">
        <v>0</v>
      </c>
      <c r="LQ77" s="20">
        <v>0</v>
      </c>
      <c r="LR77" s="20">
        <v>4</v>
      </c>
      <c r="LS77" s="20">
        <v>0</v>
      </c>
      <c r="LT77" s="20">
        <v>0</v>
      </c>
      <c r="LU77" s="20">
        <v>0</v>
      </c>
      <c r="LW77" s="26" t="s">
        <v>518</v>
      </c>
      <c r="LX77" s="20">
        <v>0</v>
      </c>
      <c r="LY77" s="20">
        <v>2</v>
      </c>
      <c r="LZ77" s="20">
        <v>0</v>
      </c>
      <c r="MA77" s="20">
        <v>0</v>
      </c>
      <c r="MB77" s="20">
        <v>0</v>
      </c>
      <c r="MC77" s="20">
        <v>0</v>
      </c>
      <c r="MD77" s="20">
        <v>0</v>
      </c>
      <c r="ME77" s="20">
        <v>0</v>
      </c>
      <c r="MF77" s="20">
        <v>0</v>
      </c>
      <c r="MG77" s="20">
        <v>2</v>
      </c>
      <c r="MH77" s="20">
        <v>4</v>
      </c>
      <c r="MI77" s="20">
        <v>0</v>
      </c>
      <c r="MJ77" s="20">
        <v>2</v>
      </c>
      <c r="MK77" s="20">
        <v>4</v>
      </c>
      <c r="ML77" s="20">
        <v>0</v>
      </c>
      <c r="MM77" s="20">
        <v>0</v>
      </c>
      <c r="MN77" s="20">
        <v>4</v>
      </c>
      <c r="MO77" s="20">
        <v>0</v>
      </c>
      <c r="MP77" s="20">
        <v>0</v>
      </c>
      <c r="MQ77" s="20">
        <v>0</v>
      </c>
      <c r="MR77" s="20">
        <v>0</v>
      </c>
      <c r="MS77" s="20">
        <v>0</v>
      </c>
      <c r="MT77" s="20">
        <v>0</v>
      </c>
      <c r="MU77" s="20">
        <v>0</v>
      </c>
      <c r="MV77" s="20">
        <v>2</v>
      </c>
      <c r="MW77" s="20">
        <v>0</v>
      </c>
      <c r="MY77" s="21" t="s">
        <v>518</v>
      </c>
      <c r="MZ77" s="21">
        <v>0</v>
      </c>
      <c r="NA77" s="21">
        <v>0</v>
      </c>
      <c r="NB77" s="21">
        <v>0</v>
      </c>
      <c r="NC77" s="21">
        <v>4</v>
      </c>
      <c r="ND77" s="21">
        <v>0</v>
      </c>
      <c r="NE77" s="21">
        <v>0</v>
      </c>
      <c r="NF77" s="21">
        <v>0</v>
      </c>
      <c r="NG77" s="21">
        <v>0</v>
      </c>
      <c r="NH77" s="21">
        <v>0</v>
      </c>
      <c r="NI77" s="21">
        <v>0</v>
      </c>
      <c r="NJ77" s="21">
        <v>0</v>
      </c>
      <c r="NK77" s="21">
        <v>0</v>
      </c>
      <c r="NL77" s="21">
        <v>0</v>
      </c>
      <c r="NM77" s="21">
        <v>0</v>
      </c>
      <c r="NN77" s="21">
        <v>0</v>
      </c>
      <c r="NO77" s="21">
        <v>2</v>
      </c>
      <c r="NP77" s="21">
        <v>2</v>
      </c>
      <c r="NQ77" s="21">
        <v>0</v>
      </c>
      <c r="NR77" s="21">
        <v>0</v>
      </c>
      <c r="NS77" s="21">
        <v>2</v>
      </c>
      <c r="NT77" s="21">
        <v>2</v>
      </c>
      <c r="NU77" s="21">
        <v>2</v>
      </c>
      <c r="NV77" s="21">
        <v>0</v>
      </c>
      <c r="NW77" s="21">
        <v>0</v>
      </c>
      <c r="NX77" s="21">
        <v>2</v>
      </c>
      <c r="NY77" s="21">
        <v>0</v>
      </c>
    </row>
    <row r="78" spans="1:389" x14ac:dyDescent="0.25">
      <c r="A78" s="8">
        <v>5</v>
      </c>
      <c r="B78" s="5" t="s">
        <v>116</v>
      </c>
      <c r="C78" s="8">
        <v>1</v>
      </c>
      <c r="D78" s="4"/>
      <c r="E78" s="4"/>
      <c r="F78" s="4"/>
      <c r="G78" s="4"/>
      <c r="H78" s="4"/>
      <c r="I78" s="4"/>
      <c r="J78" s="4"/>
      <c r="K78" s="4"/>
      <c r="L78" s="5" t="s">
        <v>103</v>
      </c>
      <c r="M78" s="5" t="s">
        <v>104</v>
      </c>
      <c r="N78" s="5" t="s">
        <v>107</v>
      </c>
      <c r="O78" s="5" t="s">
        <v>290</v>
      </c>
      <c r="P78" s="5" t="s">
        <v>446</v>
      </c>
      <c r="Q78" s="5" t="s">
        <v>448</v>
      </c>
      <c r="R78" s="5" t="s">
        <v>409</v>
      </c>
      <c r="S78" s="5" t="s">
        <v>447</v>
      </c>
      <c r="T78" s="5" t="s">
        <v>449</v>
      </c>
      <c r="U78" s="5" t="s">
        <v>106</v>
      </c>
      <c r="V78" s="20"/>
      <c r="W78" s="20"/>
      <c r="X78" s="25">
        <f t="shared" si="72"/>
        <v>0</v>
      </c>
      <c r="Y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90,$BB$2:$CA$2,0),MATCH($W$65,$AH$22:$AH$47,0)))*C90</f>
        <v>0</v>
      </c>
      <c r="Z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90,$BB$2:$CA$2,0),MATCH($W$65,$AH$22:$AH$47,0)))*C90</f>
        <v>0</v>
      </c>
      <c r="AA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90,$BB$2:$CA$2,0),MATCH($W$65,$AH$22:$AH$47,0)))*C90</f>
        <v>0</v>
      </c>
      <c r="AB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90,$BB$2:$CA$2,0),MATCH($W$65,$AH$22:$AH$47,0)))*C90</f>
        <v>0</v>
      </c>
      <c r="AC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90,$BB$2:$CA$2,0),MATCH($W$65,$AH$22:$AH$47,0)))*C90</f>
        <v>0</v>
      </c>
      <c r="AD7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90,$BB$2:$CA$2,0),MATCH($W$65,$AH$22:$AH$47,0)))*C90</f>
        <v>0</v>
      </c>
      <c r="AE78" s="20"/>
      <c r="AF78" s="20"/>
      <c r="AG78" s="20"/>
      <c r="AH78" s="20"/>
      <c r="AI78" s="20"/>
      <c r="AJ78" s="20"/>
      <c r="AK78" s="20"/>
      <c r="AL78" s="20">
        <f t="shared" si="73"/>
        <v>0</v>
      </c>
      <c r="AM78" s="20"/>
      <c r="AN78" s="20"/>
      <c r="AO78" s="20"/>
      <c r="AP78" s="20"/>
      <c r="AQ78" s="20"/>
      <c r="AR78" s="20"/>
      <c r="AS78" s="20"/>
      <c r="AT78" s="20"/>
      <c r="AU78" s="20"/>
      <c r="AV78" s="20"/>
      <c r="AW78" s="20"/>
      <c r="AX78" s="20"/>
      <c r="AY78" s="20"/>
      <c r="AZ78" s="20"/>
      <c r="BA78" s="21" t="s">
        <v>15</v>
      </c>
      <c r="BB78" s="21">
        <v>0</v>
      </c>
      <c r="BC78" s="21">
        <v>0</v>
      </c>
      <c r="BD78" s="21">
        <v>2</v>
      </c>
      <c r="BE78" s="21">
        <v>0</v>
      </c>
      <c r="BF78" s="21">
        <v>2</v>
      </c>
      <c r="BG78" s="21">
        <v>4</v>
      </c>
      <c r="BH78" s="21">
        <v>4</v>
      </c>
      <c r="BI78" s="21">
        <v>2</v>
      </c>
      <c r="BJ78" s="21">
        <v>0</v>
      </c>
      <c r="BK78" s="21">
        <v>0</v>
      </c>
      <c r="BL78" s="21">
        <v>8</v>
      </c>
      <c r="BM78" s="21">
        <v>6</v>
      </c>
      <c r="BN78" s="21">
        <v>8</v>
      </c>
      <c r="BO78" s="21">
        <v>6</v>
      </c>
      <c r="BP78" s="21">
        <v>4</v>
      </c>
      <c r="BQ78" s="21">
        <v>2</v>
      </c>
      <c r="BR78" s="21">
        <v>2</v>
      </c>
      <c r="BS78" s="21">
        <v>2</v>
      </c>
      <c r="BT78" s="21">
        <v>12</v>
      </c>
      <c r="BU78" s="21">
        <v>10</v>
      </c>
      <c r="BV78" s="21">
        <v>8</v>
      </c>
      <c r="BW78" s="21">
        <v>8</v>
      </c>
      <c r="BX78" s="21">
        <v>8</v>
      </c>
      <c r="BY78" s="21">
        <v>18</v>
      </c>
      <c r="BZ78" s="21">
        <v>2</v>
      </c>
      <c r="CA78" s="21">
        <v>14</v>
      </c>
      <c r="DA78" s="54"/>
      <c r="DB78" s="54"/>
      <c r="DC78" s="54"/>
      <c r="DD78" s="20" t="s">
        <v>470</v>
      </c>
      <c r="DE78" s="20">
        <v>0</v>
      </c>
      <c r="DF78" s="20">
        <v>1</v>
      </c>
      <c r="DG78" s="20">
        <v>2</v>
      </c>
      <c r="DH78" s="20">
        <v>3</v>
      </c>
      <c r="DI78" s="20">
        <v>4</v>
      </c>
      <c r="DJ78" s="20">
        <v>5</v>
      </c>
      <c r="DK78" s="20">
        <v>6</v>
      </c>
      <c r="DL78" s="20">
        <v>7</v>
      </c>
      <c r="DM78" s="20">
        <v>8</v>
      </c>
      <c r="DN78" s="20">
        <v>9</v>
      </c>
      <c r="DO78" s="20">
        <v>10</v>
      </c>
      <c r="DP78" s="20">
        <v>11</v>
      </c>
      <c r="DQ78" s="20">
        <v>12</v>
      </c>
      <c r="DR78" s="20">
        <v>13</v>
      </c>
      <c r="DS78" s="20">
        <v>14</v>
      </c>
      <c r="DT78" s="20">
        <v>15</v>
      </c>
      <c r="DU78" s="20">
        <v>16</v>
      </c>
      <c r="DV78" s="20">
        <v>17</v>
      </c>
      <c r="DW78" s="20">
        <v>18</v>
      </c>
      <c r="DX78" s="20">
        <v>19</v>
      </c>
      <c r="DY78" s="20">
        <v>20</v>
      </c>
      <c r="DZ78" s="20"/>
      <c r="EA78" s="20"/>
      <c r="EB78" s="20" t="s">
        <v>15</v>
      </c>
      <c r="EC78" s="20">
        <v>0</v>
      </c>
      <c r="ED78" s="20">
        <v>0</v>
      </c>
      <c r="EE78" s="20">
        <v>0</v>
      </c>
      <c r="EF78" s="20">
        <v>4</v>
      </c>
      <c r="EG78" s="20">
        <v>0</v>
      </c>
      <c r="EH78" s="20">
        <v>6</v>
      </c>
      <c r="EI78" s="20">
        <v>6</v>
      </c>
      <c r="EJ78" s="20">
        <v>0</v>
      </c>
      <c r="EK78" s="20">
        <v>2</v>
      </c>
      <c r="EL78" s="20">
        <v>8</v>
      </c>
      <c r="EM78" s="20">
        <v>12</v>
      </c>
      <c r="EN78" s="20">
        <v>0</v>
      </c>
      <c r="EO78" s="20">
        <v>8</v>
      </c>
      <c r="EP78" s="20">
        <v>8</v>
      </c>
      <c r="EQ78" s="20">
        <v>0</v>
      </c>
      <c r="ER78" s="20">
        <v>18</v>
      </c>
      <c r="ES78" s="20">
        <v>6</v>
      </c>
      <c r="ET78" s="20">
        <v>12</v>
      </c>
      <c r="EU78" s="20">
        <v>14</v>
      </c>
      <c r="EV78" s="20">
        <v>6</v>
      </c>
      <c r="EW78" s="20">
        <v>24</v>
      </c>
      <c r="EX78" s="20">
        <v>0</v>
      </c>
      <c r="EY78" s="20">
        <v>8</v>
      </c>
      <c r="EZ78" s="20">
        <v>20</v>
      </c>
      <c r="FA78" s="20">
        <v>12</v>
      </c>
      <c r="FB78" s="20">
        <v>30</v>
      </c>
      <c r="FC78" s="20">
        <v>6</v>
      </c>
      <c r="FD78" s="20">
        <v>24</v>
      </c>
      <c r="FE78" s="20">
        <v>0</v>
      </c>
      <c r="FF78" s="20">
        <v>18</v>
      </c>
      <c r="FG78" s="20">
        <v>36</v>
      </c>
      <c r="FH78" s="20">
        <v>12</v>
      </c>
      <c r="FI78" s="20">
        <v>8</v>
      </c>
      <c r="FJ78" s="20">
        <v>6</v>
      </c>
      <c r="FK78" s="20">
        <v>24</v>
      </c>
      <c r="FL78" s="20">
        <v>0</v>
      </c>
      <c r="FM78" s="20">
        <v>2</v>
      </c>
      <c r="FN78" s="20">
        <v>0</v>
      </c>
      <c r="FO78" s="20">
        <v>12</v>
      </c>
      <c r="FP78" s="20">
        <v>30</v>
      </c>
      <c r="FQ78" s="20">
        <v>4</v>
      </c>
      <c r="FR78" s="20">
        <v>8</v>
      </c>
      <c r="FS78" s="20">
        <v>0</v>
      </c>
      <c r="FT78" s="20">
        <v>2</v>
      </c>
      <c r="FU78" s="20">
        <v>0</v>
      </c>
      <c r="FV78" s="20">
        <v>10</v>
      </c>
      <c r="FW78" s="20">
        <v>30</v>
      </c>
      <c r="FX78" s="20">
        <v>4</v>
      </c>
      <c r="FY78" s="20">
        <v>8</v>
      </c>
      <c r="FZ78" s="20">
        <v>0</v>
      </c>
      <c r="GA78" s="20">
        <v>16</v>
      </c>
      <c r="GC78" s="20"/>
      <c r="GD78" s="20"/>
      <c r="GE78" s="20" t="s">
        <v>15</v>
      </c>
      <c r="GF78" s="20">
        <v>0</v>
      </c>
      <c r="GG78" s="20">
        <v>0</v>
      </c>
      <c r="GH78" s="20">
        <v>2</v>
      </c>
      <c r="GI78" s="20">
        <v>2</v>
      </c>
      <c r="GJ78" s="20">
        <v>2</v>
      </c>
      <c r="GK78" s="20">
        <v>2</v>
      </c>
      <c r="GL78" s="20">
        <v>4</v>
      </c>
      <c r="GM78" s="20">
        <v>4</v>
      </c>
      <c r="GN78" s="20">
        <v>6</v>
      </c>
      <c r="GO78" s="20">
        <v>8</v>
      </c>
      <c r="GP78" s="20">
        <v>6</v>
      </c>
      <c r="GQ78" s="20">
        <v>8</v>
      </c>
      <c r="GR78" s="20">
        <v>12</v>
      </c>
      <c r="GS78" s="20">
        <v>10</v>
      </c>
      <c r="GT78" s="20">
        <v>8</v>
      </c>
      <c r="GU78" s="20">
        <v>12</v>
      </c>
      <c r="GV78" s="20">
        <v>12</v>
      </c>
      <c r="GW78" s="20">
        <v>0</v>
      </c>
      <c r="GX78" s="20">
        <v>14</v>
      </c>
      <c r="GY78" s="20">
        <v>14</v>
      </c>
      <c r="GZ78" s="20">
        <v>2</v>
      </c>
      <c r="HA78" s="20">
        <v>16</v>
      </c>
      <c r="HB78" s="20">
        <v>8</v>
      </c>
      <c r="HC78" s="20">
        <v>4</v>
      </c>
      <c r="HD78" s="20">
        <v>18</v>
      </c>
      <c r="HE78" s="20">
        <v>34</v>
      </c>
      <c r="HF78" s="20">
        <v>6</v>
      </c>
      <c r="HG78" s="20">
        <v>6</v>
      </c>
      <c r="HH78" s="20">
        <v>36</v>
      </c>
      <c r="HI78" s="20">
        <v>8</v>
      </c>
      <c r="HJ78" s="20">
        <v>8</v>
      </c>
      <c r="HK78" s="20">
        <v>0</v>
      </c>
      <c r="HL78" s="20">
        <v>4</v>
      </c>
      <c r="HM78" s="20">
        <v>26</v>
      </c>
      <c r="HN78" s="20">
        <v>0</v>
      </c>
      <c r="HO78" s="20">
        <v>12</v>
      </c>
      <c r="HP78" s="20">
        <v>28</v>
      </c>
      <c r="HQ78" s="20">
        <v>0</v>
      </c>
      <c r="HR78" s="20">
        <v>0</v>
      </c>
      <c r="HS78" s="20">
        <v>30</v>
      </c>
      <c r="HT78" s="20">
        <v>2</v>
      </c>
      <c r="HU78" s="20">
        <v>2</v>
      </c>
      <c r="HV78" s="20">
        <v>0</v>
      </c>
      <c r="HW78" s="20">
        <v>4</v>
      </c>
      <c r="HX78" s="20">
        <v>20</v>
      </c>
      <c r="HY78" s="20">
        <v>0</v>
      </c>
      <c r="HZ78" s="20">
        <v>6</v>
      </c>
      <c r="IA78" s="20">
        <v>6</v>
      </c>
      <c r="IB78" s="20">
        <v>0</v>
      </c>
      <c r="IC78" s="20">
        <v>10</v>
      </c>
      <c r="ID78" s="20">
        <v>24</v>
      </c>
      <c r="JI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78,$JT$2:$KS$2,0),MATCH($W$65,$AH$22:$AH$47,0)))*C78</f>
        <v>4</v>
      </c>
      <c r="JJ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78,$JT$2:$KS$2,0),MATCH($W$65,$AH$22:$AH$47,0)))*C78</f>
        <v>0</v>
      </c>
      <c r="JK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78,$JT$2:$KS$2,0),MATCH($W$65,$AH$22:$AH$47,0)))*C78</f>
        <v>0</v>
      </c>
      <c r="JL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78,$JT$2:$KS$2,0),MATCH($W$65,$AH$22:$AH$47,0)))*C78</f>
        <v>0</v>
      </c>
      <c r="JM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78,$JT$2:$KS$2,0),MATCH($W$65,$AH$22:$AH$47,0)))*C78</f>
        <v>2</v>
      </c>
      <c r="JN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78,$JT$2:$KS$2,0),MATCH($W$65,$AH$22:$AH$47,0)))*C78</f>
        <v>0</v>
      </c>
      <c r="JO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78,$JT$2:$KS$2,0),MATCH($W$65,$AH$22:$AH$47,0)))*C78</f>
        <v>0</v>
      </c>
      <c r="JP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78,$JT$2:$KS$2,0),MATCH($W$65,$AH$22:$AH$47,0)))*C78</f>
        <v>2</v>
      </c>
      <c r="JQ7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78,$JT$2:$KS$2,0),MATCH($W$65,$AH$22:$AH$47,0)))*C78</f>
        <v>0</v>
      </c>
      <c r="JS78" s="26" t="s">
        <v>519</v>
      </c>
      <c r="JT78" s="20">
        <v>0</v>
      </c>
      <c r="JU78" s="20">
        <v>0</v>
      </c>
      <c r="JV78" s="20">
        <v>2</v>
      </c>
      <c r="JW78" s="20">
        <v>0</v>
      </c>
      <c r="JX78" s="20">
        <v>2</v>
      </c>
      <c r="JY78" s="20">
        <v>4</v>
      </c>
      <c r="JZ78" s="20">
        <v>2</v>
      </c>
      <c r="KA78" s="20">
        <v>4</v>
      </c>
      <c r="KB78" s="20">
        <v>6</v>
      </c>
      <c r="KC78" s="20">
        <v>4</v>
      </c>
      <c r="KD78" s="20">
        <v>2</v>
      </c>
      <c r="KE78" s="20">
        <v>2</v>
      </c>
      <c r="KF78" s="20">
        <v>0</v>
      </c>
      <c r="KG78" s="20">
        <v>0</v>
      </c>
      <c r="KH78" s="20">
        <v>0</v>
      </c>
      <c r="KI78" s="20">
        <v>0</v>
      </c>
      <c r="KJ78" s="20">
        <v>12</v>
      </c>
      <c r="KK78" s="20">
        <v>10</v>
      </c>
      <c r="KL78" s="20">
        <v>8</v>
      </c>
      <c r="KM78" s="20">
        <v>8</v>
      </c>
      <c r="KN78" s="20">
        <v>6</v>
      </c>
      <c r="KO78" s="20">
        <v>6</v>
      </c>
      <c r="KP78" s="20">
        <v>8</v>
      </c>
      <c r="KQ78" s="20">
        <v>4</v>
      </c>
      <c r="KR78" s="20">
        <v>18</v>
      </c>
      <c r="KS78" s="20">
        <v>2</v>
      </c>
      <c r="KU78" s="26" t="s">
        <v>519</v>
      </c>
      <c r="KV78" s="20">
        <v>0</v>
      </c>
      <c r="KW78" s="20">
        <v>0</v>
      </c>
      <c r="KX78" s="20">
        <v>0</v>
      </c>
      <c r="KY78" s="20">
        <v>0</v>
      </c>
      <c r="KZ78" s="20">
        <v>2</v>
      </c>
      <c r="LA78" s="20">
        <v>6</v>
      </c>
      <c r="LB78" s="20">
        <v>0</v>
      </c>
      <c r="LC78" s="20">
        <v>4</v>
      </c>
      <c r="LD78" s="20">
        <v>8</v>
      </c>
      <c r="LE78" s="20">
        <v>0</v>
      </c>
      <c r="LF78" s="20">
        <v>4</v>
      </c>
      <c r="LG78" s="20">
        <v>6</v>
      </c>
      <c r="LH78" s="20">
        <v>14</v>
      </c>
      <c r="LI78" s="20">
        <v>2</v>
      </c>
      <c r="LJ78" s="20">
        <v>8</v>
      </c>
      <c r="LK78" s="20">
        <v>12</v>
      </c>
      <c r="LL78" s="20">
        <v>4</v>
      </c>
      <c r="LM78" s="20">
        <v>12</v>
      </c>
      <c r="LN78" s="20">
        <v>0</v>
      </c>
      <c r="LO78" s="20">
        <v>18</v>
      </c>
      <c r="LP78" s="20">
        <v>22</v>
      </c>
      <c r="LQ78" s="20">
        <v>14</v>
      </c>
      <c r="LR78" s="20">
        <v>8</v>
      </c>
      <c r="LS78" s="20">
        <v>8</v>
      </c>
      <c r="LT78" s="20">
        <v>28</v>
      </c>
      <c r="LU78" s="20">
        <v>4</v>
      </c>
      <c r="LW78" s="26" t="s">
        <v>519</v>
      </c>
      <c r="LX78" s="20">
        <v>0</v>
      </c>
      <c r="LY78" s="20">
        <v>0</v>
      </c>
      <c r="LZ78" s="20">
        <v>0</v>
      </c>
      <c r="MA78" s="20">
        <v>4</v>
      </c>
      <c r="MB78" s="20">
        <v>4</v>
      </c>
      <c r="MC78" s="20">
        <v>4</v>
      </c>
      <c r="MD78" s="20">
        <v>8</v>
      </c>
      <c r="ME78" s="20">
        <v>8</v>
      </c>
      <c r="MF78" s="20">
        <v>8</v>
      </c>
      <c r="MG78" s="20">
        <v>0</v>
      </c>
      <c r="MH78" s="20">
        <v>0</v>
      </c>
      <c r="MI78" s="20">
        <v>2</v>
      </c>
      <c r="MJ78" s="20">
        <v>2</v>
      </c>
      <c r="MK78" s="20">
        <v>4</v>
      </c>
      <c r="ML78" s="20">
        <v>6</v>
      </c>
      <c r="MM78" s="20">
        <v>6</v>
      </c>
      <c r="MN78" s="20">
        <v>8</v>
      </c>
      <c r="MO78" s="20">
        <v>10</v>
      </c>
      <c r="MP78" s="20">
        <v>10</v>
      </c>
      <c r="MQ78" s="20">
        <v>0</v>
      </c>
      <c r="MR78" s="20">
        <v>14</v>
      </c>
      <c r="MS78" s="20">
        <v>14</v>
      </c>
      <c r="MT78" s="20">
        <v>2</v>
      </c>
      <c r="MU78" s="20">
        <v>18</v>
      </c>
      <c r="MV78" s="20">
        <v>20</v>
      </c>
      <c r="MW78" s="20">
        <v>8</v>
      </c>
      <c r="MY78" s="21" t="s">
        <v>519</v>
      </c>
      <c r="MZ78" s="21">
        <v>0</v>
      </c>
      <c r="NA78" s="21">
        <v>2</v>
      </c>
      <c r="NB78" s="21">
        <v>2</v>
      </c>
      <c r="NC78" s="21">
        <v>0</v>
      </c>
      <c r="ND78" s="21">
        <v>4</v>
      </c>
      <c r="NE78" s="21">
        <v>6</v>
      </c>
      <c r="NF78" s="21">
        <v>0</v>
      </c>
      <c r="NG78" s="21">
        <v>10</v>
      </c>
      <c r="NH78" s="21">
        <v>4</v>
      </c>
      <c r="NI78" s="21">
        <v>2</v>
      </c>
      <c r="NJ78" s="21">
        <v>12</v>
      </c>
      <c r="NK78" s="21">
        <v>6</v>
      </c>
      <c r="NL78" s="21">
        <v>4</v>
      </c>
      <c r="NM78" s="21">
        <v>0</v>
      </c>
      <c r="NN78" s="21">
        <v>8</v>
      </c>
      <c r="NO78" s="21">
        <v>4</v>
      </c>
      <c r="NP78" s="21">
        <v>14</v>
      </c>
      <c r="NQ78" s="21">
        <v>0</v>
      </c>
      <c r="NR78" s="21">
        <v>6</v>
      </c>
      <c r="NS78" s="21">
        <v>0</v>
      </c>
      <c r="NT78" s="21">
        <v>10</v>
      </c>
      <c r="NU78" s="21">
        <v>20</v>
      </c>
      <c r="NV78" s="21">
        <v>2</v>
      </c>
      <c r="NW78" s="21">
        <v>12</v>
      </c>
      <c r="NX78" s="21">
        <v>6</v>
      </c>
      <c r="NY78" s="21">
        <v>32</v>
      </c>
    </row>
    <row r="79" spans="1:389" x14ac:dyDescent="0.25">
      <c r="A79" s="8"/>
      <c r="B79" s="5" t="s">
        <v>116</v>
      </c>
      <c r="C79" s="8"/>
      <c r="D79" s="7" t="s">
        <v>118</v>
      </c>
      <c r="E79" s="8" t="s">
        <v>507</v>
      </c>
      <c r="F79" s="5" t="s">
        <v>116</v>
      </c>
      <c r="G79" s="8" t="s">
        <v>480</v>
      </c>
      <c r="H79" s="5" t="s">
        <v>116</v>
      </c>
      <c r="I79" s="8">
        <v>35</v>
      </c>
      <c r="J79" s="5" t="s">
        <v>119</v>
      </c>
      <c r="K79" s="4"/>
      <c r="L79" s="6" t="str">
        <f>IF($E$85=$AK$22,"PAL40H40/1,15",IF($E$85=$AK$23,"PAL30H32/1,15","-------"))</f>
        <v>PAL40H40/1,15</v>
      </c>
      <c r="M79" s="14">
        <f>INDEX(cennik!$C$2:$L$529,MATCH($L79,cennik!$B$2:$B$522,0),MATCH(M$27,cennik!$C$1:$L$1,0))</f>
        <v>894510</v>
      </c>
      <c r="N79" s="14" t="str">
        <f>INDEX(cennik!$C$2:$L$529,MATCH($L79,cennik!$B$2:$B$522,0),MATCH(N$27,cennik!$C$1:$L$1,0))</f>
        <v>szt.</v>
      </c>
      <c r="O79" s="14">
        <f>IF(L79="-------",0,SUM(JJ78:JJ93))</f>
        <v>0</v>
      </c>
      <c r="P79" s="22">
        <f>INDEX(cennik!$C$2:$L$529,MATCH($L79,cennik!$B$2:$B$522,0),MATCH(P$27,cennik!$C$1:$L$1,0))</f>
        <v>36.799999999999997</v>
      </c>
      <c r="Q79" s="22">
        <f>O79*P79</f>
        <v>0</v>
      </c>
      <c r="R79" s="23">
        <f>$E$84</f>
        <v>0</v>
      </c>
      <c r="S79" s="22">
        <f>P79*((100-$E$84)/100)</f>
        <v>36.799999999999997</v>
      </c>
      <c r="T79" s="22">
        <f>O79*S79</f>
        <v>0</v>
      </c>
      <c r="U79" s="22">
        <f>INDEX(cennik!$C$2:$L$529,MATCH($L79,cennik!$B$2:$B$522,0),MATCH(U$27,cennik!$C$1:$L$1,0))*O79</f>
        <v>0</v>
      </c>
      <c r="V79" s="20"/>
      <c r="W79" s="20"/>
      <c r="X79" s="25">
        <f t="shared" si="72"/>
        <v>0</v>
      </c>
      <c r="Y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91,$BB$2:$CA$2,0),MATCH($W$65,$AH$22:$AH$47,0)))*C91</f>
        <v>0</v>
      </c>
      <c r="Z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91,$BB$2:$CA$2,0),MATCH($W$65,$AH$22:$AH$47,0)))*C91</f>
        <v>0</v>
      </c>
      <c r="AA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91,$BB$2:$CA$2,0),MATCH($W$65,$AH$22:$AH$47,0)))*C91</f>
        <v>0</v>
      </c>
      <c r="AB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91,$BB$2:$CA$2,0),MATCH($W$65,$AH$22:$AH$47,0)))*C91</f>
        <v>0</v>
      </c>
      <c r="AC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91,$BB$2:$CA$2,0),MATCH($W$65,$AH$22:$AH$47,0)))*C91</f>
        <v>0</v>
      </c>
      <c r="AD7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91,$BB$2:$CA$2,0),MATCH($W$65,$AH$22:$AH$47,0)))*C91</f>
        <v>0</v>
      </c>
      <c r="AE79" s="20" t="str">
        <f>INDEX(($AH$53:$AI$62),MATCH(I79,$AG$53:$AG$62,0),MATCH(E82,$AH$52:$AI$52,0))</f>
        <v>suma</v>
      </c>
      <c r="AF79" s="20"/>
      <c r="AG79" s="20"/>
      <c r="AH79" s="20"/>
      <c r="AI79" s="20"/>
      <c r="AJ79" s="20"/>
      <c r="AK79" s="20"/>
      <c r="AL79" s="20">
        <f t="shared" si="73"/>
        <v>0</v>
      </c>
      <c r="AM79" s="20"/>
      <c r="AN79" s="20"/>
      <c r="AO79" s="20"/>
      <c r="AP79" s="20"/>
      <c r="AQ79" s="20"/>
      <c r="AR79" s="20"/>
      <c r="AS79" s="20"/>
      <c r="AT79" s="20"/>
      <c r="AU79" s="20"/>
      <c r="AV79" s="20"/>
      <c r="AW79" s="20"/>
      <c r="AX79" s="20"/>
      <c r="AY79" s="20"/>
      <c r="AZ79" s="20"/>
      <c r="BA79" s="21" t="s">
        <v>19</v>
      </c>
      <c r="BB79" s="21">
        <v>0</v>
      </c>
      <c r="BC79" s="21">
        <v>0</v>
      </c>
      <c r="BD79" s="21">
        <v>0</v>
      </c>
      <c r="BE79" s="21">
        <v>0</v>
      </c>
      <c r="BF79" s="21">
        <v>0</v>
      </c>
      <c r="BG79" s="21">
        <v>0</v>
      </c>
      <c r="BH79" s="21">
        <v>0</v>
      </c>
      <c r="BI79" s="21">
        <v>2</v>
      </c>
      <c r="BJ79" s="21">
        <v>6</v>
      </c>
      <c r="BK79" s="21">
        <v>6</v>
      </c>
      <c r="BL79" s="21">
        <v>0</v>
      </c>
      <c r="BM79" s="21">
        <v>0</v>
      </c>
      <c r="BN79" s="21">
        <v>0</v>
      </c>
      <c r="BO79" s="21">
        <v>4</v>
      </c>
      <c r="BP79" s="21">
        <v>4</v>
      </c>
      <c r="BQ79" s="21">
        <v>8</v>
      </c>
      <c r="BR79" s="21">
        <v>10</v>
      </c>
      <c r="BS79" s="21">
        <v>10</v>
      </c>
      <c r="BT79" s="21">
        <v>2</v>
      </c>
      <c r="BU79" s="21">
        <v>2</v>
      </c>
      <c r="BV79" s="21">
        <v>6</v>
      </c>
      <c r="BW79" s="21">
        <v>8</v>
      </c>
      <c r="BX79" s="21">
        <v>6</v>
      </c>
      <c r="BY79" s="21">
        <v>0</v>
      </c>
      <c r="BZ79" s="21">
        <v>16</v>
      </c>
      <c r="CA79" s="21">
        <v>4</v>
      </c>
      <c r="DA79" s="54"/>
      <c r="DB79" s="54"/>
      <c r="DC79" s="54"/>
      <c r="DD79" s="20" t="s">
        <v>127</v>
      </c>
      <c r="DE79" s="20">
        <v>0</v>
      </c>
      <c r="DF79" s="20">
        <v>2</v>
      </c>
      <c r="DG79" s="20">
        <v>4</v>
      </c>
      <c r="DH79" s="20">
        <v>0</v>
      </c>
      <c r="DI79" s="20">
        <v>4</v>
      </c>
      <c r="DJ79" s="20">
        <v>0</v>
      </c>
      <c r="DK79" s="20">
        <v>4</v>
      </c>
      <c r="DL79" s="20">
        <v>0</v>
      </c>
      <c r="DM79" s="20">
        <v>2</v>
      </c>
      <c r="DN79" s="20">
        <v>0</v>
      </c>
      <c r="DO79" s="20">
        <v>2</v>
      </c>
      <c r="DP79" s="20">
        <v>4</v>
      </c>
      <c r="DQ79" s="20">
        <v>2</v>
      </c>
      <c r="DR79" s="20">
        <v>4</v>
      </c>
      <c r="DS79" s="20">
        <v>0</v>
      </c>
      <c r="DT79" s="20">
        <v>4</v>
      </c>
      <c r="DU79" s="20">
        <v>0</v>
      </c>
      <c r="DV79" s="20">
        <v>2</v>
      </c>
      <c r="DW79" s="20">
        <v>0</v>
      </c>
      <c r="DX79" s="20">
        <v>2</v>
      </c>
      <c r="DY79" s="20">
        <v>4</v>
      </c>
      <c r="DZ79" s="20"/>
      <c r="EA79" s="20"/>
      <c r="EB79" s="20" t="s">
        <v>19</v>
      </c>
      <c r="EC79" s="20">
        <v>0</v>
      </c>
      <c r="ED79" s="20">
        <v>0</v>
      </c>
      <c r="EE79" s="20">
        <v>0</v>
      </c>
      <c r="EF79" s="20">
        <v>0</v>
      </c>
      <c r="EG79" s="20">
        <v>2</v>
      </c>
      <c r="EH79" s="20">
        <v>0</v>
      </c>
      <c r="EI79" s="20">
        <v>0</v>
      </c>
      <c r="EJ79" s="20">
        <v>8</v>
      </c>
      <c r="EK79" s="20">
        <v>6</v>
      </c>
      <c r="EL79" s="20">
        <v>0</v>
      </c>
      <c r="EM79" s="20">
        <v>0</v>
      </c>
      <c r="EN79" s="20">
        <v>10</v>
      </c>
      <c r="EO79" s="20">
        <v>6</v>
      </c>
      <c r="EP79" s="20">
        <v>6</v>
      </c>
      <c r="EQ79" s="20">
        <v>16</v>
      </c>
      <c r="ER79" s="20">
        <v>0</v>
      </c>
      <c r="ES79" s="20">
        <v>10</v>
      </c>
      <c r="ET79" s="20">
        <v>8</v>
      </c>
      <c r="EU79" s="20">
        <v>6</v>
      </c>
      <c r="EV79" s="20">
        <v>16</v>
      </c>
      <c r="EW79" s="20">
        <v>0</v>
      </c>
      <c r="EX79" s="20">
        <v>24</v>
      </c>
      <c r="EY79" s="20">
        <v>16</v>
      </c>
      <c r="EZ79" s="20">
        <v>6</v>
      </c>
      <c r="FA79" s="20">
        <v>16</v>
      </c>
      <c r="FB79" s="20">
        <v>0</v>
      </c>
      <c r="FC79" s="20">
        <v>24</v>
      </c>
      <c r="FD79" s="20">
        <v>8</v>
      </c>
      <c r="FE79" s="20">
        <v>32</v>
      </c>
      <c r="FF79" s="20">
        <v>16</v>
      </c>
      <c r="FG79" s="20">
        <v>0</v>
      </c>
      <c r="FH79" s="20">
        <v>24</v>
      </c>
      <c r="FI79" s="20">
        <v>26</v>
      </c>
      <c r="FJ79" s="20">
        <v>32</v>
      </c>
      <c r="FK79" s="20">
        <v>16</v>
      </c>
      <c r="FL79" s="20">
        <v>40</v>
      </c>
      <c r="FM79" s="20">
        <v>38</v>
      </c>
      <c r="FN79" s="20">
        <v>42</v>
      </c>
      <c r="FO79" s="20">
        <v>32</v>
      </c>
      <c r="FP79" s="20">
        <v>16</v>
      </c>
      <c r="FQ79" s="20">
        <v>42</v>
      </c>
      <c r="FR79" s="20">
        <v>38</v>
      </c>
      <c r="FS79" s="20">
        <v>48</v>
      </c>
      <c r="FT79" s="20">
        <v>46</v>
      </c>
      <c r="FU79" s="20">
        <v>50</v>
      </c>
      <c r="FV79" s="20">
        <v>42</v>
      </c>
      <c r="FW79" s="20">
        <v>24</v>
      </c>
      <c r="FX79" s="20">
        <v>50</v>
      </c>
      <c r="FY79" s="20">
        <v>46</v>
      </c>
      <c r="FZ79" s="20">
        <v>56</v>
      </c>
      <c r="GA79" s="20">
        <v>42</v>
      </c>
      <c r="GC79" s="20"/>
      <c r="GD79" s="20"/>
      <c r="GE79" s="20" t="s">
        <v>19</v>
      </c>
      <c r="GF79" s="20">
        <v>0</v>
      </c>
      <c r="GG79" s="20">
        <v>0</v>
      </c>
      <c r="GH79" s="20">
        <v>0</v>
      </c>
      <c r="GI79" s="20">
        <v>2</v>
      </c>
      <c r="GJ79" s="20">
        <v>2</v>
      </c>
      <c r="GK79" s="20">
        <v>2</v>
      </c>
      <c r="GL79" s="20">
        <v>4</v>
      </c>
      <c r="GM79" s="20">
        <v>4</v>
      </c>
      <c r="GN79" s="20">
        <v>2</v>
      </c>
      <c r="GO79" s="20">
        <v>4</v>
      </c>
      <c r="GP79" s="20">
        <v>6</v>
      </c>
      <c r="GQ79" s="20">
        <v>4</v>
      </c>
      <c r="GR79" s="20">
        <v>4</v>
      </c>
      <c r="GS79" s="20">
        <v>6</v>
      </c>
      <c r="GT79" s="20">
        <v>8</v>
      </c>
      <c r="GU79" s="20">
        <v>8</v>
      </c>
      <c r="GV79" s="20">
        <v>8</v>
      </c>
      <c r="GW79" s="20">
        <v>22</v>
      </c>
      <c r="GX79" s="20">
        <v>10</v>
      </c>
      <c r="GY79" s="20">
        <v>10</v>
      </c>
      <c r="GZ79" s="20">
        <v>24</v>
      </c>
      <c r="HA79" s="20">
        <v>12</v>
      </c>
      <c r="HB79" s="20">
        <v>18</v>
      </c>
      <c r="HC79" s="20">
        <v>26</v>
      </c>
      <c r="HD79" s="20">
        <v>14</v>
      </c>
      <c r="HE79" s="20">
        <v>0</v>
      </c>
      <c r="HF79" s="20">
        <v>28</v>
      </c>
      <c r="HG79" s="20">
        <v>28</v>
      </c>
      <c r="HH79" s="20">
        <v>2</v>
      </c>
      <c r="HI79" s="20">
        <v>30</v>
      </c>
      <c r="HJ79" s="20">
        <v>30</v>
      </c>
      <c r="HK79" s="20">
        <v>40</v>
      </c>
      <c r="HL79" s="20">
        <v>36</v>
      </c>
      <c r="HM79" s="20">
        <v>18</v>
      </c>
      <c r="HN79" s="20">
        <v>44</v>
      </c>
      <c r="HO79" s="20">
        <v>34</v>
      </c>
      <c r="HP79" s="20">
        <v>20</v>
      </c>
      <c r="HQ79" s="20">
        <v>48</v>
      </c>
      <c r="HR79" s="20">
        <v>48</v>
      </c>
      <c r="HS79" s="20">
        <v>22</v>
      </c>
      <c r="HT79" s="20">
        <v>50</v>
      </c>
      <c r="HU79" s="20">
        <v>50</v>
      </c>
      <c r="HV79" s="20">
        <v>54</v>
      </c>
      <c r="HW79" s="20">
        <v>52</v>
      </c>
      <c r="HX79" s="20">
        <v>38</v>
      </c>
      <c r="HY79" s="20">
        <v>58</v>
      </c>
      <c r="HZ79" s="20">
        <v>54</v>
      </c>
      <c r="IA79" s="20">
        <v>54</v>
      </c>
      <c r="IB79" s="20">
        <v>62</v>
      </c>
      <c r="IC79" s="20">
        <v>54</v>
      </c>
      <c r="ID79" s="20">
        <v>42</v>
      </c>
      <c r="JI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79,$JT$2:$KS$2,0),MATCH($W$65,$AH$22:$AH$47,0)))*C79</f>
        <v>0</v>
      </c>
      <c r="JJ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79,$JT$2:$KS$2,0),MATCH($W$65,$AH$22:$AH$47,0)))*C79</f>
        <v>0</v>
      </c>
      <c r="JK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79,$JT$2:$KS$2,0),MATCH($W$65,$AH$22:$AH$47,0)))*C79</f>
        <v>0</v>
      </c>
      <c r="JL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79,$JT$2:$KS$2,0),MATCH($W$65,$AH$22:$AH$47,0)))*C79</f>
        <v>0</v>
      </c>
      <c r="JM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79,$JT$2:$KS$2,0),MATCH($W$65,$AH$22:$AH$47,0)))*C79</f>
        <v>0</v>
      </c>
      <c r="JN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79,$JT$2:$KS$2,0),MATCH($W$65,$AH$22:$AH$47,0)))*C79</f>
        <v>0</v>
      </c>
      <c r="JO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79,$JT$2:$KS$2,0),MATCH($W$65,$AH$22:$AH$47,0)))*C79</f>
        <v>0</v>
      </c>
      <c r="JP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79,$JT$2:$KS$2,0),MATCH($W$65,$AH$22:$AH$47,0)))*C79</f>
        <v>0</v>
      </c>
      <c r="JQ7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79,$JT$2:$KS$2,0),MATCH($W$65,$AH$22:$AH$47,0)))*C79</f>
        <v>0</v>
      </c>
      <c r="JS79" s="26" t="s">
        <v>520</v>
      </c>
      <c r="JT79" s="20">
        <v>0</v>
      </c>
      <c r="JU79" s="20">
        <v>0</v>
      </c>
      <c r="JV79" s="20">
        <v>0</v>
      </c>
      <c r="JW79" s="20">
        <v>0</v>
      </c>
      <c r="JX79" s="20">
        <v>0</v>
      </c>
      <c r="JY79" s="20">
        <v>0</v>
      </c>
      <c r="JZ79" s="20">
        <v>0</v>
      </c>
      <c r="KA79" s="20">
        <v>0</v>
      </c>
      <c r="KB79" s="20">
        <v>0</v>
      </c>
      <c r="KC79" s="20">
        <v>0</v>
      </c>
      <c r="KD79" s="20">
        <v>4</v>
      </c>
      <c r="KE79" s="20">
        <v>6</v>
      </c>
      <c r="KF79" s="20">
        <v>6</v>
      </c>
      <c r="KG79" s="20">
        <v>8</v>
      </c>
      <c r="KH79" s="20">
        <v>10</v>
      </c>
      <c r="KI79" s="20">
        <v>10</v>
      </c>
      <c r="KJ79" s="20">
        <v>0</v>
      </c>
      <c r="KK79" s="20">
        <v>0</v>
      </c>
      <c r="KL79" s="20">
        <v>4</v>
      </c>
      <c r="KM79" s="20">
        <v>6</v>
      </c>
      <c r="KN79" s="20">
        <v>6</v>
      </c>
      <c r="KO79" s="20">
        <v>8</v>
      </c>
      <c r="KP79" s="20">
        <v>8</v>
      </c>
      <c r="KQ79" s="20">
        <v>10</v>
      </c>
      <c r="KR79" s="20">
        <v>0</v>
      </c>
      <c r="KS79" s="20">
        <v>16</v>
      </c>
      <c r="KU79" s="26" t="s">
        <v>520</v>
      </c>
      <c r="KV79" s="20">
        <v>0</v>
      </c>
      <c r="KW79" s="20">
        <v>0</v>
      </c>
      <c r="KX79" s="20">
        <v>0</v>
      </c>
      <c r="KY79" s="20">
        <v>0</v>
      </c>
      <c r="KZ79" s="20">
        <v>0</v>
      </c>
      <c r="LA79" s="20">
        <v>0</v>
      </c>
      <c r="LB79" s="20">
        <v>4</v>
      </c>
      <c r="LC79" s="20">
        <v>4</v>
      </c>
      <c r="LD79" s="20">
        <v>0</v>
      </c>
      <c r="LE79" s="20">
        <v>10</v>
      </c>
      <c r="LF79" s="20">
        <v>6</v>
      </c>
      <c r="LG79" s="20">
        <v>4</v>
      </c>
      <c r="LH79" s="20">
        <v>0</v>
      </c>
      <c r="LI79" s="20">
        <v>10</v>
      </c>
      <c r="LJ79" s="20">
        <v>8</v>
      </c>
      <c r="LK79" s="20">
        <v>4</v>
      </c>
      <c r="LL79" s="20">
        <v>14</v>
      </c>
      <c r="LM79" s="20">
        <v>6</v>
      </c>
      <c r="LN79" s="20">
        <v>20</v>
      </c>
      <c r="LO79" s="20">
        <v>4</v>
      </c>
      <c r="LP79" s="20">
        <v>0</v>
      </c>
      <c r="LQ79" s="20">
        <v>10</v>
      </c>
      <c r="LR79" s="20">
        <v>14</v>
      </c>
      <c r="LS79" s="20">
        <v>18</v>
      </c>
      <c r="LT79" s="20">
        <v>0</v>
      </c>
      <c r="LU79" s="20">
        <v>24</v>
      </c>
      <c r="LW79" s="26" t="s">
        <v>520</v>
      </c>
      <c r="LX79" s="20">
        <v>0</v>
      </c>
      <c r="LY79" s="20">
        <v>0</v>
      </c>
      <c r="LZ79" s="20">
        <v>0</v>
      </c>
      <c r="MA79" s="20">
        <v>0</v>
      </c>
      <c r="MB79" s="20">
        <v>0</v>
      </c>
      <c r="MC79" s="20">
        <v>0</v>
      </c>
      <c r="MD79" s="20">
        <v>0</v>
      </c>
      <c r="ME79" s="20">
        <v>0</v>
      </c>
      <c r="MF79" s="20">
        <v>0</v>
      </c>
      <c r="MG79" s="20">
        <v>10</v>
      </c>
      <c r="MH79" s="20">
        <v>10</v>
      </c>
      <c r="MI79" s="20">
        <v>12</v>
      </c>
      <c r="MJ79" s="20">
        <v>12</v>
      </c>
      <c r="MK79" s="20">
        <v>10</v>
      </c>
      <c r="ML79" s="20">
        <v>12</v>
      </c>
      <c r="MM79" s="20">
        <v>12</v>
      </c>
      <c r="MN79" s="20">
        <v>10</v>
      </c>
      <c r="MO79" s="20">
        <v>12</v>
      </c>
      <c r="MP79" s="20">
        <v>12</v>
      </c>
      <c r="MQ79" s="20">
        <v>24</v>
      </c>
      <c r="MR79" s="20">
        <v>12</v>
      </c>
      <c r="MS79" s="20">
        <v>12</v>
      </c>
      <c r="MT79" s="20">
        <v>26</v>
      </c>
      <c r="MU79" s="20">
        <v>12</v>
      </c>
      <c r="MV79" s="20">
        <v>10</v>
      </c>
      <c r="MW79" s="20">
        <v>24</v>
      </c>
      <c r="MY79" s="21" t="s">
        <v>520</v>
      </c>
      <c r="MZ79" s="21">
        <v>0</v>
      </c>
      <c r="NA79" s="21">
        <v>0</v>
      </c>
      <c r="NB79" s="21">
        <v>0</v>
      </c>
      <c r="NC79" s="21">
        <v>2</v>
      </c>
      <c r="ND79" s="21">
        <v>0</v>
      </c>
      <c r="NE79" s="21">
        <v>2</v>
      </c>
      <c r="NF79" s="21">
        <v>8</v>
      </c>
      <c r="NG79" s="21">
        <v>0</v>
      </c>
      <c r="NH79" s="21">
        <v>6</v>
      </c>
      <c r="NI79" s="21">
        <v>12</v>
      </c>
      <c r="NJ79" s="21">
        <v>4</v>
      </c>
      <c r="NK79" s="21">
        <v>10</v>
      </c>
      <c r="NL79" s="21">
        <v>12</v>
      </c>
      <c r="NM79" s="21">
        <v>20</v>
      </c>
      <c r="NN79" s="21">
        <v>14</v>
      </c>
      <c r="NO79" s="21">
        <v>18</v>
      </c>
      <c r="NP79" s="21">
        <v>10</v>
      </c>
      <c r="NQ79" s="21">
        <v>26</v>
      </c>
      <c r="NR79" s="21">
        <v>22</v>
      </c>
      <c r="NS79" s="21">
        <v>28</v>
      </c>
      <c r="NT79" s="21">
        <v>20</v>
      </c>
      <c r="NU79" s="21">
        <v>12</v>
      </c>
      <c r="NV79" s="21">
        <v>32</v>
      </c>
      <c r="NW79" s="21">
        <v>24</v>
      </c>
      <c r="NX79" s="21">
        <v>30</v>
      </c>
      <c r="NY79" s="21">
        <v>8</v>
      </c>
    </row>
    <row r="80" spans="1:389" x14ac:dyDescent="0.25">
      <c r="A80" s="8"/>
      <c r="B80" s="5" t="s">
        <v>116</v>
      </c>
      <c r="C80" s="8"/>
      <c r="D80" s="7" t="s">
        <v>117</v>
      </c>
      <c r="E80" s="8">
        <v>1000</v>
      </c>
      <c r="F80" s="5"/>
      <c r="G80" s="5"/>
      <c r="H80" s="5"/>
      <c r="I80" s="5"/>
      <c r="J80" s="5" t="s">
        <v>119</v>
      </c>
      <c r="K80" s="4"/>
      <c r="L80" s="6" t="str">
        <f>IF($E$85=$AK$22,"PAL40H40/2,1",IF($E$85=$AK$23,"PAL30H32/2,1","-------"))</f>
        <v>PAL40H40/2,1</v>
      </c>
      <c r="M80" s="14">
        <f>INDEX(cennik!$C$2:$L$529,MATCH($L80,cennik!$B$2:$B$522,0),MATCH(M$27,cennik!$C$1:$L$1,0))</f>
        <v>894621</v>
      </c>
      <c r="N80" s="14" t="str">
        <f>INDEX(cennik!$C$2:$L$529,MATCH($L80,cennik!$B$2:$B$522,0),MATCH(N$27,cennik!$C$1:$L$1,0))</f>
        <v>szt.</v>
      </c>
      <c r="O80" s="14">
        <f>IF(L80="-------",0,SUM(JK78:JK93))</f>
        <v>0</v>
      </c>
      <c r="P80" s="22">
        <f>INDEX(cennik!$C$2:$L$529,MATCH($L80,cennik!$B$2:$B$522,0),MATCH(P$27,cennik!$C$1:$L$1,0))</f>
        <v>65.099999999999994</v>
      </c>
      <c r="Q80" s="22">
        <f>O80*P80</f>
        <v>0</v>
      </c>
      <c r="R80" s="23">
        <f>$E$84</f>
        <v>0</v>
      </c>
      <c r="S80" s="22">
        <f>P80*((100-$E$84)/100)</f>
        <v>65.099999999999994</v>
      </c>
      <c r="T80" s="22">
        <f t="shared" ref="T80:T84" si="78">O80*S80</f>
        <v>0</v>
      </c>
      <c r="U80" s="22">
        <f>INDEX(cennik!$C$2:$L$529,MATCH($L80,cennik!$B$2:$B$522,0),MATCH(U$27,cennik!$C$1:$L$1,0))*O80</f>
        <v>0</v>
      </c>
      <c r="V80" s="20"/>
      <c r="W80" s="20"/>
      <c r="X80" s="25">
        <f t="shared" si="72"/>
        <v>0</v>
      </c>
      <c r="Y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92,$BB$2:$CA$2,0),MATCH($W$65,$AH$22:$AH$47,0)))*C92</f>
        <v>0</v>
      </c>
      <c r="Z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92,$BB$2:$CA$2,0),MATCH($W$65,$AH$22:$AH$47,0)))*C92</f>
        <v>0</v>
      </c>
      <c r="AA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92,$BB$2:$CA$2,0),MATCH($W$65,$AH$22:$AH$47,0)))*C92</f>
        <v>0</v>
      </c>
      <c r="AB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92,$BB$2:$CA$2,0),MATCH($W$65,$AH$22:$AH$47,0)))*C92</f>
        <v>0</v>
      </c>
      <c r="AC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92,$BB$2:$CA$2,0),MATCH($W$65,$AH$22:$AH$47,0)))*C92</f>
        <v>0</v>
      </c>
      <c r="AD8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92,$BB$2:$CA$2,0),MATCH($W$65,$AH$22:$AH$47,0)))*C92</f>
        <v>0</v>
      </c>
      <c r="AE80" s="20"/>
      <c r="AF80" s="20"/>
      <c r="AG80" s="20"/>
      <c r="AH80" s="20"/>
      <c r="AI80" s="20"/>
      <c r="AJ80" s="20"/>
      <c r="AK80" s="20"/>
      <c r="AL80" s="20">
        <f t="shared" si="73"/>
        <v>0</v>
      </c>
      <c r="AM80" s="20"/>
      <c r="AN80" s="20"/>
      <c r="AO80" s="20"/>
      <c r="AP80" s="20"/>
      <c r="AQ80" s="20"/>
      <c r="AR80" s="20"/>
      <c r="AS80" s="20"/>
      <c r="AT80" s="20"/>
      <c r="AU80" s="20"/>
      <c r="AV80" s="20"/>
      <c r="AW80" s="20"/>
      <c r="AX80" s="20"/>
      <c r="AY80" s="20"/>
      <c r="AZ80" s="20"/>
      <c r="BA80" s="21" t="s">
        <v>408</v>
      </c>
      <c r="BB80" s="21">
        <v>0</v>
      </c>
      <c r="BC80" s="21">
        <v>0</v>
      </c>
      <c r="BD80" s="21">
        <v>0</v>
      </c>
      <c r="BE80" s="21">
        <v>4</v>
      </c>
      <c r="BF80" s="21">
        <v>4</v>
      </c>
      <c r="BG80" s="21">
        <v>4</v>
      </c>
      <c r="BH80" s="21">
        <v>8</v>
      </c>
      <c r="BI80" s="21">
        <v>8</v>
      </c>
      <c r="BJ80" s="21">
        <v>8</v>
      </c>
      <c r="BK80" s="21">
        <v>12</v>
      </c>
      <c r="BL80" s="21">
        <v>12</v>
      </c>
      <c r="BM80" s="21">
        <v>16</v>
      </c>
      <c r="BN80" s="21">
        <v>16</v>
      </c>
      <c r="BO80" s="21">
        <v>16</v>
      </c>
      <c r="BP80" s="21">
        <v>20</v>
      </c>
      <c r="BQ80" s="21">
        <v>20</v>
      </c>
      <c r="BR80" s="21">
        <v>20</v>
      </c>
      <c r="BS80" s="21">
        <v>24</v>
      </c>
      <c r="BT80" s="21">
        <v>24</v>
      </c>
      <c r="BU80" s="21">
        <v>28</v>
      </c>
      <c r="BV80" s="21">
        <v>28</v>
      </c>
      <c r="BW80" s="21">
        <v>28</v>
      </c>
      <c r="BX80" s="21">
        <v>32</v>
      </c>
      <c r="BY80" s="21">
        <v>32</v>
      </c>
      <c r="BZ80" s="21">
        <v>32</v>
      </c>
      <c r="CA80" s="21">
        <v>36</v>
      </c>
      <c r="DA80" s="54"/>
      <c r="DB80" s="54"/>
      <c r="DC80" s="54"/>
      <c r="DD80" s="20" t="s">
        <v>19</v>
      </c>
      <c r="DE80" s="20">
        <v>0</v>
      </c>
      <c r="DF80" s="20">
        <v>0</v>
      </c>
      <c r="DG80" s="20">
        <v>0</v>
      </c>
      <c r="DH80" s="20">
        <v>4</v>
      </c>
      <c r="DI80" s="20">
        <v>2</v>
      </c>
      <c r="DJ80" s="20">
        <v>6</v>
      </c>
      <c r="DK80" s="20">
        <v>4</v>
      </c>
      <c r="DL80" s="20">
        <v>8</v>
      </c>
      <c r="DM80" s="20">
        <v>8</v>
      </c>
      <c r="DN80" s="20">
        <v>10</v>
      </c>
      <c r="DO80" s="20">
        <v>10</v>
      </c>
      <c r="DP80" s="20">
        <v>10</v>
      </c>
      <c r="DQ80" s="20">
        <v>12</v>
      </c>
      <c r="DR80" s="20">
        <v>12</v>
      </c>
      <c r="DS80" s="20">
        <v>16</v>
      </c>
      <c r="DT80" s="20">
        <v>14</v>
      </c>
      <c r="DU80" s="20">
        <v>18</v>
      </c>
      <c r="DV80" s="20">
        <v>18</v>
      </c>
      <c r="DW80" s="20">
        <v>20</v>
      </c>
      <c r="DX80" s="20">
        <v>20</v>
      </c>
      <c r="DY80" s="20">
        <v>20</v>
      </c>
      <c r="DZ80" s="20"/>
      <c r="EA80" s="20"/>
      <c r="EB80" s="20" t="s">
        <v>408</v>
      </c>
      <c r="EC80" s="20">
        <v>0</v>
      </c>
      <c r="ED80" s="20">
        <v>0</v>
      </c>
      <c r="EE80" s="20">
        <v>4</v>
      </c>
      <c r="EF80" s="20">
        <v>4</v>
      </c>
      <c r="EG80" s="20">
        <v>8</v>
      </c>
      <c r="EH80" s="20">
        <v>8</v>
      </c>
      <c r="EI80" s="20">
        <v>12</v>
      </c>
      <c r="EJ80" s="20">
        <v>12</v>
      </c>
      <c r="EK80" s="20">
        <v>16</v>
      </c>
      <c r="EL80" s="20">
        <v>20</v>
      </c>
      <c r="EM80" s="20">
        <v>20</v>
      </c>
      <c r="EN80" s="20">
        <v>24</v>
      </c>
      <c r="EO80" s="20">
        <v>24</v>
      </c>
      <c r="EP80" s="20">
        <v>28</v>
      </c>
      <c r="EQ80" s="20">
        <v>28</v>
      </c>
      <c r="ER80" s="20">
        <v>32</v>
      </c>
      <c r="ES80" s="20">
        <v>36</v>
      </c>
      <c r="ET80" s="20">
        <v>36</v>
      </c>
      <c r="EU80" s="20">
        <v>40</v>
      </c>
      <c r="EV80" s="20">
        <v>40</v>
      </c>
      <c r="EW80" s="20">
        <v>44</v>
      </c>
      <c r="EX80" s="20">
        <v>44</v>
      </c>
      <c r="EY80" s="20">
        <v>48</v>
      </c>
      <c r="EZ80" s="20">
        <v>52</v>
      </c>
      <c r="FA80" s="20">
        <v>52</v>
      </c>
      <c r="FB80" s="20">
        <v>56</v>
      </c>
      <c r="FC80" s="20">
        <v>56</v>
      </c>
      <c r="FD80" s="20">
        <v>60</v>
      </c>
      <c r="FE80" s="20">
        <v>60</v>
      </c>
      <c r="FF80" s="20">
        <v>64</v>
      </c>
      <c r="FG80" s="20">
        <v>68</v>
      </c>
      <c r="FH80" s="20">
        <v>68</v>
      </c>
      <c r="FI80" s="20">
        <v>72</v>
      </c>
      <c r="FJ80" s="20">
        <v>72</v>
      </c>
      <c r="FK80" s="20">
        <v>76</v>
      </c>
      <c r="FL80" s="20">
        <v>76</v>
      </c>
      <c r="FM80" s="20">
        <v>80</v>
      </c>
      <c r="FN80" s="20">
        <v>80</v>
      </c>
      <c r="FO80" s="20">
        <v>84</v>
      </c>
      <c r="FP80" s="20">
        <v>88</v>
      </c>
      <c r="FQ80" s="20">
        <v>88</v>
      </c>
      <c r="FR80" s="20">
        <v>92</v>
      </c>
      <c r="FS80" s="20">
        <v>92</v>
      </c>
      <c r="FT80" s="20">
        <v>96</v>
      </c>
      <c r="FU80" s="20">
        <v>96</v>
      </c>
      <c r="FV80" s="20">
        <v>100</v>
      </c>
      <c r="FW80" s="20">
        <v>104</v>
      </c>
      <c r="FX80" s="20">
        <v>104</v>
      </c>
      <c r="FY80" s="20">
        <v>108</v>
      </c>
      <c r="FZ80" s="20">
        <v>108</v>
      </c>
      <c r="GA80" s="20">
        <v>112</v>
      </c>
      <c r="GC80" s="20"/>
      <c r="GD80" s="20"/>
      <c r="GE80" s="20" t="s">
        <v>408</v>
      </c>
      <c r="GF80" s="20">
        <v>0</v>
      </c>
      <c r="GG80" s="20">
        <f>((((SUM(GG75:GG79))/2)-1))*4</f>
        <v>0</v>
      </c>
      <c r="GH80" s="20">
        <f t="shared" ref="GH80:ID80" si="79">((((SUM(GH75:GH79))/2)-1))*4</f>
        <v>4</v>
      </c>
      <c r="GI80" s="20">
        <f t="shared" si="79"/>
        <v>4</v>
      </c>
      <c r="GJ80" s="20">
        <f t="shared" si="79"/>
        <v>8</v>
      </c>
      <c r="GK80" s="20">
        <f t="shared" si="79"/>
        <v>12</v>
      </c>
      <c r="GL80" s="20">
        <f t="shared" si="79"/>
        <v>12</v>
      </c>
      <c r="GM80" s="20">
        <f t="shared" si="79"/>
        <v>16</v>
      </c>
      <c r="GN80" s="20">
        <f t="shared" si="79"/>
        <v>20</v>
      </c>
      <c r="GO80" s="20">
        <f t="shared" si="79"/>
        <v>20</v>
      </c>
      <c r="GP80" s="20">
        <f t="shared" si="79"/>
        <v>24</v>
      </c>
      <c r="GQ80" s="20">
        <f t="shared" si="79"/>
        <v>28</v>
      </c>
      <c r="GR80" s="20">
        <f t="shared" si="79"/>
        <v>28</v>
      </c>
      <c r="GS80" s="20">
        <f t="shared" si="79"/>
        <v>32</v>
      </c>
      <c r="GT80" s="20">
        <f t="shared" si="79"/>
        <v>36</v>
      </c>
      <c r="GU80" s="20">
        <f t="shared" si="79"/>
        <v>36</v>
      </c>
      <c r="GV80" s="20">
        <f t="shared" si="79"/>
        <v>40</v>
      </c>
      <c r="GW80" s="20">
        <f t="shared" si="79"/>
        <v>40</v>
      </c>
      <c r="GX80" s="20">
        <f t="shared" si="79"/>
        <v>44</v>
      </c>
      <c r="GY80" s="20">
        <f t="shared" si="79"/>
        <v>48</v>
      </c>
      <c r="GZ80" s="20">
        <f t="shared" si="79"/>
        <v>48</v>
      </c>
      <c r="HA80" s="20">
        <f t="shared" si="79"/>
        <v>52</v>
      </c>
      <c r="HB80" s="20">
        <f t="shared" si="79"/>
        <v>56</v>
      </c>
      <c r="HC80" s="20">
        <f t="shared" si="79"/>
        <v>56</v>
      </c>
      <c r="HD80" s="20">
        <f t="shared" si="79"/>
        <v>60</v>
      </c>
      <c r="HE80" s="20">
        <f t="shared" si="79"/>
        <v>64</v>
      </c>
      <c r="HF80" s="20">
        <f t="shared" si="79"/>
        <v>64</v>
      </c>
      <c r="HG80" s="20">
        <f t="shared" si="79"/>
        <v>68</v>
      </c>
      <c r="HH80" s="20">
        <f t="shared" si="79"/>
        <v>72</v>
      </c>
      <c r="HI80" s="20">
        <f t="shared" si="79"/>
        <v>72</v>
      </c>
      <c r="HJ80" s="20">
        <f t="shared" si="79"/>
        <v>76</v>
      </c>
      <c r="HK80" s="20">
        <f t="shared" si="79"/>
        <v>76</v>
      </c>
      <c r="HL80" s="20">
        <f t="shared" si="79"/>
        <v>80</v>
      </c>
      <c r="HM80" s="20">
        <f t="shared" si="79"/>
        <v>84</v>
      </c>
      <c r="HN80" s="20">
        <f t="shared" si="79"/>
        <v>84</v>
      </c>
      <c r="HO80" s="20">
        <f t="shared" si="79"/>
        <v>88</v>
      </c>
      <c r="HP80" s="20">
        <f t="shared" si="79"/>
        <v>92</v>
      </c>
      <c r="HQ80" s="20">
        <f t="shared" si="79"/>
        <v>92</v>
      </c>
      <c r="HR80" s="20">
        <f t="shared" si="79"/>
        <v>96</v>
      </c>
      <c r="HS80" s="20">
        <f t="shared" si="79"/>
        <v>100</v>
      </c>
      <c r="HT80" s="20">
        <f t="shared" si="79"/>
        <v>100</v>
      </c>
      <c r="HU80" s="20">
        <f t="shared" si="79"/>
        <v>104</v>
      </c>
      <c r="HV80" s="20">
        <f t="shared" si="79"/>
        <v>104</v>
      </c>
      <c r="HW80" s="20">
        <f t="shared" si="79"/>
        <v>108</v>
      </c>
      <c r="HX80" s="20">
        <f t="shared" si="79"/>
        <v>112</v>
      </c>
      <c r="HY80" s="20">
        <f t="shared" si="79"/>
        <v>112</v>
      </c>
      <c r="HZ80" s="20">
        <f t="shared" si="79"/>
        <v>116</v>
      </c>
      <c r="IA80" s="20">
        <f t="shared" si="79"/>
        <v>120</v>
      </c>
      <c r="IB80" s="20">
        <f t="shared" si="79"/>
        <v>120</v>
      </c>
      <c r="IC80" s="20">
        <f t="shared" si="79"/>
        <v>124</v>
      </c>
      <c r="ID80" s="20">
        <f t="shared" si="79"/>
        <v>128</v>
      </c>
      <c r="JI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80,$JT$2:$KS$2,0),MATCH($W$65,$AH$22:$AH$47,0)))*C80</f>
        <v>0</v>
      </c>
      <c r="JJ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80,$JT$2:$KS$2,0),MATCH($W$65,$AH$22:$AH$47,0)))*C80</f>
        <v>0</v>
      </c>
      <c r="JK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80,$JT$2:$KS$2,0),MATCH($W$65,$AH$22:$AH$47,0)))*C80</f>
        <v>0</v>
      </c>
      <c r="JL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80,$JT$2:$KS$2,0),MATCH($W$65,$AH$22:$AH$47,0)))*C80</f>
        <v>0</v>
      </c>
      <c r="JM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80,$JT$2:$KS$2,0),MATCH($W$65,$AH$22:$AH$47,0)))*C80</f>
        <v>0</v>
      </c>
      <c r="JN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80,$JT$2:$KS$2,0),MATCH($W$65,$AH$22:$AH$47,0)))*C80</f>
        <v>0</v>
      </c>
      <c r="JO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80,$JT$2:$KS$2,0),MATCH($W$65,$AH$22:$AH$47,0)))*C80</f>
        <v>0</v>
      </c>
      <c r="JP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80,$JT$2:$KS$2,0),MATCH($W$65,$AH$22:$AH$47,0)))*C80</f>
        <v>0</v>
      </c>
      <c r="JQ8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80,$JT$2:$KS$2,0),MATCH($W$65,$AH$22:$AH$47,0)))*C80</f>
        <v>0</v>
      </c>
      <c r="JS80" s="26" t="s">
        <v>521</v>
      </c>
      <c r="JT80" s="20">
        <v>0</v>
      </c>
      <c r="JU80" s="20">
        <v>0</v>
      </c>
      <c r="JV80" s="20">
        <v>0</v>
      </c>
      <c r="JW80" s="20">
        <v>4</v>
      </c>
      <c r="JX80" s="20">
        <v>4</v>
      </c>
      <c r="JY80" s="20">
        <v>4</v>
      </c>
      <c r="JZ80" s="20">
        <v>8</v>
      </c>
      <c r="KA80" s="20">
        <v>8</v>
      </c>
      <c r="KB80" s="20">
        <v>8</v>
      </c>
      <c r="KC80" s="20">
        <v>12</v>
      </c>
      <c r="KD80" s="20">
        <v>12</v>
      </c>
      <c r="KE80" s="20">
        <v>12</v>
      </c>
      <c r="KF80" s="20">
        <v>16</v>
      </c>
      <c r="KG80" s="20">
        <v>16</v>
      </c>
      <c r="KH80" s="20">
        <v>16</v>
      </c>
      <c r="KI80" s="20">
        <v>20</v>
      </c>
      <c r="KJ80" s="20">
        <v>20</v>
      </c>
      <c r="KK80" s="20">
        <v>24</v>
      </c>
      <c r="KL80" s="20">
        <v>24</v>
      </c>
      <c r="KM80" s="20">
        <v>24</v>
      </c>
      <c r="KN80" s="20">
        <v>28</v>
      </c>
      <c r="KO80" s="20">
        <v>28</v>
      </c>
      <c r="KP80" s="20">
        <v>28</v>
      </c>
      <c r="KQ80" s="20">
        <v>32</v>
      </c>
      <c r="KR80" s="20">
        <v>32</v>
      </c>
      <c r="KS80" s="20">
        <v>32</v>
      </c>
      <c r="KU80" s="26" t="s">
        <v>521</v>
      </c>
      <c r="KV80" s="20">
        <v>0</v>
      </c>
      <c r="KW80" s="20">
        <v>0</v>
      </c>
      <c r="KX80" s="20">
        <v>4</v>
      </c>
      <c r="KY80" s="20">
        <v>8</v>
      </c>
      <c r="KZ80" s="20">
        <v>8</v>
      </c>
      <c r="LA80" s="20">
        <v>8</v>
      </c>
      <c r="LB80" s="20">
        <v>12</v>
      </c>
      <c r="LC80" s="20">
        <v>12</v>
      </c>
      <c r="LD80" s="20">
        <v>16</v>
      </c>
      <c r="LE80" s="20">
        <v>16</v>
      </c>
      <c r="LF80" s="20">
        <v>20</v>
      </c>
      <c r="LG80" s="20">
        <v>24</v>
      </c>
      <c r="LH80" s="20">
        <v>24</v>
      </c>
      <c r="LI80" s="20">
        <v>28</v>
      </c>
      <c r="LJ80" s="20">
        <v>28</v>
      </c>
      <c r="LK80" s="20">
        <v>32</v>
      </c>
      <c r="LL80" s="20">
        <v>32</v>
      </c>
      <c r="LM80" s="20">
        <v>36</v>
      </c>
      <c r="LN80" s="20">
        <v>36</v>
      </c>
      <c r="LO80" s="20">
        <v>40</v>
      </c>
      <c r="LP80" s="20">
        <v>44</v>
      </c>
      <c r="LQ80" s="20">
        <v>44</v>
      </c>
      <c r="LR80" s="20">
        <v>48</v>
      </c>
      <c r="LS80" s="20">
        <v>48</v>
      </c>
      <c r="LT80" s="20">
        <v>52</v>
      </c>
      <c r="LU80" s="20">
        <v>52</v>
      </c>
      <c r="LW80" s="26" t="s">
        <v>521</v>
      </c>
      <c r="LX80" s="20">
        <v>0</v>
      </c>
      <c r="LY80" s="20">
        <v>0</v>
      </c>
      <c r="LZ80" s="20">
        <v>4</v>
      </c>
      <c r="MA80" s="20">
        <v>4</v>
      </c>
      <c r="MB80" s="20">
        <v>8</v>
      </c>
      <c r="MC80" s="20">
        <v>12</v>
      </c>
      <c r="MD80" s="20">
        <v>12</v>
      </c>
      <c r="ME80" s="20">
        <v>16</v>
      </c>
      <c r="MF80" s="20">
        <v>20</v>
      </c>
      <c r="MG80" s="20">
        <v>20</v>
      </c>
      <c r="MH80" s="20">
        <v>24</v>
      </c>
      <c r="MI80" s="20">
        <v>24</v>
      </c>
      <c r="MJ80" s="20">
        <v>28</v>
      </c>
      <c r="MK80" s="20">
        <v>32</v>
      </c>
      <c r="ML80" s="20">
        <v>32</v>
      </c>
      <c r="MM80" s="20">
        <v>36</v>
      </c>
      <c r="MN80" s="20">
        <v>40</v>
      </c>
      <c r="MO80" s="20">
        <v>40</v>
      </c>
      <c r="MP80" s="20">
        <v>44</v>
      </c>
      <c r="MQ80" s="20">
        <v>44</v>
      </c>
      <c r="MR80" s="20">
        <v>48</v>
      </c>
      <c r="MS80" s="20">
        <v>52</v>
      </c>
      <c r="MT80" s="20">
        <v>52</v>
      </c>
      <c r="MU80" s="20">
        <v>56</v>
      </c>
      <c r="MV80" s="20">
        <v>60</v>
      </c>
      <c r="MW80" s="20">
        <v>60</v>
      </c>
      <c r="MY80" s="21" t="s">
        <v>521</v>
      </c>
      <c r="MZ80" s="21">
        <v>0</v>
      </c>
      <c r="NA80" s="21">
        <v>0</v>
      </c>
      <c r="NB80" s="21">
        <v>4</v>
      </c>
      <c r="NC80" s="21">
        <v>8</v>
      </c>
      <c r="ND80" s="21">
        <v>12</v>
      </c>
      <c r="NE80" s="21">
        <v>12</v>
      </c>
      <c r="NF80" s="21">
        <v>16</v>
      </c>
      <c r="NG80" s="21">
        <v>20</v>
      </c>
      <c r="NH80" s="21">
        <v>24</v>
      </c>
      <c r="NI80" s="21">
        <v>24</v>
      </c>
      <c r="NJ80" s="21">
        <v>28</v>
      </c>
      <c r="NK80" s="21">
        <v>32</v>
      </c>
      <c r="NL80" s="21">
        <v>36</v>
      </c>
      <c r="NM80" s="21">
        <v>36</v>
      </c>
      <c r="NN80" s="21">
        <v>40</v>
      </c>
      <c r="NO80" s="21">
        <v>44</v>
      </c>
      <c r="NP80" s="21">
        <v>48</v>
      </c>
      <c r="NQ80" s="21">
        <v>48</v>
      </c>
      <c r="NR80" s="21">
        <v>52</v>
      </c>
      <c r="NS80" s="21">
        <v>56</v>
      </c>
      <c r="NT80" s="21">
        <v>60</v>
      </c>
      <c r="NU80" s="21">
        <v>64</v>
      </c>
      <c r="NV80" s="21">
        <v>64</v>
      </c>
      <c r="NW80" s="21">
        <v>68</v>
      </c>
      <c r="NX80" s="21">
        <v>72</v>
      </c>
      <c r="NY80" s="21">
        <v>76</v>
      </c>
    </row>
    <row r="81" spans="1:389" x14ac:dyDescent="0.25">
      <c r="A81" s="8"/>
      <c r="B81" s="5" t="s">
        <v>116</v>
      </c>
      <c r="C81" s="8"/>
      <c r="D81" s="7" t="s">
        <v>122</v>
      </c>
      <c r="E81" s="8" t="s">
        <v>123</v>
      </c>
      <c r="F81" s="5"/>
      <c r="G81" s="5"/>
      <c r="H81" s="5"/>
      <c r="I81" s="5"/>
      <c r="J81" s="5"/>
      <c r="K81" s="4"/>
      <c r="L81" s="6" t="str">
        <f>IF($E$85=$AK$22,"PAL40H40/2,2",IF($E$85=$AK$23,"PAL30H32/2,2",IF($E$85=$AK$24,"CWP40H35/2,2MC","-------")))</f>
        <v>PAL40H40/2,2</v>
      </c>
      <c r="M81" s="14">
        <f>INDEX(cennik!$C$2:$L$529,MATCH($L81,cennik!$B$2:$B$522,0),MATCH(M$27,cennik!$C$1:$L$1,0))</f>
        <v>894622</v>
      </c>
      <c r="N81" s="14" t="str">
        <f>INDEX(cennik!$C$2:$L$529,MATCH($L81,cennik!$B$2:$B$522,0),MATCH(N$27,cennik!$C$1:$L$1,0))</f>
        <v>szt.</v>
      </c>
      <c r="O81" s="14">
        <f>IF(L81="-------",0,SUM(JL78:JL93))</f>
        <v>0</v>
      </c>
      <c r="P81" s="22">
        <f>INDEX(cennik!$C$2:$L$529,MATCH($L81,cennik!$B$2:$B$522,0),MATCH(P$27,cennik!$C$1:$L$1,0))</f>
        <v>68.2</v>
      </c>
      <c r="Q81" s="22">
        <f t="shared" ref="Q81:Q84" si="80">O81*P81</f>
        <v>0</v>
      </c>
      <c r="R81" s="23">
        <f>$E$84</f>
        <v>0</v>
      </c>
      <c r="S81" s="22">
        <f>P81*((100-$E$84)/100)</f>
        <v>68.2</v>
      </c>
      <c r="T81" s="22">
        <f t="shared" si="78"/>
        <v>0</v>
      </c>
      <c r="U81" s="22">
        <f>INDEX(cennik!$C$2:$L$529,MATCH($L81,cennik!$B$2:$B$522,0),MATCH(U$27,cennik!$C$1:$L$1,0))*O81</f>
        <v>0</v>
      </c>
      <c r="V81" s="20"/>
      <c r="W81" s="20"/>
      <c r="X81" s="20"/>
      <c r="Y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$87,$BA$3:$BA$17,0),MATCH(A93,$BB$2:$CA$2,0),MATCH($W$65,$AH$22:$AH$47,0)))*C93</f>
        <v>0</v>
      </c>
      <c r="Z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$79,$BA$3:$BA$17,0),MATCH(A93,$BB$2:$CA$2,0),MATCH($W$65,$AH$22:$AH$47,0)))*C93</f>
        <v>0</v>
      </c>
      <c r="AA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$80,$BA$3:$BA$17,0),MATCH(A93,$BB$2:$CA$2,0),MATCH($W$65,$AH$22:$AH$47,0)))*C93</f>
        <v>0</v>
      </c>
      <c r="AB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$81,$BA$3:$BA$17,0),MATCH(A93,$BB$2:$CA$2,0),MATCH($W$65,$AH$22:$AH$47,0)))*C93</f>
        <v>0</v>
      </c>
      <c r="AC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$83,$BA$3:$BA$17,0),MATCH(A93,$BB$2:$CA$2,0),MATCH($W$65,$AH$22:$AH$47,0)))*C93</f>
        <v>0</v>
      </c>
      <c r="AD8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$84,$BA$3:$BA$17,0),MATCH(A93,$BB$2:$CA$2,0),MATCH($W$65,$AH$22:$AH$47,0)))*C93</f>
        <v>0</v>
      </c>
      <c r="AE81" s="20"/>
      <c r="AF81" s="20"/>
      <c r="AG81" s="20"/>
      <c r="AH81" s="20"/>
      <c r="AI81" s="20"/>
      <c r="AJ81" s="20"/>
      <c r="AK81" s="20"/>
      <c r="AL81" s="20"/>
      <c r="AM81" s="20"/>
      <c r="AN81" s="20"/>
      <c r="AO81" s="20"/>
      <c r="AP81" s="20"/>
      <c r="AQ81" s="20"/>
      <c r="AR81" s="20"/>
      <c r="AS81" s="20"/>
      <c r="AT81" s="20"/>
      <c r="AU81" s="20"/>
      <c r="AV81" s="20"/>
      <c r="AW81" s="20"/>
      <c r="AX81" s="20"/>
      <c r="AY81" s="20"/>
      <c r="AZ81" s="20"/>
      <c r="BA81" s="21" t="s">
        <v>516</v>
      </c>
      <c r="BB81" s="21">
        <v>0</v>
      </c>
      <c r="BC81" s="21">
        <v>0</v>
      </c>
      <c r="BD81" s="21">
        <v>0</v>
      </c>
      <c r="BE81" s="21">
        <v>0</v>
      </c>
      <c r="BF81" s="21">
        <v>0</v>
      </c>
      <c r="BG81" s="21">
        <v>0</v>
      </c>
      <c r="BH81" s="21">
        <v>2</v>
      </c>
      <c r="BI81" s="21">
        <v>0</v>
      </c>
      <c r="BJ81" s="21">
        <v>0</v>
      </c>
      <c r="BK81" s="21">
        <v>2</v>
      </c>
      <c r="BL81" s="21">
        <v>0</v>
      </c>
      <c r="BM81" s="21">
        <v>0</v>
      </c>
      <c r="BN81" s="21">
        <v>0</v>
      </c>
      <c r="BO81" s="21">
        <v>0</v>
      </c>
      <c r="BP81" s="21">
        <v>0</v>
      </c>
      <c r="BQ81" s="21">
        <v>0</v>
      </c>
      <c r="BR81" s="21">
        <v>0</v>
      </c>
      <c r="BS81" s="21">
        <v>2</v>
      </c>
      <c r="BT81" s="21">
        <v>0</v>
      </c>
      <c r="BU81" s="21">
        <v>0</v>
      </c>
      <c r="BV81" s="21">
        <v>0</v>
      </c>
      <c r="BW81" s="21">
        <v>0</v>
      </c>
      <c r="BX81" s="21">
        <v>0</v>
      </c>
      <c r="BY81" s="21">
        <v>0</v>
      </c>
      <c r="BZ81" s="21">
        <v>0</v>
      </c>
      <c r="CA81" s="21">
        <v>0</v>
      </c>
      <c r="DA81" s="54"/>
      <c r="DB81" s="54"/>
      <c r="DC81" s="54"/>
      <c r="DD81" s="20" t="s">
        <v>408</v>
      </c>
      <c r="DE81" s="20">
        <v>0</v>
      </c>
      <c r="DF81" s="20">
        <v>0</v>
      </c>
      <c r="DG81" s="20">
        <v>4</v>
      </c>
      <c r="DH81" s="20">
        <v>4</v>
      </c>
      <c r="DI81" s="20">
        <v>8</v>
      </c>
      <c r="DJ81" s="20">
        <v>8</v>
      </c>
      <c r="DK81" s="20">
        <v>12</v>
      </c>
      <c r="DL81" s="20">
        <v>12</v>
      </c>
      <c r="DM81" s="20">
        <v>16</v>
      </c>
      <c r="DN81" s="20">
        <v>16</v>
      </c>
      <c r="DO81" s="20">
        <v>20</v>
      </c>
      <c r="DP81" s="20">
        <v>24</v>
      </c>
      <c r="DQ81" s="20">
        <v>24</v>
      </c>
      <c r="DR81" s="20">
        <v>28</v>
      </c>
      <c r="DS81" s="20">
        <v>28</v>
      </c>
      <c r="DT81" s="20">
        <v>32</v>
      </c>
      <c r="DU81" s="20">
        <v>32</v>
      </c>
      <c r="DV81" s="20">
        <v>36</v>
      </c>
      <c r="DW81" s="20">
        <v>36</v>
      </c>
      <c r="DX81" s="20">
        <v>40</v>
      </c>
      <c r="DY81" s="20">
        <v>44</v>
      </c>
      <c r="DZ81" s="20"/>
      <c r="EA81" s="20"/>
      <c r="EB81" s="26" t="s">
        <v>516</v>
      </c>
      <c r="EC81" s="20">
        <v>0</v>
      </c>
      <c r="ED81" s="20">
        <v>0</v>
      </c>
      <c r="EE81" s="20">
        <v>0</v>
      </c>
      <c r="EF81" s="20">
        <v>0</v>
      </c>
      <c r="EG81" s="20">
        <v>0</v>
      </c>
      <c r="EH81" s="20">
        <v>0</v>
      </c>
      <c r="EI81" s="20">
        <v>0</v>
      </c>
      <c r="EJ81" s="20">
        <v>0</v>
      </c>
      <c r="EK81" s="20">
        <v>0</v>
      </c>
      <c r="EL81" s="20">
        <v>0</v>
      </c>
      <c r="EM81" s="20">
        <v>0</v>
      </c>
      <c r="EN81" s="20">
        <v>0</v>
      </c>
      <c r="EO81" s="20">
        <v>0</v>
      </c>
      <c r="EP81" s="20">
        <v>0</v>
      </c>
      <c r="EQ81" s="20">
        <v>0</v>
      </c>
      <c r="ER81" s="20">
        <v>0</v>
      </c>
      <c r="ES81" s="20">
        <v>0</v>
      </c>
      <c r="ET81" s="20">
        <v>0</v>
      </c>
      <c r="EU81" s="20">
        <v>0</v>
      </c>
      <c r="EV81" s="20">
        <v>0</v>
      </c>
      <c r="EW81" s="20">
        <v>0</v>
      </c>
      <c r="EX81" s="20">
        <v>0</v>
      </c>
      <c r="EY81" s="20">
        <v>0</v>
      </c>
      <c r="EZ81" s="20">
        <v>0</v>
      </c>
      <c r="FA81" s="20">
        <v>0</v>
      </c>
      <c r="FB81" s="20">
        <v>0</v>
      </c>
      <c r="FC81" s="20">
        <v>0</v>
      </c>
      <c r="FD81" s="20">
        <v>0</v>
      </c>
      <c r="FE81" s="20">
        <v>0</v>
      </c>
      <c r="FF81" s="20">
        <v>0</v>
      </c>
      <c r="FG81" s="20">
        <v>0</v>
      </c>
      <c r="FH81" s="20">
        <v>0</v>
      </c>
      <c r="FI81" s="20">
        <v>0</v>
      </c>
      <c r="FJ81" s="20">
        <v>0</v>
      </c>
      <c r="FK81" s="20">
        <v>0</v>
      </c>
      <c r="FL81" s="20">
        <v>0</v>
      </c>
      <c r="FM81" s="20">
        <v>0</v>
      </c>
      <c r="FN81" s="20">
        <v>0</v>
      </c>
      <c r="FO81" s="20">
        <v>0</v>
      </c>
      <c r="FP81" s="20">
        <v>0</v>
      </c>
      <c r="FQ81" s="20">
        <v>0</v>
      </c>
      <c r="FR81" s="20">
        <v>0</v>
      </c>
      <c r="FS81" s="20">
        <v>0</v>
      </c>
      <c r="FT81" s="20">
        <v>0</v>
      </c>
      <c r="FU81" s="20">
        <v>0</v>
      </c>
      <c r="FV81" s="20">
        <v>0</v>
      </c>
      <c r="FW81" s="20">
        <v>0</v>
      </c>
      <c r="FX81" s="20">
        <v>0</v>
      </c>
      <c r="FY81" s="20">
        <v>0</v>
      </c>
      <c r="FZ81" s="20">
        <v>0</v>
      </c>
      <c r="GA81" s="20">
        <v>0</v>
      </c>
      <c r="GC81" s="20"/>
      <c r="GD81" s="20"/>
      <c r="GE81" s="26" t="s">
        <v>516</v>
      </c>
      <c r="GF81" s="20">
        <v>0</v>
      </c>
      <c r="GG81" s="20">
        <v>0</v>
      </c>
      <c r="GH81" s="20">
        <v>2</v>
      </c>
      <c r="GI81" s="20">
        <v>0</v>
      </c>
      <c r="GJ81" s="20">
        <v>0</v>
      </c>
      <c r="GK81" s="20">
        <v>0</v>
      </c>
      <c r="GL81" s="20">
        <v>0</v>
      </c>
      <c r="GM81" s="20">
        <v>0</v>
      </c>
      <c r="GN81" s="20">
        <v>0</v>
      </c>
      <c r="GO81" s="20">
        <v>0</v>
      </c>
      <c r="GP81" s="20">
        <v>0</v>
      </c>
      <c r="GQ81" s="20">
        <v>0</v>
      </c>
      <c r="GR81" s="20">
        <v>0</v>
      </c>
      <c r="GS81" s="20">
        <v>0</v>
      </c>
      <c r="GT81" s="20">
        <v>0</v>
      </c>
      <c r="GU81" s="20">
        <v>0</v>
      </c>
      <c r="GV81" s="20">
        <v>0</v>
      </c>
      <c r="GW81" s="20">
        <v>0</v>
      </c>
      <c r="GX81" s="20">
        <v>0</v>
      </c>
      <c r="GY81" s="20">
        <v>0</v>
      </c>
      <c r="GZ81" s="20">
        <v>0</v>
      </c>
      <c r="HA81" s="20">
        <v>0</v>
      </c>
      <c r="HB81" s="20">
        <v>0</v>
      </c>
      <c r="HC81" s="20">
        <v>0</v>
      </c>
      <c r="HD81" s="20">
        <v>0</v>
      </c>
      <c r="HE81" s="20">
        <v>0</v>
      </c>
      <c r="HF81" s="20">
        <v>0</v>
      </c>
      <c r="HG81" s="20">
        <v>0</v>
      </c>
      <c r="HH81" s="20">
        <v>0</v>
      </c>
      <c r="HI81" s="20">
        <v>0</v>
      </c>
      <c r="HJ81" s="20">
        <v>0</v>
      </c>
      <c r="HK81" s="20">
        <v>0</v>
      </c>
      <c r="HL81" s="20">
        <v>0</v>
      </c>
      <c r="HM81" s="20">
        <v>0</v>
      </c>
      <c r="HN81" s="20">
        <v>0</v>
      </c>
      <c r="HO81" s="20">
        <v>0</v>
      </c>
      <c r="HP81" s="20">
        <v>0</v>
      </c>
      <c r="HQ81" s="20">
        <v>0</v>
      </c>
      <c r="HR81" s="20">
        <v>0</v>
      </c>
      <c r="HS81" s="20">
        <v>0</v>
      </c>
      <c r="HT81" s="20">
        <v>0</v>
      </c>
      <c r="HU81" s="20">
        <v>0</v>
      </c>
      <c r="HV81" s="20">
        <v>0</v>
      </c>
      <c r="HW81" s="20">
        <v>0</v>
      </c>
      <c r="HX81" s="20">
        <v>0</v>
      </c>
      <c r="HY81" s="20">
        <v>0</v>
      </c>
      <c r="HZ81" s="20">
        <v>0</v>
      </c>
      <c r="IA81" s="20">
        <v>2</v>
      </c>
      <c r="IB81" s="20">
        <v>0</v>
      </c>
      <c r="IC81" s="20">
        <v>0</v>
      </c>
      <c r="ID81" s="20">
        <v>0</v>
      </c>
      <c r="JI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81,$JT$2:$KS$2,0),MATCH($W$65,$AH$22:$AH$47,0)))*C81</f>
        <v>0</v>
      </c>
      <c r="JJ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81,$JT$2:$KS$2,0),MATCH($W$65,$AH$22:$AH$47,0)))*C81</f>
        <v>0</v>
      </c>
      <c r="JK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81,$JT$2:$KS$2,0),MATCH($W$65,$AH$22:$AH$47,0)))*C81</f>
        <v>0</v>
      </c>
      <c r="JL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81,$JT$2:$KS$2,0),MATCH($W$65,$AH$22:$AH$47,0)))*C81</f>
        <v>0</v>
      </c>
      <c r="JM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81,$JT$2:$KS$2,0),MATCH($W$65,$AH$22:$AH$47,0)))*C81</f>
        <v>0</v>
      </c>
      <c r="JN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81,$JT$2:$KS$2,0),MATCH($W$65,$AH$22:$AH$47,0)))*C81</f>
        <v>0</v>
      </c>
      <c r="JO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81,$JT$2:$KS$2,0),MATCH($W$65,$AH$22:$AH$47,0)))*C81</f>
        <v>0</v>
      </c>
      <c r="JP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81,$JT$2:$KS$2,0),MATCH($W$65,$AH$22:$AH$47,0)))*C81</f>
        <v>0</v>
      </c>
      <c r="JQ8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81,$JT$2:$KS$2,0),MATCH($W$65,$AH$22:$AH$47,0)))*C81</f>
        <v>0</v>
      </c>
      <c r="JS81" s="26" t="s">
        <v>710</v>
      </c>
      <c r="JT81" s="20">
        <v>0</v>
      </c>
      <c r="JU81" s="20">
        <v>2</v>
      </c>
      <c r="JV81" s="20">
        <v>0</v>
      </c>
      <c r="JW81" s="20">
        <v>4</v>
      </c>
      <c r="JX81" s="20">
        <v>2</v>
      </c>
      <c r="JY81" s="20">
        <v>0</v>
      </c>
      <c r="JZ81" s="20">
        <v>4</v>
      </c>
      <c r="KA81" s="20">
        <v>2</v>
      </c>
      <c r="KB81" s="20">
        <v>0</v>
      </c>
      <c r="KC81" s="20">
        <v>4</v>
      </c>
      <c r="KD81" s="20">
        <v>2</v>
      </c>
      <c r="KE81" s="20">
        <v>0</v>
      </c>
      <c r="KF81" s="20">
        <v>4</v>
      </c>
      <c r="KG81" s="20">
        <v>2</v>
      </c>
      <c r="KH81" s="20">
        <v>0</v>
      </c>
      <c r="KI81" s="20">
        <v>2</v>
      </c>
      <c r="KJ81" s="20">
        <v>0</v>
      </c>
      <c r="KK81" s="20">
        <v>4</v>
      </c>
      <c r="KL81" s="20">
        <v>2</v>
      </c>
      <c r="KM81" s="20">
        <v>0</v>
      </c>
      <c r="KN81" s="20">
        <v>4</v>
      </c>
      <c r="KO81" s="20">
        <v>2</v>
      </c>
      <c r="KP81" s="20">
        <v>0</v>
      </c>
      <c r="KQ81" s="20">
        <v>4</v>
      </c>
      <c r="KR81" s="20">
        <v>2</v>
      </c>
      <c r="KS81" s="20">
        <v>0</v>
      </c>
      <c r="KU81" s="26" t="s">
        <v>710</v>
      </c>
      <c r="KV81" s="20">
        <v>0</v>
      </c>
      <c r="KW81" s="20">
        <v>2</v>
      </c>
      <c r="KX81" s="20">
        <v>4</v>
      </c>
      <c r="KY81" s="20">
        <v>0</v>
      </c>
      <c r="KZ81" s="20">
        <v>4</v>
      </c>
      <c r="LA81" s="20">
        <v>0</v>
      </c>
      <c r="LB81" s="20">
        <v>4</v>
      </c>
      <c r="LC81" s="20">
        <v>0</v>
      </c>
      <c r="LD81" s="20">
        <v>2</v>
      </c>
      <c r="LE81" s="20">
        <v>0</v>
      </c>
      <c r="LF81" s="20">
        <v>2</v>
      </c>
      <c r="LG81" s="20">
        <v>4</v>
      </c>
      <c r="LH81" s="20">
        <v>2</v>
      </c>
      <c r="LI81" s="20">
        <v>4</v>
      </c>
      <c r="LJ81" s="20">
        <v>0</v>
      </c>
      <c r="LK81" s="20">
        <v>4</v>
      </c>
      <c r="LL81" s="20">
        <v>0</v>
      </c>
      <c r="LM81" s="20">
        <v>2</v>
      </c>
      <c r="LN81" s="20">
        <v>0</v>
      </c>
      <c r="LO81" s="20">
        <v>2</v>
      </c>
      <c r="LP81" s="20">
        <v>4</v>
      </c>
      <c r="LQ81" s="20">
        <v>2</v>
      </c>
      <c r="LR81" s="20">
        <v>4</v>
      </c>
      <c r="LS81" s="20">
        <v>0</v>
      </c>
      <c r="LT81" s="20">
        <v>4</v>
      </c>
      <c r="LU81" s="20">
        <v>0</v>
      </c>
      <c r="LW81" s="26" t="s">
        <v>710</v>
      </c>
      <c r="LX81" s="20">
        <v>0</v>
      </c>
      <c r="LY81" s="20">
        <v>2</v>
      </c>
      <c r="LZ81" s="20">
        <v>4</v>
      </c>
      <c r="MA81" s="20">
        <v>0</v>
      </c>
      <c r="MB81" s="20">
        <v>2</v>
      </c>
      <c r="MC81" s="20">
        <v>4</v>
      </c>
      <c r="MD81" s="20">
        <v>0</v>
      </c>
      <c r="ME81" s="20">
        <v>2</v>
      </c>
      <c r="MF81" s="20">
        <v>4</v>
      </c>
      <c r="MG81" s="20">
        <v>2</v>
      </c>
      <c r="MH81" s="20">
        <v>4</v>
      </c>
      <c r="MI81" s="20">
        <v>0</v>
      </c>
      <c r="MJ81" s="20">
        <v>2</v>
      </c>
      <c r="MK81" s="20">
        <v>4</v>
      </c>
      <c r="ML81" s="20">
        <v>0</v>
      </c>
      <c r="MM81" s="20">
        <v>2</v>
      </c>
      <c r="MN81" s="20">
        <v>4</v>
      </c>
      <c r="MO81" s="20">
        <v>0</v>
      </c>
      <c r="MP81" s="20">
        <v>4</v>
      </c>
      <c r="MQ81" s="20">
        <v>0</v>
      </c>
      <c r="MR81" s="20">
        <v>2</v>
      </c>
      <c r="MS81" s="20">
        <v>4</v>
      </c>
      <c r="MT81" s="20">
        <v>0</v>
      </c>
      <c r="MU81" s="20">
        <v>2</v>
      </c>
      <c r="MV81" s="20">
        <v>4</v>
      </c>
      <c r="MW81" s="20">
        <v>0</v>
      </c>
      <c r="MY81" s="21" t="s">
        <v>710</v>
      </c>
      <c r="MZ81" s="21">
        <v>0</v>
      </c>
      <c r="NA81" s="21">
        <v>0</v>
      </c>
      <c r="NB81" s="21">
        <v>2</v>
      </c>
      <c r="NC81" s="21">
        <v>4</v>
      </c>
      <c r="ND81" s="21">
        <v>4</v>
      </c>
      <c r="NE81" s="21">
        <v>0</v>
      </c>
      <c r="NF81" s="21">
        <v>2</v>
      </c>
      <c r="NG81" s="21">
        <v>2</v>
      </c>
      <c r="NH81" s="21">
        <v>4</v>
      </c>
      <c r="NI81" s="21">
        <v>0</v>
      </c>
      <c r="NJ81" s="21">
        <v>2</v>
      </c>
      <c r="NK81" s="21">
        <v>2</v>
      </c>
      <c r="NL81" s="21">
        <v>4</v>
      </c>
      <c r="NM81" s="21">
        <v>0</v>
      </c>
      <c r="NN81" s="21">
        <v>0</v>
      </c>
      <c r="NO81" s="21">
        <v>2</v>
      </c>
      <c r="NP81" s="21">
        <v>4</v>
      </c>
      <c r="NQ81" s="21">
        <v>0</v>
      </c>
      <c r="NR81" s="21">
        <v>0</v>
      </c>
      <c r="NS81" s="21">
        <v>2</v>
      </c>
      <c r="NT81" s="21">
        <v>4</v>
      </c>
      <c r="NU81" s="21">
        <v>4</v>
      </c>
      <c r="NV81" s="21">
        <v>0</v>
      </c>
      <c r="NW81" s="21">
        <v>2</v>
      </c>
      <c r="NX81" s="21">
        <v>2</v>
      </c>
      <c r="NY81" s="21">
        <v>4</v>
      </c>
    </row>
    <row r="82" spans="1:389" x14ac:dyDescent="0.25">
      <c r="A82" s="8"/>
      <c r="B82" s="5" t="s">
        <v>116</v>
      </c>
      <c r="C82" s="8"/>
      <c r="D82" s="7" t="s">
        <v>129</v>
      </c>
      <c r="E82" s="8" t="s">
        <v>130</v>
      </c>
      <c r="F82" s="63" t="str">
        <f>IF(E85="40x35 stal","niekompatybilne z profilem stalowym","")</f>
        <v/>
      </c>
      <c r="G82" s="5"/>
      <c r="H82" s="5"/>
      <c r="I82" s="5"/>
      <c r="J82" s="5"/>
      <c r="K82" s="4"/>
      <c r="L82" s="6" t="str">
        <f>IF($E$85=$AK$22,"PAL40H40/2,4",IF($E$85=$AK$23,"-------",IF($E$85=$AK$24,"-------","-------")))</f>
        <v>PAL40H40/2,4</v>
      </c>
      <c r="M82" s="14">
        <f>INDEX(cennik!$C$2:$L$529,MATCH($L82,cennik!$B$2:$B$522,0),MATCH(M$27,cennik!$C$1:$L$1,0))</f>
        <v>894624</v>
      </c>
      <c r="N82" s="14" t="str">
        <f>INDEX(cennik!$C$2:$L$529,MATCH($L82,cennik!$B$2:$B$522,0),MATCH(N$27,cennik!$C$1:$L$1,0))</f>
        <v>szt.</v>
      </c>
      <c r="O82" s="14">
        <f>IF(L82="-------",0,SUM(JM78:JM93))</f>
        <v>2</v>
      </c>
      <c r="P82" s="22">
        <f>INDEX(cennik!$C$2:$L$529,MATCH($L82,cennik!$B$2:$B$522,0),MATCH(P$27,cennik!$C$1:$L$1,0))</f>
        <v>74.400000000000006</v>
      </c>
      <c r="Q82" s="22">
        <f t="shared" ref="Q82" si="81">O82*P82</f>
        <v>148.80000000000001</v>
      </c>
      <c r="R82" s="23">
        <f>$E$84</f>
        <v>0</v>
      </c>
      <c r="S82" s="22">
        <f>P82*((100-$E$84)/100)</f>
        <v>74.400000000000006</v>
      </c>
      <c r="T82" s="22">
        <f t="shared" ref="T82" si="82">O82*S82</f>
        <v>148.80000000000001</v>
      </c>
      <c r="U82" s="22">
        <f>INDEX(cennik!$C$2:$L$529,MATCH($L82,cennik!$B$2:$B$522,0),MATCH(U$27,cennik!$C$1:$L$1,0))*O82</f>
        <v>4.58</v>
      </c>
      <c r="V82" s="20"/>
      <c r="AE82" s="20"/>
      <c r="AF82" s="20"/>
      <c r="AG82" s="20"/>
      <c r="AH82" s="20"/>
      <c r="AI82" s="20"/>
      <c r="AJ82" s="20"/>
      <c r="AK82" s="20"/>
      <c r="AL82" s="20"/>
      <c r="AM82" s="20"/>
      <c r="AN82" s="20"/>
      <c r="AO82" s="20"/>
      <c r="AP82" s="20"/>
      <c r="AQ82" s="20"/>
      <c r="AR82" s="20"/>
      <c r="AS82" s="20"/>
      <c r="AT82" s="20"/>
      <c r="AU82" s="20"/>
      <c r="AV82" s="20"/>
      <c r="AW82" s="20"/>
      <c r="AX82" s="20"/>
      <c r="AY82" s="20"/>
      <c r="AZ82" s="20"/>
      <c r="BA82" s="21" t="s">
        <v>517</v>
      </c>
      <c r="BB82" s="21">
        <v>0</v>
      </c>
      <c r="BC82" s="21">
        <v>0</v>
      </c>
      <c r="BD82" s="21">
        <v>0</v>
      </c>
      <c r="BE82" s="21">
        <v>4</v>
      </c>
      <c r="BF82" s="21">
        <v>2</v>
      </c>
      <c r="BG82" s="21">
        <v>0</v>
      </c>
      <c r="BH82" s="21">
        <v>0</v>
      </c>
      <c r="BI82" s="21">
        <v>0</v>
      </c>
      <c r="BJ82" s="21">
        <v>0</v>
      </c>
      <c r="BK82" s="21">
        <v>0</v>
      </c>
      <c r="BL82" s="21">
        <v>0</v>
      </c>
      <c r="BM82" s="21">
        <v>4</v>
      </c>
      <c r="BN82" s="21">
        <v>2</v>
      </c>
      <c r="BO82" s="21">
        <v>0</v>
      </c>
      <c r="BP82" s="21">
        <v>0</v>
      </c>
      <c r="BQ82" s="21">
        <v>0</v>
      </c>
      <c r="BR82" s="21">
        <v>0</v>
      </c>
      <c r="BS82" s="21">
        <v>0</v>
      </c>
      <c r="BT82" s="21">
        <v>0</v>
      </c>
      <c r="BU82" s="21">
        <v>0</v>
      </c>
      <c r="BV82" s="21">
        <v>0</v>
      </c>
      <c r="BW82" s="21">
        <v>0</v>
      </c>
      <c r="BX82" s="21">
        <v>0</v>
      </c>
      <c r="BY82" s="21">
        <v>0</v>
      </c>
      <c r="BZ82" s="21">
        <v>0</v>
      </c>
      <c r="CA82" s="21">
        <v>0</v>
      </c>
      <c r="DA82" s="54"/>
      <c r="DB82" s="54"/>
      <c r="DC82" s="54"/>
      <c r="DD82" s="20" t="s">
        <v>518</v>
      </c>
      <c r="DE82" s="20">
        <v>0</v>
      </c>
      <c r="DF82" s="20">
        <v>2</v>
      </c>
      <c r="DG82" s="20">
        <v>4</v>
      </c>
      <c r="DH82" s="20">
        <v>0</v>
      </c>
      <c r="DI82" s="20">
        <v>4</v>
      </c>
      <c r="DJ82" s="20">
        <v>0</v>
      </c>
      <c r="DK82" s="20">
        <v>4</v>
      </c>
      <c r="DL82" s="20">
        <v>0</v>
      </c>
      <c r="DM82" s="20">
        <v>2</v>
      </c>
      <c r="DN82" s="20">
        <v>0</v>
      </c>
      <c r="DO82" s="20">
        <v>2</v>
      </c>
      <c r="DP82" s="20">
        <v>4</v>
      </c>
      <c r="DQ82" s="20">
        <v>2</v>
      </c>
      <c r="DR82" s="20">
        <v>4</v>
      </c>
      <c r="DS82" s="20">
        <v>0</v>
      </c>
      <c r="DT82" s="20">
        <v>4</v>
      </c>
      <c r="DU82" s="20">
        <v>0</v>
      </c>
      <c r="DV82" s="20">
        <v>2</v>
      </c>
      <c r="DW82" s="20">
        <v>0</v>
      </c>
      <c r="DX82" s="20">
        <v>2</v>
      </c>
      <c r="DY82" s="20">
        <v>4</v>
      </c>
      <c r="DZ82" s="20"/>
      <c r="EA82" s="20"/>
      <c r="EB82" s="26" t="s">
        <v>517</v>
      </c>
      <c r="EC82" s="20">
        <v>0</v>
      </c>
      <c r="ED82" s="20">
        <v>2</v>
      </c>
      <c r="EE82" s="20">
        <v>4</v>
      </c>
      <c r="EF82" s="20">
        <v>0</v>
      </c>
      <c r="EG82" s="20">
        <v>2</v>
      </c>
      <c r="EH82" s="20">
        <v>0</v>
      </c>
      <c r="EI82" s="20">
        <v>2</v>
      </c>
      <c r="EJ82" s="20">
        <v>0</v>
      </c>
      <c r="EK82" s="20">
        <v>2</v>
      </c>
      <c r="EL82" s="20">
        <v>0</v>
      </c>
      <c r="EM82" s="20">
        <v>0</v>
      </c>
      <c r="EN82" s="20">
        <v>2</v>
      </c>
      <c r="EO82" s="20">
        <v>0</v>
      </c>
      <c r="EP82" s="20">
        <v>2</v>
      </c>
      <c r="EQ82" s="20">
        <v>0</v>
      </c>
      <c r="ER82" s="20">
        <v>0</v>
      </c>
      <c r="ES82" s="20">
        <v>2</v>
      </c>
      <c r="ET82" s="20">
        <v>0</v>
      </c>
      <c r="EU82" s="20">
        <v>2</v>
      </c>
      <c r="EV82" s="20">
        <v>0</v>
      </c>
      <c r="EW82" s="20">
        <v>0</v>
      </c>
      <c r="EX82" s="20">
        <v>0</v>
      </c>
      <c r="EY82" s="20">
        <v>0</v>
      </c>
      <c r="EZ82" s="20">
        <v>2</v>
      </c>
      <c r="FA82" s="20">
        <v>0</v>
      </c>
      <c r="FB82" s="20">
        <v>0</v>
      </c>
      <c r="FC82" s="20">
        <v>0</v>
      </c>
      <c r="FD82" s="20">
        <v>0</v>
      </c>
      <c r="FE82" s="20">
        <v>0</v>
      </c>
      <c r="FF82" s="20">
        <v>0</v>
      </c>
      <c r="FG82" s="20">
        <v>0</v>
      </c>
      <c r="FH82" s="20">
        <v>0</v>
      </c>
      <c r="FI82" s="20">
        <v>0</v>
      </c>
      <c r="FJ82" s="20">
        <v>0</v>
      </c>
      <c r="FK82" s="20">
        <v>0</v>
      </c>
      <c r="FL82" s="20">
        <v>0</v>
      </c>
      <c r="FM82" s="20">
        <v>0</v>
      </c>
      <c r="FN82" s="20">
        <v>0</v>
      </c>
      <c r="FO82" s="20">
        <v>0</v>
      </c>
      <c r="FP82" s="20">
        <v>0</v>
      </c>
      <c r="FQ82" s="20">
        <v>0</v>
      </c>
      <c r="FR82" s="20">
        <v>0</v>
      </c>
      <c r="FS82" s="20">
        <v>0</v>
      </c>
      <c r="FT82" s="20">
        <v>0</v>
      </c>
      <c r="FU82" s="20">
        <v>0</v>
      </c>
      <c r="FV82" s="20">
        <v>0</v>
      </c>
      <c r="FW82" s="20">
        <v>0</v>
      </c>
      <c r="FX82" s="20">
        <v>0</v>
      </c>
      <c r="FY82" s="20">
        <v>0</v>
      </c>
      <c r="FZ82" s="20">
        <v>0</v>
      </c>
      <c r="GA82" s="20">
        <v>0</v>
      </c>
      <c r="GC82" s="20"/>
      <c r="GD82" s="20"/>
      <c r="GE82" s="26" t="s">
        <v>517</v>
      </c>
      <c r="GF82" s="20">
        <v>0</v>
      </c>
      <c r="GG82" s="20">
        <v>0</v>
      </c>
      <c r="GH82" s="20">
        <v>0</v>
      </c>
      <c r="GI82" s="20">
        <v>0</v>
      </c>
      <c r="GJ82" s="20">
        <v>2</v>
      </c>
      <c r="GK82" s="20">
        <v>2</v>
      </c>
      <c r="GL82" s="20">
        <v>0</v>
      </c>
      <c r="GM82" s="20">
        <v>2</v>
      </c>
      <c r="GN82" s="20">
        <v>0</v>
      </c>
      <c r="GO82" s="20">
        <v>0</v>
      </c>
      <c r="GP82" s="20">
        <v>2</v>
      </c>
      <c r="GQ82" s="20">
        <v>0</v>
      </c>
      <c r="GR82" s="20">
        <v>0</v>
      </c>
      <c r="GS82" s="20">
        <v>0</v>
      </c>
      <c r="GT82" s="20">
        <v>4</v>
      </c>
      <c r="GU82" s="20">
        <v>0</v>
      </c>
      <c r="GV82" s="20">
        <v>0</v>
      </c>
      <c r="GW82" s="20">
        <v>0</v>
      </c>
      <c r="GX82" s="20">
        <v>0</v>
      </c>
      <c r="GY82" s="20">
        <v>0</v>
      </c>
      <c r="GZ82" s="20">
        <v>0</v>
      </c>
      <c r="HA82" s="20">
        <v>0</v>
      </c>
      <c r="HB82" s="20">
        <v>0</v>
      </c>
      <c r="HC82" s="20">
        <v>0</v>
      </c>
      <c r="HD82" s="20">
        <v>0</v>
      </c>
      <c r="HE82" s="20">
        <v>0</v>
      </c>
      <c r="HF82" s="20">
        <v>0</v>
      </c>
      <c r="HG82" s="20">
        <v>0</v>
      </c>
      <c r="HH82" s="20">
        <v>0</v>
      </c>
      <c r="HI82" s="20">
        <v>0</v>
      </c>
      <c r="HJ82" s="20">
        <v>0</v>
      </c>
      <c r="HK82" s="20">
        <v>0</v>
      </c>
      <c r="HL82" s="20">
        <v>0</v>
      </c>
      <c r="HM82" s="20">
        <v>0</v>
      </c>
      <c r="HN82" s="20">
        <v>0</v>
      </c>
      <c r="HO82" s="20">
        <v>0</v>
      </c>
      <c r="HP82" s="20">
        <v>0</v>
      </c>
      <c r="HQ82" s="20">
        <v>0</v>
      </c>
      <c r="HR82" s="20">
        <v>0</v>
      </c>
      <c r="HS82" s="20">
        <v>0</v>
      </c>
      <c r="HT82" s="20">
        <v>0</v>
      </c>
      <c r="HU82" s="20">
        <v>0</v>
      </c>
      <c r="HV82" s="20">
        <v>0</v>
      </c>
      <c r="HW82" s="20">
        <v>0</v>
      </c>
      <c r="HX82" s="20">
        <v>0</v>
      </c>
      <c r="HY82" s="20">
        <v>0</v>
      </c>
      <c r="HZ82" s="20">
        <v>0</v>
      </c>
      <c r="IA82" s="20">
        <v>0</v>
      </c>
      <c r="IB82" s="20">
        <v>0</v>
      </c>
      <c r="IC82" s="20">
        <v>0</v>
      </c>
      <c r="ID82" s="20">
        <v>0</v>
      </c>
      <c r="JI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82,$JT$2:$KS$2,0),MATCH($W$65,$AH$22:$AH$47,0)))*C82</f>
        <v>0</v>
      </c>
      <c r="JJ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82,$JT$2:$KS$2,0),MATCH($W$65,$AH$22:$AH$47,0)))*C82</f>
        <v>0</v>
      </c>
      <c r="JK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82,$JT$2:$KS$2,0),MATCH($W$65,$AH$22:$AH$47,0)))*C82</f>
        <v>0</v>
      </c>
      <c r="JL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82,$JT$2:$KS$2,0),MATCH($W$65,$AH$22:$AH$47,0)))*C82</f>
        <v>0</v>
      </c>
      <c r="JM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82,$JT$2:$KS$2,0),MATCH($W$65,$AH$22:$AH$47,0)))*C82</f>
        <v>0</v>
      </c>
      <c r="JN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82,$JT$2:$KS$2,0),MATCH($W$65,$AH$22:$AH$47,0)))*C82</f>
        <v>0</v>
      </c>
      <c r="JO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82,$JT$2:$KS$2,0),MATCH($W$65,$AH$22:$AH$47,0)))*C82</f>
        <v>0</v>
      </c>
      <c r="JP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82,$JT$2:$KS$2,0),MATCH($W$65,$AH$22:$AH$47,0)))*C82</f>
        <v>0</v>
      </c>
      <c r="JQ8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82,$JT$2:$KS$2,0),MATCH($W$65,$AH$22:$AH$47,0)))*C82</f>
        <v>0</v>
      </c>
      <c r="JS82" s="26" t="s">
        <v>711</v>
      </c>
      <c r="JT82" s="20">
        <v>0</v>
      </c>
      <c r="JU82" s="20">
        <v>0</v>
      </c>
      <c r="JV82" s="20">
        <v>2</v>
      </c>
      <c r="JW82" s="20">
        <v>0</v>
      </c>
      <c r="JX82" s="20">
        <v>2</v>
      </c>
      <c r="JY82" s="20">
        <v>4</v>
      </c>
      <c r="JZ82" s="20">
        <v>2</v>
      </c>
      <c r="KA82" s="20">
        <v>4</v>
      </c>
      <c r="KB82" s="20">
        <v>6</v>
      </c>
      <c r="KC82" s="20">
        <v>4</v>
      </c>
      <c r="KD82" s="20">
        <v>6</v>
      </c>
      <c r="KE82" s="20">
        <v>8</v>
      </c>
      <c r="KF82" s="20">
        <v>6</v>
      </c>
      <c r="KG82" s="20">
        <v>8</v>
      </c>
      <c r="KH82" s="20">
        <v>10</v>
      </c>
      <c r="KI82" s="20">
        <v>10</v>
      </c>
      <c r="KJ82" s="20">
        <v>12</v>
      </c>
      <c r="KK82" s="20">
        <v>10</v>
      </c>
      <c r="KL82" s="20">
        <v>12</v>
      </c>
      <c r="KM82" s="20">
        <v>14</v>
      </c>
      <c r="KN82" s="20">
        <v>12</v>
      </c>
      <c r="KO82" s="20">
        <v>14</v>
      </c>
      <c r="KP82" s="20">
        <v>16</v>
      </c>
      <c r="KQ82" s="20">
        <v>14</v>
      </c>
      <c r="KR82" s="20">
        <v>16</v>
      </c>
      <c r="KS82" s="20">
        <v>18</v>
      </c>
      <c r="KU82" s="26" t="s">
        <v>711</v>
      </c>
      <c r="KV82" s="20">
        <v>0</v>
      </c>
      <c r="KW82" s="20">
        <v>0</v>
      </c>
      <c r="KX82" s="20">
        <v>0</v>
      </c>
      <c r="KY82" s="20">
        <v>4</v>
      </c>
      <c r="KZ82" s="20">
        <v>2</v>
      </c>
      <c r="LA82" s="20">
        <v>6</v>
      </c>
      <c r="LB82" s="20">
        <v>4</v>
      </c>
      <c r="LC82" s="20">
        <v>8</v>
      </c>
      <c r="LD82" s="20">
        <v>8</v>
      </c>
      <c r="LE82" s="20">
        <v>10</v>
      </c>
      <c r="LF82" s="20">
        <v>10</v>
      </c>
      <c r="LG82" s="20">
        <v>10</v>
      </c>
      <c r="LH82" s="20">
        <v>12</v>
      </c>
      <c r="LI82" s="20">
        <v>12</v>
      </c>
      <c r="LJ82" s="20">
        <v>16</v>
      </c>
      <c r="LK82" s="20">
        <v>14</v>
      </c>
      <c r="LL82" s="20">
        <v>18</v>
      </c>
      <c r="LM82" s="20">
        <v>18</v>
      </c>
      <c r="LN82" s="20">
        <v>20</v>
      </c>
      <c r="LO82" s="20">
        <v>20</v>
      </c>
      <c r="LP82" s="20">
        <v>20</v>
      </c>
      <c r="LQ82" s="20">
        <v>22</v>
      </c>
      <c r="LR82" s="20">
        <v>22</v>
      </c>
      <c r="LS82" s="20">
        <v>26</v>
      </c>
      <c r="LT82" s="20">
        <v>24</v>
      </c>
      <c r="LU82" s="20">
        <v>28</v>
      </c>
      <c r="LW82" s="26" t="s">
        <v>711</v>
      </c>
      <c r="LX82" s="20">
        <v>0</v>
      </c>
      <c r="LY82" s="20">
        <v>0</v>
      </c>
      <c r="LZ82" s="20">
        <v>0</v>
      </c>
      <c r="MA82" s="20">
        <v>4</v>
      </c>
      <c r="MB82" s="20">
        <v>4</v>
      </c>
      <c r="MC82" s="20">
        <v>4</v>
      </c>
      <c r="MD82" s="20">
        <v>8</v>
      </c>
      <c r="ME82" s="20">
        <v>8</v>
      </c>
      <c r="MF82" s="20">
        <v>8</v>
      </c>
      <c r="MG82" s="20">
        <v>10</v>
      </c>
      <c r="MH82" s="20">
        <v>10</v>
      </c>
      <c r="MI82" s="20">
        <v>14</v>
      </c>
      <c r="MJ82" s="20">
        <v>14</v>
      </c>
      <c r="MK82" s="20">
        <v>14</v>
      </c>
      <c r="ML82" s="20">
        <v>18</v>
      </c>
      <c r="MM82" s="20">
        <v>18</v>
      </c>
      <c r="MN82" s="20">
        <v>18</v>
      </c>
      <c r="MO82" s="20">
        <v>22</v>
      </c>
      <c r="MP82" s="20">
        <v>20</v>
      </c>
      <c r="MQ82" s="20">
        <v>24</v>
      </c>
      <c r="MR82" s="20">
        <v>24</v>
      </c>
      <c r="MS82" s="20">
        <v>24</v>
      </c>
      <c r="MT82" s="20">
        <v>28</v>
      </c>
      <c r="MU82" s="20">
        <v>28</v>
      </c>
      <c r="MV82" s="20">
        <v>28</v>
      </c>
      <c r="MW82" s="20">
        <v>32</v>
      </c>
      <c r="MY82" s="21" t="s">
        <v>711</v>
      </c>
      <c r="MZ82" s="21">
        <v>0</v>
      </c>
      <c r="NA82" s="21">
        <v>2</v>
      </c>
      <c r="NB82" s="21">
        <v>2</v>
      </c>
      <c r="NC82" s="21">
        <v>2</v>
      </c>
      <c r="ND82" s="21">
        <v>4</v>
      </c>
      <c r="NE82" s="21">
        <v>8</v>
      </c>
      <c r="NF82" s="21">
        <v>8</v>
      </c>
      <c r="NG82" s="21">
        <v>10</v>
      </c>
      <c r="NH82" s="21">
        <v>10</v>
      </c>
      <c r="NI82" s="21">
        <v>14</v>
      </c>
      <c r="NJ82" s="21">
        <v>14</v>
      </c>
      <c r="NK82" s="21">
        <v>16</v>
      </c>
      <c r="NL82" s="21">
        <v>16</v>
      </c>
      <c r="NM82" s="21">
        <v>20</v>
      </c>
      <c r="NN82" s="21">
        <v>22</v>
      </c>
      <c r="NO82" s="21">
        <v>22</v>
      </c>
      <c r="NP82" s="21">
        <v>22</v>
      </c>
      <c r="NQ82" s="21">
        <v>26</v>
      </c>
      <c r="NR82" s="21">
        <v>28</v>
      </c>
      <c r="NS82" s="21">
        <v>28</v>
      </c>
      <c r="NT82" s="21">
        <v>28</v>
      </c>
      <c r="NU82" s="21">
        <v>30</v>
      </c>
      <c r="NV82" s="21">
        <v>34</v>
      </c>
      <c r="NW82" s="21">
        <v>34</v>
      </c>
      <c r="NX82" s="21">
        <v>36</v>
      </c>
      <c r="NY82" s="21">
        <v>36</v>
      </c>
    </row>
    <row r="83" spans="1:389" x14ac:dyDescent="0.25">
      <c r="A83" s="8"/>
      <c r="B83" s="5" t="s">
        <v>116</v>
      </c>
      <c r="C83" s="8"/>
      <c r="D83" s="7" t="s">
        <v>124</v>
      </c>
      <c r="E83" s="8" t="s">
        <v>125</v>
      </c>
      <c r="F83" s="5"/>
      <c r="G83" s="5"/>
      <c r="H83" s="5"/>
      <c r="I83" s="5"/>
      <c r="J83" s="5"/>
      <c r="K83" s="4"/>
      <c r="L83" s="6" t="str">
        <f>IF($E$85=$AK$22,"PAL40H40/3,15",IF($E$85=$AK$23,"PAL30H32/3,15","-------"))</f>
        <v>PAL40H40/3,15</v>
      </c>
      <c r="M83" s="14">
        <f>INDEX(cennik!$C$2:$L$529,MATCH($L83,cennik!$B$2:$B$522,0),MATCH(M$27,cennik!$C$1:$L$1,0))</f>
        <v>894631</v>
      </c>
      <c r="N83" s="14" t="str">
        <f>INDEX(cennik!$C$2:$L$529,MATCH($L83,cennik!$B$2:$B$522,0),MATCH(N$27,cennik!$C$1:$L$1,0))</f>
        <v>szt.</v>
      </c>
      <c r="O83" s="14">
        <f>IF(L83="-------",0,SUM(JN78:JN93))</f>
        <v>0</v>
      </c>
      <c r="P83" s="22">
        <f>INDEX(cennik!$C$2:$L$529,MATCH($L83,cennik!$B$2:$B$522,0),MATCH(P$27,cennik!$C$1:$L$1,0))</f>
        <v>97.65</v>
      </c>
      <c r="Q83" s="22">
        <f t="shared" si="80"/>
        <v>0</v>
      </c>
      <c r="R83" s="23">
        <f t="shared" ref="R83:R100" si="83">$E$84</f>
        <v>0</v>
      </c>
      <c r="S83" s="22">
        <f t="shared" ref="S83:S100" si="84">P83*((100-$E$84)/100)</f>
        <v>97.65</v>
      </c>
      <c r="T83" s="22">
        <f t="shared" si="78"/>
        <v>0</v>
      </c>
      <c r="U83" s="22">
        <f>INDEX(cennik!$C$2:$L$529,MATCH($L83,cennik!$B$2:$B$522,0),MATCH(U$27,cennik!$C$1:$L$1,0))*O83</f>
        <v>0</v>
      </c>
      <c r="V83" s="20"/>
      <c r="AE83" s="20"/>
      <c r="AF83" s="20"/>
      <c r="AG83" s="20"/>
      <c r="AH83" s="20"/>
      <c r="AI83" s="20"/>
      <c r="AJ83" s="20"/>
      <c r="AK83" s="20"/>
      <c r="AL83" s="20"/>
      <c r="AM83" s="20"/>
      <c r="AN83" s="20"/>
      <c r="AO83" s="20"/>
      <c r="AP83" s="20"/>
      <c r="AQ83" s="20"/>
      <c r="AR83" s="20"/>
      <c r="AS83" s="20"/>
      <c r="AT83" s="20"/>
      <c r="AU83" s="20"/>
      <c r="AV83" s="20"/>
      <c r="AW83" s="20"/>
      <c r="AX83" s="20"/>
      <c r="AY83" s="20"/>
      <c r="AZ83" s="20"/>
      <c r="BA83" s="21" t="s">
        <v>518</v>
      </c>
      <c r="BB83" s="21">
        <v>0</v>
      </c>
      <c r="BC83" s="21">
        <v>2</v>
      </c>
      <c r="BD83" s="21">
        <v>0</v>
      </c>
      <c r="BE83" s="21">
        <v>0</v>
      </c>
      <c r="BF83" s="21">
        <v>0</v>
      </c>
      <c r="BG83" s="21">
        <v>0</v>
      </c>
      <c r="BH83" s="21">
        <v>0</v>
      </c>
      <c r="BI83" s="21">
        <v>2</v>
      </c>
      <c r="BJ83" s="21">
        <v>0</v>
      </c>
      <c r="BK83" s="21">
        <v>0</v>
      </c>
      <c r="BL83" s="21">
        <v>0</v>
      </c>
      <c r="BM83" s="21">
        <v>0</v>
      </c>
      <c r="BN83" s="21">
        <v>0</v>
      </c>
      <c r="BO83" s="21">
        <v>0</v>
      </c>
      <c r="BP83" s="21">
        <v>4</v>
      </c>
      <c r="BQ83" s="21">
        <v>2</v>
      </c>
      <c r="BR83" s="21">
        <v>0</v>
      </c>
      <c r="BS83" s="21">
        <v>0</v>
      </c>
      <c r="BT83" s="21">
        <v>0</v>
      </c>
      <c r="BU83" s="21">
        <v>4</v>
      </c>
      <c r="BV83" s="21">
        <v>2</v>
      </c>
      <c r="BW83" s="21">
        <v>0</v>
      </c>
      <c r="BX83" s="21">
        <v>4</v>
      </c>
      <c r="BY83" s="21">
        <v>0</v>
      </c>
      <c r="BZ83" s="21">
        <v>0</v>
      </c>
      <c r="CA83" s="21">
        <v>2</v>
      </c>
      <c r="DA83" s="54"/>
      <c r="DB83" s="54"/>
      <c r="DC83" s="54"/>
      <c r="DD83" s="20" t="s">
        <v>520</v>
      </c>
      <c r="DE83" s="20">
        <v>0</v>
      </c>
      <c r="DF83" s="20">
        <v>0</v>
      </c>
      <c r="DG83" s="20">
        <v>0</v>
      </c>
      <c r="DH83" s="20">
        <v>4</v>
      </c>
      <c r="DI83" s="20">
        <v>2</v>
      </c>
      <c r="DJ83" s="20">
        <v>6</v>
      </c>
      <c r="DK83" s="20">
        <v>4</v>
      </c>
      <c r="DL83" s="20">
        <v>8</v>
      </c>
      <c r="DM83" s="20">
        <v>8</v>
      </c>
      <c r="DN83" s="20">
        <v>10</v>
      </c>
      <c r="DO83" s="20">
        <v>10</v>
      </c>
      <c r="DP83" s="20">
        <v>10</v>
      </c>
      <c r="DQ83" s="20">
        <v>12</v>
      </c>
      <c r="DR83" s="20">
        <v>12</v>
      </c>
      <c r="DS83" s="20">
        <v>16</v>
      </c>
      <c r="DT83" s="20">
        <v>14</v>
      </c>
      <c r="DU83" s="20">
        <v>18</v>
      </c>
      <c r="DV83" s="20">
        <v>18</v>
      </c>
      <c r="DW83" s="20">
        <v>20</v>
      </c>
      <c r="DX83" s="20">
        <v>20</v>
      </c>
      <c r="DY83" s="20">
        <v>20</v>
      </c>
      <c r="DZ83" s="20"/>
      <c r="EA83" s="20"/>
      <c r="EB83" s="26" t="s">
        <v>518</v>
      </c>
      <c r="EC83" s="20">
        <v>0</v>
      </c>
      <c r="ED83" s="20">
        <v>0</v>
      </c>
      <c r="EE83" s="20">
        <v>0</v>
      </c>
      <c r="EF83" s="20">
        <v>0</v>
      </c>
      <c r="EG83" s="20">
        <v>2</v>
      </c>
      <c r="EH83" s="20">
        <v>0</v>
      </c>
      <c r="EI83" s="20">
        <v>0</v>
      </c>
      <c r="EJ83" s="20">
        <v>0</v>
      </c>
      <c r="EK83" s="20">
        <v>0</v>
      </c>
      <c r="EL83" s="20">
        <v>4</v>
      </c>
      <c r="EM83" s="20">
        <v>0</v>
      </c>
      <c r="EN83" s="20">
        <v>2</v>
      </c>
      <c r="EO83" s="20">
        <v>0</v>
      </c>
      <c r="EP83" s="20">
        <v>0</v>
      </c>
      <c r="EQ83" s="20">
        <v>0</v>
      </c>
      <c r="ER83" s="20">
        <v>0</v>
      </c>
      <c r="ES83" s="20">
        <v>2</v>
      </c>
      <c r="ET83" s="20">
        <v>0</v>
      </c>
      <c r="EU83" s="20">
        <v>0</v>
      </c>
      <c r="EV83" s="20">
        <v>0</v>
      </c>
      <c r="EW83" s="20">
        <v>0</v>
      </c>
      <c r="EX83" s="20">
        <v>0</v>
      </c>
      <c r="EY83" s="20">
        <v>2</v>
      </c>
      <c r="EZ83" s="20">
        <v>0</v>
      </c>
      <c r="FA83" s="20">
        <v>0</v>
      </c>
      <c r="FB83" s="20">
        <v>0</v>
      </c>
      <c r="FC83" s="20">
        <v>0</v>
      </c>
      <c r="FD83" s="20">
        <v>0</v>
      </c>
      <c r="FE83" s="20">
        <v>0</v>
      </c>
      <c r="FF83" s="20">
        <v>0</v>
      </c>
      <c r="FG83" s="20">
        <v>0</v>
      </c>
      <c r="FH83" s="20">
        <v>0</v>
      </c>
      <c r="FI83" s="20">
        <v>4</v>
      </c>
      <c r="FJ83" s="20">
        <v>0</v>
      </c>
      <c r="FK83" s="20">
        <v>0</v>
      </c>
      <c r="FL83" s="20">
        <v>0</v>
      </c>
      <c r="FM83" s="20">
        <v>2</v>
      </c>
      <c r="FN83" s="20">
        <v>0</v>
      </c>
      <c r="FO83" s="20">
        <v>0</v>
      </c>
      <c r="FP83" s="20">
        <v>0</v>
      </c>
      <c r="FQ83" s="20">
        <v>0</v>
      </c>
      <c r="FR83" s="20">
        <v>2</v>
      </c>
      <c r="FS83" s="20">
        <v>0</v>
      </c>
      <c r="FT83" s="20">
        <v>2</v>
      </c>
      <c r="FU83" s="20">
        <v>0</v>
      </c>
      <c r="FV83" s="20">
        <v>0</v>
      </c>
      <c r="FW83" s="20">
        <v>0</v>
      </c>
      <c r="FX83" s="20">
        <v>0</v>
      </c>
      <c r="FY83" s="20">
        <v>2</v>
      </c>
      <c r="FZ83" s="20">
        <v>0</v>
      </c>
      <c r="GA83" s="20">
        <v>0</v>
      </c>
      <c r="GC83" s="20"/>
      <c r="GD83" s="20"/>
      <c r="GE83" s="26" t="s">
        <v>518</v>
      </c>
      <c r="GF83" s="20">
        <v>0</v>
      </c>
      <c r="GG83" s="20">
        <v>2</v>
      </c>
      <c r="GH83" s="20">
        <v>0</v>
      </c>
      <c r="GI83" s="20">
        <v>0</v>
      </c>
      <c r="GJ83" s="20">
        <v>0</v>
      </c>
      <c r="GK83" s="20">
        <v>2</v>
      </c>
      <c r="GL83" s="20">
        <v>0</v>
      </c>
      <c r="GM83" s="20">
        <v>0</v>
      </c>
      <c r="GN83" s="20">
        <v>4</v>
      </c>
      <c r="GO83" s="20">
        <v>0</v>
      </c>
      <c r="GP83" s="20">
        <v>0</v>
      </c>
      <c r="GQ83" s="20">
        <v>4</v>
      </c>
      <c r="GR83" s="20">
        <v>0</v>
      </c>
      <c r="GS83" s="20">
        <v>2</v>
      </c>
      <c r="GT83" s="20">
        <v>0</v>
      </c>
      <c r="GU83" s="20">
        <v>0</v>
      </c>
      <c r="GV83" s="20">
        <v>2</v>
      </c>
      <c r="GW83" s="20">
        <v>0</v>
      </c>
      <c r="GX83" s="20">
        <v>0</v>
      </c>
      <c r="GY83" s="20">
        <v>2</v>
      </c>
      <c r="GZ83" s="20">
        <v>0</v>
      </c>
      <c r="HA83" s="20">
        <v>0</v>
      </c>
      <c r="HB83" s="20">
        <v>4</v>
      </c>
      <c r="HC83" s="20">
        <v>0</v>
      </c>
      <c r="HD83" s="20">
        <v>0</v>
      </c>
      <c r="HE83" s="20">
        <v>0</v>
      </c>
      <c r="HF83" s="20">
        <v>0</v>
      </c>
      <c r="HG83" s="20">
        <v>2</v>
      </c>
      <c r="HH83" s="20">
        <v>0</v>
      </c>
      <c r="HI83" s="20">
        <v>0</v>
      </c>
      <c r="HJ83" s="20">
        <v>2</v>
      </c>
      <c r="HK83" s="20">
        <v>0</v>
      </c>
      <c r="HL83" s="20">
        <v>2</v>
      </c>
      <c r="HM83" s="20">
        <v>0</v>
      </c>
      <c r="HN83" s="20">
        <v>0</v>
      </c>
      <c r="HO83" s="20">
        <v>0</v>
      </c>
      <c r="HP83" s="20">
        <v>0</v>
      </c>
      <c r="HQ83" s="20">
        <v>0</v>
      </c>
      <c r="HR83" s="20">
        <v>2</v>
      </c>
      <c r="HS83" s="20">
        <v>0</v>
      </c>
      <c r="HT83" s="20">
        <v>0</v>
      </c>
      <c r="HU83" s="20">
        <v>2</v>
      </c>
      <c r="HV83" s="20">
        <v>0</v>
      </c>
      <c r="HW83" s="20">
        <v>0</v>
      </c>
      <c r="HX83" s="20">
        <v>0</v>
      </c>
      <c r="HY83" s="20">
        <v>0</v>
      </c>
      <c r="HZ83" s="20">
        <v>0</v>
      </c>
      <c r="IA83" s="20">
        <v>0</v>
      </c>
      <c r="IB83" s="20">
        <v>0</v>
      </c>
      <c r="IC83" s="20">
        <v>0</v>
      </c>
      <c r="ID83" s="20">
        <v>0</v>
      </c>
      <c r="JI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83,$JT$2:$KS$2,0),MATCH($W$65,$AH$22:$AH$47,0)))*C83</f>
        <v>0</v>
      </c>
      <c r="JJ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83,$JT$2:$KS$2,0),MATCH($W$65,$AH$22:$AH$47,0)))*C83</f>
        <v>0</v>
      </c>
      <c r="JK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83,$JT$2:$KS$2,0),MATCH($W$65,$AH$22:$AH$47,0)))*C83</f>
        <v>0</v>
      </c>
      <c r="JL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83,$JT$2:$KS$2,0),MATCH($W$65,$AH$22:$AH$47,0)))*C83</f>
        <v>0</v>
      </c>
      <c r="JM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83,$JT$2:$KS$2,0),MATCH($W$65,$AH$22:$AH$47,0)))*C83</f>
        <v>0</v>
      </c>
      <c r="JN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83,$JT$2:$KS$2,0),MATCH($W$65,$AH$22:$AH$47,0)))*C83</f>
        <v>0</v>
      </c>
      <c r="JO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83,$JT$2:$KS$2,0),MATCH($W$65,$AH$22:$AH$47,0)))*C83</f>
        <v>0</v>
      </c>
      <c r="JP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83,$JT$2:$KS$2,0),MATCH($W$65,$AH$22:$AH$47,0)))*C83</f>
        <v>0</v>
      </c>
      <c r="JQ8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83,$JT$2:$KS$2,0),MATCH($W$65,$AH$22:$AH$47,0)))*C83</f>
        <v>0</v>
      </c>
      <c r="JS83" s="26" t="s">
        <v>712</v>
      </c>
      <c r="JT83" s="20">
        <v>0</v>
      </c>
      <c r="JU83" s="20">
        <v>0</v>
      </c>
      <c r="JV83" s="20">
        <v>0</v>
      </c>
      <c r="JW83" s="20">
        <v>2</v>
      </c>
      <c r="JX83" s="20">
        <v>2</v>
      </c>
      <c r="JY83" s="20">
        <v>2</v>
      </c>
      <c r="JZ83" s="20">
        <v>4</v>
      </c>
      <c r="KA83" s="20">
        <v>4</v>
      </c>
      <c r="KB83" s="20">
        <v>4</v>
      </c>
      <c r="KC83" s="20">
        <v>6</v>
      </c>
      <c r="KD83" s="20">
        <v>6</v>
      </c>
      <c r="KE83" s="20">
        <v>6</v>
      </c>
      <c r="KF83" s="20">
        <v>8</v>
      </c>
      <c r="KG83" s="20">
        <v>8</v>
      </c>
      <c r="KH83" s="20">
        <v>8</v>
      </c>
      <c r="KI83" s="20">
        <v>10</v>
      </c>
      <c r="KJ83" s="20">
        <v>10</v>
      </c>
      <c r="KK83" s="20">
        <v>12</v>
      </c>
      <c r="KL83" s="20">
        <v>12</v>
      </c>
      <c r="KM83" s="20">
        <v>12</v>
      </c>
      <c r="KN83" s="20">
        <v>14</v>
      </c>
      <c r="KO83" s="20">
        <v>14</v>
      </c>
      <c r="KP83" s="20">
        <v>14</v>
      </c>
      <c r="KQ83" s="20">
        <v>16</v>
      </c>
      <c r="KR83" s="20">
        <v>16</v>
      </c>
      <c r="KS83" s="20">
        <v>16</v>
      </c>
      <c r="KU83" s="26" t="s">
        <v>712</v>
      </c>
      <c r="KV83" s="20">
        <v>0</v>
      </c>
      <c r="KW83" s="20">
        <v>0</v>
      </c>
      <c r="KX83" s="20">
        <v>2</v>
      </c>
      <c r="KY83" s="20">
        <v>2</v>
      </c>
      <c r="KZ83" s="20">
        <v>4</v>
      </c>
      <c r="LA83" s="20">
        <v>4</v>
      </c>
      <c r="LB83" s="20">
        <v>6</v>
      </c>
      <c r="LC83" s="20">
        <v>6</v>
      </c>
      <c r="LD83" s="20">
        <v>8</v>
      </c>
      <c r="LE83" s="20">
        <v>8</v>
      </c>
      <c r="LF83" s="20">
        <v>10</v>
      </c>
      <c r="LG83" s="20">
        <v>12</v>
      </c>
      <c r="LH83" s="20">
        <v>12</v>
      </c>
      <c r="LI83" s="20">
        <v>14</v>
      </c>
      <c r="LJ83" s="20">
        <v>14</v>
      </c>
      <c r="LK83" s="20">
        <v>16</v>
      </c>
      <c r="LL83" s="20">
        <v>16</v>
      </c>
      <c r="LM83" s="20">
        <v>18</v>
      </c>
      <c r="LN83" s="20">
        <v>18</v>
      </c>
      <c r="LO83" s="20">
        <v>20</v>
      </c>
      <c r="LP83" s="20">
        <v>22</v>
      </c>
      <c r="LQ83" s="20">
        <v>22</v>
      </c>
      <c r="LR83" s="20">
        <v>24</v>
      </c>
      <c r="LS83" s="20">
        <v>24</v>
      </c>
      <c r="LT83" s="20">
        <v>26</v>
      </c>
      <c r="LU83" s="20">
        <v>26</v>
      </c>
      <c r="LW83" s="26" t="s">
        <v>712</v>
      </c>
      <c r="LX83" s="20">
        <v>0</v>
      </c>
      <c r="LY83" s="20">
        <v>0</v>
      </c>
      <c r="LZ83" s="20">
        <v>2</v>
      </c>
      <c r="MA83" s="20">
        <v>2</v>
      </c>
      <c r="MB83" s="20">
        <v>4</v>
      </c>
      <c r="MC83" s="20">
        <v>6</v>
      </c>
      <c r="MD83" s="20">
        <v>6</v>
      </c>
      <c r="ME83" s="20">
        <v>8</v>
      </c>
      <c r="MF83" s="20">
        <v>10</v>
      </c>
      <c r="MG83" s="20">
        <v>10</v>
      </c>
      <c r="MH83" s="20">
        <v>12</v>
      </c>
      <c r="MI83" s="20">
        <v>12</v>
      </c>
      <c r="MJ83" s="20">
        <v>14</v>
      </c>
      <c r="MK83" s="20">
        <v>16</v>
      </c>
      <c r="ML83" s="20">
        <v>16</v>
      </c>
      <c r="MM83" s="20">
        <v>18</v>
      </c>
      <c r="MN83" s="20">
        <v>20</v>
      </c>
      <c r="MO83" s="20">
        <v>20</v>
      </c>
      <c r="MP83" s="20">
        <v>22</v>
      </c>
      <c r="MQ83" s="20">
        <v>22</v>
      </c>
      <c r="MR83" s="20">
        <v>24</v>
      </c>
      <c r="MS83" s="20">
        <v>26</v>
      </c>
      <c r="MT83" s="20">
        <v>26</v>
      </c>
      <c r="MU83" s="20">
        <v>28</v>
      </c>
      <c r="MV83" s="20">
        <v>30</v>
      </c>
      <c r="MW83" s="20">
        <v>30</v>
      </c>
      <c r="MY83" s="21" t="s">
        <v>712</v>
      </c>
      <c r="MZ83" s="21">
        <v>0</v>
      </c>
      <c r="NA83" s="21">
        <v>0</v>
      </c>
      <c r="NB83" s="21">
        <v>2</v>
      </c>
      <c r="NC83" s="21">
        <v>4</v>
      </c>
      <c r="ND83" s="21">
        <v>6</v>
      </c>
      <c r="NE83" s="21">
        <v>6</v>
      </c>
      <c r="NF83" s="21">
        <v>8</v>
      </c>
      <c r="NG83" s="21">
        <v>10</v>
      </c>
      <c r="NH83" s="21">
        <v>12</v>
      </c>
      <c r="NI83" s="21">
        <v>12</v>
      </c>
      <c r="NJ83" s="21">
        <v>14</v>
      </c>
      <c r="NK83" s="21">
        <v>16</v>
      </c>
      <c r="NL83" s="21">
        <v>18</v>
      </c>
      <c r="NM83" s="21">
        <v>18</v>
      </c>
      <c r="NN83" s="21">
        <v>20</v>
      </c>
      <c r="NO83" s="21">
        <v>22</v>
      </c>
      <c r="NP83" s="21">
        <v>24</v>
      </c>
      <c r="NQ83" s="21">
        <v>24</v>
      </c>
      <c r="NR83" s="21">
        <v>26</v>
      </c>
      <c r="NS83" s="21">
        <v>28</v>
      </c>
      <c r="NT83" s="21">
        <v>30</v>
      </c>
      <c r="NU83" s="21">
        <v>32</v>
      </c>
      <c r="NV83" s="21">
        <v>32</v>
      </c>
      <c r="NW83" s="21">
        <v>34</v>
      </c>
      <c r="NX83" s="21">
        <v>36</v>
      </c>
      <c r="NY83" s="21">
        <v>38</v>
      </c>
    </row>
    <row r="84" spans="1:389" x14ac:dyDescent="0.25">
      <c r="A84" s="8"/>
      <c r="B84" s="5" t="s">
        <v>116</v>
      </c>
      <c r="C84" s="8"/>
      <c r="D84" s="7" t="s">
        <v>162</v>
      </c>
      <c r="E84" s="8">
        <v>0</v>
      </c>
      <c r="F84" s="5"/>
      <c r="G84" s="5"/>
      <c r="H84" s="5"/>
      <c r="I84" s="5"/>
      <c r="J84" s="5" t="s">
        <v>163</v>
      </c>
      <c r="K84" s="4"/>
      <c r="L84" s="6" t="str">
        <f>IF($E$85=$AK$22,"PAL40H40/3,3",IF($E$85=$AK$23,"PAL30H32/3,3",IF($E$85=$AK$24,"CWP40H35/3,3MC","-------")))</f>
        <v>PAL40H40/3,3</v>
      </c>
      <c r="M84" s="14">
        <f>INDEX(cennik!$C$2:$L$529,MATCH($L84,cennik!$B$2:$B$522,0),MATCH(M$27,cennik!$C$1:$L$1,0))</f>
        <v>894633</v>
      </c>
      <c r="N84" s="14" t="str">
        <f>INDEX(cennik!$C$2:$L$529,MATCH($L84,cennik!$B$2:$B$522,0),MATCH(N$27,cennik!$C$1:$L$1,0))</f>
        <v>szt.</v>
      </c>
      <c r="O84" s="14">
        <f>IF(L84="-------",0,SUM(JO78:JO93))</f>
        <v>0</v>
      </c>
      <c r="P84" s="22">
        <f>INDEX(cennik!$C$2:$L$529,MATCH($L84,cennik!$B$2:$B$522,0),MATCH(P$27,cennik!$C$1:$L$1,0))</f>
        <v>102.3</v>
      </c>
      <c r="Q84" s="22">
        <f t="shared" si="80"/>
        <v>0</v>
      </c>
      <c r="R84" s="23">
        <f t="shared" si="83"/>
        <v>0</v>
      </c>
      <c r="S84" s="22">
        <f t="shared" si="84"/>
        <v>102.3</v>
      </c>
      <c r="T84" s="22">
        <f t="shared" si="78"/>
        <v>0</v>
      </c>
      <c r="U84" s="22">
        <f>INDEX(cennik!$C$2:$L$529,MATCH($L84,cennik!$B$2:$B$522,0),MATCH(U$27,cennik!$C$1:$L$1,0))*O84</f>
        <v>0</v>
      </c>
      <c r="V84" s="20"/>
      <c r="AE84" s="20"/>
      <c r="AF84" s="20"/>
      <c r="AG84" s="20"/>
      <c r="AH84" s="20"/>
      <c r="AI84" s="20"/>
      <c r="AJ84" s="20"/>
      <c r="AK84" s="20"/>
      <c r="AL84" s="20"/>
      <c r="AM84" s="20"/>
      <c r="AN84" s="20"/>
      <c r="AO84" s="20"/>
      <c r="AP84" s="20"/>
      <c r="AQ84" s="20"/>
      <c r="AR84" s="20"/>
      <c r="AS84" s="20"/>
      <c r="AT84" s="20"/>
      <c r="AU84" s="20"/>
      <c r="AV84" s="20"/>
      <c r="AW84" s="20"/>
      <c r="AX84" s="20"/>
      <c r="AY84" s="20"/>
      <c r="AZ84" s="20"/>
      <c r="BA84" s="21" t="s">
        <v>519</v>
      </c>
      <c r="BB84" s="21">
        <v>0</v>
      </c>
      <c r="BC84" s="21">
        <v>0</v>
      </c>
      <c r="BD84" s="21">
        <v>2</v>
      </c>
      <c r="BE84" s="21">
        <v>0</v>
      </c>
      <c r="BF84" s="21">
        <v>2</v>
      </c>
      <c r="BG84" s="21">
        <v>4</v>
      </c>
      <c r="BH84" s="21">
        <v>4</v>
      </c>
      <c r="BI84" s="21">
        <v>2</v>
      </c>
      <c r="BJ84" s="21">
        <v>0</v>
      </c>
      <c r="BK84" s="21">
        <v>0</v>
      </c>
      <c r="BL84" s="21">
        <v>8</v>
      </c>
      <c r="BM84" s="21">
        <v>6</v>
      </c>
      <c r="BN84" s="21">
        <v>8</v>
      </c>
      <c r="BO84" s="21">
        <v>6</v>
      </c>
      <c r="BP84" s="21">
        <v>4</v>
      </c>
      <c r="BQ84" s="21">
        <v>2</v>
      </c>
      <c r="BR84" s="21">
        <v>2</v>
      </c>
      <c r="BS84" s="21">
        <v>2</v>
      </c>
      <c r="BT84" s="21">
        <v>12</v>
      </c>
      <c r="BU84" s="21">
        <v>10</v>
      </c>
      <c r="BV84" s="21">
        <v>8</v>
      </c>
      <c r="BW84" s="21">
        <v>8</v>
      </c>
      <c r="BX84" s="21">
        <v>8</v>
      </c>
      <c r="BY84" s="21">
        <v>18</v>
      </c>
      <c r="BZ84" s="21">
        <v>2</v>
      </c>
      <c r="CA84" s="21">
        <v>14</v>
      </c>
      <c r="DA84" s="54"/>
      <c r="DB84" s="54"/>
      <c r="DC84" s="54"/>
      <c r="DD84" s="20" t="s">
        <v>521</v>
      </c>
      <c r="DE84" s="20">
        <v>0</v>
      </c>
      <c r="DF84" s="20">
        <v>0</v>
      </c>
      <c r="DG84" s="20">
        <v>4</v>
      </c>
      <c r="DH84" s="20">
        <v>4</v>
      </c>
      <c r="DI84" s="20">
        <v>8</v>
      </c>
      <c r="DJ84" s="20">
        <v>8</v>
      </c>
      <c r="DK84" s="20">
        <v>12</v>
      </c>
      <c r="DL84" s="20">
        <v>12</v>
      </c>
      <c r="DM84" s="20">
        <v>16</v>
      </c>
      <c r="DN84" s="20">
        <v>16</v>
      </c>
      <c r="DO84" s="20">
        <v>20</v>
      </c>
      <c r="DP84" s="20">
        <v>24</v>
      </c>
      <c r="DQ84" s="20">
        <v>24</v>
      </c>
      <c r="DR84" s="20">
        <v>28</v>
      </c>
      <c r="DS84" s="20">
        <v>28</v>
      </c>
      <c r="DT84" s="20">
        <v>32</v>
      </c>
      <c r="DU84" s="20">
        <v>32</v>
      </c>
      <c r="DV84" s="20">
        <v>36</v>
      </c>
      <c r="DW84" s="20">
        <v>36</v>
      </c>
      <c r="DX84" s="20">
        <v>40</v>
      </c>
      <c r="DY84" s="20">
        <v>44</v>
      </c>
      <c r="DZ84" s="20"/>
      <c r="EA84" s="20"/>
      <c r="EB84" s="26" t="s">
        <v>519</v>
      </c>
      <c r="EC84" s="20">
        <v>0</v>
      </c>
      <c r="ED84" s="20">
        <v>0</v>
      </c>
      <c r="EE84" s="20">
        <v>0</v>
      </c>
      <c r="EF84" s="20">
        <v>4</v>
      </c>
      <c r="EG84" s="20">
        <v>0</v>
      </c>
      <c r="EH84" s="20">
        <v>6</v>
      </c>
      <c r="EI84" s="20">
        <v>6</v>
      </c>
      <c r="EJ84" s="20">
        <v>0</v>
      </c>
      <c r="EK84" s="20">
        <v>2</v>
      </c>
      <c r="EL84" s="20">
        <v>8</v>
      </c>
      <c r="EM84" s="20">
        <v>12</v>
      </c>
      <c r="EN84" s="20">
        <v>0</v>
      </c>
      <c r="EO84" s="20">
        <v>8</v>
      </c>
      <c r="EP84" s="20">
        <v>8</v>
      </c>
      <c r="EQ84" s="20">
        <v>0</v>
      </c>
      <c r="ER84" s="20">
        <v>18</v>
      </c>
      <c r="ES84" s="20">
        <v>6</v>
      </c>
      <c r="ET84" s="20">
        <v>12</v>
      </c>
      <c r="EU84" s="20">
        <v>14</v>
      </c>
      <c r="EV84" s="20">
        <v>6</v>
      </c>
      <c r="EW84" s="20">
        <v>24</v>
      </c>
      <c r="EX84" s="20">
        <v>0</v>
      </c>
      <c r="EY84" s="20">
        <v>8</v>
      </c>
      <c r="EZ84" s="20">
        <v>20</v>
      </c>
      <c r="FA84" s="20">
        <v>12</v>
      </c>
      <c r="FB84" s="20">
        <v>30</v>
      </c>
      <c r="FC84" s="20">
        <v>6</v>
      </c>
      <c r="FD84" s="20">
        <v>24</v>
      </c>
      <c r="FE84" s="20">
        <v>0</v>
      </c>
      <c r="FF84" s="20">
        <v>18</v>
      </c>
      <c r="FG84" s="20">
        <v>36</v>
      </c>
      <c r="FH84" s="20">
        <v>12</v>
      </c>
      <c r="FI84" s="20">
        <v>8</v>
      </c>
      <c r="FJ84" s="20">
        <v>6</v>
      </c>
      <c r="FK84" s="20">
        <v>24</v>
      </c>
      <c r="FL84" s="20">
        <v>0</v>
      </c>
      <c r="FM84" s="20">
        <v>2</v>
      </c>
      <c r="FN84" s="20">
        <v>0</v>
      </c>
      <c r="FO84" s="20">
        <v>12</v>
      </c>
      <c r="FP84" s="20">
        <v>30</v>
      </c>
      <c r="FQ84" s="20">
        <v>4</v>
      </c>
      <c r="FR84" s="20">
        <v>8</v>
      </c>
      <c r="FS84" s="20">
        <v>0</v>
      </c>
      <c r="FT84" s="20">
        <v>2</v>
      </c>
      <c r="FU84" s="20">
        <v>0</v>
      </c>
      <c r="FV84" s="20">
        <v>10</v>
      </c>
      <c r="FW84" s="20">
        <v>30</v>
      </c>
      <c r="FX84" s="20">
        <v>4</v>
      </c>
      <c r="FY84" s="20">
        <v>8</v>
      </c>
      <c r="FZ84" s="20">
        <v>0</v>
      </c>
      <c r="GA84" s="20">
        <v>16</v>
      </c>
      <c r="GC84" s="20"/>
      <c r="GD84" s="20"/>
      <c r="GE84" s="26" t="s">
        <v>519</v>
      </c>
      <c r="GF84" s="20">
        <v>0</v>
      </c>
      <c r="GG84" s="20">
        <v>0</v>
      </c>
      <c r="GH84" s="20">
        <v>2</v>
      </c>
      <c r="GI84" s="20">
        <v>2</v>
      </c>
      <c r="GJ84" s="20">
        <v>2</v>
      </c>
      <c r="GK84" s="20">
        <v>2</v>
      </c>
      <c r="GL84" s="20">
        <v>4</v>
      </c>
      <c r="GM84" s="20">
        <v>4</v>
      </c>
      <c r="GN84" s="20">
        <v>6</v>
      </c>
      <c r="GO84" s="20">
        <v>8</v>
      </c>
      <c r="GP84" s="20">
        <v>6</v>
      </c>
      <c r="GQ84" s="20">
        <v>8</v>
      </c>
      <c r="GR84" s="20">
        <v>12</v>
      </c>
      <c r="GS84" s="20">
        <v>10</v>
      </c>
      <c r="GT84" s="20">
        <v>8</v>
      </c>
      <c r="GU84" s="20">
        <v>12</v>
      </c>
      <c r="GV84" s="20">
        <v>12</v>
      </c>
      <c r="GW84" s="20">
        <v>0</v>
      </c>
      <c r="GX84" s="20">
        <v>14</v>
      </c>
      <c r="GY84" s="20">
        <v>14</v>
      </c>
      <c r="GZ84" s="20">
        <v>2</v>
      </c>
      <c r="HA84" s="20">
        <v>16</v>
      </c>
      <c r="HB84" s="20">
        <v>8</v>
      </c>
      <c r="HC84" s="20">
        <v>4</v>
      </c>
      <c r="HD84" s="20">
        <v>18</v>
      </c>
      <c r="HE84" s="20">
        <v>34</v>
      </c>
      <c r="HF84" s="20">
        <v>6</v>
      </c>
      <c r="HG84" s="20">
        <v>6</v>
      </c>
      <c r="HH84" s="20">
        <v>36</v>
      </c>
      <c r="HI84" s="20">
        <v>8</v>
      </c>
      <c r="HJ84" s="20">
        <v>8</v>
      </c>
      <c r="HK84" s="20">
        <v>0</v>
      </c>
      <c r="HL84" s="20">
        <v>4</v>
      </c>
      <c r="HM84" s="20">
        <v>26</v>
      </c>
      <c r="HN84" s="20">
        <v>0</v>
      </c>
      <c r="HO84" s="20">
        <v>12</v>
      </c>
      <c r="HP84" s="20">
        <v>28</v>
      </c>
      <c r="HQ84" s="20">
        <v>0</v>
      </c>
      <c r="HR84" s="20">
        <v>0</v>
      </c>
      <c r="HS84" s="20">
        <v>30</v>
      </c>
      <c r="HT84" s="20">
        <v>2</v>
      </c>
      <c r="HU84" s="20">
        <v>2</v>
      </c>
      <c r="HV84" s="20">
        <v>0</v>
      </c>
      <c r="HW84" s="20">
        <v>4</v>
      </c>
      <c r="HX84" s="20">
        <v>20</v>
      </c>
      <c r="HY84" s="20">
        <v>0</v>
      </c>
      <c r="HZ84" s="20">
        <v>6</v>
      </c>
      <c r="IA84" s="20">
        <v>6</v>
      </c>
      <c r="IB84" s="20">
        <v>0</v>
      </c>
      <c r="IC84" s="20">
        <v>10</v>
      </c>
      <c r="ID84" s="20">
        <v>24</v>
      </c>
      <c r="JI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84,$JT$2:$KS$2,0),MATCH($W$65,$AH$22:$AH$47,0)))*C84</f>
        <v>0</v>
      </c>
      <c r="JJ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84,$JT$2:$KS$2,0),MATCH($W$65,$AH$22:$AH$47,0)))*C84</f>
        <v>0</v>
      </c>
      <c r="JK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84,$JT$2:$KS$2,0),MATCH($W$65,$AH$22:$AH$47,0)))*C84</f>
        <v>0</v>
      </c>
      <c r="JL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84,$JT$2:$KS$2,0),MATCH($W$65,$AH$22:$AH$47,0)))*C84</f>
        <v>0</v>
      </c>
      <c r="JM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84,$JT$2:$KS$2,0),MATCH($W$65,$AH$22:$AH$47,0)))*C84</f>
        <v>0</v>
      </c>
      <c r="JN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84,$JT$2:$KS$2,0),MATCH($W$65,$AH$22:$AH$47,0)))*C84</f>
        <v>0</v>
      </c>
      <c r="JO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84,$JT$2:$KS$2,0),MATCH($W$65,$AH$22:$AH$47,0)))*C84</f>
        <v>0</v>
      </c>
      <c r="JP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84,$JT$2:$KS$2,0),MATCH($W$65,$AH$22:$AH$47,0)))*C84</f>
        <v>0</v>
      </c>
      <c r="JQ8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84,$JT$2:$KS$2,0),MATCH($W$65,$AH$22:$AH$47,0)))*C84</f>
        <v>0</v>
      </c>
      <c r="JS84" s="26"/>
      <c r="JT84" s="20"/>
      <c r="JU84" s="20"/>
      <c r="JV84" s="20"/>
      <c r="JW84" s="20"/>
      <c r="JX84" s="20"/>
      <c r="JY84" s="20"/>
      <c r="JZ84" s="20"/>
      <c r="KA84" s="20"/>
      <c r="KB84" s="20"/>
      <c r="KC84" s="20"/>
      <c r="KD84" s="20"/>
      <c r="KE84" s="20"/>
      <c r="KF84" s="20"/>
      <c r="KG84" s="20"/>
      <c r="KH84" s="20"/>
      <c r="KI84" s="20"/>
      <c r="KJ84" s="20"/>
      <c r="KK84" s="20"/>
      <c r="KL84" s="20"/>
      <c r="KM84" s="20"/>
      <c r="KN84" s="20"/>
      <c r="KO84" s="20"/>
      <c r="KP84" s="20"/>
      <c r="KQ84" s="20"/>
      <c r="KR84" s="20"/>
      <c r="KS84" s="20"/>
      <c r="KU84" s="20"/>
      <c r="KV84" s="20"/>
      <c r="KW84" s="20"/>
      <c r="KX84" s="20"/>
      <c r="KY84" s="20"/>
      <c r="KZ84" s="20"/>
      <c r="LA84" s="20"/>
      <c r="LB84" s="20"/>
      <c r="LC84" s="20"/>
      <c r="LD84" s="20"/>
      <c r="LE84" s="20"/>
      <c r="LF84" s="20"/>
      <c r="LG84" s="20"/>
      <c r="LH84" s="20"/>
      <c r="LI84" s="20"/>
      <c r="LJ84" s="20"/>
      <c r="LK84" s="20"/>
      <c r="LL84" s="20"/>
      <c r="LM84" s="20"/>
      <c r="LN84" s="20"/>
      <c r="LO84" s="20"/>
      <c r="LP84" s="20"/>
      <c r="LQ84" s="20"/>
      <c r="LR84" s="20"/>
      <c r="LS84" s="20"/>
      <c r="LT84" s="20"/>
      <c r="LU84" s="20"/>
      <c r="LW84" s="20"/>
      <c r="LX84" s="20"/>
      <c r="LY84" s="20"/>
      <c r="LZ84" s="20"/>
      <c r="MA84" s="20"/>
      <c r="MB84" s="20"/>
      <c r="MC84" s="20"/>
      <c r="MD84" s="20"/>
      <c r="ME84" s="20"/>
      <c r="MF84" s="20"/>
      <c r="MG84" s="20"/>
      <c r="MH84" s="20"/>
      <c r="MI84" s="20"/>
      <c r="MJ84" s="20"/>
      <c r="MK84" s="20"/>
      <c r="ML84" s="20"/>
      <c r="MM84" s="20"/>
      <c r="MN84" s="20"/>
      <c r="MO84" s="20"/>
      <c r="MP84" s="20"/>
      <c r="MQ84" s="20"/>
      <c r="MR84" s="20"/>
      <c r="MS84" s="20"/>
      <c r="MT84" s="20"/>
      <c r="MU84" s="20"/>
      <c r="MV84" s="20"/>
      <c r="MW84" s="20"/>
    </row>
    <row r="85" spans="1:389" x14ac:dyDescent="0.25">
      <c r="A85" s="8"/>
      <c r="B85" s="5" t="s">
        <v>116</v>
      </c>
      <c r="C85" s="8"/>
      <c r="D85" s="6" t="s">
        <v>709</v>
      </c>
      <c r="E85" s="8" t="s">
        <v>781</v>
      </c>
      <c r="F85" s="359" t="str">
        <f>IF(E85="30x32 alu","możliwość stosowania w 1 strefie wiatrowej oraz 1,2,3 strefie śniegowej przy max. rozstawie podpór wynoszącym 0,8m","")</f>
        <v/>
      </c>
      <c r="G85" s="359"/>
      <c r="H85" s="359"/>
      <c r="I85" s="359"/>
      <c r="J85" s="4"/>
      <c r="K85" s="4"/>
      <c r="L85" s="6" t="str">
        <f>IF($E$85=$AK$22,"PAL40H40/3,6",IF($E$85=$AK$23,"-------",IF($E$85=$AK$24,"-------","-------")))</f>
        <v>PAL40H40/3,6</v>
      </c>
      <c r="M85" s="14">
        <f>INDEX(cennik!$C$2:$L$529,MATCH($L85,cennik!$B$2:$B$522,0),MATCH(M$27,cennik!$C$1:$L$1,0))</f>
        <v>894636</v>
      </c>
      <c r="N85" s="14" t="str">
        <f>INDEX(cennik!$C$2:$L$529,MATCH($L85,cennik!$B$2:$B$522,0),MATCH(N$27,cennik!$C$1:$L$1,0))</f>
        <v>szt.</v>
      </c>
      <c r="O85" s="14">
        <f>IF(L85="-------",0,SUM(JP78:JP93))</f>
        <v>2</v>
      </c>
      <c r="P85" s="22">
        <f>INDEX(cennik!$C$2:$L$529,MATCH($L85,cennik!$B$2:$B$522,0),MATCH(P$27,cennik!$C$1:$L$1,0))</f>
        <v>111.6</v>
      </c>
      <c r="Q85" s="22">
        <f t="shared" ref="Q85:Q86" si="85">O85*P85</f>
        <v>223.2</v>
      </c>
      <c r="R85" s="23">
        <f t="shared" si="83"/>
        <v>0</v>
      </c>
      <c r="S85" s="22">
        <f t="shared" si="84"/>
        <v>111.6</v>
      </c>
      <c r="T85" s="22">
        <f t="shared" ref="T85:T86" si="86">O85*S85</f>
        <v>223.2</v>
      </c>
      <c r="U85" s="22">
        <f>INDEX(cennik!$C$2:$L$529,MATCH($L85,cennik!$B$2:$B$522,0),MATCH(U$27,cennik!$C$1:$L$1,0))*O85</f>
        <v>6.6959999999999997</v>
      </c>
      <c r="V85" s="20"/>
      <c r="AE85" s="20"/>
      <c r="AF85" s="20"/>
      <c r="AG85" s="20"/>
      <c r="AH85" s="20"/>
      <c r="AI85" s="20"/>
      <c r="AJ85" s="20"/>
      <c r="AK85" s="20"/>
      <c r="AL85" s="20"/>
      <c r="AM85" s="20"/>
      <c r="AN85" s="20"/>
      <c r="AO85" s="20"/>
      <c r="AP85" s="20"/>
      <c r="AQ85" s="20"/>
      <c r="AR85" s="20"/>
      <c r="AS85" s="20"/>
      <c r="AT85" s="20"/>
      <c r="AU85" s="20"/>
      <c r="AV85" s="20"/>
      <c r="AW85" s="20"/>
      <c r="AX85" s="20"/>
      <c r="AY85" s="20"/>
      <c r="AZ85" s="20"/>
      <c r="BA85" s="21" t="s">
        <v>520</v>
      </c>
      <c r="BB85" s="21">
        <v>0</v>
      </c>
      <c r="BC85" s="21">
        <v>0</v>
      </c>
      <c r="BD85" s="21">
        <v>0</v>
      </c>
      <c r="BE85" s="21">
        <v>0</v>
      </c>
      <c r="BF85" s="21">
        <v>0</v>
      </c>
      <c r="BG85" s="21">
        <v>0</v>
      </c>
      <c r="BH85" s="21">
        <v>0</v>
      </c>
      <c r="BI85" s="21">
        <v>2</v>
      </c>
      <c r="BJ85" s="21">
        <v>6</v>
      </c>
      <c r="BK85" s="21">
        <v>6</v>
      </c>
      <c r="BL85" s="21">
        <v>0</v>
      </c>
      <c r="BM85" s="21">
        <v>0</v>
      </c>
      <c r="BN85" s="21">
        <v>0</v>
      </c>
      <c r="BO85" s="21">
        <v>4</v>
      </c>
      <c r="BP85" s="21">
        <v>4</v>
      </c>
      <c r="BQ85" s="21">
        <v>8</v>
      </c>
      <c r="BR85" s="21">
        <v>10</v>
      </c>
      <c r="BS85" s="21">
        <v>10</v>
      </c>
      <c r="BT85" s="21">
        <v>2</v>
      </c>
      <c r="BU85" s="21">
        <v>2</v>
      </c>
      <c r="BV85" s="21">
        <v>6</v>
      </c>
      <c r="BW85" s="21">
        <v>8</v>
      </c>
      <c r="BX85" s="21">
        <v>6</v>
      </c>
      <c r="BY85" s="21">
        <v>0</v>
      </c>
      <c r="BZ85" s="21">
        <v>16</v>
      </c>
      <c r="CA85" s="21">
        <v>4</v>
      </c>
      <c r="DA85" s="54"/>
      <c r="DB85" s="54"/>
      <c r="DC85" s="54"/>
      <c r="DD85" s="26" t="s">
        <v>710</v>
      </c>
      <c r="DE85" s="20">
        <v>0</v>
      </c>
      <c r="DF85" s="20"/>
      <c r="DG85" s="20"/>
      <c r="DH85" s="20"/>
      <c r="DI85" s="20"/>
      <c r="DJ85" s="20"/>
      <c r="DK85" s="20"/>
      <c r="DL85" s="20"/>
      <c r="DM85" s="20"/>
      <c r="DN85" s="20"/>
      <c r="DO85" s="20"/>
      <c r="DP85" s="20"/>
      <c r="DQ85" s="20"/>
      <c r="DR85" s="20"/>
      <c r="DS85" s="20"/>
      <c r="DT85" s="20"/>
      <c r="DU85" s="20"/>
      <c r="DV85" s="20"/>
      <c r="DW85" s="20"/>
      <c r="DX85" s="20"/>
      <c r="DY85" s="20"/>
      <c r="DZ85" s="20"/>
      <c r="EA85" s="20"/>
      <c r="EB85" s="26" t="s">
        <v>520</v>
      </c>
      <c r="EC85" s="20">
        <v>0</v>
      </c>
      <c r="ED85" s="20">
        <v>0</v>
      </c>
      <c r="EE85" s="20">
        <v>0</v>
      </c>
      <c r="EF85" s="20">
        <v>0</v>
      </c>
      <c r="EG85" s="20">
        <v>2</v>
      </c>
      <c r="EH85" s="20">
        <v>0</v>
      </c>
      <c r="EI85" s="20">
        <v>0</v>
      </c>
      <c r="EJ85" s="20">
        <v>8</v>
      </c>
      <c r="EK85" s="20">
        <v>6</v>
      </c>
      <c r="EL85" s="20">
        <v>0</v>
      </c>
      <c r="EM85" s="20">
        <v>0</v>
      </c>
      <c r="EN85" s="20">
        <v>10</v>
      </c>
      <c r="EO85" s="20">
        <v>6</v>
      </c>
      <c r="EP85" s="20">
        <v>6</v>
      </c>
      <c r="EQ85" s="20">
        <v>16</v>
      </c>
      <c r="ER85" s="20">
        <v>0</v>
      </c>
      <c r="ES85" s="20">
        <v>10</v>
      </c>
      <c r="ET85" s="20">
        <v>8</v>
      </c>
      <c r="EU85" s="20">
        <v>6</v>
      </c>
      <c r="EV85" s="20">
        <v>16</v>
      </c>
      <c r="EW85" s="20">
        <v>0</v>
      </c>
      <c r="EX85" s="20">
        <v>24</v>
      </c>
      <c r="EY85" s="20">
        <v>16</v>
      </c>
      <c r="EZ85" s="20">
        <v>6</v>
      </c>
      <c r="FA85" s="20">
        <v>16</v>
      </c>
      <c r="FB85" s="20">
        <v>0</v>
      </c>
      <c r="FC85" s="20">
        <v>24</v>
      </c>
      <c r="FD85" s="20">
        <v>8</v>
      </c>
      <c r="FE85" s="20">
        <v>32</v>
      </c>
      <c r="FF85" s="20">
        <v>16</v>
      </c>
      <c r="FG85" s="20">
        <v>0</v>
      </c>
      <c r="FH85" s="20">
        <v>24</v>
      </c>
      <c r="FI85" s="20">
        <v>26</v>
      </c>
      <c r="FJ85" s="20">
        <v>32</v>
      </c>
      <c r="FK85" s="20">
        <v>16</v>
      </c>
      <c r="FL85" s="20">
        <v>40</v>
      </c>
      <c r="FM85" s="20">
        <v>38</v>
      </c>
      <c r="FN85" s="20">
        <v>42</v>
      </c>
      <c r="FO85" s="20">
        <v>32</v>
      </c>
      <c r="FP85" s="20">
        <v>16</v>
      </c>
      <c r="FQ85" s="20">
        <v>42</v>
      </c>
      <c r="FR85" s="20">
        <v>38</v>
      </c>
      <c r="FS85" s="20">
        <v>48</v>
      </c>
      <c r="FT85" s="20">
        <v>46</v>
      </c>
      <c r="FU85" s="20">
        <v>50</v>
      </c>
      <c r="FV85" s="20">
        <v>42</v>
      </c>
      <c r="FW85" s="20">
        <v>24</v>
      </c>
      <c r="FX85" s="20">
        <v>50</v>
      </c>
      <c r="FY85" s="20">
        <v>46</v>
      </c>
      <c r="FZ85" s="20">
        <v>56</v>
      </c>
      <c r="GA85" s="20">
        <v>42</v>
      </c>
      <c r="GC85" s="20"/>
      <c r="GD85" s="20"/>
      <c r="GE85" s="26" t="s">
        <v>520</v>
      </c>
      <c r="GF85" s="20">
        <v>0</v>
      </c>
      <c r="GG85" s="20">
        <v>0</v>
      </c>
      <c r="GH85" s="20">
        <v>0</v>
      </c>
      <c r="GI85" s="20">
        <v>2</v>
      </c>
      <c r="GJ85" s="20">
        <v>2</v>
      </c>
      <c r="GK85" s="20">
        <v>2</v>
      </c>
      <c r="GL85" s="20">
        <v>4</v>
      </c>
      <c r="GM85" s="20">
        <v>4</v>
      </c>
      <c r="GN85" s="20">
        <v>2</v>
      </c>
      <c r="GO85" s="20">
        <v>4</v>
      </c>
      <c r="GP85" s="20">
        <v>6</v>
      </c>
      <c r="GQ85" s="20">
        <v>4</v>
      </c>
      <c r="GR85" s="20">
        <v>4</v>
      </c>
      <c r="GS85" s="20">
        <v>6</v>
      </c>
      <c r="GT85" s="20">
        <v>8</v>
      </c>
      <c r="GU85" s="20">
        <v>8</v>
      </c>
      <c r="GV85" s="20">
        <v>8</v>
      </c>
      <c r="GW85" s="20">
        <v>22</v>
      </c>
      <c r="GX85" s="20">
        <v>10</v>
      </c>
      <c r="GY85" s="20">
        <v>10</v>
      </c>
      <c r="GZ85" s="20">
        <v>24</v>
      </c>
      <c r="HA85" s="20">
        <v>12</v>
      </c>
      <c r="HB85" s="20">
        <v>18</v>
      </c>
      <c r="HC85" s="20">
        <v>26</v>
      </c>
      <c r="HD85" s="20">
        <v>14</v>
      </c>
      <c r="HE85" s="20">
        <v>0</v>
      </c>
      <c r="HF85" s="20">
        <v>28</v>
      </c>
      <c r="HG85" s="20">
        <v>28</v>
      </c>
      <c r="HH85" s="20">
        <v>2</v>
      </c>
      <c r="HI85" s="20">
        <v>30</v>
      </c>
      <c r="HJ85" s="20">
        <v>30</v>
      </c>
      <c r="HK85" s="20">
        <v>40</v>
      </c>
      <c r="HL85" s="20">
        <v>36</v>
      </c>
      <c r="HM85" s="20">
        <v>18</v>
      </c>
      <c r="HN85" s="20">
        <v>44</v>
      </c>
      <c r="HO85" s="20">
        <v>34</v>
      </c>
      <c r="HP85" s="20">
        <v>20</v>
      </c>
      <c r="HQ85" s="20">
        <v>48</v>
      </c>
      <c r="HR85" s="20">
        <v>48</v>
      </c>
      <c r="HS85" s="20">
        <v>22</v>
      </c>
      <c r="HT85" s="20">
        <v>50</v>
      </c>
      <c r="HU85" s="20">
        <v>50</v>
      </c>
      <c r="HV85" s="20">
        <v>54</v>
      </c>
      <c r="HW85" s="20">
        <v>52</v>
      </c>
      <c r="HX85" s="20">
        <v>38</v>
      </c>
      <c r="HY85" s="20">
        <v>58</v>
      </c>
      <c r="HZ85" s="20">
        <v>54</v>
      </c>
      <c r="IA85" s="20">
        <v>54</v>
      </c>
      <c r="IB85" s="20">
        <v>62</v>
      </c>
      <c r="IC85" s="20">
        <v>54</v>
      </c>
      <c r="ID85" s="20">
        <v>42</v>
      </c>
      <c r="JI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85,$JT$2:$KS$2,0),MATCH($W$65,$AH$22:$AH$47,0)))*C85</f>
        <v>0</v>
      </c>
      <c r="JJ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85,$JT$2:$KS$2,0),MATCH($W$65,$AH$22:$AH$47,0)))*C85</f>
        <v>0</v>
      </c>
      <c r="JK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85,$JT$2:$KS$2,0),MATCH($W$65,$AH$22:$AH$47,0)))*C85</f>
        <v>0</v>
      </c>
      <c r="JL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85,$JT$2:$KS$2,0),MATCH($W$65,$AH$22:$AH$47,0)))*C85</f>
        <v>0</v>
      </c>
      <c r="JM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85,$JT$2:$KS$2,0),MATCH($W$65,$AH$22:$AH$47,0)))*C85</f>
        <v>0</v>
      </c>
      <c r="JN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85,$JT$2:$KS$2,0),MATCH($W$65,$AH$22:$AH$47,0)))*C85</f>
        <v>0</v>
      </c>
      <c r="JO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85,$JT$2:$KS$2,0),MATCH($W$65,$AH$22:$AH$47,0)))*C85</f>
        <v>0</v>
      </c>
      <c r="JP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85,$JT$2:$KS$2,0),MATCH($W$65,$AH$22:$AH$47,0)))*C85</f>
        <v>0</v>
      </c>
      <c r="JQ8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85,$JT$2:$KS$2,0),MATCH($W$65,$AH$22:$AH$47,0)))*C85</f>
        <v>0</v>
      </c>
      <c r="JS85" s="20" t="s">
        <v>713</v>
      </c>
      <c r="JT85" s="20"/>
      <c r="JU85" s="20"/>
      <c r="JV85" s="20"/>
      <c r="JW85" s="20"/>
      <c r="JX85" s="20"/>
      <c r="JY85" s="20"/>
      <c r="JZ85" s="20"/>
      <c r="KA85" s="20"/>
      <c r="KB85" s="20"/>
      <c r="KC85" s="20"/>
      <c r="KD85" s="20"/>
      <c r="KE85" s="20"/>
      <c r="KF85" s="20"/>
      <c r="KG85" s="20"/>
      <c r="KH85" s="20"/>
      <c r="KI85" s="20"/>
      <c r="KJ85" s="20"/>
      <c r="KK85" s="20"/>
      <c r="KL85" s="20"/>
      <c r="KM85" s="20"/>
      <c r="KN85" s="20"/>
      <c r="KO85" s="20"/>
      <c r="KP85" s="20"/>
      <c r="KQ85" s="20"/>
      <c r="KR85" s="20"/>
      <c r="KS85" s="20"/>
      <c r="KU85" s="20" t="s">
        <v>472</v>
      </c>
      <c r="KV85" s="20"/>
      <c r="KW85" s="20"/>
      <c r="KX85" s="20"/>
      <c r="KY85" s="20"/>
      <c r="KZ85" s="20"/>
      <c r="LA85" s="20"/>
      <c r="LB85" s="20"/>
      <c r="LC85" s="20"/>
      <c r="LD85" s="20"/>
      <c r="LE85" s="20"/>
      <c r="LF85" s="20"/>
      <c r="LG85" s="20"/>
      <c r="LH85" s="20"/>
      <c r="LI85" s="20"/>
      <c r="LJ85" s="20"/>
      <c r="LK85" s="20"/>
      <c r="LL85" s="20"/>
      <c r="LM85" s="20"/>
      <c r="LN85" s="20"/>
      <c r="LO85" s="20"/>
      <c r="LP85" s="20"/>
      <c r="LQ85" s="20"/>
      <c r="LR85" s="20"/>
      <c r="LS85" s="20"/>
      <c r="LT85" s="20"/>
      <c r="LU85" s="20"/>
      <c r="LW85" s="20" t="s">
        <v>138</v>
      </c>
      <c r="LX85" s="20"/>
      <c r="LY85" s="20"/>
      <c r="LZ85" s="20"/>
      <c r="MA85" s="20"/>
      <c r="MB85" s="20"/>
      <c r="MC85" s="20"/>
      <c r="MD85" s="20"/>
      <c r="ME85" s="20"/>
      <c r="MF85" s="20"/>
      <c r="MG85" s="20"/>
      <c r="MH85" s="20"/>
      <c r="MI85" s="20"/>
      <c r="MJ85" s="20"/>
      <c r="MK85" s="20"/>
      <c r="ML85" s="20"/>
      <c r="MM85" s="20"/>
      <c r="MN85" s="20"/>
      <c r="MO85" s="20"/>
      <c r="MP85" s="20"/>
      <c r="MQ85" s="20"/>
      <c r="MR85" s="20"/>
      <c r="MS85" s="20"/>
      <c r="MT85" s="20"/>
      <c r="MU85" s="20"/>
      <c r="MV85" s="20"/>
      <c r="MW85" s="20"/>
    </row>
    <row r="86" spans="1:389" x14ac:dyDescent="0.25">
      <c r="A86" s="8"/>
      <c r="B86" s="5" t="s">
        <v>116</v>
      </c>
      <c r="C86" s="8"/>
      <c r="D86" s="6" t="s">
        <v>785</v>
      </c>
      <c r="E86" s="8">
        <v>0</v>
      </c>
      <c r="F86" s="359"/>
      <c r="G86" s="359"/>
      <c r="H86" s="359"/>
      <c r="I86" s="359"/>
      <c r="J86" s="5" t="s">
        <v>509</v>
      </c>
      <c r="K86" s="4"/>
      <c r="L86" s="6" t="str">
        <f>IF($E$85=$AK$22,"PAL40H40/4,4",IF($E$85=$AK$23,"-------",IF($E$85=$AK$24,"-------","-------")))</f>
        <v>PAL40H40/4,4</v>
      </c>
      <c r="M86" s="14">
        <f>INDEX(cennik!$C$2:$L$529,MATCH($L86,cennik!$B$2:$B$522,0),MATCH(M$27,cennik!$C$1:$L$1,0))</f>
        <v>894644</v>
      </c>
      <c r="N86" s="14" t="str">
        <f>INDEX(cennik!$C$2:$L$529,MATCH($L86,cennik!$B$2:$B$522,0),MATCH(N$27,cennik!$C$1:$L$1,0))</f>
        <v>szt.</v>
      </c>
      <c r="O86" s="14">
        <f>IF(L86="-------",0,SUM(JQ78:JQ93))</f>
        <v>0</v>
      </c>
      <c r="P86" s="22">
        <f>INDEX(cennik!$C$2:$L$529,MATCH($L86,cennik!$B$2:$B$522,0),MATCH(P$27,cennik!$C$1:$L$1,0))</f>
        <v>140.80000000000001</v>
      </c>
      <c r="Q86" s="22">
        <f t="shared" si="85"/>
        <v>0</v>
      </c>
      <c r="R86" s="23">
        <f t="shared" si="83"/>
        <v>0</v>
      </c>
      <c r="S86" s="22">
        <f t="shared" si="84"/>
        <v>140.80000000000001</v>
      </c>
      <c r="T86" s="22">
        <f t="shared" si="86"/>
        <v>0</v>
      </c>
      <c r="U86" s="22">
        <f>INDEX(cennik!$C$2:$L$529,MATCH($L86,cennik!$B$2:$B$522,0),MATCH(U$27,cennik!$C$1:$L$1,0))*O86</f>
        <v>0</v>
      </c>
      <c r="V86" s="20"/>
      <c r="W86" s="27" t="s">
        <v>160</v>
      </c>
      <c r="X86" s="27" t="s">
        <v>4</v>
      </c>
      <c r="Y86" s="358" t="s">
        <v>160</v>
      </c>
      <c r="Z86" s="358"/>
      <c r="AA86" s="358"/>
      <c r="AB86" s="358"/>
      <c r="AC86" s="358"/>
      <c r="AD86" s="358"/>
      <c r="AE86" s="20"/>
      <c r="AF86" s="20"/>
      <c r="AG86" s="20"/>
      <c r="AH86" s="20"/>
      <c r="AI86" s="20"/>
      <c r="AJ86" s="20"/>
      <c r="AK86" s="20"/>
      <c r="AL86" s="20"/>
      <c r="AM86" s="20"/>
      <c r="AN86" s="20"/>
      <c r="AO86" s="20"/>
      <c r="AP86" s="20"/>
      <c r="AQ86" s="20"/>
      <c r="AR86" s="20"/>
      <c r="AS86" s="20"/>
      <c r="AT86" s="20"/>
      <c r="AU86" s="20"/>
      <c r="AV86" s="20"/>
      <c r="AW86" s="20"/>
      <c r="AX86" s="20"/>
      <c r="AY86" s="20"/>
      <c r="AZ86" s="20"/>
      <c r="BA86" s="21" t="s">
        <v>521</v>
      </c>
      <c r="BB86" s="21">
        <v>0</v>
      </c>
      <c r="BC86" s="21">
        <v>0</v>
      </c>
      <c r="BD86" s="21">
        <v>0</v>
      </c>
      <c r="BE86" s="21">
        <v>4</v>
      </c>
      <c r="BF86" s="21">
        <v>4</v>
      </c>
      <c r="BG86" s="21">
        <v>4</v>
      </c>
      <c r="BH86" s="21">
        <v>8</v>
      </c>
      <c r="BI86" s="21">
        <v>8</v>
      </c>
      <c r="BJ86" s="21">
        <v>8</v>
      </c>
      <c r="BK86" s="21">
        <v>12</v>
      </c>
      <c r="BL86" s="21">
        <v>12</v>
      </c>
      <c r="BM86" s="21">
        <v>16</v>
      </c>
      <c r="BN86" s="21">
        <v>16</v>
      </c>
      <c r="BO86" s="21">
        <v>16</v>
      </c>
      <c r="BP86" s="21">
        <v>20</v>
      </c>
      <c r="BQ86" s="21">
        <v>20</v>
      </c>
      <c r="BR86" s="21">
        <v>20</v>
      </c>
      <c r="BS86" s="21">
        <v>24</v>
      </c>
      <c r="BT86" s="21">
        <v>24</v>
      </c>
      <c r="BU86" s="21">
        <v>28</v>
      </c>
      <c r="BV86" s="21">
        <v>28</v>
      </c>
      <c r="BW86" s="21">
        <v>28</v>
      </c>
      <c r="BX86" s="21">
        <v>32</v>
      </c>
      <c r="BY86" s="21">
        <v>32</v>
      </c>
      <c r="BZ86" s="21">
        <v>32</v>
      </c>
      <c r="CA86" s="21">
        <v>36</v>
      </c>
      <c r="DA86" s="54"/>
      <c r="DB86" s="54"/>
      <c r="DC86" s="54"/>
      <c r="DD86" s="26" t="s">
        <v>711</v>
      </c>
      <c r="DE86" s="20">
        <v>0</v>
      </c>
      <c r="DF86" s="20"/>
      <c r="DG86" s="20"/>
      <c r="DH86" s="20"/>
      <c r="DI86" s="20"/>
      <c r="DJ86" s="20"/>
      <c r="DK86" s="20"/>
      <c r="DL86" s="20"/>
      <c r="DM86" s="20"/>
      <c r="DN86" s="20"/>
      <c r="DO86" s="20"/>
      <c r="DP86" s="20"/>
      <c r="DQ86" s="20"/>
      <c r="DR86" s="20"/>
      <c r="DS86" s="20"/>
      <c r="DT86" s="20"/>
      <c r="DU86" s="20"/>
      <c r="DV86" s="20"/>
      <c r="DW86" s="20"/>
      <c r="DX86" s="20"/>
      <c r="DY86" s="20"/>
      <c r="DZ86" s="20"/>
      <c r="EA86" s="20"/>
      <c r="EB86" s="26" t="s">
        <v>521</v>
      </c>
      <c r="EC86" s="20">
        <v>0</v>
      </c>
      <c r="ED86" s="20">
        <v>0</v>
      </c>
      <c r="EE86" s="20">
        <v>4</v>
      </c>
      <c r="EF86" s="20">
        <v>4</v>
      </c>
      <c r="EG86" s="20">
        <v>8</v>
      </c>
      <c r="EH86" s="20">
        <v>8</v>
      </c>
      <c r="EI86" s="20">
        <v>12</v>
      </c>
      <c r="EJ86" s="20">
        <v>12</v>
      </c>
      <c r="EK86" s="20">
        <v>16</v>
      </c>
      <c r="EL86" s="20">
        <v>20</v>
      </c>
      <c r="EM86" s="20">
        <v>20</v>
      </c>
      <c r="EN86" s="20">
        <v>24</v>
      </c>
      <c r="EO86" s="20">
        <v>24</v>
      </c>
      <c r="EP86" s="20">
        <v>28</v>
      </c>
      <c r="EQ86" s="20">
        <v>28</v>
      </c>
      <c r="ER86" s="20">
        <v>32</v>
      </c>
      <c r="ES86" s="20">
        <v>36</v>
      </c>
      <c r="ET86" s="20">
        <v>36</v>
      </c>
      <c r="EU86" s="20">
        <v>40</v>
      </c>
      <c r="EV86" s="20">
        <v>40</v>
      </c>
      <c r="EW86" s="20">
        <v>44</v>
      </c>
      <c r="EX86" s="20">
        <v>44</v>
      </c>
      <c r="EY86" s="20">
        <v>48</v>
      </c>
      <c r="EZ86" s="20">
        <v>52</v>
      </c>
      <c r="FA86" s="20">
        <v>52</v>
      </c>
      <c r="FB86" s="20">
        <v>56</v>
      </c>
      <c r="FC86" s="20">
        <v>56</v>
      </c>
      <c r="FD86" s="20">
        <v>60</v>
      </c>
      <c r="FE86" s="20">
        <v>60</v>
      </c>
      <c r="FF86" s="20">
        <v>64</v>
      </c>
      <c r="FG86" s="20">
        <v>68</v>
      </c>
      <c r="FH86" s="20">
        <v>68</v>
      </c>
      <c r="FI86" s="20">
        <v>72</v>
      </c>
      <c r="FJ86" s="20">
        <v>72</v>
      </c>
      <c r="FK86" s="20">
        <v>76</v>
      </c>
      <c r="FL86" s="20">
        <v>76</v>
      </c>
      <c r="FM86" s="20">
        <v>80</v>
      </c>
      <c r="FN86" s="20">
        <v>80</v>
      </c>
      <c r="FO86" s="20">
        <v>84</v>
      </c>
      <c r="FP86" s="20">
        <v>88</v>
      </c>
      <c r="FQ86" s="20">
        <v>88</v>
      </c>
      <c r="FR86" s="20">
        <v>92</v>
      </c>
      <c r="FS86" s="20">
        <v>92</v>
      </c>
      <c r="FT86" s="20">
        <v>96</v>
      </c>
      <c r="FU86" s="20">
        <v>96</v>
      </c>
      <c r="FV86" s="20">
        <v>100</v>
      </c>
      <c r="FW86" s="20">
        <v>104</v>
      </c>
      <c r="FX86" s="20">
        <v>104</v>
      </c>
      <c r="FY86" s="20">
        <v>108</v>
      </c>
      <c r="FZ86" s="20">
        <v>108</v>
      </c>
      <c r="GA86" s="20">
        <v>112</v>
      </c>
      <c r="GC86" s="20"/>
      <c r="GD86" s="20"/>
      <c r="GE86" s="26" t="s">
        <v>521</v>
      </c>
      <c r="GF86" s="20">
        <v>0</v>
      </c>
      <c r="GG86" s="20">
        <v>0</v>
      </c>
      <c r="GH86" s="20">
        <v>4</v>
      </c>
      <c r="GI86" s="20">
        <v>4</v>
      </c>
      <c r="GJ86" s="20">
        <v>8</v>
      </c>
      <c r="GK86" s="20">
        <v>12</v>
      </c>
      <c r="GL86" s="20">
        <v>12</v>
      </c>
      <c r="GM86" s="20">
        <v>16</v>
      </c>
      <c r="GN86" s="20">
        <v>20</v>
      </c>
      <c r="GO86" s="20">
        <v>20</v>
      </c>
      <c r="GP86" s="20">
        <v>24</v>
      </c>
      <c r="GQ86" s="20">
        <v>28</v>
      </c>
      <c r="GR86" s="20">
        <v>28</v>
      </c>
      <c r="GS86" s="20">
        <v>32</v>
      </c>
      <c r="GT86" s="20">
        <v>36</v>
      </c>
      <c r="GU86" s="20">
        <v>36</v>
      </c>
      <c r="GV86" s="20">
        <v>40</v>
      </c>
      <c r="GW86" s="20">
        <v>40</v>
      </c>
      <c r="GX86" s="20">
        <v>44</v>
      </c>
      <c r="GY86" s="20">
        <v>48</v>
      </c>
      <c r="GZ86" s="20">
        <v>48</v>
      </c>
      <c r="HA86" s="20">
        <v>52</v>
      </c>
      <c r="HB86" s="20">
        <v>56</v>
      </c>
      <c r="HC86" s="20">
        <v>56</v>
      </c>
      <c r="HD86" s="20">
        <v>60</v>
      </c>
      <c r="HE86" s="20">
        <v>64</v>
      </c>
      <c r="HF86" s="20">
        <v>64</v>
      </c>
      <c r="HG86" s="20">
        <v>68</v>
      </c>
      <c r="HH86" s="20">
        <v>72</v>
      </c>
      <c r="HI86" s="20">
        <v>72</v>
      </c>
      <c r="HJ86" s="20">
        <v>76</v>
      </c>
      <c r="HK86" s="20">
        <v>76</v>
      </c>
      <c r="HL86" s="20">
        <v>80</v>
      </c>
      <c r="HM86" s="20">
        <v>84</v>
      </c>
      <c r="HN86" s="20">
        <v>84</v>
      </c>
      <c r="HO86" s="20">
        <v>88</v>
      </c>
      <c r="HP86" s="20">
        <v>92</v>
      </c>
      <c r="HQ86" s="20">
        <v>92</v>
      </c>
      <c r="HR86" s="20">
        <v>96</v>
      </c>
      <c r="HS86" s="20">
        <v>100</v>
      </c>
      <c r="HT86" s="20">
        <v>100</v>
      </c>
      <c r="HU86" s="20">
        <v>104</v>
      </c>
      <c r="HV86" s="20">
        <v>104</v>
      </c>
      <c r="HW86" s="20">
        <v>108</v>
      </c>
      <c r="HX86" s="20">
        <v>112</v>
      </c>
      <c r="HY86" s="20">
        <v>112</v>
      </c>
      <c r="HZ86" s="20">
        <v>116</v>
      </c>
      <c r="IA86" s="20">
        <v>120</v>
      </c>
      <c r="IB86" s="20">
        <v>120</v>
      </c>
      <c r="IC86" s="20">
        <v>124</v>
      </c>
      <c r="ID86" s="20">
        <v>128</v>
      </c>
      <c r="JI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86,$JT$2:$KS$2,0),MATCH($W$65,$AH$22:$AH$47,0)))*C86</f>
        <v>0</v>
      </c>
      <c r="JJ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86,$JT$2:$KS$2,0),MATCH($W$65,$AH$22:$AH$47,0)))*C86</f>
        <v>0</v>
      </c>
      <c r="JK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86,$JT$2:$KS$2,0),MATCH($W$65,$AH$22:$AH$47,0)))*C86</f>
        <v>0</v>
      </c>
      <c r="JL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86,$JT$2:$KS$2,0),MATCH($W$65,$AH$22:$AH$47,0)))*C86</f>
        <v>0</v>
      </c>
      <c r="JM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86,$JT$2:$KS$2,0),MATCH($W$65,$AH$22:$AH$47,0)))*C86</f>
        <v>0</v>
      </c>
      <c r="JN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86,$JT$2:$KS$2,0),MATCH($W$65,$AH$22:$AH$47,0)))*C86</f>
        <v>0</v>
      </c>
      <c r="JO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86,$JT$2:$KS$2,0),MATCH($W$65,$AH$22:$AH$47,0)))*C86</f>
        <v>0</v>
      </c>
      <c r="JP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86,$JT$2:$KS$2,0),MATCH($W$65,$AH$22:$AH$47,0)))*C86</f>
        <v>0</v>
      </c>
      <c r="JQ8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86,$JT$2:$KS$2,0),MATCH($W$65,$AH$22:$AH$47,0)))*C86</f>
        <v>0</v>
      </c>
      <c r="JT86" s="21">
        <v>0</v>
      </c>
      <c r="JU86" s="21">
        <v>1</v>
      </c>
      <c r="JV86" s="21">
        <v>2</v>
      </c>
      <c r="JW86" s="21">
        <v>3</v>
      </c>
      <c r="JX86" s="21">
        <v>4</v>
      </c>
      <c r="JY86" s="21">
        <v>5</v>
      </c>
      <c r="JZ86" s="21">
        <v>6</v>
      </c>
      <c r="KA86" s="21">
        <v>7</v>
      </c>
      <c r="KB86" s="21">
        <v>8</v>
      </c>
      <c r="KC86" s="21">
        <v>9</v>
      </c>
      <c r="KD86" s="21">
        <v>10</v>
      </c>
      <c r="KE86" s="21">
        <v>11</v>
      </c>
      <c r="KF86" s="21">
        <v>12</v>
      </c>
      <c r="KG86" s="21">
        <v>13</v>
      </c>
      <c r="KH86" s="21">
        <v>14</v>
      </c>
      <c r="KI86" s="21">
        <v>15</v>
      </c>
      <c r="KJ86" s="21">
        <v>16</v>
      </c>
      <c r="KK86" s="21">
        <v>17</v>
      </c>
      <c r="KL86" s="21">
        <v>18</v>
      </c>
      <c r="KM86" s="21">
        <v>19</v>
      </c>
      <c r="KN86" s="21">
        <v>20</v>
      </c>
      <c r="KO86" s="21">
        <v>21</v>
      </c>
      <c r="KP86" s="21">
        <v>22</v>
      </c>
      <c r="KQ86" s="21">
        <v>23</v>
      </c>
      <c r="KR86" s="21">
        <v>24</v>
      </c>
      <c r="KS86" s="21">
        <v>25</v>
      </c>
      <c r="KU86" s="20"/>
      <c r="KV86" s="20">
        <v>0</v>
      </c>
      <c r="KW86" s="20">
        <v>1</v>
      </c>
      <c r="KX86" s="20">
        <v>2</v>
      </c>
      <c r="KY86" s="20">
        <v>3</v>
      </c>
      <c r="KZ86" s="20">
        <v>4</v>
      </c>
      <c r="LA86" s="20">
        <v>5</v>
      </c>
      <c r="LB86" s="20">
        <v>6</v>
      </c>
      <c r="LC86" s="20">
        <v>7</v>
      </c>
      <c r="LD86" s="20">
        <v>8</v>
      </c>
      <c r="LE86" s="20">
        <v>9</v>
      </c>
      <c r="LF86" s="20">
        <v>10</v>
      </c>
      <c r="LG86" s="20">
        <v>11</v>
      </c>
      <c r="LH86" s="20">
        <v>12</v>
      </c>
      <c r="LI86" s="20">
        <v>13</v>
      </c>
      <c r="LJ86" s="20">
        <v>14</v>
      </c>
      <c r="LK86" s="20">
        <v>15</v>
      </c>
      <c r="LL86" s="20">
        <v>16</v>
      </c>
      <c r="LM86" s="20">
        <v>17</v>
      </c>
      <c r="LN86" s="20">
        <v>18</v>
      </c>
      <c r="LO86" s="20">
        <v>19</v>
      </c>
      <c r="LP86" s="20">
        <v>20</v>
      </c>
      <c r="LQ86" s="20">
        <v>21</v>
      </c>
      <c r="LR86" s="20">
        <v>22</v>
      </c>
      <c r="LS86" s="20">
        <v>23</v>
      </c>
      <c r="LT86" s="20">
        <v>24</v>
      </c>
      <c r="LU86" s="20">
        <v>25</v>
      </c>
      <c r="LW86" s="20"/>
      <c r="LX86" s="20">
        <v>0</v>
      </c>
      <c r="LY86" s="20">
        <v>1</v>
      </c>
      <c r="LZ86" s="20">
        <v>2</v>
      </c>
      <c r="MA86" s="20">
        <v>3</v>
      </c>
      <c r="MB86" s="20">
        <v>4</v>
      </c>
      <c r="MC86" s="20">
        <v>5</v>
      </c>
      <c r="MD86" s="20">
        <v>6</v>
      </c>
      <c r="ME86" s="20">
        <v>7</v>
      </c>
      <c r="MF86" s="20">
        <v>8</v>
      </c>
      <c r="MG86" s="20">
        <v>9</v>
      </c>
      <c r="MH86" s="20">
        <v>10</v>
      </c>
      <c r="MI86" s="20">
        <v>11</v>
      </c>
      <c r="MJ86" s="20">
        <v>12</v>
      </c>
      <c r="MK86" s="20">
        <v>13</v>
      </c>
      <c r="ML86" s="20">
        <v>14</v>
      </c>
      <c r="MM86" s="20">
        <v>15</v>
      </c>
      <c r="MN86" s="20">
        <v>16</v>
      </c>
      <c r="MO86" s="20">
        <v>17</v>
      </c>
      <c r="MP86" s="20">
        <v>18</v>
      </c>
      <c r="MQ86" s="20">
        <v>19</v>
      </c>
      <c r="MR86" s="20">
        <v>20</v>
      </c>
      <c r="MS86" s="20">
        <v>21</v>
      </c>
      <c r="MT86" s="20">
        <v>22</v>
      </c>
      <c r="MU86" s="20">
        <v>23</v>
      </c>
      <c r="MV86" s="20">
        <v>24</v>
      </c>
      <c r="MW86" s="20">
        <v>25</v>
      </c>
    </row>
    <row r="87" spans="1:389" x14ac:dyDescent="0.25">
      <c r="A87" s="8"/>
      <c r="B87" s="5" t="s">
        <v>116</v>
      </c>
      <c r="C87" s="8"/>
      <c r="D87" s="6" t="s">
        <v>511</v>
      </c>
      <c r="E87" s="4"/>
      <c r="F87" s="359"/>
      <c r="G87" s="359"/>
      <c r="H87" s="359"/>
      <c r="I87" s="359"/>
      <c r="J87" s="4"/>
      <c r="K87" s="4"/>
      <c r="L87" s="6" t="str">
        <f>IF($E$85=$AK$22,"LPAN40",IF($E$85=$AK$23,"LPAN30",IF($E$85=$AK$24,"LC40H35MC",0)))</f>
        <v>LPAN40</v>
      </c>
      <c r="M87" s="14">
        <f>INDEX(cennik!$C$2:$L$529,MATCH($L87,cennik!$B$2:$B$522,0),MATCH(M$27,cennik!$C$1:$L$1,0))</f>
        <v>890512</v>
      </c>
      <c r="N87" s="14" t="str">
        <f>INDEX(cennik!$C$2:$L$529,MATCH($L87,cennik!$B$2:$B$522,0),MATCH(N$27,cennik!$C$1:$L$1,0))</f>
        <v>szt.</v>
      </c>
      <c r="O87" s="14">
        <f>IF(L87="-------",0,SUM(JI78:JI93))</f>
        <v>4</v>
      </c>
      <c r="P87" s="22">
        <f>INDEX(cennik!$C$2:$L$529,MATCH($L87,cennik!$B$2:$B$522,0),MATCH(P$27,cennik!$C$1:$L$1,0))</f>
        <v>4.28</v>
      </c>
      <c r="Q87" s="22">
        <f t="shared" ref="Q87:Q100" si="87">O87*P87</f>
        <v>17.12</v>
      </c>
      <c r="R87" s="23">
        <f t="shared" si="83"/>
        <v>0</v>
      </c>
      <c r="S87" s="22">
        <f t="shared" si="84"/>
        <v>4.28</v>
      </c>
      <c r="T87" s="22">
        <f t="shared" ref="T87:T100" si="88">O87*S87</f>
        <v>17.12</v>
      </c>
      <c r="U87" s="22">
        <f>INDEX(cennik!$C$2:$L$529,MATCH($L87,cennik!$B$2:$B$522,0),MATCH(U$27,cennik!$C$1:$L$1,0))*O87</f>
        <v>0.24</v>
      </c>
      <c r="V87" s="20"/>
      <c r="W87" s="25" t="str">
        <f>IF(E106="WERTYKALNY",G104,IF(E106="HORYZONTALNY",E104,0))</f>
        <v>1000-1050</v>
      </c>
      <c r="X87" s="25">
        <f t="shared" ref="X87:X102" si="89">(IF($E$106=$AB$1,(IF(A103=0,0,IF(A103&gt;0,IF((((INT(((A103*$W$92)+((A103-1)*20)+80)/$E$105))-1)*$E$105)+500&gt;=((A103*$W$92)+((A103-1)*20)+80),(INT(((A103*$W$92)+((A103-1)*20)+80)/$E$105))*2,((INT(((A103*$W$92)+((A103-1)*20)+80)/$E$105))+1)*2)))),IF($E$106=$AB$2,(IF(A103=0,0,IF(A103&gt;0,IF((((INT(((A103*$W$93)+((A103-1)*20)+80)/$E$105))-1)*$E$105)+500&gt;=((A103*$W$93)+((A103-1)*20)+80),(INT(((A103*$W$93)+((A103-1)*20)+80)/$E$105))*2,((INT(((A103*$W$93)+((A103-1)*20)+80)/$E$105))+1)*2)))))))</f>
        <v>0</v>
      </c>
      <c r="Y87" s="27" t="s">
        <v>161</v>
      </c>
      <c r="Z87" s="27">
        <v>1.1499999999999999</v>
      </c>
      <c r="AA87" s="27">
        <v>2.1</v>
      </c>
      <c r="AB87" s="27">
        <v>2.2000000000000002</v>
      </c>
      <c r="AC87" s="27">
        <v>3.15</v>
      </c>
      <c r="AD87" s="27">
        <v>3.3</v>
      </c>
      <c r="AE87" s="20"/>
      <c r="AF87" s="20"/>
      <c r="AG87" s="20"/>
      <c r="AH87" s="20"/>
      <c r="AI87" s="20"/>
      <c r="AJ87" s="20"/>
      <c r="AK87" s="20"/>
      <c r="AL87" s="20">
        <f t="shared" ref="AL87:AL102" si="90">IF(X87=2,X87+2*C103,X87*C103)</f>
        <v>0</v>
      </c>
      <c r="AM87" s="20"/>
      <c r="AN87" s="20"/>
      <c r="AO87" s="20"/>
      <c r="AP87" s="20"/>
      <c r="AQ87" s="20"/>
      <c r="AR87" s="20"/>
      <c r="AS87" s="20"/>
      <c r="AT87" s="20"/>
      <c r="AU87" s="20"/>
      <c r="AV87" s="20"/>
      <c r="AW87" s="20"/>
      <c r="AX87" s="20"/>
      <c r="AY87" s="20"/>
      <c r="AZ87" s="20"/>
      <c r="BA87" s="21" t="s">
        <v>710</v>
      </c>
      <c r="BB87" s="21">
        <v>0</v>
      </c>
      <c r="BC87" s="21">
        <v>2</v>
      </c>
      <c r="BD87" s="21">
        <v>0</v>
      </c>
      <c r="BE87" s="21">
        <v>4</v>
      </c>
      <c r="BF87" s="21">
        <v>2</v>
      </c>
      <c r="BG87" s="21">
        <v>0</v>
      </c>
      <c r="BH87" s="21">
        <v>4</v>
      </c>
      <c r="BI87" s="21">
        <v>2</v>
      </c>
      <c r="BJ87" s="21">
        <v>0</v>
      </c>
      <c r="BK87" s="21">
        <v>2</v>
      </c>
      <c r="BL87" s="21">
        <v>0</v>
      </c>
      <c r="BM87" s="21">
        <v>4</v>
      </c>
      <c r="BN87" s="21">
        <v>2</v>
      </c>
      <c r="BO87" s="21">
        <v>0</v>
      </c>
      <c r="BP87" s="21">
        <v>4</v>
      </c>
      <c r="BQ87" s="21">
        <v>2</v>
      </c>
      <c r="BR87" s="21">
        <v>0</v>
      </c>
      <c r="BS87" s="21">
        <v>4</v>
      </c>
      <c r="BT87" s="21">
        <v>0</v>
      </c>
      <c r="BU87" s="21">
        <v>4</v>
      </c>
      <c r="BV87" s="21">
        <v>2</v>
      </c>
      <c r="BW87" s="21">
        <v>0</v>
      </c>
      <c r="BX87" s="21">
        <v>4</v>
      </c>
      <c r="BY87" s="21">
        <v>2</v>
      </c>
      <c r="BZ87" s="21">
        <v>0</v>
      </c>
      <c r="CA87" s="21">
        <v>4</v>
      </c>
      <c r="DA87" s="54"/>
      <c r="DB87" s="54"/>
      <c r="DC87" s="54"/>
      <c r="DD87" s="26" t="s">
        <v>712</v>
      </c>
      <c r="DE87" s="20">
        <v>0</v>
      </c>
      <c r="DF87" s="20"/>
      <c r="DG87" s="20"/>
      <c r="DH87" s="20"/>
      <c r="DI87" s="20"/>
      <c r="DJ87" s="20"/>
      <c r="DK87" s="20"/>
      <c r="DL87" s="20"/>
      <c r="DM87" s="20"/>
      <c r="DN87" s="20"/>
      <c r="DO87" s="20"/>
      <c r="DP87" s="20"/>
      <c r="DQ87" s="20"/>
      <c r="DR87" s="20"/>
      <c r="DS87" s="20"/>
      <c r="DT87" s="20"/>
      <c r="DU87" s="20"/>
      <c r="DV87" s="20"/>
      <c r="DW87" s="20"/>
      <c r="DX87" s="20"/>
      <c r="DY87" s="20"/>
      <c r="DZ87" s="20"/>
      <c r="EA87" s="20"/>
      <c r="EB87" s="26" t="s">
        <v>710</v>
      </c>
      <c r="EC87" s="20">
        <v>0</v>
      </c>
      <c r="ED87" s="20">
        <v>2</v>
      </c>
      <c r="EE87" s="20">
        <v>4</v>
      </c>
      <c r="EF87" s="20">
        <v>0</v>
      </c>
      <c r="EG87" s="20">
        <v>4</v>
      </c>
      <c r="EH87" s="20">
        <v>0</v>
      </c>
      <c r="EI87" s="20">
        <v>2</v>
      </c>
      <c r="EJ87" s="20">
        <v>0</v>
      </c>
      <c r="EK87" s="20">
        <v>2</v>
      </c>
      <c r="EL87" s="20">
        <v>4</v>
      </c>
      <c r="EM87" s="20">
        <v>0</v>
      </c>
      <c r="EN87" s="20">
        <v>4</v>
      </c>
      <c r="EO87" s="20">
        <v>0</v>
      </c>
      <c r="EP87" s="20">
        <v>2</v>
      </c>
      <c r="EQ87" s="20">
        <v>0</v>
      </c>
      <c r="ER87" s="20">
        <v>2</v>
      </c>
      <c r="ES87" s="20">
        <v>4</v>
      </c>
      <c r="ET87" s="20">
        <v>2</v>
      </c>
      <c r="EU87" s="20">
        <v>4</v>
      </c>
      <c r="EV87" s="20">
        <v>0</v>
      </c>
      <c r="EW87" s="20">
        <v>2</v>
      </c>
      <c r="EX87" s="20">
        <v>0</v>
      </c>
      <c r="EY87" s="20">
        <v>2</v>
      </c>
      <c r="EZ87" s="20">
        <v>4</v>
      </c>
      <c r="FA87" s="20">
        <v>2</v>
      </c>
      <c r="FB87" s="20">
        <v>4</v>
      </c>
      <c r="FC87" s="20"/>
      <c r="FD87" s="20"/>
      <c r="FE87" s="20"/>
      <c r="FF87" s="20"/>
      <c r="FG87" s="20"/>
      <c r="FH87" s="20"/>
      <c r="FI87" s="20"/>
      <c r="FJ87" s="20"/>
      <c r="FK87" s="20"/>
      <c r="FL87" s="20"/>
      <c r="FM87" s="20"/>
      <c r="FN87" s="20"/>
      <c r="FO87" s="20"/>
      <c r="FP87" s="20"/>
      <c r="FQ87" s="20"/>
      <c r="FR87" s="20"/>
      <c r="FS87" s="20"/>
      <c r="FT87" s="20"/>
      <c r="FU87" s="20"/>
      <c r="FV87" s="20"/>
      <c r="FW87" s="20"/>
      <c r="FX87" s="20"/>
      <c r="FY87" s="20"/>
      <c r="FZ87" s="20"/>
      <c r="GA87" s="20"/>
      <c r="GC87" s="20"/>
      <c r="GD87" s="20"/>
      <c r="GE87" s="26" t="s">
        <v>710</v>
      </c>
      <c r="GF87" s="20">
        <v>0</v>
      </c>
      <c r="GG87" s="20">
        <v>2</v>
      </c>
      <c r="GH87" s="20">
        <v>4</v>
      </c>
      <c r="GI87" s="20">
        <v>0</v>
      </c>
      <c r="GJ87" s="20">
        <v>2</v>
      </c>
      <c r="GK87" s="20">
        <v>4</v>
      </c>
      <c r="GL87" s="20">
        <v>0</v>
      </c>
      <c r="GM87" s="20">
        <v>2</v>
      </c>
      <c r="GN87" s="20">
        <v>4</v>
      </c>
      <c r="GO87" s="20">
        <v>0</v>
      </c>
      <c r="GP87" s="20">
        <v>2</v>
      </c>
      <c r="GQ87" s="20">
        <v>4</v>
      </c>
      <c r="GR87" s="20">
        <v>0</v>
      </c>
      <c r="GS87" s="20">
        <v>2</v>
      </c>
      <c r="GT87" s="20">
        <v>4</v>
      </c>
      <c r="GU87" s="20">
        <v>2</v>
      </c>
      <c r="GV87" s="20">
        <v>4</v>
      </c>
      <c r="GW87" s="20">
        <v>0</v>
      </c>
      <c r="GX87" s="20">
        <v>2</v>
      </c>
      <c r="GY87" s="20">
        <v>4</v>
      </c>
      <c r="GZ87" s="20">
        <v>0</v>
      </c>
      <c r="HA87" s="20">
        <v>2</v>
      </c>
      <c r="HB87" s="20">
        <v>4</v>
      </c>
      <c r="HC87" s="20">
        <v>0</v>
      </c>
      <c r="HD87" s="20">
        <v>2</v>
      </c>
      <c r="HE87" s="20">
        <v>4</v>
      </c>
      <c r="HF87" s="20"/>
      <c r="HG87" s="20"/>
      <c r="HH87" s="20"/>
      <c r="HI87" s="20"/>
      <c r="HJ87" s="20"/>
      <c r="HK87" s="20"/>
      <c r="HL87" s="20"/>
      <c r="HM87" s="20"/>
      <c r="HN87" s="20"/>
      <c r="HO87" s="20"/>
      <c r="HP87" s="20"/>
      <c r="HQ87" s="20"/>
      <c r="HR87" s="20"/>
      <c r="HS87" s="20"/>
      <c r="HT87" s="20"/>
      <c r="HU87" s="20"/>
      <c r="HV87" s="20"/>
      <c r="HW87" s="20"/>
      <c r="HX87" s="20"/>
      <c r="HY87" s="20"/>
      <c r="HZ87" s="20"/>
      <c r="IA87" s="20"/>
      <c r="IB87" s="20"/>
      <c r="IC87" s="20"/>
      <c r="ID87" s="20"/>
      <c r="JI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87,$JT$2:$KS$2,0),MATCH($W$65,$AH$22:$AH$47,0)))*C87</f>
        <v>0</v>
      </c>
      <c r="JJ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87,$JT$2:$KS$2,0),MATCH($W$65,$AH$22:$AH$47,0)))*C87</f>
        <v>0</v>
      </c>
      <c r="JK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87,$JT$2:$KS$2,0),MATCH($W$65,$AH$22:$AH$47,0)))*C87</f>
        <v>0</v>
      </c>
      <c r="JL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87,$JT$2:$KS$2,0),MATCH($W$65,$AH$22:$AH$47,0)))*C87</f>
        <v>0</v>
      </c>
      <c r="JM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87,$JT$2:$KS$2,0),MATCH($W$65,$AH$22:$AH$47,0)))*C87</f>
        <v>0</v>
      </c>
      <c r="JN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87,$JT$2:$KS$2,0),MATCH($W$65,$AH$22:$AH$47,0)))*C87</f>
        <v>0</v>
      </c>
      <c r="JO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87,$JT$2:$KS$2,0),MATCH($W$65,$AH$22:$AH$47,0)))*C87</f>
        <v>0</v>
      </c>
      <c r="JP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87,$JT$2:$KS$2,0),MATCH($W$65,$AH$22:$AH$47,0)))*C87</f>
        <v>0</v>
      </c>
      <c r="JQ8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87,$JT$2:$KS$2,0),MATCH($W$65,$AH$22:$AH$47,0)))*C87</f>
        <v>0</v>
      </c>
      <c r="JS87" s="21" t="s">
        <v>126</v>
      </c>
      <c r="JT87" s="21">
        <v>0</v>
      </c>
      <c r="JU87" s="21">
        <v>0</v>
      </c>
      <c r="JV87" s="21">
        <v>0</v>
      </c>
      <c r="JW87" s="21">
        <v>0</v>
      </c>
      <c r="JX87" s="21">
        <v>0</v>
      </c>
      <c r="JY87" s="21">
        <v>0</v>
      </c>
      <c r="JZ87" s="21">
        <v>0</v>
      </c>
      <c r="KA87" s="21">
        <v>0</v>
      </c>
      <c r="KB87" s="21">
        <v>0</v>
      </c>
      <c r="KC87" s="21">
        <v>0</v>
      </c>
      <c r="KD87" s="21">
        <v>0</v>
      </c>
      <c r="KE87" s="21">
        <v>0</v>
      </c>
      <c r="KF87" s="21">
        <v>0</v>
      </c>
      <c r="KG87" s="21">
        <v>0</v>
      </c>
      <c r="KH87" s="21">
        <v>0</v>
      </c>
      <c r="KI87" s="21">
        <v>0</v>
      </c>
      <c r="KJ87" s="21">
        <v>0</v>
      </c>
      <c r="KK87" s="21">
        <v>0</v>
      </c>
      <c r="KL87" s="21">
        <v>0</v>
      </c>
      <c r="KM87" s="21">
        <v>0</v>
      </c>
      <c r="KN87" s="21">
        <v>0</v>
      </c>
      <c r="KO87" s="21">
        <v>0</v>
      </c>
      <c r="KP87" s="21">
        <v>0</v>
      </c>
      <c r="KQ87" s="21">
        <v>0</v>
      </c>
      <c r="KR87" s="21">
        <v>0</v>
      </c>
      <c r="KS87" s="21">
        <v>0</v>
      </c>
      <c r="KU87" s="20" t="s">
        <v>126</v>
      </c>
      <c r="KV87" s="20">
        <v>0</v>
      </c>
      <c r="KW87" s="20">
        <v>0</v>
      </c>
      <c r="KX87" s="20">
        <v>0</v>
      </c>
      <c r="KY87" s="20">
        <v>0</v>
      </c>
      <c r="KZ87" s="20">
        <v>0</v>
      </c>
      <c r="LA87" s="20">
        <v>0</v>
      </c>
      <c r="LB87" s="20">
        <v>0</v>
      </c>
      <c r="LC87" s="20">
        <v>0</v>
      </c>
      <c r="LD87" s="20">
        <v>0</v>
      </c>
      <c r="LE87" s="20">
        <v>0</v>
      </c>
      <c r="LF87" s="20">
        <v>0</v>
      </c>
      <c r="LG87" s="20">
        <v>0</v>
      </c>
      <c r="LH87" s="20">
        <v>0</v>
      </c>
      <c r="LI87" s="20">
        <v>0</v>
      </c>
      <c r="LJ87" s="20">
        <v>0</v>
      </c>
      <c r="LK87" s="20">
        <v>0</v>
      </c>
      <c r="LL87" s="20">
        <v>0</v>
      </c>
      <c r="LM87" s="20">
        <v>0</v>
      </c>
      <c r="LN87" s="20">
        <v>0</v>
      </c>
      <c r="LO87" s="20">
        <v>0</v>
      </c>
      <c r="LP87" s="20">
        <v>0</v>
      </c>
      <c r="LQ87" s="20">
        <v>0</v>
      </c>
      <c r="LR87" s="20">
        <v>0</v>
      </c>
      <c r="LS87" s="20">
        <v>0</v>
      </c>
      <c r="LT87" s="20">
        <v>0</v>
      </c>
      <c r="LU87" s="20">
        <v>0</v>
      </c>
      <c r="LW87" s="20" t="s">
        <v>126</v>
      </c>
      <c r="LX87" s="20">
        <v>0</v>
      </c>
      <c r="LY87" s="20">
        <v>0</v>
      </c>
      <c r="LZ87" s="20">
        <v>0</v>
      </c>
      <c r="MA87" s="20">
        <v>0</v>
      </c>
      <c r="MB87" s="20">
        <v>0</v>
      </c>
      <c r="MC87" s="20">
        <v>0</v>
      </c>
      <c r="MD87" s="20">
        <v>0</v>
      </c>
      <c r="ME87" s="20">
        <v>0</v>
      </c>
      <c r="MF87" s="20">
        <v>0</v>
      </c>
      <c r="MG87" s="20">
        <v>0</v>
      </c>
      <c r="MH87" s="20">
        <v>0</v>
      </c>
      <c r="MI87" s="20">
        <v>0</v>
      </c>
      <c r="MJ87" s="20">
        <v>0</v>
      </c>
      <c r="MK87" s="20">
        <v>0</v>
      </c>
      <c r="ML87" s="20">
        <v>0</v>
      </c>
      <c r="MM87" s="20">
        <v>0</v>
      </c>
      <c r="MN87" s="20">
        <v>0</v>
      </c>
      <c r="MO87" s="20">
        <v>2</v>
      </c>
      <c r="MP87" s="20">
        <v>0</v>
      </c>
      <c r="MQ87" s="20">
        <v>0</v>
      </c>
      <c r="MR87" s="20">
        <v>0</v>
      </c>
      <c r="MS87" s="20">
        <v>0</v>
      </c>
      <c r="MT87" s="20">
        <v>0</v>
      </c>
      <c r="MU87" s="20">
        <v>0</v>
      </c>
      <c r="MV87" s="20">
        <v>0</v>
      </c>
      <c r="MW87" s="20">
        <v>0</v>
      </c>
    </row>
    <row r="88" spans="1:389" x14ac:dyDescent="0.25">
      <c r="A88" s="8"/>
      <c r="B88" s="5" t="s">
        <v>116</v>
      </c>
      <c r="C88" s="8"/>
      <c r="D88" s="6" t="s">
        <v>1470</v>
      </c>
      <c r="E88" s="8" t="s">
        <v>1471</v>
      </c>
      <c r="F88" s="359"/>
      <c r="G88" s="359"/>
      <c r="H88" s="359"/>
      <c r="I88" s="359"/>
      <c r="J88" s="4"/>
      <c r="K88" s="4"/>
      <c r="L88" s="6" t="s">
        <v>2</v>
      </c>
      <c r="M88" s="14">
        <f>INDEX(cennik!$C$2:$L$529,MATCH($L88,cennik!$B$2:$B$522,0),MATCH(M$27,cennik!$C$1:$L$1,0))</f>
        <v>898140</v>
      </c>
      <c r="N88" s="14" t="str">
        <f>INDEX(cennik!$C$2:$L$529,MATCH($L88,cennik!$B$2:$B$522,0),MATCH(N$27,cennik!$C$1:$L$1,0))</f>
        <v>szt.</v>
      </c>
      <c r="O88" s="14">
        <f>SUM(AL65:AL80)</f>
        <v>12</v>
      </c>
      <c r="P88" s="22">
        <f>INDEX(cennik!$C$2:$L$529,MATCH($L88,cennik!$B$2:$B$522,0),MATCH(P$27,cennik!$C$1:$L$1,0))</f>
        <v>31.85</v>
      </c>
      <c r="Q88" s="22">
        <f t="shared" si="87"/>
        <v>382.20000000000005</v>
      </c>
      <c r="R88" s="23">
        <f t="shared" si="83"/>
        <v>0</v>
      </c>
      <c r="S88" s="22">
        <f t="shared" si="84"/>
        <v>31.85</v>
      </c>
      <c r="T88" s="22">
        <f t="shared" si="88"/>
        <v>382.20000000000005</v>
      </c>
      <c r="U88" s="22">
        <f>INDEX(cennik!$C$2:$L$529,MATCH($L88,cennik!$B$2:$B$522,0),MATCH(U$27,cennik!$C$1:$L$1,0))*O88</f>
        <v>12.600000000000001</v>
      </c>
      <c r="V88" s="20"/>
      <c r="W88" s="20"/>
      <c r="X88" s="25">
        <f t="shared" si="89"/>
        <v>0</v>
      </c>
      <c r="Y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103,$BB$2:$CA$2,0),MATCH($W$87,$AH$22:$AH$47,0)))*C103</f>
        <v>0</v>
      </c>
      <c r="Z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103,$BB$2:$CA$2,0),MATCH($W$87,$AH$22:$AH$47,0)))*C103</f>
        <v>0</v>
      </c>
      <c r="AA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103,$BB$2:$CA$2,0),MATCH($W$87,$AH$22:$AH$47,0)))*C103</f>
        <v>0</v>
      </c>
      <c r="AB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103,$BB$2:$CA$2,0),MATCH($W$87,$AH$22:$AH$47,0)))*C103</f>
        <v>0</v>
      </c>
      <c r="AC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103,$BB$2:$CA$2,0),MATCH($W$87,$AH$22:$AH$47,0)))*C103</f>
        <v>0</v>
      </c>
      <c r="AD8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103,$BB$2:$CA$2,0),MATCH($W$87,$AH$22:$AH$47,0)))*C103</f>
        <v>0</v>
      </c>
      <c r="AE88" s="20"/>
      <c r="AF88" s="20"/>
      <c r="AG88" s="20"/>
      <c r="AH88" s="20"/>
      <c r="AI88" s="20"/>
      <c r="AJ88" s="20"/>
      <c r="AK88" s="20"/>
      <c r="AL88" s="20">
        <f t="shared" si="90"/>
        <v>0</v>
      </c>
      <c r="AM88" s="20"/>
      <c r="AN88" s="20"/>
      <c r="AO88" s="20"/>
      <c r="AP88" s="20"/>
      <c r="AQ88" s="20"/>
      <c r="AR88" s="20"/>
      <c r="AS88" s="20"/>
      <c r="AT88" s="20"/>
      <c r="AU88" s="20"/>
      <c r="AV88" s="20"/>
      <c r="AW88" s="20"/>
      <c r="AX88" s="20"/>
      <c r="AY88" s="20"/>
      <c r="AZ88" s="20"/>
      <c r="BA88" s="21" t="s">
        <v>711</v>
      </c>
      <c r="BB88" s="21">
        <v>0</v>
      </c>
      <c r="BC88" s="21">
        <v>0</v>
      </c>
      <c r="BD88" s="21">
        <v>2</v>
      </c>
      <c r="BE88" s="21">
        <v>0</v>
      </c>
      <c r="BF88" s="21">
        <v>2</v>
      </c>
      <c r="BG88" s="21">
        <v>4</v>
      </c>
      <c r="BH88" s="21">
        <v>2</v>
      </c>
      <c r="BI88" s="21">
        <v>4</v>
      </c>
      <c r="BJ88" s="21">
        <v>6</v>
      </c>
      <c r="BK88" s="21">
        <v>6</v>
      </c>
      <c r="BL88" s="21">
        <v>8</v>
      </c>
      <c r="BM88" s="21">
        <v>6</v>
      </c>
      <c r="BN88" s="21">
        <v>8</v>
      </c>
      <c r="BO88" s="21">
        <v>10</v>
      </c>
      <c r="BP88" s="21">
        <v>8</v>
      </c>
      <c r="BQ88" s="21">
        <v>10</v>
      </c>
      <c r="BR88" s="21">
        <v>12</v>
      </c>
      <c r="BS88" s="21">
        <v>10</v>
      </c>
      <c r="BT88" s="21">
        <v>14</v>
      </c>
      <c r="BU88" s="21">
        <v>12</v>
      </c>
      <c r="BV88" s="21">
        <v>14</v>
      </c>
      <c r="BW88" s="21">
        <v>16</v>
      </c>
      <c r="BX88" s="21">
        <v>14</v>
      </c>
      <c r="BY88" s="21">
        <v>16</v>
      </c>
      <c r="BZ88" s="21">
        <v>18</v>
      </c>
      <c r="CA88" s="21">
        <v>16</v>
      </c>
      <c r="DA88" s="54"/>
      <c r="DB88" s="54"/>
      <c r="DC88" s="54"/>
      <c r="DD88" s="20"/>
      <c r="DE88" s="20"/>
      <c r="DF88" s="20"/>
      <c r="DG88" s="20"/>
      <c r="DH88" s="20"/>
      <c r="DI88" s="20"/>
      <c r="DJ88" s="20"/>
      <c r="DK88" s="20"/>
      <c r="DL88" s="20"/>
      <c r="DM88" s="20"/>
      <c r="DN88" s="20"/>
      <c r="DO88" s="20"/>
      <c r="DP88" s="20"/>
      <c r="DQ88" s="20"/>
      <c r="DR88" s="20"/>
      <c r="DS88" s="20"/>
      <c r="DT88" s="20"/>
      <c r="DU88" s="20"/>
      <c r="DV88" s="20"/>
      <c r="DW88" s="20"/>
      <c r="DX88" s="20"/>
      <c r="DY88" s="20"/>
      <c r="DZ88" s="20"/>
      <c r="EA88" s="20"/>
      <c r="EB88" s="26" t="s">
        <v>711</v>
      </c>
      <c r="EC88" s="20">
        <v>0</v>
      </c>
      <c r="ED88" s="20">
        <v>0</v>
      </c>
      <c r="EE88" s="20">
        <v>0</v>
      </c>
      <c r="EF88" s="20">
        <v>4</v>
      </c>
      <c r="EG88" s="20">
        <v>2</v>
      </c>
      <c r="EH88" s="20">
        <v>6</v>
      </c>
      <c r="EI88" s="20">
        <v>6</v>
      </c>
      <c r="EJ88" s="20">
        <v>8</v>
      </c>
      <c r="EK88" s="20">
        <v>8</v>
      </c>
      <c r="EL88" s="20">
        <v>8</v>
      </c>
      <c r="EM88" s="20">
        <v>12</v>
      </c>
      <c r="EN88" s="20">
        <v>10</v>
      </c>
      <c r="EO88" s="20">
        <v>14</v>
      </c>
      <c r="EP88" s="20">
        <v>14</v>
      </c>
      <c r="EQ88" s="20">
        <v>16</v>
      </c>
      <c r="ER88" s="20">
        <v>16</v>
      </c>
      <c r="ES88" s="20">
        <v>16</v>
      </c>
      <c r="ET88" s="20">
        <v>18</v>
      </c>
      <c r="EU88" s="20">
        <v>18</v>
      </c>
      <c r="EV88" s="20">
        <v>22</v>
      </c>
      <c r="EW88" s="20">
        <v>22</v>
      </c>
      <c r="EX88" s="20">
        <v>24</v>
      </c>
      <c r="EY88" s="20">
        <v>24</v>
      </c>
      <c r="EZ88" s="20">
        <v>24</v>
      </c>
      <c r="FA88" s="20">
        <v>26</v>
      </c>
      <c r="FB88" s="20">
        <v>26</v>
      </c>
      <c r="FC88" s="20"/>
      <c r="FD88" s="20"/>
      <c r="FE88" s="20"/>
      <c r="FF88" s="20"/>
      <c r="FG88" s="20"/>
      <c r="FH88" s="20"/>
      <c r="FI88" s="20"/>
      <c r="FJ88" s="20"/>
      <c r="FK88" s="20"/>
      <c r="FL88" s="20"/>
      <c r="FM88" s="20"/>
      <c r="FN88" s="20"/>
      <c r="FO88" s="20"/>
      <c r="FP88" s="20"/>
      <c r="FQ88" s="20"/>
      <c r="FR88" s="20"/>
      <c r="FS88" s="20"/>
      <c r="FT88" s="20"/>
      <c r="FU88" s="20"/>
      <c r="FV88" s="20"/>
      <c r="FW88" s="20"/>
      <c r="FX88" s="20"/>
      <c r="FY88" s="20"/>
      <c r="FZ88" s="20"/>
      <c r="GA88" s="20"/>
      <c r="GC88" s="20"/>
      <c r="GD88" s="20"/>
      <c r="GE88" s="26" t="s">
        <v>711</v>
      </c>
      <c r="GF88" s="20">
        <v>0</v>
      </c>
      <c r="GG88" s="20">
        <v>0</v>
      </c>
      <c r="GH88" s="20">
        <v>0</v>
      </c>
      <c r="GI88" s="20">
        <v>4</v>
      </c>
      <c r="GJ88" s="20">
        <v>4</v>
      </c>
      <c r="GK88" s="20">
        <v>4</v>
      </c>
      <c r="GL88" s="20">
        <v>8</v>
      </c>
      <c r="GM88" s="20">
        <v>8</v>
      </c>
      <c r="GN88" s="20">
        <v>8</v>
      </c>
      <c r="GO88" s="20">
        <v>12</v>
      </c>
      <c r="GP88" s="20">
        <v>12</v>
      </c>
      <c r="GQ88" s="20">
        <v>12</v>
      </c>
      <c r="GR88" s="20">
        <v>16</v>
      </c>
      <c r="GS88" s="20">
        <v>16</v>
      </c>
      <c r="GT88" s="20">
        <v>16</v>
      </c>
      <c r="GU88" s="20">
        <v>18</v>
      </c>
      <c r="GV88" s="20">
        <v>18</v>
      </c>
      <c r="GW88" s="20">
        <v>22</v>
      </c>
      <c r="GX88" s="20">
        <v>22</v>
      </c>
      <c r="GY88" s="20">
        <v>22</v>
      </c>
      <c r="GZ88" s="20">
        <v>26</v>
      </c>
      <c r="HA88" s="20">
        <v>26</v>
      </c>
      <c r="HB88" s="20">
        <v>26</v>
      </c>
      <c r="HC88" s="20">
        <v>30</v>
      </c>
      <c r="HD88" s="20">
        <v>30</v>
      </c>
      <c r="HE88" s="20">
        <v>30</v>
      </c>
      <c r="HF88" s="20"/>
      <c r="HG88" s="20"/>
      <c r="HH88" s="20"/>
      <c r="HI88" s="20"/>
      <c r="HJ88" s="20"/>
      <c r="HK88" s="20"/>
      <c r="HL88" s="20"/>
      <c r="HM88" s="20"/>
      <c r="HN88" s="20"/>
      <c r="HO88" s="20"/>
      <c r="HP88" s="20"/>
      <c r="HQ88" s="20"/>
      <c r="HR88" s="20"/>
      <c r="HS88" s="20"/>
      <c r="HT88" s="20"/>
      <c r="HU88" s="20"/>
      <c r="HV88" s="20"/>
      <c r="HW88" s="20"/>
      <c r="HX88" s="20"/>
      <c r="HY88" s="20"/>
      <c r="HZ88" s="20"/>
      <c r="IA88" s="20"/>
      <c r="IB88" s="20"/>
      <c r="IC88" s="20"/>
      <c r="ID88" s="20"/>
      <c r="JI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88,$JT$2:$KS$2,0),MATCH($W$65,$AH$22:$AH$47,0)))*C88</f>
        <v>0</v>
      </c>
      <c r="JJ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88,$JT$2:$KS$2,0),MATCH($W$65,$AH$22:$AH$47,0)))*C88</f>
        <v>0</v>
      </c>
      <c r="JK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88,$JT$2:$KS$2,0),MATCH($W$65,$AH$22:$AH$47,0)))*C88</f>
        <v>0</v>
      </c>
      <c r="JL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88,$JT$2:$KS$2,0),MATCH($W$65,$AH$22:$AH$47,0)))*C88</f>
        <v>0</v>
      </c>
      <c r="JM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88,$JT$2:$KS$2,0),MATCH($W$65,$AH$22:$AH$47,0)))*C88</f>
        <v>0</v>
      </c>
      <c r="JN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88,$JT$2:$KS$2,0),MATCH($W$65,$AH$22:$AH$47,0)))*C88</f>
        <v>0</v>
      </c>
      <c r="JO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88,$JT$2:$KS$2,0),MATCH($W$65,$AH$22:$AH$47,0)))*C88</f>
        <v>0</v>
      </c>
      <c r="JP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88,$JT$2:$KS$2,0),MATCH($W$65,$AH$22:$AH$47,0)))*C88</f>
        <v>0</v>
      </c>
      <c r="JQ8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88,$JT$2:$KS$2,0),MATCH($W$65,$AH$22:$AH$47,0)))*C88</f>
        <v>0</v>
      </c>
      <c r="JS88" s="21" t="s">
        <v>12</v>
      </c>
      <c r="JT88" s="21">
        <v>0</v>
      </c>
      <c r="JU88" s="21">
        <v>2</v>
      </c>
      <c r="JV88" s="21">
        <v>0</v>
      </c>
      <c r="JW88" s="21">
        <v>4</v>
      </c>
      <c r="JX88" s="21">
        <v>2</v>
      </c>
      <c r="JY88" s="21">
        <v>0</v>
      </c>
      <c r="JZ88" s="21">
        <v>2</v>
      </c>
      <c r="KA88" s="21">
        <v>2</v>
      </c>
      <c r="KB88" s="21">
        <v>0</v>
      </c>
      <c r="KC88" s="21">
        <v>4</v>
      </c>
      <c r="KD88" s="21">
        <v>2</v>
      </c>
      <c r="KE88" s="21">
        <v>0</v>
      </c>
      <c r="KF88" s="21">
        <v>4</v>
      </c>
      <c r="KG88" s="21">
        <v>0</v>
      </c>
      <c r="KH88" s="21">
        <v>0</v>
      </c>
      <c r="KI88" s="21">
        <v>0</v>
      </c>
      <c r="KJ88" s="21">
        <v>0</v>
      </c>
      <c r="KK88" s="21">
        <v>0</v>
      </c>
      <c r="KL88" s="21">
        <v>4</v>
      </c>
      <c r="KM88" s="21">
        <v>2</v>
      </c>
      <c r="KN88" s="21">
        <v>0</v>
      </c>
      <c r="KO88" s="21">
        <v>2</v>
      </c>
      <c r="KP88" s="21">
        <v>0</v>
      </c>
      <c r="KQ88" s="21">
        <v>0</v>
      </c>
      <c r="KR88" s="21">
        <v>0</v>
      </c>
      <c r="KS88" s="21">
        <v>0</v>
      </c>
      <c r="KU88" s="20" t="s">
        <v>12</v>
      </c>
      <c r="KV88" s="20">
        <v>0</v>
      </c>
      <c r="KW88" s="20">
        <v>2</v>
      </c>
      <c r="KX88" s="20">
        <v>4</v>
      </c>
      <c r="KY88" s="20">
        <v>2</v>
      </c>
      <c r="KZ88" s="20">
        <v>2</v>
      </c>
      <c r="LA88" s="20">
        <v>0</v>
      </c>
      <c r="LB88" s="20">
        <v>4</v>
      </c>
      <c r="LC88" s="20">
        <v>0</v>
      </c>
      <c r="LD88" s="20">
        <v>2</v>
      </c>
      <c r="LE88" s="20">
        <v>0</v>
      </c>
      <c r="LF88" s="20">
        <v>2</v>
      </c>
      <c r="LG88" s="20">
        <v>0</v>
      </c>
      <c r="LH88" s="20">
        <v>0</v>
      </c>
      <c r="LI88" s="20">
        <v>0</v>
      </c>
      <c r="LJ88" s="20">
        <v>0</v>
      </c>
      <c r="LK88" s="20">
        <v>0</v>
      </c>
      <c r="LL88" s="20">
        <v>0</v>
      </c>
      <c r="LM88" s="20">
        <v>0</v>
      </c>
      <c r="LN88" s="20">
        <v>0</v>
      </c>
      <c r="LO88" s="20">
        <v>0</v>
      </c>
      <c r="LP88" s="20">
        <v>2</v>
      </c>
      <c r="LQ88" s="20">
        <v>0</v>
      </c>
      <c r="LR88" s="20">
        <v>0</v>
      </c>
      <c r="LS88" s="20">
        <v>0</v>
      </c>
      <c r="LT88" s="20">
        <v>2</v>
      </c>
      <c r="LU88" s="20">
        <v>2</v>
      </c>
      <c r="LW88" s="20" t="s">
        <v>12</v>
      </c>
      <c r="LX88" s="20">
        <v>0</v>
      </c>
      <c r="LY88" s="20">
        <v>0</v>
      </c>
      <c r="LZ88" s="20">
        <v>2</v>
      </c>
      <c r="MA88" s="20">
        <v>0</v>
      </c>
      <c r="MB88" s="20">
        <v>2</v>
      </c>
      <c r="MC88" s="20">
        <v>0</v>
      </c>
      <c r="MD88" s="20">
        <v>2</v>
      </c>
      <c r="ME88" s="20">
        <v>0</v>
      </c>
      <c r="MF88" s="20">
        <v>0</v>
      </c>
      <c r="MG88" s="20">
        <v>0</v>
      </c>
      <c r="MH88" s="20">
        <v>0</v>
      </c>
      <c r="MI88" s="20">
        <v>0</v>
      </c>
      <c r="MJ88" s="20">
        <v>4</v>
      </c>
      <c r="MK88" s="20">
        <v>0</v>
      </c>
      <c r="ML88" s="20">
        <v>2</v>
      </c>
      <c r="MM88" s="20">
        <v>0</v>
      </c>
      <c r="MN88" s="20">
        <v>0</v>
      </c>
      <c r="MO88" s="20">
        <v>0</v>
      </c>
      <c r="MP88" s="20">
        <v>0</v>
      </c>
      <c r="MQ88" s="20">
        <v>0</v>
      </c>
      <c r="MR88" s="20">
        <v>0</v>
      </c>
      <c r="MS88" s="20">
        <v>2</v>
      </c>
      <c r="MT88" s="20">
        <v>0</v>
      </c>
      <c r="MU88" s="20">
        <v>0</v>
      </c>
      <c r="MV88" s="20">
        <v>0</v>
      </c>
      <c r="MW88" s="20">
        <v>0</v>
      </c>
    </row>
    <row r="89" spans="1:389" x14ac:dyDescent="0.25">
      <c r="A89" s="8"/>
      <c r="B89" s="5" t="s">
        <v>116</v>
      </c>
      <c r="C89" s="8"/>
      <c r="D89" s="6" t="s">
        <v>1469</v>
      </c>
      <c r="E89" s="4"/>
      <c r="F89" s="359"/>
      <c r="G89" s="359"/>
      <c r="H89" s="359"/>
      <c r="I89" s="359"/>
      <c r="J89" s="4"/>
      <c r="K89" s="4"/>
      <c r="L89" s="6" t="s">
        <v>3</v>
      </c>
      <c r="M89" s="14">
        <f>INDEX(cennik!$C$2:$L$529,MATCH($L89,cennik!$B$2:$B$522,0),MATCH(M$27,cennik!$C$1:$L$1,0))</f>
        <v>890810</v>
      </c>
      <c r="N89" s="14" t="str">
        <f>INDEX(cennik!$C$2:$L$529,MATCH($L89,cennik!$B$2:$B$522,0),MATCH(N$27,cennik!$C$1:$L$1,0))</f>
        <v>100 szt.</v>
      </c>
      <c r="O89" s="14">
        <f>ROUNDUP((O88*2)/100,0)</f>
        <v>1</v>
      </c>
      <c r="P89" s="22">
        <f>INDEX(cennik!$C$2:$L$529,MATCH($L89,cennik!$B$2:$B$522,0),MATCH(P$27,cennik!$C$1:$L$1,0))</f>
        <v>65</v>
      </c>
      <c r="Q89" s="22">
        <f t="shared" si="87"/>
        <v>65</v>
      </c>
      <c r="R89" s="23">
        <f t="shared" si="83"/>
        <v>0</v>
      </c>
      <c r="S89" s="22">
        <f t="shared" si="84"/>
        <v>65</v>
      </c>
      <c r="T89" s="22">
        <f t="shared" si="88"/>
        <v>65</v>
      </c>
      <c r="U89" s="22">
        <f>INDEX(cennik!$C$2:$L$529,MATCH($L89,cennik!$B$2:$B$522,0),MATCH(U$27,cennik!$C$1:$L$1,0))*O89</f>
        <v>0</v>
      </c>
      <c r="V89" s="20"/>
      <c r="W89" s="20"/>
      <c r="X89" s="25">
        <f t="shared" si="89"/>
        <v>0</v>
      </c>
      <c r="Y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104,$BB$2:$CA$2,0),MATCH($W$87,$AH$22:$AH$47,0)))*C104</f>
        <v>0</v>
      </c>
      <c r="Z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104,$BB$2:$CA$2,0),MATCH($W$87,$AH$22:$AH$47,0)))*C104</f>
        <v>0</v>
      </c>
      <c r="AA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104,$BB$2:$CA$2,0),MATCH($W$87,$AH$22:$AH$47,0)))*C104</f>
        <v>0</v>
      </c>
      <c r="AB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104,$BB$2:$CA$2,0),MATCH($W$87,$AH$22:$AH$47,0)))*C104</f>
        <v>0</v>
      </c>
      <c r="AC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104,$BB$2:$CA$2,0),MATCH($W$87,$AH$22:$AH$47,0)))*C104</f>
        <v>0</v>
      </c>
      <c r="AD8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104,$BB$2:$CA$2,0),MATCH($W$87,$AH$22:$AH$47,0)))*C104</f>
        <v>0</v>
      </c>
      <c r="AE89" s="20"/>
      <c r="AF89" s="20"/>
      <c r="AG89" s="20"/>
      <c r="AH89" s="20"/>
      <c r="AI89" s="20"/>
      <c r="AJ89" s="20"/>
      <c r="AK89" s="20"/>
      <c r="AL89" s="20">
        <f t="shared" si="90"/>
        <v>0</v>
      </c>
      <c r="AM89" s="20"/>
      <c r="AN89" s="20"/>
      <c r="AO89" s="20"/>
      <c r="AP89" s="20"/>
      <c r="AQ89" s="20"/>
      <c r="AR89" s="20"/>
      <c r="AS89" s="20"/>
      <c r="AT89" s="20"/>
      <c r="AU89" s="20"/>
      <c r="AV89" s="20"/>
      <c r="AW89" s="20"/>
      <c r="AX89" s="20"/>
      <c r="AY89" s="20"/>
      <c r="AZ89" s="20"/>
      <c r="BA89" s="21" t="s">
        <v>712</v>
      </c>
      <c r="BB89" s="21">
        <v>0</v>
      </c>
      <c r="BC89" s="21">
        <v>0</v>
      </c>
      <c r="BD89" s="21">
        <v>0</v>
      </c>
      <c r="BE89" s="21">
        <v>2</v>
      </c>
      <c r="BF89" s="21">
        <v>2</v>
      </c>
      <c r="BG89" s="21">
        <v>2</v>
      </c>
      <c r="BH89" s="21">
        <v>4</v>
      </c>
      <c r="BI89" s="21">
        <v>4</v>
      </c>
      <c r="BJ89" s="21">
        <v>4</v>
      </c>
      <c r="BK89" s="21">
        <v>6</v>
      </c>
      <c r="BL89" s="21">
        <v>6</v>
      </c>
      <c r="BM89" s="21">
        <v>8</v>
      </c>
      <c r="BN89" s="21">
        <v>8</v>
      </c>
      <c r="BO89" s="21">
        <v>8</v>
      </c>
      <c r="BP89" s="21">
        <v>10</v>
      </c>
      <c r="BQ89" s="21">
        <v>10</v>
      </c>
      <c r="BR89" s="21">
        <v>10</v>
      </c>
      <c r="BS89" s="21">
        <v>12</v>
      </c>
      <c r="BT89" s="21">
        <v>12</v>
      </c>
      <c r="BU89" s="21">
        <v>14</v>
      </c>
      <c r="BV89" s="21">
        <v>14</v>
      </c>
      <c r="BW89" s="21">
        <v>14</v>
      </c>
      <c r="BX89" s="21">
        <v>16</v>
      </c>
      <c r="BY89" s="21">
        <v>16</v>
      </c>
      <c r="BZ89" s="21">
        <v>16</v>
      </c>
      <c r="CA89" s="21">
        <v>18</v>
      </c>
      <c r="DA89" s="54"/>
      <c r="DB89" s="54"/>
      <c r="DC89" s="54"/>
      <c r="DD89" s="20" t="s">
        <v>472</v>
      </c>
      <c r="DE89" s="20">
        <v>0</v>
      </c>
      <c r="DF89" s="20">
        <v>1</v>
      </c>
      <c r="DG89" s="20">
        <v>2</v>
      </c>
      <c r="DH89" s="20">
        <v>3</v>
      </c>
      <c r="DI89" s="20">
        <v>4</v>
      </c>
      <c r="DJ89" s="20">
        <v>5</v>
      </c>
      <c r="DK89" s="20">
        <v>6</v>
      </c>
      <c r="DL89" s="20">
        <v>7</v>
      </c>
      <c r="DM89" s="20">
        <v>8</v>
      </c>
      <c r="DN89" s="20">
        <v>9</v>
      </c>
      <c r="DO89" s="20">
        <v>10</v>
      </c>
      <c r="DP89" s="20">
        <v>11</v>
      </c>
      <c r="DQ89" s="20">
        <v>12</v>
      </c>
      <c r="DR89" s="20">
        <v>13</v>
      </c>
      <c r="DS89" s="20">
        <v>14</v>
      </c>
      <c r="DT89" s="20">
        <v>15</v>
      </c>
      <c r="DU89" s="20">
        <v>16</v>
      </c>
      <c r="DV89" s="20">
        <v>17</v>
      </c>
      <c r="DW89" s="20">
        <v>18</v>
      </c>
      <c r="DX89" s="20">
        <v>19</v>
      </c>
      <c r="DY89" s="20">
        <v>20</v>
      </c>
      <c r="DZ89" s="20"/>
      <c r="EA89" s="20"/>
      <c r="EB89" s="26" t="s">
        <v>712</v>
      </c>
      <c r="EC89" s="20">
        <v>0</v>
      </c>
      <c r="ED89" s="20">
        <v>0</v>
      </c>
      <c r="EE89" s="20">
        <v>2</v>
      </c>
      <c r="EF89" s="20">
        <v>2</v>
      </c>
      <c r="EG89" s="20">
        <v>4</v>
      </c>
      <c r="EH89" s="20">
        <v>4</v>
      </c>
      <c r="EI89" s="20">
        <v>6</v>
      </c>
      <c r="EJ89" s="20">
        <v>6</v>
      </c>
      <c r="EK89" s="20">
        <v>8</v>
      </c>
      <c r="EL89" s="20">
        <v>10</v>
      </c>
      <c r="EM89" s="20">
        <v>10</v>
      </c>
      <c r="EN89" s="20">
        <v>12</v>
      </c>
      <c r="EO89" s="20">
        <v>12</v>
      </c>
      <c r="EP89" s="20">
        <v>14</v>
      </c>
      <c r="EQ89" s="20">
        <v>14</v>
      </c>
      <c r="ER89" s="20">
        <v>16</v>
      </c>
      <c r="ES89" s="20">
        <v>18</v>
      </c>
      <c r="ET89" s="20">
        <v>18</v>
      </c>
      <c r="EU89" s="20">
        <v>20</v>
      </c>
      <c r="EV89" s="20">
        <v>20</v>
      </c>
      <c r="EW89" s="20">
        <v>22</v>
      </c>
      <c r="EX89" s="20">
        <v>22</v>
      </c>
      <c r="EY89" s="20">
        <v>24</v>
      </c>
      <c r="EZ89" s="20">
        <v>26</v>
      </c>
      <c r="FA89" s="20">
        <v>26</v>
      </c>
      <c r="FB89" s="20">
        <v>28</v>
      </c>
      <c r="FC89" s="20"/>
      <c r="FD89" s="20"/>
      <c r="FE89" s="20"/>
      <c r="FF89" s="20"/>
      <c r="FG89" s="20"/>
      <c r="FH89" s="20"/>
      <c r="FI89" s="20"/>
      <c r="FJ89" s="20"/>
      <c r="FK89" s="20"/>
      <c r="FL89" s="20"/>
      <c r="FM89" s="20"/>
      <c r="FN89" s="20"/>
      <c r="FO89" s="20"/>
      <c r="FP89" s="20"/>
      <c r="FQ89" s="20"/>
      <c r="FR89" s="20"/>
      <c r="FS89" s="20"/>
      <c r="FT89" s="20"/>
      <c r="FU89" s="20"/>
      <c r="FV89" s="20"/>
      <c r="FW89" s="20"/>
      <c r="FX89" s="20"/>
      <c r="FY89" s="20"/>
      <c r="FZ89" s="20"/>
      <c r="GA89" s="20"/>
      <c r="GC89" s="20"/>
      <c r="GD89" s="20"/>
      <c r="GE89" s="26" t="s">
        <v>712</v>
      </c>
      <c r="GF89" s="20">
        <v>0</v>
      </c>
      <c r="GG89" s="20">
        <v>0</v>
      </c>
      <c r="GH89" s="20">
        <v>2</v>
      </c>
      <c r="GI89" s="20">
        <v>2</v>
      </c>
      <c r="GJ89" s="20">
        <v>4</v>
      </c>
      <c r="GK89" s="20">
        <v>6</v>
      </c>
      <c r="GL89" s="20">
        <v>6</v>
      </c>
      <c r="GM89" s="20">
        <v>8</v>
      </c>
      <c r="GN89" s="20">
        <v>10</v>
      </c>
      <c r="GO89" s="20">
        <v>10</v>
      </c>
      <c r="GP89" s="20">
        <v>12</v>
      </c>
      <c r="GQ89" s="20">
        <v>14</v>
      </c>
      <c r="GR89" s="20">
        <v>14</v>
      </c>
      <c r="GS89" s="20">
        <v>16</v>
      </c>
      <c r="GT89" s="20">
        <v>18</v>
      </c>
      <c r="GU89" s="20">
        <v>18</v>
      </c>
      <c r="GV89" s="20">
        <v>20</v>
      </c>
      <c r="GW89" s="20">
        <v>20</v>
      </c>
      <c r="GX89" s="20">
        <v>22</v>
      </c>
      <c r="GY89" s="20">
        <v>24</v>
      </c>
      <c r="GZ89" s="20">
        <v>24</v>
      </c>
      <c r="HA89" s="20">
        <v>26</v>
      </c>
      <c r="HB89" s="20">
        <v>28</v>
      </c>
      <c r="HC89" s="20">
        <v>28</v>
      </c>
      <c r="HD89" s="20">
        <v>30</v>
      </c>
      <c r="HE89" s="20">
        <v>32</v>
      </c>
      <c r="HF89" s="20"/>
      <c r="HG89" s="20"/>
      <c r="HH89" s="20"/>
      <c r="HI89" s="20"/>
      <c r="HJ89" s="20"/>
      <c r="HK89" s="20"/>
      <c r="HL89" s="20"/>
      <c r="HM89" s="20"/>
      <c r="HN89" s="20"/>
      <c r="HO89" s="20"/>
      <c r="HP89" s="20"/>
      <c r="HQ89" s="20"/>
      <c r="HR89" s="20"/>
      <c r="HS89" s="20"/>
      <c r="HT89" s="20"/>
      <c r="HU89" s="20"/>
      <c r="HV89" s="20"/>
      <c r="HW89" s="20"/>
      <c r="HX89" s="20"/>
      <c r="HY89" s="20"/>
      <c r="HZ89" s="20"/>
      <c r="IA89" s="20"/>
      <c r="IB89" s="20"/>
      <c r="IC89" s="20"/>
      <c r="ID89" s="20"/>
      <c r="JI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89,$JT$2:$KS$2,0),MATCH($W$65,$AH$22:$AH$47,0)))*C89</f>
        <v>0</v>
      </c>
      <c r="JJ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89,$JT$2:$KS$2,0),MATCH($W$65,$AH$22:$AH$47,0)))*C89</f>
        <v>0</v>
      </c>
      <c r="JK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89,$JT$2:$KS$2,0),MATCH($W$65,$AH$22:$AH$47,0)))*C89</f>
        <v>0</v>
      </c>
      <c r="JL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89,$JT$2:$KS$2,0),MATCH($W$65,$AH$22:$AH$47,0)))*C89</f>
        <v>0</v>
      </c>
      <c r="JM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89,$JT$2:$KS$2,0),MATCH($W$65,$AH$22:$AH$47,0)))*C89</f>
        <v>0</v>
      </c>
      <c r="JN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89,$JT$2:$KS$2,0),MATCH($W$65,$AH$22:$AH$47,0)))*C89</f>
        <v>0</v>
      </c>
      <c r="JO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89,$JT$2:$KS$2,0),MATCH($W$65,$AH$22:$AH$47,0)))*C89</f>
        <v>0</v>
      </c>
      <c r="JP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89,$JT$2:$KS$2,0),MATCH($W$65,$AH$22:$AH$47,0)))*C89</f>
        <v>0</v>
      </c>
      <c r="JQ8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89,$JT$2:$KS$2,0),MATCH($W$65,$AH$22:$AH$47,0)))*C89</f>
        <v>0</v>
      </c>
      <c r="JS89" s="21" t="s">
        <v>127</v>
      </c>
      <c r="JT89" s="21">
        <v>0</v>
      </c>
      <c r="JU89" s="21">
        <v>0</v>
      </c>
      <c r="JV89" s="21">
        <v>0</v>
      </c>
      <c r="JW89" s="21">
        <v>0</v>
      </c>
      <c r="JX89" s="21">
        <v>0</v>
      </c>
      <c r="JY89" s="21">
        <v>0</v>
      </c>
      <c r="JZ89" s="21">
        <v>2</v>
      </c>
      <c r="KA89" s="21">
        <v>0</v>
      </c>
      <c r="KB89" s="21">
        <v>0</v>
      </c>
      <c r="KC89" s="21">
        <v>0</v>
      </c>
      <c r="KD89" s="21">
        <v>0</v>
      </c>
      <c r="KE89" s="21">
        <v>0</v>
      </c>
      <c r="KF89" s="21">
        <v>0</v>
      </c>
      <c r="KG89" s="21">
        <v>2</v>
      </c>
      <c r="KH89" s="21">
        <v>0</v>
      </c>
      <c r="KI89" s="21">
        <v>4</v>
      </c>
      <c r="KJ89" s="21">
        <v>2</v>
      </c>
      <c r="KK89" s="21">
        <v>0</v>
      </c>
      <c r="KL89" s="21">
        <v>0</v>
      </c>
      <c r="KM89" s="21">
        <v>0</v>
      </c>
      <c r="KN89" s="21">
        <v>0</v>
      </c>
      <c r="KO89" s="21">
        <v>2</v>
      </c>
      <c r="KP89" s="21">
        <v>2</v>
      </c>
      <c r="KQ89" s="21">
        <v>0</v>
      </c>
      <c r="KR89" s="21">
        <v>4</v>
      </c>
      <c r="KS89" s="21">
        <v>2</v>
      </c>
      <c r="KU89" s="20" t="s">
        <v>127</v>
      </c>
      <c r="KV89" s="20">
        <v>0</v>
      </c>
      <c r="KW89" s="20">
        <v>0</v>
      </c>
      <c r="KX89" s="20">
        <v>0</v>
      </c>
      <c r="KY89" s="20">
        <v>0</v>
      </c>
      <c r="KZ89" s="20">
        <v>2</v>
      </c>
      <c r="LA89" s="20">
        <v>0</v>
      </c>
      <c r="LB89" s="20">
        <v>0</v>
      </c>
      <c r="LC89" s="20">
        <v>0</v>
      </c>
      <c r="LD89" s="20">
        <v>2</v>
      </c>
      <c r="LE89" s="20">
        <v>0</v>
      </c>
      <c r="LF89" s="20">
        <v>0</v>
      </c>
      <c r="LG89" s="20">
        <v>0</v>
      </c>
      <c r="LH89" s="20">
        <v>0</v>
      </c>
      <c r="LI89" s="20">
        <v>0</v>
      </c>
      <c r="LJ89" s="20">
        <v>2</v>
      </c>
      <c r="LK89" s="20">
        <v>0</v>
      </c>
      <c r="LL89" s="20">
        <v>2</v>
      </c>
      <c r="LM89" s="20">
        <v>0</v>
      </c>
      <c r="LN89" s="20">
        <v>2</v>
      </c>
      <c r="LO89" s="20">
        <v>0</v>
      </c>
      <c r="LP89" s="20">
        <v>0</v>
      </c>
      <c r="LQ89" s="20">
        <v>0</v>
      </c>
      <c r="LR89" s="20">
        <v>2</v>
      </c>
      <c r="LS89" s="20">
        <v>0</v>
      </c>
      <c r="LT89" s="20">
        <v>0</v>
      </c>
      <c r="LU89" s="20">
        <v>2</v>
      </c>
      <c r="LW89" s="20" t="s">
        <v>127</v>
      </c>
      <c r="LX89" s="20">
        <v>0</v>
      </c>
      <c r="LY89" s="20">
        <v>2</v>
      </c>
      <c r="LZ89" s="20">
        <v>2</v>
      </c>
      <c r="MA89" s="20">
        <v>0</v>
      </c>
      <c r="MB89" s="20">
        <v>0</v>
      </c>
      <c r="MC89" s="20">
        <v>0</v>
      </c>
      <c r="MD89" s="20">
        <v>0</v>
      </c>
      <c r="ME89" s="20">
        <v>4</v>
      </c>
      <c r="MF89" s="20">
        <v>0</v>
      </c>
      <c r="MG89" s="20">
        <v>2</v>
      </c>
      <c r="MH89" s="20">
        <v>0</v>
      </c>
      <c r="MI89" s="20">
        <v>2</v>
      </c>
      <c r="MJ89" s="20">
        <v>0</v>
      </c>
      <c r="MK89" s="20">
        <v>0</v>
      </c>
      <c r="ML89" s="20">
        <v>0</v>
      </c>
      <c r="MM89" s="20">
        <v>0</v>
      </c>
      <c r="MN89" s="20">
        <v>2</v>
      </c>
      <c r="MO89" s="20">
        <v>0</v>
      </c>
      <c r="MP89" s="20">
        <v>0</v>
      </c>
      <c r="MQ89" s="20">
        <v>2</v>
      </c>
      <c r="MR89" s="20">
        <v>0</v>
      </c>
      <c r="MS89" s="20">
        <v>0</v>
      </c>
      <c r="MT89" s="20">
        <v>0</v>
      </c>
      <c r="MU89" s="20">
        <v>0</v>
      </c>
      <c r="MV89" s="20">
        <v>2</v>
      </c>
      <c r="MW89" s="20">
        <v>0</v>
      </c>
    </row>
    <row r="90" spans="1:389" x14ac:dyDescent="0.25">
      <c r="A90" s="8"/>
      <c r="B90" s="5" t="s">
        <v>116</v>
      </c>
      <c r="C90" s="8"/>
      <c r="D90" s="40" t="s">
        <v>944</v>
      </c>
      <c r="E90" s="4"/>
      <c r="F90" s="4"/>
      <c r="G90" s="4"/>
      <c r="H90" s="4"/>
      <c r="I90" s="4"/>
      <c r="J90" s="4"/>
      <c r="K90" s="4"/>
      <c r="L90" s="6" t="str">
        <f>IF(E88=$AT$2,(IF(E85=$AK$22,"SSZ10x20E A2",IF(E85=$AK$23,"SSZ10x20E A2",IF(E85=$AK$24,"SGKFM10X20PV",0)))),IF(E88=$AT$3,(IF(E85=$AK$22,"SMHM10X33E",IF(E85=$AK$23,"SMHM10X33E",IF(E85=$AK$24,"SGKFM10X20PV",0))))))</f>
        <v>SSZ10x20E A2</v>
      </c>
      <c r="M90" s="14">
        <f>INDEX(cennik!$C$2:$L$529,MATCH($L90,cennik!$B$2:$B$522,0),MATCH(M$27,cennik!$C$1:$L$1,0))</f>
        <v>991020</v>
      </c>
      <c r="N90" s="14" t="str">
        <f>INDEX(cennik!$C$2:$L$529,MATCH($L90,cennik!$B$2:$B$522,0),MATCH(N$27,cennik!$C$1:$L$1,0))</f>
        <v>100 szt.</v>
      </c>
      <c r="O90" s="14">
        <f>ROUNDUP(((O88+IF(E85=$AK$24,E86+O87*4,0))/100),0)</f>
        <v>1</v>
      </c>
      <c r="P90" s="22">
        <f>INDEX(cennik!$C$2:$L$529,MATCH($L90,cennik!$B$2:$B$522,0),MATCH(P$27,cennik!$C$1:$L$1,0))</f>
        <v>69.75</v>
      </c>
      <c r="Q90" s="22">
        <f t="shared" si="87"/>
        <v>69.75</v>
      </c>
      <c r="R90" s="23">
        <f t="shared" si="83"/>
        <v>0</v>
      </c>
      <c r="S90" s="22">
        <f t="shared" si="84"/>
        <v>69.75</v>
      </c>
      <c r="T90" s="22">
        <f t="shared" si="88"/>
        <v>69.75</v>
      </c>
      <c r="U90" s="22">
        <f>INDEX(cennik!$C$2:$L$529,MATCH($L90,cennik!$B$2:$B$522,0),MATCH(U$27,cennik!$C$1:$L$1,0))*O90</f>
        <v>2.5</v>
      </c>
      <c r="V90" s="20"/>
      <c r="W90" s="20"/>
      <c r="X90" s="25">
        <f t="shared" si="89"/>
        <v>0</v>
      </c>
      <c r="Y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105,$BB$2:$CA$2,0),MATCH($W$87,$AH$22:$AH$47,0)))*C105</f>
        <v>0</v>
      </c>
      <c r="Z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105,$BB$2:$CA$2,0),MATCH($W$87,$AH$22:$AH$47,0)))*C105</f>
        <v>0</v>
      </c>
      <c r="AA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105,$BB$2:$CA$2,0),MATCH($W$87,$AH$22:$AH$47,0)))*C105</f>
        <v>0</v>
      </c>
      <c r="AB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105,$BB$2:$CA$2,0),MATCH($W$87,$AH$22:$AH$47,0)))*C105</f>
        <v>0</v>
      </c>
      <c r="AC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105,$BB$2:$CA$2,0),MATCH($W$87,$AH$22:$AH$47,0)))*C105</f>
        <v>0</v>
      </c>
      <c r="AD9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105,$BB$2:$CA$2,0),MATCH($W$87,$AH$22:$AH$47,0)))*C105</f>
        <v>0</v>
      </c>
      <c r="AE90" s="20"/>
      <c r="AF90" s="20"/>
      <c r="AG90" s="20"/>
      <c r="AH90" s="20"/>
      <c r="AI90" s="20"/>
      <c r="AJ90" s="20"/>
      <c r="AK90" s="20"/>
      <c r="AL90" s="20">
        <f t="shared" si="90"/>
        <v>0</v>
      </c>
      <c r="AM90" s="20"/>
      <c r="AN90" s="20"/>
      <c r="AO90" s="20"/>
      <c r="AP90" s="20"/>
      <c r="AQ90" s="20"/>
      <c r="AR90" s="20"/>
      <c r="AS90" s="20"/>
      <c r="AT90" s="20"/>
      <c r="AU90" s="20"/>
      <c r="AV90" s="20"/>
      <c r="AW90" s="20"/>
      <c r="AX90" s="20"/>
      <c r="AY90" s="20"/>
      <c r="AZ90" s="20"/>
      <c r="DA90" s="54"/>
      <c r="DB90" s="54"/>
      <c r="DC90" s="54"/>
      <c r="DD90" s="20" t="s">
        <v>127</v>
      </c>
      <c r="DE90" s="20">
        <v>0</v>
      </c>
      <c r="DF90" s="20">
        <v>2</v>
      </c>
      <c r="DG90" s="20">
        <v>4</v>
      </c>
      <c r="DH90" s="20">
        <v>0</v>
      </c>
      <c r="DI90" s="20">
        <v>4</v>
      </c>
      <c r="DJ90" s="20">
        <v>0</v>
      </c>
      <c r="DK90" s="20">
        <v>2</v>
      </c>
      <c r="DL90" s="20">
        <v>0</v>
      </c>
      <c r="DM90" s="20">
        <v>2</v>
      </c>
      <c r="DN90" s="20">
        <v>4</v>
      </c>
      <c r="DO90" s="20">
        <v>0</v>
      </c>
      <c r="DP90" s="20">
        <v>4</v>
      </c>
      <c r="DQ90" s="20">
        <v>0</v>
      </c>
      <c r="DR90" s="20">
        <v>2</v>
      </c>
      <c r="DS90" s="20">
        <v>0</v>
      </c>
      <c r="DT90" s="20">
        <v>2</v>
      </c>
      <c r="DU90" s="20">
        <v>4</v>
      </c>
      <c r="DV90" s="20">
        <v>2</v>
      </c>
      <c r="DW90" s="20">
        <v>4</v>
      </c>
      <c r="DX90" s="20">
        <v>0</v>
      </c>
      <c r="DY90" s="20">
        <v>2</v>
      </c>
      <c r="DZ90" s="20"/>
      <c r="EA90" s="20"/>
      <c r="EB90" s="20"/>
      <c r="GC90" s="20"/>
      <c r="GD90" s="20"/>
      <c r="GE90" s="20"/>
      <c r="GF90" s="20"/>
      <c r="GG90" s="20"/>
      <c r="GH90" s="20"/>
      <c r="GI90" s="20"/>
      <c r="GJ90" s="20"/>
      <c r="GK90" s="20"/>
      <c r="GL90" s="20"/>
      <c r="GM90" s="20"/>
      <c r="GN90" s="20"/>
      <c r="GO90" s="20"/>
      <c r="GP90" s="20"/>
      <c r="GQ90" s="20"/>
      <c r="GR90" s="20"/>
      <c r="GS90" s="20"/>
      <c r="GT90" s="20"/>
      <c r="GU90" s="20"/>
      <c r="GV90" s="20"/>
      <c r="GW90" s="20"/>
      <c r="GX90" s="20"/>
      <c r="GY90" s="20"/>
      <c r="GZ90" s="20"/>
      <c r="HA90" s="20"/>
      <c r="HB90" s="20"/>
      <c r="HC90" s="20"/>
      <c r="HD90" s="20"/>
      <c r="HE90" s="20"/>
      <c r="HF90" s="20"/>
      <c r="HG90" s="20"/>
      <c r="HH90" s="20"/>
      <c r="HI90" s="20"/>
      <c r="HJ90" s="20"/>
      <c r="HK90" s="20"/>
      <c r="HL90" s="20"/>
      <c r="HM90" s="20"/>
      <c r="HN90" s="20"/>
      <c r="HO90" s="20"/>
      <c r="HP90" s="20"/>
      <c r="HQ90" s="20"/>
      <c r="HR90" s="20"/>
      <c r="HS90" s="20"/>
      <c r="HT90" s="20"/>
      <c r="HU90" s="20"/>
      <c r="HV90" s="20"/>
      <c r="HW90" s="20"/>
      <c r="HX90" s="20"/>
      <c r="HY90" s="20"/>
      <c r="HZ90" s="20"/>
      <c r="IA90" s="20"/>
      <c r="IB90" s="20"/>
      <c r="IC90" s="20"/>
      <c r="ID90" s="20"/>
      <c r="JI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90,$JT$2:$KS$2,0),MATCH($W$65,$AH$22:$AH$47,0)))*C90</f>
        <v>0</v>
      </c>
      <c r="JJ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90,$JT$2:$KS$2,0),MATCH($W$65,$AH$22:$AH$47,0)))*C90</f>
        <v>0</v>
      </c>
      <c r="JK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90,$JT$2:$KS$2,0),MATCH($W$65,$AH$22:$AH$47,0)))*C90</f>
        <v>0</v>
      </c>
      <c r="JL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90,$JT$2:$KS$2,0),MATCH($W$65,$AH$22:$AH$47,0)))*C90</f>
        <v>0</v>
      </c>
      <c r="JM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90,$JT$2:$KS$2,0),MATCH($W$65,$AH$22:$AH$47,0)))*C90</f>
        <v>0</v>
      </c>
      <c r="JN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90,$JT$2:$KS$2,0),MATCH($W$65,$AH$22:$AH$47,0)))*C90</f>
        <v>0</v>
      </c>
      <c r="JO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90,$JT$2:$KS$2,0),MATCH($W$65,$AH$22:$AH$47,0)))*C90</f>
        <v>0</v>
      </c>
      <c r="JP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90,$JT$2:$KS$2,0),MATCH($W$65,$AH$22:$AH$47,0)))*C90</f>
        <v>0</v>
      </c>
      <c r="JQ9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90,$JT$2:$KS$2,0),MATCH($W$65,$AH$22:$AH$47,0)))*C90</f>
        <v>0</v>
      </c>
      <c r="JS90" s="20" t="s">
        <v>1024</v>
      </c>
      <c r="JT90" s="21">
        <v>0</v>
      </c>
      <c r="JU90" s="21">
        <v>0</v>
      </c>
      <c r="JV90" s="21">
        <v>0</v>
      </c>
      <c r="JW90" s="21">
        <v>0</v>
      </c>
      <c r="JX90" s="21">
        <v>0</v>
      </c>
      <c r="JY90" s="21">
        <v>0</v>
      </c>
      <c r="JZ90" s="21">
        <v>0</v>
      </c>
      <c r="KA90" s="21">
        <v>0</v>
      </c>
      <c r="KB90" s="21">
        <v>0</v>
      </c>
      <c r="KC90" s="21">
        <v>0</v>
      </c>
      <c r="KD90" s="21">
        <v>0</v>
      </c>
      <c r="KE90" s="21">
        <v>0</v>
      </c>
      <c r="KF90" s="21">
        <v>0</v>
      </c>
      <c r="KG90" s="21">
        <v>0</v>
      </c>
      <c r="KH90" s="21">
        <v>0</v>
      </c>
      <c r="KI90" s="21">
        <v>0</v>
      </c>
      <c r="KJ90" s="21">
        <v>0</v>
      </c>
      <c r="KK90" s="21">
        <v>0</v>
      </c>
      <c r="KL90" s="21">
        <v>0</v>
      </c>
      <c r="KM90" s="21">
        <v>0</v>
      </c>
      <c r="KN90" s="21">
        <v>0</v>
      </c>
      <c r="KO90" s="21">
        <v>0</v>
      </c>
      <c r="KP90" s="21">
        <v>0</v>
      </c>
      <c r="KQ90" s="21">
        <v>0</v>
      </c>
      <c r="KR90" s="21">
        <v>0</v>
      </c>
      <c r="KS90" s="21">
        <v>0</v>
      </c>
      <c r="KU90" s="20" t="s">
        <v>1024</v>
      </c>
      <c r="KV90" s="20">
        <v>0</v>
      </c>
      <c r="KW90" s="20">
        <v>0</v>
      </c>
      <c r="KX90" s="20">
        <v>0</v>
      </c>
      <c r="KY90" s="20">
        <v>0</v>
      </c>
      <c r="KZ90" s="20">
        <v>0</v>
      </c>
      <c r="LA90" s="20">
        <v>0</v>
      </c>
      <c r="LB90" s="20">
        <v>0</v>
      </c>
      <c r="LC90" s="20">
        <v>0</v>
      </c>
      <c r="LD90" s="20">
        <v>0</v>
      </c>
      <c r="LE90" s="20">
        <v>0</v>
      </c>
      <c r="LF90" s="20">
        <v>0</v>
      </c>
      <c r="LG90" s="20">
        <v>0</v>
      </c>
      <c r="LH90" s="20">
        <v>4</v>
      </c>
      <c r="LI90" s="20">
        <v>0</v>
      </c>
      <c r="LJ90" s="20">
        <v>0</v>
      </c>
      <c r="LK90" s="20">
        <v>0</v>
      </c>
      <c r="LL90" s="20">
        <v>0</v>
      </c>
      <c r="LM90" s="20">
        <v>0</v>
      </c>
      <c r="LN90" s="20">
        <v>0</v>
      </c>
      <c r="LO90" s="20">
        <v>0</v>
      </c>
      <c r="LP90" s="20">
        <v>0</v>
      </c>
      <c r="LQ90" s="20">
        <v>0</v>
      </c>
      <c r="LR90" s="20">
        <v>0</v>
      </c>
      <c r="LS90" s="20">
        <v>0</v>
      </c>
      <c r="LT90" s="20">
        <v>0</v>
      </c>
      <c r="LU90" s="20">
        <v>0</v>
      </c>
      <c r="LW90" s="20" t="s">
        <v>1024</v>
      </c>
      <c r="LX90" s="20">
        <v>0</v>
      </c>
      <c r="LY90" s="20">
        <v>0</v>
      </c>
      <c r="LZ90" s="20">
        <v>0</v>
      </c>
      <c r="MA90" s="20">
        <v>0</v>
      </c>
      <c r="MB90" s="20">
        <v>0</v>
      </c>
      <c r="MC90" s="20">
        <v>0</v>
      </c>
      <c r="MD90" s="20">
        <v>0</v>
      </c>
      <c r="ME90" s="20">
        <v>0</v>
      </c>
      <c r="MF90" s="20">
        <v>0</v>
      </c>
      <c r="MG90" s="20">
        <v>0</v>
      </c>
      <c r="MH90" s="20">
        <v>0</v>
      </c>
      <c r="MI90" s="20">
        <v>0</v>
      </c>
      <c r="MJ90" s="20">
        <v>0</v>
      </c>
      <c r="MK90" s="20">
        <v>0</v>
      </c>
      <c r="ML90" s="20">
        <v>0</v>
      </c>
      <c r="MM90" s="20">
        <v>0</v>
      </c>
      <c r="MN90" s="20">
        <v>0</v>
      </c>
      <c r="MO90" s="20">
        <v>0</v>
      </c>
      <c r="MP90" s="20">
        <v>0</v>
      </c>
      <c r="MQ90" s="20">
        <v>0</v>
      </c>
      <c r="MR90" s="20">
        <v>0</v>
      </c>
      <c r="MS90" s="20">
        <v>0</v>
      </c>
      <c r="MT90" s="20">
        <v>0</v>
      </c>
      <c r="MU90" s="20">
        <v>0</v>
      </c>
      <c r="MV90" s="20">
        <v>0</v>
      </c>
      <c r="MW90" s="20">
        <v>0</v>
      </c>
    </row>
    <row r="91" spans="1:389" x14ac:dyDescent="0.25">
      <c r="A91" s="8"/>
      <c r="B91" s="5" t="s">
        <v>116</v>
      </c>
      <c r="C91" s="8"/>
      <c r="D91" s="4"/>
      <c r="E91" s="4"/>
      <c r="F91" s="4"/>
      <c r="G91" s="4"/>
      <c r="H91" s="4"/>
      <c r="I91" s="4"/>
      <c r="J91" s="4"/>
      <c r="K91" s="4"/>
      <c r="L91" s="6" t="str">
        <f>IF(E85=$AK$22,"NKZM10E A2",IF(E85=$AK$23,"NKZM10E A2",IF(E85=$AK$24,"-------",0)))</f>
        <v>NKZM10E A2</v>
      </c>
      <c r="M91" s="14">
        <f>INDEX(cennik!$C$2:$L$529,MATCH($L91,cennik!$B$2:$B$522,0),MATCH(M$27,cennik!$C$1:$L$1,0))</f>
        <v>890009</v>
      </c>
      <c r="N91" s="14" t="str">
        <f>INDEX(cennik!$C$2:$L$529,MATCH($L91,cennik!$B$2:$B$522,0),MATCH(N$27,cennik!$C$1:$L$1,0))</f>
        <v>100 szt.</v>
      </c>
      <c r="O91" s="14">
        <f>IF(L91="-------",0,ROUNDUP((O88/100),0))</f>
        <v>1</v>
      </c>
      <c r="P91" s="22">
        <f>INDEX(cennik!$C$2:$L$529,MATCH($L91,cennik!$B$2:$B$522,0),MATCH(P$27,cennik!$C$1:$L$1,0))</f>
        <v>46.15</v>
      </c>
      <c r="Q91" s="22">
        <f t="shared" si="87"/>
        <v>46.15</v>
      </c>
      <c r="R91" s="23">
        <f t="shared" si="83"/>
        <v>0</v>
      </c>
      <c r="S91" s="22">
        <f t="shared" si="84"/>
        <v>46.15</v>
      </c>
      <c r="T91" s="22">
        <f t="shared" si="88"/>
        <v>46.15</v>
      </c>
      <c r="U91" s="22">
        <f>INDEX(cennik!$C$2:$L$529,MATCH($L91,cennik!$B$2:$B$522,0),MATCH(U$27,cennik!$C$1:$L$1,0))*O91</f>
        <v>0.99</v>
      </c>
      <c r="V91" s="20"/>
      <c r="W91" s="20"/>
      <c r="X91" s="25">
        <f t="shared" si="89"/>
        <v>0</v>
      </c>
      <c r="Y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106,$BB$2:$CA$2,0),MATCH($W$87,$AH$22:$AH$47,0)))*C106</f>
        <v>0</v>
      </c>
      <c r="Z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106,$BB$2:$CA$2,0),MATCH($W$87,$AH$22:$AH$47,0)))*C106</f>
        <v>0</v>
      </c>
      <c r="AA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106,$BB$2:$CA$2,0),MATCH($W$87,$AH$22:$AH$47,0)))*C106</f>
        <v>0</v>
      </c>
      <c r="AB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106,$BB$2:$CA$2,0),MATCH($W$87,$AH$22:$AH$47,0)))*C106</f>
        <v>0</v>
      </c>
      <c r="AC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106,$BB$2:$CA$2,0),MATCH($W$87,$AH$22:$AH$47,0)))*C106</f>
        <v>0</v>
      </c>
      <c r="AD9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106,$BB$2:$CA$2,0),MATCH($W$87,$AH$22:$AH$47,0)))*C106</f>
        <v>0</v>
      </c>
      <c r="AE91" s="20"/>
      <c r="AF91" s="20"/>
      <c r="AG91" s="20"/>
      <c r="AH91" s="20"/>
      <c r="AI91" s="20"/>
      <c r="AJ91" s="20"/>
      <c r="AK91" s="20"/>
      <c r="AL91" s="20">
        <f t="shared" si="90"/>
        <v>0</v>
      </c>
      <c r="AM91" s="20"/>
      <c r="AN91" s="20"/>
      <c r="AO91" s="20"/>
      <c r="AP91" s="20"/>
      <c r="AQ91" s="20"/>
      <c r="AR91" s="20"/>
      <c r="AS91" s="20"/>
      <c r="AT91" s="20"/>
      <c r="AU91" s="20"/>
      <c r="AV91" s="20"/>
      <c r="AW91" s="20"/>
      <c r="AX91" s="20"/>
      <c r="AY91" s="20"/>
      <c r="AZ91" s="20"/>
      <c r="BA91" s="20" t="s">
        <v>714</v>
      </c>
      <c r="DA91" s="54"/>
      <c r="DB91" s="54"/>
      <c r="DC91" s="54"/>
      <c r="DD91" s="20" t="s">
        <v>19</v>
      </c>
      <c r="DE91" s="20">
        <v>0</v>
      </c>
      <c r="DF91" s="20">
        <v>0</v>
      </c>
      <c r="DG91" s="20">
        <v>0</v>
      </c>
      <c r="DH91" s="20">
        <v>4</v>
      </c>
      <c r="DI91" s="20">
        <v>2</v>
      </c>
      <c r="DJ91" s="20">
        <v>6</v>
      </c>
      <c r="DK91" s="20">
        <v>6</v>
      </c>
      <c r="DL91" s="20">
        <v>8</v>
      </c>
      <c r="DM91" s="20">
        <v>8</v>
      </c>
      <c r="DN91" s="20">
        <v>8</v>
      </c>
      <c r="DO91" s="20">
        <v>12</v>
      </c>
      <c r="DP91" s="20">
        <v>10</v>
      </c>
      <c r="DQ91" s="20">
        <v>14</v>
      </c>
      <c r="DR91" s="20">
        <v>14</v>
      </c>
      <c r="DS91" s="20">
        <v>16</v>
      </c>
      <c r="DT91" s="20">
        <v>16</v>
      </c>
      <c r="DU91" s="20">
        <v>16</v>
      </c>
      <c r="DV91" s="20">
        <v>18</v>
      </c>
      <c r="DW91" s="20">
        <v>18</v>
      </c>
      <c r="DX91" s="20">
        <v>22</v>
      </c>
      <c r="DY91" s="20">
        <v>22</v>
      </c>
      <c r="DZ91" s="20"/>
      <c r="EA91" s="20"/>
      <c r="EB91" s="20"/>
      <c r="GC91" s="20"/>
      <c r="GD91" s="20"/>
      <c r="GE91" s="20" t="s">
        <v>478</v>
      </c>
      <c r="GF91" s="20"/>
      <c r="GG91" s="20"/>
      <c r="GH91" s="20"/>
      <c r="GI91" s="20"/>
      <c r="GJ91" s="20"/>
      <c r="GK91" s="20"/>
      <c r="GL91" s="20"/>
      <c r="GM91" s="20"/>
      <c r="GN91" s="20"/>
      <c r="GO91" s="20"/>
      <c r="GP91" s="20"/>
      <c r="GQ91" s="20"/>
      <c r="GR91" s="20"/>
      <c r="GS91" s="20"/>
      <c r="GT91" s="20"/>
      <c r="GU91" s="20"/>
      <c r="GV91" s="20"/>
      <c r="GW91" s="20"/>
      <c r="GX91" s="20"/>
      <c r="GY91" s="20"/>
      <c r="GZ91" s="20"/>
      <c r="HA91" s="20"/>
      <c r="HB91" s="20"/>
      <c r="HC91" s="20"/>
      <c r="HD91" s="20"/>
      <c r="HE91" s="20"/>
      <c r="HF91" s="20"/>
      <c r="HG91" s="20"/>
      <c r="HH91" s="20"/>
      <c r="HI91" s="20"/>
      <c r="HJ91" s="20"/>
      <c r="HK91" s="20"/>
      <c r="HL91" s="20"/>
      <c r="HM91" s="20"/>
      <c r="HN91" s="20"/>
      <c r="HO91" s="20"/>
      <c r="HP91" s="20"/>
      <c r="HQ91" s="20"/>
      <c r="HR91" s="20"/>
      <c r="HS91" s="20"/>
      <c r="HT91" s="20"/>
      <c r="HU91" s="20"/>
      <c r="HV91" s="20"/>
      <c r="HW91" s="20"/>
      <c r="HX91" s="20"/>
      <c r="HY91" s="20"/>
      <c r="HZ91" s="20"/>
      <c r="IA91" s="20"/>
      <c r="IB91" s="20"/>
      <c r="IC91" s="20"/>
      <c r="ID91" s="20"/>
      <c r="JI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91,$JT$2:$KS$2,0),MATCH($W$65,$AH$22:$AH$47,0)))*C91</f>
        <v>0</v>
      </c>
      <c r="JJ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91,$JT$2:$KS$2,0),MATCH($W$65,$AH$22:$AH$47,0)))*C91</f>
        <v>0</v>
      </c>
      <c r="JK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91,$JT$2:$KS$2,0),MATCH($W$65,$AH$22:$AH$47,0)))*C91</f>
        <v>0</v>
      </c>
      <c r="JL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91,$JT$2:$KS$2,0),MATCH($W$65,$AH$22:$AH$47,0)))*C91</f>
        <v>0</v>
      </c>
      <c r="JM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91,$JT$2:$KS$2,0),MATCH($W$65,$AH$22:$AH$47,0)))*C91</f>
        <v>0</v>
      </c>
      <c r="JN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91,$JT$2:$KS$2,0),MATCH($W$65,$AH$22:$AH$47,0)))*C91</f>
        <v>0</v>
      </c>
      <c r="JO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91,$JT$2:$KS$2,0),MATCH($W$65,$AH$22:$AH$47,0)))*C91</f>
        <v>0</v>
      </c>
      <c r="JP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91,$JT$2:$KS$2,0),MATCH($W$65,$AH$22:$AH$47,0)))*C91</f>
        <v>0</v>
      </c>
      <c r="JQ9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91,$JT$2:$KS$2,0),MATCH($W$65,$AH$22:$AH$47,0)))*C91</f>
        <v>0</v>
      </c>
      <c r="JS91" s="21" t="s">
        <v>15</v>
      </c>
      <c r="JT91" s="21">
        <v>0</v>
      </c>
      <c r="JU91" s="21">
        <v>0</v>
      </c>
      <c r="JV91" s="21">
        <v>2</v>
      </c>
      <c r="JW91" s="21">
        <v>0</v>
      </c>
      <c r="JX91" s="21">
        <v>2</v>
      </c>
      <c r="JY91" s="21">
        <v>4</v>
      </c>
      <c r="JZ91" s="21">
        <v>2</v>
      </c>
      <c r="KA91" s="21">
        <v>0</v>
      </c>
      <c r="KB91" s="21">
        <v>0</v>
      </c>
      <c r="KC91" s="21">
        <v>0</v>
      </c>
      <c r="KD91" s="21">
        <v>0</v>
      </c>
      <c r="KE91" s="21">
        <v>0</v>
      </c>
      <c r="KF91" s="21">
        <v>0</v>
      </c>
      <c r="KG91" s="21">
        <v>0</v>
      </c>
      <c r="KH91" s="21">
        <v>2</v>
      </c>
      <c r="KI91" s="21">
        <v>0</v>
      </c>
      <c r="KJ91" s="21">
        <v>0</v>
      </c>
      <c r="KK91" s="21">
        <v>0</v>
      </c>
      <c r="KL91" s="21">
        <v>0</v>
      </c>
      <c r="KM91" s="21">
        <v>0</v>
      </c>
      <c r="KN91" s="21">
        <v>0</v>
      </c>
      <c r="KO91" s="21">
        <v>0</v>
      </c>
      <c r="KP91" s="21">
        <v>0</v>
      </c>
      <c r="KQ91" s="21">
        <v>0</v>
      </c>
      <c r="KR91" s="21">
        <v>0</v>
      </c>
      <c r="KS91" s="21">
        <v>0</v>
      </c>
      <c r="KU91" s="20" t="s">
        <v>15</v>
      </c>
      <c r="KV91" s="20">
        <v>0</v>
      </c>
      <c r="KW91" s="20">
        <v>0</v>
      </c>
      <c r="KX91" s="20">
        <v>0</v>
      </c>
      <c r="KY91" s="20">
        <v>0</v>
      </c>
      <c r="KZ91" s="20">
        <v>0</v>
      </c>
      <c r="LA91" s="20">
        <v>6</v>
      </c>
      <c r="LB91" s="20">
        <v>0</v>
      </c>
      <c r="LC91" s="20">
        <v>0</v>
      </c>
      <c r="LD91" s="20">
        <v>0</v>
      </c>
      <c r="LE91" s="20">
        <v>2</v>
      </c>
      <c r="LF91" s="20">
        <v>0</v>
      </c>
      <c r="LG91" s="20">
        <v>0</v>
      </c>
      <c r="LH91" s="20">
        <v>0</v>
      </c>
      <c r="LI91" s="20">
        <v>0</v>
      </c>
      <c r="LJ91" s="20">
        <v>0</v>
      </c>
      <c r="LK91" s="20">
        <v>0</v>
      </c>
      <c r="LL91" s="20">
        <v>0</v>
      </c>
      <c r="LM91" s="20">
        <v>0</v>
      </c>
      <c r="LN91" s="20">
        <v>0</v>
      </c>
      <c r="LO91" s="20">
        <v>0</v>
      </c>
      <c r="LP91" s="20">
        <v>0</v>
      </c>
      <c r="LQ91" s="20">
        <v>0</v>
      </c>
      <c r="LR91" s="20">
        <v>0</v>
      </c>
      <c r="LS91" s="20">
        <v>0</v>
      </c>
      <c r="LT91" s="20">
        <v>0</v>
      </c>
      <c r="LU91" s="20">
        <v>0</v>
      </c>
      <c r="LW91" s="20" t="s">
        <v>15</v>
      </c>
      <c r="LX91" s="20">
        <v>0</v>
      </c>
      <c r="LY91" s="20">
        <v>0</v>
      </c>
      <c r="LZ91" s="20">
        <v>0</v>
      </c>
      <c r="MA91" s="20">
        <v>2</v>
      </c>
      <c r="MB91" s="20">
        <v>2</v>
      </c>
      <c r="MC91" s="20">
        <v>0</v>
      </c>
      <c r="MD91" s="20">
        <v>0</v>
      </c>
      <c r="ME91" s="20">
        <v>0</v>
      </c>
      <c r="MF91" s="20">
        <v>0</v>
      </c>
      <c r="MG91" s="20">
        <v>0</v>
      </c>
      <c r="MH91" s="20">
        <v>0</v>
      </c>
      <c r="MI91" s="20">
        <v>0</v>
      </c>
      <c r="MJ91" s="20">
        <v>0</v>
      </c>
      <c r="MK91" s="20">
        <v>0</v>
      </c>
      <c r="ML91" s="20">
        <v>0</v>
      </c>
      <c r="MM91" s="20">
        <v>0</v>
      </c>
      <c r="MN91" s="20">
        <v>0</v>
      </c>
      <c r="MO91" s="20">
        <v>2</v>
      </c>
      <c r="MP91" s="20">
        <v>0</v>
      </c>
      <c r="MQ91" s="20">
        <v>0</v>
      </c>
      <c r="MR91" s="20">
        <v>0</v>
      </c>
      <c r="MS91" s="20">
        <v>0</v>
      </c>
      <c r="MT91" s="20">
        <v>0</v>
      </c>
      <c r="MU91" s="20">
        <v>0</v>
      </c>
      <c r="MV91" s="20">
        <v>0</v>
      </c>
      <c r="MW91" s="20">
        <v>0</v>
      </c>
    </row>
    <row r="92" spans="1:389" x14ac:dyDescent="0.25">
      <c r="A92" s="8"/>
      <c r="B92" s="5" t="s">
        <v>116</v>
      </c>
      <c r="C92" s="8"/>
      <c r="D92" s="4"/>
      <c r="E92" s="4"/>
      <c r="F92" s="4"/>
      <c r="G92" s="4"/>
      <c r="H92" s="4"/>
      <c r="I92" s="4"/>
      <c r="J92" s="4"/>
      <c r="K92" s="4"/>
      <c r="L92" s="6" t="str">
        <f>IF(E82=$AC$1,INDEX(($AN$28:$AO$37,$AN$42:$AO$51,$AN$56:$AO$65),MATCH(I79,$AM$28:$AM$37,0),MATCH(E83,$AN$27:$AO$27,0),MATCH(E85,$AK$22:$AK$24,0)),IF(E82=$AC$2,INDEX(($AT$28:$AU$37,$AT$42:$AU$51,$AT$56:$AU$65),MATCH(I79,$AS$28:$AS$37,0),MATCH(E83,$AT$27:$AU$27,0),MATCH(E85,$AK$22:$AK$24,0)),0))</f>
        <v>BUF35</v>
      </c>
      <c r="M92" s="14">
        <f>INDEX(cennik!$C$2:$L$529,MATCH($L92,cennik!$B$2:$B$522,0),MATCH(M$27,cennik!$C$1:$L$1,0))</f>
        <v>897335</v>
      </c>
      <c r="N92" s="14" t="str">
        <f>INDEX(cennik!$C$2:$L$529,MATCH($L92,cennik!$B$2:$B$522,0),MATCH(N$27,cennik!$C$1:$L$1,0))</f>
        <v>szt.</v>
      </c>
      <c r="O92" s="14">
        <f>SUM(IF(A78=0,0,IF((A78&gt;0),C78*4)),IF(A79=0,0,IF((A79&gt;0),C79*4)),IF(A80=0,0,IF((A80&gt;0),C80*4)),IF(A81=0,0,IF((A81&gt;0),C81*4)),IF(A82=0,0,IF((A82&gt;0),C82*4)),IF(A83=0,0,IF((A83&gt;0),C83*4)),IF(A84=0,0,IF((A84&gt;0),C84*4)),IF(A85=0,0,IF((A85&gt;0),C85*4)),IF(A86=0,0,IF((A86&gt;0),C86*4)),IF(A87=0,0,IF((A87&gt;0),C87*4)),IF(A88=0,0,IF((A88&gt;0),C88*4)),IF(A89=0,0,IF((A89&gt;0),C89*4)),IF(A90=0,0,IF((A90&gt;0),C90*4)),IF(A91=0,0,IF((A91&gt;0),C91*4)),IF(A92=0,0,IF((A92&gt;0),C92*4)),,IF(A93=0,0,IF((A93&gt;0),C93*4)))</f>
        <v>4</v>
      </c>
      <c r="P92" s="22">
        <f>INDEX(cennik!$C$2:$L$529,MATCH($L92,cennik!$B$2:$B$522,0),MATCH(P$27,cennik!$C$1:$L$1,0))</f>
        <v>1.92</v>
      </c>
      <c r="Q92" s="22">
        <f t="shared" si="87"/>
        <v>7.68</v>
      </c>
      <c r="R92" s="23">
        <f t="shared" si="83"/>
        <v>0</v>
      </c>
      <c r="S92" s="22">
        <f t="shared" si="84"/>
        <v>1.92</v>
      </c>
      <c r="T92" s="22">
        <f t="shared" si="88"/>
        <v>7.68</v>
      </c>
      <c r="U92" s="22">
        <f>INDEX(cennik!$C$2:$L$529,MATCH($L92,cennik!$B$2:$B$522,0),MATCH(U$27,cennik!$C$1:$L$1,0))*O92</f>
        <v>0.08</v>
      </c>
      <c r="V92" s="20"/>
      <c r="W92" s="20">
        <f>IF(G104=$AH$22,$AJ$22,IF(G104=$AH$23,$AJ$23,IF(G104=$AH$24,$AJ$24,IF(G104=$AH$25,$AJ$25,IF(G104=$AH$26,$AJ$26,IF(G104=$AH$27,$AJ$27,IF(G104=$AH$28,$AJ$28,IF(G104=$AH$29,$AJ$29,0))))))))</f>
        <v>1050</v>
      </c>
      <c r="X92" s="25">
        <f t="shared" si="89"/>
        <v>0</v>
      </c>
      <c r="Y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107,$BB$2:$CA$2,0),MATCH($W$87,$AH$22:$AH$47,0)))*C107</f>
        <v>0</v>
      </c>
      <c r="Z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107,$BB$2:$CA$2,0),MATCH($W$87,$AH$22:$AH$47,0)))*C107</f>
        <v>0</v>
      </c>
      <c r="AA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107,$BB$2:$CA$2,0),MATCH($W$87,$AH$22:$AH$47,0)))*C107</f>
        <v>0</v>
      </c>
      <c r="AB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107,$BB$2:$CA$2,0),MATCH($W$87,$AH$22:$AH$47,0)))*C107</f>
        <v>0</v>
      </c>
      <c r="AC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107,$BB$2:$CA$2,0),MATCH($W$87,$AH$22:$AH$47,0)))*C107</f>
        <v>0</v>
      </c>
      <c r="AD9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107,$BB$2:$CA$2,0),MATCH($W$87,$AH$22:$AH$47,0)))*C107</f>
        <v>0</v>
      </c>
      <c r="AE92" s="20"/>
      <c r="AF92" s="20"/>
      <c r="AG92" s="20"/>
      <c r="AH92" s="20"/>
      <c r="AI92" s="20"/>
      <c r="AJ92" s="20"/>
      <c r="AK92" s="20"/>
      <c r="AL92" s="20">
        <f t="shared" si="90"/>
        <v>0</v>
      </c>
      <c r="AM92" s="20"/>
      <c r="AN92" s="20"/>
      <c r="AO92" s="20"/>
      <c r="AP92" s="20"/>
      <c r="AQ92" s="20"/>
      <c r="AR92" s="20"/>
      <c r="AS92" s="20"/>
      <c r="AT92" s="20"/>
      <c r="AU92" s="20"/>
      <c r="AV92" s="20"/>
      <c r="AW92" s="20"/>
      <c r="AX92" s="20"/>
      <c r="AY92" s="20"/>
      <c r="AZ92" s="20"/>
      <c r="BB92" s="21">
        <v>0</v>
      </c>
      <c r="BC92" s="21">
        <v>1</v>
      </c>
      <c r="BD92" s="21">
        <v>2</v>
      </c>
      <c r="BE92" s="21">
        <v>3</v>
      </c>
      <c r="BF92" s="21">
        <v>4</v>
      </c>
      <c r="BG92" s="21">
        <v>5</v>
      </c>
      <c r="BH92" s="21">
        <v>6</v>
      </c>
      <c r="BI92" s="21">
        <v>7</v>
      </c>
      <c r="BJ92" s="21">
        <v>8</v>
      </c>
      <c r="BK92" s="21">
        <v>9</v>
      </c>
      <c r="BL92" s="21">
        <v>10</v>
      </c>
      <c r="BM92" s="21">
        <v>11</v>
      </c>
      <c r="BN92" s="21">
        <v>12</v>
      </c>
      <c r="BO92" s="21">
        <v>13</v>
      </c>
      <c r="BP92" s="21">
        <v>14</v>
      </c>
      <c r="BQ92" s="21">
        <v>15</v>
      </c>
      <c r="BR92" s="21">
        <v>16</v>
      </c>
      <c r="BS92" s="21">
        <v>17</v>
      </c>
      <c r="BT92" s="21">
        <v>18</v>
      </c>
      <c r="BU92" s="21">
        <v>19</v>
      </c>
      <c r="BV92" s="21">
        <v>20</v>
      </c>
      <c r="BW92" s="21">
        <v>21</v>
      </c>
      <c r="BX92" s="21">
        <v>22</v>
      </c>
      <c r="BY92" s="21">
        <v>23</v>
      </c>
      <c r="BZ92" s="21">
        <v>24</v>
      </c>
      <c r="CA92" s="21">
        <v>25</v>
      </c>
      <c r="DA92" s="54"/>
      <c r="DB92" s="54"/>
      <c r="DC92" s="54"/>
      <c r="DD92" s="20" t="s">
        <v>408</v>
      </c>
      <c r="DE92" s="20">
        <v>0</v>
      </c>
      <c r="DF92" s="20">
        <v>0</v>
      </c>
      <c r="DG92" s="20">
        <v>4</v>
      </c>
      <c r="DH92" s="20">
        <v>4</v>
      </c>
      <c r="DI92" s="20">
        <v>8</v>
      </c>
      <c r="DJ92" s="20">
        <v>8</v>
      </c>
      <c r="DK92" s="20">
        <v>12</v>
      </c>
      <c r="DL92" s="20">
        <v>12</v>
      </c>
      <c r="DM92" s="20">
        <v>16</v>
      </c>
      <c r="DN92" s="20">
        <v>20</v>
      </c>
      <c r="DO92" s="20">
        <v>20</v>
      </c>
      <c r="DP92" s="20">
        <v>24</v>
      </c>
      <c r="DQ92" s="20">
        <v>24</v>
      </c>
      <c r="DR92" s="20">
        <v>28</v>
      </c>
      <c r="DS92" s="20">
        <v>28</v>
      </c>
      <c r="DT92" s="20">
        <v>32</v>
      </c>
      <c r="DU92" s="20">
        <v>36</v>
      </c>
      <c r="DV92" s="20">
        <v>36</v>
      </c>
      <c r="DW92" s="20">
        <v>40</v>
      </c>
      <c r="DX92" s="20">
        <v>40</v>
      </c>
      <c r="DY92" s="20">
        <v>44</v>
      </c>
      <c r="DZ92" s="20"/>
      <c r="EA92" s="20"/>
      <c r="EB92" s="20"/>
      <c r="GC92" s="20"/>
      <c r="GD92" s="20"/>
      <c r="GE92" s="20"/>
      <c r="GF92" s="20">
        <v>0</v>
      </c>
      <c r="GG92" s="20">
        <v>1</v>
      </c>
      <c r="GH92" s="20">
        <v>2</v>
      </c>
      <c r="GI92" s="20">
        <v>3</v>
      </c>
      <c r="GJ92" s="20">
        <v>4</v>
      </c>
      <c r="GK92" s="20">
        <v>5</v>
      </c>
      <c r="GL92" s="20">
        <v>6</v>
      </c>
      <c r="GM92" s="20">
        <v>7</v>
      </c>
      <c r="GN92" s="20">
        <v>8</v>
      </c>
      <c r="GO92" s="20">
        <v>9</v>
      </c>
      <c r="GP92" s="20">
        <v>10</v>
      </c>
      <c r="GQ92" s="20">
        <v>11</v>
      </c>
      <c r="GR92" s="20">
        <v>12</v>
      </c>
      <c r="GS92" s="20">
        <v>13</v>
      </c>
      <c r="GT92" s="20">
        <v>14</v>
      </c>
      <c r="GU92" s="20">
        <v>15</v>
      </c>
      <c r="GV92" s="20">
        <v>16</v>
      </c>
      <c r="GW92" s="20">
        <v>17</v>
      </c>
      <c r="GX92" s="20">
        <v>18</v>
      </c>
      <c r="GY92" s="20">
        <v>19</v>
      </c>
      <c r="GZ92" s="20">
        <v>20</v>
      </c>
      <c r="HA92" s="20">
        <v>21</v>
      </c>
      <c r="HB92" s="20">
        <v>22</v>
      </c>
      <c r="HC92" s="20">
        <v>23</v>
      </c>
      <c r="HD92" s="20">
        <v>24</v>
      </c>
      <c r="HE92" s="20">
        <v>25</v>
      </c>
      <c r="HF92" s="20">
        <v>26</v>
      </c>
      <c r="HG92" s="20">
        <v>27</v>
      </c>
      <c r="HH92" s="20">
        <v>28</v>
      </c>
      <c r="HI92" s="20">
        <v>29</v>
      </c>
      <c r="HJ92" s="20">
        <v>30</v>
      </c>
      <c r="HK92" s="20">
        <v>31</v>
      </c>
      <c r="HL92" s="20">
        <v>32</v>
      </c>
      <c r="HM92" s="20">
        <v>33</v>
      </c>
      <c r="HN92" s="20">
        <v>34</v>
      </c>
      <c r="HO92" s="20">
        <v>35</v>
      </c>
      <c r="HP92" s="20">
        <v>36</v>
      </c>
      <c r="HQ92" s="20">
        <v>37</v>
      </c>
      <c r="HR92" s="20">
        <v>38</v>
      </c>
      <c r="HS92" s="20">
        <v>39</v>
      </c>
      <c r="HT92" s="20">
        <v>40</v>
      </c>
      <c r="HU92" s="20">
        <v>41</v>
      </c>
      <c r="HV92" s="20">
        <v>42</v>
      </c>
      <c r="HW92" s="20">
        <v>43</v>
      </c>
      <c r="HX92" s="20">
        <v>44</v>
      </c>
      <c r="HY92" s="20">
        <v>45</v>
      </c>
      <c r="HZ92" s="20">
        <v>46</v>
      </c>
      <c r="IA92" s="20">
        <v>47</v>
      </c>
      <c r="IB92" s="20">
        <v>48</v>
      </c>
      <c r="IC92" s="20">
        <v>49</v>
      </c>
      <c r="ID92" s="20">
        <v>50</v>
      </c>
      <c r="JI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92,$JT$2:$KS$2,0),MATCH($W$65,$AH$22:$AH$47,0)))*C92</f>
        <v>0</v>
      </c>
      <c r="JJ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92,$JT$2:$KS$2,0),MATCH($W$65,$AH$22:$AH$47,0)))*C92</f>
        <v>0</v>
      </c>
      <c r="JK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92,$JT$2:$KS$2,0),MATCH($W$65,$AH$22:$AH$47,0)))*C92</f>
        <v>0</v>
      </c>
      <c r="JL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92,$JT$2:$KS$2,0),MATCH($W$65,$AH$22:$AH$47,0)))*C92</f>
        <v>0</v>
      </c>
      <c r="JM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92,$JT$2:$KS$2,0),MATCH($W$65,$AH$22:$AH$47,0)))*C92</f>
        <v>0</v>
      </c>
      <c r="JN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92,$JT$2:$KS$2,0),MATCH($W$65,$AH$22:$AH$47,0)))*C92</f>
        <v>0</v>
      </c>
      <c r="JO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92,$JT$2:$KS$2,0),MATCH($W$65,$AH$22:$AH$47,0)))*C92</f>
        <v>0</v>
      </c>
      <c r="JP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92,$JT$2:$KS$2,0),MATCH($W$65,$AH$22:$AH$47,0)))*C92</f>
        <v>0</v>
      </c>
      <c r="JQ9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92,$JT$2:$KS$2,0),MATCH($W$65,$AH$22:$AH$47,0)))*C92</f>
        <v>0</v>
      </c>
      <c r="JS92" s="21" t="s">
        <v>19</v>
      </c>
      <c r="JT92" s="21">
        <v>0</v>
      </c>
      <c r="JU92" s="21">
        <v>0</v>
      </c>
      <c r="JV92" s="21">
        <v>0</v>
      </c>
      <c r="JW92" s="21">
        <v>0</v>
      </c>
      <c r="JX92" s="21">
        <v>0</v>
      </c>
      <c r="JY92" s="21">
        <v>0</v>
      </c>
      <c r="JZ92" s="21">
        <v>0</v>
      </c>
      <c r="KA92" s="21">
        <v>4</v>
      </c>
      <c r="KB92" s="21">
        <v>6</v>
      </c>
      <c r="KC92" s="21">
        <v>2</v>
      </c>
      <c r="KD92" s="21">
        <v>4</v>
      </c>
      <c r="KE92" s="21">
        <v>6</v>
      </c>
      <c r="KF92" s="21">
        <v>2</v>
      </c>
      <c r="KG92" s="21">
        <v>4</v>
      </c>
      <c r="KH92" s="21">
        <v>2</v>
      </c>
      <c r="KI92" s="21">
        <v>2</v>
      </c>
      <c r="KJ92" s="21">
        <v>4</v>
      </c>
      <c r="KK92" s="21">
        <v>4</v>
      </c>
      <c r="KL92" s="21">
        <v>0</v>
      </c>
      <c r="KM92" s="21">
        <v>2</v>
      </c>
      <c r="KN92" s="21">
        <v>4</v>
      </c>
      <c r="KO92" s="21">
        <v>0</v>
      </c>
      <c r="KP92" s="21">
        <v>2</v>
      </c>
      <c r="KQ92" s="21">
        <v>4</v>
      </c>
      <c r="KR92" s="21">
        <v>0</v>
      </c>
      <c r="KS92" s="21">
        <v>2</v>
      </c>
      <c r="KU92" s="20" t="s">
        <v>19</v>
      </c>
      <c r="KV92" s="20">
        <v>0</v>
      </c>
      <c r="KW92" s="20">
        <v>0</v>
      </c>
      <c r="KX92" s="20">
        <v>0</v>
      </c>
      <c r="KY92" s="20">
        <v>0</v>
      </c>
      <c r="KZ92" s="20">
        <v>2</v>
      </c>
      <c r="LA92" s="20">
        <v>0</v>
      </c>
      <c r="LB92" s="20">
        <v>0</v>
      </c>
      <c r="LC92" s="20">
        <v>8</v>
      </c>
      <c r="LD92" s="20">
        <v>0</v>
      </c>
      <c r="LE92" s="20">
        <v>4</v>
      </c>
      <c r="LF92" s="20">
        <v>8</v>
      </c>
      <c r="LG92" s="20">
        <v>6</v>
      </c>
      <c r="LH92" s="20">
        <v>2</v>
      </c>
      <c r="LI92" s="20">
        <v>4</v>
      </c>
      <c r="LJ92" s="20">
        <v>6</v>
      </c>
      <c r="LK92" s="20">
        <v>4</v>
      </c>
      <c r="LL92" s="20">
        <v>6</v>
      </c>
      <c r="LM92" s="20">
        <v>2</v>
      </c>
      <c r="LN92" s="20">
        <v>4</v>
      </c>
      <c r="LO92" s="20">
        <v>2</v>
      </c>
      <c r="LP92" s="20">
        <v>2</v>
      </c>
      <c r="LQ92" s="20">
        <v>0</v>
      </c>
      <c r="LR92" s="20">
        <v>2</v>
      </c>
      <c r="LS92" s="20">
        <v>0</v>
      </c>
      <c r="LT92" s="20">
        <v>0</v>
      </c>
      <c r="LU92" s="20">
        <v>2</v>
      </c>
      <c r="LW92" s="20" t="s">
        <v>19</v>
      </c>
      <c r="LX92" s="20">
        <v>0</v>
      </c>
      <c r="LY92" s="20">
        <v>0</v>
      </c>
      <c r="LZ92" s="20">
        <v>0</v>
      </c>
      <c r="MA92" s="20">
        <v>2</v>
      </c>
      <c r="MB92" s="20">
        <v>2</v>
      </c>
      <c r="MC92" s="20">
        <v>0</v>
      </c>
      <c r="MD92" s="20">
        <v>0</v>
      </c>
      <c r="ME92" s="20">
        <v>2</v>
      </c>
      <c r="MF92" s="20">
        <v>6</v>
      </c>
      <c r="MG92" s="20">
        <v>6</v>
      </c>
      <c r="MH92" s="20">
        <v>2</v>
      </c>
      <c r="MI92" s="20">
        <v>2</v>
      </c>
      <c r="MJ92" s="20">
        <v>2</v>
      </c>
      <c r="MK92" s="20">
        <v>6</v>
      </c>
      <c r="ML92" s="20">
        <v>6</v>
      </c>
      <c r="MM92" s="20">
        <v>2</v>
      </c>
      <c r="MN92" s="20">
        <v>2</v>
      </c>
      <c r="MO92" s="20">
        <v>4</v>
      </c>
      <c r="MP92" s="20">
        <v>8</v>
      </c>
      <c r="MQ92" s="20">
        <v>8</v>
      </c>
      <c r="MR92" s="20">
        <v>4</v>
      </c>
      <c r="MS92" s="20">
        <v>2</v>
      </c>
      <c r="MT92" s="20">
        <v>0</v>
      </c>
      <c r="MU92" s="20">
        <v>8</v>
      </c>
      <c r="MV92" s="20">
        <v>8</v>
      </c>
      <c r="MW92" s="20">
        <v>4</v>
      </c>
    </row>
    <row r="93" spans="1:389" x14ac:dyDescent="0.25">
      <c r="A93" s="8"/>
      <c r="B93" s="5" t="s">
        <v>116</v>
      </c>
      <c r="C93" s="8"/>
      <c r="D93" s="4"/>
      <c r="E93" s="4"/>
      <c r="F93" s="4"/>
      <c r="G93" s="4"/>
      <c r="H93" s="4"/>
      <c r="I93" s="4"/>
      <c r="J93" s="4"/>
      <c r="K93" s="4"/>
      <c r="L93" s="6" t="str">
        <f>IF(E82=$AC$1,INDEX(($AN$38:$AO$38,$AN$52:$AO$52,$AN$66:$AO$66),1,MATCH($E$83,$AN$27:$AO$27,0),MATCH($E$85,$AK$22:$AK$24,0)),IF(E82=$AC$2,INDEX(($AT$38:$AU$38,$AT$52:$AU$52,$AT$66:$AU$66),1,MATCH($E$83,$AT$27:$AU$27,0),MATCH($E$85,$AK$22:$AK$24,0)),0))</f>
        <v>PUF</v>
      </c>
      <c r="M93" s="14">
        <f>INDEX(cennik!$C$2:$L$529,MATCH($L93,cennik!$B$2:$B$522,0),MATCH(M$27,cennik!$C$1:$L$1,0))</f>
        <v>897300</v>
      </c>
      <c r="N93" s="14" t="str">
        <f>INDEX(cennik!$C$2:$L$529,MATCH($L93,cennik!$B$2:$B$522,0),MATCH(N$27,cennik!$C$1:$L$1,0))</f>
        <v>szt.</v>
      </c>
      <c r="O93" s="14">
        <f>SUM(IF(A78=0,0,IF(A78&gt;0,(A78-1)*2*C78)),IF(A79=0,0,IF(A79&gt;0,(A79-1)*2*C79)),IF(A80=0,0,IF(A80&gt;0,(A80-1)*2*C80)),IF(A81=0,0,IF(A81&gt;0,(A81-1)*2*C81)),IF(A82=0,0,IF(A82&gt;0,(A82-1)*2*C82)),IF(A83=0,0,IF(A83&gt;0,(A83-1)*2*C83)),IF(A84=0,0,IF(A84&gt;0,(A84-1)*2*C84)),IF(A85=0,0,IF(A85&gt;0,(A85-1)*2*C85)),IF(A86=0,0,IF(A86&gt;0,(A86-1)*2*C86)),IF(A87=0,0,IF(A87&gt;0,(A87-1)*2*C87)),IF(A88=0,0,IF(A88&gt;0,(A88-1)*2*C88)),IF(A89=0,0,IF(A89&gt;0,(A89-1)*2*C89)),IF(A90=0,0,IF(A90&gt;0,(A90-1)*2*C90)),IF(A91=0,0,IF(A91&gt;0,(A91-1)*2*C91)),IF(A92=0,0,IF(A92&gt;0,(A92-1)*2*C92)),IF(A93=0,0,IF(A93&gt;0,(A93-1)*2*C93)))</f>
        <v>8</v>
      </c>
      <c r="P93" s="22">
        <f>INDEX(cennik!$C$2:$L$529,MATCH($L93,cennik!$B$2:$B$522,0),MATCH(P$27,cennik!$C$1:$L$1,0))</f>
        <v>2.06</v>
      </c>
      <c r="Q93" s="22">
        <f t="shared" si="87"/>
        <v>16.48</v>
      </c>
      <c r="R93" s="23">
        <f t="shared" si="83"/>
        <v>0</v>
      </c>
      <c r="S93" s="22">
        <f t="shared" si="84"/>
        <v>2.06</v>
      </c>
      <c r="T93" s="22">
        <f t="shared" si="88"/>
        <v>16.48</v>
      </c>
      <c r="U93" s="22">
        <f>INDEX(cennik!$C$2:$L$529,MATCH($L93,cennik!$B$2:$B$522,0),MATCH(U$27,cennik!$C$1:$L$1,0))*O93</f>
        <v>0.16</v>
      </c>
      <c r="V93" s="20"/>
      <c r="W93" s="20">
        <f>IF(E104=$AH$30,$AJ$30,IF(E104=$AH$31,$AJ$31,IF(E104=$AH$32,$AJ$32,IF(E104=$AH$33,$AJ$33,IF(E104=$AH$34,$AJ$34,IF(E104=$AH$35,$AJ$35,IF(E104=$AH$36,$AJ$36,IF(E104=$AH$37,$AJ$37,IF(E104=$AH$38,$AJ$38,IF(E104=$AH$39,$AJ$39,IF(E104=$AH$40,$AJ$40,IF(E104=$AH$41,$AJ$41,IF(E104=$AH$42,$AJ$42,IF(E104=$AH$43,$AJ$43,IF(E104=$AH$44,$AJ$44,IF(E104=$AH$45,$AJ$45,IF(E104=$AH$46,$AJ$46,IF(E104=$AH$47,$AJ$47,0))))))))))))))))))</f>
        <v>2500</v>
      </c>
      <c r="X93" s="25">
        <f t="shared" si="89"/>
        <v>0</v>
      </c>
      <c r="Y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108,$BB$2:$CA$2,0),MATCH($W$87,$AH$22:$AH$47,0)))*C108</f>
        <v>0</v>
      </c>
      <c r="Z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108,$BB$2:$CA$2,0),MATCH($W$87,$AH$22:$AH$47,0)))*C108</f>
        <v>0</v>
      </c>
      <c r="AA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108,$BB$2:$CA$2,0),MATCH($W$87,$AH$22:$AH$47,0)))*C108</f>
        <v>0</v>
      </c>
      <c r="AB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108,$BB$2:$CA$2,0),MATCH($W$87,$AH$22:$AH$47,0)))*C108</f>
        <v>0</v>
      </c>
      <c r="AC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108,$BB$2:$CA$2,0),MATCH($W$87,$AH$22:$AH$47,0)))*C108</f>
        <v>0</v>
      </c>
      <c r="AD9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108,$BB$2:$CA$2,0),MATCH($W$87,$AH$22:$AH$47,0)))*C108</f>
        <v>0</v>
      </c>
      <c r="AE93" s="20"/>
      <c r="AF93" s="20"/>
      <c r="AG93" s="20"/>
      <c r="AH93" s="20"/>
      <c r="AI93" s="20"/>
      <c r="AJ93" s="20"/>
      <c r="AK93" s="20"/>
      <c r="AL93" s="20">
        <f t="shared" si="90"/>
        <v>0</v>
      </c>
      <c r="AM93" s="20"/>
      <c r="AN93" s="20"/>
      <c r="AO93" s="20"/>
      <c r="AP93" s="20"/>
      <c r="AQ93" s="20"/>
      <c r="AR93" s="20"/>
      <c r="AS93" s="20"/>
      <c r="AT93" s="20"/>
      <c r="AU93" s="20"/>
      <c r="AV93" s="20"/>
      <c r="AW93" s="20"/>
      <c r="AX93" s="20"/>
      <c r="AY93" s="20"/>
      <c r="AZ93" s="20"/>
      <c r="BA93" s="21" t="s">
        <v>126</v>
      </c>
      <c r="BB93" s="21">
        <v>0</v>
      </c>
      <c r="BC93" s="21">
        <v>0</v>
      </c>
      <c r="BD93" s="21">
        <v>0</v>
      </c>
      <c r="BE93" s="21">
        <v>0</v>
      </c>
      <c r="BF93" s="21">
        <v>0</v>
      </c>
      <c r="BG93" s="21">
        <v>0</v>
      </c>
      <c r="BH93" s="21">
        <v>2</v>
      </c>
      <c r="BI93" s="21">
        <v>6</v>
      </c>
      <c r="BJ93" s="21">
        <v>0</v>
      </c>
      <c r="BK93" s="21">
        <v>0</v>
      </c>
      <c r="BL93" s="21">
        <v>0</v>
      </c>
      <c r="BM93" s="21">
        <v>0</v>
      </c>
      <c r="BN93" s="21">
        <v>0</v>
      </c>
      <c r="BO93" s="21">
        <v>0</v>
      </c>
      <c r="BP93" s="21">
        <v>0</v>
      </c>
      <c r="BQ93" s="21">
        <v>0</v>
      </c>
      <c r="BR93" s="21">
        <v>2</v>
      </c>
      <c r="BS93" s="21">
        <v>0</v>
      </c>
      <c r="BT93" s="21">
        <v>0</v>
      </c>
      <c r="BU93" s="21">
        <v>0</v>
      </c>
      <c r="BV93" s="21">
        <v>0</v>
      </c>
      <c r="BW93" s="21">
        <v>2</v>
      </c>
      <c r="BX93" s="21">
        <v>0</v>
      </c>
      <c r="BY93" s="21">
        <v>0</v>
      </c>
      <c r="BZ93" s="21">
        <v>0</v>
      </c>
      <c r="CA93" s="21">
        <v>0</v>
      </c>
      <c r="DA93" s="54"/>
      <c r="DB93" s="54"/>
      <c r="DC93" s="54"/>
      <c r="DD93" s="20" t="s">
        <v>518</v>
      </c>
      <c r="DE93" s="20">
        <v>0</v>
      </c>
      <c r="DF93" s="20">
        <v>2</v>
      </c>
      <c r="DG93" s="20">
        <v>4</v>
      </c>
      <c r="DH93" s="20">
        <v>0</v>
      </c>
      <c r="DI93" s="20">
        <v>4</v>
      </c>
      <c r="DJ93" s="20">
        <v>0</v>
      </c>
      <c r="DK93" s="20">
        <v>2</v>
      </c>
      <c r="DL93" s="20">
        <v>0</v>
      </c>
      <c r="DM93" s="20">
        <v>2</v>
      </c>
      <c r="DN93" s="20">
        <v>4</v>
      </c>
      <c r="DO93" s="20">
        <v>0</v>
      </c>
      <c r="DP93" s="20">
        <v>4</v>
      </c>
      <c r="DQ93" s="20">
        <v>0</v>
      </c>
      <c r="DR93" s="20">
        <v>2</v>
      </c>
      <c r="DS93" s="20">
        <v>0</v>
      </c>
      <c r="DT93" s="20">
        <v>2</v>
      </c>
      <c r="DU93" s="20">
        <v>4</v>
      </c>
      <c r="DV93" s="20">
        <v>2</v>
      </c>
      <c r="DW93" s="20">
        <v>4</v>
      </c>
      <c r="DX93" s="20">
        <v>0</v>
      </c>
      <c r="DY93" s="20">
        <v>2</v>
      </c>
      <c r="DZ93" s="20"/>
      <c r="EA93" s="20"/>
      <c r="EB93" s="20"/>
      <c r="GC93" s="20"/>
      <c r="GD93" s="20"/>
      <c r="GE93" s="20" t="s">
        <v>126</v>
      </c>
      <c r="GF93" s="20">
        <v>0</v>
      </c>
      <c r="GG93" s="20">
        <v>4</v>
      </c>
      <c r="GH93" s="20">
        <v>0</v>
      </c>
      <c r="GI93" s="20">
        <v>0</v>
      </c>
      <c r="GJ93" s="20">
        <v>0</v>
      </c>
      <c r="GK93" s="20">
        <v>0</v>
      </c>
      <c r="GL93" s="20">
        <v>0</v>
      </c>
      <c r="GM93" s="20">
        <v>0</v>
      </c>
      <c r="GN93" s="20">
        <v>0</v>
      </c>
      <c r="GO93" s="20">
        <v>0</v>
      </c>
      <c r="GP93" s="20">
        <v>0</v>
      </c>
      <c r="GQ93" s="20">
        <v>0</v>
      </c>
      <c r="GR93" s="20">
        <v>0</v>
      </c>
      <c r="GS93" s="20">
        <v>0</v>
      </c>
      <c r="GT93" s="20">
        <v>0</v>
      </c>
      <c r="GU93" s="20">
        <v>0</v>
      </c>
      <c r="GV93" s="20">
        <v>0</v>
      </c>
      <c r="GW93" s="20">
        <v>0</v>
      </c>
      <c r="GX93" s="20">
        <v>0</v>
      </c>
      <c r="GY93" s="20">
        <v>0</v>
      </c>
      <c r="GZ93" s="20">
        <v>0</v>
      </c>
      <c r="HA93" s="20">
        <v>0</v>
      </c>
      <c r="HB93" s="20">
        <v>0</v>
      </c>
      <c r="HC93" s="20">
        <v>0</v>
      </c>
      <c r="HD93" s="20">
        <v>0</v>
      </c>
      <c r="HE93" s="20">
        <v>0</v>
      </c>
      <c r="HF93" s="20">
        <v>0</v>
      </c>
      <c r="HG93" s="20">
        <v>0</v>
      </c>
      <c r="HH93" s="20">
        <v>0</v>
      </c>
      <c r="HI93" s="20">
        <v>0</v>
      </c>
      <c r="HJ93" s="20">
        <v>0</v>
      </c>
      <c r="HK93" s="20">
        <v>0</v>
      </c>
      <c r="HL93" s="20">
        <v>0</v>
      </c>
      <c r="HM93" s="20">
        <v>0</v>
      </c>
      <c r="HN93" s="20">
        <v>0</v>
      </c>
      <c r="HO93" s="20">
        <v>0</v>
      </c>
      <c r="HP93" s="20">
        <v>0</v>
      </c>
      <c r="HQ93" s="20">
        <v>2</v>
      </c>
      <c r="HR93" s="20">
        <v>0</v>
      </c>
      <c r="HS93" s="20">
        <v>0</v>
      </c>
      <c r="HT93" s="20">
        <v>0</v>
      </c>
      <c r="HU93" s="20">
        <v>0</v>
      </c>
      <c r="HV93" s="20">
        <v>0</v>
      </c>
      <c r="HW93" s="20">
        <v>0</v>
      </c>
      <c r="HX93" s="20">
        <v>0</v>
      </c>
      <c r="HY93" s="20">
        <v>0</v>
      </c>
      <c r="HZ93" s="20">
        <v>0</v>
      </c>
      <c r="IA93" s="20">
        <v>0</v>
      </c>
      <c r="IB93" s="20">
        <v>0</v>
      </c>
      <c r="IC93" s="20">
        <v>0</v>
      </c>
      <c r="ID93" s="20">
        <v>0</v>
      </c>
      <c r="JI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$87,$JS$3:$JS$20,0),MATCH(A93,$JT$2:$KS$2,0),MATCH($W$65,$AH$22:$AH$47,0)))*C93</f>
        <v>0</v>
      </c>
      <c r="JJ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$79,$JS$3:$JS$20,0),MATCH(A93,$JT$2:$KS$2,0),MATCH($W$65,$AH$22:$AH$47,0)))*C93</f>
        <v>0</v>
      </c>
      <c r="JK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$80,$JS$3:$JS$20,0),MATCH(A93,$JT$2:$KS$2,0),MATCH($W$65,$AH$22:$AH$47,0)))*C93</f>
        <v>0</v>
      </c>
      <c r="JL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$81,$JS$3:$JS$20,0),MATCH(A93,$JT$2:$KS$2,0),MATCH($W$65,$AH$22:$AH$47,0)))*C93</f>
        <v>0</v>
      </c>
      <c r="JM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$82,$JS$3:$JS$20,0),MATCH(A93,$JT$2:$KS$2,0),MATCH($W$65,$AH$22:$AH$47,0)))*C93</f>
        <v>0</v>
      </c>
      <c r="JN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$83,$JS$3:$JS$20,0),MATCH(A93,$JT$2:$KS$2,0),MATCH($W$65,$AH$22:$AH$47,0)))*C93</f>
        <v>0</v>
      </c>
      <c r="JO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$84,$JS$3:$JS$20,0),MATCH(A93,$JT$2:$KS$2,0),MATCH($W$65,$AH$22:$AH$47,0)))*C93</f>
        <v>0</v>
      </c>
      <c r="JP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$85,$JS$3:$JS$20,0),MATCH(A93,$JT$2:$KS$2,0),MATCH($W$65,$AH$22:$AH$47,0)))*C93</f>
        <v>0</v>
      </c>
      <c r="JQ9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$86,$JS$3:$JS$20,0),MATCH(A93,$JT$2:$KS$2,0),MATCH($W$65,$AH$22:$AH$47,0)))*C93</f>
        <v>0</v>
      </c>
      <c r="JS93" s="20" t="s">
        <v>1298</v>
      </c>
      <c r="JT93" s="21">
        <v>0</v>
      </c>
      <c r="JU93" s="21">
        <v>0</v>
      </c>
      <c r="JV93" s="21">
        <v>0</v>
      </c>
      <c r="JW93" s="21">
        <v>0</v>
      </c>
      <c r="JX93" s="21">
        <v>0</v>
      </c>
      <c r="JY93" s="21">
        <v>0</v>
      </c>
      <c r="JZ93" s="21">
        <v>0</v>
      </c>
      <c r="KA93" s="21">
        <v>0</v>
      </c>
      <c r="KB93" s="21">
        <v>0</v>
      </c>
      <c r="KC93" s="21">
        <v>2</v>
      </c>
      <c r="KD93" s="21">
        <v>2</v>
      </c>
      <c r="KE93" s="21">
        <v>2</v>
      </c>
      <c r="KF93" s="21">
        <v>4</v>
      </c>
      <c r="KG93" s="21">
        <v>4</v>
      </c>
      <c r="KH93" s="21">
        <v>6</v>
      </c>
      <c r="KI93" s="21">
        <v>6</v>
      </c>
      <c r="KJ93" s="21">
        <v>6</v>
      </c>
      <c r="KK93" s="21">
        <v>8</v>
      </c>
      <c r="KL93" s="21">
        <v>10</v>
      </c>
      <c r="KM93" s="21">
        <v>10</v>
      </c>
      <c r="KN93" s="21">
        <v>10</v>
      </c>
      <c r="KO93" s="21">
        <v>12</v>
      </c>
      <c r="KP93" s="21">
        <v>12</v>
      </c>
      <c r="KQ93" s="21">
        <v>12</v>
      </c>
      <c r="KR93" s="21">
        <v>14</v>
      </c>
      <c r="KS93" s="21">
        <v>14</v>
      </c>
      <c r="KU93" s="20" t="s">
        <v>1298</v>
      </c>
      <c r="KV93" s="20">
        <v>0</v>
      </c>
      <c r="KW93" s="20">
        <v>0</v>
      </c>
      <c r="KX93" s="20">
        <v>0</v>
      </c>
      <c r="KY93" s="20">
        <v>2</v>
      </c>
      <c r="KZ93" s="20">
        <v>0</v>
      </c>
      <c r="LA93" s="20">
        <v>0</v>
      </c>
      <c r="LB93" s="20">
        <v>4</v>
      </c>
      <c r="LC93" s="20">
        <v>0</v>
      </c>
      <c r="LD93" s="20">
        <v>6</v>
      </c>
      <c r="LE93" s="20">
        <v>4</v>
      </c>
      <c r="LF93" s="20">
        <v>2</v>
      </c>
      <c r="LG93" s="20">
        <v>6</v>
      </c>
      <c r="LH93" s="20">
        <v>8</v>
      </c>
      <c r="LI93" s="20">
        <v>10</v>
      </c>
      <c r="LJ93" s="20">
        <v>8</v>
      </c>
      <c r="LK93" s="20">
        <v>12</v>
      </c>
      <c r="LL93" s="20">
        <v>10</v>
      </c>
      <c r="LM93" s="20">
        <v>16</v>
      </c>
      <c r="LN93" s="20">
        <v>14</v>
      </c>
      <c r="LO93" s="20">
        <v>18</v>
      </c>
      <c r="LP93" s="20">
        <v>18</v>
      </c>
      <c r="LQ93" s="20">
        <v>22</v>
      </c>
      <c r="LR93" s="20">
        <v>20</v>
      </c>
      <c r="LS93" s="20">
        <v>24</v>
      </c>
      <c r="LT93" s="20">
        <v>24</v>
      </c>
      <c r="LU93" s="20">
        <v>22</v>
      </c>
      <c r="LW93" s="20" t="s">
        <v>1298</v>
      </c>
      <c r="LX93" s="20">
        <v>0</v>
      </c>
      <c r="LY93" s="20">
        <v>0</v>
      </c>
      <c r="LZ93" s="20">
        <v>0</v>
      </c>
      <c r="MA93" s="20">
        <v>0</v>
      </c>
      <c r="MB93" s="20">
        <v>0</v>
      </c>
      <c r="MC93" s="20">
        <v>6</v>
      </c>
      <c r="MD93" s="20">
        <v>6</v>
      </c>
      <c r="ME93" s="20">
        <v>4</v>
      </c>
      <c r="MF93" s="20">
        <v>4</v>
      </c>
      <c r="MG93" s="20">
        <v>4</v>
      </c>
      <c r="MH93" s="20">
        <v>10</v>
      </c>
      <c r="MI93" s="20">
        <v>10</v>
      </c>
      <c r="MJ93" s="20">
        <v>10</v>
      </c>
      <c r="MK93" s="20">
        <v>10</v>
      </c>
      <c r="ML93" s="20">
        <v>10</v>
      </c>
      <c r="MM93" s="20">
        <v>16</v>
      </c>
      <c r="MN93" s="20">
        <v>16</v>
      </c>
      <c r="MO93" s="20">
        <v>14</v>
      </c>
      <c r="MP93" s="20">
        <v>14</v>
      </c>
      <c r="MQ93" s="20">
        <v>14</v>
      </c>
      <c r="MR93" s="20">
        <v>20</v>
      </c>
      <c r="MS93" s="20">
        <v>22</v>
      </c>
      <c r="MT93" s="20">
        <v>26</v>
      </c>
      <c r="MU93" s="20">
        <v>20</v>
      </c>
      <c r="MV93" s="20">
        <v>20</v>
      </c>
      <c r="MW93" s="20">
        <v>26</v>
      </c>
    </row>
    <row r="94" spans="1:389" x14ac:dyDescent="0.25">
      <c r="A94" s="4"/>
      <c r="B94" s="6"/>
      <c r="C94" s="4"/>
      <c r="D94" s="4"/>
      <c r="E94" s="4"/>
      <c r="F94" s="4"/>
      <c r="G94" s="4"/>
      <c r="H94" s="4"/>
      <c r="I94" s="4"/>
      <c r="J94" s="4"/>
      <c r="K94" s="4"/>
      <c r="L94" s="6" t="str">
        <f>IF(E82=$AC$1,INDEX(($AP$28:$AP$37,$AP$42:$AP$51,$AP$56:$AP$65),MATCH(I79,$AM$28:$AM$37,0),1,MATCH(E85,$AK$22:$AK$24,0)),IF(E82=$AC$2,INDEX(($AV$28:$AV$37,$AV$42:$AV$51,$AV$56:$AV$65),MATCH(I79,$AS$28:$AS$37,0),1,MATCH(E85,$AK$22:$AK$24,0)),0))</f>
        <v>SAM8X30E</v>
      </c>
      <c r="M94" s="14">
        <f>INDEX(cennik!$C$2:$L$529,MATCH($L94,cennik!$B$2:$B$522,0),MATCH(M$27,cennik!$C$1:$L$1,0))</f>
        <v>898530</v>
      </c>
      <c r="N94" s="14" t="str">
        <f>INDEX(cennik!$C$2:$L$529,MATCH($L94,cennik!$B$2:$B$522,0),MATCH(N$27,cennik!$C$1:$L$1,0))</f>
        <v>szt.</v>
      </c>
      <c r="O94" s="14">
        <f>IF(AE79="suma",SUM(O92:O93),IF(AE79="tylko buf",O92,IF(AE79=0,0,0)))</f>
        <v>12</v>
      </c>
      <c r="P94" s="22">
        <f>INDEX(cennik!$C$2:$L$529,MATCH($L94,cennik!$B$2:$B$522,0),MATCH(P$27,cennik!$C$1:$L$1,0))</f>
        <v>0.5</v>
      </c>
      <c r="Q94" s="22">
        <f t="shared" si="87"/>
        <v>6</v>
      </c>
      <c r="R94" s="23">
        <f t="shared" si="83"/>
        <v>0</v>
      </c>
      <c r="S94" s="22">
        <f t="shared" si="84"/>
        <v>0.5</v>
      </c>
      <c r="T94" s="22">
        <f t="shared" si="88"/>
        <v>6</v>
      </c>
      <c r="U94" s="22">
        <f>INDEX(cennik!$C$2:$L$529,MATCH($L94,cennik!$B$2:$B$522,0),MATCH(U$27,cennik!$C$1:$L$1,0))*O94</f>
        <v>0.60000000000000009</v>
      </c>
      <c r="V94" s="20"/>
      <c r="W94" s="20"/>
      <c r="X94" s="25">
        <f t="shared" si="89"/>
        <v>0</v>
      </c>
      <c r="Y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109,$BB$2:$CA$2,0),MATCH($W$87,$AH$22:$AH$47,0)))*C109</f>
        <v>0</v>
      </c>
      <c r="Z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109,$BB$2:$CA$2,0),MATCH($W$87,$AH$22:$AH$47,0)))*C109</f>
        <v>0</v>
      </c>
      <c r="AA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109,$BB$2:$CA$2,0),MATCH($W$87,$AH$22:$AH$47,0)))*C109</f>
        <v>0</v>
      </c>
      <c r="AB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109,$BB$2:$CA$2,0),MATCH($W$87,$AH$22:$AH$47,0)))*C109</f>
        <v>0</v>
      </c>
      <c r="AC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109,$BB$2:$CA$2,0),MATCH($W$87,$AH$22:$AH$47,0)))*C109</f>
        <v>0</v>
      </c>
      <c r="AD9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109,$BB$2:$CA$2,0),MATCH($W$87,$AH$22:$AH$47,0)))*C109</f>
        <v>0</v>
      </c>
      <c r="AE94" s="20"/>
      <c r="AF94" s="20"/>
      <c r="AG94" s="20"/>
      <c r="AH94" s="20"/>
      <c r="AI94" s="20"/>
      <c r="AJ94" s="20"/>
      <c r="AK94" s="20"/>
      <c r="AL94" s="20">
        <f t="shared" si="90"/>
        <v>0</v>
      </c>
      <c r="AM94" s="20"/>
      <c r="AN94" s="20"/>
      <c r="AO94" s="20"/>
      <c r="AP94" s="20"/>
      <c r="AQ94" s="20"/>
      <c r="AR94" s="20"/>
      <c r="AS94" s="20"/>
      <c r="AT94" s="20"/>
      <c r="AU94" s="20"/>
      <c r="AV94" s="20"/>
      <c r="AW94" s="20"/>
      <c r="AX94" s="20"/>
      <c r="AY94" s="20"/>
      <c r="AZ94" s="20"/>
      <c r="BA94" s="21" t="s">
        <v>12</v>
      </c>
      <c r="BB94" s="21">
        <v>0</v>
      </c>
      <c r="BC94" s="21">
        <v>2</v>
      </c>
      <c r="BD94" s="21">
        <v>0</v>
      </c>
      <c r="BE94" s="21">
        <v>4</v>
      </c>
      <c r="BF94" s="21">
        <v>2</v>
      </c>
      <c r="BG94" s="21">
        <v>0</v>
      </c>
      <c r="BH94" s="21">
        <v>0</v>
      </c>
      <c r="BI94" s="21">
        <v>0</v>
      </c>
      <c r="BJ94" s="21">
        <v>4</v>
      </c>
      <c r="BK94" s="21">
        <v>2</v>
      </c>
      <c r="BL94" s="21">
        <v>0</v>
      </c>
      <c r="BM94" s="21">
        <v>0</v>
      </c>
      <c r="BN94" s="21">
        <v>2</v>
      </c>
      <c r="BO94" s="21">
        <v>4</v>
      </c>
      <c r="BP94" s="21">
        <v>0</v>
      </c>
      <c r="BQ94" s="21">
        <v>0</v>
      </c>
      <c r="BR94" s="21">
        <v>0</v>
      </c>
      <c r="BS94" s="21">
        <v>0</v>
      </c>
      <c r="BT94" s="21">
        <v>0</v>
      </c>
      <c r="BU94" s="21">
        <v>0</v>
      </c>
      <c r="BV94" s="21">
        <v>0</v>
      </c>
      <c r="BW94" s="21">
        <v>0</v>
      </c>
      <c r="BX94" s="21">
        <v>0</v>
      </c>
      <c r="BY94" s="21">
        <v>0</v>
      </c>
      <c r="BZ94" s="21">
        <v>0</v>
      </c>
      <c r="CA94" s="21">
        <v>0</v>
      </c>
      <c r="DA94" s="54"/>
      <c r="DB94" s="54"/>
      <c r="DC94" s="54"/>
      <c r="DD94" s="20" t="s">
        <v>520</v>
      </c>
      <c r="DE94" s="20">
        <v>0</v>
      </c>
      <c r="DF94" s="20">
        <v>0</v>
      </c>
      <c r="DG94" s="20">
        <v>0</v>
      </c>
      <c r="DH94" s="20">
        <v>4</v>
      </c>
      <c r="DI94" s="20">
        <v>2</v>
      </c>
      <c r="DJ94" s="20">
        <v>6</v>
      </c>
      <c r="DK94" s="20">
        <v>6</v>
      </c>
      <c r="DL94" s="20">
        <v>8</v>
      </c>
      <c r="DM94" s="20">
        <v>8</v>
      </c>
      <c r="DN94" s="20">
        <v>8</v>
      </c>
      <c r="DO94" s="20">
        <v>12</v>
      </c>
      <c r="DP94" s="20">
        <v>10</v>
      </c>
      <c r="DQ94" s="20">
        <v>14</v>
      </c>
      <c r="DR94" s="20">
        <v>14</v>
      </c>
      <c r="DS94" s="20">
        <v>16</v>
      </c>
      <c r="DT94" s="20">
        <v>16</v>
      </c>
      <c r="DU94" s="20">
        <v>16</v>
      </c>
      <c r="DV94" s="20">
        <v>18</v>
      </c>
      <c r="DW94" s="20">
        <v>18</v>
      </c>
      <c r="DX94" s="20">
        <v>22</v>
      </c>
      <c r="DY94" s="20">
        <v>22</v>
      </c>
      <c r="DZ94" s="20"/>
      <c r="EA94" s="20"/>
      <c r="EB94" s="20"/>
      <c r="GC94" s="20"/>
      <c r="GD94" s="20"/>
      <c r="GE94" s="20" t="s">
        <v>12</v>
      </c>
      <c r="GF94" s="20">
        <v>0</v>
      </c>
      <c r="GG94" s="20">
        <v>0</v>
      </c>
      <c r="GH94" s="20">
        <v>0</v>
      </c>
      <c r="GI94" s="20">
        <v>0</v>
      </c>
      <c r="GJ94" s="20">
        <v>0</v>
      </c>
      <c r="GK94" s="20">
        <v>0</v>
      </c>
      <c r="GL94" s="20">
        <v>0</v>
      </c>
      <c r="GM94" s="20">
        <v>0</v>
      </c>
      <c r="GN94" s="20">
        <v>0</v>
      </c>
      <c r="GO94" s="20">
        <v>0</v>
      </c>
      <c r="GP94" s="20">
        <v>2</v>
      </c>
      <c r="GQ94" s="20">
        <v>2</v>
      </c>
      <c r="GR94" s="20">
        <v>0</v>
      </c>
      <c r="GS94" s="20">
        <v>0</v>
      </c>
      <c r="GT94" s="20">
        <v>0</v>
      </c>
      <c r="GU94" s="20">
        <v>0</v>
      </c>
      <c r="GV94" s="20">
        <v>0</v>
      </c>
      <c r="GW94" s="20">
        <v>0</v>
      </c>
      <c r="GX94" s="20">
        <v>0</v>
      </c>
      <c r="GY94" s="20">
        <v>0</v>
      </c>
      <c r="GZ94" s="20">
        <v>0</v>
      </c>
      <c r="HA94" s="20">
        <v>0</v>
      </c>
      <c r="HB94" s="20">
        <v>0</v>
      </c>
      <c r="HC94" s="20">
        <v>0</v>
      </c>
      <c r="HD94" s="20">
        <v>0</v>
      </c>
      <c r="HE94" s="20">
        <v>0</v>
      </c>
      <c r="HF94" s="20">
        <v>0</v>
      </c>
      <c r="HG94" s="20">
        <v>0</v>
      </c>
      <c r="HH94" s="20">
        <v>0</v>
      </c>
      <c r="HI94" s="20">
        <v>0</v>
      </c>
      <c r="HJ94" s="20">
        <v>0</v>
      </c>
      <c r="HK94" s="20">
        <v>0</v>
      </c>
      <c r="HL94" s="20">
        <v>0</v>
      </c>
      <c r="HM94" s="20">
        <v>0</v>
      </c>
      <c r="HN94" s="20">
        <v>0</v>
      </c>
      <c r="HO94" s="20">
        <v>0</v>
      </c>
      <c r="HP94" s="20">
        <v>0</v>
      </c>
      <c r="HQ94" s="20">
        <v>0</v>
      </c>
      <c r="HR94" s="20">
        <v>0</v>
      </c>
      <c r="HS94" s="20">
        <v>0</v>
      </c>
      <c r="HT94" s="20">
        <v>0</v>
      </c>
      <c r="HU94" s="20">
        <v>0</v>
      </c>
      <c r="HV94" s="20">
        <v>0</v>
      </c>
      <c r="HW94" s="20">
        <v>0</v>
      </c>
      <c r="HX94" s="20">
        <v>0</v>
      </c>
      <c r="HY94" s="20">
        <v>0</v>
      </c>
      <c r="HZ94" s="20">
        <v>0</v>
      </c>
      <c r="IA94" s="20">
        <v>0</v>
      </c>
      <c r="IB94" s="20">
        <v>0</v>
      </c>
      <c r="IC94" s="20">
        <v>0</v>
      </c>
      <c r="ID94" s="20">
        <v>0</v>
      </c>
      <c r="JS94" s="20" t="s">
        <v>1026</v>
      </c>
      <c r="JT94" s="21">
        <v>0</v>
      </c>
      <c r="JU94" s="21">
        <v>0</v>
      </c>
      <c r="JV94" s="21">
        <v>0</v>
      </c>
      <c r="JW94" s="21">
        <v>0</v>
      </c>
      <c r="JX94" s="21">
        <v>0</v>
      </c>
      <c r="JY94" s="21">
        <v>0</v>
      </c>
      <c r="JZ94" s="21">
        <v>0</v>
      </c>
      <c r="KA94" s="21">
        <v>0</v>
      </c>
      <c r="KB94" s="21">
        <v>0</v>
      </c>
      <c r="KC94" s="21">
        <v>0</v>
      </c>
      <c r="KD94" s="21">
        <v>0</v>
      </c>
      <c r="KE94" s="21">
        <v>0</v>
      </c>
      <c r="KF94" s="21">
        <v>0</v>
      </c>
      <c r="KG94" s="21">
        <v>0</v>
      </c>
      <c r="KH94" s="21">
        <v>0</v>
      </c>
      <c r="KI94" s="21">
        <v>0</v>
      </c>
      <c r="KJ94" s="21">
        <v>0</v>
      </c>
      <c r="KK94" s="21">
        <v>0</v>
      </c>
      <c r="KL94" s="21">
        <v>0</v>
      </c>
      <c r="KM94" s="21">
        <v>0</v>
      </c>
      <c r="KN94" s="21">
        <v>0</v>
      </c>
      <c r="KO94" s="21">
        <v>0</v>
      </c>
      <c r="KP94" s="21">
        <v>0</v>
      </c>
      <c r="KQ94" s="21">
        <v>0</v>
      </c>
      <c r="KR94" s="21">
        <v>0</v>
      </c>
      <c r="KS94" s="21">
        <v>0</v>
      </c>
      <c r="KU94" s="20" t="s">
        <v>1026</v>
      </c>
      <c r="KV94" s="20">
        <v>0</v>
      </c>
      <c r="KW94" s="20">
        <v>0</v>
      </c>
      <c r="KX94" s="20">
        <v>0</v>
      </c>
      <c r="KY94" s="20">
        <v>0</v>
      </c>
      <c r="KZ94" s="20">
        <v>0</v>
      </c>
      <c r="LA94" s="20">
        <v>0</v>
      </c>
      <c r="LB94" s="20">
        <v>0</v>
      </c>
      <c r="LC94" s="20">
        <v>0</v>
      </c>
      <c r="LD94" s="20">
        <v>0</v>
      </c>
      <c r="LE94" s="20">
        <v>0</v>
      </c>
      <c r="LF94" s="20">
        <v>0</v>
      </c>
      <c r="LG94" s="20">
        <v>0</v>
      </c>
      <c r="LH94" s="20">
        <v>0</v>
      </c>
      <c r="LI94" s="20">
        <v>0</v>
      </c>
      <c r="LJ94" s="20">
        <v>0</v>
      </c>
      <c r="LK94" s="20">
        <v>0</v>
      </c>
      <c r="LL94" s="20">
        <v>0</v>
      </c>
      <c r="LM94" s="20">
        <v>0</v>
      </c>
      <c r="LN94" s="20">
        <v>0</v>
      </c>
      <c r="LO94" s="20">
        <v>0</v>
      </c>
      <c r="LP94" s="20">
        <v>0</v>
      </c>
      <c r="LQ94" s="20">
        <v>0</v>
      </c>
      <c r="LR94" s="20">
        <v>0</v>
      </c>
      <c r="LS94" s="20">
        <v>0</v>
      </c>
      <c r="LT94" s="20">
        <v>0</v>
      </c>
      <c r="LU94" s="20">
        <v>0</v>
      </c>
      <c r="LW94" s="20" t="s">
        <v>1026</v>
      </c>
      <c r="LX94" s="20">
        <v>0</v>
      </c>
      <c r="LY94" s="20">
        <v>0</v>
      </c>
      <c r="LZ94" s="20">
        <v>0</v>
      </c>
      <c r="MA94" s="20">
        <v>0</v>
      </c>
      <c r="MB94" s="20">
        <v>0</v>
      </c>
      <c r="MC94" s="20">
        <v>0</v>
      </c>
      <c r="MD94" s="20">
        <v>0</v>
      </c>
      <c r="ME94" s="20">
        <v>0</v>
      </c>
      <c r="MF94" s="20">
        <v>0</v>
      </c>
      <c r="MG94" s="20">
        <v>0</v>
      </c>
      <c r="MH94" s="20">
        <v>0</v>
      </c>
      <c r="MI94" s="20">
        <v>0</v>
      </c>
      <c r="MJ94" s="20">
        <v>0</v>
      </c>
      <c r="MK94" s="20">
        <v>0</v>
      </c>
      <c r="ML94" s="20">
        <v>0</v>
      </c>
      <c r="MM94" s="20">
        <v>0</v>
      </c>
      <c r="MN94" s="20">
        <v>0</v>
      </c>
      <c r="MO94" s="20">
        <v>0</v>
      </c>
      <c r="MP94" s="20">
        <v>0</v>
      </c>
      <c r="MQ94" s="20">
        <v>0</v>
      </c>
      <c r="MR94" s="20">
        <v>0</v>
      </c>
      <c r="MS94" s="20">
        <v>0</v>
      </c>
      <c r="MT94" s="20">
        <v>0</v>
      </c>
      <c r="MU94" s="20">
        <v>0</v>
      </c>
      <c r="MV94" s="20">
        <v>0</v>
      </c>
      <c r="MW94" s="20">
        <v>0</v>
      </c>
    </row>
    <row r="95" spans="1:389" x14ac:dyDescent="0.25">
      <c r="A95" s="4"/>
      <c r="B95" s="6"/>
      <c r="C95" s="4"/>
      <c r="D95" s="4"/>
      <c r="E95" s="4"/>
      <c r="F95" s="4"/>
      <c r="G95" s="4"/>
      <c r="H95" s="4"/>
      <c r="I95" s="4"/>
      <c r="J95" s="4"/>
      <c r="K95" s="4"/>
      <c r="L95" s="6" t="str">
        <f>IF(E82=$AC$1,INDEX(($AQ$28:$AQ$37,$AQ$42:$AQ$51,$AQ$56:$AQ$65),MATCH(I79,$AM$28:$AM$37,0),1,MATCH(E85,$AK$22:$AK$24,0)),IF(E82=$AC$2,INDEX(($AW$28:$AW$37,$AW$42:$AW$51,$AW$56:$AW$65),MATCH(I79,$AS$28:$AS$37,0),1,MATCH(E85,$AK$22:$AK$24,0)),0))</f>
        <v>NKWSM8A</v>
      </c>
      <c r="M95" s="14">
        <f>INDEX(cennik!$C$2:$L$529,MATCH($L95,cennik!$B$2:$B$522,0),MATCH(M$27,cennik!$C$1:$L$1,0))</f>
        <v>600909</v>
      </c>
      <c r="N95" s="14" t="str">
        <f>INDEX(cennik!$C$2:$L$529,MATCH($L95,cennik!$B$2:$B$522,0),MATCH(N$27,cennik!$C$1:$L$1,0))</f>
        <v>szt.</v>
      </c>
      <c r="O95" s="14">
        <f>O94</f>
        <v>12</v>
      </c>
      <c r="P95" s="22">
        <f>INDEX(cennik!$C$2:$L$529,MATCH($L95,cennik!$B$2:$B$522,0),MATCH(P$27,cennik!$C$1:$L$1,0))</f>
        <v>0.6</v>
      </c>
      <c r="Q95" s="22">
        <f t="shared" si="87"/>
        <v>7.1999999999999993</v>
      </c>
      <c r="R95" s="23">
        <f t="shared" si="83"/>
        <v>0</v>
      </c>
      <c r="S95" s="22">
        <f t="shared" si="84"/>
        <v>0.6</v>
      </c>
      <c r="T95" s="22">
        <f t="shared" si="88"/>
        <v>7.1999999999999993</v>
      </c>
      <c r="U95" s="22">
        <f>INDEX(cennik!$C$2:$L$529,MATCH($L95,cennik!$B$2:$B$522,0),MATCH(U$27,cennik!$C$1:$L$1,0))*O95</f>
        <v>0.12</v>
      </c>
      <c r="V95" s="20"/>
      <c r="W95" s="20"/>
      <c r="X95" s="25">
        <f t="shared" si="89"/>
        <v>0</v>
      </c>
      <c r="Y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110,$BB$2:$CA$2,0),MATCH($W$87,$AH$22:$AH$47,0)))*C110</f>
        <v>0</v>
      </c>
      <c r="Z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110,$BB$2:$CA$2,0),MATCH($W$87,$AH$22:$AH$47,0)))*C110</f>
        <v>0</v>
      </c>
      <c r="AA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110,$BB$2:$CA$2,0),MATCH($W$87,$AH$22:$AH$47,0)))*C110</f>
        <v>0</v>
      </c>
      <c r="AB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110,$BB$2:$CA$2,0),MATCH($W$87,$AH$22:$AH$47,0)))*C110</f>
        <v>0</v>
      </c>
      <c r="AC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110,$BB$2:$CA$2,0),MATCH($W$87,$AH$22:$AH$47,0)))*C110</f>
        <v>0</v>
      </c>
      <c r="AD9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110,$BB$2:$CA$2,0),MATCH($W$87,$AH$22:$AH$47,0)))*C110</f>
        <v>0</v>
      </c>
      <c r="AE95" s="20"/>
      <c r="AF95" s="20"/>
      <c r="AG95" s="20"/>
      <c r="AH95" s="20"/>
      <c r="AI95" s="20"/>
      <c r="AJ95" s="20"/>
      <c r="AK95" s="20"/>
      <c r="AL95" s="20">
        <f t="shared" si="90"/>
        <v>0</v>
      </c>
      <c r="AM95" s="20"/>
      <c r="AN95" s="20"/>
      <c r="AO95" s="20"/>
      <c r="AP95" s="20"/>
      <c r="AQ95" s="20"/>
      <c r="AR95" s="20"/>
      <c r="AS95" s="20"/>
      <c r="AT95" s="20"/>
      <c r="AU95" s="20"/>
      <c r="AV95" s="20"/>
      <c r="AW95" s="20"/>
      <c r="AX95" s="20"/>
      <c r="AY95" s="20"/>
      <c r="AZ95" s="20"/>
      <c r="BA95" s="21" t="s">
        <v>127</v>
      </c>
      <c r="BB95" s="21">
        <v>0</v>
      </c>
      <c r="BC95" s="21">
        <v>0</v>
      </c>
      <c r="BD95" s="21">
        <v>0</v>
      </c>
      <c r="BE95" s="21">
        <v>0</v>
      </c>
      <c r="BF95" s="21">
        <v>0</v>
      </c>
      <c r="BG95" s="21">
        <v>0</v>
      </c>
      <c r="BH95" s="21">
        <v>0</v>
      </c>
      <c r="BI95" s="21">
        <v>2</v>
      </c>
      <c r="BJ95" s="21">
        <v>0</v>
      </c>
      <c r="BK95" s="21">
        <v>0</v>
      </c>
      <c r="BL95" s="21">
        <v>0</v>
      </c>
      <c r="BM95" s="21">
        <v>4</v>
      </c>
      <c r="BN95" s="21">
        <v>0</v>
      </c>
      <c r="BO95" s="21">
        <v>0</v>
      </c>
      <c r="BP95" s="21">
        <v>2</v>
      </c>
      <c r="BQ95" s="21">
        <v>0</v>
      </c>
      <c r="BR95" s="21">
        <v>0</v>
      </c>
      <c r="BS95" s="21">
        <v>2</v>
      </c>
      <c r="BT95" s="21">
        <v>0</v>
      </c>
      <c r="BU95" s="21">
        <v>2</v>
      </c>
      <c r="BV95" s="21">
        <v>0</v>
      </c>
      <c r="BW95" s="21">
        <v>0</v>
      </c>
      <c r="BX95" s="21">
        <v>2</v>
      </c>
      <c r="BY95" s="21">
        <v>0</v>
      </c>
      <c r="BZ95" s="21">
        <v>2</v>
      </c>
      <c r="CA95" s="21">
        <v>0</v>
      </c>
      <c r="DA95" s="54"/>
      <c r="DB95" s="54"/>
      <c r="DC95" s="54"/>
      <c r="DD95" s="20" t="s">
        <v>521</v>
      </c>
      <c r="DE95" s="20">
        <v>0</v>
      </c>
      <c r="DF95" s="20">
        <v>0</v>
      </c>
      <c r="DG95" s="20">
        <v>4</v>
      </c>
      <c r="DH95" s="20">
        <v>4</v>
      </c>
      <c r="DI95" s="20">
        <v>8</v>
      </c>
      <c r="DJ95" s="20">
        <v>8</v>
      </c>
      <c r="DK95" s="20">
        <v>12</v>
      </c>
      <c r="DL95" s="20">
        <v>12</v>
      </c>
      <c r="DM95" s="20">
        <v>16</v>
      </c>
      <c r="DN95" s="20">
        <v>20</v>
      </c>
      <c r="DO95" s="20">
        <v>20</v>
      </c>
      <c r="DP95" s="20">
        <v>24</v>
      </c>
      <c r="DQ95" s="20">
        <v>24</v>
      </c>
      <c r="DR95" s="20">
        <v>28</v>
      </c>
      <c r="DS95" s="20">
        <v>28</v>
      </c>
      <c r="DT95" s="20">
        <v>32</v>
      </c>
      <c r="DU95" s="20">
        <v>36</v>
      </c>
      <c r="DV95" s="20">
        <v>36</v>
      </c>
      <c r="DW95" s="20">
        <v>40</v>
      </c>
      <c r="DX95" s="20">
        <v>40</v>
      </c>
      <c r="DY95" s="20">
        <v>44</v>
      </c>
      <c r="DZ95" s="20"/>
      <c r="EA95" s="20"/>
      <c r="EB95" s="20"/>
      <c r="GC95" s="20"/>
      <c r="GD95" s="20"/>
      <c r="GE95" s="20" t="s">
        <v>127</v>
      </c>
      <c r="GF95" s="20">
        <v>0</v>
      </c>
      <c r="GG95" s="20">
        <v>0</v>
      </c>
      <c r="GH95" s="20">
        <v>4</v>
      </c>
      <c r="GI95" s="20">
        <v>0</v>
      </c>
      <c r="GJ95" s="20">
        <v>2</v>
      </c>
      <c r="GK95" s="20">
        <v>4</v>
      </c>
      <c r="GL95" s="20">
        <v>0</v>
      </c>
      <c r="GM95" s="20">
        <v>2</v>
      </c>
      <c r="GN95" s="20">
        <v>4</v>
      </c>
      <c r="GO95" s="20">
        <v>0</v>
      </c>
      <c r="GP95" s="20">
        <v>0</v>
      </c>
      <c r="GQ95" s="20">
        <v>0</v>
      </c>
      <c r="GR95" s="20">
        <v>0</v>
      </c>
      <c r="GS95" s="20">
        <v>0</v>
      </c>
      <c r="GT95" s="20">
        <v>2</v>
      </c>
      <c r="GU95" s="20">
        <v>0</v>
      </c>
      <c r="GV95" s="20">
        <v>0</v>
      </c>
      <c r="GW95" s="20">
        <v>4</v>
      </c>
      <c r="GX95" s="20">
        <v>0</v>
      </c>
      <c r="GY95" s="20">
        <v>0</v>
      </c>
      <c r="GZ95" s="20">
        <v>2</v>
      </c>
      <c r="HA95" s="20">
        <v>0</v>
      </c>
      <c r="HB95" s="20">
        <v>2</v>
      </c>
      <c r="HC95" s="20">
        <v>0</v>
      </c>
      <c r="HD95" s="20">
        <v>0</v>
      </c>
      <c r="HE95" s="20">
        <v>2</v>
      </c>
      <c r="HF95" s="20">
        <v>0</v>
      </c>
      <c r="HG95" s="20">
        <v>0</v>
      </c>
      <c r="HH95" s="20">
        <v>0</v>
      </c>
      <c r="HI95" s="20">
        <v>0</v>
      </c>
      <c r="HJ95" s="20">
        <v>0</v>
      </c>
      <c r="HK95" s="20">
        <v>0</v>
      </c>
      <c r="HL95" s="20">
        <v>4</v>
      </c>
      <c r="HM95" s="20">
        <v>0</v>
      </c>
      <c r="HN95" s="20">
        <v>0</v>
      </c>
      <c r="HO95" s="20">
        <v>2</v>
      </c>
      <c r="HP95" s="20">
        <v>0</v>
      </c>
      <c r="HQ95" s="20">
        <v>0</v>
      </c>
      <c r="HR95" s="20">
        <v>2</v>
      </c>
      <c r="HS95" s="20">
        <v>0</v>
      </c>
      <c r="HT95" s="20">
        <v>2</v>
      </c>
      <c r="HU95" s="20">
        <v>0</v>
      </c>
      <c r="HV95" s="20">
        <v>0</v>
      </c>
      <c r="HW95" s="20">
        <v>2</v>
      </c>
      <c r="HX95" s="20">
        <v>0</v>
      </c>
      <c r="HY95" s="20">
        <v>0</v>
      </c>
      <c r="HZ95" s="20">
        <v>0</v>
      </c>
      <c r="IA95" s="20">
        <v>0</v>
      </c>
      <c r="IB95" s="20">
        <v>0</v>
      </c>
      <c r="IC95" s="20">
        <v>0</v>
      </c>
      <c r="ID95" s="20">
        <v>0</v>
      </c>
      <c r="JS95" s="21" t="s">
        <v>408</v>
      </c>
      <c r="JT95" s="21">
        <v>0</v>
      </c>
      <c r="JU95" s="20">
        <f t="shared" ref="JU95:KS95" si="91">((((SUM(JU87:JU94))/2)-1))*4</f>
        <v>0</v>
      </c>
      <c r="JV95" s="20">
        <f t="shared" si="91"/>
        <v>0</v>
      </c>
      <c r="JW95" s="20">
        <f t="shared" si="91"/>
        <v>4</v>
      </c>
      <c r="JX95" s="20">
        <f t="shared" si="91"/>
        <v>4</v>
      </c>
      <c r="JY95" s="20">
        <f t="shared" si="91"/>
        <v>4</v>
      </c>
      <c r="JZ95" s="20">
        <f t="shared" si="91"/>
        <v>8</v>
      </c>
      <c r="KA95" s="20">
        <f t="shared" si="91"/>
        <v>8</v>
      </c>
      <c r="KB95" s="20">
        <f t="shared" si="91"/>
        <v>8</v>
      </c>
      <c r="KC95" s="20">
        <f t="shared" si="91"/>
        <v>12</v>
      </c>
      <c r="KD95" s="20">
        <f t="shared" si="91"/>
        <v>12</v>
      </c>
      <c r="KE95" s="20">
        <f t="shared" si="91"/>
        <v>12</v>
      </c>
      <c r="KF95" s="20">
        <f t="shared" si="91"/>
        <v>16</v>
      </c>
      <c r="KG95" s="20">
        <f t="shared" si="91"/>
        <v>16</v>
      </c>
      <c r="KH95" s="20">
        <f t="shared" si="91"/>
        <v>16</v>
      </c>
      <c r="KI95" s="20">
        <f t="shared" si="91"/>
        <v>20</v>
      </c>
      <c r="KJ95" s="20">
        <f t="shared" si="91"/>
        <v>20</v>
      </c>
      <c r="KK95" s="20">
        <f t="shared" si="91"/>
        <v>20</v>
      </c>
      <c r="KL95" s="20">
        <f t="shared" si="91"/>
        <v>24</v>
      </c>
      <c r="KM95" s="20">
        <f t="shared" si="91"/>
        <v>24</v>
      </c>
      <c r="KN95" s="20">
        <f t="shared" si="91"/>
        <v>24</v>
      </c>
      <c r="KO95" s="20">
        <f t="shared" si="91"/>
        <v>28</v>
      </c>
      <c r="KP95" s="20">
        <f t="shared" si="91"/>
        <v>28</v>
      </c>
      <c r="KQ95" s="20">
        <f t="shared" si="91"/>
        <v>28</v>
      </c>
      <c r="KR95" s="20">
        <f t="shared" si="91"/>
        <v>32</v>
      </c>
      <c r="KS95" s="20">
        <f t="shared" si="91"/>
        <v>32</v>
      </c>
      <c r="KU95" s="20" t="s">
        <v>408</v>
      </c>
      <c r="KV95" s="20">
        <v>0</v>
      </c>
      <c r="KW95" s="20">
        <f t="shared" ref="KW95:LU95" si="92">((((SUM(KW87:KW94))/2)-1))*4</f>
        <v>0</v>
      </c>
      <c r="KX95" s="20">
        <f t="shared" si="92"/>
        <v>4</v>
      </c>
      <c r="KY95" s="20">
        <f t="shared" si="92"/>
        <v>4</v>
      </c>
      <c r="KZ95" s="20">
        <f t="shared" si="92"/>
        <v>8</v>
      </c>
      <c r="LA95" s="20">
        <f t="shared" si="92"/>
        <v>8</v>
      </c>
      <c r="LB95" s="20">
        <f t="shared" si="92"/>
        <v>12</v>
      </c>
      <c r="LC95" s="20">
        <f t="shared" si="92"/>
        <v>12</v>
      </c>
      <c r="LD95" s="20">
        <f t="shared" si="92"/>
        <v>16</v>
      </c>
      <c r="LE95" s="20">
        <f t="shared" si="92"/>
        <v>16</v>
      </c>
      <c r="LF95" s="20">
        <f t="shared" si="92"/>
        <v>20</v>
      </c>
      <c r="LG95" s="20">
        <f t="shared" si="92"/>
        <v>20</v>
      </c>
      <c r="LH95" s="20">
        <f t="shared" si="92"/>
        <v>24</v>
      </c>
      <c r="LI95" s="20">
        <f t="shared" si="92"/>
        <v>24</v>
      </c>
      <c r="LJ95" s="20">
        <f t="shared" si="92"/>
        <v>28</v>
      </c>
      <c r="LK95" s="20">
        <f t="shared" si="92"/>
        <v>28</v>
      </c>
      <c r="LL95" s="20">
        <f t="shared" si="92"/>
        <v>32</v>
      </c>
      <c r="LM95" s="20">
        <f t="shared" si="92"/>
        <v>32</v>
      </c>
      <c r="LN95" s="20">
        <f t="shared" si="92"/>
        <v>36</v>
      </c>
      <c r="LO95" s="20">
        <f t="shared" si="92"/>
        <v>36</v>
      </c>
      <c r="LP95" s="20">
        <f t="shared" si="92"/>
        <v>40</v>
      </c>
      <c r="LQ95" s="20">
        <f t="shared" si="92"/>
        <v>40</v>
      </c>
      <c r="LR95" s="20">
        <f t="shared" si="92"/>
        <v>44</v>
      </c>
      <c r="LS95" s="20">
        <f t="shared" si="92"/>
        <v>44</v>
      </c>
      <c r="LT95" s="20">
        <f t="shared" si="92"/>
        <v>48</v>
      </c>
      <c r="LU95" s="20">
        <f t="shared" si="92"/>
        <v>52</v>
      </c>
      <c r="LW95" s="20" t="s">
        <v>408</v>
      </c>
      <c r="LX95" s="20">
        <v>0</v>
      </c>
      <c r="LY95" s="20">
        <f t="shared" ref="LY95:MW95" si="93">((((SUM(LY87:LY94))/2)-1))*4</f>
        <v>0</v>
      </c>
      <c r="LZ95" s="20">
        <f t="shared" si="93"/>
        <v>4</v>
      </c>
      <c r="MA95" s="20">
        <f t="shared" si="93"/>
        <v>4</v>
      </c>
      <c r="MB95" s="20">
        <f t="shared" si="93"/>
        <v>8</v>
      </c>
      <c r="MC95" s="20">
        <f t="shared" si="93"/>
        <v>8</v>
      </c>
      <c r="MD95" s="20">
        <f t="shared" si="93"/>
        <v>12</v>
      </c>
      <c r="ME95" s="20">
        <f t="shared" si="93"/>
        <v>16</v>
      </c>
      <c r="MF95" s="20">
        <f t="shared" si="93"/>
        <v>16</v>
      </c>
      <c r="MG95" s="20">
        <f t="shared" si="93"/>
        <v>20</v>
      </c>
      <c r="MH95" s="20">
        <f t="shared" si="93"/>
        <v>20</v>
      </c>
      <c r="MI95" s="20">
        <f t="shared" si="93"/>
        <v>24</v>
      </c>
      <c r="MJ95" s="20">
        <f t="shared" si="93"/>
        <v>28</v>
      </c>
      <c r="MK95" s="20">
        <f t="shared" si="93"/>
        <v>28</v>
      </c>
      <c r="ML95" s="20">
        <f t="shared" si="93"/>
        <v>32</v>
      </c>
      <c r="MM95" s="20">
        <f t="shared" si="93"/>
        <v>32</v>
      </c>
      <c r="MN95" s="20">
        <f t="shared" si="93"/>
        <v>36</v>
      </c>
      <c r="MO95" s="20">
        <f t="shared" si="93"/>
        <v>40</v>
      </c>
      <c r="MP95" s="20">
        <f t="shared" si="93"/>
        <v>40</v>
      </c>
      <c r="MQ95" s="20">
        <f t="shared" si="93"/>
        <v>44</v>
      </c>
      <c r="MR95" s="20">
        <f t="shared" si="93"/>
        <v>44</v>
      </c>
      <c r="MS95" s="20">
        <f t="shared" si="93"/>
        <v>48</v>
      </c>
      <c r="MT95" s="20">
        <f t="shared" si="93"/>
        <v>48</v>
      </c>
      <c r="MU95" s="20">
        <f t="shared" si="93"/>
        <v>52</v>
      </c>
      <c r="MV95" s="20">
        <f t="shared" si="93"/>
        <v>56</v>
      </c>
      <c r="MW95" s="20">
        <f t="shared" si="93"/>
        <v>56</v>
      </c>
    </row>
    <row r="96" spans="1:389" x14ac:dyDescent="0.25">
      <c r="A96" s="4"/>
      <c r="B96" s="6"/>
      <c r="C96" s="4"/>
      <c r="D96" s="4"/>
      <c r="E96" s="4"/>
      <c r="F96" s="4"/>
      <c r="G96" s="4"/>
      <c r="H96" s="4"/>
      <c r="I96" s="4"/>
      <c r="J96" s="4"/>
      <c r="K96" s="4"/>
      <c r="L96" s="6" t="str">
        <f>IF(L93="PUFK","PUPK",IF(L93="PUFKL","PUPK","PUP"))</f>
        <v>PUP</v>
      </c>
      <c r="M96" s="14">
        <f>INDEX(cennik!$C$2:$L$529,MATCH($L96,cennik!$B$2:$B$522,0),MATCH(M$27,cennik!$C$1:$L$1,0))</f>
        <v>897303</v>
      </c>
      <c r="N96" s="14" t="str">
        <f>INDEX(cennik!$C$2:$L$529,MATCH($L96,cennik!$B$2:$B$522,0),MATCH(N$27,cennik!$C$1:$L$1,0))</f>
        <v>szt.</v>
      </c>
      <c r="O96" s="14">
        <f>SUM((IF(MOD(A78,2)=0,A78/2,IF(MOD(A78,2)=1,FLOOR(A78/2,1)+1,0))*C78),(IF(MOD(A79,2)=0,A79/2,IF(MOD(A79,2)=1,FLOOR(A79/2,1)+1,0))*C79),(IF(MOD(A80,2)=0,A80/2,IF(MOD(A80,2)=1,FLOOR(A80/2,1)+1,0))*C80),(IF(MOD(A81,2)=0,A81/2,IF(MOD(A81,2)=1,FLOOR(A81/2,1)+1,0))*C81),(IF(MOD(A82,2)=0,A82/2,IF(MOD(A82,2)=1,FLOOR(A82/2,1)+1,0))*C82),(IF(MOD(A83,2)=0,A83/2,IF(MOD(A83,2)=1,FLOOR(A83/2,1)+1,0))*C83),(IF(MOD(A84,2)=0,A84/2,IF(MOD(A84,2)=1,FLOOR(A84/2,1)+1,0))*C84),(IF(MOD(A85,2)=0,A85/2,IF(MOD(A85,2)=1,FLOOR(A85/2,1)+1,0))*C85),(IF(MOD(A86,2)=0,A86/2,IF(MOD(A86,2)=1,FLOOR(A86/2,1)+1,0))*C86),(IF(MOD(A87,2)=0,A87/2,IF(MOD(A87,2)=1,FLOOR(A87/2,1)+1,0))*C87),(IF(MOD(A88,2)=0,A88/2,IF(MOD(A88,2)=1,FLOOR(A88/2,1)+1,0))*C88),(IF(MOD(A89,2)=0,A89/2,IF(MOD(A89,2)=1,FLOOR(A89/2,1)+1,0))*C89),(IF(MOD(A90,2)=0,A90/2,IF(MOD(A90,2)=1,FLOOR(A90/2,1)+1,0))*C90),(IF(MOD(A91,2)=0,A91/2,IF(MOD(A91,2)=1,FLOOR(A91/2,1)+1,0))*C91),(IF(MOD(A92,2)=0,A92/2,IF(MOD(A92,2)=1,FLOOR(A92/2,1)+1,0))*C92),(IF(MOD(A93,2)=0,A93/2,IF(MOD(A93,2)=1,FLOOR(A93/2,1)+1,0))*C93))</f>
        <v>3</v>
      </c>
      <c r="P96" s="22">
        <f>INDEX(cennik!$C$2:$L$529,MATCH($L96,cennik!$B$2:$B$522,0),MATCH(P$27,cennik!$C$1:$L$1,0))</f>
        <v>2.4</v>
      </c>
      <c r="Q96" s="22">
        <f t="shared" si="87"/>
        <v>7.1999999999999993</v>
      </c>
      <c r="R96" s="23">
        <f t="shared" si="83"/>
        <v>0</v>
      </c>
      <c r="S96" s="22">
        <f t="shared" si="84"/>
        <v>2.4</v>
      </c>
      <c r="T96" s="22">
        <f t="shared" si="88"/>
        <v>7.1999999999999993</v>
      </c>
      <c r="U96" s="22">
        <f>INDEX(cennik!$C$2:$L$529,MATCH($L96,cennik!$B$2:$B$522,0),MATCH(U$27,cennik!$C$1:$L$1,0))*O96</f>
        <v>4.8000000000000001E-2</v>
      </c>
      <c r="V96" s="20"/>
      <c r="W96" s="20"/>
      <c r="X96" s="25">
        <f t="shared" si="89"/>
        <v>0</v>
      </c>
      <c r="Y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111,$BB$2:$CA$2,0),MATCH($W$87,$AH$22:$AH$47,0)))*C111</f>
        <v>0</v>
      </c>
      <c r="Z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111,$BB$2:$CA$2,0),MATCH($W$87,$AH$22:$AH$47,0)))*C111</f>
        <v>0</v>
      </c>
      <c r="AA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111,$BB$2:$CA$2,0),MATCH($W$87,$AH$22:$AH$47,0)))*C111</f>
        <v>0</v>
      </c>
      <c r="AB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111,$BB$2:$CA$2,0),MATCH($W$87,$AH$22:$AH$47,0)))*C111</f>
        <v>0</v>
      </c>
      <c r="AC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111,$BB$2:$CA$2,0),MATCH($W$87,$AH$22:$AH$47,0)))*C111</f>
        <v>0</v>
      </c>
      <c r="AD9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111,$BB$2:$CA$2,0),MATCH($W$87,$AH$22:$AH$47,0)))*C111</f>
        <v>0</v>
      </c>
      <c r="AE96" s="20"/>
      <c r="AF96" s="20"/>
      <c r="AG96" s="20"/>
      <c r="AH96" s="20"/>
      <c r="AI96" s="20"/>
      <c r="AJ96" s="20"/>
      <c r="AK96" s="20"/>
      <c r="AL96" s="20">
        <f t="shared" si="90"/>
        <v>0</v>
      </c>
      <c r="AM96" s="20"/>
      <c r="AN96" s="20"/>
      <c r="AO96" s="20"/>
      <c r="AP96" s="20"/>
      <c r="AQ96" s="20"/>
      <c r="AR96" s="20"/>
      <c r="AS96" s="20"/>
      <c r="AT96" s="20"/>
      <c r="AU96" s="20"/>
      <c r="AV96" s="20"/>
      <c r="AW96" s="20"/>
      <c r="AX96" s="20"/>
      <c r="AY96" s="20"/>
      <c r="AZ96" s="20"/>
      <c r="BA96" s="21" t="s">
        <v>15</v>
      </c>
      <c r="BB96" s="21">
        <v>0</v>
      </c>
      <c r="BC96" s="21">
        <v>0</v>
      </c>
      <c r="BD96" s="21">
        <v>2</v>
      </c>
      <c r="BE96" s="21">
        <v>0</v>
      </c>
      <c r="BF96" s="21">
        <v>2</v>
      </c>
      <c r="BG96" s="21">
        <v>2</v>
      </c>
      <c r="BH96" s="21">
        <v>0</v>
      </c>
      <c r="BI96" s="21">
        <v>0</v>
      </c>
      <c r="BJ96" s="21">
        <v>4</v>
      </c>
      <c r="BK96" s="21">
        <v>6</v>
      </c>
      <c r="BL96" s="21">
        <v>4</v>
      </c>
      <c r="BM96" s="21">
        <v>2</v>
      </c>
      <c r="BN96" s="21">
        <v>0</v>
      </c>
      <c r="BO96" s="21">
        <v>8</v>
      </c>
      <c r="BP96" s="21">
        <v>10</v>
      </c>
      <c r="BQ96" s="21">
        <v>8</v>
      </c>
      <c r="BR96" s="21">
        <v>6</v>
      </c>
      <c r="BS96" s="21">
        <v>2</v>
      </c>
      <c r="BT96" s="21">
        <v>0</v>
      </c>
      <c r="BU96" s="21">
        <v>12</v>
      </c>
      <c r="BV96" s="21">
        <v>10</v>
      </c>
      <c r="BW96" s="21">
        <v>8</v>
      </c>
      <c r="BX96" s="21">
        <v>8</v>
      </c>
      <c r="BY96" s="21">
        <v>2</v>
      </c>
      <c r="BZ96" s="21">
        <v>14</v>
      </c>
      <c r="CA96" s="21">
        <v>12</v>
      </c>
      <c r="DA96" s="54"/>
      <c r="DB96" s="54"/>
      <c r="DC96" s="54"/>
      <c r="DD96" s="26" t="s">
        <v>710</v>
      </c>
      <c r="DE96" s="20">
        <v>0</v>
      </c>
      <c r="DF96" s="20"/>
      <c r="DG96" s="20"/>
      <c r="DH96" s="20"/>
      <c r="DI96" s="20"/>
      <c r="DJ96" s="20"/>
      <c r="DK96" s="20"/>
      <c r="DL96" s="20"/>
      <c r="DM96" s="20"/>
      <c r="DN96" s="20"/>
      <c r="DO96" s="20"/>
      <c r="DP96" s="20"/>
      <c r="DQ96" s="20"/>
      <c r="DR96" s="20"/>
      <c r="DS96" s="20"/>
      <c r="DT96" s="20"/>
      <c r="DU96" s="20"/>
      <c r="DV96" s="20"/>
      <c r="DW96" s="20"/>
      <c r="DX96" s="20"/>
      <c r="DY96" s="20"/>
      <c r="DZ96" s="20"/>
      <c r="EA96" s="20"/>
      <c r="EB96" s="20"/>
      <c r="GC96" s="20"/>
      <c r="GD96" s="20"/>
      <c r="GE96" s="20" t="s">
        <v>15</v>
      </c>
      <c r="GF96" s="20">
        <v>0</v>
      </c>
      <c r="GG96" s="20">
        <v>0</v>
      </c>
      <c r="GH96" s="20">
        <v>0</v>
      </c>
      <c r="GI96" s="20">
        <v>0</v>
      </c>
      <c r="GJ96" s="20">
        <v>0</v>
      </c>
      <c r="GK96" s="20">
        <v>0</v>
      </c>
      <c r="GL96" s="20">
        <v>0</v>
      </c>
      <c r="GM96" s="20">
        <v>2</v>
      </c>
      <c r="GN96" s="20">
        <v>0</v>
      </c>
      <c r="GO96" s="20">
        <v>2</v>
      </c>
      <c r="GP96" s="20">
        <v>0</v>
      </c>
      <c r="GQ96" s="20">
        <v>14</v>
      </c>
      <c r="GR96" s="20">
        <v>4</v>
      </c>
      <c r="GS96" s="20">
        <v>16</v>
      </c>
      <c r="GT96" s="20">
        <v>16</v>
      </c>
      <c r="GU96" s="20">
        <v>2</v>
      </c>
      <c r="GV96" s="20">
        <v>16</v>
      </c>
      <c r="GW96" s="20">
        <v>6</v>
      </c>
      <c r="GX96" s="20">
        <v>2</v>
      </c>
      <c r="GY96" s="20">
        <v>16</v>
      </c>
      <c r="GZ96" s="20">
        <v>16</v>
      </c>
      <c r="HA96" s="20">
        <v>2</v>
      </c>
      <c r="HB96" s="20">
        <v>8</v>
      </c>
      <c r="HC96" s="20">
        <v>32</v>
      </c>
      <c r="HD96" s="20">
        <v>2</v>
      </c>
      <c r="HE96" s="20">
        <v>2</v>
      </c>
      <c r="HF96" s="20">
        <v>32</v>
      </c>
      <c r="HG96" s="20">
        <v>4</v>
      </c>
      <c r="HH96" s="20">
        <v>18</v>
      </c>
      <c r="HI96" s="20">
        <v>32</v>
      </c>
      <c r="HJ96" s="20">
        <v>4</v>
      </c>
      <c r="HK96" s="20">
        <v>18</v>
      </c>
      <c r="HL96" s="20">
        <v>12</v>
      </c>
      <c r="HM96" s="20">
        <v>4</v>
      </c>
      <c r="HN96" s="20">
        <v>18</v>
      </c>
      <c r="HO96" s="20">
        <v>18</v>
      </c>
      <c r="HP96" s="20">
        <v>4</v>
      </c>
      <c r="HQ96" s="20">
        <v>0</v>
      </c>
      <c r="HR96" s="20">
        <v>18</v>
      </c>
      <c r="HS96" s="20">
        <v>4</v>
      </c>
      <c r="HT96" s="20">
        <v>4</v>
      </c>
      <c r="HU96" s="20">
        <v>0</v>
      </c>
      <c r="HV96" s="20">
        <v>4</v>
      </c>
      <c r="HW96" s="20">
        <v>4</v>
      </c>
      <c r="HX96" s="20">
        <v>0</v>
      </c>
      <c r="HY96" s="20">
        <v>6</v>
      </c>
      <c r="HZ96" s="20">
        <v>20</v>
      </c>
      <c r="IA96" s="20">
        <v>0</v>
      </c>
      <c r="IB96" s="20">
        <v>6</v>
      </c>
      <c r="IC96" s="20">
        <v>20</v>
      </c>
      <c r="ID96" s="20">
        <v>0</v>
      </c>
      <c r="JS96" s="21" t="s">
        <v>516</v>
      </c>
      <c r="JT96" s="21">
        <v>0</v>
      </c>
      <c r="JU96" s="21">
        <v>0</v>
      </c>
      <c r="JV96" s="21">
        <v>0</v>
      </c>
      <c r="JW96" s="21">
        <v>0</v>
      </c>
      <c r="JX96" s="21">
        <v>0</v>
      </c>
      <c r="JY96" s="21">
        <v>0</v>
      </c>
      <c r="JZ96" s="21">
        <v>2</v>
      </c>
      <c r="KA96" s="21">
        <v>0</v>
      </c>
      <c r="KB96" s="21">
        <v>0</v>
      </c>
      <c r="KC96" s="21">
        <v>2</v>
      </c>
      <c r="KD96" s="21">
        <v>0</v>
      </c>
      <c r="KE96" s="21">
        <v>0</v>
      </c>
      <c r="KF96" s="21">
        <v>0</v>
      </c>
      <c r="KG96" s="21">
        <v>0</v>
      </c>
      <c r="KH96" s="21">
        <v>0</v>
      </c>
      <c r="KI96" s="21">
        <v>0</v>
      </c>
      <c r="KJ96" s="21">
        <v>0</v>
      </c>
      <c r="KK96" s="21">
        <v>2</v>
      </c>
      <c r="KL96" s="21">
        <v>0</v>
      </c>
      <c r="KM96" s="21">
        <v>0</v>
      </c>
      <c r="KN96" s="21">
        <v>0</v>
      </c>
      <c r="KO96" s="21">
        <v>0</v>
      </c>
      <c r="KP96" s="21">
        <v>0</v>
      </c>
      <c r="KQ96" s="21">
        <v>0</v>
      </c>
      <c r="KR96" s="21">
        <v>0</v>
      </c>
      <c r="KS96" s="21">
        <v>0</v>
      </c>
      <c r="KU96" s="26" t="s">
        <v>516</v>
      </c>
      <c r="KV96" s="20">
        <v>0</v>
      </c>
      <c r="KW96" s="20">
        <v>0</v>
      </c>
      <c r="KX96" s="20">
        <v>0</v>
      </c>
      <c r="KY96" s="20">
        <v>0</v>
      </c>
      <c r="KZ96" s="20">
        <v>0</v>
      </c>
      <c r="LA96" s="20">
        <v>0</v>
      </c>
      <c r="LB96" s="20">
        <v>0</v>
      </c>
      <c r="LC96" s="20">
        <v>0</v>
      </c>
      <c r="LD96" s="20">
        <v>0</v>
      </c>
      <c r="LE96" s="20">
        <v>0</v>
      </c>
      <c r="LF96" s="20">
        <v>0</v>
      </c>
      <c r="LG96" s="20">
        <v>0</v>
      </c>
      <c r="LH96" s="20">
        <v>0</v>
      </c>
      <c r="LI96" s="20">
        <v>0</v>
      </c>
      <c r="LJ96" s="20">
        <v>0</v>
      </c>
      <c r="LK96" s="20">
        <v>0</v>
      </c>
      <c r="LL96" s="20">
        <v>0</v>
      </c>
      <c r="LM96" s="20">
        <v>0</v>
      </c>
      <c r="LN96" s="20">
        <v>0</v>
      </c>
      <c r="LO96" s="20">
        <v>0</v>
      </c>
      <c r="LP96" s="20">
        <v>0</v>
      </c>
      <c r="LQ96" s="20">
        <v>0</v>
      </c>
      <c r="LR96" s="20">
        <v>0</v>
      </c>
      <c r="LS96" s="20">
        <v>0</v>
      </c>
      <c r="LT96" s="20">
        <v>0</v>
      </c>
      <c r="LU96" s="20">
        <v>0</v>
      </c>
      <c r="LW96" s="26" t="s">
        <v>516</v>
      </c>
      <c r="LX96" s="20">
        <v>0</v>
      </c>
      <c r="LY96" s="20">
        <v>0</v>
      </c>
      <c r="LZ96" s="20">
        <v>2</v>
      </c>
      <c r="MA96" s="20">
        <v>0</v>
      </c>
      <c r="MB96" s="20">
        <v>0</v>
      </c>
      <c r="MC96" s="20">
        <v>0</v>
      </c>
      <c r="MD96" s="20">
        <v>0</v>
      </c>
      <c r="ME96" s="20">
        <v>0</v>
      </c>
      <c r="MF96" s="20">
        <v>0</v>
      </c>
      <c r="MG96" s="20">
        <v>0</v>
      </c>
      <c r="MH96" s="20">
        <v>0</v>
      </c>
      <c r="MI96" s="20">
        <v>0</v>
      </c>
      <c r="MJ96" s="20">
        <v>0</v>
      </c>
      <c r="MK96" s="20">
        <v>0</v>
      </c>
      <c r="ML96" s="20">
        <v>0</v>
      </c>
      <c r="MM96" s="20">
        <v>0</v>
      </c>
      <c r="MN96" s="20">
        <v>0</v>
      </c>
      <c r="MO96" s="20">
        <v>0</v>
      </c>
      <c r="MP96" s="20">
        <v>0</v>
      </c>
      <c r="MQ96" s="20">
        <v>0</v>
      </c>
      <c r="MR96" s="20">
        <v>0</v>
      </c>
      <c r="MS96" s="20">
        <v>0</v>
      </c>
      <c r="MT96" s="20">
        <v>0</v>
      </c>
      <c r="MU96" s="20">
        <v>0</v>
      </c>
      <c r="MV96" s="20">
        <v>0</v>
      </c>
      <c r="MW96" s="20">
        <v>0</v>
      </c>
    </row>
    <row r="97" spans="1:361" x14ac:dyDescent="0.25">
      <c r="A97" s="4"/>
      <c r="B97" s="6"/>
      <c r="C97" s="4"/>
      <c r="D97" s="4"/>
      <c r="E97" s="4"/>
      <c r="F97" s="4"/>
      <c r="G97" s="4"/>
      <c r="H97" s="4"/>
      <c r="I97" s="4"/>
      <c r="J97" s="4"/>
      <c r="K97" s="4"/>
      <c r="L97" s="6" t="s">
        <v>512</v>
      </c>
      <c r="M97" s="14">
        <f>INDEX(cennik!$C$2:$L$529,MATCH($L97,cennik!$B$2:$B$522,0),MATCH(M$27,cennik!$C$1:$L$1,0))</f>
        <v>808251</v>
      </c>
      <c r="N97" s="14" t="str">
        <f>INDEX(cennik!$C$2:$L$529,MATCH($L97,cennik!$B$2:$B$522,0),MATCH(N$27,cennik!$C$1:$L$1,0))</f>
        <v>szt.</v>
      </c>
      <c r="O97" s="14">
        <f>IF(E85=$AK$24,0,E86)</f>
        <v>0</v>
      </c>
      <c r="P97" s="22">
        <f>INDEX(cennik!$C$2:$L$529,MATCH($L97,cennik!$B$2:$B$522,0),MATCH(P$27,cennik!$C$1:$L$1,0))</f>
        <v>0.63</v>
      </c>
      <c r="Q97" s="22">
        <f t="shared" si="87"/>
        <v>0</v>
      </c>
      <c r="R97" s="23">
        <f t="shared" si="83"/>
        <v>0</v>
      </c>
      <c r="S97" s="22">
        <f t="shared" si="84"/>
        <v>0.63</v>
      </c>
      <c r="T97" s="22">
        <f t="shared" si="88"/>
        <v>0</v>
      </c>
      <c r="U97" s="22">
        <f>INDEX(cennik!$C$2:$L$529,MATCH($L97,cennik!$B$2:$B$522,0),MATCH(U$27,cennik!$C$1:$L$1,0))*O97</f>
        <v>0</v>
      </c>
      <c r="V97" s="20"/>
      <c r="W97" s="20"/>
      <c r="X97" s="25">
        <f t="shared" si="89"/>
        <v>0</v>
      </c>
      <c r="Y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112,$BB$2:$CA$2,0),MATCH($W$87,$AH$22:$AH$47,0)))*C112</f>
        <v>0</v>
      </c>
      <c r="Z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112,$BB$2:$CA$2,0),MATCH($W$87,$AH$22:$AH$47,0)))*C112</f>
        <v>0</v>
      </c>
      <c r="AA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112,$BB$2:$CA$2,0),MATCH($W$87,$AH$22:$AH$47,0)))*C112</f>
        <v>0</v>
      </c>
      <c r="AB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112,$BB$2:$CA$2,0),MATCH($W$87,$AH$22:$AH$47,0)))*C112</f>
        <v>0</v>
      </c>
      <c r="AC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112,$BB$2:$CA$2,0),MATCH($W$87,$AH$22:$AH$47,0)))*C112</f>
        <v>0</v>
      </c>
      <c r="AD9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112,$BB$2:$CA$2,0),MATCH($W$87,$AH$22:$AH$47,0)))*C112</f>
        <v>0</v>
      </c>
      <c r="AE97" s="20"/>
      <c r="AF97" s="20"/>
      <c r="AG97" s="20"/>
      <c r="AH97" s="20"/>
      <c r="AI97" s="20"/>
      <c r="AJ97" s="20"/>
      <c r="AK97" s="20"/>
      <c r="AL97" s="20">
        <f t="shared" si="90"/>
        <v>0</v>
      </c>
      <c r="AM97" s="20"/>
      <c r="AN97" s="20"/>
      <c r="AO97" s="20"/>
      <c r="AP97" s="20"/>
      <c r="AQ97" s="20"/>
      <c r="AR97" s="20"/>
      <c r="AS97" s="20"/>
      <c r="AT97" s="20"/>
      <c r="AU97" s="20"/>
      <c r="AV97" s="20"/>
      <c r="AW97" s="20"/>
      <c r="AX97" s="20"/>
      <c r="AY97" s="20"/>
      <c r="AZ97" s="20"/>
      <c r="BA97" s="21" t="s">
        <v>19</v>
      </c>
      <c r="BB97" s="21">
        <v>0</v>
      </c>
      <c r="BC97" s="21">
        <v>0</v>
      </c>
      <c r="BD97" s="21">
        <v>0</v>
      </c>
      <c r="BE97" s="21">
        <v>0</v>
      </c>
      <c r="BF97" s="21">
        <v>0</v>
      </c>
      <c r="BG97" s="21">
        <v>2</v>
      </c>
      <c r="BH97" s="21">
        <v>4</v>
      </c>
      <c r="BI97" s="21">
        <v>2</v>
      </c>
      <c r="BJ97" s="21">
        <v>0</v>
      </c>
      <c r="BK97" s="21">
        <v>0</v>
      </c>
      <c r="BL97" s="21">
        <v>4</v>
      </c>
      <c r="BM97" s="21">
        <v>4</v>
      </c>
      <c r="BN97" s="21">
        <v>8</v>
      </c>
      <c r="BO97" s="21">
        <v>0</v>
      </c>
      <c r="BP97" s="21">
        <v>0</v>
      </c>
      <c r="BQ97" s="21">
        <v>4</v>
      </c>
      <c r="BR97" s="21">
        <v>6</v>
      </c>
      <c r="BS97" s="21">
        <v>10</v>
      </c>
      <c r="BT97" s="21">
        <v>14</v>
      </c>
      <c r="BU97" s="21">
        <v>2</v>
      </c>
      <c r="BV97" s="21">
        <v>6</v>
      </c>
      <c r="BW97" s="21">
        <v>8</v>
      </c>
      <c r="BX97" s="21">
        <v>8</v>
      </c>
      <c r="BY97" s="21">
        <v>16</v>
      </c>
      <c r="BZ97" s="21">
        <v>4</v>
      </c>
      <c r="CA97" s="21">
        <v>8</v>
      </c>
      <c r="DA97" s="54"/>
      <c r="DB97" s="54"/>
      <c r="DC97" s="54"/>
      <c r="DD97" s="26" t="s">
        <v>711</v>
      </c>
      <c r="DE97" s="20">
        <v>0</v>
      </c>
      <c r="DF97" s="20"/>
      <c r="DG97" s="20"/>
      <c r="DH97" s="20"/>
      <c r="DI97" s="20"/>
      <c r="DJ97" s="20"/>
      <c r="DK97" s="20"/>
      <c r="DL97" s="20"/>
      <c r="DM97" s="20"/>
      <c r="DN97" s="20"/>
      <c r="DO97" s="20"/>
      <c r="DP97" s="20"/>
      <c r="DQ97" s="20"/>
      <c r="DR97" s="20"/>
      <c r="DS97" s="20"/>
      <c r="DT97" s="20"/>
      <c r="DU97" s="20"/>
      <c r="DV97" s="20"/>
      <c r="DW97" s="20"/>
      <c r="DX97" s="20"/>
      <c r="DY97" s="20"/>
      <c r="DZ97" s="20"/>
      <c r="EA97" s="20"/>
      <c r="EB97" s="20"/>
      <c r="GC97" s="20"/>
      <c r="GD97" s="20"/>
      <c r="GE97" s="20" t="s">
        <v>19</v>
      </c>
      <c r="GF97" s="20">
        <v>0</v>
      </c>
      <c r="GG97" s="20">
        <v>0</v>
      </c>
      <c r="GH97" s="20">
        <v>0</v>
      </c>
      <c r="GI97" s="20">
        <v>4</v>
      </c>
      <c r="GJ97" s="20">
        <v>4</v>
      </c>
      <c r="GK97" s="20">
        <v>4</v>
      </c>
      <c r="GL97" s="20">
        <v>8</v>
      </c>
      <c r="GM97" s="20">
        <v>6</v>
      </c>
      <c r="GN97" s="20">
        <v>8</v>
      </c>
      <c r="GO97" s="20">
        <v>10</v>
      </c>
      <c r="GP97" s="20">
        <v>12</v>
      </c>
      <c r="GQ97" s="20">
        <v>0</v>
      </c>
      <c r="GR97" s="20">
        <v>12</v>
      </c>
      <c r="GS97" s="20">
        <v>2</v>
      </c>
      <c r="GT97" s="20">
        <v>2</v>
      </c>
      <c r="GU97" s="20">
        <v>18</v>
      </c>
      <c r="GV97" s="20">
        <v>6</v>
      </c>
      <c r="GW97" s="20">
        <v>14</v>
      </c>
      <c r="GX97" s="20">
        <v>22</v>
      </c>
      <c r="GY97" s="20">
        <v>10</v>
      </c>
      <c r="GZ97" s="20">
        <v>10</v>
      </c>
      <c r="HA97" s="20">
        <v>26</v>
      </c>
      <c r="HB97" s="20">
        <v>20</v>
      </c>
      <c r="HC97" s="20">
        <v>0</v>
      </c>
      <c r="HD97" s="20">
        <v>30</v>
      </c>
      <c r="HE97" s="20">
        <v>30</v>
      </c>
      <c r="HF97" s="20">
        <v>4</v>
      </c>
      <c r="HG97" s="20">
        <v>32</v>
      </c>
      <c r="HH97" s="20">
        <v>20</v>
      </c>
      <c r="HI97" s="20">
        <v>8</v>
      </c>
      <c r="HJ97" s="20">
        <v>36</v>
      </c>
      <c r="HK97" s="20">
        <v>24</v>
      </c>
      <c r="HL97" s="20">
        <v>28</v>
      </c>
      <c r="HM97" s="20">
        <v>40</v>
      </c>
      <c r="HN97" s="20">
        <v>28</v>
      </c>
      <c r="HO97" s="20">
        <v>28</v>
      </c>
      <c r="HP97" s="20">
        <v>44</v>
      </c>
      <c r="HQ97" s="20">
        <v>48</v>
      </c>
      <c r="HR97" s="20">
        <v>32</v>
      </c>
      <c r="HS97" s="20">
        <v>48</v>
      </c>
      <c r="HT97" s="20">
        <v>48</v>
      </c>
      <c r="HU97" s="20">
        <v>54</v>
      </c>
      <c r="HV97" s="20">
        <v>52</v>
      </c>
      <c r="HW97" s="20">
        <v>52</v>
      </c>
      <c r="HX97" s="20">
        <v>58</v>
      </c>
      <c r="HY97" s="20">
        <v>54</v>
      </c>
      <c r="HZ97" s="20">
        <v>42</v>
      </c>
      <c r="IA97" s="20">
        <v>62</v>
      </c>
      <c r="IB97" s="20">
        <v>58</v>
      </c>
      <c r="IC97" s="20">
        <v>46</v>
      </c>
      <c r="ID97" s="20">
        <v>66</v>
      </c>
      <c r="JS97" s="21" t="s">
        <v>517</v>
      </c>
      <c r="JT97" s="21">
        <v>0</v>
      </c>
      <c r="JU97" s="21">
        <v>0</v>
      </c>
      <c r="JV97" s="21">
        <v>0</v>
      </c>
      <c r="JW97" s="21">
        <v>4</v>
      </c>
      <c r="JX97" s="21">
        <v>2</v>
      </c>
      <c r="JY97" s="21">
        <v>0</v>
      </c>
      <c r="JZ97" s="21">
        <v>0</v>
      </c>
      <c r="KA97" s="21">
        <v>0</v>
      </c>
      <c r="KB97" s="21">
        <v>0</v>
      </c>
      <c r="KC97" s="21">
        <v>0</v>
      </c>
      <c r="KD97" s="21">
        <v>0</v>
      </c>
      <c r="KE97" s="21">
        <v>4</v>
      </c>
      <c r="KF97" s="21">
        <v>2</v>
      </c>
      <c r="KG97" s="21">
        <v>0</v>
      </c>
      <c r="KH97" s="21">
        <v>0</v>
      </c>
      <c r="KI97" s="21">
        <v>0</v>
      </c>
      <c r="KJ97" s="21">
        <v>0</v>
      </c>
      <c r="KK97" s="21">
        <v>0</v>
      </c>
      <c r="KL97" s="21">
        <v>0</v>
      </c>
      <c r="KM97" s="21">
        <v>0</v>
      </c>
      <c r="KN97" s="21">
        <v>0</v>
      </c>
      <c r="KO97" s="21">
        <v>0</v>
      </c>
      <c r="KP97" s="21">
        <v>0</v>
      </c>
      <c r="KQ97" s="21">
        <v>0</v>
      </c>
      <c r="KR97" s="21">
        <v>0</v>
      </c>
      <c r="KS97" s="21">
        <v>0</v>
      </c>
      <c r="KU97" s="26" t="s">
        <v>517</v>
      </c>
      <c r="KV97" s="20">
        <v>0</v>
      </c>
      <c r="KW97" s="20">
        <v>2</v>
      </c>
      <c r="KX97" s="20">
        <v>4</v>
      </c>
      <c r="KY97" s="20">
        <v>0</v>
      </c>
      <c r="KZ97" s="20">
        <v>2</v>
      </c>
      <c r="LA97" s="20">
        <v>0</v>
      </c>
      <c r="LB97" s="20">
        <v>2</v>
      </c>
      <c r="LC97" s="20">
        <v>0</v>
      </c>
      <c r="LD97" s="20">
        <v>2</v>
      </c>
      <c r="LE97" s="20">
        <v>0</v>
      </c>
      <c r="LF97" s="20">
        <v>0</v>
      </c>
      <c r="LG97" s="20">
        <v>2</v>
      </c>
      <c r="LH97" s="20">
        <v>0</v>
      </c>
      <c r="LI97" s="20">
        <v>2</v>
      </c>
      <c r="LJ97" s="20">
        <v>0</v>
      </c>
      <c r="LK97" s="20">
        <v>0</v>
      </c>
      <c r="LL97" s="20">
        <v>2</v>
      </c>
      <c r="LM97" s="20">
        <v>0</v>
      </c>
      <c r="LN97" s="20">
        <v>2</v>
      </c>
      <c r="LO97" s="20">
        <v>0</v>
      </c>
      <c r="LP97" s="20">
        <v>0</v>
      </c>
      <c r="LQ97" s="20">
        <v>0</v>
      </c>
      <c r="LR97" s="20">
        <v>0</v>
      </c>
      <c r="LS97" s="20">
        <v>2</v>
      </c>
      <c r="LT97" s="20">
        <v>0</v>
      </c>
      <c r="LU97" s="20">
        <v>0</v>
      </c>
      <c r="LW97" s="26" t="s">
        <v>517</v>
      </c>
      <c r="LX97" s="20">
        <v>0</v>
      </c>
      <c r="LY97" s="20">
        <v>0</v>
      </c>
      <c r="LZ97" s="20">
        <v>0</v>
      </c>
      <c r="MA97" s="20">
        <v>0</v>
      </c>
      <c r="MB97" s="20">
        <v>2</v>
      </c>
      <c r="MC97" s="20">
        <v>2</v>
      </c>
      <c r="MD97" s="20">
        <v>0</v>
      </c>
      <c r="ME97" s="20">
        <v>2</v>
      </c>
      <c r="MF97" s="20">
        <v>0</v>
      </c>
      <c r="MG97" s="20">
        <v>0</v>
      </c>
      <c r="MH97" s="20">
        <v>2</v>
      </c>
      <c r="MI97" s="20">
        <v>0</v>
      </c>
      <c r="MJ97" s="20">
        <v>0</v>
      </c>
      <c r="MK97" s="20">
        <v>0</v>
      </c>
      <c r="ML97" s="20">
        <v>4</v>
      </c>
      <c r="MM97" s="20">
        <v>0</v>
      </c>
      <c r="MN97" s="20">
        <v>0</v>
      </c>
      <c r="MO97" s="20">
        <v>0</v>
      </c>
      <c r="MP97" s="20">
        <v>0</v>
      </c>
      <c r="MQ97" s="20">
        <v>0</v>
      </c>
      <c r="MR97" s="20">
        <v>0</v>
      </c>
      <c r="MS97" s="20">
        <v>0</v>
      </c>
      <c r="MT97" s="20">
        <v>0</v>
      </c>
      <c r="MU97" s="20">
        <v>0</v>
      </c>
      <c r="MV97" s="20">
        <v>0</v>
      </c>
      <c r="MW97" s="20">
        <v>0</v>
      </c>
    </row>
    <row r="98" spans="1:361" x14ac:dyDescent="0.25">
      <c r="A98" s="4"/>
      <c r="B98" s="6"/>
      <c r="C98" s="4"/>
      <c r="D98" s="4"/>
      <c r="E98" s="4"/>
      <c r="F98" s="4"/>
      <c r="G98" s="4"/>
      <c r="H98" s="4"/>
      <c r="I98" s="4"/>
      <c r="J98" s="4"/>
      <c r="K98" s="4"/>
      <c r="L98" s="6" t="s">
        <v>67</v>
      </c>
      <c r="M98" s="14">
        <f>INDEX(cennik!$C$2:$L$529,MATCH($L98,cennik!$B$2:$B$522,0),MATCH(M$27,cennik!$C$1:$L$1,0))</f>
        <v>890008</v>
      </c>
      <c r="N98" s="14" t="str">
        <f>INDEX(cennik!$C$2:$L$529,MATCH($L98,cennik!$B$2:$B$522,0),MATCH(N$27,cennik!$C$1:$L$1,0))</f>
        <v>100 szt.</v>
      </c>
      <c r="O98" s="14">
        <f>ROUNDUP((O97/100),0)</f>
        <v>0</v>
      </c>
      <c r="P98" s="22">
        <f>INDEX(cennik!$C$2:$L$529,MATCH($L98,cennik!$B$2:$B$522,0),MATCH(P$27,cennik!$C$1:$L$1,0))</f>
        <v>28.15</v>
      </c>
      <c r="Q98" s="22">
        <f t="shared" si="87"/>
        <v>0</v>
      </c>
      <c r="R98" s="23">
        <f t="shared" si="83"/>
        <v>0</v>
      </c>
      <c r="S98" s="22">
        <f t="shared" si="84"/>
        <v>28.15</v>
      </c>
      <c r="T98" s="22">
        <f t="shared" si="88"/>
        <v>0</v>
      </c>
      <c r="U98" s="22">
        <f>INDEX(cennik!$C$2:$L$529,MATCH($L98,cennik!$B$2:$B$522,0),MATCH(U$27,cennik!$C$1:$L$1,0))*O98</f>
        <v>0</v>
      </c>
      <c r="V98" s="20"/>
      <c r="W98" s="20"/>
      <c r="X98" s="25">
        <f t="shared" si="89"/>
        <v>0</v>
      </c>
      <c r="Y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113,$BB$2:$CA$2,0),MATCH($W$87,$AH$22:$AH$47,0)))*C113</f>
        <v>0</v>
      </c>
      <c r="Z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113,$BB$2:$CA$2,0),MATCH($W$87,$AH$22:$AH$47,0)))*C113</f>
        <v>0</v>
      </c>
      <c r="AA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113,$BB$2:$CA$2,0),MATCH($W$87,$AH$22:$AH$47,0)))*C113</f>
        <v>0</v>
      </c>
      <c r="AB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113,$BB$2:$CA$2,0),MATCH($W$87,$AH$22:$AH$47,0)))*C113</f>
        <v>0</v>
      </c>
      <c r="AC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113,$BB$2:$CA$2,0),MATCH($W$87,$AH$22:$AH$47,0)))*C113</f>
        <v>0</v>
      </c>
      <c r="AD9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113,$BB$2:$CA$2,0),MATCH($W$87,$AH$22:$AH$47,0)))*C113</f>
        <v>0</v>
      </c>
      <c r="AE98" s="20"/>
      <c r="AF98" s="20"/>
      <c r="AG98" s="20"/>
      <c r="AH98" s="20"/>
      <c r="AI98" s="20"/>
      <c r="AJ98" s="20"/>
      <c r="AK98" s="20"/>
      <c r="AL98" s="20">
        <f t="shared" si="90"/>
        <v>0</v>
      </c>
      <c r="AM98" s="20"/>
      <c r="AN98" s="20"/>
      <c r="AO98" s="20"/>
      <c r="AP98" s="20"/>
      <c r="AQ98" s="20"/>
      <c r="AR98" s="20"/>
      <c r="AS98" s="20"/>
      <c r="AT98" s="20"/>
      <c r="AU98" s="20"/>
      <c r="AV98" s="20"/>
      <c r="AW98" s="20"/>
      <c r="AX98" s="20"/>
      <c r="AY98" s="20"/>
      <c r="AZ98" s="20"/>
      <c r="BA98" s="21" t="s">
        <v>408</v>
      </c>
      <c r="BB98" s="21">
        <v>0</v>
      </c>
      <c r="BC98" s="21">
        <v>0</v>
      </c>
      <c r="BD98" s="21">
        <v>0</v>
      </c>
      <c r="BE98" s="21">
        <v>4</v>
      </c>
      <c r="BF98" s="21">
        <v>4</v>
      </c>
      <c r="BG98" s="21">
        <v>4</v>
      </c>
      <c r="BH98" s="21">
        <v>8</v>
      </c>
      <c r="BI98" s="21">
        <v>16</v>
      </c>
      <c r="BJ98" s="21">
        <v>12</v>
      </c>
      <c r="BK98" s="21">
        <v>12</v>
      </c>
      <c r="BL98" s="21">
        <v>12</v>
      </c>
      <c r="BM98" s="21">
        <v>16</v>
      </c>
      <c r="BN98" s="21">
        <v>16</v>
      </c>
      <c r="BO98" s="21">
        <v>20</v>
      </c>
      <c r="BP98" s="21">
        <v>20</v>
      </c>
      <c r="BQ98" s="21">
        <v>20</v>
      </c>
      <c r="BR98" s="21">
        <v>24</v>
      </c>
      <c r="BS98" s="21">
        <v>24</v>
      </c>
      <c r="BT98" s="21">
        <v>24</v>
      </c>
      <c r="BU98" s="21">
        <v>28</v>
      </c>
      <c r="BV98" s="21">
        <v>28</v>
      </c>
      <c r="BW98" s="21">
        <v>32</v>
      </c>
      <c r="BX98" s="21">
        <v>32</v>
      </c>
      <c r="BY98" s="21">
        <v>32</v>
      </c>
      <c r="BZ98" s="21">
        <v>36</v>
      </c>
      <c r="CA98" s="21">
        <v>36</v>
      </c>
      <c r="DA98" s="54"/>
      <c r="DB98" s="54"/>
      <c r="DC98" s="54"/>
      <c r="DD98" s="26" t="s">
        <v>712</v>
      </c>
      <c r="DE98" s="20">
        <v>0</v>
      </c>
      <c r="DF98" s="20"/>
      <c r="DG98" s="20"/>
      <c r="DH98" s="20"/>
      <c r="DI98" s="20"/>
      <c r="DJ98" s="20"/>
      <c r="DK98" s="20"/>
      <c r="DL98" s="20"/>
      <c r="DM98" s="20"/>
      <c r="DN98" s="20"/>
      <c r="DO98" s="20"/>
      <c r="DP98" s="20"/>
      <c r="DQ98" s="20"/>
      <c r="DR98" s="20"/>
      <c r="DS98" s="20"/>
      <c r="DT98" s="20"/>
      <c r="DU98" s="20"/>
      <c r="DV98" s="20"/>
      <c r="DW98" s="20"/>
      <c r="DX98" s="20"/>
      <c r="DY98" s="20"/>
      <c r="DZ98" s="20"/>
      <c r="EA98" s="20"/>
      <c r="EB98" s="20"/>
      <c r="GC98" s="20"/>
      <c r="GD98" s="20"/>
      <c r="GE98" s="20" t="s">
        <v>408</v>
      </c>
      <c r="GF98" s="20">
        <v>0</v>
      </c>
      <c r="GG98" s="20">
        <f t="shared" ref="GG98:GP98" si="94">((((SUM(GG93:GG97))/2)-1))*4</f>
        <v>4</v>
      </c>
      <c r="GH98" s="20">
        <f t="shared" si="94"/>
        <v>4</v>
      </c>
      <c r="GI98" s="20">
        <f t="shared" si="94"/>
        <v>4</v>
      </c>
      <c r="GJ98" s="20">
        <f t="shared" si="94"/>
        <v>8</v>
      </c>
      <c r="GK98" s="20">
        <f t="shared" si="94"/>
        <v>12</v>
      </c>
      <c r="GL98" s="20">
        <f t="shared" si="94"/>
        <v>12</v>
      </c>
      <c r="GM98" s="20">
        <f t="shared" si="94"/>
        <v>16</v>
      </c>
      <c r="GN98" s="20">
        <f t="shared" si="94"/>
        <v>20</v>
      </c>
      <c r="GO98" s="20">
        <f t="shared" si="94"/>
        <v>20</v>
      </c>
      <c r="GP98" s="20">
        <f t="shared" si="94"/>
        <v>24</v>
      </c>
      <c r="GQ98" s="20">
        <f>((((SUM(GQ93:GQ97))/2)-1))*4</f>
        <v>28</v>
      </c>
      <c r="GR98" s="20">
        <f t="shared" ref="GR98:ID98" si="95">((((SUM(GR93:GR97))/2)-1))*4</f>
        <v>28</v>
      </c>
      <c r="GS98" s="20">
        <f t="shared" si="95"/>
        <v>32</v>
      </c>
      <c r="GT98" s="20">
        <f t="shared" si="95"/>
        <v>36</v>
      </c>
      <c r="GU98" s="20">
        <f t="shared" si="95"/>
        <v>36</v>
      </c>
      <c r="GV98" s="20">
        <f t="shared" si="95"/>
        <v>40</v>
      </c>
      <c r="GW98" s="20">
        <f t="shared" si="95"/>
        <v>44</v>
      </c>
      <c r="GX98" s="20">
        <f t="shared" si="95"/>
        <v>44</v>
      </c>
      <c r="GY98" s="20">
        <f t="shared" si="95"/>
        <v>48</v>
      </c>
      <c r="GZ98" s="20">
        <f t="shared" si="95"/>
        <v>52</v>
      </c>
      <c r="HA98" s="20">
        <f t="shared" si="95"/>
        <v>52</v>
      </c>
      <c r="HB98" s="20">
        <f t="shared" si="95"/>
        <v>56</v>
      </c>
      <c r="HC98" s="20">
        <f t="shared" si="95"/>
        <v>60</v>
      </c>
      <c r="HD98" s="20">
        <f t="shared" si="95"/>
        <v>60</v>
      </c>
      <c r="HE98" s="20">
        <f t="shared" si="95"/>
        <v>64</v>
      </c>
      <c r="HF98" s="20">
        <f t="shared" si="95"/>
        <v>68</v>
      </c>
      <c r="HG98" s="20">
        <f t="shared" si="95"/>
        <v>68</v>
      </c>
      <c r="HH98" s="20">
        <f t="shared" si="95"/>
        <v>72</v>
      </c>
      <c r="HI98" s="20">
        <f t="shared" si="95"/>
        <v>76</v>
      </c>
      <c r="HJ98" s="20">
        <f t="shared" si="95"/>
        <v>76</v>
      </c>
      <c r="HK98" s="20">
        <f t="shared" si="95"/>
        <v>80</v>
      </c>
      <c r="HL98" s="20">
        <f t="shared" si="95"/>
        <v>84</v>
      </c>
      <c r="HM98" s="20">
        <f t="shared" si="95"/>
        <v>84</v>
      </c>
      <c r="HN98" s="20">
        <f t="shared" si="95"/>
        <v>88</v>
      </c>
      <c r="HO98" s="20">
        <f t="shared" si="95"/>
        <v>92</v>
      </c>
      <c r="HP98" s="20">
        <f t="shared" si="95"/>
        <v>92</v>
      </c>
      <c r="HQ98" s="20">
        <f t="shared" si="95"/>
        <v>96</v>
      </c>
      <c r="HR98" s="20">
        <f t="shared" si="95"/>
        <v>100</v>
      </c>
      <c r="HS98" s="20">
        <f t="shared" si="95"/>
        <v>100</v>
      </c>
      <c r="HT98" s="20">
        <f t="shared" si="95"/>
        <v>104</v>
      </c>
      <c r="HU98" s="20">
        <f t="shared" si="95"/>
        <v>104</v>
      </c>
      <c r="HV98" s="20">
        <f t="shared" si="95"/>
        <v>108</v>
      </c>
      <c r="HW98" s="20">
        <f t="shared" si="95"/>
        <v>112</v>
      </c>
      <c r="HX98" s="20">
        <f t="shared" si="95"/>
        <v>112</v>
      </c>
      <c r="HY98" s="20">
        <f t="shared" si="95"/>
        <v>116</v>
      </c>
      <c r="HZ98" s="20">
        <f t="shared" si="95"/>
        <v>120</v>
      </c>
      <c r="IA98" s="20">
        <f t="shared" si="95"/>
        <v>120</v>
      </c>
      <c r="IB98" s="20">
        <f t="shared" si="95"/>
        <v>124</v>
      </c>
      <c r="IC98" s="20">
        <f t="shared" si="95"/>
        <v>128</v>
      </c>
      <c r="ID98" s="20">
        <f t="shared" si="95"/>
        <v>128</v>
      </c>
      <c r="JI98" s="358" t="s">
        <v>160</v>
      </c>
      <c r="JJ98" s="358"/>
      <c r="JK98" s="358"/>
      <c r="JL98" s="358"/>
      <c r="JM98" s="358"/>
      <c r="JN98" s="358"/>
      <c r="JO98" s="358"/>
      <c r="JP98" s="27"/>
      <c r="JQ98" s="27"/>
      <c r="JS98" s="21" t="s">
        <v>518</v>
      </c>
      <c r="JT98" s="21">
        <v>0</v>
      </c>
      <c r="JU98" s="21">
        <v>2</v>
      </c>
      <c r="JV98" s="21">
        <v>0</v>
      </c>
      <c r="JW98" s="21">
        <v>0</v>
      </c>
      <c r="JX98" s="21">
        <v>0</v>
      </c>
      <c r="JY98" s="21">
        <v>0</v>
      </c>
      <c r="JZ98" s="21">
        <v>0</v>
      </c>
      <c r="KA98" s="21">
        <v>2</v>
      </c>
      <c r="KB98" s="21">
        <v>0</v>
      </c>
      <c r="KC98" s="21">
        <v>0</v>
      </c>
      <c r="KD98" s="21">
        <v>0</v>
      </c>
      <c r="KE98" s="21">
        <v>0</v>
      </c>
      <c r="KF98" s="21">
        <v>0</v>
      </c>
      <c r="KG98" s="21">
        <v>0</v>
      </c>
      <c r="KH98" s="21">
        <v>4</v>
      </c>
      <c r="KI98" s="21">
        <v>2</v>
      </c>
      <c r="KJ98" s="21">
        <v>0</v>
      </c>
      <c r="KK98" s="21">
        <v>0</v>
      </c>
      <c r="KL98" s="21">
        <v>0</v>
      </c>
      <c r="KM98" s="21">
        <v>4</v>
      </c>
      <c r="KN98" s="21">
        <v>2</v>
      </c>
      <c r="KO98" s="21">
        <v>0</v>
      </c>
      <c r="KP98" s="21">
        <v>4</v>
      </c>
      <c r="KQ98" s="21">
        <v>0</v>
      </c>
      <c r="KR98" s="21">
        <v>0</v>
      </c>
      <c r="KS98" s="21">
        <v>2</v>
      </c>
      <c r="KU98" s="26" t="s">
        <v>518</v>
      </c>
      <c r="KV98" s="20">
        <v>0</v>
      </c>
      <c r="KW98" s="20">
        <v>0</v>
      </c>
      <c r="KX98" s="20">
        <v>0</v>
      </c>
      <c r="KY98" s="20">
        <v>0</v>
      </c>
      <c r="KZ98" s="20">
        <v>2</v>
      </c>
      <c r="LA98" s="20">
        <v>0</v>
      </c>
      <c r="LB98" s="20">
        <v>0</v>
      </c>
      <c r="LC98" s="20">
        <v>0</v>
      </c>
      <c r="LD98" s="20">
        <v>0</v>
      </c>
      <c r="LE98" s="20">
        <v>4</v>
      </c>
      <c r="LF98" s="20">
        <v>0</v>
      </c>
      <c r="LG98" s="20">
        <v>2</v>
      </c>
      <c r="LH98" s="20">
        <v>0</v>
      </c>
      <c r="LI98" s="20">
        <v>0</v>
      </c>
      <c r="LJ98" s="20">
        <v>0</v>
      </c>
      <c r="LK98" s="20">
        <v>0</v>
      </c>
      <c r="LL98" s="20">
        <v>2</v>
      </c>
      <c r="LM98" s="20">
        <v>0</v>
      </c>
      <c r="LN98" s="20">
        <v>0</v>
      </c>
      <c r="LO98" s="20">
        <v>0</v>
      </c>
      <c r="LP98" s="20">
        <v>0</v>
      </c>
      <c r="LQ98" s="20">
        <v>0</v>
      </c>
      <c r="LR98" s="20">
        <v>2</v>
      </c>
      <c r="LS98" s="20">
        <v>0</v>
      </c>
      <c r="LT98" s="20">
        <v>0</v>
      </c>
      <c r="LU98" s="20">
        <v>0</v>
      </c>
      <c r="LW98" s="26" t="s">
        <v>518</v>
      </c>
      <c r="LX98" s="20">
        <v>0</v>
      </c>
      <c r="LY98" s="20">
        <v>2</v>
      </c>
      <c r="LZ98" s="20">
        <v>0</v>
      </c>
      <c r="MA98" s="20">
        <v>0</v>
      </c>
      <c r="MB98" s="20">
        <v>0</v>
      </c>
      <c r="MC98" s="20">
        <v>2</v>
      </c>
      <c r="MD98" s="20">
        <v>0</v>
      </c>
      <c r="ME98" s="20">
        <v>0</v>
      </c>
      <c r="MF98" s="20">
        <v>4</v>
      </c>
      <c r="MG98" s="20">
        <v>0</v>
      </c>
      <c r="MH98" s="20">
        <v>0</v>
      </c>
      <c r="MI98" s="20">
        <v>4</v>
      </c>
      <c r="MJ98" s="20">
        <v>0</v>
      </c>
      <c r="MK98" s="20">
        <v>2</v>
      </c>
      <c r="ML98" s="20">
        <v>0</v>
      </c>
      <c r="MM98" s="20">
        <v>0</v>
      </c>
      <c r="MN98" s="20">
        <v>2</v>
      </c>
      <c r="MO98" s="20">
        <v>0</v>
      </c>
      <c r="MP98" s="20">
        <v>0</v>
      </c>
      <c r="MQ98" s="20">
        <v>2</v>
      </c>
      <c r="MR98" s="20">
        <v>0</v>
      </c>
      <c r="MS98" s="20">
        <v>0</v>
      </c>
      <c r="MT98" s="20">
        <v>4</v>
      </c>
      <c r="MU98" s="20">
        <v>0</v>
      </c>
      <c r="MV98" s="20">
        <v>0</v>
      </c>
      <c r="MW98" s="20">
        <v>0</v>
      </c>
    </row>
    <row r="99" spans="1:361" x14ac:dyDescent="0.25">
      <c r="A99" s="4"/>
      <c r="B99" s="6"/>
      <c r="C99" s="4"/>
      <c r="D99" s="4"/>
      <c r="E99" s="4"/>
      <c r="F99" s="4"/>
      <c r="G99" s="4"/>
      <c r="H99" s="4"/>
      <c r="I99" s="4"/>
      <c r="J99" s="4"/>
      <c r="K99" s="4"/>
      <c r="L99" s="6" t="str">
        <f>IF(E85=$AK$22,"NOWPAL40x40SR","-------")</f>
        <v>NOWPAL40x40SR</v>
      </c>
      <c r="M99" s="14">
        <f>INDEX(cennik!$C$2:$L$529,MATCH($L99,cennik!$B$2:$B$522,0),MATCH(M$27,cennik!$C$1:$L$1,0))</f>
        <v>890404</v>
      </c>
      <c r="N99" s="14" t="str">
        <f>INDEX(cennik!$C$2:$L$529,MATCH($L99,cennik!$B$2:$B$522,0),MATCH(N$27,cennik!$C$1:$L$1,0))</f>
        <v>szt.</v>
      </c>
      <c r="O99" s="14">
        <f>IF(L99="NOWPAL40X40SR",SUM(C78:C93)*4,0)</f>
        <v>4</v>
      </c>
      <c r="P99" s="22">
        <f>INDEX(cennik!$C$2:$L$529,MATCH($L99,cennik!$B$2:$B$522,0),MATCH(P$27,cennik!$C$1:$L$1,0))</f>
        <v>0.7</v>
      </c>
      <c r="Q99" s="22">
        <f t="shared" si="87"/>
        <v>2.8</v>
      </c>
      <c r="R99" s="23">
        <f t="shared" si="83"/>
        <v>0</v>
      </c>
      <c r="S99" s="22">
        <f t="shared" si="84"/>
        <v>0.7</v>
      </c>
      <c r="T99" s="22">
        <f t="shared" si="88"/>
        <v>2.8</v>
      </c>
      <c r="U99" s="22">
        <f>INDEX(cennik!$C$2:$L$529,MATCH($L99,cennik!$B$2:$B$522,0),MATCH(U$27,cennik!$C$1:$L$1,0))*O99</f>
        <v>0</v>
      </c>
      <c r="V99" s="20"/>
      <c r="W99" s="20"/>
      <c r="X99" s="25">
        <f t="shared" si="89"/>
        <v>0</v>
      </c>
      <c r="Y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114,$BB$2:$CA$2,0),MATCH($W$87,$AH$22:$AH$47,0)))*C114</f>
        <v>0</v>
      </c>
      <c r="Z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114,$BB$2:$CA$2,0),MATCH($W$87,$AH$22:$AH$47,0)))*C114</f>
        <v>0</v>
      </c>
      <c r="AA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114,$BB$2:$CA$2,0),MATCH($W$87,$AH$22:$AH$47,0)))*C114</f>
        <v>0</v>
      </c>
      <c r="AB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114,$BB$2:$CA$2,0),MATCH($W$87,$AH$22:$AH$47,0)))*C114</f>
        <v>0</v>
      </c>
      <c r="AC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114,$BB$2:$CA$2,0),MATCH($W$87,$AH$22:$AH$47,0)))*C114</f>
        <v>0</v>
      </c>
      <c r="AD9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114,$BB$2:$CA$2,0),MATCH($W$87,$AH$22:$AH$47,0)))*C114</f>
        <v>0</v>
      </c>
      <c r="AE99" s="20"/>
      <c r="AF99" s="20"/>
      <c r="AG99" s="20"/>
      <c r="AH99" s="20"/>
      <c r="AI99" s="20"/>
      <c r="AJ99" s="20"/>
      <c r="AK99" s="20"/>
      <c r="AL99" s="20">
        <f t="shared" si="90"/>
        <v>0</v>
      </c>
      <c r="AM99" s="20"/>
      <c r="AN99" s="20"/>
      <c r="AO99" s="20"/>
      <c r="AP99" s="20"/>
      <c r="AQ99" s="20"/>
      <c r="AR99" s="20"/>
      <c r="AS99" s="20"/>
      <c r="AT99" s="20"/>
      <c r="AU99" s="20"/>
      <c r="AV99" s="20"/>
      <c r="AW99" s="20"/>
      <c r="AX99" s="20"/>
      <c r="AY99" s="20"/>
      <c r="AZ99" s="20"/>
      <c r="BA99" s="21" t="s">
        <v>516</v>
      </c>
      <c r="BB99" s="21">
        <v>0</v>
      </c>
      <c r="BC99" s="21">
        <v>0</v>
      </c>
      <c r="BD99" s="21">
        <v>0</v>
      </c>
      <c r="BE99" s="21">
        <v>0</v>
      </c>
      <c r="BF99" s="21">
        <v>0</v>
      </c>
      <c r="BG99" s="21">
        <v>0</v>
      </c>
      <c r="BH99" s="21">
        <v>2</v>
      </c>
      <c r="BI99" s="21">
        <v>6</v>
      </c>
      <c r="BJ99" s="21">
        <v>0</v>
      </c>
      <c r="BK99" s="21">
        <v>0</v>
      </c>
      <c r="BL99" s="21">
        <v>0</v>
      </c>
      <c r="BM99" s="21">
        <v>0</v>
      </c>
      <c r="BN99" s="21">
        <v>0</v>
      </c>
      <c r="BO99" s="21">
        <v>0</v>
      </c>
      <c r="BP99" s="21">
        <v>0</v>
      </c>
      <c r="BQ99" s="21">
        <v>0</v>
      </c>
      <c r="BR99" s="21">
        <v>2</v>
      </c>
      <c r="BS99" s="21">
        <v>0</v>
      </c>
      <c r="BT99" s="21">
        <v>0</v>
      </c>
      <c r="BU99" s="21">
        <v>0</v>
      </c>
      <c r="BV99" s="21">
        <v>0</v>
      </c>
      <c r="BW99" s="21">
        <v>2</v>
      </c>
      <c r="BX99" s="21">
        <v>0</v>
      </c>
      <c r="BY99" s="21">
        <v>0</v>
      </c>
      <c r="BZ99" s="21">
        <v>0</v>
      </c>
      <c r="CA99" s="21">
        <v>0</v>
      </c>
      <c r="DA99" s="54"/>
      <c r="DB99" s="54"/>
      <c r="DC99" s="54"/>
      <c r="DD99" s="20"/>
      <c r="DE99" s="20"/>
      <c r="DF99" s="20"/>
      <c r="DG99" s="20"/>
      <c r="DH99" s="20"/>
      <c r="DI99" s="20"/>
      <c r="DJ99" s="20"/>
      <c r="DK99" s="20"/>
      <c r="DL99" s="20"/>
      <c r="DM99" s="20"/>
      <c r="DN99" s="20"/>
      <c r="DO99" s="20"/>
      <c r="DP99" s="20"/>
      <c r="DQ99" s="20"/>
      <c r="DR99" s="20"/>
      <c r="DS99" s="20"/>
      <c r="DT99" s="20"/>
      <c r="DU99" s="20"/>
      <c r="DV99" s="20"/>
      <c r="DW99" s="20"/>
      <c r="DX99" s="20"/>
      <c r="DY99" s="20"/>
      <c r="DZ99" s="20"/>
      <c r="EA99" s="20"/>
      <c r="EB99" s="20"/>
      <c r="GC99" s="20"/>
      <c r="GD99" s="20"/>
      <c r="GE99" s="26" t="s">
        <v>516</v>
      </c>
      <c r="GF99" s="20">
        <v>0</v>
      </c>
      <c r="GG99" s="20">
        <v>4</v>
      </c>
      <c r="GH99" s="20">
        <v>0</v>
      </c>
      <c r="GI99" s="20">
        <v>0</v>
      </c>
      <c r="GJ99" s="20">
        <v>0</v>
      </c>
      <c r="GK99" s="20">
        <v>0</v>
      </c>
      <c r="GL99" s="20">
        <v>0</v>
      </c>
      <c r="GM99" s="20">
        <v>0</v>
      </c>
      <c r="GN99" s="20">
        <v>0</v>
      </c>
      <c r="GO99" s="20">
        <v>0</v>
      </c>
      <c r="GP99" s="20">
        <v>0</v>
      </c>
      <c r="GQ99" s="20">
        <v>0</v>
      </c>
      <c r="GR99" s="20">
        <v>0</v>
      </c>
      <c r="GS99" s="20">
        <v>0</v>
      </c>
      <c r="GT99" s="20">
        <v>0</v>
      </c>
      <c r="GU99" s="20">
        <v>0</v>
      </c>
      <c r="GV99" s="20">
        <v>0</v>
      </c>
      <c r="GW99" s="20">
        <v>0</v>
      </c>
      <c r="GX99" s="20">
        <v>0</v>
      </c>
      <c r="GY99" s="20">
        <v>0</v>
      </c>
      <c r="GZ99" s="20">
        <v>0</v>
      </c>
      <c r="HA99" s="20">
        <v>0</v>
      </c>
      <c r="HB99" s="20">
        <v>0</v>
      </c>
      <c r="HC99" s="20">
        <v>0</v>
      </c>
      <c r="HD99" s="20">
        <v>0</v>
      </c>
      <c r="HE99" s="20">
        <v>0</v>
      </c>
      <c r="HF99" s="20">
        <v>0</v>
      </c>
      <c r="HG99" s="20">
        <v>0</v>
      </c>
      <c r="HH99" s="20">
        <v>0</v>
      </c>
      <c r="HI99" s="20">
        <v>0</v>
      </c>
      <c r="HJ99" s="20">
        <v>0</v>
      </c>
      <c r="HK99" s="20">
        <v>0</v>
      </c>
      <c r="HL99" s="20">
        <v>0</v>
      </c>
      <c r="HM99" s="20">
        <v>0</v>
      </c>
      <c r="HN99" s="20">
        <v>0</v>
      </c>
      <c r="HO99" s="20">
        <v>0</v>
      </c>
      <c r="HP99" s="20">
        <v>0</v>
      </c>
      <c r="HQ99" s="20">
        <v>2</v>
      </c>
      <c r="HR99" s="20">
        <v>0</v>
      </c>
      <c r="HS99" s="20">
        <v>0</v>
      </c>
      <c r="HT99" s="20">
        <v>0</v>
      </c>
      <c r="HU99" s="20">
        <v>0</v>
      </c>
      <c r="HV99" s="20">
        <v>0</v>
      </c>
      <c r="HW99" s="20">
        <v>0</v>
      </c>
      <c r="HX99" s="20">
        <v>0</v>
      </c>
      <c r="HY99" s="20">
        <v>0</v>
      </c>
      <c r="HZ99" s="20">
        <v>0</v>
      </c>
      <c r="IA99" s="20">
        <v>0</v>
      </c>
      <c r="IB99" s="20">
        <v>0</v>
      </c>
      <c r="IC99" s="20">
        <v>0</v>
      </c>
      <c r="ID99" s="20">
        <v>0</v>
      </c>
      <c r="JI99" s="26" t="s">
        <v>161</v>
      </c>
      <c r="JJ99" s="27">
        <v>1.1499999999999999</v>
      </c>
      <c r="JK99" s="27">
        <v>2.1</v>
      </c>
      <c r="JL99" s="27">
        <v>2.2000000000000002</v>
      </c>
      <c r="JM99" s="27">
        <v>2.4</v>
      </c>
      <c r="JN99" s="27">
        <v>3.15</v>
      </c>
      <c r="JO99" s="27">
        <v>3.3</v>
      </c>
      <c r="JP99" s="27">
        <v>3.6</v>
      </c>
      <c r="JQ99" s="27">
        <v>4.4000000000000004</v>
      </c>
      <c r="JS99" s="21" t="s">
        <v>519</v>
      </c>
      <c r="JT99" s="21">
        <v>0</v>
      </c>
      <c r="JU99" s="21">
        <v>0</v>
      </c>
      <c r="JV99" s="21">
        <v>2</v>
      </c>
      <c r="JW99" s="21">
        <v>0</v>
      </c>
      <c r="JX99" s="21">
        <v>2</v>
      </c>
      <c r="JY99" s="21">
        <v>4</v>
      </c>
      <c r="JZ99" s="21">
        <v>4</v>
      </c>
      <c r="KA99" s="21">
        <v>2</v>
      </c>
      <c r="KB99" s="21">
        <v>0</v>
      </c>
      <c r="KC99" s="21">
        <v>0</v>
      </c>
      <c r="KD99" s="21">
        <v>8</v>
      </c>
      <c r="KE99" s="21">
        <v>6</v>
      </c>
      <c r="KF99" s="21">
        <v>8</v>
      </c>
      <c r="KG99" s="21">
        <v>6</v>
      </c>
      <c r="KH99" s="21">
        <v>4</v>
      </c>
      <c r="KI99" s="21">
        <v>2</v>
      </c>
      <c r="KJ99" s="21">
        <v>2</v>
      </c>
      <c r="KK99" s="21">
        <v>2</v>
      </c>
      <c r="KL99" s="21">
        <v>12</v>
      </c>
      <c r="KM99" s="21">
        <v>10</v>
      </c>
      <c r="KN99" s="21">
        <v>8</v>
      </c>
      <c r="KO99" s="21">
        <v>8</v>
      </c>
      <c r="KP99" s="21">
        <v>8</v>
      </c>
      <c r="KQ99" s="21">
        <v>18</v>
      </c>
      <c r="KR99" s="21">
        <v>2</v>
      </c>
      <c r="KS99" s="21">
        <v>14</v>
      </c>
      <c r="KU99" s="26" t="s">
        <v>519</v>
      </c>
      <c r="KV99" s="20">
        <v>0</v>
      </c>
      <c r="KW99" s="20">
        <v>0</v>
      </c>
      <c r="KX99" s="20">
        <v>0</v>
      </c>
      <c r="KY99" s="20">
        <v>4</v>
      </c>
      <c r="KZ99" s="20">
        <v>0</v>
      </c>
      <c r="LA99" s="20">
        <v>6</v>
      </c>
      <c r="LB99" s="20">
        <v>6</v>
      </c>
      <c r="LC99" s="20">
        <v>0</v>
      </c>
      <c r="LD99" s="20">
        <v>2</v>
      </c>
      <c r="LE99" s="20">
        <v>8</v>
      </c>
      <c r="LF99" s="20">
        <v>12</v>
      </c>
      <c r="LG99" s="20">
        <v>0</v>
      </c>
      <c r="LH99" s="20">
        <v>8</v>
      </c>
      <c r="LI99" s="20">
        <v>8</v>
      </c>
      <c r="LJ99" s="20">
        <v>0</v>
      </c>
      <c r="LK99" s="20">
        <v>18</v>
      </c>
      <c r="LL99" s="20">
        <v>6</v>
      </c>
      <c r="LM99" s="20">
        <v>12</v>
      </c>
      <c r="LN99" s="20">
        <v>14</v>
      </c>
      <c r="LO99" s="20">
        <v>6</v>
      </c>
      <c r="LP99" s="20">
        <v>24</v>
      </c>
      <c r="LQ99" s="20">
        <v>0</v>
      </c>
      <c r="LR99" s="20">
        <v>8</v>
      </c>
      <c r="LS99" s="20">
        <v>20</v>
      </c>
      <c r="LT99" s="20">
        <v>12</v>
      </c>
      <c r="LU99" s="20">
        <v>30</v>
      </c>
      <c r="LW99" s="26" t="s">
        <v>519</v>
      </c>
      <c r="LX99" s="20">
        <v>0</v>
      </c>
      <c r="LY99" s="20">
        <v>0</v>
      </c>
      <c r="LZ99" s="20">
        <v>2</v>
      </c>
      <c r="MA99" s="20">
        <v>2</v>
      </c>
      <c r="MB99" s="20">
        <v>2</v>
      </c>
      <c r="MC99" s="20">
        <v>2</v>
      </c>
      <c r="MD99" s="20">
        <v>4</v>
      </c>
      <c r="ME99" s="20">
        <v>4</v>
      </c>
      <c r="MF99" s="20">
        <v>6</v>
      </c>
      <c r="MG99" s="20">
        <v>8</v>
      </c>
      <c r="MH99" s="20">
        <v>6</v>
      </c>
      <c r="MI99" s="20">
        <v>8</v>
      </c>
      <c r="MJ99" s="20">
        <v>12</v>
      </c>
      <c r="MK99" s="20">
        <v>10</v>
      </c>
      <c r="ML99" s="20">
        <v>8</v>
      </c>
      <c r="MM99" s="20">
        <v>12</v>
      </c>
      <c r="MN99" s="20">
        <v>12</v>
      </c>
      <c r="MO99" s="20">
        <v>0</v>
      </c>
      <c r="MP99" s="20">
        <v>14</v>
      </c>
      <c r="MQ99" s="20">
        <v>14</v>
      </c>
      <c r="MR99" s="20">
        <v>2</v>
      </c>
      <c r="MS99" s="20">
        <v>16</v>
      </c>
      <c r="MT99" s="20">
        <v>8</v>
      </c>
      <c r="MU99" s="20">
        <v>4</v>
      </c>
      <c r="MV99" s="20">
        <v>18</v>
      </c>
      <c r="MW99" s="20">
        <v>34</v>
      </c>
    </row>
    <row r="100" spans="1:361" x14ac:dyDescent="0.25">
      <c r="A100" s="4"/>
      <c r="B100" s="6"/>
      <c r="C100" s="4"/>
      <c r="D100" s="4"/>
      <c r="E100" s="4"/>
      <c r="F100" s="4"/>
      <c r="G100" s="4"/>
      <c r="H100" s="4"/>
      <c r="I100" s="4"/>
      <c r="J100" s="4"/>
      <c r="K100" s="4"/>
      <c r="L100" s="6" t="s">
        <v>1019</v>
      </c>
      <c r="M100" s="14">
        <f>INDEX(cennik!$C$2:$L$529,MATCH($L100,cennik!$B$2:$B$522,0),MATCH(M$27,cennik!$C$1:$L$1,0))</f>
        <v>166794</v>
      </c>
      <c r="N100" s="14" t="str">
        <f>INDEX(cennik!$C$2:$L$529,MATCH($L100,cennik!$B$2:$B$522,0),MATCH(N$27,cennik!$C$1:$L$1,0))</f>
        <v>100 szt.</v>
      </c>
      <c r="O100" s="14">
        <f>ROUNDUP((O94/100),0)</f>
        <v>1</v>
      </c>
      <c r="P100" s="22">
        <f>INDEX(cennik!$C$2:$L$529,MATCH($L100,cennik!$B$2:$B$522,0),MATCH(P$27,cennik!$C$1:$L$1,0))</f>
        <v>3.95</v>
      </c>
      <c r="Q100" s="22">
        <f t="shared" si="87"/>
        <v>3.95</v>
      </c>
      <c r="R100" s="23">
        <f t="shared" si="83"/>
        <v>0</v>
      </c>
      <c r="S100" s="22">
        <f t="shared" si="84"/>
        <v>3.95</v>
      </c>
      <c r="T100" s="22">
        <f t="shared" si="88"/>
        <v>3.95</v>
      </c>
      <c r="U100" s="22">
        <f>INDEX(cennik!$C$2:$L$529,MATCH($L100,cennik!$B$2:$B$522,0),MATCH(U$27,cennik!$C$1:$L$1,0))*O100</f>
        <v>0</v>
      </c>
      <c r="V100" s="20"/>
      <c r="W100" s="20"/>
      <c r="X100" s="25">
        <f t="shared" si="89"/>
        <v>0</v>
      </c>
      <c r="Y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115,$BB$2:$CA$2,0),MATCH($W$87,$AH$22:$AH$47,0)))*C115</f>
        <v>0</v>
      </c>
      <c r="Z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115,$BB$2:$CA$2,0),MATCH($W$87,$AH$22:$AH$47,0)))*C115</f>
        <v>0</v>
      </c>
      <c r="AA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115,$BB$2:$CA$2,0),MATCH($W$87,$AH$22:$AH$47,0)))*C115</f>
        <v>0</v>
      </c>
      <c r="AB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115,$BB$2:$CA$2,0),MATCH($W$87,$AH$22:$AH$47,0)))*C115</f>
        <v>0</v>
      </c>
      <c r="AC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115,$BB$2:$CA$2,0),MATCH($W$87,$AH$22:$AH$47,0)))*C115</f>
        <v>0</v>
      </c>
      <c r="AD10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115,$BB$2:$CA$2,0),MATCH($W$87,$AH$22:$AH$47,0)))*C115</f>
        <v>0</v>
      </c>
      <c r="AE100" s="20"/>
      <c r="AF100" s="20"/>
      <c r="AG100" s="20"/>
      <c r="AH100" s="20"/>
      <c r="AI100" s="20"/>
      <c r="AJ100" s="20"/>
      <c r="AK100" s="20"/>
      <c r="AL100" s="20">
        <f t="shared" si="90"/>
        <v>0</v>
      </c>
      <c r="AM100" s="20"/>
      <c r="AN100" s="20"/>
      <c r="AO100" s="20"/>
      <c r="AP100" s="20"/>
      <c r="AQ100" s="20"/>
      <c r="AR100" s="20"/>
      <c r="AS100" s="20"/>
      <c r="AT100" s="20"/>
      <c r="AU100" s="20"/>
      <c r="AV100" s="20"/>
      <c r="AW100" s="20"/>
      <c r="AX100" s="20"/>
      <c r="AY100" s="20"/>
      <c r="AZ100" s="20"/>
      <c r="BA100" s="21" t="s">
        <v>517</v>
      </c>
      <c r="BB100" s="21">
        <v>0</v>
      </c>
      <c r="BC100" s="21">
        <v>2</v>
      </c>
      <c r="BD100" s="21">
        <v>0</v>
      </c>
      <c r="BE100" s="21">
        <v>4</v>
      </c>
      <c r="BF100" s="21">
        <v>2</v>
      </c>
      <c r="BG100" s="21">
        <v>0</v>
      </c>
      <c r="BH100" s="21">
        <v>0</v>
      </c>
      <c r="BI100" s="21">
        <v>0</v>
      </c>
      <c r="BJ100" s="21">
        <v>4</v>
      </c>
      <c r="BK100" s="21">
        <v>2</v>
      </c>
      <c r="BL100" s="21">
        <v>0</v>
      </c>
      <c r="BM100" s="21">
        <v>0</v>
      </c>
      <c r="BN100" s="21">
        <v>2</v>
      </c>
      <c r="BO100" s="21">
        <v>4</v>
      </c>
      <c r="BP100" s="21">
        <v>0</v>
      </c>
      <c r="BQ100" s="21">
        <v>0</v>
      </c>
      <c r="BR100" s="21">
        <v>0</v>
      </c>
      <c r="BS100" s="21">
        <v>0</v>
      </c>
      <c r="BT100" s="21">
        <v>0</v>
      </c>
      <c r="BU100" s="21">
        <v>0</v>
      </c>
      <c r="BV100" s="21">
        <v>0</v>
      </c>
      <c r="BW100" s="21">
        <v>0</v>
      </c>
      <c r="BX100" s="21">
        <v>0</v>
      </c>
      <c r="BY100" s="21">
        <v>0</v>
      </c>
      <c r="BZ100" s="21">
        <v>0</v>
      </c>
      <c r="CA100" s="21">
        <v>0</v>
      </c>
      <c r="DA100" s="54"/>
      <c r="DB100" s="54"/>
      <c r="DC100" s="54"/>
      <c r="DD100" s="20" t="s">
        <v>471</v>
      </c>
      <c r="DE100" s="20">
        <v>0</v>
      </c>
      <c r="DF100" s="20">
        <v>1</v>
      </c>
      <c r="DG100" s="20">
        <v>2</v>
      </c>
      <c r="DH100" s="20">
        <v>3</v>
      </c>
      <c r="DI100" s="20">
        <v>4</v>
      </c>
      <c r="DJ100" s="20">
        <v>5</v>
      </c>
      <c r="DK100" s="20">
        <v>6</v>
      </c>
      <c r="DL100" s="20">
        <v>7</v>
      </c>
      <c r="DM100" s="20">
        <v>8</v>
      </c>
      <c r="DN100" s="20">
        <v>9</v>
      </c>
      <c r="DO100" s="20">
        <v>10</v>
      </c>
      <c r="DP100" s="20">
        <v>11</v>
      </c>
      <c r="DQ100" s="20">
        <v>12</v>
      </c>
      <c r="DR100" s="20">
        <v>13</v>
      </c>
      <c r="DS100" s="20">
        <v>14</v>
      </c>
      <c r="DT100" s="20">
        <v>15</v>
      </c>
      <c r="DU100" s="20">
        <v>16</v>
      </c>
      <c r="DV100" s="20">
        <v>17</v>
      </c>
      <c r="DW100" s="20">
        <v>18</v>
      </c>
      <c r="DX100" s="20">
        <v>19</v>
      </c>
      <c r="DY100" s="20">
        <v>20</v>
      </c>
      <c r="DZ100" s="20"/>
      <c r="EA100" s="20"/>
      <c r="EB100" s="20"/>
      <c r="GC100" s="20"/>
      <c r="GD100" s="20"/>
      <c r="GE100" s="26" t="s">
        <v>517</v>
      </c>
      <c r="GF100" s="20">
        <v>0</v>
      </c>
      <c r="GG100" s="20">
        <v>0</v>
      </c>
      <c r="GH100" s="20">
        <v>0</v>
      </c>
      <c r="GI100" s="20">
        <v>0</v>
      </c>
      <c r="GJ100" s="20">
        <v>0</v>
      </c>
      <c r="GK100" s="20">
        <v>0</v>
      </c>
      <c r="GL100" s="20">
        <v>0</v>
      </c>
      <c r="GM100" s="20">
        <v>0</v>
      </c>
      <c r="GN100" s="20">
        <v>0</v>
      </c>
      <c r="GO100" s="20">
        <v>0</v>
      </c>
      <c r="GP100" s="20">
        <v>2</v>
      </c>
      <c r="GQ100" s="20">
        <v>2</v>
      </c>
      <c r="GR100" s="20">
        <v>0</v>
      </c>
      <c r="GS100" s="20">
        <v>0</v>
      </c>
      <c r="GT100" s="20">
        <v>0</v>
      </c>
      <c r="GU100" s="20">
        <v>0</v>
      </c>
      <c r="GV100" s="20">
        <v>0</v>
      </c>
      <c r="GW100" s="20">
        <v>0</v>
      </c>
      <c r="GX100" s="20">
        <v>0</v>
      </c>
      <c r="GY100" s="20">
        <v>0</v>
      </c>
      <c r="GZ100" s="20">
        <v>0</v>
      </c>
      <c r="HA100" s="20">
        <v>0</v>
      </c>
      <c r="HB100" s="20">
        <v>0</v>
      </c>
      <c r="HC100" s="20">
        <v>0</v>
      </c>
      <c r="HD100" s="20">
        <v>0</v>
      </c>
      <c r="HE100" s="20">
        <v>0</v>
      </c>
      <c r="HF100" s="20">
        <v>0</v>
      </c>
      <c r="HG100" s="20">
        <v>0</v>
      </c>
      <c r="HH100" s="20">
        <v>0</v>
      </c>
      <c r="HI100" s="20">
        <v>0</v>
      </c>
      <c r="HJ100" s="20">
        <v>0</v>
      </c>
      <c r="HK100" s="20">
        <v>0</v>
      </c>
      <c r="HL100" s="20">
        <v>0</v>
      </c>
      <c r="HM100" s="20">
        <v>0</v>
      </c>
      <c r="HN100" s="20">
        <v>0</v>
      </c>
      <c r="HO100" s="20">
        <v>0</v>
      </c>
      <c r="HP100" s="20">
        <v>0</v>
      </c>
      <c r="HQ100" s="20">
        <v>0</v>
      </c>
      <c r="HR100" s="20">
        <v>0</v>
      </c>
      <c r="HS100" s="20">
        <v>0</v>
      </c>
      <c r="HT100" s="20">
        <v>0</v>
      </c>
      <c r="HU100" s="20">
        <v>0</v>
      </c>
      <c r="HV100" s="20">
        <v>0</v>
      </c>
      <c r="HW100" s="20">
        <v>0</v>
      </c>
      <c r="HX100" s="20">
        <v>0</v>
      </c>
      <c r="HY100" s="20">
        <v>0</v>
      </c>
      <c r="HZ100" s="20">
        <v>0</v>
      </c>
      <c r="IA100" s="20">
        <v>0</v>
      </c>
      <c r="IB100" s="20">
        <v>0</v>
      </c>
      <c r="IC100" s="20">
        <v>0</v>
      </c>
      <c r="ID100" s="20">
        <v>0</v>
      </c>
      <c r="JI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103,$JT$2:$KS$2,0),MATCH($W$87,$AH$22:$AH$47,0)))*C103</f>
        <v>0</v>
      </c>
      <c r="JJ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103,$JT$2:$KS$2,0),MATCH($W$87,$AH$22:$AH$47,0)))*C103</f>
        <v>0</v>
      </c>
      <c r="JK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103,$JT$2:$KS$2,0),MATCH($W$87,$AH$22:$AH$47,0)))*C103</f>
        <v>0</v>
      </c>
      <c r="JL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103,$JT$2:$KS$2,0),MATCH($W$87,$AH$22:$AH$47,0)))*C103</f>
        <v>0</v>
      </c>
      <c r="JM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103,$JT$2:$KS$2,0),MATCH($W$87,$AH$22:$AH$47,0)))*C103</f>
        <v>0</v>
      </c>
      <c r="JN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103,$JT$2:$KS$2,0),MATCH($W$87,$AH$22:$AH$47,0)))*C103</f>
        <v>0</v>
      </c>
      <c r="JO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103,$JT$2:$KS$2,0),MATCH($W$87,$AH$22:$AH$47,0)))*C103</f>
        <v>0</v>
      </c>
      <c r="JP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103,$JT$2:$KS$2,0),MATCH($W$87,$AH$22:$AH$47,0)))*C103</f>
        <v>0</v>
      </c>
      <c r="JQ10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103,$JT$2:$KS$2,0),MATCH($W$87,$AH$22:$AH$47,0)))*C103</f>
        <v>0</v>
      </c>
      <c r="JS100" s="21" t="s">
        <v>520</v>
      </c>
      <c r="JT100" s="21">
        <v>0</v>
      </c>
      <c r="JU100" s="21">
        <v>0</v>
      </c>
      <c r="JV100" s="21">
        <v>0</v>
      </c>
      <c r="JW100" s="21">
        <v>0</v>
      </c>
      <c r="JX100" s="21">
        <v>0</v>
      </c>
      <c r="JY100" s="21">
        <v>0</v>
      </c>
      <c r="JZ100" s="21">
        <v>0</v>
      </c>
      <c r="KA100" s="21">
        <v>2</v>
      </c>
      <c r="KB100" s="21">
        <v>6</v>
      </c>
      <c r="KC100" s="21">
        <v>6</v>
      </c>
      <c r="KD100" s="21">
        <v>0</v>
      </c>
      <c r="KE100" s="21">
        <v>0</v>
      </c>
      <c r="KF100" s="21">
        <v>0</v>
      </c>
      <c r="KG100" s="21">
        <v>4</v>
      </c>
      <c r="KH100" s="21">
        <v>4</v>
      </c>
      <c r="KI100" s="21">
        <v>8</v>
      </c>
      <c r="KJ100" s="21">
        <v>10</v>
      </c>
      <c r="KK100" s="21">
        <v>10</v>
      </c>
      <c r="KL100" s="21">
        <v>2</v>
      </c>
      <c r="KM100" s="21">
        <v>2</v>
      </c>
      <c r="KN100" s="21">
        <v>6</v>
      </c>
      <c r="KO100" s="21">
        <v>8</v>
      </c>
      <c r="KP100" s="21">
        <v>6</v>
      </c>
      <c r="KQ100" s="21">
        <v>0</v>
      </c>
      <c r="KR100" s="21">
        <v>16</v>
      </c>
      <c r="KS100" s="21">
        <v>4</v>
      </c>
      <c r="KU100" s="26" t="s">
        <v>520</v>
      </c>
      <c r="KV100" s="20">
        <v>0</v>
      </c>
      <c r="KW100" s="20">
        <v>0</v>
      </c>
      <c r="KX100" s="20">
        <v>0</v>
      </c>
      <c r="KY100" s="20">
        <v>0</v>
      </c>
      <c r="KZ100" s="20">
        <v>2</v>
      </c>
      <c r="LA100" s="20">
        <v>0</v>
      </c>
      <c r="LB100" s="20">
        <v>0</v>
      </c>
      <c r="LC100" s="20">
        <v>8</v>
      </c>
      <c r="LD100" s="20">
        <v>6</v>
      </c>
      <c r="LE100" s="20">
        <v>0</v>
      </c>
      <c r="LF100" s="20">
        <v>0</v>
      </c>
      <c r="LG100" s="20">
        <v>10</v>
      </c>
      <c r="LH100" s="20">
        <v>6</v>
      </c>
      <c r="LI100" s="20">
        <v>6</v>
      </c>
      <c r="LJ100" s="20">
        <v>16</v>
      </c>
      <c r="LK100" s="20">
        <v>0</v>
      </c>
      <c r="LL100" s="20">
        <v>10</v>
      </c>
      <c r="LM100" s="20">
        <v>8</v>
      </c>
      <c r="LN100" s="20">
        <v>6</v>
      </c>
      <c r="LO100" s="20">
        <v>16</v>
      </c>
      <c r="LP100" s="20">
        <v>0</v>
      </c>
      <c r="LQ100" s="20">
        <v>24</v>
      </c>
      <c r="LR100" s="20">
        <v>16</v>
      </c>
      <c r="LS100" s="20">
        <v>6</v>
      </c>
      <c r="LT100" s="20">
        <v>16</v>
      </c>
      <c r="LU100" s="20">
        <v>0</v>
      </c>
      <c r="LW100" s="26" t="s">
        <v>520</v>
      </c>
      <c r="LX100" s="20">
        <v>0</v>
      </c>
      <c r="LY100" s="20">
        <v>0</v>
      </c>
      <c r="LZ100" s="20">
        <v>0</v>
      </c>
      <c r="MA100" s="20">
        <v>2</v>
      </c>
      <c r="MB100" s="20">
        <v>2</v>
      </c>
      <c r="MC100" s="20">
        <v>2</v>
      </c>
      <c r="MD100" s="20">
        <v>4</v>
      </c>
      <c r="ME100" s="20">
        <v>4</v>
      </c>
      <c r="MF100" s="20">
        <v>2</v>
      </c>
      <c r="MG100" s="20">
        <v>4</v>
      </c>
      <c r="MH100" s="20">
        <v>6</v>
      </c>
      <c r="MI100" s="20">
        <v>4</v>
      </c>
      <c r="MJ100" s="20">
        <v>4</v>
      </c>
      <c r="MK100" s="20">
        <v>6</v>
      </c>
      <c r="ML100" s="20">
        <v>8</v>
      </c>
      <c r="MM100" s="20">
        <v>8</v>
      </c>
      <c r="MN100" s="20">
        <v>8</v>
      </c>
      <c r="MO100" s="20">
        <v>22</v>
      </c>
      <c r="MP100" s="20">
        <v>10</v>
      </c>
      <c r="MQ100" s="20">
        <v>10</v>
      </c>
      <c r="MR100" s="20">
        <v>24</v>
      </c>
      <c r="MS100" s="20">
        <v>12</v>
      </c>
      <c r="MT100" s="20">
        <v>18</v>
      </c>
      <c r="MU100" s="20">
        <v>26</v>
      </c>
      <c r="MV100" s="20">
        <v>14</v>
      </c>
      <c r="MW100" s="20">
        <v>0</v>
      </c>
    </row>
    <row r="101" spans="1:361" x14ac:dyDescent="0.25">
      <c r="A101" s="4"/>
      <c r="B101" s="6"/>
      <c r="C101" s="4"/>
      <c r="D101" s="4"/>
      <c r="E101" s="4"/>
      <c r="F101" s="4"/>
      <c r="G101" s="4"/>
      <c r="H101" s="4"/>
      <c r="I101" s="4"/>
      <c r="J101" s="4"/>
      <c r="K101" s="4"/>
      <c r="L101" s="4"/>
      <c r="M101" s="4"/>
      <c r="N101" s="4"/>
      <c r="O101" s="4"/>
      <c r="P101" s="4"/>
      <c r="Q101" s="4"/>
      <c r="R101" s="4"/>
      <c r="S101" s="4"/>
      <c r="T101" s="22">
        <f>SUM(T79:T100)</f>
        <v>1003.5300000000001</v>
      </c>
      <c r="U101" s="22">
        <f>SUM(U79:U100)</f>
        <v>28.613999999999997</v>
      </c>
      <c r="V101" s="20"/>
      <c r="W101" s="20"/>
      <c r="X101" s="25">
        <f t="shared" si="89"/>
        <v>0</v>
      </c>
      <c r="Y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116,$BB$2:$CA$2,0),MATCH($W$87,$AH$22:$AH$47,0)))*C116</f>
        <v>0</v>
      </c>
      <c r="Z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116,$BB$2:$CA$2,0),MATCH($W$87,$AH$22:$AH$47,0)))*C116</f>
        <v>0</v>
      </c>
      <c r="AA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116,$BB$2:$CA$2,0),MATCH($W$87,$AH$22:$AH$47,0)))*C116</f>
        <v>0</v>
      </c>
      <c r="AB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116,$BB$2:$CA$2,0),MATCH($W$87,$AH$22:$AH$47,0)))*C116</f>
        <v>0</v>
      </c>
      <c r="AC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116,$BB$2:$CA$2,0),MATCH($W$87,$AH$22:$AH$47,0)))*C116</f>
        <v>0</v>
      </c>
      <c r="AD10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116,$BB$2:$CA$2,0),MATCH($W$87,$AH$22:$AH$47,0)))*C116</f>
        <v>0</v>
      </c>
      <c r="AE101" s="20" t="str">
        <f>INDEX(($AH$53:$AI$62),MATCH(I104,$AG$53:$AG$62,0),MATCH(E107,$AH$52:$AI$52,0))</f>
        <v>suma</v>
      </c>
      <c r="AF101" s="20"/>
      <c r="AG101" s="20"/>
      <c r="AH101" s="20"/>
      <c r="AI101" s="20"/>
      <c r="AJ101" s="20"/>
      <c r="AK101" s="20"/>
      <c r="AL101" s="20">
        <f t="shared" si="90"/>
        <v>0</v>
      </c>
      <c r="AM101" s="20"/>
      <c r="AN101" s="20"/>
      <c r="AO101" s="20"/>
      <c r="AP101" s="20"/>
      <c r="AQ101" s="20"/>
      <c r="AR101" s="20"/>
      <c r="AS101" s="20"/>
      <c r="AT101" s="20"/>
      <c r="AU101" s="20"/>
      <c r="AV101" s="20"/>
      <c r="AW101" s="20"/>
      <c r="AX101" s="20"/>
      <c r="AY101" s="20"/>
      <c r="AZ101" s="20"/>
      <c r="BA101" s="21" t="s">
        <v>518</v>
      </c>
      <c r="BB101" s="21">
        <v>0</v>
      </c>
      <c r="BC101" s="21">
        <v>0</v>
      </c>
      <c r="BD101" s="21">
        <v>0</v>
      </c>
      <c r="BE101" s="21">
        <v>0</v>
      </c>
      <c r="BF101" s="21">
        <v>0</v>
      </c>
      <c r="BG101" s="21">
        <v>0</v>
      </c>
      <c r="BH101" s="21">
        <v>0</v>
      </c>
      <c r="BI101" s="21">
        <v>2</v>
      </c>
      <c r="BJ101" s="21">
        <v>0</v>
      </c>
      <c r="BK101" s="21">
        <v>0</v>
      </c>
      <c r="BL101" s="21">
        <v>0</v>
      </c>
      <c r="BM101" s="21">
        <v>4</v>
      </c>
      <c r="BN101" s="21">
        <v>0</v>
      </c>
      <c r="BO101" s="21">
        <v>0</v>
      </c>
      <c r="BP101" s="21">
        <v>2</v>
      </c>
      <c r="BQ101" s="21">
        <v>0</v>
      </c>
      <c r="BR101" s="21">
        <v>0</v>
      </c>
      <c r="BS101" s="21">
        <v>2</v>
      </c>
      <c r="BT101" s="21">
        <v>0</v>
      </c>
      <c r="BU101" s="21">
        <v>2</v>
      </c>
      <c r="BV101" s="21">
        <v>0</v>
      </c>
      <c r="BW101" s="21">
        <v>0</v>
      </c>
      <c r="BX101" s="21">
        <v>2</v>
      </c>
      <c r="BY101" s="21">
        <v>0</v>
      </c>
      <c r="BZ101" s="21">
        <v>2</v>
      </c>
      <c r="CA101" s="21">
        <v>0</v>
      </c>
      <c r="DA101" s="54"/>
      <c r="DB101" s="54"/>
      <c r="DC101" s="54"/>
      <c r="DD101" s="20" t="s">
        <v>127</v>
      </c>
      <c r="DE101" s="20">
        <v>0</v>
      </c>
      <c r="DF101" s="20">
        <v>2</v>
      </c>
      <c r="DG101" s="20">
        <v>4</v>
      </c>
      <c r="DH101" s="20">
        <v>0</v>
      </c>
      <c r="DI101" s="20">
        <v>2</v>
      </c>
      <c r="DJ101" s="20">
        <v>0</v>
      </c>
      <c r="DK101" s="20">
        <v>2</v>
      </c>
      <c r="DL101" s="20">
        <v>4</v>
      </c>
      <c r="DM101" s="20">
        <v>0</v>
      </c>
      <c r="DN101" s="20">
        <v>4</v>
      </c>
      <c r="DO101" s="20">
        <v>0</v>
      </c>
      <c r="DP101" s="20">
        <v>2</v>
      </c>
      <c r="DQ101" s="20">
        <v>0</v>
      </c>
      <c r="DR101" s="20">
        <v>2</v>
      </c>
      <c r="DS101" s="20">
        <v>4</v>
      </c>
      <c r="DT101" s="20">
        <v>0</v>
      </c>
      <c r="DU101" s="20">
        <v>4</v>
      </c>
      <c r="DV101" s="20">
        <v>0</v>
      </c>
      <c r="DW101" s="20">
        <v>2</v>
      </c>
      <c r="DX101" s="20">
        <v>4</v>
      </c>
      <c r="DY101" s="20">
        <v>2</v>
      </c>
      <c r="DZ101" s="20"/>
      <c r="EA101" s="20"/>
      <c r="EB101" s="20"/>
      <c r="GC101" s="20"/>
      <c r="GD101" s="20"/>
      <c r="GE101" s="26" t="s">
        <v>518</v>
      </c>
      <c r="GF101" s="20">
        <v>0</v>
      </c>
      <c r="GG101" s="20">
        <v>0</v>
      </c>
      <c r="GH101" s="20">
        <v>4</v>
      </c>
      <c r="GI101" s="20">
        <v>0</v>
      </c>
      <c r="GJ101" s="20">
        <v>2</v>
      </c>
      <c r="GK101" s="20">
        <v>4</v>
      </c>
      <c r="GL101" s="20">
        <v>0</v>
      </c>
      <c r="GM101" s="20">
        <v>2</v>
      </c>
      <c r="GN101" s="20">
        <v>4</v>
      </c>
      <c r="GO101" s="20">
        <v>0</v>
      </c>
      <c r="GP101" s="20">
        <v>0</v>
      </c>
      <c r="GQ101" s="20">
        <v>0</v>
      </c>
      <c r="GR101" s="20">
        <v>0</v>
      </c>
      <c r="GS101" s="20">
        <v>0</v>
      </c>
      <c r="GT101" s="20">
        <v>2</v>
      </c>
      <c r="GU101" s="20">
        <v>0</v>
      </c>
      <c r="GV101" s="20">
        <v>0</v>
      </c>
      <c r="GW101" s="20">
        <v>4</v>
      </c>
      <c r="GX101" s="20">
        <v>0</v>
      </c>
      <c r="GY101" s="20">
        <v>0</v>
      </c>
      <c r="GZ101" s="20">
        <v>2</v>
      </c>
      <c r="HA101" s="20">
        <v>0</v>
      </c>
      <c r="HB101" s="20">
        <v>2</v>
      </c>
      <c r="HC101" s="20">
        <v>0</v>
      </c>
      <c r="HD101" s="20">
        <v>0</v>
      </c>
      <c r="HE101" s="20">
        <v>2</v>
      </c>
      <c r="HF101" s="20">
        <v>0</v>
      </c>
      <c r="HG101" s="20">
        <v>0</v>
      </c>
      <c r="HH101" s="20">
        <v>0</v>
      </c>
      <c r="HI101" s="20">
        <v>0</v>
      </c>
      <c r="HJ101" s="20">
        <v>0</v>
      </c>
      <c r="HK101" s="20">
        <v>0</v>
      </c>
      <c r="HL101" s="20">
        <v>4</v>
      </c>
      <c r="HM101" s="20">
        <v>0</v>
      </c>
      <c r="HN101" s="20">
        <v>0</v>
      </c>
      <c r="HO101" s="20">
        <v>2</v>
      </c>
      <c r="HP101" s="20">
        <v>0</v>
      </c>
      <c r="HQ101" s="20">
        <v>0</v>
      </c>
      <c r="HR101" s="20">
        <v>2</v>
      </c>
      <c r="HS101" s="20">
        <v>0</v>
      </c>
      <c r="HT101" s="20">
        <v>2</v>
      </c>
      <c r="HU101" s="20">
        <v>0</v>
      </c>
      <c r="HV101" s="20">
        <v>0</v>
      </c>
      <c r="HW101" s="20">
        <v>2</v>
      </c>
      <c r="HX101" s="20">
        <v>0</v>
      </c>
      <c r="HY101" s="20">
        <v>0</v>
      </c>
      <c r="HZ101" s="20">
        <v>0</v>
      </c>
      <c r="IA101" s="20">
        <v>0</v>
      </c>
      <c r="IB101" s="20">
        <v>0</v>
      </c>
      <c r="IC101" s="20">
        <v>0</v>
      </c>
      <c r="ID101" s="20">
        <v>0</v>
      </c>
      <c r="JI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104,$JT$2:$KS$2,0),MATCH($W$87,$AH$22:$AH$47,0)))*C104</f>
        <v>0</v>
      </c>
      <c r="JJ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104,$JT$2:$KS$2,0),MATCH($W$87,$AH$22:$AH$47,0)))*C104</f>
        <v>0</v>
      </c>
      <c r="JK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104,$JT$2:$KS$2,0),MATCH($W$87,$AH$22:$AH$47,0)))*C104</f>
        <v>0</v>
      </c>
      <c r="JL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104,$JT$2:$KS$2,0),MATCH($W$87,$AH$22:$AH$47,0)))*C104</f>
        <v>0</v>
      </c>
      <c r="JM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104,$JT$2:$KS$2,0),MATCH($W$87,$AH$22:$AH$47,0)))*C104</f>
        <v>0</v>
      </c>
      <c r="JN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104,$JT$2:$KS$2,0),MATCH($W$87,$AH$22:$AH$47,0)))*C104</f>
        <v>0</v>
      </c>
      <c r="JO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104,$JT$2:$KS$2,0),MATCH($W$87,$AH$22:$AH$47,0)))*C104</f>
        <v>0</v>
      </c>
      <c r="JP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104,$JT$2:$KS$2,0),MATCH($W$87,$AH$22:$AH$47,0)))*C104</f>
        <v>0</v>
      </c>
      <c r="JQ10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104,$JT$2:$KS$2,0),MATCH($W$87,$AH$22:$AH$47,0)))*C104</f>
        <v>0</v>
      </c>
      <c r="JS101" s="21" t="s">
        <v>521</v>
      </c>
      <c r="JT101" s="21">
        <v>0</v>
      </c>
      <c r="JU101" s="21">
        <v>0</v>
      </c>
      <c r="JV101" s="21">
        <v>0</v>
      </c>
      <c r="JW101" s="21">
        <v>4</v>
      </c>
      <c r="JX101" s="21">
        <v>4</v>
      </c>
      <c r="JY101" s="21">
        <v>4</v>
      </c>
      <c r="JZ101" s="21">
        <v>8</v>
      </c>
      <c r="KA101" s="21">
        <v>8</v>
      </c>
      <c r="KB101" s="21">
        <v>8</v>
      </c>
      <c r="KC101" s="21">
        <v>12</v>
      </c>
      <c r="KD101" s="21">
        <v>12</v>
      </c>
      <c r="KE101" s="21">
        <v>16</v>
      </c>
      <c r="KF101" s="21">
        <v>16</v>
      </c>
      <c r="KG101" s="21">
        <v>16</v>
      </c>
      <c r="KH101" s="21">
        <v>20</v>
      </c>
      <c r="KI101" s="21">
        <v>20</v>
      </c>
      <c r="KJ101" s="21">
        <v>20</v>
      </c>
      <c r="KK101" s="21">
        <v>24</v>
      </c>
      <c r="KL101" s="21">
        <v>24</v>
      </c>
      <c r="KM101" s="21">
        <v>28</v>
      </c>
      <c r="KN101" s="21">
        <v>28</v>
      </c>
      <c r="KO101" s="21">
        <v>28</v>
      </c>
      <c r="KP101" s="21">
        <v>32</v>
      </c>
      <c r="KQ101" s="21">
        <v>32</v>
      </c>
      <c r="KR101" s="21">
        <v>32</v>
      </c>
      <c r="KS101" s="21">
        <v>36</v>
      </c>
      <c r="KU101" s="26" t="s">
        <v>521</v>
      </c>
      <c r="KV101" s="20">
        <v>0</v>
      </c>
      <c r="KW101" s="20">
        <v>0</v>
      </c>
      <c r="KX101" s="20">
        <v>4</v>
      </c>
      <c r="KY101" s="20">
        <v>4</v>
      </c>
      <c r="KZ101" s="20">
        <v>8</v>
      </c>
      <c r="LA101" s="20">
        <v>8</v>
      </c>
      <c r="LB101" s="20">
        <v>12</v>
      </c>
      <c r="LC101" s="20">
        <v>12</v>
      </c>
      <c r="LD101" s="20">
        <v>16</v>
      </c>
      <c r="LE101" s="20">
        <v>20</v>
      </c>
      <c r="LF101" s="20">
        <v>20</v>
      </c>
      <c r="LG101" s="20">
        <v>24</v>
      </c>
      <c r="LH101" s="20">
        <v>24</v>
      </c>
      <c r="LI101" s="20">
        <v>28</v>
      </c>
      <c r="LJ101" s="20">
        <v>28</v>
      </c>
      <c r="LK101" s="20">
        <v>32</v>
      </c>
      <c r="LL101" s="20">
        <v>36</v>
      </c>
      <c r="LM101" s="20">
        <v>36</v>
      </c>
      <c r="LN101" s="20">
        <v>40</v>
      </c>
      <c r="LO101" s="20">
        <v>40</v>
      </c>
      <c r="LP101" s="20">
        <v>44</v>
      </c>
      <c r="LQ101" s="20">
        <v>44</v>
      </c>
      <c r="LR101" s="20">
        <v>48</v>
      </c>
      <c r="LS101" s="20">
        <v>52</v>
      </c>
      <c r="LT101" s="20">
        <v>52</v>
      </c>
      <c r="LU101" s="20">
        <v>56</v>
      </c>
      <c r="LW101" s="26" t="s">
        <v>521</v>
      </c>
      <c r="LX101" s="20">
        <v>0</v>
      </c>
      <c r="LY101" s="20">
        <v>0</v>
      </c>
      <c r="LZ101" s="20">
        <v>4</v>
      </c>
      <c r="MA101" s="20">
        <v>4</v>
      </c>
      <c r="MB101" s="20">
        <v>8</v>
      </c>
      <c r="MC101" s="20">
        <v>12</v>
      </c>
      <c r="MD101" s="20">
        <v>12</v>
      </c>
      <c r="ME101" s="20">
        <v>16</v>
      </c>
      <c r="MF101" s="20">
        <v>20</v>
      </c>
      <c r="MG101" s="20">
        <v>20</v>
      </c>
      <c r="MH101" s="20">
        <v>24</v>
      </c>
      <c r="MI101" s="20">
        <v>28</v>
      </c>
      <c r="MJ101" s="20">
        <v>28</v>
      </c>
      <c r="MK101" s="20">
        <v>32</v>
      </c>
      <c r="ML101" s="20">
        <v>36</v>
      </c>
      <c r="MM101" s="20">
        <v>36</v>
      </c>
      <c r="MN101" s="20">
        <v>40</v>
      </c>
      <c r="MO101" s="20">
        <v>40</v>
      </c>
      <c r="MP101" s="20">
        <v>44</v>
      </c>
      <c r="MQ101" s="20">
        <v>48</v>
      </c>
      <c r="MR101" s="20">
        <v>48</v>
      </c>
      <c r="MS101" s="20">
        <v>52</v>
      </c>
      <c r="MT101" s="20">
        <v>56</v>
      </c>
      <c r="MU101" s="20">
        <v>56</v>
      </c>
      <c r="MV101" s="20">
        <v>60</v>
      </c>
      <c r="MW101" s="20">
        <v>64</v>
      </c>
    </row>
    <row r="102" spans="1:361" ht="51.75" x14ac:dyDescent="0.25">
      <c r="A102" s="3" t="s">
        <v>120</v>
      </c>
      <c r="B102" s="6"/>
      <c r="C102" s="3" t="s">
        <v>121</v>
      </c>
      <c r="D102" s="4"/>
      <c r="E102" s="4"/>
      <c r="F102" s="4"/>
      <c r="G102" s="4"/>
      <c r="H102" s="4"/>
      <c r="I102" s="4"/>
      <c r="J102" s="4"/>
      <c r="K102" s="4"/>
      <c r="L102" s="360" t="str">
        <f>IF(E106="wertykalny","KONSTRUKCJA DS-V5N",IF(E106="horyzontalny","KONSTRUKCJA DS-H5N"))</f>
        <v>KONSTRUKCJA DS-V5N</v>
      </c>
      <c r="M102" s="360"/>
      <c r="N102" s="360"/>
      <c r="O102" s="360"/>
      <c r="P102" s="360"/>
      <c r="Q102" s="360"/>
      <c r="R102" s="360"/>
      <c r="S102" s="360"/>
      <c r="T102" s="360"/>
      <c r="U102" s="360"/>
      <c r="V102" s="20"/>
      <c r="W102" s="20"/>
      <c r="X102" s="25">
        <f t="shared" si="89"/>
        <v>0</v>
      </c>
      <c r="Y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117,$BB$2:$CA$2,0),MATCH($W$87,$AH$22:$AH$47,0)))*C117</f>
        <v>0</v>
      </c>
      <c r="Z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117,$BB$2:$CA$2,0),MATCH($W$87,$AH$22:$AH$47,0)))*C117</f>
        <v>0</v>
      </c>
      <c r="AA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117,$BB$2:$CA$2,0),MATCH($W$87,$AH$22:$AH$47,0)))*C117</f>
        <v>0</v>
      </c>
      <c r="AB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117,$BB$2:$CA$2,0),MATCH($W$87,$AH$22:$AH$47,0)))*C117</f>
        <v>0</v>
      </c>
      <c r="AC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117,$BB$2:$CA$2,0),MATCH($W$87,$AH$22:$AH$47,0)))*C117</f>
        <v>0</v>
      </c>
      <c r="AD10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117,$BB$2:$CA$2,0),MATCH($W$87,$AH$22:$AH$47,0)))*C117</f>
        <v>0</v>
      </c>
      <c r="AE102" s="20"/>
      <c r="AF102" s="20"/>
      <c r="AG102" s="20"/>
      <c r="AH102" s="20"/>
      <c r="AI102" s="20"/>
      <c r="AJ102" s="20"/>
      <c r="AK102" s="20"/>
      <c r="AL102" s="20">
        <f t="shared" si="90"/>
        <v>0</v>
      </c>
      <c r="AM102" s="20"/>
      <c r="AN102" s="20"/>
      <c r="AO102" s="20"/>
      <c r="AP102" s="20"/>
      <c r="AQ102" s="20"/>
      <c r="AR102" s="20"/>
      <c r="AS102" s="20"/>
      <c r="AT102" s="20"/>
      <c r="AU102" s="20"/>
      <c r="AV102" s="20"/>
      <c r="AW102" s="20"/>
      <c r="AX102" s="20"/>
      <c r="AY102" s="20"/>
      <c r="AZ102" s="20"/>
      <c r="BA102" s="21" t="s">
        <v>519</v>
      </c>
      <c r="BB102" s="21">
        <v>0</v>
      </c>
      <c r="BC102" s="21">
        <v>0</v>
      </c>
      <c r="BD102" s="21">
        <v>2</v>
      </c>
      <c r="BE102" s="21">
        <v>0</v>
      </c>
      <c r="BF102" s="21">
        <v>2</v>
      </c>
      <c r="BG102" s="21">
        <v>2</v>
      </c>
      <c r="BH102" s="21">
        <v>0</v>
      </c>
      <c r="BI102" s="21">
        <v>0</v>
      </c>
      <c r="BJ102" s="21">
        <v>4</v>
      </c>
      <c r="BK102" s="21">
        <v>6</v>
      </c>
      <c r="BL102" s="21">
        <v>4</v>
      </c>
      <c r="BM102" s="21">
        <v>2</v>
      </c>
      <c r="BN102" s="21">
        <v>0</v>
      </c>
      <c r="BO102" s="21">
        <v>8</v>
      </c>
      <c r="BP102" s="21">
        <v>10</v>
      </c>
      <c r="BQ102" s="21">
        <v>8</v>
      </c>
      <c r="BR102" s="21">
        <v>6</v>
      </c>
      <c r="BS102" s="21">
        <v>2</v>
      </c>
      <c r="BT102" s="21">
        <v>0</v>
      </c>
      <c r="BU102" s="21">
        <v>12</v>
      </c>
      <c r="BV102" s="21">
        <v>10</v>
      </c>
      <c r="BW102" s="21">
        <v>8</v>
      </c>
      <c r="BX102" s="21">
        <v>8</v>
      </c>
      <c r="BY102" s="21">
        <v>2</v>
      </c>
      <c r="BZ102" s="21">
        <v>14</v>
      </c>
      <c r="CA102" s="21">
        <v>12</v>
      </c>
      <c r="DA102" s="54"/>
      <c r="DB102" s="54"/>
      <c r="DC102" s="54"/>
      <c r="DD102" s="20" t="s">
        <v>19</v>
      </c>
      <c r="DE102" s="20">
        <v>0</v>
      </c>
      <c r="DF102" s="20">
        <v>0</v>
      </c>
      <c r="DG102" s="20">
        <v>0</v>
      </c>
      <c r="DH102" s="20">
        <v>4</v>
      </c>
      <c r="DI102" s="20">
        <v>4</v>
      </c>
      <c r="DJ102" s="20">
        <v>6</v>
      </c>
      <c r="DK102" s="20">
        <v>6</v>
      </c>
      <c r="DL102" s="20">
        <v>6</v>
      </c>
      <c r="DM102" s="20">
        <v>10</v>
      </c>
      <c r="DN102" s="20">
        <v>8</v>
      </c>
      <c r="DO102" s="20">
        <v>12</v>
      </c>
      <c r="DP102" s="20">
        <v>12</v>
      </c>
      <c r="DQ102" s="20">
        <v>14</v>
      </c>
      <c r="DR102" s="20">
        <v>14</v>
      </c>
      <c r="DS102" s="20">
        <v>14</v>
      </c>
      <c r="DT102" s="20">
        <v>18</v>
      </c>
      <c r="DU102" s="20">
        <v>16</v>
      </c>
      <c r="DV102" s="20">
        <v>20</v>
      </c>
      <c r="DW102" s="20">
        <v>20</v>
      </c>
      <c r="DX102" s="20">
        <v>20</v>
      </c>
      <c r="DY102" s="20">
        <v>22</v>
      </c>
      <c r="DZ102" s="20"/>
      <c r="EA102" s="20"/>
      <c r="EB102" s="20"/>
      <c r="GC102" s="20"/>
      <c r="GD102" s="20"/>
      <c r="GE102" s="26" t="s">
        <v>519</v>
      </c>
      <c r="GF102" s="20">
        <v>0</v>
      </c>
      <c r="GG102" s="20">
        <v>0</v>
      </c>
      <c r="GH102" s="20">
        <v>0</v>
      </c>
      <c r="GI102" s="20">
        <v>0</v>
      </c>
      <c r="GJ102" s="20">
        <v>0</v>
      </c>
      <c r="GK102" s="20">
        <v>0</v>
      </c>
      <c r="GL102" s="20">
        <v>0</v>
      </c>
      <c r="GM102" s="20">
        <v>2</v>
      </c>
      <c r="GN102" s="20">
        <v>0</v>
      </c>
      <c r="GO102" s="20">
        <v>2</v>
      </c>
      <c r="GP102" s="20">
        <v>0</v>
      </c>
      <c r="GQ102" s="20">
        <v>14</v>
      </c>
      <c r="GR102" s="20">
        <v>4</v>
      </c>
      <c r="GS102" s="20">
        <v>16</v>
      </c>
      <c r="GT102" s="20">
        <v>16</v>
      </c>
      <c r="GU102" s="20">
        <v>2</v>
      </c>
      <c r="GV102" s="20">
        <v>16</v>
      </c>
      <c r="GW102" s="20">
        <v>6</v>
      </c>
      <c r="GX102" s="20">
        <v>2</v>
      </c>
      <c r="GY102" s="20">
        <v>16</v>
      </c>
      <c r="GZ102" s="20">
        <v>16</v>
      </c>
      <c r="HA102" s="20">
        <v>2</v>
      </c>
      <c r="HB102" s="20">
        <v>8</v>
      </c>
      <c r="HC102" s="20">
        <v>32</v>
      </c>
      <c r="HD102" s="20">
        <v>2</v>
      </c>
      <c r="HE102" s="20">
        <v>2</v>
      </c>
      <c r="HF102" s="20">
        <v>32</v>
      </c>
      <c r="HG102" s="20">
        <v>4</v>
      </c>
      <c r="HH102" s="20">
        <v>18</v>
      </c>
      <c r="HI102" s="20">
        <v>32</v>
      </c>
      <c r="HJ102" s="20">
        <v>4</v>
      </c>
      <c r="HK102" s="20">
        <v>18</v>
      </c>
      <c r="HL102" s="20">
        <v>12</v>
      </c>
      <c r="HM102" s="20">
        <v>4</v>
      </c>
      <c r="HN102" s="20">
        <v>18</v>
      </c>
      <c r="HO102" s="20">
        <v>18</v>
      </c>
      <c r="HP102" s="20">
        <v>4</v>
      </c>
      <c r="HQ102" s="20">
        <v>0</v>
      </c>
      <c r="HR102" s="20">
        <v>18</v>
      </c>
      <c r="HS102" s="20">
        <v>4</v>
      </c>
      <c r="HT102" s="20">
        <v>4</v>
      </c>
      <c r="HU102" s="20">
        <v>0</v>
      </c>
      <c r="HV102" s="20">
        <v>4</v>
      </c>
      <c r="HW102" s="20">
        <v>4</v>
      </c>
      <c r="HX102" s="20">
        <v>0</v>
      </c>
      <c r="HY102" s="20">
        <v>6</v>
      </c>
      <c r="HZ102" s="20">
        <v>20</v>
      </c>
      <c r="IA102" s="20">
        <v>0</v>
      </c>
      <c r="IB102" s="20">
        <v>6</v>
      </c>
      <c r="IC102" s="20">
        <v>20</v>
      </c>
      <c r="ID102" s="20">
        <v>0</v>
      </c>
      <c r="JI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105,$JT$2:$KS$2,0),MATCH($W$87,$AH$22:$AH$47,0)))*C105</f>
        <v>0</v>
      </c>
      <c r="JJ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105,$JT$2:$KS$2,0),MATCH($W$87,$AH$22:$AH$47,0)))*C105</f>
        <v>0</v>
      </c>
      <c r="JK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105,$JT$2:$KS$2,0),MATCH($W$87,$AH$22:$AH$47,0)))*C105</f>
        <v>0</v>
      </c>
      <c r="JL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105,$JT$2:$KS$2,0),MATCH($W$87,$AH$22:$AH$47,0)))*C105</f>
        <v>0</v>
      </c>
      <c r="JM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105,$JT$2:$KS$2,0),MATCH($W$87,$AH$22:$AH$47,0)))*C105</f>
        <v>0</v>
      </c>
      <c r="JN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105,$JT$2:$KS$2,0),MATCH($W$87,$AH$22:$AH$47,0)))*C105</f>
        <v>0</v>
      </c>
      <c r="JO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105,$JT$2:$KS$2,0),MATCH($W$87,$AH$22:$AH$47,0)))*C105</f>
        <v>0</v>
      </c>
      <c r="JP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105,$JT$2:$KS$2,0),MATCH($W$87,$AH$22:$AH$47,0)))*C105</f>
        <v>0</v>
      </c>
      <c r="JQ10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105,$JT$2:$KS$2,0),MATCH($W$87,$AH$22:$AH$47,0)))*C105</f>
        <v>0</v>
      </c>
      <c r="JS102" s="21" t="s">
        <v>710</v>
      </c>
      <c r="JT102" s="21">
        <v>0</v>
      </c>
      <c r="JU102" s="21">
        <v>2</v>
      </c>
      <c r="JV102" s="21">
        <v>0</v>
      </c>
      <c r="JW102" s="21">
        <v>4</v>
      </c>
      <c r="JX102" s="21">
        <v>2</v>
      </c>
      <c r="JY102" s="21">
        <v>0</v>
      </c>
      <c r="JZ102" s="21">
        <v>4</v>
      </c>
      <c r="KA102" s="21">
        <v>2</v>
      </c>
      <c r="KB102" s="21">
        <v>0</v>
      </c>
      <c r="KC102" s="21">
        <v>2</v>
      </c>
      <c r="KD102" s="21">
        <v>0</v>
      </c>
      <c r="KE102" s="21">
        <v>4</v>
      </c>
      <c r="KF102" s="21">
        <v>2</v>
      </c>
      <c r="KG102" s="21">
        <v>0</v>
      </c>
      <c r="KH102" s="21">
        <v>4</v>
      </c>
      <c r="KI102" s="21">
        <v>2</v>
      </c>
      <c r="KJ102" s="21">
        <v>0</v>
      </c>
      <c r="KK102" s="21">
        <v>4</v>
      </c>
      <c r="KL102" s="21">
        <v>0</v>
      </c>
      <c r="KM102" s="21">
        <v>4</v>
      </c>
      <c r="KN102" s="21">
        <v>2</v>
      </c>
      <c r="KO102" s="21">
        <v>0</v>
      </c>
      <c r="KP102" s="21">
        <v>4</v>
      </c>
      <c r="KQ102" s="21">
        <v>2</v>
      </c>
      <c r="KR102" s="21">
        <v>0</v>
      </c>
      <c r="KS102" s="21">
        <v>4</v>
      </c>
      <c r="KU102" s="26" t="s">
        <v>710</v>
      </c>
      <c r="KV102" s="20">
        <v>0</v>
      </c>
      <c r="KW102" s="20">
        <v>2</v>
      </c>
      <c r="KX102" s="20">
        <v>4</v>
      </c>
      <c r="KY102" s="20">
        <v>0</v>
      </c>
      <c r="KZ102" s="20">
        <v>4</v>
      </c>
      <c r="LA102" s="20">
        <v>0</v>
      </c>
      <c r="LB102" s="20">
        <v>2</v>
      </c>
      <c r="LC102" s="20">
        <v>0</v>
      </c>
      <c r="LD102" s="20">
        <v>2</v>
      </c>
      <c r="LE102" s="20">
        <v>4</v>
      </c>
      <c r="LF102" s="20">
        <v>0</v>
      </c>
      <c r="LG102" s="20">
        <v>4</v>
      </c>
      <c r="LH102" s="20">
        <v>0</v>
      </c>
      <c r="LI102" s="20">
        <v>2</v>
      </c>
      <c r="LJ102" s="20">
        <v>0</v>
      </c>
      <c r="LK102" s="20">
        <v>2</v>
      </c>
      <c r="LL102" s="20">
        <v>4</v>
      </c>
      <c r="LM102" s="20">
        <v>2</v>
      </c>
      <c r="LN102" s="20">
        <v>4</v>
      </c>
      <c r="LO102" s="20">
        <v>0</v>
      </c>
      <c r="LP102" s="20">
        <v>2</v>
      </c>
      <c r="LQ102" s="20">
        <v>0</v>
      </c>
      <c r="LR102" s="20">
        <v>2</v>
      </c>
      <c r="LS102" s="20">
        <v>4</v>
      </c>
      <c r="LT102" s="20">
        <v>2</v>
      </c>
      <c r="LU102" s="20">
        <v>4</v>
      </c>
      <c r="LW102" s="26" t="s">
        <v>710</v>
      </c>
      <c r="LX102" s="20">
        <v>0</v>
      </c>
      <c r="LY102" s="20">
        <v>2</v>
      </c>
      <c r="LZ102" s="20">
        <v>4</v>
      </c>
      <c r="MA102" s="20">
        <v>0</v>
      </c>
      <c r="MB102" s="20">
        <v>2</v>
      </c>
      <c r="MC102" s="20">
        <v>4</v>
      </c>
      <c r="MD102" s="20">
        <v>0</v>
      </c>
      <c r="ME102" s="20">
        <v>2</v>
      </c>
      <c r="MF102" s="20">
        <v>4</v>
      </c>
      <c r="MG102" s="20">
        <v>0</v>
      </c>
      <c r="MH102" s="20">
        <v>2</v>
      </c>
      <c r="MI102" s="20">
        <v>4</v>
      </c>
      <c r="MJ102" s="20">
        <v>0</v>
      </c>
      <c r="MK102" s="20">
        <v>2</v>
      </c>
      <c r="ML102" s="20">
        <v>4</v>
      </c>
      <c r="MM102" s="20">
        <v>2</v>
      </c>
      <c r="MN102" s="20">
        <v>4</v>
      </c>
      <c r="MO102" s="20">
        <v>0</v>
      </c>
      <c r="MP102" s="20">
        <v>2</v>
      </c>
      <c r="MQ102" s="20">
        <v>4</v>
      </c>
      <c r="MR102" s="20">
        <v>0</v>
      </c>
      <c r="MS102" s="20">
        <v>2</v>
      </c>
      <c r="MT102" s="20">
        <v>4</v>
      </c>
      <c r="MU102" s="20">
        <v>0</v>
      </c>
      <c r="MV102" s="20">
        <v>2</v>
      </c>
      <c r="MW102" s="20">
        <v>4</v>
      </c>
    </row>
    <row r="103" spans="1:361" x14ac:dyDescent="0.25">
      <c r="A103" s="8"/>
      <c r="B103" s="5" t="s">
        <v>116</v>
      </c>
      <c r="C103" s="8"/>
      <c r="D103" s="4"/>
      <c r="E103" s="4"/>
      <c r="F103" s="4"/>
      <c r="G103" s="4"/>
      <c r="H103" s="4"/>
      <c r="I103" s="4"/>
      <c r="J103" s="4"/>
      <c r="K103" s="4"/>
      <c r="L103" s="5" t="s">
        <v>103</v>
      </c>
      <c r="M103" s="5" t="s">
        <v>104</v>
      </c>
      <c r="N103" s="5" t="s">
        <v>107</v>
      </c>
      <c r="O103" s="5" t="s">
        <v>290</v>
      </c>
      <c r="P103" s="5" t="s">
        <v>446</v>
      </c>
      <c r="Q103" s="5" t="s">
        <v>448</v>
      </c>
      <c r="R103" s="5" t="s">
        <v>409</v>
      </c>
      <c r="S103" s="5" t="s">
        <v>447</v>
      </c>
      <c r="T103" s="5" t="s">
        <v>449</v>
      </c>
      <c r="U103" s="5" t="s">
        <v>106</v>
      </c>
      <c r="V103" s="20"/>
      <c r="W103" s="20"/>
      <c r="X103" s="25"/>
      <c r="Y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$112,$BA$3:$BA$17,0),MATCH(A118,$BB$2:$CA$2,0),MATCH($W$87,$AH$22:$AH$47,0)))*C118</f>
        <v>0</v>
      </c>
      <c r="Z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$104,$BA$3:$BA$17,0),MATCH(A118,$BB$2:$CA$2,0),MATCH($W$87,$AH$22:$AH$47,0)))*C118</f>
        <v>0</v>
      </c>
      <c r="AA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$105,$BA$3:$BA$17,0),MATCH(A118,$BB$2:$CA$2,0),MATCH($W$87,$AH$22:$AH$47,0)))*C118</f>
        <v>0</v>
      </c>
      <c r="AB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$106,$BA$3:$BA$17,0),MATCH(A118,$BB$2:$CA$2,0),MATCH($W$87,$AH$22:$AH$47,0)))*C118</f>
        <v>0</v>
      </c>
      <c r="AC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$108,$BA$3:$BA$17,0),MATCH(A118,$BB$2:$CA$2,0),MATCH($W$87,$AH$22:$AH$47,0)))*C118</f>
        <v>0</v>
      </c>
      <c r="AD10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$109,$BA$3:$BA$17,0),MATCH(A118,$BB$2:$CA$2,0),MATCH($W$87,$AH$22:$AH$47,0)))*C118</f>
        <v>0</v>
      </c>
      <c r="AE103" s="20"/>
      <c r="AF103" s="20"/>
      <c r="AG103" s="20"/>
      <c r="AH103" s="20"/>
      <c r="AI103" s="20"/>
      <c r="AJ103" s="20"/>
      <c r="AK103" s="20"/>
      <c r="AL103" s="20"/>
      <c r="AM103" s="20"/>
      <c r="AN103" s="20"/>
      <c r="AO103" s="20"/>
      <c r="AP103" s="20"/>
      <c r="AQ103" s="20"/>
      <c r="AR103" s="20"/>
      <c r="AS103" s="20"/>
      <c r="AT103" s="20"/>
      <c r="AU103" s="20"/>
      <c r="AV103" s="20"/>
      <c r="AW103" s="20"/>
      <c r="AX103" s="20"/>
      <c r="AY103" s="20"/>
      <c r="AZ103" s="20"/>
      <c r="BA103" s="21" t="s">
        <v>520</v>
      </c>
      <c r="BB103" s="21">
        <v>0</v>
      </c>
      <c r="BC103" s="21">
        <v>0</v>
      </c>
      <c r="BD103" s="21">
        <v>0</v>
      </c>
      <c r="BE103" s="21">
        <v>0</v>
      </c>
      <c r="BF103" s="21">
        <v>0</v>
      </c>
      <c r="BG103" s="21">
        <v>2</v>
      </c>
      <c r="BH103" s="21">
        <v>4</v>
      </c>
      <c r="BI103" s="21">
        <v>2</v>
      </c>
      <c r="BJ103" s="21">
        <v>0</v>
      </c>
      <c r="BK103" s="21">
        <v>0</v>
      </c>
      <c r="BL103" s="21">
        <v>4</v>
      </c>
      <c r="BM103" s="21">
        <v>4</v>
      </c>
      <c r="BN103" s="21">
        <v>8</v>
      </c>
      <c r="BO103" s="21">
        <v>0</v>
      </c>
      <c r="BP103" s="21">
        <v>0</v>
      </c>
      <c r="BQ103" s="21">
        <v>4</v>
      </c>
      <c r="BR103" s="21">
        <v>6</v>
      </c>
      <c r="BS103" s="21">
        <v>10</v>
      </c>
      <c r="BT103" s="21">
        <v>14</v>
      </c>
      <c r="BU103" s="21">
        <v>2</v>
      </c>
      <c r="BV103" s="21">
        <v>6</v>
      </c>
      <c r="BW103" s="21">
        <v>8</v>
      </c>
      <c r="BX103" s="21">
        <v>8</v>
      </c>
      <c r="BY103" s="21">
        <v>16</v>
      </c>
      <c r="BZ103" s="21">
        <v>4</v>
      </c>
      <c r="CA103" s="21">
        <v>8</v>
      </c>
      <c r="DA103" s="54"/>
      <c r="DB103" s="54"/>
      <c r="DC103" s="54"/>
      <c r="DD103" s="20" t="s">
        <v>408</v>
      </c>
      <c r="DE103" s="20">
        <v>0</v>
      </c>
      <c r="DF103" s="20">
        <v>0</v>
      </c>
      <c r="DG103" s="20">
        <v>4</v>
      </c>
      <c r="DH103" s="20">
        <v>4</v>
      </c>
      <c r="DI103" s="20">
        <v>8</v>
      </c>
      <c r="DJ103" s="20">
        <v>8</v>
      </c>
      <c r="DK103" s="20">
        <v>12</v>
      </c>
      <c r="DL103" s="20">
        <v>16</v>
      </c>
      <c r="DM103" s="20">
        <v>16</v>
      </c>
      <c r="DN103" s="20">
        <v>20</v>
      </c>
      <c r="DO103" s="20">
        <v>20</v>
      </c>
      <c r="DP103" s="20">
        <v>24</v>
      </c>
      <c r="DQ103" s="20">
        <v>24</v>
      </c>
      <c r="DR103" s="20">
        <v>28</v>
      </c>
      <c r="DS103" s="20">
        <v>32</v>
      </c>
      <c r="DT103" s="20">
        <v>32</v>
      </c>
      <c r="DU103" s="20">
        <v>36</v>
      </c>
      <c r="DV103" s="20">
        <v>36</v>
      </c>
      <c r="DW103" s="20">
        <v>40</v>
      </c>
      <c r="DX103" s="20">
        <v>44</v>
      </c>
      <c r="DY103" s="20">
        <v>44</v>
      </c>
      <c r="DZ103" s="20"/>
      <c r="EA103" s="20"/>
      <c r="EB103" s="20"/>
      <c r="GC103" s="20"/>
      <c r="GD103" s="20"/>
      <c r="GE103" s="26" t="s">
        <v>520</v>
      </c>
      <c r="GF103" s="20">
        <v>0</v>
      </c>
      <c r="GG103" s="20">
        <v>0</v>
      </c>
      <c r="GH103" s="20">
        <v>0</v>
      </c>
      <c r="GI103" s="20">
        <v>4</v>
      </c>
      <c r="GJ103" s="20">
        <v>4</v>
      </c>
      <c r="GK103" s="20">
        <v>4</v>
      </c>
      <c r="GL103" s="20">
        <v>8</v>
      </c>
      <c r="GM103" s="20">
        <v>6</v>
      </c>
      <c r="GN103" s="20">
        <v>8</v>
      </c>
      <c r="GO103" s="20">
        <v>10</v>
      </c>
      <c r="GP103" s="20">
        <v>12</v>
      </c>
      <c r="GQ103" s="20">
        <v>0</v>
      </c>
      <c r="GR103" s="20">
        <v>12</v>
      </c>
      <c r="GS103" s="20">
        <v>2</v>
      </c>
      <c r="GT103" s="20">
        <v>2</v>
      </c>
      <c r="GU103" s="20">
        <v>18</v>
      </c>
      <c r="GV103" s="20">
        <v>6</v>
      </c>
      <c r="GW103" s="20">
        <v>14</v>
      </c>
      <c r="GX103" s="20">
        <v>22</v>
      </c>
      <c r="GY103" s="20">
        <v>10</v>
      </c>
      <c r="GZ103" s="20">
        <v>10</v>
      </c>
      <c r="HA103" s="20">
        <v>26</v>
      </c>
      <c r="HB103" s="20">
        <v>20</v>
      </c>
      <c r="HC103" s="20">
        <v>0</v>
      </c>
      <c r="HD103" s="20">
        <v>30</v>
      </c>
      <c r="HE103" s="20">
        <v>30</v>
      </c>
      <c r="HF103" s="20">
        <v>4</v>
      </c>
      <c r="HG103" s="20">
        <v>32</v>
      </c>
      <c r="HH103" s="20">
        <v>20</v>
      </c>
      <c r="HI103" s="20">
        <v>8</v>
      </c>
      <c r="HJ103" s="20">
        <v>36</v>
      </c>
      <c r="HK103" s="20">
        <v>24</v>
      </c>
      <c r="HL103" s="20">
        <v>28</v>
      </c>
      <c r="HM103" s="20">
        <v>40</v>
      </c>
      <c r="HN103" s="20">
        <v>28</v>
      </c>
      <c r="HO103" s="20">
        <v>28</v>
      </c>
      <c r="HP103" s="20">
        <v>44</v>
      </c>
      <c r="HQ103" s="20">
        <v>48</v>
      </c>
      <c r="HR103" s="20">
        <v>32</v>
      </c>
      <c r="HS103" s="20">
        <v>48</v>
      </c>
      <c r="HT103" s="20">
        <v>48</v>
      </c>
      <c r="HU103" s="20">
        <v>54</v>
      </c>
      <c r="HV103" s="20">
        <v>52</v>
      </c>
      <c r="HW103" s="20">
        <v>52</v>
      </c>
      <c r="HX103" s="20">
        <v>58</v>
      </c>
      <c r="HY103" s="20">
        <v>54</v>
      </c>
      <c r="HZ103" s="20">
        <v>42</v>
      </c>
      <c r="IA103" s="20">
        <v>62</v>
      </c>
      <c r="IB103" s="20">
        <v>58</v>
      </c>
      <c r="IC103" s="20">
        <v>46</v>
      </c>
      <c r="ID103" s="20">
        <v>66</v>
      </c>
      <c r="JI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106,$JT$2:$KS$2,0),MATCH($W$87,$AH$22:$AH$47,0)))*C106</f>
        <v>0</v>
      </c>
      <c r="JJ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106,$JT$2:$KS$2,0),MATCH($W$87,$AH$22:$AH$47,0)))*C106</f>
        <v>0</v>
      </c>
      <c r="JK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106,$JT$2:$KS$2,0),MATCH($W$87,$AH$22:$AH$47,0)))*C106</f>
        <v>0</v>
      </c>
      <c r="JL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106,$JT$2:$KS$2,0),MATCH($W$87,$AH$22:$AH$47,0)))*C106</f>
        <v>0</v>
      </c>
      <c r="JM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106,$JT$2:$KS$2,0),MATCH($W$87,$AH$22:$AH$47,0)))*C106</f>
        <v>0</v>
      </c>
      <c r="JN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106,$JT$2:$KS$2,0),MATCH($W$87,$AH$22:$AH$47,0)))*C106</f>
        <v>0</v>
      </c>
      <c r="JO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106,$JT$2:$KS$2,0),MATCH($W$87,$AH$22:$AH$47,0)))*C106</f>
        <v>0</v>
      </c>
      <c r="JP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106,$JT$2:$KS$2,0),MATCH($W$87,$AH$22:$AH$47,0)))*C106</f>
        <v>0</v>
      </c>
      <c r="JQ10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106,$JT$2:$KS$2,0),MATCH($W$87,$AH$22:$AH$47,0)))*C106</f>
        <v>0</v>
      </c>
      <c r="JS103" s="21" t="s">
        <v>711</v>
      </c>
      <c r="JT103" s="21">
        <v>0</v>
      </c>
      <c r="JU103" s="21">
        <v>0</v>
      </c>
      <c r="JV103" s="21">
        <v>2</v>
      </c>
      <c r="JW103" s="21">
        <v>0</v>
      </c>
      <c r="JX103" s="21">
        <v>2</v>
      </c>
      <c r="JY103" s="21">
        <v>4</v>
      </c>
      <c r="JZ103" s="21">
        <v>2</v>
      </c>
      <c r="KA103" s="21">
        <v>4</v>
      </c>
      <c r="KB103" s="21">
        <v>6</v>
      </c>
      <c r="KC103" s="21">
        <v>6</v>
      </c>
      <c r="KD103" s="21">
        <v>8</v>
      </c>
      <c r="KE103" s="21">
        <v>6</v>
      </c>
      <c r="KF103" s="21">
        <v>8</v>
      </c>
      <c r="KG103" s="21">
        <v>10</v>
      </c>
      <c r="KH103" s="21">
        <v>8</v>
      </c>
      <c r="KI103" s="21">
        <v>10</v>
      </c>
      <c r="KJ103" s="21">
        <v>12</v>
      </c>
      <c r="KK103" s="21">
        <v>10</v>
      </c>
      <c r="KL103" s="21">
        <v>14</v>
      </c>
      <c r="KM103" s="21">
        <v>12</v>
      </c>
      <c r="KN103" s="21">
        <v>14</v>
      </c>
      <c r="KO103" s="21">
        <v>16</v>
      </c>
      <c r="KP103" s="21">
        <v>14</v>
      </c>
      <c r="KQ103" s="21">
        <v>16</v>
      </c>
      <c r="KR103" s="21">
        <v>18</v>
      </c>
      <c r="KS103" s="21">
        <v>16</v>
      </c>
      <c r="KU103" s="26" t="s">
        <v>711</v>
      </c>
      <c r="KV103" s="20">
        <v>0</v>
      </c>
      <c r="KW103" s="20">
        <v>0</v>
      </c>
      <c r="KX103" s="20">
        <v>0</v>
      </c>
      <c r="KY103" s="20">
        <v>4</v>
      </c>
      <c r="KZ103" s="20">
        <v>2</v>
      </c>
      <c r="LA103" s="20">
        <v>6</v>
      </c>
      <c r="LB103" s="20">
        <v>6</v>
      </c>
      <c r="LC103" s="20">
        <v>8</v>
      </c>
      <c r="LD103" s="20">
        <v>8</v>
      </c>
      <c r="LE103" s="20">
        <v>8</v>
      </c>
      <c r="LF103" s="20">
        <v>12</v>
      </c>
      <c r="LG103" s="20">
        <v>10</v>
      </c>
      <c r="LH103" s="20">
        <v>14</v>
      </c>
      <c r="LI103" s="20">
        <v>14</v>
      </c>
      <c r="LJ103" s="20">
        <v>16</v>
      </c>
      <c r="LK103" s="20">
        <v>16</v>
      </c>
      <c r="LL103" s="20">
        <v>16</v>
      </c>
      <c r="LM103" s="20">
        <v>18</v>
      </c>
      <c r="LN103" s="20">
        <v>18</v>
      </c>
      <c r="LO103" s="20">
        <v>22</v>
      </c>
      <c r="LP103" s="20">
        <v>22</v>
      </c>
      <c r="LQ103" s="20">
        <v>24</v>
      </c>
      <c r="LR103" s="20">
        <v>24</v>
      </c>
      <c r="LS103" s="20">
        <v>24</v>
      </c>
      <c r="LT103" s="20">
        <v>26</v>
      </c>
      <c r="LU103" s="20">
        <v>26</v>
      </c>
      <c r="LW103" s="26" t="s">
        <v>711</v>
      </c>
      <c r="LX103" s="20">
        <v>0</v>
      </c>
      <c r="LY103" s="20">
        <v>0</v>
      </c>
      <c r="LZ103" s="20">
        <v>0</v>
      </c>
      <c r="MA103" s="20">
        <v>4</v>
      </c>
      <c r="MB103" s="20">
        <v>4</v>
      </c>
      <c r="MC103" s="20">
        <v>4</v>
      </c>
      <c r="MD103" s="20">
        <v>8</v>
      </c>
      <c r="ME103" s="20">
        <v>8</v>
      </c>
      <c r="MF103" s="20">
        <v>8</v>
      </c>
      <c r="MG103" s="20">
        <v>12</v>
      </c>
      <c r="MH103" s="20">
        <v>12</v>
      </c>
      <c r="MI103" s="20">
        <v>12</v>
      </c>
      <c r="MJ103" s="20">
        <v>16</v>
      </c>
      <c r="MK103" s="20">
        <v>16</v>
      </c>
      <c r="ML103" s="20">
        <v>16</v>
      </c>
      <c r="MM103" s="20">
        <v>18</v>
      </c>
      <c r="MN103" s="20">
        <v>18</v>
      </c>
      <c r="MO103" s="20">
        <v>22</v>
      </c>
      <c r="MP103" s="20">
        <v>22</v>
      </c>
      <c r="MQ103" s="20">
        <v>22</v>
      </c>
      <c r="MR103" s="20">
        <v>26</v>
      </c>
      <c r="MS103" s="20">
        <v>26</v>
      </c>
      <c r="MT103" s="20">
        <v>26</v>
      </c>
      <c r="MU103" s="20">
        <v>30</v>
      </c>
      <c r="MV103" s="20">
        <v>30</v>
      </c>
      <c r="MW103" s="20">
        <v>30</v>
      </c>
    </row>
    <row r="104" spans="1:361" x14ac:dyDescent="0.25">
      <c r="A104" s="8"/>
      <c r="B104" s="5" t="s">
        <v>116</v>
      </c>
      <c r="C104" s="8"/>
      <c r="D104" s="6" t="s">
        <v>118</v>
      </c>
      <c r="E104" s="8" t="s">
        <v>833</v>
      </c>
      <c r="F104" s="5" t="s">
        <v>116</v>
      </c>
      <c r="G104" s="8" t="s">
        <v>115</v>
      </c>
      <c r="H104" s="5" t="s">
        <v>116</v>
      </c>
      <c r="I104" s="8">
        <v>35</v>
      </c>
      <c r="J104" s="5" t="s">
        <v>119</v>
      </c>
      <c r="K104" s="4"/>
      <c r="L104" s="6" t="str">
        <f>IF($E$111=$AK$22,"PAL40H40/1,15",IF($E$111=$AK$23,"PAL30H32/1,15","-------"))</f>
        <v>PAL40H40/1,15</v>
      </c>
      <c r="M104" s="14">
        <f>INDEX(cennik!$C$2:$L$529,MATCH($L104,cennik!$B$2:$B$522,0),MATCH(M$27,cennik!$C$1:$L$1,0))</f>
        <v>894510</v>
      </c>
      <c r="N104" s="14" t="str">
        <f>INDEX(cennik!$C$2:$L$529,MATCH($L104,cennik!$B$2:$B$522,0),MATCH(N$27,cennik!$C$1:$L$1,0))</f>
        <v>szt.</v>
      </c>
      <c r="O104" s="14">
        <f>IF(L104="-------",0,SUM(JJ100:JJ115))</f>
        <v>0</v>
      </c>
      <c r="P104" s="22">
        <f>INDEX(cennik!$C$2:$L$529,MATCH($L104,cennik!$B$2:$B$522,0),MATCH(P$27,cennik!$C$1:$L$1,0))</f>
        <v>36.799999999999997</v>
      </c>
      <c r="Q104" s="22">
        <f>O104*P104</f>
        <v>0</v>
      </c>
      <c r="R104" s="23">
        <f>$E$109</f>
        <v>0</v>
      </c>
      <c r="S104" s="22">
        <f>P104*((100-$E$109)/100)</f>
        <v>36.799999999999997</v>
      </c>
      <c r="T104" s="22">
        <f>O104*S104</f>
        <v>0</v>
      </c>
      <c r="U104" s="22">
        <f>INDEX(cennik!$C$2:$L$529,MATCH($L104,cennik!$B$2:$B$522,0),MATCH(U$27,cennik!$C$1:$L$1,0))*O104</f>
        <v>0</v>
      </c>
      <c r="V104" s="20"/>
      <c r="W104" s="20"/>
      <c r="X104" s="25"/>
      <c r="Y104" s="25"/>
      <c r="Z104" s="25"/>
      <c r="AA104" s="25"/>
      <c r="AB104" s="25"/>
      <c r="AC104" s="25"/>
      <c r="AD104" s="25"/>
      <c r="AE104" s="20"/>
      <c r="AF104" s="20"/>
      <c r="AG104" s="20"/>
      <c r="AH104" s="20"/>
      <c r="AI104" s="20"/>
      <c r="AJ104" s="20"/>
      <c r="AK104" s="20"/>
      <c r="AL104" s="20"/>
      <c r="AM104" s="20"/>
      <c r="AN104" s="20"/>
      <c r="AO104" s="20"/>
      <c r="AP104" s="20"/>
      <c r="AQ104" s="20"/>
      <c r="AR104" s="20"/>
      <c r="AS104" s="20"/>
      <c r="AT104" s="20"/>
      <c r="AU104" s="20"/>
      <c r="AV104" s="20"/>
      <c r="AW104" s="20"/>
      <c r="AX104" s="20"/>
      <c r="AY104" s="20"/>
      <c r="AZ104" s="20"/>
      <c r="BA104" s="21" t="s">
        <v>521</v>
      </c>
      <c r="BB104" s="21">
        <v>0</v>
      </c>
      <c r="BC104" s="21">
        <v>0</v>
      </c>
      <c r="BD104" s="21">
        <v>0</v>
      </c>
      <c r="BE104" s="21">
        <v>4</v>
      </c>
      <c r="BF104" s="21">
        <v>4</v>
      </c>
      <c r="BG104" s="21">
        <v>4</v>
      </c>
      <c r="BH104" s="21">
        <v>8</v>
      </c>
      <c r="BI104" s="21">
        <v>16</v>
      </c>
      <c r="BJ104" s="21">
        <v>12</v>
      </c>
      <c r="BK104" s="21">
        <v>12</v>
      </c>
      <c r="BL104" s="21">
        <v>12</v>
      </c>
      <c r="BM104" s="21">
        <v>16</v>
      </c>
      <c r="BN104" s="21">
        <v>16</v>
      </c>
      <c r="BO104" s="21">
        <v>20</v>
      </c>
      <c r="BP104" s="21">
        <v>20</v>
      </c>
      <c r="BQ104" s="21">
        <v>20</v>
      </c>
      <c r="BR104" s="21">
        <v>24</v>
      </c>
      <c r="BS104" s="21">
        <v>24</v>
      </c>
      <c r="BT104" s="21">
        <v>24</v>
      </c>
      <c r="BU104" s="21">
        <v>28</v>
      </c>
      <c r="BV104" s="21">
        <v>28</v>
      </c>
      <c r="BW104" s="21">
        <v>32</v>
      </c>
      <c r="BX104" s="21">
        <v>32</v>
      </c>
      <c r="BY104" s="21">
        <v>32</v>
      </c>
      <c r="BZ104" s="21">
        <v>36</v>
      </c>
      <c r="CA104" s="21">
        <v>36</v>
      </c>
      <c r="DA104" s="54"/>
      <c r="DB104" s="54"/>
      <c r="DC104" s="54"/>
      <c r="DD104" s="20" t="s">
        <v>518</v>
      </c>
      <c r="DE104" s="20">
        <v>0</v>
      </c>
      <c r="DF104" s="20">
        <v>2</v>
      </c>
      <c r="DG104" s="20">
        <v>4</v>
      </c>
      <c r="DH104" s="20">
        <v>0</v>
      </c>
      <c r="DI104" s="20">
        <v>2</v>
      </c>
      <c r="DJ104" s="20">
        <v>0</v>
      </c>
      <c r="DK104" s="20">
        <v>2</v>
      </c>
      <c r="DL104" s="20">
        <v>4</v>
      </c>
      <c r="DM104" s="20">
        <v>0</v>
      </c>
      <c r="DN104" s="20">
        <v>4</v>
      </c>
      <c r="DO104" s="20">
        <v>0</v>
      </c>
      <c r="DP104" s="20">
        <v>2</v>
      </c>
      <c r="DQ104" s="20">
        <v>0</v>
      </c>
      <c r="DR104" s="20">
        <v>2</v>
      </c>
      <c r="DS104" s="20">
        <v>4</v>
      </c>
      <c r="DT104" s="20">
        <v>0</v>
      </c>
      <c r="DU104" s="20">
        <v>4</v>
      </c>
      <c r="DV104" s="20">
        <v>0</v>
      </c>
      <c r="DW104" s="20">
        <v>2</v>
      </c>
      <c r="DX104" s="20">
        <v>4</v>
      </c>
      <c r="DY104" s="20">
        <v>2</v>
      </c>
      <c r="DZ104" s="20"/>
      <c r="EA104" s="20"/>
      <c r="EB104" s="20"/>
      <c r="GC104" s="20"/>
      <c r="GD104" s="20"/>
      <c r="GE104" s="26" t="s">
        <v>521</v>
      </c>
      <c r="GF104" s="20">
        <v>0</v>
      </c>
      <c r="GG104" s="20">
        <v>4</v>
      </c>
      <c r="GH104" s="20">
        <v>4</v>
      </c>
      <c r="GI104" s="20">
        <v>4</v>
      </c>
      <c r="GJ104" s="20">
        <v>8</v>
      </c>
      <c r="GK104" s="20">
        <v>12</v>
      </c>
      <c r="GL104" s="20">
        <v>12</v>
      </c>
      <c r="GM104" s="20">
        <v>16</v>
      </c>
      <c r="GN104" s="20">
        <v>20</v>
      </c>
      <c r="GO104" s="20">
        <v>20</v>
      </c>
      <c r="GP104" s="20">
        <v>24</v>
      </c>
      <c r="GQ104" s="20">
        <v>28</v>
      </c>
      <c r="GR104" s="20">
        <v>28</v>
      </c>
      <c r="GS104" s="20">
        <v>32</v>
      </c>
      <c r="GT104" s="20">
        <v>36</v>
      </c>
      <c r="GU104" s="20">
        <v>36</v>
      </c>
      <c r="GV104" s="20">
        <v>40</v>
      </c>
      <c r="GW104" s="20">
        <v>44</v>
      </c>
      <c r="GX104" s="20">
        <v>44</v>
      </c>
      <c r="GY104" s="20">
        <v>48</v>
      </c>
      <c r="GZ104" s="20">
        <v>52</v>
      </c>
      <c r="HA104" s="20">
        <v>52</v>
      </c>
      <c r="HB104" s="20">
        <v>56</v>
      </c>
      <c r="HC104" s="20">
        <v>60</v>
      </c>
      <c r="HD104" s="20">
        <v>60</v>
      </c>
      <c r="HE104" s="20">
        <v>64</v>
      </c>
      <c r="HF104" s="20">
        <v>68</v>
      </c>
      <c r="HG104" s="20">
        <v>68</v>
      </c>
      <c r="HH104" s="20">
        <v>72</v>
      </c>
      <c r="HI104" s="20">
        <v>76</v>
      </c>
      <c r="HJ104" s="20">
        <v>76</v>
      </c>
      <c r="HK104" s="20">
        <v>80</v>
      </c>
      <c r="HL104" s="20">
        <v>84</v>
      </c>
      <c r="HM104" s="20">
        <v>84</v>
      </c>
      <c r="HN104" s="20">
        <v>88</v>
      </c>
      <c r="HO104" s="20">
        <v>92</v>
      </c>
      <c r="HP104" s="20">
        <v>92</v>
      </c>
      <c r="HQ104" s="20">
        <v>96</v>
      </c>
      <c r="HR104" s="20">
        <v>100</v>
      </c>
      <c r="HS104" s="20">
        <v>100</v>
      </c>
      <c r="HT104" s="20">
        <v>104</v>
      </c>
      <c r="HU104" s="20">
        <v>104</v>
      </c>
      <c r="HV104" s="20">
        <v>108</v>
      </c>
      <c r="HW104" s="20">
        <v>112</v>
      </c>
      <c r="HX104" s="20">
        <v>112</v>
      </c>
      <c r="HY104" s="20">
        <v>116</v>
      </c>
      <c r="HZ104" s="20">
        <v>120</v>
      </c>
      <c r="IA104" s="20">
        <v>120</v>
      </c>
      <c r="IB104" s="20">
        <v>124</v>
      </c>
      <c r="IC104" s="20">
        <v>128</v>
      </c>
      <c r="ID104" s="20">
        <v>128</v>
      </c>
      <c r="JI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107,$JT$2:$KS$2,0),MATCH($W$87,$AH$22:$AH$47,0)))*C107</f>
        <v>0</v>
      </c>
      <c r="JJ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107,$JT$2:$KS$2,0),MATCH($W$87,$AH$22:$AH$47,0)))*C107</f>
        <v>0</v>
      </c>
      <c r="JK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107,$JT$2:$KS$2,0),MATCH($W$87,$AH$22:$AH$47,0)))*C107</f>
        <v>0</v>
      </c>
      <c r="JL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107,$JT$2:$KS$2,0),MATCH($W$87,$AH$22:$AH$47,0)))*C107</f>
        <v>0</v>
      </c>
      <c r="JM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107,$JT$2:$KS$2,0),MATCH($W$87,$AH$22:$AH$47,0)))*C107</f>
        <v>0</v>
      </c>
      <c r="JN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107,$JT$2:$KS$2,0),MATCH($W$87,$AH$22:$AH$47,0)))*C107</f>
        <v>0</v>
      </c>
      <c r="JO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107,$JT$2:$KS$2,0),MATCH($W$87,$AH$22:$AH$47,0)))*C107</f>
        <v>0</v>
      </c>
      <c r="JP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107,$JT$2:$KS$2,0),MATCH($W$87,$AH$22:$AH$47,0)))*C107</f>
        <v>0</v>
      </c>
      <c r="JQ10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107,$JT$2:$KS$2,0),MATCH($W$87,$AH$22:$AH$47,0)))*C107</f>
        <v>0</v>
      </c>
      <c r="JS104" s="21" t="s">
        <v>712</v>
      </c>
      <c r="JT104" s="21">
        <v>0</v>
      </c>
      <c r="JU104" s="21">
        <v>0</v>
      </c>
      <c r="JV104" s="21">
        <v>0</v>
      </c>
      <c r="JW104" s="21">
        <v>2</v>
      </c>
      <c r="JX104" s="21">
        <v>2</v>
      </c>
      <c r="JY104" s="21">
        <v>2</v>
      </c>
      <c r="JZ104" s="21">
        <v>4</v>
      </c>
      <c r="KA104" s="21">
        <v>4</v>
      </c>
      <c r="KB104" s="21">
        <v>4</v>
      </c>
      <c r="KC104" s="21">
        <v>6</v>
      </c>
      <c r="KD104" s="21">
        <v>6</v>
      </c>
      <c r="KE104" s="21">
        <v>8</v>
      </c>
      <c r="KF104" s="21">
        <v>8</v>
      </c>
      <c r="KG104" s="21">
        <v>8</v>
      </c>
      <c r="KH104" s="21">
        <v>10</v>
      </c>
      <c r="KI104" s="21">
        <v>10</v>
      </c>
      <c r="KJ104" s="21">
        <v>10</v>
      </c>
      <c r="KK104" s="21">
        <v>12</v>
      </c>
      <c r="KL104" s="21">
        <v>12</v>
      </c>
      <c r="KM104" s="21">
        <v>14</v>
      </c>
      <c r="KN104" s="21">
        <v>14</v>
      </c>
      <c r="KO104" s="21">
        <v>14</v>
      </c>
      <c r="KP104" s="21">
        <v>16</v>
      </c>
      <c r="KQ104" s="21">
        <v>16</v>
      </c>
      <c r="KR104" s="21">
        <v>16</v>
      </c>
      <c r="KS104" s="21">
        <v>18</v>
      </c>
      <c r="KU104" s="26" t="s">
        <v>712</v>
      </c>
      <c r="KV104" s="20">
        <v>0</v>
      </c>
      <c r="KW104" s="20">
        <v>0</v>
      </c>
      <c r="KX104" s="20">
        <v>2</v>
      </c>
      <c r="KY104" s="20">
        <v>2</v>
      </c>
      <c r="KZ104" s="20">
        <v>4</v>
      </c>
      <c r="LA104" s="20">
        <v>4</v>
      </c>
      <c r="LB104" s="20">
        <v>6</v>
      </c>
      <c r="LC104" s="20">
        <v>6</v>
      </c>
      <c r="LD104" s="20">
        <v>8</v>
      </c>
      <c r="LE104" s="20">
        <v>10</v>
      </c>
      <c r="LF104" s="20">
        <v>10</v>
      </c>
      <c r="LG104" s="20">
        <v>12</v>
      </c>
      <c r="LH104" s="20">
        <v>12</v>
      </c>
      <c r="LI104" s="20">
        <v>14</v>
      </c>
      <c r="LJ104" s="20">
        <v>14</v>
      </c>
      <c r="LK104" s="20">
        <v>16</v>
      </c>
      <c r="LL104" s="20">
        <v>18</v>
      </c>
      <c r="LM104" s="20">
        <v>18</v>
      </c>
      <c r="LN104" s="20">
        <v>20</v>
      </c>
      <c r="LO104" s="20">
        <v>20</v>
      </c>
      <c r="LP104" s="20">
        <v>22</v>
      </c>
      <c r="LQ104" s="20">
        <v>22</v>
      </c>
      <c r="LR104" s="20">
        <v>24</v>
      </c>
      <c r="LS104" s="20">
        <v>26</v>
      </c>
      <c r="LT104" s="20">
        <v>26</v>
      </c>
      <c r="LU104" s="20">
        <v>28</v>
      </c>
      <c r="LW104" s="26" t="s">
        <v>712</v>
      </c>
      <c r="LX104" s="20">
        <v>0</v>
      </c>
      <c r="LY104" s="20">
        <v>0</v>
      </c>
      <c r="LZ104" s="20">
        <v>2</v>
      </c>
      <c r="MA104" s="20">
        <v>2</v>
      </c>
      <c r="MB104" s="20">
        <v>4</v>
      </c>
      <c r="MC104" s="20">
        <v>6</v>
      </c>
      <c r="MD104" s="20">
        <v>6</v>
      </c>
      <c r="ME104" s="20">
        <v>8</v>
      </c>
      <c r="MF104" s="20">
        <v>10</v>
      </c>
      <c r="MG104" s="20">
        <v>10</v>
      </c>
      <c r="MH104" s="20">
        <v>12</v>
      </c>
      <c r="MI104" s="20">
        <v>14</v>
      </c>
      <c r="MJ104" s="20">
        <v>14</v>
      </c>
      <c r="MK104" s="20">
        <v>16</v>
      </c>
      <c r="ML104" s="20">
        <v>18</v>
      </c>
      <c r="MM104" s="20">
        <v>18</v>
      </c>
      <c r="MN104" s="20">
        <v>20</v>
      </c>
      <c r="MO104" s="20">
        <v>20</v>
      </c>
      <c r="MP104" s="20">
        <v>22</v>
      </c>
      <c r="MQ104" s="20">
        <v>24</v>
      </c>
      <c r="MR104" s="20">
        <v>24</v>
      </c>
      <c r="MS104" s="20">
        <v>26</v>
      </c>
      <c r="MT104" s="20">
        <v>28</v>
      </c>
      <c r="MU104" s="20">
        <v>28</v>
      </c>
      <c r="MV104" s="20">
        <v>30</v>
      </c>
      <c r="MW104" s="20">
        <v>32</v>
      </c>
    </row>
    <row r="105" spans="1:361" x14ac:dyDescent="0.25">
      <c r="A105" s="8"/>
      <c r="B105" s="5" t="s">
        <v>116</v>
      </c>
      <c r="C105" s="8"/>
      <c r="D105" s="6" t="s">
        <v>117</v>
      </c>
      <c r="E105" s="8">
        <v>800</v>
      </c>
      <c r="F105" s="5"/>
      <c r="G105" s="5"/>
      <c r="H105" s="5"/>
      <c r="I105" s="5"/>
      <c r="J105" s="5" t="s">
        <v>119</v>
      </c>
      <c r="K105" s="4"/>
      <c r="L105" s="6" t="str">
        <f>IF($E$111=$AK$22,"PAL40H40/2,1",IF($E$111=$AK$23,"PAL30H32/2,1","-------"))</f>
        <v>PAL40H40/2,1</v>
      </c>
      <c r="M105" s="14">
        <f>INDEX(cennik!$C$2:$L$529,MATCH($L105,cennik!$B$2:$B$522,0),MATCH(M$27,cennik!$C$1:$L$1,0))</f>
        <v>894621</v>
      </c>
      <c r="N105" s="14" t="str">
        <f>INDEX(cennik!$C$2:$L$529,MATCH($L105,cennik!$B$2:$B$522,0),MATCH(N$27,cennik!$C$1:$L$1,0))</f>
        <v>szt.</v>
      </c>
      <c r="O105" s="14">
        <f>IF(L105="-------",0,SUM(JK100:JK115))</f>
        <v>0</v>
      </c>
      <c r="P105" s="22">
        <f>INDEX(cennik!$C$2:$L$529,MATCH($L105,cennik!$B$2:$B$522,0),MATCH(P$27,cennik!$C$1:$L$1,0))</f>
        <v>65.099999999999994</v>
      </c>
      <c r="Q105" s="22">
        <f>O105*P105</f>
        <v>0</v>
      </c>
      <c r="R105" s="23">
        <f>$E$109</f>
        <v>0</v>
      </c>
      <c r="S105" s="22">
        <f>P105*((100-$E$109)/100)</f>
        <v>65.099999999999994</v>
      </c>
      <c r="T105" s="22">
        <f t="shared" ref="T105:T109" si="96">O105*S105</f>
        <v>0</v>
      </c>
      <c r="U105" s="22">
        <f>INDEX(cennik!$C$2:$L$529,MATCH($L105,cennik!$B$2:$B$522,0),MATCH(U$27,cennik!$C$1:$L$1,0))*O105</f>
        <v>0</v>
      </c>
      <c r="V105" s="20"/>
      <c r="W105" s="20"/>
      <c r="X105" s="27" t="s">
        <v>298</v>
      </c>
      <c r="Y105" s="20"/>
      <c r="Z105" s="20"/>
      <c r="AA105" s="20"/>
      <c r="AB105" s="20"/>
      <c r="AC105" s="20"/>
      <c r="AD105" s="20"/>
      <c r="AE105" s="20"/>
      <c r="AF105" s="20"/>
      <c r="AG105" s="20"/>
      <c r="AH105" s="20"/>
      <c r="AI105" s="20"/>
      <c r="AJ105" s="20"/>
      <c r="AK105" s="20"/>
      <c r="AL105" s="20"/>
      <c r="AM105" s="20"/>
      <c r="AN105" s="20"/>
      <c r="AO105" s="20"/>
      <c r="AP105" s="20"/>
      <c r="AQ105" s="20"/>
      <c r="AR105" s="20"/>
      <c r="AS105" s="20"/>
      <c r="AT105" s="20"/>
      <c r="AU105" s="20"/>
      <c r="AV105" s="20"/>
      <c r="AW105" s="20"/>
      <c r="AX105" s="20"/>
      <c r="AY105" s="20"/>
      <c r="AZ105" s="20"/>
      <c r="BA105" s="21" t="s">
        <v>710</v>
      </c>
      <c r="BB105" s="21">
        <v>0</v>
      </c>
      <c r="BC105" s="21">
        <v>2</v>
      </c>
      <c r="BD105" s="21">
        <v>0</v>
      </c>
      <c r="BE105" s="21">
        <v>4</v>
      </c>
      <c r="BF105" s="21">
        <v>2</v>
      </c>
      <c r="BG105" s="21">
        <v>0</v>
      </c>
      <c r="BH105" s="21">
        <v>4</v>
      </c>
      <c r="BI105" s="21">
        <v>0</v>
      </c>
      <c r="BJ105" s="21">
        <v>4</v>
      </c>
      <c r="BK105" s="21">
        <v>2</v>
      </c>
      <c r="BL105" s="21">
        <v>0</v>
      </c>
      <c r="BM105" s="21">
        <v>4</v>
      </c>
      <c r="BN105" s="21">
        <v>2</v>
      </c>
      <c r="BO105" s="21">
        <v>4</v>
      </c>
      <c r="BP105" s="21">
        <v>2</v>
      </c>
      <c r="BQ105" s="21">
        <v>0</v>
      </c>
      <c r="BR105" s="21">
        <v>4</v>
      </c>
      <c r="BS105" s="21">
        <v>2</v>
      </c>
      <c r="BT105" s="21">
        <v>0</v>
      </c>
      <c r="BU105" s="21">
        <v>4</v>
      </c>
      <c r="BV105" s="21">
        <v>0</v>
      </c>
      <c r="BW105" s="21">
        <v>4</v>
      </c>
      <c r="BX105" s="21">
        <v>2</v>
      </c>
      <c r="BY105" s="21">
        <v>0</v>
      </c>
      <c r="BZ105" s="21">
        <v>4</v>
      </c>
      <c r="CA105" s="21">
        <v>2</v>
      </c>
      <c r="DA105" s="54"/>
      <c r="DB105" s="54"/>
      <c r="DC105" s="54"/>
      <c r="DD105" s="20" t="s">
        <v>520</v>
      </c>
      <c r="DE105" s="20">
        <v>0</v>
      </c>
      <c r="DF105" s="20">
        <v>0</v>
      </c>
      <c r="DG105" s="20">
        <v>0</v>
      </c>
      <c r="DH105" s="20">
        <v>4</v>
      </c>
      <c r="DI105" s="20">
        <v>4</v>
      </c>
      <c r="DJ105" s="20">
        <v>6</v>
      </c>
      <c r="DK105" s="20">
        <v>6</v>
      </c>
      <c r="DL105" s="20">
        <v>6</v>
      </c>
      <c r="DM105" s="20">
        <v>10</v>
      </c>
      <c r="DN105" s="20">
        <v>8</v>
      </c>
      <c r="DO105" s="20">
        <v>12</v>
      </c>
      <c r="DP105" s="20">
        <v>12</v>
      </c>
      <c r="DQ105" s="20">
        <v>14</v>
      </c>
      <c r="DR105" s="20">
        <v>14</v>
      </c>
      <c r="DS105" s="20">
        <v>14</v>
      </c>
      <c r="DT105" s="20">
        <v>18</v>
      </c>
      <c r="DU105" s="20">
        <v>16</v>
      </c>
      <c r="DV105" s="20">
        <v>20</v>
      </c>
      <c r="DW105" s="20">
        <v>20</v>
      </c>
      <c r="DX105" s="20">
        <v>20</v>
      </c>
      <c r="DY105" s="20">
        <v>22</v>
      </c>
      <c r="DZ105" s="20"/>
      <c r="EA105" s="20"/>
      <c r="EB105" s="20"/>
      <c r="GC105" s="20"/>
      <c r="GD105" s="20"/>
      <c r="GE105" s="26" t="s">
        <v>710</v>
      </c>
      <c r="GF105" s="20">
        <v>0</v>
      </c>
      <c r="GG105" s="20">
        <v>0</v>
      </c>
      <c r="GH105" s="20">
        <v>4</v>
      </c>
      <c r="GI105" s="20">
        <v>0</v>
      </c>
      <c r="GJ105" s="20">
        <v>2</v>
      </c>
      <c r="GK105" s="20">
        <v>4</v>
      </c>
      <c r="GL105" s="20">
        <v>0</v>
      </c>
      <c r="GM105" s="20">
        <v>2</v>
      </c>
      <c r="GN105" s="20">
        <v>4</v>
      </c>
      <c r="GO105" s="20">
        <v>0</v>
      </c>
      <c r="GP105" s="20">
        <v>2</v>
      </c>
      <c r="GQ105" s="20">
        <v>4</v>
      </c>
      <c r="GR105" s="20">
        <v>0</v>
      </c>
      <c r="GS105" s="20">
        <v>2</v>
      </c>
      <c r="GT105" s="20">
        <v>4</v>
      </c>
      <c r="GU105" s="20">
        <v>0</v>
      </c>
      <c r="GV105" s="20">
        <v>2</v>
      </c>
      <c r="GW105" s="20">
        <v>4</v>
      </c>
      <c r="GX105" s="20">
        <v>0</v>
      </c>
      <c r="GY105" s="20">
        <v>2</v>
      </c>
      <c r="GZ105" s="20">
        <v>4</v>
      </c>
      <c r="HA105" s="20">
        <v>0</v>
      </c>
      <c r="HB105" s="20">
        <v>2</v>
      </c>
      <c r="HC105" s="20">
        <v>4</v>
      </c>
      <c r="HD105" s="20">
        <v>0</v>
      </c>
      <c r="HE105" s="20">
        <v>2</v>
      </c>
      <c r="HF105" s="20"/>
      <c r="HG105" s="20"/>
      <c r="HH105" s="20"/>
      <c r="HI105" s="20"/>
      <c r="HJ105" s="20"/>
      <c r="HK105" s="20"/>
      <c r="HL105" s="20"/>
      <c r="HM105" s="20"/>
      <c r="HN105" s="20"/>
      <c r="HO105" s="20"/>
      <c r="HP105" s="20"/>
      <c r="HQ105" s="20"/>
      <c r="HR105" s="20"/>
      <c r="HS105" s="20"/>
      <c r="HT105" s="20"/>
      <c r="HU105" s="20"/>
      <c r="HV105" s="20"/>
      <c r="HW105" s="20"/>
      <c r="HX105" s="20"/>
      <c r="HY105" s="20"/>
      <c r="HZ105" s="20"/>
      <c r="IA105" s="20"/>
      <c r="IB105" s="20"/>
      <c r="IC105" s="20"/>
      <c r="ID105" s="20"/>
      <c r="JI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108,$JT$2:$KS$2,0),MATCH($W$87,$AH$22:$AH$47,0)))*C108</f>
        <v>0</v>
      </c>
      <c r="JJ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108,$JT$2:$KS$2,0),MATCH($W$87,$AH$22:$AH$47,0)))*C108</f>
        <v>0</v>
      </c>
      <c r="JK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108,$JT$2:$KS$2,0),MATCH($W$87,$AH$22:$AH$47,0)))*C108</f>
        <v>0</v>
      </c>
      <c r="JL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108,$JT$2:$KS$2,0),MATCH($W$87,$AH$22:$AH$47,0)))*C108</f>
        <v>0</v>
      </c>
      <c r="JM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108,$JT$2:$KS$2,0),MATCH($W$87,$AH$22:$AH$47,0)))*C108</f>
        <v>0</v>
      </c>
      <c r="JN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108,$JT$2:$KS$2,0),MATCH($W$87,$AH$22:$AH$47,0)))*C108</f>
        <v>0</v>
      </c>
      <c r="JO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108,$JT$2:$KS$2,0),MATCH($W$87,$AH$22:$AH$47,0)))*C108</f>
        <v>0</v>
      </c>
      <c r="JP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108,$JT$2:$KS$2,0),MATCH($W$87,$AH$22:$AH$47,0)))*C108</f>
        <v>0</v>
      </c>
      <c r="JQ10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108,$JT$2:$KS$2,0),MATCH($W$87,$AH$22:$AH$47,0)))*C108</f>
        <v>0</v>
      </c>
      <c r="LW105" s="20"/>
      <c r="LX105" s="20"/>
      <c r="LY105" s="20"/>
      <c r="LZ105" s="20"/>
      <c r="MA105" s="20"/>
      <c r="MB105" s="20"/>
      <c r="MC105" s="20"/>
      <c r="MD105" s="20"/>
      <c r="ME105" s="20"/>
      <c r="MF105" s="20"/>
      <c r="MG105" s="20"/>
      <c r="MH105" s="20"/>
      <c r="MI105" s="20"/>
      <c r="MJ105" s="20"/>
      <c r="MK105" s="20"/>
      <c r="ML105" s="20"/>
      <c r="MM105" s="20"/>
      <c r="MN105" s="20"/>
      <c r="MO105" s="20"/>
      <c r="MP105" s="20"/>
      <c r="MQ105" s="20"/>
      <c r="MR105" s="20"/>
      <c r="MS105" s="20"/>
      <c r="MT105" s="20"/>
      <c r="MU105" s="20"/>
      <c r="MV105" s="20"/>
      <c r="MW105" s="20"/>
    </row>
    <row r="106" spans="1:361" x14ac:dyDescent="0.25">
      <c r="A106" s="8"/>
      <c r="B106" s="5" t="s">
        <v>116</v>
      </c>
      <c r="C106" s="8"/>
      <c r="D106" s="6" t="s">
        <v>122</v>
      </c>
      <c r="E106" s="8" t="s">
        <v>123</v>
      </c>
      <c r="F106" s="5"/>
      <c r="G106" s="5"/>
      <c r="H106" s="5"/>
      <c r="I106" s="5"/>
      <c r="J106" s="5"/>
      <c r="K106" s="4"/>
      <c r="L106" s="6" t="str">
        <f>IF($E$111=$AK$22,"PAL40H40/2,2",IF($E$111=$AK$23,"PAL30H32/2,2",IF($E$111=$AK$24,"CWP40H35/2,2MC","-------")))</f>
        <v>PAL40H40/2,2</v>
      </c>
      <c r="M106" s="14">
        <f>INDEX(cennik!$C$2:$L$529,MATCH($L106,cennik!$B$2:$B$522,0),MATCH(M$27,cennik!$C$1:$L$1,0))</f>
        <v>894622</v>
      </c>
      <c r="N106" s="14" t="str">
        <f>INDEX(cennik!$C$2:$L$529,MATCH($L106,cennik!$B$2:$B$522,0),MATCH(N$27,cennik!$C$1:$L$1,0))</f>
        <v>szt.</v>
      </c>
      <c r="O106" s="14">
        <f>IF(L106="-------",0,SUM(JL100:JL115))</f>
        <v>0</v>
      </c>
      <c r="P106" s="22">
        <f>INDEX(cennik!$C$2:$L$529,MATCH($L106,cennik!$B$2:$B$522,0),MATCH(P$27,cennik!$C$1:$L$1,0))</f>
        <v>68.2</v>
      </c>
      <c r="Q106" s="22">
        <f t="shared" ref="Q106:Q109" si="97">O106*P106</f>
        <v>0</v>
      </c>
      <c r="R106" s="23">
        <f>$E$109</f>
        <v>0</v>
      </c>
      <c r="S106" s="22">
        <f>P106*((100-$E$109)/100)</f>
        <v>68.2</v>
      </c>
      <c r="T106" s="22">
        <f t="shared" si="96"/>
        <v>0</v>
      </c>
      <c r="U106" s="22">
        <f>INDEX(cennik!$C$2:$L$529,MATCH($L106,cennik!$B$2:$B$522,0),MATCH(U$27,cennik!$C$1:$L$1,0))*O106</f>
        <v>0</v>
      </c>
      <c r="V106" s="20"/>
      <c r="W106" s="20"/>
      <c r="X106" s="25">
        <f t="shared" ref="X106:X121" si="98">IF(A128=0,0,IF(A128&gt;0,(A128+1)*2)*C128)</f>
        <v>0</v>
      </c>
      <c r="Y106" s="20"/>
      <c r="Z106" s="26" t="s">
        <v>133</v>
      </c>
      <c r="AA106" s="26" t="s">
        <v>123</v>
      </c>
      <c r="AB106" s="20"/>
      <c r="AC106" s="20"/>
      <c r="AD106" s="20" t="s">
        <v>4</v>
      </c>
      <c r="AE106" s="20"/>
      <c r="AF106" s="20"/>
      <c r="AG106" s="20"/>
      <c r="AH106" s="20"/>
      <c r="AI106" s="20"/>
      <c r="AJ106" s="20"/>
      <c r="AK106" s="20"/>
      <c r="AL106" s="20"/>
      <c r="AM106" s="20"/>
      <c r="AN106" s="20"/>
      <c r="AO106" s="20"/>
      <c r="AP106" s="20"/>
      <c r="AQ106" s="20"/>
      <c r="AR106" s="20"/>
      <c r="AS106" s="20"/>
      <c r="AT106" s="20"/>
      <c r="AU106" s="20"/>
      <c r="AV106" s="20"/>
      <c r="AW106" s="20"/>
      <c r="AX106" s="20"/>
      <c r="AY106" s="20"/>
      <c r="AZ106" s="20"/>
      <c r="BA106" s="21" t="s">
        <v>711</v>
      </c>
      <c r="BB106" s="21">
        <v>0</v>
      </c>
      <c r="BC106" s="21">
        <v>0</v>
      </c>
      <c r="BD106" s="21">
        <v>2</v>
      </c>
      <c r="BE106" s="21">
        <v>0</v>
      </c>
      <c r="BF106" s="21">
        <v>2</v>
      </c>
      <c r="BG106" s="21">
        <v>4</v>
      </c>
      <c r="BH106" s="21">
        <v>2</v>
      </c>
      <c r="BI106" s="21">
        <v>6</v>
      </c>
      <c r="BJ106" s="21">
        <v>4</v>
      </c>
      <c r="BK106" s="21">
        <v>6</v>
      </c>
      <c r="BL106" s="21">
        <v>8</v>
      </c>
      <c r="BM106" s="21">
        <v>6</v>
      </c>
      <c r="BN106" s="21">
        <v>8</v>
      </c>
      <c r="BO106" s="21">
        <v>8</v>
      </c>
      <c r="BP106" s="21">
        <v>10</v>
      </c>
      <c r="BQ106" s="21">
        <v>12</v>
      </c>
      <c r="BR106" s="21">
        <v>10</v>
      </c>
      <c r="BS106" s="21">
        <v>12</v>
      </c>
      <c r="BT106" s="21">
        <v>14</v>
      </c>
      <c r="BU106" s="21">
        <v>12</v>
      </c>
      <c r="BV106" s="21">
        <v>16</v>
      </c>
      <c r="BW106" s="21">
        <v>14</v>
      </c>
      <c r="BX106" s="21">
        <v>16</v>
      </c>
      <c r="BY106" s="21">
        <v>18</v>
      </c>
      <c r="BZ106" s="21">
        <v>16</v>
      </c>
      <c r="CA106" s="21">
        <v>18</v>
      </c>
      <c r="DA106" s="54"/>
      <c r="DB106" s="54"/>
      <c r="DC106" s="54"/>
      <c r="DD106" s="20" t="s">
        <v>521</v>
      </c>
      <c r="DE106" s="20">
        <v>0</v>
      </c>
      <c r="DF106" s="20">
        <v>0</v>
      </c>
      <c r="DG106" s="20">
        <v>4</v>
      </c>
      <c r="DH106" s="20">
        <v>4</v>
      </c>
      <c r="DI106" s="20">
        <v>8</v>
      </c>
      <c r="DJ106" s="20">
        <v>8</v>
      </c>
      <c r="DK106" s="20">
        <v>12</v>
      </c>
      <c r="DL106" s="20">
        <v>16</v>
      </c>
      <c r="DM106" s="20">
        <v>16</v>
      </c>
      <c r="DN106" s="20">
        <v>20</v>
      </c>
      <c r="DO106" s="20">
        <v>20</v>
      </c>
      <c r="DP106" s="20">
        <v>24</v>
      </c>
      <c r="DQ106" s="20">
        <v>24</v>
      </c>
      <c r="DR106" s="20">
        <v>28</v>
      </c>
      <c r="DS106" s="20">
        <v>32</v>
      </c>
      <c r="DT106" s="20">
        <v>32</v>
      </c>
      <c r="DU106" s="20">
        <v>36</v>
      </c>
      <c r="DV106" s="20">
        <v>36</v>
      </c>
      <c r="DW106" s="20">
        <v>40</v>
      </c>
      <c r="DX106" s="20">
        <v>44</v>
      </c>
      <c r="DY106" s="20">
        <v>44</v>
      </c>
      <c r="DZ106" s="20"/>
      <c r="EA106" s="20"/>
      <c r="EB106" s="20"/>
      <c r="GC106" s="20"/>
      <c r="GD106" s="20"/>
      <c r="GE106" s="26" t="s">
        <v>711</v>
      </c>
      <c r="GF106" s="20">
        <v>0</v>
      </c>
      <c r="GG106" s="20">
        <v>2</v>
      </c>
      <c r="GH106" s="20">
        <v>0</v>
      </c>
      <c r="GI106" s="20">
        <v>4</v>
      </c>
      <c r="GJ106" s="20">
        <v>4</v>
      </c>
      <c r="GK106" s="20">
        <v>4</v>
      </c>
      <c r="GL106" s="20">
        <v>8</v>
      </c>
      <c r="GM106" s="20">
        <v>8</v>
      </c>
      <c r="GN106" s="20">
        <v>8</v>
      </c>
      <c r="GO106" s="20">
        <v>12</v>
      </c>
      <c r="GP106" s="20">
        <v>12</v>
      </c>
      <c r="GQ106" s="20">
        <v>12</v>
      </c>
      <c r="GR106" s="20">
        <v>16</v>
      </c>
      <c r="GS106" s="20">
        <v>16</v>
      </c>
      <c r="GT106" s="20">
        <v>16</v>
      </c>
      <c r="GU106" s="20">
        <v>20</v>
      </c>
      <c r="GV106" s="20">
        <v>20</v>
      </c>
      <c r="GW106" s="20">
        <v>20</v>
      </c>
      <c r="GX106" s="20">
        <v>24</v>
      </c>
      <c r="GY106" s="20">
        <v>24</v>
      </c>
      <c r="GZ106" s="20">
        <v>24</v>
      </c>
      <c r="HA106" s="20">
        <v>28</v>
      </c>
      <c r="HB106" s="20">
        <v>28</v>
      </c>
      <c r="HC106" s="20">
        <v>28</v>
      </c>
      <c r="HD106" s="20">
        <v>32</v>
      </c>
      <c r="HE106" s="20">
        <v>32</v>
      </c>
      <c r="HF106" s="20"/>
      <c r="HG106" s="20"/>
      <c r="HH106" s="20"/>
      <c r="HI106" s="20"/>
      <c r="HJ106" s="20"/>
      <c r="HK106" s="20"/>
      <c r="HL106" s="20"/>
      <c r="HM106" s="20"/>
      <c r="HN106" s="20"/>
      <c r="HO106" s="20"/>
      <c r="HP106" s="20"/>
      <c r="HQ106" s="20"/>
      <c r="HR106" s="20"/>
      <c r="HS106" s="20"/>
      <c r="HT106" s="20"/>
      <c r="HU106" s="20"/>
      <c r="HV106" s="20"/>
      <c r="HW106" s="20"/>
      <c r="HX106" s="20"/>
      <c r="HY106" s="20"/>
      <c r="HZ106" s="20"/>
      <c r="IA106" s="20"/>
      <c r="IB106" s="20"/>
      <c r="IC106" s="20"/>
      <c r="ID106" s="20"/>
      <c r="JI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109,$JT$2:$KS$2,0),MATCH($W$87,$AH$22:$AH$47,0)))*C109</f>
        <v>0</v>
      </c>
      <c r="JJ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109,$JT$2:$KS$2,0),MATCH($W$87,$AH$22:$AH$47,0)))*C109</f>
        <v>0</v>
      </c>
      <c r="JK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109,$JT$2:$KS$2,0),MATCH($W$87,$AH$22:$AH$47,0)))*C109</f>
        <v>0</v>
      </c>
      <c r="JL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109,$JT$2:$KS$2,0),MATCH($W$87,$AH$22:$AH$47,0)))*C109</f>
        <v>0</v>
      </c>
      <c r="JM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109,$JT$2:$KS$2,0),MATCH($W$87,$AH$22:$AH$47,0)))*C109</f>
        <v>0</v>
      </c>
      <c r="JN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109,$JT$2:$KS$2,0),MATCH($W$87,$AH$22:$AH$47,0)))*C109</f>
        <v>0</v>
      </c>
      <c r="JO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109,$JT$2:$KS$2,0),MATCH($W$87,$AH$22:$AH$47,0)))*C109</f>
        <v>0</v>
      </c>
      <c r="JP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109,$JT$2:$KS$2,0),MATCH($W$87,$AH$22:$AH$47,0)))*C109</f>
        <v>0</v>
      </c>
      <c r="JQ10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109,$JT$2:$KS$2,0),MATCH($W$87,$AH$22:$AH$47,0)))*C109</f>
        <v>0</v>
      </c>
      <c r="JS106" s="20" t="s">
        <v>714</v>
      </c>
      <c r="LW106" s="20" t="s">
        <v>478</v>
      </c>
      <c r="LX106" s="20"/>
      <c r="LY106" s="20"/>
      <c r="LZ106" s="20"/>
      <c r="MA106" s="20"/>
      <c r="MB106" s="20"/>
      <c r="MC106" s="20"/>
      <c r="MD106" s="20"/>
      <c r="ME106" s="20"/>
      <c r="MF106" s="20"/>
      <c r="MG106" s="20"/>
      <c r="MH106" s="20"/>
      <c r="MI106" s="20"/>
      <c r="MJ106" s="20"/>
      <c r="MK106" s="20"/>
      <c r="ML106" s="20"/>
      <c r="MM106" s="20"/>
      <c r="MN106" s="20"/>
      <c r="MO106" s="20"/>
      <c r="MP106" s="20"/>
      <c r="MQ106" s="20"/>
      <c r="MR106" s="20"/>
      <c r="MS106" s="20"/>
      <c r="MT106" s="20"/>
      <c r="MU106" s="20"/>
      <c r="MV106" s="20"/>
      <c r="MW106" s="20"/>
    </row>
    <row r="107" spans="1:361" x14ac:dyDescent="0.25">
      <c r="A107" s="8"/>
      <c r="B107" s="5" t="s">
        <v>116</v>
      </c>
      <c r="C107" s="8"/>
      <c r="D107" s="6" t="s">
        <v>129</v>
      </c>
      <c r="E107" s="8" t="s">
        <v>130</v>
      </c>
      <c r="F107" s="63" t="str">
        <f>IF(E111="40x35 stal","niekompatybilne z profilem stalowym","")</f>
        <v/>
      </c>
      <c r="G107" s="5"/>
      <c r="H107" s="5"/>
      <c r="I107" s="5"/>
      <c r="J107" s="5"/>
      <c r="K107" s="4"/>
      <c r="L107" s="6" t="str">
        <f>IF($E$111=$AK$22,"PAL40H40/2,4",IF($E$111=$AK$23,"-------",IF($E$111=$AK$24,"-------","-------")))</f>
        <v>PAL40H40/2,4</v>
      </c>
      <c r="M107" s="14">
        <f>INDEX(cennik!$C$2:$L$529,MATCH($L107,cennik!$B$2:$B$522,0),MATCH(M$27,cennik!$C$1:$L$1,0))</f>
        <v>894624</v>
      </c>
      <c r="N107" s="14" t="str">
        <f>INDEX(cennik!$C$2:$L$529,MATCH($L107,cennik!$B$2:$B$522,0),MATCH(N$27,cennik!$C$1:$L$1,0))</f>
        <v>szt.</v>
      </c>
      <c r="O107" s="14">
        <f>IF(L107="-------",0,SUM(JM100:JM115))</f>
        <v>0</v>
      </c>
      <c r="P107" s="22">
        <f>INDEX(cennik!$C$2:$L$529,MATCH($L107,cennik!$B$2:$B$522,0),MATCH(P$27,cennik!$C$1:$L$1,0))</f>
        <v>74.400000000000006</v>
      </c>
      <c r="Q107" s="22">
        <f t="shared" ref="Q107" si="99">O107*P107</f>
        <v>0</v>
      </c>
      <c r="R107" s="23">
        <f>$E$109</f>
        <v>0</v>
      </c>
      <c r="S107" s="22">
        <f>P107*((100-$E$109)/100)</f>
        <v>74.400000000000006</v>
      </c>
      <c r="T107" s="22">
        <f t="shared" ref="T107" si="100">O107*S107</f>
        <v>0</v>
      </c>
      <c r="U107" s="22">
        <f>INDEX(cennik!$C$2:$L$529,MATCH($L107,cennik!$B$2:$B$522,0),MATCH(U$27,cennik!$C$1:$L$1,0))*O107</f>
        <v>0</v>
      </c>
      <c r="V107" s="20"/>
      <c r="W107" s="20"/>
      <c r="X107" s="25">
        <f t="shared" si="98"/>
        <v>0</v>
      </c>
      <c r="Y107" s="26" t="s">
        <v>7</v>
      </c>
      <c r="Z107" s="20" t="s">
        <v>302</v>
      </c>
      <c r="AA107" s="20" t="s">
        <v>300</v>
      </c>
      <c r="AB107" s="20"/>
      <c r="AC107" s="20"/>
      <c r="AD107" s="20" t="s">
        <v>612</v>
      </c>
      <c r="AE107" s="20"/>
      <c r="AF107" s="20"/>
      <c r="AG107" s="20"/>
      <c r="AH107" s="20"/>
      <c r="AI107" s="20"/>
      <c r="AJ107" s="20"/>
      <c r="AK107" s="20"/>
      <c r="AL107" s="20"/>
      <c r="AM107" s="20"/>
      <c r="AN107" s="20"/>
      <c r="AO107" s="20"/>
      <c r="AP107" s="20"/>
      <c r="AQ107" s="20"/>
      <c r="AR107" s="20"/>
      <c r="AS107" s="20"/>
      <c r="AT107" s="20"/>
      <c r="AU107" s="20"/>
      <c r="AV107" s="20"/>
      <c r="AW107" s="20"/>
      <c r="AX107" s="20"/>
      <c r="AY107" s="20"/>
      <c r="AZ107" s="20"/>
      <c r="BA107" s="21" t="s">
        <v>712</v>
      </c>
      <c r="BB107" s="21">
        <v>0</v>
      </c>
      <c r="BC107" s="21">
        <v>0</v>
      </c>
      <c r="BD107" s="21">
        <v>0</v>
      </c>
      <c r="BE107" s="21">
        <v>2</v>
      </c>
      <c r="BF107" s="21">
        <v>2</v>
      </c>
      <c r="BG107" s="21">
        <v>2</v>
      </c>
      <c r="BH107" s="21">
        <v>4</v>
      </c>
      <c r="BI107" s="21">
        <v>4</v>
      </c>
      <c r="BJ107" s="21">
        <v>6</v>
      </c>
      <c r="BK107" s="21">
        <v>6</v>
      </c>
      <c r="BL107" s="21">
        <v>6</v>
      </c>
      <c r="BM107" s="21">
        <v>8</v>
      </c>
      <c r="BN107" s="21">
        <v>8</v>
      </c>
      <c r="BO107" s="21">
        <v>10</v>
      </c>
      <c r="BP107" s="21">
        <v>10</v>
      </c>
      <c r="BQ107" s="21">
        <v>10</v>
      </c>
      <c r="BR107" s="21">
        <v>12</v>
      </c>
      <c r="BS107" s="21">
        <v>12</v>
      </c>
      <c r="BT107" s="21">
        <v>12</v>
      </c>
      <c r="BU107" s="21">
        <v>14</v>
      </c>
      <c r="BV107" s="21">
        <v>14</v>
      </c>
      <c r="BW107" s="21">
        <v>16</v>
      </c>
      <c r="BX107" s="21">
        <v>16</v>
      </c>
      <c r="BY107" s="21">
        <v>16</v>
      </c>
      <c r="BZ107" s="21">
        <v>18</v>
      </c>
      <c r="CA107" s="21">
        <v>18</v>
      </c>
      <c r="DA107" s="54"/>
      <c r="DB107" s="54"/>
      <c r="DC107" s="54"/>
      <c r="DD107" s="26" t="s">
        <v>710</v>
      </c>
      <c r="DE107" s="20">
        <v>0</v>
      </c>
      <c r="DF107" s="20"/>
      <c r="DG107" s="20"/>
      <c r="DH107" s="20"/>
      <c r="DI107" s="20"/>
      <c r="DJ107" s="20"/>
      <c r="DK107" s="20"/>
      <c r="DL107" s="20"/>
      <c r="DM107" s="20"/>
      <c r="DN107" s="20"/>
      <c r="DO107" s="20"/>
      <c r="DP107" s="20"/>
      <c r="DQ107" s="20"/>
      <c r="DR107" s="20"/>
      <c r="DS107" s="20"/>
      <c r="DT107" s="20"/>
      <c r="DU107" s="20"/>
      <c r="DV107" s="20"/>
      <c r="DW107" s="20"/>
      <c r="DX107" s="20"/>
      <c r="DY107" s="20"/>
      <c r="DZ107" s="20"/>
      <c r="EA107" s="20"/>
      <c r="EB107" s="20"/>
      <c r="GC107" s="20"/>
      <c r="GD107" s="20"/>
      <c r="GE107" s="26" t="s">
        <v>712</v>
      </c>
      <c r="GF107" s="20">
        <v>0</v>
      </c>
      <c r="GG107" s="20">
        <v>0</v>
      </c>
      <c r="GH107" s="20">
        <v>2</v>
      </c>
      <c r="GI107" s="20">
        <v>2</v>
      </c>
      <c r="GJ107" s="20">
        <v>4</v>
      </c>
      <c r="GK107" s="20">
        <v>6</v>
      </c>
      <c r="GL107" s="20">
        <v>6</v>
      </c>
      <c r="GM107" s="20">
        <v>8</v>
      </c>
      <c r="GN107" s="20">
        <v>10</v>
      </c>
      <c r="GO107" s="20">
        <v>10</v>
      </c>
      <c r="GP107" s="20">
        <v>12</v>
      </c>
      <c r="GQ107" s="20">
        <v>14</v>
      </c>
      <c r="GR107" s="20">
        <v>14</v>
      </c>
      <c r="GS107" s="20">
        <v>16</v>
      </c>
      <c r="GT107" s="20">
        <v>18</v>
      </c>
      <c r="GU107" s="20">
        <v>18</v>
      </c>
      <c r="GV107" s="20">
        <v>20</v>
      </c>
      <c r="GW107" s="20">
        <v>22</v>
      </c>
      <c r="GX107" s="20">
        <v>22</v>
      </c>
      <c r="GY107" s="20">
        <v>24</v>
      </c>
      <c r="GZ107" s="20">
        <v>26</v>
      </c>
      <c r="HA107" s="20">
        <v>26</v>
      </c>
      <c r="HB107" s="20">
        <v>28</v>
      </c>
      <c r="HC107" s="20">
        <v>30</v>
      </c>
      <c r="HD107" s="20">
        <v>30</v>
      </c>
      <c r="HE107" s="20">
        <v>32</v>
      </c>
      <c r="HF107" s="20"/>
      <c r="HG107" s="20"/>
      <c r="HH107" s="20"/>
      <c r="HI107" s="20"/>
      <c r="HJ107" s="20"/>
      <c r="HK107" s="20"/>
      <c r="HL107" s="20"/>
      <c r="HM107" s="20"/>
      <c r="HN107" s="20"/>
      <c r="HO107" s="20"/>
      <c r="HP107" s="20"/>
      <c r="HQ107" s="20"/>
      <c r="HR107" s="20"/>
      <c r="HS107" s="20"/>
      <c r="HT107" s="20"/>
      <c r="HU107" s="20"/>
      <c r="HV107" s="20"/>
      <c r="HW107" s="20"/>
      <c r="HX107" s="20"/>
      <c r="HY107" s="20"/>
      <c r="HZ107" s="20"/>
      <c r="IA107" s="20"/>
      <c r="IB107" s="20"/>
      <c r="IC107" s="20"/>
      <c r="ID107" s="20"/>
      <c r="JI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110,$JT$2:$KS$2,0),MATCH($W$87,$AH$22:$AH$47,0)))*C110</f>
        <v>0</v>
      </c>
      <c r="JJ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110,$JT$2:$KS$2,0),MATCH($W$87,$AH$22:$AH$47,0)))*C110</f>
        <v>0</v>
      </c>
      <c r="JK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110,$JT$2:$KS$2,0),MATCH($W$87,$AH$22:$AH$47,0)))*C110</f>
        <v>0</v>
      </c>
      <c r="JL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110,$JT$2:$KS$2,0),MATCH($W$87,$AH$22:$AH$47,0)))*C110</f>
        <v>0</v>
      </c>
      <c r="JM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110,$JT$2:$KS$2,0),MATCH($W$87,$AH$22:$AH$47,0)))*C110</f>
        <v>0</v>
      </c>
      <c r="JN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110,$JT$2:$KS$2,0),MATCH($W$87,$AH$22:$AH$47,0)))*C110</f>
        <v>0</v>
      </c>
      <c r="JO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110,$JT$2:$KS$2,0),MATCH($W$87,$AH$22:$AH$47,0)))*C110</f>
        <v>0</v>
      </c>
      <c r="JP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110,$JT$2:$KS$2,0),MATCH($W$87,$AH$22:$AH$47,0)))*C110</f>
        <v>0</v>
      </c>
      <c r="JQ10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110,$JT$2:$KS$2,0),MATCH($W$87,$AH$22:$AH$47,0)))*C110</f>
        <v>0</v>
      </c>
      <c r="JT107" s="21">
        <v>0</v>
      </c>
      <c r="JU107" s="21">
        <v>1</v>
      </c>
      <c r="JV107" s="21">
        <v>2</v>
      </c>
      <c r="JW107" s="21">
        <v>3</v>
      </c>
      <c r="JX107" s="21">
        <v>4</v>
      </c>
      <c r="JY107" s="21">
        <v>5</v>
      </c>
      <c r="JZ107" s="21">
        <v>6</v>
      </c>
      <c r="KA107" s="21">
        <v>7</v>
      </c>
      <c r="KB107" s="21">
        <v>8</v>
      </c>
      <c r="KC107" s="21">
        <v>9</v>
      </c>
      <c r="KD107" s="21">
        <v>10</v>
      </c>
      <c r="KE107" s="21">
        <v>11</v>
      </c>
      <c r="KF107" s="21">
        <v>12</v>
      </c>
      <c r="KG107" s="21">
        <v>13</v>
      </c>
      <c r="KH107" s="21">
        <v>14</v>
      </c>
      <c r="KI107" s="21">
        <v>15</v>
      </c>
      <c r="KJ107" s="21">
        <v>16</v>
      </c>
      <c r="KK107" s="21">
        <v>17</v>
      </c>
      <c r="KL107" s="21">
        <v>18</v>
      </c>
      <c r="KM107" s="21">
        <v>19</v>
      </c>
      <c r="KN107" s="21">
        <v>20</v>
      </c>
      <c r="KO107" s="21">
        <v>21</v>
      </c>
      <c r="KP107" s="21">
        <v>22</v>
      </c>
      <c r="KQ107" s="21">
        <v>23</v>
      </c>
      <c r="KR107" s="21">
        <v>24</v>
      </c>
      <c r="KS107" s="21">
        <v>25</v>
      </c>
      <c r="LW107" s="20"/>
      <c r="LX107" s="20">
        <v>0</v>
      </c>
      <c r="LY107" s="20">
        <v>1</v>
      </c>
      <c r="LZ107" s="20">
        <v>2</v>
      </c>
      <c r="MA107" s="20">
        <v>3</v>
      </c>
      <c r="MB107" s="20">
        <v>4</v>
      </c>
      <c r="MC107" s="20">
        <v>5</v>
      </c>
      <c r="MD107" s="20">
        <v>6</v>
      </c>
      <c r="ME107" s="20">
        <v>7</v>
      </c>
      <c r="MF107" s="20">
        <v>8</v>
      </c>
      <c r="MG107" s="20">
        <v>9</v>
      </c>
      <c r="MH107" s="20">
        <v>10</v>
      </c>
      <c r="MI107" s="20">
        <v>11</v>
      </c>
      <c r="MJ107" s="20">
        <v>12</v>
      </c>
      <c r="MK107" s="20">
        <v>13</v>
      </c>
      <c r="ML107" s="20">
        <v>14</v>
      </c>
      <c r="MM107" s="20">
        <v>15</v>
      </c>
      <c r="MN107" s="20">
        <v>16</v>
      </c>
      <c r="MO107" s="20">
        <v>17</v>
      </c>
      <c r="MP107" s="20">
        <v>18</v>
      </c>
      <c r="MQ107" s="20">
        <v>19</v>
      </c>
      <c r="MR107" s="20">
        <v>20</v>
      </c>
      <c r="MS107" s="20">
        <v>21</v>
      </c>
      <c r="MT107" s="20">
        <v>22</v>
      </c>
      <c r="MU107" s="20">
        <v>23</v>
      </c>
      <c r="MV107" s="20">
        <v>24</v>
      </c>
      <c r="MW107" s="20">
        <v>25</v>
      </c>
    </row>
    <row r="108" spans="1:361" x14ac:dyDescent="0.25">
      <c r="A108" s="8"/>
      <c r="B108" s="5" t="s">
        <v>116</v>
      </c>
      <c r="C108" s="8"/>
      <c r="D108" s="6" t="s">
        <v>124</v>
      </c>
      <c r="E108" s="8" t="s">
        <v>144</v>
      </c>
      <c r="F108" s="5"/>
      <c r="G108" s="5"/>
      <c r="H108" s="5"/>
      <c r="I108" s="5"/>
      <c r="J108" s="5"/>
      <c r="K108" s="4"/>
      <c r="L108" s="6" t="str">
        <f>IF($E$111=$AK$22,"PAL40H40/3,15",IF($E$111=$AK$23,"PAL30H32/3,15","-------"))</f>
        <v>PAL40H40/3,15</v>
      </c>
      <c r="M108" s="14">
        <f>INDEX(cennik!$C$2:$L$529,MATCH($L108,cennik!$B$2:$B$522,0),MATCH(M$27,cennik!$C$1:$L$1,0))</f>
        <v>894631</v>
      </c>
      <c r="N108" s="14" t="str">
        <f>INDEX(cennik!$C$2:$L$529,MATCH($L108,cennik!$B$2:$B$522,0),MATCH(N$27,cennik!$C$1:$L$1,0))</f>
        <v>szt.</v>
      </c>
      <c r="O108" s="14">
        <f>IF(L108="-------",0,SUM(JN100:JN115))</f>
        <v>0</v>
      </c>
      <c r="P108" s="22">
        <f>INDEX(cennik!$C$2:$L$529,MATCH($L108,cennik!$B$2:$B$522,0),MATCH(P$27,cennik!$C$1:$L$1,0))</f>
        <v>97.65</v>
      </c>
      <c r="Q108" s="22">
        <f t="shared" si="97"/>
        <v>0</v>
      </c>
      <c r="R108" s="23">
        <f t="shared" ref="R108:R125" si="101">$E$109</f>
        <v>0</v>
      </c>
      <c r="S108" s="22">
        <f t="shared" ref="S108:S125" si="102">P108*((100-$E$109)/100)</f>
        <v>97.65</v>
      </c>
      <c r="T108" s="22">
        <f t="shared" si="96"/>
        <v>0</v>
      </c>
      <c r="U108" s="22">
        <f>INDEX(cennik!$C$2:$L$529,MATCH($L108,cennik!$B$2:$B$522,0),MATCH(U$27,cennik!$C$1:$L$1,0))*O108</f>
        <v>0</v>
      </c>
      <c r="V108" s="20"/>
      <c r="W108" s="20"/>
      <c r="X108" s="25">
        <f t="shared" si="98"/>
        <v>0</v>
      </c>
      <c r="Y108" s="26" t="s">
        <v>91</v>
      </c>
      <c r="Z108" s="20" t="s">
        <v>301</v>
      </c>
      <c r="AA108" s="20" t="s">
        <v>299</v>
      </c>
      <c r="AB108" s="20"/>
      <c r="AC108" s="20"/>
      <c r="AD108" s="20" t="s">
        <v>860</v>
      </c>
      <c r="AE108" s="20"/>
      <c r="AF108" s="20"/>
      <c r="AG108" s="20"/>
      <c r="AH108" s="20"/>
      <c r="AI108" s="20"/>
      <c r="AJ108" s="20"/>
      <c r="AK108" s="20"/>
      <c r="AL108" s="20"/>
      <c r="AM108" s="20"/>
      <c r="AN108" s="20"/>
      <c r="AO108" s="20"/>
      <c r="AP108" s="20"/>
      <c r="AQ108" s="20"/>
      <c r="AR108" s="20"/>
      <c r="AS108" s="20"/>
      <c r="AT108" s="20"/>
      <c r="AU108" s="20"/>
      <c r="AV108" s="20"/>
      <c r="AW108" s="20"/>
      <c r="AX108" s="20"/>
      <c r="AY108" s="20"/>
      <c r="AZ108" s="20"/>
      <c r="DA108" s="54"/>
      <c r="DB108" s="54"/>
      <c r="DC108" s="54"/>
      <c r="DD108" s="26" t="s">
        <v>711</v>
      </c>
      <c r="DE108" s="20">
        <v>0</v>
      </c>
      <c r="DF108" s="20"/>
      <c r="DG108" s="20"/>
      <c r="DH108" s="20"/>
      <c r="DI108" s="20"/>
      <c r="DJ108" s="20"/>
      <c r="DK108" s="20"/>
      <c r="DL108" s="20"/>
      <c r="DM108" s="20"/>
      <c r="DN108" s="20"/>
      <c r="DO108" s="20"/>
      <c r="DP108" s="20"/>
      <c r="DQ108" s="20"/>
      <c r="DR108" s="20"/>
      <c r="DS108" s="20"/>
      <c r="DT108" s="20"/>
      <c r="DU108" s="20"/>
      <c r="DV108" s="20"/>
      <c r="DW108" s="20"/>
      <c r="DX108" s="20"/>
      <c r="DY108" s="20"/>
      <c r="DZ108" s="20"/>
      <c r="EA108" s="20"/>
      <c r="EB108" s="20"/>
      <c r="GC108" s="20"/>
      <c r="GD108" s="20"/>
      <c r="GE108" s="20"/>
      <c r="GF108" s="20"/>
      <c r="GG108" s="20"/>
      <c r="GH108" s="20"/>
      <c r="GI108" s="20"/>
      <c r="GJ108" s="20"/>
      <c r="GK108" s="20"/>
      <c r="GL108" s="20"/>
      <c r="GM108" s="20"/>
      <c r="GN108" s="20"/>
      <c r="GO108" s="20"/>
      <c r="GP108" s="20"/>
      <c r="GQ108" s="20"/>
      <c r="GR108" s="20"/>
      <c r="GS108" s="20"/>
      <c r="GT108" s="20"/>
      <c r="GU108" s="20"/>
      <c r="GV108" s="20"/>
      <c r="GW108" s="20"/>
      <c r="GX108" s="20"/>
      <c r="GY108" s="20"/>
      <c r="GZ108" s="20"/>
      <c r="HA108" s="20"/>
      <c r="HB108" s="20"/>
      <c r="HC108" s="20"/>
      <c r="HD108" s="20"/>
      <c r="HE108" s="20"/>
      <c r="HF108" s="20"/>
      <c r="HG108" s="20"/>
      <c r="HH108" s="20"/>
      <c r="HI108" s="20"/>
      <c r="HJ108" s="20"/>
      <c r="HK108" s="20"/>
      <c r="HL108" s="20"/>
      <c r="HM108" s="20"/>
      <c r="HN108" s="20"/>
      <c r="HO108" s="20"/>
      <c r="HP108" s="20"/>
      <c r="HQ108" s="20"/>
      <c r="HR108" s="20"/>
      <c r="HS108" s="20"/>
      <c r="HT108" s="20"/>
      <c r="HU108" s="20"/>
      <c r="HV108" s="20"/>
      <c r="HW108" s="20"/>
      <c r="HX108" s="20"/>
      <c r="HY108" s="20"/>
      <c r="HZ108" s="20"/>
      <c r="IA108" s="20"/>
      <c r="IB108" s="20"/>
      <c r="IC108" s="20"/>
      <c r="ID108" s="20"/>
      <c r="JI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111,$JT$2:$KS$2,0),MATCH($W$87,$AH$22:$AH$47,0)))*C111</f>
        <v>0</v>
      </c>
      <c r="JJ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111,$JT$2:$KS$2,0),MATCH($W$87,$AH$22:$AH$47,0)))*C111</f>
        <v>0</v>
      </c>
      <c r="JK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111,$JT$2:$KS$2,0),MATCH($W$87,$AH$22:$AH$47,0)))*C111</f>
        <v>0</v>
      </c>
      <c r="JL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111,$JT$2:$KS$2,0),MATCH($W$87,$AH$22:$AH$47,0)))*C111</f>
        <v>0</v>
      </c>
      <c r="JM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111,$JT$2:$KS$2,0),MATCH($W$87,$AH$22:$AH$47,0)))*C111</f>
        <v>0</v>
      </c>
      <c r="JN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111,$JT$2:$KS$2,0),MATCH($W$87,$AH$22:$AH$47,0)))*C111</f>
        <v>0</v>
      </c>
      <c r="JO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111,$JT$2:$KS$2,0),MATCH($W$87,$AH$22:$AH$47,0)))*C111</f>
        <v>0</v>
      </c>
      <c r="JP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111,$JT$2:$KS$2,0),MATCH($W$87,$AH$22:$AH$47,0)))*C111</f>
        <v>0</v>
      </c>
      <c r="JQ10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111,$JT$2:$KS$2,0),MATCH($W$87,$AH$22:$AH$47,0)))*C111</f>
        <v>0</v>
      </c>
      <c r="JS108" s="21" t="s">
        <v>126</v>
      </c>
      <c r="JT108" s="21">
        <v>0</v>
      </c>
      <c r="JU108" s="21">
        <v>0</v>
      </c>
      <c r="JV108" s="21">
        <v>0</v>
      </c>
      <c r="JW108" s="21">
        <v>0</v>
      </c>
      <c r="JX108" s="21">
        <v>0</v>
      </c>
      <c r="JY108" s="21">
        <v>0</v>
      </c>
      <c r="JZ108" s="21">
        <v>0</v>
      </c>
      <c r="KA108" s="21">
        <v>0</v>
      </c>
      <c r="KB108" s="21">
        <v>0</v>
      </c>
      <c r="KC108" s="21">
        <v>0</v>
      </c>
      <c r="KD108" s="21">
        <v>0</v>
      </c>
      <c r="KE108" s="21">
        <v>0</v>
      </c>
      <c r="KF108" s="21">
        <v>0</v>
      </c>
      <c r="KG108" s="21">
        <v>0</v>
      </c>
      <c r="KH108" s="21">
        <v>0</v>
      </c>
      <c r="KI108" s="21">
        <v>0</v>
      </c>
      <c r="KJ108" s="21">
        <v>0</v>
      </c>
      <c r="KK108" s="21">
        <v>0</v>
      </c>
      <c r="KL108" s="21">
        <v>0</v>
      </c>
      <c r="KM108" s="21">
        <v>0</v>
      </c>
      <c r="KN108" s="21">
        <v>0</v>
      </c>
      <c r="KO108" s="21">
        <v>0</v>
      </c>
      <c r="KP108" s="21">
        <v>0</v>
      </c>
      <c r="KQ108" s="21">
        <v>0</v>
      </c>
      <c r="KR108" s="21">
        <v>0</v>
      </c>
      <c r="KS108" s="21">
        <v>0</v>
      </c>
      <c r="LW108" s="20" t="s">
        <v>126</v>
      </c>
      <c r="LX108" s="20">
        <v>0</v>
      </c>
      <c r="LY108" s="20">
        <v>0</v>
      </c>
      <c r="LZ108" s="20">
        <v>0</v>
      </c>
      <c r="MA108" s="20">
        <v>0</v>
      </c>
      <c r="MB108" s="20">
        <v>0</v>
      </c>
      <c r="MC108" s="20">
        <v>0</v>
      </c>
      <c r="MD108" s="20">
        <v>0</v>
      </c>
      <c r="ME108" s="20">
        <v>2</v>
      </c>
      <c r="MF108" s="20">
        <v>0</v>
      </c>
      <c r="MG108" s="20">
        <v>0</v>
      </c>
      <c r="MH108" s="20">
        <v>0</v>
      </c>
      <c r="MI108" s="20">
        <v>0</v>
      </c>
      <c r="MJ108" s="20">
        <v>0</v>
      </c>
      <c r="MK108" s="20">
        <v>0</v>
      </c>
      <c r="ML108" s="20">
        <v>0</v>
      </c>
      <c r="MM108" s="20">
        <v>0</v>
      </c>
      <c r="MN108" s="20">
        <v>0</v>
      </c>
      <c r="MO108" s="20">
        <v>0</v>
      </c>
      <c r="MP108" s="20">
        <v>0</v>
      </c>
      <c r="MQ108" s="20">
        <v>0</v>
      </c>
      <c r="MR108" s="20">
        <v>0</v>
      </c>
      <c r="MS108" s="20">
        <v>0</v>
      </c>
      <c r="MT108" s="20">
        <v>0</v>
      </c>
      <c r="MU108" s="20">
        <v>0</v>
      </c>
      <c r="MV108" s="20">
        <v>0</v>
      </c>
      <c r="MW108" s="20">
        <v>0</v>
      </c>
    </row>
    <row r="109" spans="1:361" x14ac:dyDescent="0.25">
      <c r="A109" s="8"/>
      <c r="B109" s="5" t="s">
        <v>116</v>
      </c>
      <c r="C109" s="8"/>
      <c r="D109" s="6" t="s">
        <v>162</v>
      </c>
      <c r="E109" s="8">
        <v>0</v>
      </c>
      <c r="F109" s="5"/>
      <c r="G109" s="5"/>
      <c r="H109" s="5"/>
      <c r="I109" s="5"/>
      <c r="J109" s="5" t="s">
        <v>163</v>
      </c>
      <c r="K109" s="4"/>
      <c r="L109" s="6" t="str">
        <f>IF($E$111=$AK$22,"PAL40H40/3,3",IF($E$111=$AK$23,"PAL30H32/3,3",IF($E$111=$AK$24,"CWP40H35/3,3MC","-------")))</f>
        <v>PAL40H40/3,3</v>
      </c>
      <c r="M109" s="14">
        <f>INDEX(cennik!$C$2:$L$529,MATCH($L109,cennik!$B$2:$B$522,0),MATCH(M$27,cennik!$C$1:$L$1,0))</f>
        <v>894633</v>
      </c>
      <c r="N109" s="14" t="str">
        <f>INDEX(cennik!$C$2:$L$529,MATCH($L109,cennik!$B$2:$B$522,0),MATCH(N$27,cennik!$C$1:$L$1,0))</f>
        <v>szt.</v>
      </c>
      <c r="O109" s="14">
        <f>IF(L109="-------",0,SUM(JO100:JO115))</f>
        <v>0</v>
      </c>
      <c r="P109" s="22">
        <f>INDEX(cennik!$C$2:$L$529,MATCH($L109,cennik!$B$2:$B$522,0),MATCH(P$27,cennik!$C$1:$L$1,0))</f>
        <v>102.3</v>
      </c>
      <c r="Q109" s="22">
        <f t="shared" si="97"/>
        <v>0</v>
      </c>
      <c r="R109" s="23">
        <f t="shared" si="101"/>
        <v>0</v>
      </c>
      <c r="S109" s="22">
        <f t="shared" si="102"/>
        <v>102.3</v>
      </c>
      <c r="T109" s="22">
        <f t="shared" si="96"/>
        <v>0</v>
      </c>
      <c r="U109" s="22">
        <f>INDEX(cennik!$C$2:$L$529,MATCH($L109,cennik!$B$2:$B$522,0),MATCH(U$27,cennik!$C$1:$L$1,0))*O109</f>
        <v>0</v>
      </c>
      <c r="V109" s="20"/>
      <c r="W109" s="20"/>
      <c r="X109" s="25">
        <f t="shared" si="98"/>
        <v>0</v>
      </c>
      <c r="Y109" s="26" t="s">
        <v>5</v>
      </c>
      <c r="Z109" s="20" t="s">
        <v>301</v>
      </c>
      <c r="AA109" s="20" t="s">
        <v>299</v>
      </c>
      <c r="AB109" s="20"/>
      <c r="AC109" s="20"/>
      <c r="AD109" s="20" t="s">
        <v>613</v>
      </c>
      <c r="AE109" s="20"/>
      <c r="AF109" s="20"/>
      <c r="AG109" s="20"/>
      <c r="AH109" s="20"/>
      <c r="AI109" s="20"/>
      <c r="AJ109" s="20"/>
      <c r="AK109" s="20"/>
      <c r="AL109" s="20"/>
      <c r="AM109" s="20"/>
      <c r="AN109" s="20"/>
      <c r="AO109" s="20"/>
      <c r="AP109" s="20"/>
      <c r="AQ109" s="20"/>
      <c r="AR109" s="20"/>
      <c r="AS109" s="20"/>
      <c r="AT109" s="20"/>
      <c r="AU109" s="20"/>
      <c r="AV109" s="20"/>
      <c r="AW109" s="20"/>
      <c r="AX109" s="20"/>
      <c r="AY109" s="20"/>
      <c r="AZ109" s="20"/>
      <c r="BA109" s="20" t="s">
        <v>715</v>
      </c>
      <c r="DA109" s="54"/>
      <c r="DB109" s="54"/>
      <c r="DC109" s="54"/>
      <c r="DD109" s="26" t="s">
        <v>712</v>
      </c>
      <c r="DE109" s="20">
        <v>0</v>
      </c>
      <c r="DF109" s="20"/>
      <c r="DG109" s="20"/>
      <c r="DH109" s="20"/>
      <c r="DI109" s="20"/>
      <c r="DJ109" s="20"/>
      <c r="DK109" s="20"/>
      <c r="DL109" s="20"/>
      <c r="DM109" s="20"/>
      <c r="DN109" s="20"/>
      <c r="DO109" s="20"/>
      <c r="DP109" s="20"/>
      <c r="DQ109" s="20"/>
      <c r="DR109" s="20"/>
      <c r="DS109" s="20"/>
      <c r="DT109" s="20"/>
      <c r="DU109" s="20"/>
      <c r="DV109" s="20"/>
      <c r="DW109" s="20"/>
      <c r="DX109" s="20"/>
      <c r="DY109" s="20"/>
      <c r="DZ109" s="20"/>
      <c r="EA109" s="20"/>
      <c r="EB109" s="20"/>
      <c r="GC109" s="20"/>
      <c r="GD109" s="20"/>
      <c r="GE109" s="20" t="s">
        <v>479</v>
      </c>
      <c r="GF109" s="20"/>
      <c r="GG109" s="20"/>
      <c r="GH109" s="20"/>
      <c r="GI109" s="20"/>
      <c r="GJ109" s="20"/>
      <c r="GK109" s="20"/>
      <c r="GL109" s="20"/>
      <c r="GM109" s="20"/>
      <c r="GN109" s="20"/>
      <c r="GO109" s="20"/>
      <c r="GP109" s="20"/>
      <c r="GQ109" s="20"/>
      <c r="GR109" s="20"/>
      <c r="GS109" s="20"/>
      <c r="GT109" s="20"/>
      <c r="GU109" s="20"/>
      <c r="GV109" s="20"/>
      <c r="GW109" s="20"/>
      <c r="GX109" s="20"/>
      <c r="GY109" s="20"/>
      <c r="GZ109" s="20"/>
      <c r="HA109" s="20"/>
      <c r="HB109" s="20"/>
      <c r="HC109" s="20"/>
      <c r="HD109" s="20"/>
      <c r="HE109" s="20"/>
      <c r="HF109" s="20"/>
      <c r="HG109" s="20"/>
      <c r="HH109" s="20"/>
      <c r="HI109" s="20"/>
      <c r="HJ109" s="20"/>
      <c r="HK109" s="20"/>
      <c r="HL109" s="20"/>
      <c r="HM109" s="20"/>
      <c r="HN109" s="20"/>
      <c r="HO109" s="20"/>
      <c r="HP109" s="20"/>
      <c r="HQ109" s="20"/>
      <c r="HR109" s="20"/>
      <c r="HS109" s="20"/>
      <c r="HT109" s="20"/>
      <c r="HU109" s="20"/>
      <c r="HV109" s="20"/>
      <c r="HW109" s="20"/>
      <c r="HX109" s="20"/>
      <c r="HY109" s="20"/>
      <c r="HZ109" s="20"/>
      <c r="IA109" s="20"/>
      <c r="IB109" s="20"/>
      <c r="IC109" s="20"/>
      <c r="ID109" s="20"/>
      <c r="JI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112,$JT$2:$KS$2,0),MATCH($W$87,$AH$22:$AH$47,0)))*C112</f>
        <v>0</v>
      </c>
      <c r="JJ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112,$JT$2:$KS$2,0),MATCH($W$87,$AH$22:$AH$47,0)))*C112</f>
        <v>0</v>
      </c>
      <c r="JK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112,$JT$2:$KS$2,0),MATCH($W$87,$AH$22:$AH$47,0)))*C112</f>
        <v>0</v>
      </c>
      <c r="JL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112,$JT$2:$KS$2,0),MATCH($W$87,$AH$22:$AH$47,0)))*C112</f>
        <v>0</v>
      </c>
      <c r="JM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112,$JT$2:$KS$2,0),MATCH($W$87,$AH$22:$AH$47,0)))*C112</f>
        <v>0</v>
      </c>
      <c r="JN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112,$JT$2:$KS$2,0),MATCH($W$87,$AH$22:$AH$47,0)))*C112</f>
        <v>0</v>
      </c>
      <c r="JO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112,$JT$2:$KS$2,0),MATCH($W$87,$AH$22:$AH$47,0)))*C112</f>
        <v>0</v>
      </c>
      <c r="JP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112,$JT$2:$KS$2,0),MATCH($W$87,$AH$22:$AH$47,0)))*C112</f>
        <v>0</v>
      </c>
      <c r="JQ10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112,$JT$2:$KS$2,0),MATCH($W$87,$AH$22:$AH$47,0)))*C112</f>
        <v>0</v>
      </c>
      <c r="JS109" s="21" t="s">
        <v>12</v>
      </c>
      <c r="JT109" s="21">
        <v>0</v>
      </c>
      <c r="JU109" s="21">
        <v>2</v>
      </c>
      <c r="JV109" s="21">
        <v>0</v>
      </c>
      <c r="JW109" s="21">
        <v>4</v>
      </c>
      <c r="JX109" s="21">
        <v>2</v>
      </c>
      <c r="JY109" s="21">
        <v>0</v>
      </c>
      <c r="JZ109" s="21">
        <v>0</v>
      </c>
      <c r="KA109" s="21">
        <v>2</v>
      </c>
      <c r="KB109" s="21">
        <v>0</v>
      </c>
      <c r="KC109" s="21">
        <v>0</v>
      </c>
      <c r="KD109" s="21">
        <v>2</v>
      </c>
      <c r="KE109" s="21">
        <v>0</v>
      </c>
      <c r="KF109" s="21">
        <v>0</v>
      </c>
      <c r="KG109" s="21">
        <v>0</v>
      </c>
      <c r="KH109" s="21">
        <v>0</v>
      </c>
      <c r="KI109" s="21">
        <v>0</v>
      </c>
      <c r="KJ109" s="21">
        <v>0</v>
      </c>
      <c r="KK109" s="21">
        <v>0</v>
      </c>
      <c r="KL109" s="21">
        <v>2</v>
      </c>
      <c r="KM109" s="21">
        <v>0</v>
      </c>
      <c r="KN109" s="21">
        <v>0</v>
      </c>
      <c r="KO109" s="21">
        <v>2</v>
      </c>
      <c r="KP109" s="21">
        <v>0</v>
      </c>
      <c r="KQ109" s="21">
        <v>2</v>
      </c>
      <c r="KR109" s="21">
        <v>0</v>
      </c>
      <c r="KS109" s="21">
        <v>0</v>
      </c>
      <c r="LW109" s="20" t="s">
        <v>12</v>
      </c>
      <c r="LX109" s="20">
        <v>0</v>
      </c>
      <c r="LY109" s="20">
        <v>0</v>
      </c>
      <c r="LZ109" s="20">
        <v>0</v>
      </c>
      <c r="MA109" s="20">
        <v>0</v>
      </c>
      <c r="MB109" s="20">
        <v>0</v>
      </c>
      <c r="MC109" s="20">
        <v>0</v>
      </c>
      <c r="MD109" s="20">
        <v>0</v>
      </c>
      <c r="ME109" s="20">
        <v>0</v>
      </c>
      <c r="MF109" s="20">
        <v>0</v>
      </c>
      <c r="MG109" s="20">
        <v>0</v>
      </c>
      <c r="MH109" s="20">
        <v>2</v>
      </c>
      <c r="MI109" s="20">
        <v>0</v>
      </c>
      <c r="MJ109" s="20">
        <v>0</v>
      </c>
      <c r="MK109" s="20">
        <v>0</v>
      </c>
      <c r="ML109" s="20">
        <v>0</v>
      </c>
      <c r="MM109" s="20">
        <v>0</v>
      </c>
      <c r="MN109" s="20">
        <v>0</v>
      </c>
      <c r="MO109" s="20">
        <v>0</v>
      </c>
      <c r="MP109" s="20">
        <v>0</v>
      </c>
      <c r="MQ109" s="20">
        <v>2</v>
      </c>
      <c r="MR109" s="20">
        <v>4</v>
      </c>
      <c r="MS109" s="20">
        <v>0</v>
      </c>
      <c r="MT109" s="20">
        <v>0</v>
      </c>
      <c r="MU109" s="20">
        <v>0</v>
      </c>
      <c r="MV109" s="20">
        <v>0</v>
      </c>
      <c r="MW109" s="20">
        <v>0</v>
      </c>
    </row>
    <row r="110" spans="1:361" x14ac:dyDescent="0.25">
      <c r="A110" s="8"/>
      <c r="B110" s="5" t="s">
        <v>116</v>
      </c>
      <c r="C110" s="8"/>
      <c r="D110" s="6" t="s">
        <v>291</v>
      </c>
      <c r="E110" s="8" t="s">
        <v>4</v>
      </c>
      <c r="F110" s="4"/>
      <c r="G110" s="4"/>
      <c r="H110" s="4"/>
      <c r="I110" s="4"/>
      <c r="J110" s="4"/>
      <c r="K110" s="4"/>
      <c r="L110" s="6" t="str">
        <f>IF($E$111=$AK$22,"PAL40H40/3,6",IF($E$111=$AK$23,"-------",IF($E$111=$AK$24,"-------","-------")))</f>
        <v>PAL40H40/3,6</v>
      </c>
      <c r="M110" s="14">
        <f>INDEX(cennik!$C$2:$L$529,MATCH($L110,cennik!$B$2:$B$522,0),MATCH(M$27,cennik!$C$1:$L$1,0))</f>
        <v>894636</v>
      </c>
      <c r="N110" s="14" t="str">
        <f>INDEX(cennik!$C$2:$L$529,MATCH($L110,cennik!$B$2:$B$522,0),MATCH(N$27,cennik!$C$1:$L$1,0))</f>
        <v>szt.</v>
      </c>
      <c r="O110" s="14">
        <f>IF(L110="-------",0,SUM(JP100:JP115))</f>
        <v>0</v>
      </c>
      <c r="P110" s="22">
        <f>INDEX(cennik!$C$2:$L$529,MATCH($L110,cennik!$B$2:$B$522,0),MATCH(P$27,cennik!$C$1:$L$1,0))</f>
        <v>111.6</v>
      </c>
      <c r="Q110" s="22">
        <f t="shared" ref="Q110:Q111" si="103">O110*P110</f>
        <v>0</v>
      </c>
      <c r="R110" s="23">
        <f t="shared" si="101"/>
        <v>0</v>
      </c>
      <c r="S110" s="22">
        <f t="shared" si="102"/>
        <v>111.6</v>
      </c>
      <c r="T110" s="22">
        <f t="shared" ref="T110:T111" si="104">O110*S110</f>
        <v>0</v>
      </c>
      <c r="U110" s="22">
        <f>INDEX(cennik!$C$2:$L$529,MATCH($L110,cennik!$B$2:$B$522,0),MATCH(U$27,cennik!$C$1:$L$1,0))*O110</f>
        <v>0</v>
      </c>
      <c r="V110" s="20"/>
      <c r="W110" s="20"/>
      <c r="X110" s="25">
        <f t="shared" si="98"/>
        <v>0</v>
      </c>
      <c r="Y110" s="26" t="s">
        <v>1036</v>
      </c>
      <c r="Z110" s="20" t="s">
        <v>301</v>
      </c>
      <c r="AA110" s="20" t="s">
        <v>299</v>
      </c>
      <c r="AB110" s="20"/>
      <c r="AC110" s="20"/>
      <c r="AD110" s="20"/>
      <c r="AE110" s="20"/>
      <c r="AF110" s="20"/>
      <c r="AG110" s="20"/>
      <c r="AH110" s="20"/>
      <c r="AI110" s="20"/>
      <c r="AJ110" s="20"/>
      <c r="AK110" s="20"/>
      <c r="AL110" s="20"/>
      <c r="AM110" s="20"/>
      <c r="AN110" s="20"/>
      <c r="AO110" s="20"/>
      <c r="AP110" s="20"/>
      <c r="AQ110" s="20"/>
      <c r="AR110" s="20"/>
      <c r="AS110" s="20"/>
      <c r="AT110" s="20"/>
      <c r="AU110" s="20"/>
      <c r="AV110" s="20"/>
      <c r="AW110" s="20"/>
      <c r="AX110" s="20"/>
      <c r="AY110" s="20"/>
      <c r="AZ110" s="20"/>
      <c r="BB110" s="21">
        <v>0</v>
      </c>
      <c r="BC110" s="21">
        <v>1</v>
      </c>
      <c r="BD110" s="21">
        <v>2</v>
      </c>
      <c r="BE110" s="21">
        <v>3</v>
      </c>
      <c r="BF110" s="21">
        <v>4</v>
      </c>
      <c r="BG110" s="21">
        <v>5</v>
      </c>
      <c r="BH110" s="21">
        <v>6</v>
      </c>
      <c r="BI110" s="21">
        <v>7</v>
      </c>
      <c r="BJ110" s="21">
        <v>8</v>
      </c>
      <c r="BK110" s="21">
        <v>9</v>
      </c>
      <c r="BL110" s="21">
        <v>10</v>
      </c>
      <c r="BM110" s="21">
        <v>11</v>
      </c>
      <c r="BN110" s="21">
        <v>12</v>
      </c>
      <c r="BO110" s="21">
        <v>13</v>
      </c>
      <c r="BP110" s="21">
        <v>14</v>
      </c>
      <c r="BQ110" s="21">
        <v>15</v>
      </c>
      <c r="BR110" s="21">
        <v>16</v>
      </c>
      <c r="BS110" s="21">
        <v>17</v>
      </c>
      <c r="BT110" s="21">
        <v>18</v>
      </c>
      <c r="BU110" s="21">
        <v>19</v>
      </c>
      <c r="BV110" s="21">
        <v>20</v>
      </c>
      <c r="BW110" s="21">
        <v>21</v>
      </c>
      <c r="BX110" s="21">
        <v>22</v>
      </c>
      <c r="BY110" s="21">
        <v>23</v>
      </c>
      <c r="BZ110" s="21">
        <v>24</v>
      </c>
      <c r="CA110" s="21">
        <v>25</v>
      </c>
      <c r="DA110" s="54"/>
      <c r="DB110" s="54"/>
      <c r="DC110" s="54"/>
      <c r="DD110" s="20"/>
      <c r="DE110" s="20"/>
      <c r="DF110" s="20"/>
      <c r="DG110" s="20"/>
      <c r="DH110" s="20"/>
      <c r="DI110" s="20"/>
      <c r="DJ110" s="20"/>
      <c r="DK110" s="20"/>
      <c r="DL110" s="20"/>
      <c r="DM110" s="20"/>
      <c r="DN110" s="20"/>
      <c r="DO110" s="20"/>
      <c r="DP110" s="20"/>
      <c r="DQ110" s="20"/>
      <c r="DR110" s="20"/>
      <c r="DS110" s="20"/>
      <c r="DT110" s="20"/>
      <c r="DU110" s="20"/>
      <c r="DV110" s="20"/>
      <c r="DW110" s="20"/>
      <c r="DX110" s="20"/>
      <c r="DY110" s="20"/>
      <c r="DZ110" s="20"/>
      <c r="EA110" s="20"/>
      <c r="EB110" s="20"/>
      <c r="GC110" s="20"/>
      <c r="GD110" s="20"/>
      <c r="GE110" s="20"/>
      <c r="GF110" s="20">
        <v>0</v>
      </c>
      <c r="GG110" s="20">
        <v>1</v>
      </c>
      <c r="GH110" s="20">
        <v>2</v>
      </c>
      <c r="GI110" s="20">
        <v>3</v>
      </c>
      <c r="GJ110" s="20">
        <v>4</v>
      </c>
      <c r="GK110" s="20">
        <v>5</v>
      </c>
      <c r="GL110" s="20">
        <v>6</v>
      </c>
      <c r="GM110" s="20">
        <v>7</v>
      </c>
      <c r="GN110" s="20">
        <v>8</v>
      </c>
      <c r="GO110" s="20">
        <v>9</v>
      </c>
      <c r="GP110" s="20">
        <v>10</v>
      </c>
      <c r="GQ110" s="20">
        <v>11</v>
      </c>
      <c r="GR110" s="20">
        <v>12</v>
      </c>
      <c r="GS110" s="20">
        <v>13</v>
      </c>
      <c r="GT110" s="20">
        <v>14</v>
      </c>
      <c r="GU110" s="20">
        <v>15</v>
      </c>
      <c r="GV110" s="20">
        <v>16</v>
      </c>
      <c r="GW110" s="20">
        <v>17</v>
      </c>
      <c r="GX110" s="20">
        <v>18</v>
      </c>
      <c r="GY110" s="20">
        <v>19</v>
      </c>
      <c r="GZ110" s="20">
        <v>20</v>
      </c>
      <c r="HA110" s="20">
        <v>21</v>
      </c>
      <c r="HB110" s="20">
        <v>22</v>
      </c>
      <c r="HC110" s="20">
        <v>23</v>
      </c>
      <c r="HD110" s="20">
        <v>24</v>
      </c>
      <c r="HE110" s="20">
        <v>25</v>
      </c>
      <c r="HF110" s="20">
        <v>26</v>
      </c>
      <c r="HG110" s="20">
        <v>27</v>
      </c>
      <c r="HH110" s="20">
        <v>28</v>
      </c>
      <c r="HI110" s="20">
        <v>29</v>
      </c>
      <c r="HJ110" s="20">
        <v>30</v>
      </c>
      <c r="HK110" s="20">
        <v>31</v>
      </c>
      <c r="HL110" s="20">
        <v>32</v>
      </c>
      <c r="HM110" s="20">
        <v>33</v>
      </c>
      <c r="HN110" s="20">
        <v>34</v>
      </c>
      <c r="HO110" s="20">
        <v>35</v>
      </c>
      <c r="HP110" s="20">
        <v>36</v>
      </c>
      <c r="HQ110" s="20">
        <v>37</v>
      </c>
      <c r="HR110" s="20">
        <v>38</v>
      </c>
      <c r="HS110" s="20">
        <v>39</v>
      </c>
      <c r="HT110" s="20">
        <v>40</v>
      </c>
      <c r="HU110" s="20">
        <v>41</v>
      </c>
      <c r="HV110" s="20">
        <v>42</v>
      </c>
      <c r="HW110" s="20">
        <v>43</v>
      </c>
      <c r="HX110" s="20">
        <v>44</v>
      </c>
      <c r="HY110" s="20">
        <v>45</v>
      </c>
      <c r="HZ110" s="20">
        <v>46</v>
      </c>
      <c r="IA110" s="20">
        <v>47</v>
      </c>
      <c r="IB110" s="20">
        <v>48</v>
      </c>
      <c r="IC110" s="20">
        <v>49</v>
      </c>
      <c r="ID110" s="20">
        <v>50</v>
      </c>
      <c r="JI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113,$JT$2:$KS$2,0),MATCH($W$87,$AH$22:$AH$47,0)))*C113</f>
        <v>0</v>
      </c>
      <c r="JJ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113,$JT$2:$KS$2,0),MATCH($W$87,$AH$22:$AH$47,0)))*C113</f>
        <v>0</v>
      </c>
      <c r="JK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113,$JT$2:$KS$2,0),MATCH($W$87,$AH$22:$AH$47,0)))*C113</f>
        <v>0</v>
      </c>
      <c r="JL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113,$JT$2:$KS$2,0),MATCH($W$87,$AH$22:$AH$47,0)))*C113</f>
        <v>0</v>
      </c>
      <c r="JM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113,$JT$2:$KS$2,0),MATCH($W$87,$AH$22:$AH$47,0)))*C113</f>
        <v>0</v>
      </c>
      <c r="JN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113,$JT$2:$KS$2,0),MATCH($W$87,$AH$22:$AH$47,0)))*C113</f>
        <v>0</v>
      </c>
      <c r="JO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113,$JT$2:$KS$2,0),MATCH($W$87,$AH$22:$AH$47,0)))*C113</f>
        <v>0</v>
      </c>
      <c r="JP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113,$JT$2:$KS$2,0),MATCH($W$87,$AH$22:$AH$47,0)))*C113</f>
        <v>0</v>
      </c>
      <c r="JQ11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113,$JT$2:$KS$2,0),MATCH($W$87,$AH$22:$AH$47,0)))*C113</f>
        <v>0</v>
      </c>
      <c r="JS110" s="21" t="s">
        <v>127</v>
      </c>
      <c r="JT110" s="21">
        <v>0</v>
      </c>
      <c r="JU110" s="21">
        <v>0</v>
      </c>
      <c r="JV110" s="21">
        <v>0</v>
      </c>
      <c r="JW110" s="21">
        <v>0</v>
      </c>
      <c r="JX110" s="21">
        <v>0</v>
      </c>
      <c r="JY110" s="21">
        <v>0</v>
      </c>
      <c r="JZ110" s="21">
        <v>4</v>
      </c>
      <c r="KA110" s="21">
        <v>0</v>
      </c>
      <c r="KB110" s="21">
        <v>0</v>
      </c>
      <c r="KC110" s="21">
        <v>4</v>
      </c>
      <c r="KD110" s="21">
        <v>0</v>
      </c>
      <c r="KE110" s="21">
        <v>0</v>
      </c>
      <c r="KF110" s="21">
        <v>0</v>
      </c>
      <c r="KG110" s="21">
        <v>2</v>
      </c>
      <c r="KH110" s="21">
        <v>0</v>
      </c>
      <c r="KI110" s="21">
        <v>2</v>
      </c>
      <c r="KJ110" s="21">
        <v>0</v>
      </c>
      <c r="KK110" s="21">
        <v>4</v>
      </c>
      <c r="KL110" s="21">
        <v>0</v>
      </c>
      <c r="KM110" s="21">
        <v>0</v>
      </c>
      <c r="KN110" s="21">
        <v>4</v>
      </c>
      <c r="KO110" s="21">
        <v>0</v>
      </c>
      <c r="KP110" s="21">
        <v>0</v>
      </c>
      <c r="KQ110" s="21">
        <v>2</v>
      </c>
      <c r="KR110" s="21">
        <v>2</v>
      </c>
      <c r="KS110" s="21">
        <v>0</v>
      </c>
      <c r="LW110" s="20" t="s">
        <v>127</v>
      </c>
      <c r="LX110" s="20">
        <v>0</v>
      </c>
      <c r="LY110" s="20">
        <v>0</v>
      </c>
      <c r="LZ110" s="20">
        <v>4</v>
      </c>
      <c r="MA110" s="20">
        <v>0</v>
      </c>
      <c r="MB110" s="20">
        <v>2</v>
      </c>
      <c r="MC110" s="20">
        <v>4</v>
      </c>
      <c r="MD110" s="20">
        <v>0</v>
      </c>
      <c r="ME110" s="20">
        <v>0</v>
      </c>
      <c r="MF110" s="20">
        <v>0</v>
      </c>
      <c r="MG110" s="20">
        <v>2</v>
      </c>
      <c r="MH110" s="20">
        <v>0</v>
      </c>
      <c r="MI110" s="20">
        <v>0</v>
      </c>
      <c r="MJ110" s="20">
        <v>0</v>
      </c>
      <c r="MK110" s="20">
        <v>0</v>
      </c>
      <c r="ML110" s="20">
        <v>2</v>
      </c>
      <c r="MM110" s="20">
        <v>2</v>
      </c>
      <c r="MN110" s="20">
        <v>0</v>
      </c>
      <c r="MO110" s="20">
        <v>2</v>
      </c>
      <c r="MP110" s="20">
        <v>0</v>
      </c>
      <c r="MQ110" s="20">
        <v>0</v>
      </c>
      <c r="MR110" s="20">
        <v>0</v>
      </c>
      <c r="MS110" s="20">
        <v>0</v>
      </c>
      <c r="MT110" s="20">
        <v>2</v>
      </c>
      <c r="MU110" s="20">
        <v>0</v>
      </c>
      <c r="MV110" s="20">
        <v>2</v>
      </c>
      <c r="MW110" s="20">
        <v>4</v>
      </c>
    </row>
    <row r="111" spans="1:361" x14ac:dyDescent="0.25">
      <c r="A111" s="8"/>
      <c r="B111" s="5" t="s">
        <v>116</v>
      </c>
      <c r="C111" s="8"/>
      <c r="D111" s="6" t="s">
        <v>709</v>
      </c>
      <c r="E111" s="8" t="s">
        <v>781</v>
      </c>
      <c r="F111" s="359" t="str">
        <f>IF(E111="30x32 alu","możliwość stosowania w 1 strefie wiatrowej oraz 1,2,3 strefie śniegowej przy max. rozstawie podpór wynoszącym 0,8m","")</f>
        <v/>
      </c>
      <c r="G111" s="359"/>
      <c r="H111" s="359"/>
      <c r="I111" s="359"/>
      <c r="J111" s="4"/>
      <c r="K111" s="4"/>
      <c r="L111" s="6" t="str">
        <f>IF($E$111=$AK$22,"PAL40H40/4,4",IF($E$111=$AK$23,"-------",IF($E$111=$AK$24,"-------","-------")))</f>
        <v>PAL40H40/4,4</v>
      </c>
      <c r="M111" s="14">
        <f>INDEX(cennik!$C$2:$L$529,MATCH($L111,cennik!$B$2:$B$522,0),MATCH(M$27,cennik!$C$1:$L$1,0))</f>
        <v>894644</v>
      </c>
      <c r="N111" s="14" t="str">
        <f>INDEX(cennik!$C$2:$L$529,MATCH($L111,cennik!$B$2:$B$522,0),MATCH(N$27,cennik!$C$1:$L$1,0))</f>
        <v>szt.</v>
      </c>
      <c r="O111" s="14">
        <f>IF(L111="-------",0,SUM(JQ100:JQ115))</f>
        <v>0</v>
      </c>
      <c r="P111" s="22">
        <f>INDEX(cennik!$C$2:$L$529,MATCH($L111,cennik!$B$2:$B$522,0),MATCH(P$27,cennik!$C$1:$L$1,0))</f>
        <v>140.80000000000001</v>
      </c>
      <c r="Q111" s="22">
        <f t="shared" si="103"/>
        <v>0</v>
      </c>
      <c r="R111" s="23">
        <f t="shared" si="101"/>
        <v>0</v>
      </c>
      <c r="S111" s="22">
        <f t="shared" si="102"/>
        <v>140.80000000000001</v>
      </c>
      <c r="T111" s="22">
        <f t="shared" si="104"/>
        <v>0</v>
      </c>
      <c r="U111" s="22">
        <f>INDEX(cennik!$C$2:$L$529,MATCH($L111,cennik!$B$2:$B$522,0),MATCH(U$27,cennik!$C$1:$L$1,0))*O111</f>
        <v>0</v>
      </c>
      <c r="V111" s="20"/>
      <c r="W111" s="20"/>
      <c r="X111" s="25">
        <f t="shared" si="98"/>
        <v>0</v>
      </c>
      <c r="Y111" s="20"/>
      <c r="Z111" s="20"/>
      <c r="AA111" s="20"/>
      <c r="AB111" s="20"/>
      <c r="AC111" s="20"/>
      <c r="AD111" s="20"/>
      <c r="AE111" s="20"/>
      <c r="AF111" s="20"/>
      <c r="AG111" s="20"/>
      <c r="AH111" s="20"/>
      <c r="AI111" s="20"/>
      <c r="AJ111" s="20"/>
      <c r="AK111" s="20"/>
      <c r="AL111" s="20"/>
      <c r="AM111" s="20"/>
      <c r="AN111" s="20"/>
      <c r="AO111" s="20"/>
      <c r="AP111" s="20"/>
      <c r="AQ111" s="20"/>
      <c r="AR111" s="20"/>
      <c r="AS111" s="20"/>
      <c r="AT111" s="20"/>
      <c r="AU111" s="20"/>
      <c r="AV111" s="20"/>
      <c r="AW111" s="20"/>
      <c r="AX111" s="20"/>
      <c r="AY111" s="20"/>
      <c r="AZ111" s="20"/>
      <c r="BA111" s="21" t="s">
        <v>126</v>
      </c>
      <c r="BB111" s="21">
        <v>0</v>
      </c>
      <c r="BC111" s="21">
        <v>0</v>
      </c>
      <c r="BD111" s="21">
        <v>0</v>
      </c>
      <c r="BE111" s="21">
        <v>0</v>
      </c>
      <c r="BF111" s="21">
        <v>0</v>
      </c>
      <c r="BG111" s="21">
        <v>4</v>
      </c>
      <c r="BH111" s="21">
        <v>0</v>
      </c>
      <c r="BI111" s="21">
        <v>0</v>
      </c>
      <c r="BJ111" s="21">
        <v>0</v>
      </c>
      <c r="BK111" s="21">
        <v>0</v>
      </c>
      <c r="BL111" s="21">
        <v>6</v>
      </c>
      <c r="BM111" s="21">
        <v>0</v>
      </c>
      <c r="BN111" s="21">
        <v>0</v>
      </c>
      <c r="BO111" s="21">
        <v>2</v>
      </c>
      <c r="BP111" s="21">
        <v>0</v>
      </c>
      <c r="BQ111" s="21">
        <v>2</v>
      </c>
      <c r="BR111" s="21">
        <v>0</v>
      </c>
      <c r="BS111" s="21">
        <v>0</v>
      </c>
      <c r="BT111" s="21">
        <v>0</v>
      </c>
      <c r="BU111" s="21">
        <v>0</v>
      </c>
      <c r="BV111" s="21">
        <v>2</v>
      </c>
      <c r="BW111" s="21">
        <v>0</v>
      </c>
      <c r="BX111" s="21">
        <v>0</v>
      </c>
      <c r="BY111" s="21">
        <v>0</v>
      </c>
      <c r="BZ111" s="21">
        <v>0</v>
      </c>
      <c r="CA111" s="21">
        <v>0</v>
      </c>
      <c r="DA111" s="54"/>
      <c r="DB111" s="54"/>
      <c r="DC111" s="54"/>
      <c r="DD111" s="20" t="s">
        <v>625</v>
      </c>
      <c r="DE111" s="20">
        <v>0</v>
      </c>
      <c r="DF111" s="20">
        <v>1</v>
      </c>
      <c r="DG111" s="20">
        <v>2</v>
      </c>
      <c r="DH111" s="20">
        <v>3</v>
      </c>
      <c r="DI111" s="20">
        <v>4</v>
      </c>
      <c r="DJ111" s="20">
        <v>5</v>
      </c>
      <c r="DK111" s="20">
        <v>6</v>
      </c>
      <c r="DL111" s="20">
        <v>7</v>
      </c>
      <c r="DM111" s="20">
        <v>8</v>
      </c>
      <c r="DN111" s="20">
        <v>9</v>
      </c>
      <c r="DO111" s="20">
        <v>10</v>
      </c>
      <c r="DP111" s="20">
        <v>11</v>
      </c>
      <c r="DQ111" s="20">
        <v>12</v>
      </c>
      <c r="DR111" s="20">
        <v>13</v>
      </c>
      <c r="DS111" s="20">
        <v>14</v>
      </c>
      <c r="DT111" s="20">
        <v>15</v>
      </c>
      <c r="DU111" s="20">
        <v>16</v>
      </c>
      <c r="DV111" s="20">
        <v>17</v>
      </c>
      <c r="DW111" s="20">
        <v>18</v>
      </c>
      <c r="DX111" s="20">
        <v>19</v>
      </c>
      <c r="DY111" s="20">
        <v>20</v>
      </c>
      <c r="DZ111" s="20"/>
      <c r="EA111" s="20"/>
      <c r="EB111" s="20"/>
      <c r="GC111" s="20"/>
      <c r="GD111" s="20"/>
      <c r="GE111" s="20" t="s">
        <v>126</v>
      </c>
      <c r="GF111" s="20">
        <v>0</v>
      </c>
      <c r="GG111" s="20">
        <v>4</v>
      </c>
      <c r="GH111" s="20">
        <v>4</v>
      </c>
      <c r="GI111" s="20">
        <v>6</v>
      </c>
      <c r="GJ111" s="20">
        <v>0</v>
      </c>
      <c r="GK111" s="20">
        <v>0</v>
      </c>
      <c r="GL111" s="20">
        <v>0</v>
      </c>
      <c r="GM111" s="20">
        <v>0</v>
      </c>
      <c r="GN111" s="20">
        <v>0</v>
      </c>
      <c r="GO111" s="20">
        <v>0</v>
      </c>
      <c r="GP111" s="20">
        <v>0</v>
      </c>
      <c r="GQ111" s="20">
        <v>0</v>
      </c>
      <c r="GR111" s="20">
        <v>0</v>
      </c>
      <c r="GS111" s="20">
        <v>0</v>
      </c>
      <c r="GT111" s="20">
        <v>0</v>
      </c>
      <c r="GU111" s="20">
        <v>0</v>
      </c>
      <c r="GV111" s="20">
        <v>0</v>
      </c>
      <c r="GW111" s="20">
        <v>0</v>
      </c>
      <c r="GX111" s="20">
        <v>0</v>
      </c>
      <c r="GY111" s="20">
        <v>0</v>
      </c>
      <c r="GZ111" s="20">
        <v>0</v>
      </c>
      <c r="HA111" s="20">
        <v>0</v>
      </c>
      <c r="HB111" s="20">
        <v>0</v>
      </c>
      <c r="HC111" s="20">
        <v>0</v>
      </c>
      <c r="HD111" s="20">
        <v>0</v>
      </c>
      <c r="HE111" s="20">
        <v>0</v>
      </c>
      <c r="HF111" s="20">
        <v>0</v>
      </c>
      <c r="HG111" s="20">
        <v>0</v>
      </c>
      <c r="HH111" s="20">
        <v>0</v>
      </c>
      <c r="HI111" s="20">
        <v>0</v>
      </c>
      <c r="HJ111" s="20">
        <v>0</v>
      </c>
      <c r="HK111" s="20">
        <v>0</v>
      </c>
      <c r="HL111" s="20">
        <v>0</v>
      </c>
      <c r="HM111" s="20">
        <v>0</v>
      </c>
      <c r="HN111" s="20">
        <v>0</v>
      </c>
      <c r="HO111" s="20">
        <v>0</v>
      </c>
      <c r="HP111" s="20">
        <v>0</v>
      </c>
      <c r="HQ111" s="20">
        <v>0</v>
      </c>
      <c r="HR111" s="20">
        <v>0</v>
      </c>
      <c r="HS111" s="20">
        <v>0</v>
      </c>
      <c r="HT111" s="20">
        <v>0</v>
      </c>
      <c r="HU111" s="20">
        <v>0</v>
      </c>
      <c r="HV111" s="20">
        <v>0</v>
      </c>
      <c r="HW111" s="20">
        <v>0</v>
      </c>
      <c r="HX111" s="20">
        <v>0</v>
      </c>
      <c r="HY111" s="20">
        <v>0</v>
      </c>
      <c r="HZ111" s="20">
        <v>0</v>
      </c>
      <c r="IA111" s="20">
        <v>0</v>
      </c>
      <c r="IB111" s="20">
        <v>0</v>
      </c>
      <c r="IC111" s="20">
        <v>0</v>
      </c>
      <c r="ID111" s="20">
        <v>0</v>
      </c>
      <c r="JI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114,$JT$2:$KS$2,0),MATCH($W$87,$AH$22:$AH$47,0)))*C114</f>
        <v>0</v>
      </c>
      <c r="JJ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114,$JT$2:$KS$2,0),MATCH($W$87,$AH$22:$AH$47,0)))*C114</f>
        <v>0</v>
      </c>
      <c r="JK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114,$JT$2:$KS$2,0),MATCH($W$87,$AH$22:$AH$47,0)))*C114</f>
        <v>0</v>
      </c>
      <c r="JL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114,$JT$2:$KS$2,0),MATCH($W$87,$AH$22:$AH$47,0)))*C114</f>
        <v>0</v>
      </c>
      <c r="JM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114,$JT$2:$KS$2,0),MATCH($W$87,$AH$22:$AH$47,0)))*C114</f>
        <v>0</v>
      </c>
      <c r="JN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114,$JT$2:$KS$2,0),MATCH($W$87,$AH$22:$AH$47,0)))*C114</f>
        <v>0</v>
      </c>
      <c r="JO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114,$JT$2:$KS$2,0),MATCH($W$87,$AH$22:$AH$47,0)))*C114</f>
        <v>0</v>
      </c>
      <c r="JP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114,$JT$2:$KS$2,0),MATCH($W$87,$AH$22:$AH$47,0)))*C114</f>
        <v>0</v>
      </c>
      <c r="JQ11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114,$JT$2:$KS$2,0),MATCH($W$87,$AH$22:$AH$47,0)))*C114</f>
        <v>0</v>
      </c>
      <c r="JS111" s="20" t="s">
        <v>1024</v>
      </c>
      <c r="JT111" s="21">
        <v>0</v>
      </c>
      <c r="JU111" s="21">
        <v>0</v>
      </c>
      <c r="JV111" s="21">
        <v>0</v>
      </c>
      <c r="JW111" s="21">
        <v>0</v>
      </c>
      <c r="JX111" s="21">
        <v>0</v>
      </c>
      <c r="JY111" s="21">
        <v>0</v>
      </c>
      <c r="JZ111" s="21">
        <v>0</v>
      </c>
      <c r="KA111" s="21">
        <v>0</v>
      </c>
      <c r="KB111" s="21">
        <v>0</v>
      </c>
      <c r="KC111" s="21">
        <v>0</v>
      </c>
      <c r="KD111" s="21">
        <v>0</v>
      </c>
      <c r="KE111" s="21">
        <v>0</v>
      </c>
      <c r="KF111" s="21">
        <v>4</v>
      </c>
      <c r="KG111" s="21">
        <v>0</v>
      </c>
      <c r="KH111" s="21">
        <v>0</v>
      </c>
      <c r="KI111" s="21">
        <v>0</v>
      </c>
      <c r="KJ111" s="21">
        <v>0</v>
      </c>
      <c r="KK111" s="21">
        <v>0</v>
      </c>
      <c r="KL111" s="21">
        <v>0</v>
      </c>
      <c r="KM111" s="21">
        <v>0</v>
      </c>
      <c r="KN111" s="21">
        <v>0</v>
      </c>
      <c r="KO111" s="21">
        <v>0</v>
      </c>
      <c r="KP111" s="21">
        <v>0</v>
      </c>
      <c r="KQ111" s="21">
        <v>0</v>
      </c>
      <c r="KR111" s="21">
        <v>0</v>
      </c>
      <c r="KS111" s="21">
        <v>0</v>
      </c>
      <c r="LW111" s="20" t="s">
        <v>1024</v>
      </c>
      <c r="LX111" s="20">
        <v>0</v>
      </c>
      <c r="LY111" s="20">
        <v>2</v>
      </c>
      <c r="LZ111" s="20">
        <v>0</v>
      </c>
      <c r="MA111" s="20">
        <v>0</v>
      </c>
      <c r="MB111" s="20">
        <v>0</v>
      </c>
      <c r="MC111" s="20">
        <v>0</v>
      </c>
      <c r="MD111" s="20">
        <v>0</v>
      </c>
      <c r="ME111" s="20">
        <v>0</v>
      </c>
      <c r="MF111" s="20">
        <v>0</v>
      </c>
      <c r="MG111" s="20">
        <v>0</v>
      </c>
      <c r="MH111" s="20">
        <v>0</v>
      </c>
      <c r="MI111" s="20">
        <v>0</v>
      </c>
      <c r="MJ111" s="20">
        <v>4</v>
      </c>
      <c r="MK111" s="20">
        <v>0</v>
      </c>
      <c r="ML111" s="20">
        <v>0</v>
      </c>
      <c r="MM111" s="20">
        <v>0</v>
      </c>
      <c r="MN111" s="20">
        <v>0</v>
      </c>
      <c r="MO111" s="20">
        <v>0</v>
      </c>
      <c r="MP111" s="20">
        <v>0</v>
      </c>
      <c r="MQ111" s="20">
        <v>0</v>
      </c>
      <c r="MR111" s="20">
        <v>0</v>
      </c>
      <c r="MS111" s="20">
        <v>0</v>
      </c>
      <c r="MT111" s="20">
        <v>0</v>
      </c>
      <c r="MU111" s="20">
        <v>0</v>
      </c>
      <c r="MV111" s="20">
        <v>0</v>
      </c>
      <c r="MW111" s="20">
        <v>0</v>
      </c>
    </row>
    <row r="112" spans="1:361" x14ac:dyDescent="0.25">
      <c r="A112" s="8"/>
      <c r="B112" s="5" t="s">
        <v>116</v>
      </c>
      <c r="C112" s="8"/>
      <c r="D112" s="6" t="s">
        <v>510</v>
      </c>
      <c r="E112" s="8">
        <v>0</v>
      </c>
      <c r="F112" s="359"/>
      <c r="G112" s="359"/>
      <c r="H112" s="359"/>
      <c r="I112" s="359"/>
      <c r="J112" s="5" t="s">
        <v>509</v>
      </c>
      <c r="K112" s="4"/>
      <c r="L112" s="6" t="str">
        <f>IF($E$111=$AK$22,"LPAN40",IF($E$111=$AK$23,"LPAN30",IF($E$111=$AK$24,"LC40H35MC",0)))</f>
        <v>LPAN40</v>
      </c>
      <c r="M112" s="14">
        <f>INDEX(cennik!$C$2:$L$529,MATCH($L112,cennik!$B$2:$B$522,0),MATCH(M$27,cennik!$C$1:$L$1,0))</f>
        <v>890512</v>
      </c>
      <c r="N112" s="14" t="str">
        <f>INDEX(cennik!$C$2:$L$529,MATCH($L112,cennik!$B$2:$B$522,0),MATCH(N$27,cennik!$C$1:$L$1,0))</f>
        <v>szt.</v>
      </c>
      <c r="O112" s="14">
        <f>IF(L112="-------",0,SUM(JI100:JI115))</f>
        <v>0</v>
      </c>
      <c r="P112" s="22">
        <f>INDEX(cennik!$C$2:$L$529,MATCH($L112,cennik!$B$2:$B$522,0),MATCH(P$27,cennik!$C$1:$L$1,0))</f>
        <v>4.28</v>
      </c>
      <c r="Q112" s="22">
        <f t="shared" ref="Q112:Q125" si="105">O112*P112</f>
        <v>0</v>
      </c>
      <c r="R112" s="23">
        <f t="shared" si="101"/>
        <v>0</v>
      </c>
      <c r="S112" s="22">
        <f t="shared" si="102"/>
        <v>4.28</v>
      </c>
      <c r="T112" s="22">
        <f t="shared" ref="T112:T125" si="106">O112*S112</f>
        <v>0</v>
      </c>
      <c r="U112" s="22">
        <f>INDEX(cennik!$C$2:$L$529,MATCH($L112,cennik!$B$2:$B$522,0),MATCH(U$27,cennik!$C$1:$L$1,0))*O112</f>
        <v>0</v>
      </c>
      <c r="V112" s="20"/>
      <c r="W112" s="20"/>
      <c r="X112" s="25">
        <f t="shared" si="98"/>
        <v>0</v>
      </c>
      <c r="Y112" s="20"/>
      <c r="Z112" s="20"/>
      <c r="AA112" s="20"/>
      <c r="AB112" s="20"/>
      <c r="AC112" s="20"/>
      <c r="AD112" s="20"/>
      <c r="AE112" s="20"/>
      <c r="AF112" s="20"/>
      <c r="AG112" s="20"/>
      <c r="AH112" s="20"/>
      <c r="AI112" s="20"/>
      <c r="AJ112" s="20"/>
      <c r="AK112" s="20"/>
      <c r="AL112" s="20"/>
      <c r="AM112" s="20"/>
      <c r="AN112" s="20"/>
      <c r="AO112" s="20"/>
      <c r="AP112" s="20"/>
      <c r="AQ112" s="20"/>
      <c r="AR112" s="20"/>
      <c r="AS112" s="20"/>
      <c r="AT112" s="20"/>
      <c r="AU112" s="20"/>
      <c r="AV112" s="20"/>
      <c r="AW112" s="20"/>
      <c r="AX112" s="20"/>
      <c r="AY112" s="20"/>
      <c r="AZ112" s="20"/>
      <c r="BA112" s="21" t="s">
        <v>12</v>
      </c>
      <c r="BB112" s="21">
        <v>0</v>
      </c>
      <c r="BC112" s="21">
        <v>2</v>
      </c>
      <c r="BD112" s="21">
        <v>0</v>
      </c>
      <c r="BE112" s="21">
        <v>4</v>
      </c>
      <c r="BF112" s="21">
        <v>0</v>
      </c>
      <c r="BG112" s="21">
        <v>0</v>
      </c>
      <c r="BH112" s="21">
        <v>2</v>
      </c>
      <c r="BI112" s="21">
        <v>0</v>
      </c>
      <c r="BJ112" s="21">
        <v>0</v>
      </c>
      <c r="BK112" s="21">
        <v>0</v>
      </c>
      <c r="BL112" s="21">
        <v>0</v>
      </c>
      <c r="BM112" s="21">
        <v>2</v>
      </c>
      <c r="BN112" s="21">
        <v>0</v>
      </c>
      <c r="BO112" s="21">
        <v>0</v>
      </c>
      <c r="BP112" s="21">
        <v>0</v>
      </c>
      <c r="BQ112" s="21">
        <v>0</v>
      </c>
      <c r="BR112" s="21">
        <v>0</v>
      </c>
      <c r="BS112" s="21">
        <v>0</v>
      </c>
      <c r="BT112" s="21">
        <v>0</v>
      </c>
      <c r="BU112" s="21">
        <v>0</v>
      </c>
      <c r="BV112" s="21">
        <v>0</v>
      </c>
      <c r="BW112" s="21">
        <v>0</v>
      </c>
      <c r="BX112" s="21">
        <v>0</v>
      </c>
      <c r="BY112" s="21">
        <v>0</v>
      </c>
      <c r="BZ112" s="21">
        <v>0</v>
      </c>
      <c r="CA112" s="21">
        <v>0</v>
      </c>
      <c r="DA112" s="54"/>
      <c r="DB112" s="54"/>
      <c r="DC112" s="54"/>
      <c r="DD112" s="20" t="s">
        <v>127</v>
      </c>
      <c r="DE112" s="20">
        <v>0</v>
      </c>
      <c r="DF112" s="20">
        <v>2</v>
      </c>
      <c r="DG112" s="20">
        <v>4</v>
      </c>
      <c r="DH112" s="20">
        <v>0</v>
      </c>
      <c r="DI112" s="20">
        <v>2</v>
      </c>
      <c r="DJ112" s="20">
        <v>4</v>
      </c>
      <c r="DK112" s="20">
        <v>2</v>
      </c>
      <c r="DL112" s="20">
        <v>4</v>
      </c>
      <c r="DM112" s="20">
        <v>0</v>
      </c>
      <c r="DN112" s="20">
        <v>2</v>
      </c>
      <c r="DO112" s="20">
        <v>0</v>
      </c>
      <c r="DP112" s="20">
        <v>2</v>
      </c>
      <c r="DQ112" s="20">
        <v>4</v>
      </c>
      <c r="DR112" s="20">
        <v>0</v>
      </c>
      <c r="DS112" s="20">
        <v>2</v>
      </c>
      <c r="DT112" s="20">
        <v>0</v>
      </c>
      <c r="DU112" s="20">
        <v>2</v>
      </c>
      <c r="DV112" s="20">
        <v>4</v>
      </c>
      <c r="DW112" s="20">
        <v>0</v>
      </c>
      <c r="DX112" s="20">
        <v>2</v>
      </c>
      <c r="DY112" s="20">
        <v>0</v>
      </c>
      <c r="DZ112" s="20"/>
      <c r="EA112" s="20"/>
      <c r="EB112" s="20"/>
      <c r="GC112" s="20"/>
      <c r="GD112" s="20"/>
      <c r="GE112" s="20" t="s">
        <v>12</v>
      </c>
      <c r="GF112" s="20">
        <v>0</v>
      </c>
      <c r="GG112" s="20">
        <v>0</v>
      </c>
      <c r="GH112" s="20">
        <v>0</v>
      </c>
      <c r="GI112" s="20">
        <v>0</v>
      </c>
      <c r="GJ112" s="20">
        <v>0</v>
      </c>
      <c r="GK112" s="20">
        <v>2</v>
      </c>
      <c r="GL112" s="20">
        <v>4</v>
      </c>
      <c r="GM112" s="20">
        <v>0</v>
      </c>
      <c r="GN112" s="20">
        <v>0</v>
      </c>
      <c r="GO112" s="20">
        <v>0</v>
      </c>
      <c r="GP112" s="20">
        <v>0</v>
      </c>
      <c r="GQ112" s="20">
        <v>0</v>
      </c>
      <c r="GR112" s="20">
        <v>4</v>
      </c>
      <c r="GS112" s="20">
        <v>0</v>
      </c>
      <c r="GT112" s="20">
        <v>0</v>
      </c>
      <c r="GU112" s="20">
        <v>2</v>
      </c>
      <c r="GV112" s="20">
        <v>0</v>
      </c>
      <c r="GW112" s="20">
        <v>0</v>
      </c>
      <c r="GX112" s="20">
        <v>0</v>
      </c>
      <c r="GY112" s="20">
        <v>0</v>
      </c>
      <c r="GZ112" s="20">
        <v>0</v>
      </c>
      <c r="HA112" s="20">
        <v>2</v>
      </c>
      <c r="HB112" s="20">
        <v>0</v>
      </c>
      <c r="HC112" s="20">
        <v>0</v>
      </c>
      <c r="HD112" s="20">
        <v>0</v>
      </c>
      <c r="HE112" s="20">
        <v>0</v>
      </c>
      <c r="HF112" s="20">
        <v>0</v>
      </c>
      <c r="HG112" s="20">
        <v>4</v>
      </c>
      <c r="HH112" s="20">
        <v>0</v>
      </c>
      <c r="HI112" s="20">
        <v>0</v>
      </c>
      <c r="HJ112" s="20">
        <v>0</v>
      </c>
      <c r="HK112" s="20">
        <v>0</v>
      </c>
      <c r="HL112" s="20">
        <v>0</v>
      </c>
      <c r="HM112" s="20">
        <v>0</v>
      </c>
      <c r="HN112" s="20">
        <v>0</v>
      </c>
      <c r="HO112" s="20">
        <v>0</v>
      </c>
      <c r="HP112" s="20">
        <v>0</v>
      </c>
      <c r="HQ112" s="20">
        <v>0</v>
      </c>
      <c r="HR112" s="20">
        <v>0</v>
      </c>
      <c r="HS112" s="20">
        <v>0</v>
      </c>
      <c r="HT112" s="20">
        <v>0</v>
      </c>
      <c r="HU112" s="20">
        <v>0</v>
      </c>
      <c r="HV112" s="20">
        <v>4</v>
      </c>
      <c r="HW112" s="20">
        <v>0</v>
      </c>
      <c r="HX112" s="20">
        <v>0</v>
      </c>
      <c r="HY112" s="20">
        <v>0</v>
      </c>
      <c r="HZ112" s="20">
        <v>0</v>
      </c>
      <c r="IA112" s="20">
        <v>0</v>
      </c>
      <c r="IB112" s="20">
        <v>0</v>
      </c>
      <c r="IC112" s="20">
        <v>0</v>
      </c>
      <c r="ID112" s="20">
        <v>0</v>
      </c>
      <c r="JI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115,$JT$2:$KS$2,0),MATCH($W$87,$AH$22:$AH$47,0)))*C115</f>
        <v>0</v>
      </c>
      <c r="JJ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115,$JT$2:$KS$2,0),MATCH($W$87,$AH$22:$AH$47,0)))*C115</f>
        <v>0</v>
      </c>
      <c r="JK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115,$JT$2:$KS$2,0),MATCH($W$87,$AH$22:$AH$47,0)))*C115</f>
        <v>0</v>
      </c>
      <c r="JL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115,$JT$2:$KS$2,0),MATCH($W$87,$AH$22:$AH$47,0)))*C115</f>
        <v>0</v>
      </c>
      <c r="JM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115,$JT$2:$KS$2,0),MATCH($W$87,$AH$22:$AH$47,0)))*C115</f>
        <v>0</v>
      </c>
      <c r="JN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115,$JT$2:$KS$2,0),MATCH($W$87,$AH$22:$AH$47,0)))*C115</f>
        <v>0</v>
      </c>
      <c r="JO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115,$JT$2:$KS$2,0),MATCH($W$87,$AH$22:$AH$47,0)))*C115</f>
        <v>0</v>
      </c>
      <c r="JP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115,$JT$2:$KS$2,0),MATCH($W$87,$AH$22:$AH$47,0)))*C115</f>
        <v>0</v>
      </c>
      <c r="JQ11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115,$JT$2:$KS$2,0),MATCH($W$87,$AH$22:$AH$47,0)))*C115</f>
        <v>0</v>
      </c>
      <c r="JS112" s="21" t="s">
        <v>15</v>
      </c>
      <c r="JT112" s="21">
        <v>0</v>
      </c>
      <c r="JU112" s="21">
        <v>0</v>
      </c>
      <c r="JV112" s="21">
        <v>2</v>
      </c>
      <c r="JW112" s="21">
        <v>0</v>
      </c>
      <c r="JX112" s="21">
        <v>2</v>
      </c>
      <c r="JY112" s="21">
        <v>2</v>
      </c>
      <c r="JZ112" s="21">
        <v>0</v>
      </c>
      <c r="KA112" s="21">
        <v>0</v>
      </c>
      <c r="KB112" s="21">
        <v>2</v>
      </c>
      <c r="KC112" s="21">
        <v>0</v>
      </c>
      <c r="KD112" s="21">
        <v>0</v>
      </c>
      <c r="KE112" s="21">
        <v>0</v>
      </c>
      <c r="KF112" s="21">
        <v>0</v>
      </c>
      <c r="KG112" s="21">
        <v>0</v>
      </c>
      <c r="KH112" s="21">
        <v>0</v>
      </c>
      <c r="KI112" s="21">
        <v>0</v>
      </c>
      <c r="KJ112" s="21">
        <v>0</v>
      </c>
      <c r="KK112" s="21">
        <v>2</v>
      </c>
      <c r="KL112" s="21">
        <v>0</v>
      </c>
      <c r="KM112" s="21">
        <v>0</v>
      </c>
      <c r="KN112" s="21">
        <v>0</v>
      </c>
      <c r="KO112" s="21">
        <v>0</v>
      </c>
      <c r="KP112" s="21">
        <v>0</v>
      </c>
      <c r="KQ112" s="21">
        <v>0</v>
      </c>
      <c r="KR112" s="21">
        <v>0</v>
      </c>
      <c r="KS112" s="21">
        <v>0</v>
      </c>
      <c r="LW112" s="20" t="s">
        <v>15</v>
      </c>
      <c r="LX112" s="20">
        <v>0</v>
      </c>
      <c r="LY112" s="20">
        <v>0</v>
      </c>
      <c r="LZ112" s="20">
        <v>0</v>
      </c>
      <c r="MA112" s="20">
        <v>0</v>
      </c>
      <c r="MB112" s="20">
        <v>0</v>
      </c>
      <c r="MC112" s="20">
        <v>0</v>
      </c>
      <c r="MD112" s="20">
        <v>0</v>
      </c>
      <c r="ME112" s="20">
        <v>0</v>
      </c>
      <c r="MF112" s="20">
        <v>2</v>
      </c>
      <c r="MG112" s="20">
        <v>0</v>
      </c>
      <c r="MH112" s="20">
        <v>0</v>
      </c>
      <c r="MI112" s="20">
        <v>0</v>
      </c>
      <c r="MJ112" s="20">
        <v>0</v>
      </c>
      <c r="MK112" s="20">
        <v>0</v>
      </c>
      <c r="ML112" s="20">
        <v>0</v>
      </c>
      <c r="MM112" s="20">
        <v>0</v>
      </c>
      <c r="MN112" s="20">
        <v>0</v>
      </c>
      <c r="MO112" s="20">
        <v>0</v>
      </c>
      <c r="MP112" s="20">
        <v>0</v>
      </c>
      <c r="MQ112" s="20">
        <v>0</v>
      </c>
      <c r="MR112" s="20">
        <v>0</v>
      </c>
      <c r="MS112" s="20">
        <v>0</v>
      </c>
      <c r="MT112" s="20">
        <v>0</v>
      </c>
      <c r="MU112" s="20">
        <v>0</v>
      </c>
      <c r="MV112" s="20">
        <v>0</v>
      </c>
      <c r="MW112" s="20">
        <v>0</v>
      </c>
    </row>
    <row r="113" spans="1:361" x14ac:dyDescent="0.25">
      <c r="A113" s="8"/>
      <c r="B113" s="5" t="s">
        <v>116</v>
      </c>
      <c r="C113" s="8"/>
      <c r="D113" s="6" t="s">
        <v>511</v>
      </c>
      <c r="E113" s="4"/>
      <c r="F113" s="359"/>
      <c r="G113" s="359"/>
      <c r="H113" s="359"/>
      <c r="I113" s="359"/>
      <c r="J113" s="4"/>
      <c r="K113" s="4"/>
      <c r="L113" s="6" t="str">
        <f>IF($E$110=AD106,"DUF75E",IF($E$110=AD107,"DUFR75E",IF($E$110=AD108,"DUFWE",IF($E$110=AD109,"DUFPE",0))))</f>
        <v>DUF75E</v>
      </c>
      <c r="M113" s="14">
        <f>INDEX(cennik!$C$2:$L$529,MATCH($L113,cennik!$B$2:$B$522,0),MATCH(M$27,cennik!$C$1:$L$1,0))</f>
        <v>897975</v>
      </c>
      <c r="N113" s="14" t="str">
        <f>INDEX(cennik!$C$2:$L$529,MATCH($L113,cennik!$B$2:$B$522,0),MATCH(N$27,cennik!$C$1:$L$1,0))</f>
        <v>szt.</v>
      </c>
      <c r="O113" s="14">
        <f>SUM(AL87:AL102)</f>
        <v>0</v>
      </c>
      <c r="P113" s="22">
        <f>INDEX(cennik!$C$2:$L$529,MATCH($L113,cennik!$B$2:$B$522,0),MATCH(P$27,cennik!$C$1:$L$1,0))</f>
        <v>24.97</v>
      </c>
      <c r="Q113" s="22">
        <f t="shared" si="105"/>
        <v>0</v>
      </c>
      <c r="R113" s="23">
        <f t="shared" si="101"/>
        <v>0</v>
      </c>
      <c r="S113" s="22">
        <f t="shared" si="102"/>
        <v>24.97</v>
      </c>
      <c r="T113" s="22">
        <f t="shared" si="106"/>
        <v>0</v>
      </c>
      <c r="U113" s="22">
        <f>INDEX(cennik!$C$2:$L$529,MATCH($L113,cennik!$B$2:$B$522,0),MATCH(U$27,cennik!$C$1:$L$1,0))*O113</f>
        <v>0</v>
      </c>
      <c r="V113" s="20"/>
      <c r="W113" s="20"/>
      <c r="X113" s="25">
        <f t="shared" si="98"/>
        <v>0</v>
      </c>
      <c r="Y113" s="20"/>
      <c r="Z113" s="20"/>
      <c r="AA113" s="20"/>
      <c r="AB113" s="20"/>
      <c r="AC113" s="20"/>
      <c r="AD113" s="20"/>
      <c r="AE113" s="20"/>
      <c r="AF113" s="20"/>
      <c r="AG113" s="20"/>
      <c r="AH113" s="20"/>
      <c r="AI113" s="20"/>
      <c r="AJ113" s="20"/>
      <c r="AK113" s="20"/>
      <c r="AL113" s="20"/>
      <c r="AM113" s="20"/>
      <c r="AN113" s="20"/>
      <c r="AO113" s="20"/>
      <c r="AP113" s="20"/>
      <c r="AQ113" s="20"/>
      <c r="AR113" s="20"/>
      <c r="AS113" s="20"/>
      <c r="AT113" s="20"/>
      <c r="AU113" s="20"/>
      <c r="AV113" s="20"/>
      <c r="AW113" s="20"/>
      <c r="AX113" s="20"/>
      <c r="AY113" s="20"/>
      <c r="AZ113" s="20"/>
      <c r="BA113" s="21" t="s">
        <v>127</v>
      </c>
      <c r="BB113" s="21">
        <v>0</v>
      </c>
      <c r="BC113" s="21">
        <v>0</v>
      </c>
      <c r="BD113" s="21">
        <v>0</v>
      </c>
      <c r="BE113" s="21">
        <v>0</v>
      </c>
      <c r="BF113" s="21">
        <v>2</v>
      </c>
      <c r="BG113" s="21">
        <v>4</v>
      </c>
      <c r="BH113" s="21">
        <v>0</v>
      </c>
      <c r="BI113" s="21">
        <v>0</v>
      </c>
      <c r="BJ113" s="21">
        <v>4</v>
      </c>
      <c r="BK113" s="21">
        <v>2</v>
      </c>
      <c r="BL113" s="21">
        <v>0</v>
      </c>
      <c r="BM113" s="21">
        <v>0</v>
      </c>
      <c r="BN113" s="21">
        <v>0</v>
      </c>
      <c r="BO113" s="21">
        <v>0</v>
      </c>
      <c r="BP113" s="21">
        <v>2</v>
      </c>
      <c r="BQ113" s="21">
        <v>0</v>
      </c>
      <c r="BR113" s="21">
        <v>2</v>
      </c>
      <c r="BS113" s="21">
        <v>0</v>
      </c>
      <c r="BT113" s="21">
        <v>4</v>
      </c>
      <c r="BU113" s="21">
        <v>0</v>
      </c>
      <c r="BV113" s="21">
        <v>0</v>
      </c>
      <c r="BW113" s="21">
        <v>2</v>
      </c>
      <c r="BX113" s="21">
        <v>0</v>
      </c>
      <c r="BY113" s="21">
        <v>2</v>
      </c>
      <c r="BZ113" s="21">
        <v>0</v>
      </c>
      <c r="CA113" s="21">
        <v>4</v>
      </c>
      <c r="DA113" s="54"/>
      <c r="DB113" s="54"/>
      <c r="DC113" s="54"/>
      <c r="DD113" s="20" t="s">
        <v>19</v>
      </c>
      <c r="DE113" s="20">
        <v>0</v>
      </c>
      <c r="DF113" s="20">
        <v>0</v>
      </c>
      <c r="DG113" s="20">
        <v>0</v>
      </c>
      <c r="DH113" s="20">
        <v>4</v>
      </c>
      <c r="DI113" s="20">
        <v>4</v>
      </c>
      <c r="DJ113" s="20">
        <v>4</v>
      </c>
      <c r="DK113" s="20">
        <v>6</v>
      </c>
      <c r="DL113" s="20">
        <v>6</v>
      </c>
      <c r="DM113" s="20">
        <v>10</v>
      </c>
      <c r="DN113" s="20">
        <v>10</v>
      </c>
      <c r="DO113" s="20">
        <v>12</v>
      </c>
      <c r="DP113" s="20">
        <v>12</v>
      </c>
      <c r="DQ113" s="20">
        <v>12</v>
      </c>
      <c r="DR113" s="20">
        <v>16</v>
      </c>
      <c r="DS113" s="20">
        <v>16</v>
      </c>
      <c r="DT113" s="20">
        <v>18</v>
      </c>
      <c r="DU113" s="20">
        <v>18</v>
      </c>
      <c r="DV113" s="20">
        <v>18</v>
      </c>
      <c r="DW113" s="20">
        <v>22</v>
      </c>
      <c r="DX113" s="20">
        <v>22</v>
      </c>
      <c r="DY113" s="20">
        <v>24</v>
      </c>
      <c r="DZ113" s="20"/>
      <c r="EA113" s="20"/>
      <c r="EB113" s="20"/>
      <c r="GC113" s="20"/>
      <c r="GD113" s="20"/>
      <c r="GE113" s="20" t="s">
        <v>127</v>
      </c>
      <c r="GF113" s="20">
        <v>0</v>
      </c>
      <c r="GG113" s="20">
        <v>0</v>
      </c>
      <c r="GH113" s="20">
        <v>2</v>
      </c>
      <c r="GI113" s="20">
        <v>0</v>
      </c>
      <c r="GJ113" s="20">
        <v>0</v>
      </c>
      <c r="GK113" s="20">
        <v>0</v>
      </c>
      <c r="GL113" s="20">
        <v>0</v>
      </c>
      <c r="GM113" s="20">
        <v>0</v>
      </c>
      <c r="GN113" s="20">
        <v>2</v>
      </c>
      <c r="GO113" s="20">
        <v>4</v>
      </c>
      <c r="GP113" s="20">
        <v>0</v>
      </c>
      <c r="GQ113" s="20">
        <v>2</v>
      </c>
      <c r="GR113" s="20">
        <v>0</v>
      </c>
      <c r="GS113" s="20">
        <v>0</v>
      </c>
      <c r="GT113" s="20">
        <v>2</v>
      </c>
      <c r="GU113" s="20">
        <v>0</v>
      </c>
      <c r="GV113" s="20">
        <v>0</v>
      </c>
      <c r="GW113" s="20">
        <v>0</v>
      </c>
      <c r="GX113" s="20">
        <v>4</v>
      </c>
      <c r="GY113" s="20">
        <v>0</v>
      </c>
      <c r="GZ113" s="20">
        <v>0</v>
      </c>
      <c r="HA113" s="20">
        <v>0</v>
      </c>
      <c r="HB113" s="20">
        <v>0</v>
      </c>
      <c r="HC113" s="20">
        <v>0</v>
      </c>
      <c r="HD113" s="20">
        <v>0</v>
      </c>
      <c r="HE113" s="20">
        <v>0</v>
      </c>
      <c r="HF113" s="20">
        <v>0</v>
      </c>
      <c r="HG113" s="20">
        <v>0</v>
      </c>
      <c r="HH113" s="20">
        <v>0</v>
      </c>
      <c r="HI113" s="20">
        <v>0</v>
      </c>
      <c r="HJ113" s="20">
        <v>2</v>
      </c>
      <c r="HK113" s="20">
        <v>0</v>
      </c>
      <c r="HL113" s="20">
        <v>0</v>
      </c>
      <c r="HM113" s="20">
        <v>2</v>
      </c>
      <c r="HN113" s="20">
        <v>0</v>
      </c>
      <c r="HO113" s="20">
        <v>0</v>
      </c>
      <c r="HP113" s="20">
        <v>0</v>
      </c>
      <c r="HQ113" s="20">
        <v>0</v>
      </c>
      <c r="HR113" s="20">
        <v>0</v>
      </c>
      <c r="HS113" s="20">
        <v>0</v>
      </c>
      <c r="HT113" s="20">
        <v>0</v>
      </c>
      <c r="HU113" s="20">
        <v>0</v>
      </c>
      <c r="HV113" s="20">
        <v>0</v>
      </c>
      <c r="HW113" s="20">
        <v>0</v>
      </c>
      <c r="HX113" s="20">
        <v>0</v>
      </c>
      <c r="HY113" s="20">
        <v>0</v>
      </c>
      <c r="HZ113" s="20">
        <v>0</v>
      </c>
      <c r="IA113" s="20">
        <v>0</v>
      </c>
      <c r="IB113" s="20">
        <v>2</v>
      </c>
      <c r="IC113" s="20">
        <v>0</v>
      </c>
      <c r="ID113" s="20">
        <v>0</v>
      </c>
      <c r="JI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116,$JT$2:$KS$2,0),MATCH($W$87,$AH$22:$AH$47,0)))*C116</f>
        <v>0</v>
      </c>
      <c r="JJ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116,$JT$2:$KS$2,0),MATCH($W$87,$AH$22:$AH$47,0)))*C116</f>
        <v>0</v>
      </c>
      <c r="JK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116,$JT$2:$KS$2,0),MATCH($W$87,$AH$22:$AH$47,0)))*C116</f>
        <v>0</v>
      </c>
      <c r="JL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116,$JT$2:$KS$2,0),MATCH($W$87,$AH$22:$AH$47,0)))*C116</f>
        <v>0</v>
      </c>
      <c r="JM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116,$JT$2:$KS$2,0),MATCH($W$87,$AH$22:$AH$47,0)))*C116</f>
        <v>0</v>
      </c>
      <c r="JN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116,$JT$2:$KS$2,0),MATCH($W$87,$AH$22:$AH$47,0)))*C116</f>
        <v>0</v>
      </c>
      <c r="JO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116,$JT$2:$KS$2,0),MATCH($W$87,$AH$22:$AH$47,0)))*C116</f>
        <v>0</v>
      </c>
      <c r="JP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116,$JT$2:$KS$2,0),MATCH($W$87,$AH$22:$AH$47,0)))*C116</f>
        <v>0</v>
      </c>
      <c r="JQ11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116,$JT$2:$KS$2,0),MATCH($W$87,$AH$22:$AH$47,0)))*C116</f>
        <v>0</v>
      </c>
      <c r="JS113" s="21" t="s">
        <v>19</v>
      </c>
      <c r="JT113" s="21">
        <v>0</v>
      </c>
      <c r="JU113" s="21">
        <v>0</v>
      </c>
      <c r="JV113" s="21">
        <v>0</v>
      </c>
      <c r="JW113" s="21">
        <v>0</v>
      </c>
      <c r="JX113" s="21">
        <v>0</v>
      </c>
      <c r="JY113" s="21">
        <v>2</v>
      </c>
      <c r="JZ113" s="21">
        <v>2</v>
      </c>
      <c r="KA113" s="21">
        <v>2</v>
      </c>
      <c r="KB113" s="21">
        <v>0</v>
      </c>
      <c r="KC113" s="21">
        <v>0</v>
      </c>
      <c r="KD113" s="21">
        <v>0</v>
      </c>
      <c r="KE113" s="21">
        <v>2</v>
      </c>
      <c r="KF113" s="21">
        <v>2</v>
      </c>
      <c r="KG113" s="21">
        <v>0</v>
      </c>
      <c r="KH113" s="21">
        <v>0</v>
      </c>
      <c r="KI113" s="21">
        <v>6</v>
      </c>
      <c r="KJ113" s="21">
        <v>8</v>
      </c>
      <c r="KK113" s="21">
        <v>2</v>
      </c>
      <c r="KL113" s="21">
        <v>4</v>
      </c>
      <c r="KM113" s="21">
        <v>6</v>
      </c>
      <c r="KN113" s="21">
        <v>2</v>
      </c>
      <c r="KO113" s="21">
        <v>2</v>
      </c>
      <c r="KP113" s="21">
        <v>4</v>
      </c>
      <c r="KQ113" s="21">
        <v>0</v>
      </c>
      <c r="KR113" s="21">
        <v>2</v>
      </c>
      <c r="KS113" s="21">
        <v>2</v>
      </c>
      <c r="LW113" s="20" t="s">
        <v>19</v>
      </c>
      <c r="LX113" s="20">
        <v>0</v>
      </c>
      <c r="LY113" s="20">
        <v>0</v>
      </c>
      <c r="LZ113" s="20">
        <v>0</v>
      </c>
      <c r="MA113" s="20">
        <v>4</v>
      </c>
      <c r="MB113" s="20">
        <v>4</v>
      </c>
      <c r="MC113" s="20">
        <v>4</v>
      </c>
      <c r="MD113" s="20">
        <v>8</v>
      </c>
      <c r="ME113" s="20">
        <v>2</v>
      </c>
      <c r="MF113" s="20">
        <v>0</v>
      </c>
      <c r="MG113" s="20">
        <v>4</v>
      </c>
      <c r="MH113" s="20">
        <v>12</v>
      </c>
      <c r="MI113" s="20">
        <v>8</v>
      </c>
      <c r="MJ113" s="20">
        <v>2</v>
      </c>
      <c r="MK113" s="20">
        <v>2</v>
      </c>
      <c r="ML113" s="20">
        <v>2</v>
      </c>
      <c r="MM113" s="20">
        <v>2</v>
      </c>
      <c r="MN113" s="20">
        <v>6</v>
      </c>
      <c r="MO113" s="20">
        <v>6</v>
      </c>
      <c r="MP113" s="20">
        <v>2</v>
      </c>
      <c r="MQ113" s="20">
        <v>0</v>
      </c>
      <c r="MR113" s="20">
        <v>0</v>
      </c>
      <c r="MS113" s="20">
        <v>6</v>
      </c>
      <c r="MT113" s="20">
        <v>6</v>
      </c>
      <c r="MU113" s="20">
        <v>0</v>
      </c>
      <c r="MV113" s="20">
        <v>0</v>
      </c>
      <c r="MW113" s="20">
        <v>0</v>
      </c>
    </row>
    <row r="114" spans="1:361" x14ac:dyDescent="0.25">
      <c r="A114" s="8"/>
      <c r="B114" s="5" t="s">
        <v>116</v>
      </c>
      <c r="C114" s="8"/>
      <c r="D114" s="6" t="s">
        <v>1470</v>
      </c>
      <c r="E114" s="8" t="s">
        <v>1471</v>
      </c>
      <c r="F114" s="359"/>
      <c r="G114" s="359"/>
      <c r="H114" s="359"/>
      <c r="I114" s="359"/>
      <c r="J114" s="4"/>
      <c r="K114" s="4"/>
      <c r="L114" s="6" t="s">
        <v>3</v>
      </c>
      <c r="M114" s="14">
        <f>INDEX(cennik!$C$2:$L$529,MATCH($L114,cennik!$B$2:$B$522,0),MATCH(M$27,cennik!$C$1:$L$1,0))</f>
        <v>890810</v>
      </c>
      <c r="N114" s="14" t="str">
        <f>INDEX(cennik!$C$2:$L$529,MATCH($L114,cennik!$B$2:$B$522,0),MATCH(N$27,cennik!$C$1:$L$1,0))</f>
        <v>100 szt.</v>
      </c>
      <c r="O114" s="14">
        <f>ROUNDUP((O113*2)/100,0)</f>
        <v>0</v>
      </c>
      <c r="P114" s="22">
        <f>INDEX(cennik!$C$2:$L$529,MATCH($L114,cennik!$B$2:$B$522,0),MATCH(P$27,cennik!$C$1:$L$1,0))</f>
        <v>65</v>
      </c>
      <c r="Q114" s="22">
        <f t="shared" si="105"/>
        <v>0</v>
      </c>
      <c r="R114" s="23">
        <f t="shared" si="101"/>
        <v>0</v>
      </c>
      <c r="S114" s="22">
        <f t="shared" si="102"/>
        <v>65</v>
      </c>
      <c r="T114" s="22">
        <f t="shared" si="106"/>
        <v>0</v>
      </c>
      <c r="U114" s="22">
        <f>INDEX(cennik!$C$2:$L$529,MATCH($L114,cennik!$B$2:$B$522,0),MATCH(U$27,cennik!$C$1:$L$1,0))*O114</f>
        <v>0</v>
      </c>
      <c r="V114" s="20"/>
      <c r="W114" s="20"/>
      <c r="X114" s="25">
        <f t="shared" si="98"/>
        <v>0</v>
      </c>
      <c r="Y114" s="20"/>
      <c r="Z114" s="20"/>
      <c r="AA114" s="20"/>
      <c r="AB114" s="20"/>
      <c r="AC114" s="20"/>
      <c r="AD114" s="20"/>
      <c r="AE114" s="20"/>
      <c r="AF114" s="20"/>
      <c r="AG114" s="20"/>
      <c r="AH114" s="20"/>
      <c r="AI114" s="20"/>
      <c r="AJ114" s="20"/>
      <c r="AK114" s="20"/>
      <c r="AL114" s="20"/>
      <c r="AM114" s="20"/>
      <c r="AN114" s="20"/>
      <c r="AO114" s="20"/>
      <c r="AP114" s="20"/>
      <c r="AQ114" s="20"/>
      <c r="AR114" s="20"/>
      <c r="AS114" s="20"/>
      <c r="AT114" s="20"/>
      <c r="AU114" s="20"/>
      <c r="AV114" s="20"/>
      <c r="AW114" s="20"/>
      <c r="AX114" s="20"/>
      <c r="AY114" s="20"/>
      <c r="AZ114" s="20"/>
      <c r="BA114" s="21" t="s">
        <v>15</v>
      </c>
      <c r="BB114" s="21">
        <v>0</v>
      </c>
      <c r="BC114" s="21">
        <v>0</v>
      </c>
      <c r="BD114" s="21">
        <v>2</v>
      </c>
      <c r="BE114" s="21">
        <v>0</v>
      </c>
      <c r="BF114" s="21">
        <v>2</v>
      </c>
      <c r="BG114" s="21">
        <v>0</v>
      </c>
      <c r="BH114" s="21">
        <v>4</v>
      </c>
      <c r="BI114" s="21">
        <v>6</v>
      </c>
      <c r="BJ114" s="21">
        <v>4</v>
      </c>
      <c r="BK114" s="21">
        <v>2</v>
      </c>
      <c r="BL114" s="21">
        <v>0</v>
      </c>
      <c r="BM114" s="21">
        <v>8</v>
      </c>
      <c r="BN114" s="21">
        <v>8</v>
      </c>
      <c r="BO114" s="21">
        <v>4</v>
      </c>
      <c r="BP114" s="21">
        <v>0</v>
      </c>
      <c r="BQ114" s="21">
        <v>12</v>
      </c>
      <c r="BR114" s="21">
        <v>8</v>
      </c>
      <c r="BS114" s="21">
        <v>8</v>
      </c>
      <c r="BT114" s="21">
        <v>2</v>
      </c>
      <c r="BU114" s="21">
        <v>14</v>
      </c>
      <c r="BV114" s="21">
        <v>12</v>
      </c>
      <c r="BW114" s="21">
        <v>8</v>
      </c>
      <c r="BX114" s="21">
        <v>8</v>
      </c>
      <c r="BY114" s="21">
        <v>16</v>
      </c>
      <c r="BZ114" s="21">
        <v>14</v>
      </c>
      <c r="CA114" s="21">
        <v>10</v>
      </c>
      <c r="DA114" s="54"/>
      <c r="DB114" s="54"/>
      <c r="DC114" s="54"/>
      <c r="DD114" s="20" t="s">
        <v>408</v>
      </c>
      <c r="DE114" s="20">
        <v>0</v>
      </c>
      <c r="DF114" s="20">
        <v>0</v>
      </c>
      <c r="DG114" s="20">
        <v>4</v>
      </c>
      <c r="DH114" s="20">
        <v>4</v>
      </c>
      <c r="DI114" s="20">
        <v>8</v>
      </c>
      <c r="DJ114" s="20">
        <v>12</v>
      </c>
      <c r="DK114" s="20">
        <v>12</v>
      </c>
      <c r="DL114" s="20">
        <v>16</v>
      </c>
      <c r="DM114" s="20">
        <v>16</v>
      </c>
      <c r="DN114" s="20">
        <v>20</v>
      </c>
      <c r="DO114" s="20">
        <v>20</v>
      </c>
      <c r="DP114" s="20">
        <v>24</v>
      </c>
      <c r="DQ114" s="20">
        <v>28</v>
      </c>
      <c r="DR114" s="20">
        <v>28</v>
      </c>
      <c r="DS114" s="20">
        <v>32</v>
      </c>
      <c r="DT114" s="20">
        <v>32</v>
      </c>
      <c r="DU114" s="20">
        <v>36</v>
      </c>
      <c r="DV114" s="20">
        <v>40</v>
      </c>
      <c r="DW114" s="20">
        <v>40</v>
      </c>
      <c r="DX114" s="20">
        <v>44</v>
      </c>
      <c r="DY114" s="20">
        <v>44</v>
      </c>
      <c r="DZ114" s="20"/>
      <c r="EA114" s="20"/>
      <c r="EB114" s="20"/>
      <c r="GC114" s="20"/>
      <c r="GD114" s="20"/>
      <c r="GE114" s="20" t="s">
        <v>15</v>
      </c>
      <c r="GF114" s="20">
        <v>0</v>
      </c>
      <c r="GG114" s="20">
        <v>0</v>
      </c>
      <c r="GH114" s="20">
        <v>0</v>
      </c>
      <c r="GI114" s="20">
        <v>0</v>
      </c>
      <c r="GJ114" s="20">
        <v>6</v>
      </c>
      <c r="GK114" s="20">
        <v>6</v>
      </c>
      <c r="GL114" s="20">
        <v>6</v>
      </c>
      <c r="GM114" s="20">
        <v>10</v>
      </c>
      <c r="GN114" s="20">
        <v>10</v>
      </c>
      <c r="GO114" s="20">
        <v>10</v>
      </c>
      <c r="GP114" s="20">
        <v>10</v>
      </c>
      <c r="GQ114" s="20">
        <v>8</v>
      </c>
      <c r="GR114" s="20">
        <v>8</v>
      </c>
      <c r="GS114" s="20">
        <v>8</v>
      </c>
      <c r="GT114" s="20">
        <v>6</v>
      </c>
      <c r="GU114" s="20">
        <v>20</v>
      </c>
      <c r="GV114" s="20">
        <v>6</v>
      </c>
      <c r="GW114" s="20">
        <v>20</v>
      </c>
      <c r="GX114" s="20">
        <v>4</v>
      </c>
      <c r="GY114" s="20">
        <v>4</v>
      </c>
      <c r="GZ114" s="20">
        <v>18</v>
      </c>
      <c r="HA114" s="20">
        <v>16</v>
      </c>
      <c r="HB114" s="20">
        <v>2</v>
      </c>
      <c r="HC114" s="20">
        <v>16</v>
      </c>
      <c r="HD114" s="20">
        <v>30</v>
      </c>
      <c r="HE114" s="20">
        <v>0</v>
      </c>
      <c r="HF114" s="20">
        <v>14</v>
      </c>
      <c r="HG114" s="20">
        <v>4</v>
      </c>
      <c r="HH114" s="20">
        <v>0</v>
      </c>
      <c r="HI114" s="20">
        <v>14</v>
      </c>
      <c r="HJ114" s="20">
        <v>12</v>
      </c>
      <c r="HK114" s="20">
        <v>0</v>
      </c>
      <c r="HL114" s="20">
        <v>12</v>
      </c>
      <c r="HM114" s="20">
        <v>10</v>
      </c>
      <c r="HN114" s="20">
        <v>0</v>
      </c>
      <c r="HO114" s="20">
        <v>10</v>
      </c>
      <c r="HP114" s="20">
        <v>24</v>
      </c>
      <c r="HQ114" s="20">
        <v>0</v>
      </c>
      <c r="HR114" s="20">
        <v>8</v>
      </c>
      <c r="HS114" s="20">
        <v>22</v>
      </c>
      <c r="HT114" s="20">
        <v>0</v>
      </c>
      <c r="HU114" s="20">
        <v>6</v>
      </c>
      <c r="HV114" s="20">
        <v>0</v>
      </c>
      <c r="HW114" s="20">
        <v>0</v>
      </c>
      <c r="HX114" s="20">
        <v>4</v>
      </c>
      <c r="HY114" s="20">
        <v>18</v>
      </c>
      <c r="HZ114" s="20">
        <v>0</v>
      </c>
      <c r="IA114" s="20">
        <v>2</v>
      </c>
      <c r="IB114" s="20">
        <v>2</v>
      </c>
      <c r="IC114" s="20">
        <v>0</v>
      </c>
      <c r="ID114" s="20">
        <v>2</v>
      </c>
      <c r="JI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117,$JT$2:$KS$2,0),MATCH($W$87,$AH$22:$AH$47,0)))*C117</f>
        <v>0</v>
      </c>
      <c r="JJ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117,$JT$2:$KS$2,0),MATCH($W$87,$AH$22:$AH$47,0)))*C117</f>
        <v>0</v>
      </c>
      <c r="JK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117,$JT$2:$KS$2,0),MATCH($W$87,$AH$22:$AH$47,0)))*C117</f>
        <v>0</v>
      </c>
      <c r="JL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117,$JT$2:$KS$2,0),MATCH($W$87,$AH$22:$AH$47,0)))*C117</f>
        <v>0</v>
      </c>
      <c r="JM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117,$JT$2:$KS$2,0),MATCH($W$87,$AH$22:$AH$47,0)))*C117</f>
        <v>0</v>
      </c>
      <c r="JN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117,$JT$2:$KS$2,0),MATCH($W$87,$AH$22:$AH$47,0)))*C117</f>
        <v>0</v>
      </c>
      <c r="JO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117,$JT$2:$KS$2,0),MATCH($W$87,$AH$22:$AH$47,0)))*C117</f>
        <v>0</v>
      </c>
      <c r="JP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117,$JT$2:$KS$2,0),MATCH($W$87,$AH$22:$AH$47,0)))*C117</f>
        <v>0</v>
      </c>
      <c r="JQ11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117,$JT$2:$KS$2,0),MATCH($W$87,$AH$22:$AH$47,0)))*C117</f>
        <v>0</v>
      </c>
      <c r="JS114" s="20" t="s">
        <v>1298</v>
      </c>
      <c r="JT114" s="21">
        <v>0</v>
      </c>
      <c r="JU114" s="21">
        <v>0</v>
      </c>
      <c r="JV114" s="21">
        <v>0</v>
      </c>
      <c r="JW114" s="21">
        <v>0</v>
      </c>
      <c r="JX114" s="21">
        <v>0</v>
      </c>
      <c r="JY114" s="21">
        <v>0</v>
      </c>
      <c r="JZ114" s="21">
        <v>0</v>
      </c>
      <c r="KA114" s="21">
        <v>2</v>
      </c>
      <c r="KB114" s="21">
        <v>4</v>
      </c>
      <c r="KC114" s="21">
        <v>4</v>
      </c>
      <c r="KD114" s="21">
        <v>6</v>
      </c>
      <c r="KE114" s="21">
        <v>6</v>
      </c>
      <c r="KF114" s="21">
        <v>4</v>
      </c>
      <c r="KG114" s="21">
        <v>8</v>
      </c>
      <c r="KH114" s="21">
        <v>10</v>
      </c>
      <c r="KI114" s="21">
        <v>4</v>
      </c>
      <c r="KJ114" s="21">
        <v>4</v>
      </c>
      <c r="KK114" s="21">
        <v>6</v>
      </c>
      <c r="KL114" s="21">
        <v>8</v>
      </c>
      <c r="KM114" s="21">
        <v>8</v>
      </c>
      <c r="KN114" s="21">
        <v>10</v>
      </c>
      <c r="KO114" s="21">
        <v>12</v>
      </c>
      <c r="KP114" s="21">
        <v>12</v>
      </c>
      <c r="KQ114" s="21">
        <v>14</v>
      </c>
      <c r="KR114" s="21">
        <v>14</v>
      </c>
      <c r="KS114" s="21">
        <v>16</v>
      </c>
      <c r="LW114" s="20" t="s">
        <v>1298</v>
      </c>
      <c r="LX114" s="20">
        <v>0</v>
      </c>
      <c r="LY114" s="20">
        <v>0</v>
      </c>
      <c r="LZ114" s="20">
        <v>0</v>
      </c>
      <c r="MA114" s="20">
        <v>0</v>
      </c>
      <c r="MB114" s="20">
        <v>0</v>
      </c>
      <c r="MC114" s="20">
        <v>0</v>
      </c>
      <c r="MD114" s="20">
        <v>0</v>
      </c>
      <c r="ME114" s="20">
        <v>6</v>
      </c>
      <c r="MF114" s="20">
        <v>8</v>
      </c>
      <c r="MG114" s="20">
        <v>6</v>
      </c>
      <c r="MH114" s="20">
        <v>0</v>
      </c>
      <c r="MI114" s="20">
        <v>6</v>
      </c>
      <c r="MJ114" s="20">
        <v>10</v>
      </c>
      <c r="MK114" s="20">
        <v>14</v>
      </c>
      <c r="ML114" s="20">
        <v>14</v>
      </c>
      <c r="MM114" s="20">
        <v>14</v>
      </c>
      <c r="MN114" s="20">
        <v>14</v>
      </c>
      <c r="MO114" s="20">
        <v>14</v>
      </c>
      <c r="MP114" s="20">
        <v>20</v>
      </c>
      <c r="MQ114" s="20">
        <v>22</v>
      </c>
      <c r="MR114" s="20">
        <v>22</v>
      </c>
      <c r="MS114" s="20">
        <v>20</v>
      </c>
      <c r="MT114" s="20">
        <v>20</v>
      </c>
      <c r="MU114" s="20">
        <v>28</v>
      </c>
      <c r="MV114" s="20">
        <v>28</v>
      </c>
      <c r="MW114" s="20">
        <v>28</v>
      </c>
    </row>
    <row r="115" spans="1:361" x14ac:dyDescent="0.25">
      <c r="A115" s="8"/>
      <c r="B115" s="5" t="s">
        <v>116</v>
      </c>
      <c r="C115" s="8"/>
      <c r="D115" s="6" t="s">
        <v>1469</v>
      </c>
      <c r="E115" s="4"/>
      <c r="F115" s="359"/>
      <c r="G115" s="359"/>
      <c r="H115" s="359"/>
      <c r="I115" s="359"/>
      <c r="J115" s="4"/>
      <c r="K115" s="4"/>
      <c r="L115" s="6" t="str">
        <f>IF(E114=$AT$2,(IF(E111=$AK$22,"SSZ10x20E A2",IF(E111=$AK$23,"SSZ10x20E A2",IF(E111=$AK$24,"SGKFM10X20PV",0)))),IF(E114=$AT$3,(IF(E111=$AK$22,"SMHM10X33E",IF(E111=$AK$23,"SMHM10X33E",IF(E111=$AK$24,"SGKFM10X20PV",0))))))</f>
        <v>SSZ10x20E A2</v>
      </c>
      <c r="M115" s="14">
        <f>INDEX(cennik!$C$2:$L$529,MATCH($L115,cennik!$B$2:$B$522,0),MATCH(M$27,cennik!$C$1:$L$1,0))</f>
        <v>991020</v>
      </c>
      <c r="N115" s="14" t="str">
        <f>INDEX(cennik!$C$2:$L$529,MATCH($L115,cennik!$B$2:$B$522,0),MATCH(N$27,cennik!$C$1:$L$1,0))</f>
        <v>100 szt.</v>
      </c>
      <c r="O115" s="14">
        <f>ROUNDUP(((O113+IF(E110=$AK$24,E111+O112*4,0))/100),0)</f>
        <v>0</v>
      </c>
      <c r="P115" s="22">
        <f>INDEX(cennik!$C$2:$L$529,MATCH($L115,cennik!$B$2:$B$522,0),MATCH(P$27,cennik!$C$1:$L$1,0))</f>
        <v>69.75</v>
      </c>
      <c r="Q115" s="22">
        <f t="shared" si="105"/>
        <v>0</v>
      </c>
      <c r="R115" s="23">
        <f t="shared" si="101"/>
        <v>0</v>
      </c>
      <c r="S115" s="22">
        <f t="shared" si="102"/>
        <v>69.75</v>
      </c>
      <c r="T115" s="22">
        <f t="shared" si="106"/>
        <v>0</v>
      </c>
      <c r="U115" s="22">
        <f>INDEX(cennik!$C$2:$L$529,MATCH($L115,cennik!$B$2:$B$522,0),MATCH(U$27,cennik!$C$1:$L$1,0))*O115</f>
        <v>0</v>
      </c>
      <c r="V115" s="20"/>
      <c r="W115" s="20"/>
      <c r="X115" s="25">
        <f t="shared" si="98"/>
        <v>0</v>
      </c>
      <c r="Y115" s="20"/>
      <c r="Z115" s="20"/>
      <c r="AA115" s="20"/>
      <c r="AB115" s="20"/>
      <c r="AC115" s="20"/>
      <c r="AD115" s="20"/>
      <c r="AE115" s="20"/>
      <c r="AF115" s="20"/>
      <c r="AG115" s="20"/>
      <c r="AH115" s="20"/>
      <c r="AI115" s="20"/>
      <c r="AJ115" s="20"/>
      <c r="AK115" s="20"/>
      <c r="AL115" s="20"/>
      <c r="AM115" s="20"/>
      <c r="AN115" s="20"/>
      <c r="AO115" s="20"/>
      <c r="AP115" s="20"/>
      <c r="AQ115" s="20"/>
      <c r="AR115" s="20"/>
      <c r="AS115" s="20"/>
      <c r="AT115" s="20"/>
      <c r="AU115" s="20"/>
      <c r="AV115" s="20"/>
      <c r="AW115" s="20"/>
      <c r="AX115" s="20"/>
      <c r="AY115" s="20"/>
      <c r="AZ115" s="20"/>
      <c r="BA115" s="21" t="s">
        <v>19</v>
      </c>
      <c r="BB115" s="21">
        <v>0</v>
      </c>
      <c r="BC115" s="21">
        <v>0</v>
      </c>
      <c r="BD115" s="21">
        <v>0</v>
      </c>
      <c r="BE115" s="21">
        <v>0</v>
      </c>
      <c r="BF115" s="21">
        <v>0</v>
      </c>
      <c r="BG115" s="21">
        <v>0</v>
      </c>
      <c r="BH115" s="21">
        <v>0</v>
      </c>
      <c r="BI115" s="21">
        <v>0</v>
      </c>
      <c r="BJ115" s="21">
        <v>0</v>
      </c>
      <c r="BK115" s="21">
        <v>4</v>
      </c>
      <c r="BL115" s="21">
        <v>6</v>
      </c>
      <c r="BM115" s="21">
        <v>0</v>
      </c>
      <c r="BN115" s="21">
        <v>2</v>
      </c>
      <c r="BO115" s="21">
        <v>6</v>
      </c>
      <c r="BP115" s="21">
        <v>10</v>
      </c>
      <c r="BQ115" s="21">
        <v>0</v>
      </c>
      <c r="BR115" s="21">
        <v>4</v>
      </c>
      <c r="BS115" s="21">
        <v>6</v>
      </c>
      <c r="BT115" s="21">
        <v>10</v>
      </c>
      <c r="BU115" s="21">
        <v>2</v>
      </c>
      <c r="BV115" s="21">
        <v>4</v>
      </c>
      <c r="BW115" s="21">
        <v>8</v>
      </c>
      <c r="BX115" s="21">
        <v>10</v>
      </c>
      <c r="BY115" s="21">
        <v>2</v>
      </c>
      <c r="BZ115" s="21">
        <v>6</v>
      </c>
      <c r="CA115" s="21">
        <v>8</v>
      </c>
      <c r="DA115" s="54"/>
      <c r="DB115" s="54"/>
      <c r="DC115" s="54"/>
      <c r="DD115" s="20" t="s">
        <v>518</v>
      </c>
      <c r="DE115" s="20">
        <v>0</v>
      </c>
      <c r="DF115" s="20">
        <v>2</v>
      </c>
      <c r="DG115" s="20">
        <v>4</v>
      </c>
      <c r="DH115" s="20">
        <v>0</v>
      </c>
      <c r="DI115" s="20">
        <v>2</v>
      </c>
      <c r="DJ115" s="20">
        <v>4</v>
      </c>
      <c r="DK115" s="20">
        <v>2</v>
      </c>
      <c r="DL115" s="20">
        <v>4</v>
      </c>
      <c r="DM115" s="20">
        <v>0</v>
      </c>
      <c r="DN115" s="20">
        <v>2</v>
      </c>
      <c r="DO115" s="20">
        <v>0</v>
      </c>
      <c r="DP115" s="20">
        <v>2</v>
      </c>
      <c r="DQ115" s="20">
        <v>4</v>
      </c>
      <c r="DR115" s="20">
        <v>0</v>
      </c>
      <c r="DS115" s="20">
        <v>2</v>
      </c>
      <c r="DT115" s="20">
        <v>0</v>
      </c>
      <c r="DU115" s="20">
        <v>2</v>
      </c>
      <c r="DV115" s="20">
        <v>4</v>
      </c>
      <c r="DW115" s="20">
        <v>0</v>
      </c>
      <c r="DX115" s="20">
        <v>2</v>
      </c>
      <c r="DY115" s="20">
        <v>0</v>
      </c>
      <c r="DZ115" s="20"/>
      <c r="EA115" s="20"/>
      <c r="EB115" s="20"/>
      <c r="GC115" s="20"/>
      <c r="GD115" s="20"/>
      <c r="GE115" s="20" t="s">
        <v>19</v>
      </c>
      <c r="GF115" s="20">
        <v>0</v>
      </c>
      <c r="GG115" s="20">
        <v>0</v>
      </c>
      <c r="GH115" s="20">
        <v>0</v>
      </c>
      <c r="GI115" s="20">
        <v>2</v>
      </c>
      <c r="GJ115" s="20">
        <v>0</v>
      </c>
      <c r="GK115" s="20">
        <v>0</v>
      </c>
      <c r="GL115" s="20">
        <v>0</v>
      </c>
      <c r="GM115" s="20">
        <v>0</v>
      </c>
      <c r="GN115" s="20">
        <v>0</v>
      </c>
      <c r="GO115" s="20">
        <v>0</v>
      </c>
      <c r="GP115" s="20">
        <v>4</v>
      </c>
      <c r="GQ115" s="20">
        <v>6</v>
      </c>
      <c r="GR115" s="20">
        <v>6</v>
      </c>
      <c r="GS115" s="20">
        <v>10</v>
      </c>
      <c r="GT115" s="20">
        <v>12</v>
      </c>
      <c r="GU115" s="20">
        <v>0</v>
      </c>
      <c r="GV115" s="20">
        <v>16</v>
      </c>
      <c r="GW115" s="20">
        <v>4</v>
      </c>
      <c r="GX115" s="20">
        <v>18</v>
      </c>
      <c r="GY115" s="20">
        <v>22</v>
      </c>
      <c r="GZ115" s="20">
        <v>10</v>
      </c>
      <c r="HA115" s="20">
        <v>12</v>
      </c>
      <c r="HB115" s="20">
        <v>28</v>
      </c>
      <c r="HC115" s="20">
        <v>16</v>
      </c>
      <c r="HD115" s="20">
        <v>4</v>
      </c>
      <c r="HE115" s="20">
        <v>34</v>
      </c>
      <c r="HF115" s="20">
        <v>22</v>
      </c>
      <c r="HG115" s="20">
        <v>30</v>
      </c>
      <c r="HH115" s="20">
        <v>38</v>
      </c>
      <c r="HI115" s="20">
        <v>26</v>
      </c>
      <c r="HJ115" s="20">
        <v>28</v>
      </c>
      <c r="HK115" s="20">
        <v>42</v>
      </c>
      <c r="HL115" s="20">
        <v>32</v>
      </c>
      <c r="HM115" s="20">
        <v>34</v>
      </c>
      <c r="HN115" s="20">
        <v>46</v>
      </c>
      <c r="HO115" s="20">
        <v>38</v>
      </c>
      <c r="HP115" s="20">
        <v>26</v>
      </c>
      <c r="HQ115" s="20">
        <v>50</v>
      </c>
      <c r="HR115" s="20">
        <v>44</v>
      </c>
      <c r="HS115" s="20">
        <v>32</v>
      </c>
      <c r="HT115" s="20">
        <v>54</v>
      </c>
      <c r="HU115" s="20">
        <v>50</v>
      </c>
      <c r="HV115" s="20">
        <v>54</v>
      </c>
      <c r="HW115" s="20">
        <v>58</v>
      </c>
      <c r="HX115" s="20">
        <v>56</v>
      </c>
      <c r="HY115" s="20">
        <v>44</v>
      </c>
      <c r="HZ115" s="20">
        <v>62</v>
      </c>
      <c r="IA115" s="20">
        <v>62</v>
      </c>
      <c r="IB115" s="20">
        <v>62</v>
      </c>
      <c r="IC115" s="20">
        <v>66</v>
      </c>
      <c r="ID115" s="20">
        <v>66</v>
      </c>
      <c r="JI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$112,$JS$3:$JS$20,0),MATCH(A118,$JT$2:$KS$2,0),MATCH($W$87,$AH$22:$AH$47,0)))*C118</f>
        <v>0</v>
      </c>
      <c r="JJ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$104,$JS$3:$JS$20,0),MATCH(A118,$JT$2:$KS$2,0),MATCH($W$87,$AH$22:$AH$47,0)))*C118</f>
        <v>0</v>
      </c>
      <c r="JK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$105,$JS$3:$JS$20,0),MATCH(A118,$JT$2:$KS$2,0),MATCH($W$87,$AH$22:$AH$47,0)))*C118</f>
        <v>0</v>
      </c>
      <c r="JL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$106,$JS$3:$JS$20,0),MATCH(A118,$JT$2:$KS$2,0),MATCH($W$87,$AH$22:$AH$47,0)))*C118</f>
        <v>0</v>
      </c>
      <c r="JM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$107,$JS$3:$JS$20,0),MATCH(A118,$JT$2:$KS$2,0),MATCH($W$87,$AH$22:$AH$47,0)))*C118</f>
        <v>0</v>
      </c>
      <c r="JN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$108,$JS$3:$JS$20,0),MATCH(A118,$JT$2:$KS$2,0),MATCH($W$87,$AH$22:$AH$47,0)))*C118</f>
        <v>0</v>
      </c>
      <c r="JO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$109,$JS$3:$JS$20,0),MATCH(A118,$JT$2:$KS$2,0),MATCH($W$87,$AH$22:$AH$47,0)))*C118</f>
        <v>0</v>
      </c>
      <c r="JP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$110,$JS$3:$JS$20,0),MATCH(A118,$JT$2:$KS$2,0),MATCH($W$87,$AH$22:$AH$47,0)))*C118</f>
        <v>0</v>
      </c>
      <c r="JQ11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$111,$JS$3:$JS$20,0),MATCH(A118,$JT$2:$KS$2,0),MATCH($W$87,$AH$22:$AH$47,0)))*C118</f>
        <v>0</v>
      </c>
      <c r="JS115" s="20" t="s">
        <v>1026</v>
      </c>
      <c r="JT115" s="21">
        <v>0</v>
      </c>
      <c r="JU115" s="21">
        <v>0</v>
      </c>
      <c r="JV115" s="21">
        <v>0</v>
      </c>
      <c r="JW115" s="21">
        <v>0</v>
      </c>
      <c r="JX115" s="21">
        <v>0</v>
      </c>
      <c r="JY115" s="21">
        <v>0</v>
      </c>
      <c r="JZ115" s="21">
        <v>0</v>
      </c>
      <c r="KA115" s="21">
        <v>0</v>
      </c>
      <c r="KB115" s="21">
        <v>0</v>
      </c>
      <c r="KC115" s="21">
        <v>0</v>
      </c>
      <c r="KD115" s="21">
        <v>0</v>
      </c>
      <c r="KE115" s="21">
        <v>0</v>
      </c>
      <c r="KF115" s="21">
        <v>0</v>
      </c>
      <c r="KG115" s="21">
        <v>0</v>
      </c>
      <c r="KH115" s="21">
        <v>0</v>
      </c>
      <c r="KI115" s="21">
        <v>0</v>
      </c>
      <c r="KJ115" s="21">
        <v>0</v>
      </c>
      <c r="KK115" s="21">
        <v>0</v>
      </c>
      <c r="KL115" s="21">
        <v>0</v>
      </c>
      <c r="KM115" s="21">
        <v>0</v>
      </c>
      <c r="KN115" s="21">
        <v>0</v>
      </c>
      <c r="KO115" s="21">
        <v>0</v>
      </c>
      <c r="KP115" s="21">
        <v>0</v>
      </c>
      <c r="KQ115" s="21">
        <v>0</v>
      </c>
      <c r="KR115" s="21">
        <v>0</v>
      </c>
      <c r="KS115" s="21">
        <v>0</v>
      </c>
      <c r="LW115" s="20" t="s">
        <v>1026</v>
      </c>
      <c r="LX115" s="20">
        <v>0</v>
      </c>
      <c r="LY115" s="20">
        <v>0</v>
      </c>
      <c r="LZ115" s="20">
        <v>0</v>
      </c>
      <c r="MA115" s="20">
        <v>0</v>
      </c>
      <c r="MB115" s="20">
        <v>0</v>
      </c>
      <c r="MC115" s="20">
        <v>0</v>
      </c>
      <c r="MD115" s="20">
        <v>0</v>
      </c>
      <c r="ME115" s="20">
        <v>0</v>
      </c>
      <c r="MF115" s="20">
        <v>0</v>
      </c>
      <c r="MG115" s="20">
        <v>0</v>
      </c>
      <c r="MH115" s="20">
        <v>0</v>
      </c>
      <c r="MI115" s="20">
        <v>0</v>
      </c>
      <c r="MJ115" s="20">
        <v>0</v>
      </c>
      <c r="MK115" s="20">
        <v>0</v>
      </c>
      <c r="ML115" s="20">
        <v>0</v>
      </c>
      <c r="MM115" s="20">
        <v>0</v>
      </c>
      <c r="MN115" s="20">
        <v>0</v>
      </c>
      <c r="MO115" s="20">
        <v>0</v>
      </c>
      <c r="MP115" s="20">
        <v>0</v>
      </c>
      <c r="MQ115" s="20">
        <v>0</v>
      </c>
      <c r="MR115" s="20">
        <v>0</v>
      </c>
      <c r="MS115" s="20">
        <v>0</v>
      </c>
      <c r="MT115" s="20">
        <v>0</v>
      </c>
      <c r="MU115" s="20">
        <v>0</v>
      </c>
      <c r="MV115" s="20">
        <v>0</v>
      </c>
      <c r="MW115" s="20">
        <v>0</v>
      </c>
    </row>
    <row r="116" spans="1:361" x14ac:dyDescent="0.25">
      <c r="A116" s="8"/>
      <c r="B116" s="5" t="s">
        <v>116</v>
      </c>
      <c r="C116" s="8"/>
      <c r="D116" s="40" t="s">
        <v>944</v>
      </c>
      <c r="E116" s="4"/>
      <c r="F116" s="4"/>
      <c r="G116" s="4"/>
      <c r="H116" s="4"/>
      <c r="I116" s="4"/>
      <c r="J116" s="4"/>
      <c r="K116" s="4"/>
      <c r="L116" s="6" t="str">
        <f>IF(E111=$AK$22,"NKZM10E A2",IF(E111=$AK$23,"NKZM10E A2",IF(E111=$AK$24,"-------",0)))</f>
        <v>NKZM10E A2</v>
      </c>
      <c r="M116" s="14">
        <f>INDEX(cennik!$C$2:$L$529,MATCH($L116,cennik!$B$2:$B$522,0),MATCH(M$27,cennik!$C$1:$L$1,0))</f>
        <v>890009</v>
      </c>
      <c r="N116" s="14" t="str">
        <f>INDEX(cennik!$C$2:$L$529,MATCH($L116,cennik!$B$2:$B$522,0),MATCH(N$27,cennik!$C$1:$L$1,0))</f>
        <v>100 szt.</v>
      </c>
      <c r="O116" s="14">
        <f>IF(L116="-------",0,ROUNDUP((O113/100),0))</f>
        <v>0</v>
      </c>
      <c r="P116" s="22">
        <f>INDEX(cennik!$C$2:$L$529,MATCH($L116,cennik!$B$2:$B$522,0),MATCH(P$27,cennik!$C$1:$L$1,0))</f>
        <v>46.15</v>
      </c>
      <c r="Q116" s="22">
        <f t="shared" si="105"/>
        <v>0</v>
      </c>
      <c r="R116" s="23">
        <f t="shared" si="101"/>
        <v>0</v>
      </c>
      <c r="S116" s="22">
        <f t="shared" si="102"/>
        <v>46.15</v>
      </c>
      <c r="T116" s="22">
        <f t="shared" si="106"/>
        <v>0</v>
      </c>
      <c r="U116" s="22">
        <f>INDEX(cennik!$C$2:$L$529,MATCH($L116,cennik!$B$2:$B$522,0),MATCH(U$27,cennik!$C$1:$L$1,0))*O116</f>
        <v>0</v>
      </c>
      <c r="V116" s="20"/>
      <c r="W116" s="20"/>
      <c r="X116" s="25">
        <f t="shared" si="98"/>
        <v>0</v>
      </c>
      <c r="Y116" s="20"/>
      <c r="Z116" s="20"/>
      <c r="AA116" s="20"/>
      <c r="AB116" s="20"/>
      <c r="AC116" s="20"/>
      <c r="AD116" s="20"/>
      <c r="AE116" s="20"/>
      <c r="AF116" s="20"/>
      <c r="AG116" s="20"/>
      <c r="AH116" s="20"/>
      <c r="AI116" s="20"/>
      <c r="AJ116" s="20"/>
      <c r="AK116" s="20"/>
      <c r="AL116" s="20"/>
      <c r="AM116" s="20"/>
      <c r="AN116" s="20"/>
      <c r="AO116" s="20"/>
      <c r="AP116" s="20"/>
      <c r="AQ116" s="20"/>
      <c r="AR116" s="20"/>
      <c r="AS116" s="20"/>
      <c r="AT116" s="20"/>
      <c r="AU116" s="20"/>
      <c r="AV116" s="20"/>
      <c r="AW116" s="20"/>
      <c r="AX116" s="20"/>
      <c r="AY116" s="20"/>
      <c r="AZ116" s="20"/>
      <c r="BA116" s="21" t="s">
        <v>408</v>
      </c>
      <c r="BB116" s="21">
        <v>0</v>
      </c>
      <c r="BC116" s="21">
        <v>0</v>
      </c>
      <c r="BD116" s="21">
        <v>0</v>
      </c>
      <c r="BE116" s="21">
        <v>4</v>
      </c>
      <c r="BF116" s="21">
        <v>4</v>
      </c>
      <c r="BG116" s="21">
        <v>12</v>
      </c>
      <c r="BH116" s="21">
        <v>8</v>
      </c>
      <c r="BI116" s="21">
        <v>8</v>
      </c>
      <c r="BJ116" s="21">
        <v>12</v>
      </c>
      <c r="BK116" s="21">
        <v>12</v>
      </c>
      <c r="BL116" s="21">
        <v>20</v>
      </c>
      <c r="BM116" s="21">
        <v>16</v>
      </c>
      <c r="BN116" s="21">
        <v>16</v>
      </c>
      <c r="BO116" s="21">
        <v>20</v>
      </c>
      <c r="BP116" s="21">
        <v>20</v>
      </c>
      <c r="BQ116" s="21">
        <v>24</v>
      </c>
      <c r="BR116" s="21">
        <v>24</v>
      </c>
      <c r="BS116" s="21">
        <v>24</v>
      </c>
      <c r="BT116" s="21">
        <v>28</v>
      </c>
      <c r="BU116" s="21">
        <v>28</v>
      </c>
      <c r="BV116" s="21">
        <v>32</v>
      </c>
      <c r="BW116" s="21">
        <v>32</v>
      </c>
      <c r="BX116" s="21">
        <v>32</v>
      </c>
      <c r="BY116" s="21">
        <v>36</v>
      </c>
      <c r="BZ116" s="21">
        <v>36</v>
      </c>
      <c r="CA116" s="21">
        <v>40</v>
      </c>
      <c r="DA116" s="54"/>
      <c r="DB116" s="54"/>
      <c r="DC116" s="54"/>
      <c r="DD116" s="20" t="s">
        <v>520</v>
      </c>
      <c r="DE116" s="20">
        <v>0</v>
      </c>
      <c r="DF116" s="20">
        <v>0</v>
      </c>
      <c r="DG116" s="20">
        <v>0</v>
      </c>
      <c r="DH116" s="20">
        <v>4</v>
      </c>
      <c r="DI116" s="20">
        <v>4</v>
      </c>
      <c r="DJ116" s="20">
        <v>4</v>
      </c>
      <c r="DK116" s="20">
        <v>6</v>
      </c>
      <c r="DL116" s="20">
        <v>6</v>
      </c>
      <c r="DM116" s="20">
        <v>10</v>
      </c>
      <c r="DN116" s="20">
        <v>10</v>
      </c>
      <c r="DO116" s="20">
        <v>12</v>
      </c>
      <c r="DP116" s="20">
        <v>12</v>
      </c>
      <c r="DQ116" s="20">
        <v>12</v>
      </c>
      <c r="DR116" s="20">
        <v>16</v>
      </c>
      <c r="DS116" s="20">
        <v>16</v>
      </c>
      <c r="DT116" s="20">
        <v>18</v>
      </c>
      <c r="DU116" s="20">
        <v>18</v>
      </c>
      <c r="DV116" s="20">
        <v>18</v>
      </c>
      <c r="DW116" s="20">
        <v>22</v>
      </c>
      <c r="DX116" s="20">
        <v>22</v>
      </c>
      <c r="DY116" s="20">
        <v>24</v>
      </c>
      <c r="DZ116" s="20"/>
      <c r="EA116" s="20"/>
      <c r="EB116" s="20"/>
      <c r="GC116" s="20"/>
      <c r="GD116" s="20"/>
      <c r="GE116" s="20" t="s">
        <v>408</v>
      </c>
      <c r="GF116" s="20">
        <v>0</v>
      </c>
      <c r="GG116" s="20">
        <f t="shared" ref="GG116:GP116" si="107">((((SUM(GG93:GG97))/2)-1))*4</f>
        <v>4</v>
      </c>
      <c r="GH116" s="20">
        <f t="shared" si="107"/>
        <v>4</v>
      </c>
      <c r="GI116" s="20">
        <f t="shared" si="107"/>
        <v>4</v>
      </c>
      <c r="GJ116" s="20">
        <f t="shared" si="107"/>
        <v>8</v>
      </c>
      <c r="GK116" s="20">
        <f t="shared" si="107"/>
        <v>12</v>
      </c>
      <c r="GL116" s="20">
        <f t="shared" si="107"/>
        <v>12</v>
      </c>
      <c r="GM116" s="20">
        <f t="shared" si="107"/>
        <v>16</v>
      </c>
      <c r="GN116" s="20">
        <f t="shared" si="107"/>
        <v>20</v>
      </c>
      <c r="GO116" s="20">
        <f t="shared" si="107"/>
        <v>20</v>
      </c>
      <c r="GP116" s="20">
        <f t="shared" si="107"/>
        <v>24</v>
      </c>
      <c r="GQ116" s="20">
        <f t="shared" ref="GQ116:ID116" si="108">((((SUM(GQ111:GQ115))/2)-1))*4</f>
        <v>28</v>
      </c>
      <c r="GR116" s="20">
        <f t="shared" si="108"/>
        <v>32</v>
      </c>
      <c r="GS116" s="20">
        <f t="shared" si="108"/>
        <v>32</v>
      </c>
      <c r="GT116" s="20">
        <f t="shared" si="108"/>
        <v>36</v>
      </c>
      <c r="GU116" s="20">
        <f t="shared" si="108"/>
        <v>40</v>
      </c>
      <c r="GV116" s="20">
        <f t="shared" si="108"/>
        <v>40</v>
      </c>
      <c r="GW116" s="20">
        <f t="shared" si="108"/>
        <v>44</v>
      </c>
      <c r="GX116" s="20">
        <f t="shared" si="108"/>
        <v>48</v>
      </c>
      <c r="GY116" s="20">
        <f t="shared" si="108"/>
        <v>48</v>
      </c>
      <c r="GZ116" s="20">
        <f t="shared" si="108"/>
        <v>52</v>
      </c>
      <c r="HA116" s="20">
        <f t="shared" si="108"/>
        <v>56</v>
      </c>
      <c r="HB116" s="20">
        <f t="shared" si="108"/>
        <v>56</v>
      </c>
      <c r="HC116" s="20">
        <f t="shared" si="108"/>
        <v>60</v>
      </c>
      <c r="HD116" s="20">
        <f t="shared" si="108"/>
        <v>64</v>
      </c>
      <c r="HE116" s="20">
        <f t="shared" si="108"/>
        <v>64</v>
      </c>
      <c r="HF116" s="20">
        <f t="shared" si="108"/>
        <v>68</v>
      </c>
      <c r="HG116" s="20">
        <f t="shared" si="108"/>
        <v>72</v>
      </c>
      <c r="HH116" s="20">
        <f t="shared" si="108"/>
        <v>72</v>
      </c>
      <c r="HI116" s="20">
        <f t="shared" si="108"/>
        <v>76</v>
      </c>
      <c r="HJ116" s="20">
        <f t="shared" si="108"/>
        <v>80</v>
      </c>
      <c r="HK116" s="20">
        <f t="shared" si="108"/>
        <v>80</v>
      </c>
      <c r="HL116" s="20">
        <f t="shared" si="108"/>
        <v>84</v>
      </c>
      <c r="HM116" s="20">
        <f t="shared" si="108"/>
        <v>88</v>
      </c>
      <c r="HN116" s="20">
        <f t="shared" si="108"/>
        <v>88</v>
      </c>
      <c r="HO116" s="20">
        <f t="shared" si="108"/>
        <v>92</v>
      </c>
      <c r="HP116" s="20">
        <f t="shared" si="108"/>
        <v>96</v>
      </c>
      <c r="HQ116" s="20">
        <f t="shared" si="108"/>
        <v>96</v>
      </c>
      <c r="HR116" s="20">
        <f t="shared" si="108"/>
        <v>100</v>
      </c>
      <c r="HS116" s="20">
        <f t="shared" si="108"/>
        <v>104</v>
      </c>
      <c r="HT116" s="20">
        <f t="shared" si="108"/>
        <v>104</v>
      </c>
      <c r="HU116" s="20">
        <f t="shared" si="108"/>
        <v>108</v>
      </c>
      <c r="HV116" s="20">
        <f t="shared" si="108"/>
        <v>112</v>
      </c>
      <c r="HW116" s="20">
        <f t="shared" si="108"/>
        <v>112</v>
      </c>
      <c r="HX116" s="20">
        <f t="shared" si="108"/>
        <v>116</v>
      </c>
      <c r="HY116" s="20">
        <f t="shared" si="108"/>
        <v>120</v>
      </c>
      <c r="HZ116" s="20">
        <f t="shared" si="108"/>
        <v>120</v>
      </c>
      <c r="IA116" s="20">
        <f t="shared" si="108"/>
        <v>124</v>
      </c>
      <c r="IB116" s="20">
        <f t="shared" si="108"/>
        <v>128</v>
      </c>
      <c r="IC116" s="20">
        <f t="shared" si="108"/>
        <v>128</v>
      </c>
      <c r="ID116" s="20">
        <f t="shared" si="108"/>
        <v>132</v>
      </c>
      <c r="JS116" s="21" t="s">
        <v>408</v>
      </c>
      <c r="JT116" s="21">
        <v>0</v>
      </c>
      <c r="JU116" s="20">
        <f t="shared" ref="JU116:KR116" si="109">((((SUM(JV108:JV115))/2)-1))*4</f>
        <v>0</v>
      </c>
      <c r="JV116" s="20">
        <f t="shared" si="109"/>
        <v>4</v>
      </c>
      <c r="JW116" s="20">
        <f t="shared" si="109"/>
        <v>4</v>
      </c>
      <c r="JX116" s="20">
        <f t="shared" si="109"/>
        <v>4</v>
      </c>
      <c r="JY116" s="20">
        <f t="shared" si="109"/>
        <v>8</v>
      </c>
      <c r="JZ116" s="20">
        <f t="shared" si="109"/>
        <v>8</v>
      </c>
      <c r="KA116" s="20">
        <f t="shared" si="109"/>
        <v>8</v>
      </c>
      <c r="KB116" s="20">
        <f t="shared" si="109"/>
        <v>12</v>
      </c>
      <c r="KC116" s="20">
        <f t="shared" si="109"/>
        <v>12</v>
      </c>
      <c r="KD116" s="20">
        <f t="shared" si="109"/>
        <v>12</v>
      </c>
      <c r="KE116" s="20">
        <f t="shared" si="109"/>
        <v>16</v>
      </c>
      <c r="KF116" s="20">
        <f t="shared" si="109"/>
        <v>16</v>
      </c>
      <c r="KG116" s="20">
        <f t="shared" si="109"/>
        <v>16</v>
      </c>
      <c r="KH116" s="20">
        <f t="shared" si="109"/>
        <v>20</v>
      </c>
      <c r="KI116" s="20">
        <f t="shared" si="109"/>
        <v>20</v>
      </c>
      <c r="KJ116" s="20">
        <f t="shared" si="109"/>
        <v>24</v>
      </c>
      <c r="KK116" s="20">
        <f t="shared" si="109"/>
        <v>24</v>
      </c>
      <c r="KL116" s="20">
        <f t="shared" si="109"/>
        <v>24</v>
      </c>
      <c r="KM116" s="20">
        <f t="shared" si="109"/>
        <v>28</v>
      </c>
      <c r="KN116" s="20">
        <f t="shared" si="109"/>
        <v>28</v>
      </c>
      <c r="KO116" s="20">
        <f t="shared" si="109"/>
        <v>28</v>
      </c>
      <c r="KP116" s="20">
        <f t="shared" si="109"/>
        <v>32</v>
      </c>
      <c r="KQ116" s="20">
        <f t="shared" si="109"/>
        <v>32</v>
      </c>
      <c r="KR116" s="20">
        <f t="shared" si="109"/>
        <v>32</v>
      </c>
      <c r="KS116" s="20" t="e">
        <f>((((SUM(#REF!))/2)-1))*4</f>
        <v>#REF!</v>
      </c>
      <c r="LW116" s="20" t="s">
        <v>408</v>
      </c>
      <c r="LX116" s="20">
        <v>0</v>
      </c>
      <c r="LY116" s="20">
        <f t="shared" ref="LY116:MW116" si="110">((((SUM(LY108:LY115))/2)-1))*4</f>
        <v>0</v>
      </c>
      <c r="LZ116" s="20">
        <f t="shared" si="110"/>
        <v>4</v>
      </c>
      <c r="MA116" s="20">
        <f t="shared" si="110"/>
        <v>4</v>
      </c>
      <c r="MB116" s="20">
        <f t="shared" si="110"/>
        <v>8</v>
      </c>
      <c r="MC116" s="20">
        <f t="shared" si="110"/>
        <v>12</v>
      </c>
      <c r="MD116" s="20">
        <f t="shared" si="110"/>
        <v>12</v>
      </c>
      <c r="ME116" s="20">
        <f t="shared" si="110"/>
        <v>16</v>
      </c>
      <c r="MF116" s="20">
        <f t="shared" si="110"/>
        <v>16</v>
      </c>
      <c r="MG116" s="20">
        <f t="shared" si="110"/>
        <v>20</v>
      </c>
      <c r="MH116" s="20">
        <f t="shared" si="110"/>
        <v>24</v>
      </c>
      <c r="MI116" s="20">
        <f t="shared" si="110"/>
        <v>24</v>
      </c>
      <c r="MJ116" s="20">
        <f t="shared" si="110"/>
        <v>28</v>
      </c>
      <c r="MK116" s="20">
        <f t="shared" si="110"/>
        <v>28</v>
      </c>
      <c r="ML116" s="20">
        <f t="shared" si="110"/>
        <v>32</v>
      </c>
      <c r="MM116" s="20">
        <f t="shared" si="110"/>
        <v>32</v>
      </c>
      <c r="MN116" s="20">
        <f t="shared" si="110"/>
        <v>36</v>
      </c>
      <c r="MO116" s="20">
        <f t="shared" si="110"/>
        <v>40</v>
      </c>
      <c r="MP116" s="20">
        <f t="shared" si="110"/>
        <v>40</v>
      </c>
      <c r="MQ116" s="20">
        <f t="shared" si="110"/>
        <v>44</v>
      </c>
      <c r="MR116" s="20">
        <f t="shared" si="110"/>
        <v>48</v>
      </c>
      <c r="MS116" s="20">
        <f t="shared" si="110"/>
        <v>48</v>
      </c>
      <c r="MT116" s="20">
        <f t="shared" si="110"/>
        <v>52</v>
      </c>
      <c r="MU116" s="20">
        <f t="shared" si="110"/>
        <v>52</v>
      </c>
      <c r="MV116" s="20">
        <f t="shared" si="110"/>
        <v>56</v>
      </c>
      <c r="MW116" s="20">
        <f t="shared" si="110"/>
        <v>60</v>
      </c>
    </row>
    <row r="117" spans="1:361" x14ac:dyDescent="0.25">
      <c r="A117" s="8"/>
      <c r="B117" s="5" t="s">
        <v>116</v>
      </c>
      <c r="C117" s="8"/>
      <c r="D117" s="4"/>
      <c r="E117" s="4"/>
      <c r="F117" s="4"/>
      <c r="G117" s="4"/>
      <c r="H117" s="4"/>
      <c r="I117" s="4"/>
      <c r="J117" s="4"/>
      <c r="K117" s="4"/>
      <c r="L117" s="6" t="str">
        <f>IF(E107=$AC$1,INDEX(($AN$28:$AO$37,$AN$42:$AO$51,$AN$56:$AO$65),MATCH(I104,$AM$28:$AM$37,0),MATCH(E108,$AN$27:$AO$27,0),MATCH(E111,$AK$22:$AK$24,0)),IF(E107=$AC$2,INDEX(($AT$28:$AU$37,$AT$42:$AU$51,$AT$56:$AU$65),MATCH(I104,$AS$28:$AS$37,0),MATCH(E108,$AT$27:$AU$27,0),MATCH(E111,$AK$22:$AK$24,0)),0))</f>
        <v>BUF35L</v>
      </c>
      <c r="M117" s="14">
        <f>INDEX(cennik!$C$2:$L$529,MATCH($L117,cennik!$B$2:$B$522,0),MATCH(M$27,cennik!$C$1:$L$1,0))</f>
        <v>827335</v>
      </c>
      <c r="N117" s="14" t="str">
        <f>INDEX(cennik!$C$2:$L$529,MATCH($L117,cennik!$B$2:$B$522,0),MATCH(N$27,cennik!$C$1:$L$1,0))</f>
        <v>szt.</v>
      </c>
      <c r="O117" s="14">
        <f>SUM(IF(A103=0,0,IF((A103&gt;0),C103*4)),IF(A104=0,0,IF((A104&gt;0),C104*4)),IF(A105=0,0,IF((A105&gt;0),C105*4)),IF(A106=0,0,IF((A106&gt;0),C106*4)),IF(A107=0,0,IF((A107&gt;0),C107*4)),IF(A108=0,0,IF((A108&gt;0),C108*4)),IF(A109=0,0,IF((A109&gt;0),C109*4)),IF(A110=0,0,IF((A110&gt;0),C110*4)),IF(A111=0,0,IF((A111&gt;0),C111*4)),IF(A112=0,0,IF((A112&gt;0),C112*4)),IF(A113=0,0,IF((A113&gt;0),C113*4)),IF(A114=0,0,IF((A114&gt;0),C114*4)),IF(A115=0,0,IF((A115&gt;0),C115*4)),IF(A116=0,0,IF((A116&gt;0),C116*4)),IF(A117=0,0,IF((A117&gt;0),C117*4)),,IF(A118=0,0,IF((A118&gt;0),C118*4)))</f>
        <v>0</v>
      </c>
      <c r="P117" s="22">
        <f>INDEX(cennik!$C$2:$L$529,MATCH($L117,cennik!$B$2:$B$522,0),MATCH(P$27,cennik!$C$1:$L$1,0))</f>
        <v>3.58</v>
      </c>
      <c r="Q117" s="22">
        <f t="shared" si="105"/>
        <v>0</v>
      </c>
      <c r="R117" s="23">
        <f t="shared" si="101"/>
        <v>0</v>
      </c>
      <c r="S117" s="22">
        <f t="shared" si="102"/>
        <v>3.58</v>
      </c>
      <c r="T117" s="22">
        <f t="shared" si="106"/>
        <v>0</v>
      </c>
      <c r="U117" s="22">
        <f>INDEX(cennik!$C$2:$L$529,MATCH($L117,cennik!$B$2:$B$522,0),MATCH(U$27,cennik!$C$1:$L$1,0))*O117</f>
        <v>0</v>
      </c>
      <c r="V117" s="20"/>
      <c r="W117" s="20"/>
      <c r="X117" s="25">
        <f t="shared" si="98"/>
        <v>0</v>
      </c>
      <c r="Y117" s="20"/>
      <c r="Z117" s="20"/>
      <c r="AA117" s="20"/>
      <c r="AB117" s="20"/>
      <c r="AC117" s="20"/>
      <c r="AD117" s="20"/>
      <c r="AE117" s="20"/>
      <c r="AF117" s="20"/>
      <c r="AG117" s="20"/>
      <c r="AH117" s="20"/>
      <c r="AI117" s="20"/>
      <c r="AJ117" s="20"/>
      <c r="AK117" s="20"/>
      <c r="AL117" s="20"/>
      <c r="AM117" s="20"/>
      <c r="AN117" s="20"/>
      <c r="AO117" s="20"/>
      <c r="AP117" s="20"/>
      <c r="AQ117" s="20"/>
      <c r="AR117" s="20"/>
      <c r="AS117" s="20"/>
      <c r="AT117" s="20"/>
      <c r="AU117" s="20"/>
      <c r="AV117" s="20"/>
      <c r="AW117" s="20"/>
      <c r="AX117" s="20"/>
      <c r="AY117" s="20"/>
      <c r="AZ117" s="20"/>
      <c r="BA117" s="21" t="s">
        <v>516</v>
      </c>
      <c r="BB117" s="21">
        <v>0</v>
      </c>
      <c r="BC117" s="21">
        <v>0</v>
      </c>
      <c r="BD117" s="21">
        <v>0</v>
      </c>
      <c r="BE117" s="21">
        <v>0</v>
      </c>
      <c r="BF117" s="21">
        <v>0</v>
      </c>
      <c r="BG117" s="21">
        <v>4</v>
      </c>
      <c r="BH117" s="21">
        <v>0</v>
      </c>
      <c r="BI117" s="21">
        <v>0</v>
      </c>
      <c r="BJ117" s="21">
        <v>0</v>
      </c>
      <c r="BK117" s="21">
        <v>0</v>
      </c>
      <c r="BL117" s="21">
        <v>6</v>
      </c>
      <c r="BM117" s="21">
        <v>0</v>
      </c>
      <c r="BN117" s="21">
        <v>0</v>
      </c>
      <c r="BO117" s="21">
        <v>2</v>
      </c>
      <c r="BP117" s="21">
        <v>0</v>
      </c>
      <c r="BQ117" s="21">
        <v>2</v>
      </c>
      <c r="BR117" s="21">
        <v>0</v>
      </c>
      <c r="BS117" s="21">
        <v>0</v>
      </c>
      <c r="BT117" s="21">
        <v>0</v>
      </c>
      <c r="BU117" s="21">
        <v>0</v>
      </c>
      <c r="BV117" s="21">
        <v>2</v>
      </c>
      <c r="BW117" s="21">
        <v>0</v>
      </c>
      <c r="BX117" s="21">
        <v>0</v>
      </c>
      <c r="BY117" s="21">
        <v>0</v>
      </c>
      <c r="BZ117" s="21">
        <v>0</v>
      </c>
      <c r="CA117" s="21">
        <v>0</v>
      </c>
      <c r="DA117" s="54"/>
      <c r="DB117" s="54"/>
      <c r="DC117" s="54"/>
      <c r="DD117" s="20" t="s">
        <v>521</v>
      </c>
      <c r="DE117" s="20">
        <v>0</v>
      </c>
      <c r="DF117" s="20">
        <v>0</v>
      </c>
      <c r="DG117" s="20">
        <v>4</v>
      </c>
      <c r="DH117" s="20">
        <v>4</v>
      </c>
      <c r="DI117" s="20">
        <v>8</v>
      </c>
      <c r="DJ117" s="20">
        <v>12</v>
      </c>
      <c r="DK117" s="20">
        <v>12</v>
      </c>
      <c r="DL117" s="20">
        <v>16</v>
      </c>
      <c r="DM117" s="20">
        <v>16</v>
      </c>
      <c r="DN117" s="20">
        <v>20</v>
      </c>
      <c r="DO117" s="20">
        <v>20</v>
      </c>
      <c r="DP117" s="20">
        <v>24</v>
      </c>
      <c r="DQ117" s="20">
        <v>28</v>
      </c>
      <c r="DR117" s="20">
        <v>28</v>
      </c>
      <c r="DS117" s="20">
        <v>32</v>
      </c>
      <c r="DT117" s="20">
        <v>32</v>
      </c>
      <c r="DU117" s="20">
        <v>36</v>
      </c>
      <c r="DV117" s="20">
        <v>40</v>
      </c>
      <c r="DW117" s="20">
        <v>40</v>
      </c>
      <c r="DX117" s="20">
        <v>44</v>
      </c>
      <c r="DY117" s="20">
        <v>44</v>
      </c>
      <c r="DZ117" s="20"/>
      <c r="EA117" s="20"/>
      <c r="EB117" s="20"/>
      <c r="GC117" s="20"/>
      <c r="GD117" s="20"/>
      <c r="GE117" s="26" t="s">
        <v>516</v>
      </c>
      <c r="GF117" s="20">
        <v>0</v>
      </c>
      <c r="GG117" s="20">
        <v>4</v>
      </c>
      <c r="GH117" s="20">
        <v>4</v>
      </c>
      <c r="GI117" s="20">
        <v>6</v>
      </c>
      <c r="GJ117" s="20">
        <v>0</v>
      </c>
      <c r="GK117" s="20">
        <v>0</v>
      </c>
      <c r="GL117" s="20">
        <v>0</v>
      </c>
      <c r="GM117" s="20">
        <v>0</v>
      </c>
      <c r="GN117" s="20">
        <v>0</v>
      </c>
      <c r="GO117" s="20">
        <v>0</v>
      </c>
      <c r="GP117" s="20">
        <v>0</v>
      </c>
      <c r="GQ117" s="20">
        <v>0</v>
      </c>
      <c r="GR117" s="20">
        <v>0</v>
      </c>
      <c r="GS117" s="20">
        <v>0</v>
      </c>
      <c r="GT117" s="20">
        <v>0</v>
      </c>
      <c r="GU117" s="20">
        <v>0</v>
      </c>
      <c r="GV117" s="20">
        <v>0</v>
      </c>
      <c r="GW117" s="20">
        <v>0</v>
      </c>
      <c r="GX117" s="20">
        <v>0</v>
      </c>
      <c r="GY117" s="20">
        <v>0</v>
      </c>
      <c r="GZ117" s="20">
        <v>0</v>
      </c>
      <c r="HA117" s="20">
        <v>0</v>
      </c>
      <c r="HB117" s="20">
        <v>0</v>
      </c>
      <c r="HC117" s="20">
        <v>0</v>
      </c>
      <c r="HD117" s="20">
        <v>0</v>
      </c>
      <c r="HE117" s="20">
        <v>0</v>
      </c>
      <c r="HF117" s="20">
        <v>0</v>
      </c>
      <c r="HG117" s="20">
        <v>0</v>
      </c>
      <c r="HH117" s="20">
        <v>0</v>
      </c>
      <c r="HI117" s="20">
        <v>0</v>
      </c>
      <c r="HJ117" s="20">
        <v>0</v>
      </c>
      <c r="HK117" s="20">
        <v>0</v>
      </c>
      <c r="HL117" s="20">
        <v>0</v>
      </c>
      <c r="HM117" s="20">
        <v>0</v>
      </c>
      <c r="HN117" s="20">
        <v>0</v>
      </c>
      <c r="HO117" s="20">
        <v>0</v>
      </c>
      <c r="HP117" s="20">
        <v>0</v>
      </c>
      <c r="HQ117" s="20">
        <v>0</v>
      </c>
      <c r="HR117" s="20">
        <v>0</v>
      </c>
      <c r="HS117" s="20">
        <v>0</v>
      </c>
      <c r="HT117" s="20">
        <v>0</v>
      </c>
      <c r="HU117" s="20">
        <v>0</v>
      </c>
      <c r="HV117" s="20">
        <v>0</v>
      </c>
      <c r="HW117" s="20">
        <v>0</v>
      </c>
      <c r="HX117" s="20">
        <v>0</v>
      </c>
      <c r="HY117" s="20">
        <v>0</v>
      </c>
      <c r="HZ117" s="20">
        <v>0</v>
      </c>
      <c r="IA117" s="20">
        <v>0</v>
      </c>
      <c r="IB117" s="20">
        <v>0</v>
      </c>
      <c r="IC117" s="20">
        <v>0</v>
      </c>
      <c r="ID117" s="20">
        <v>0</v>
      </c>
      <c r="JS117" s="21" t="s">
        <v>516</v>
      </c>
      <c r="JT117" s="21">
        <v>0</v>
      </c>
      <c r="JU117" s="21">
        <v>0</v>
      </c>
      <c r="JV117" s="21">
        <v>0</v>
      </c>
      <c r="JW117" s="21">
        <v>0</v>
      </c>
      <c r="JX117" s="21">
        <v>0</v>
      </c>
      <c r="JY117" s="21">
        <v>0</v>
      </c>
      <c r="JZ117" s="21">
        <v>2</v>
      </c>
      <c r="KA117" s="21">
        <v>6</v>
      </c>
      <c r="KB117" s="21">
        <v>0</v>
      </c>
      <c r="KC117" s="21">
        <v>0</v>
      </c>
      <c r="KD117" s="21">
        <v>0</v>
      </c>
      <c r="KE117" s="21">
        <v>0</v>
      </c>
      <c r="KF117" s="21">
        <v>0</v>
      </c>
      <c r="KG117" s="21">
        <v>0</v>
      </c>
      <c r="KH117" s="21">
        <v>0</v>
      </c>
      <c r="KI117" s="21">
        <v>0</v>
      </c>
      <c r="KJ117" s="21">
        <v>2</v>
      </c>
      <c r="KK117" s="21">
        <v>0</v>
      </c>
      <c r="KL117" s="21">
        <v>0</v>
      </c>
      <c r="KM117" s="21">
        <v>0</v>
      </c>
      <c r="KN117" s="21">
        <v>0</v>
      </c>
      <c r="KO117" s="21">
        <v>2</v>
      </c>
      <c r="KP117" s="21">
        <v>0</v>
      </c>
      <c r="KQ117" s="21">
        <v>0</v>
      </c>
      <c r="KR117" s="21">
        <v>0</v>
      </c>
      <c r="KS117" s="21">
        <v>0</v>
      </c>
      <c r="LW117" s="26" t="s">
        <v>516</v>
      </c>
      <c r="LX117" s="20">
        <v>0</v>
      </c>
      <c r="LY117" s="20">
        <v>4</v>
      </c>
      <c r="LZ117" s="20">
        <v>0</v>
      </c>
      <c r="MA117" s="20">
        <v>0</v>
      </c>
      <c r="MB117" s="20">
        <v>0</v>
      </c>
      <c r="MC117" s="20">
        <v>0</v>
      </c>
      <c r="MD117" s="20">
        <v>0</v>
      </c>
      <c r="ME117" s="20">
        <v>0</v>
      </c>
      <c r="MF117" s="20">
        <v>0</v>
      </c>
      <c r="MG117" s="20">
        <v>0</v>
      </c>
      <c r="MH117" s="20">
        <v>0</v>
      </c>
      <c r="MI117" s="20">
        <v>0</v>
      </c>
      <c r="MJ117" s="20">
        <v>0</v>
      </c>
      <c r="MK117" s="20">
        <v>0</v>
      </c>
      <c r="ML117" s="20">
        <v>0</v>
      </c>
      <c r="MM117" s="20">
        <v>0</v>
      </c>
      <c r="MN117" s="20">
        <v>0</v>
      </c>
      <c r="MO117" s="20">
        <v>0</v>
      </c>
      <c r="MP117" s="20">
        <v>0</v>
      </c>
      <c r="MQ117" s="20">
        <v>0</v>
      </c>
      <c r="MR117" s="20">
        <v>0</v>
      </c>
      <c r="MS117" s="20">
        <v>0</v>
      </c>
      <c r="MT117" s="20">
        <v>0</v>
      </c>
      <c r="MU117" s="20">
        <v>0</v>
      </c>
      <c r="MV117" s="20">
        <v>0</v>
      </c>
      <c r="MW117" s="20">
        <v>0</v>
      </c>
    </row>
    <row r="118" spans="1:361" x14ac:dyDescent="0.25">
      <c r="A118" s="8"/>
      <c r="B118" s="5" t="s">
        <v>116</v>
      </c>
      <c r="C118" s="8"/>
      <c r="D118" s="4"/>
      <c r="E118" s="4"/>
      <c r="F118" s="4"/>
      <c r="G118" s="4"/>
      <c r="H118" s="4"/>
      <c r="I118" s="4"/>
      <c r="J118" s="4"/>
      <c r="K118" s="4"/>
      <c r="L118" s="6" t="str">
        <f>IF(E107=$AC$1,INDEX(($AN$38:$AO$38,$AN$52:$AO$52,$AN$66:$AO$66),1,MATCH($E$108,$AN$27:$AO$27,0),MATCH($E$111,$AK$22:$AK$24,0)),IF(E107=$AC$2,INDEX(($AT$38:$AU$38,$AT$52:$AU$52,$AT$66:$AU$66),1,MATCH($E$108,$AT$27:$AU$27,0),MATCH($E$111,$AK$22:$AK$24,0)),0))</f>
        <v>PUFL</v>
      </c>
      <c r="M118" s="14">
        <f>INDEX(cennik!$C$2:$L$529,MATCH($L118,cennik!$B$2:$B$522,0),MATCH(M$27,cennik!$C$1:$L$1,0))</f>
        <v>897302</v>
      </c>
      <c r="N118" s="14" t="str">
        <f>INDEX(cennik!$C$2:$L$529,MATCH($L118,cennik!$B$2:$B$522,0),MATCH(N$27,cennik!$C$1:$L$1,0))</f>
        <v>szt.</v>
      </c>
      <c r="O118" s="14">
        <f>SUM(IF(A103=0,0,IF(A103&gt;0,(A103-1)*2*C103)),IF(A104=0,0,IF(A104&gt;0,(A104-1)*2*C104)),IF(A105=0,0,IF(A105&gt;0,(A105-1)*2*C105)),IF(A106=0,0,IF(A106&gt;0,(A106-1)*2*C106)),IF(A107=0,0,IF(A107&gt;0,(A107-1)*2*C107)),IF(A108=0,0,IF(A108&gt;0,(A108-1)*2*C108)),IF(A109=0,0,IF(A109&gt;0,(A109-1)*2*C109)),IF(A110=0,0,IF(A110&gt;0,(A110-1)*2*C110)),IF(A111=0,0,IF(A111&gt;0,(A111-1)*2*C111)),IF(A112=0,0,IF(A112&gt;0,(A112-1)*2*C112)),IF(A113=0,0,IF(A113&gt;0,(A113-1)*2*C113)),IF(A114=0,0,IF(A114&gt;0,(A114-1)*2*C114)),IF(A115=0,0,IF(A115&gt;0,(A115-1)*2*C115)),IF(A116=0,0,IF(A116&gt;0,(A116-1)*2*C116)),IF(A117=0,0,IF(A117&gt;0,(A117-1)*2*C117)),IF(A118=0,0,IF(A118&gt;0,(A118-1)*2*C118)))</f>
        <v>0</v>
      </c>
      <c r="P118" s="22">
        <f>INDEX(cennik!$C$2:$L$529,MATCH($L118,cennik!$B$2:$B$522,0),MATCH(P$27,cennik!$C$1:$L$1,0))</f>
        <v>4.3099999999999996</v>
      </c>
      <c r="Q118" s="22">
        <f t="shared" si="105"/>
        <v>0</v>
      </c>
      <c r="R118" s="23">
        <f t="shared" si="101"/>
        <v>0</v>
      </c>
      <c r="S118" s="22">
        <f t="shared" si="102"/>
        <v>4.3099999999999996</v>
      </c>
      <c r="T118" s="22">
        <f t="shared" si="106"/>
        <v>0</v>
      </c>
      <c r="U118" s="22">
        <f>INDEX(cennik!$C$2:$L$529,MATCH($L118,cennik!$B$2:$B$522,0),MATCH(U$27,cennik!$C$1:$L$1,0))*O118</f>
        <v>0</v>
      </c>
      <c r="V118" s="20"/>
      <c r="W118" s="20"/>
      <c r="X118" s="25">
        <f t="shared" si="98"/>
        <v>0</v>
      </c>
      <c r="Y118" s="20"/>
      <c r="Z118" s="20"/>
      <c r="AA118" s="20"/>
      <c r="AB118" s="20"/>
      <c r="AC118" s="20"/>
      <c r="AD118" s="20"/>
      <c r="AE118" s="20"/>
      <c r="AF118" s="20"/>
      <c r="AG118" s="20"/>
      <c r="AH118" s="20"/>
      <c r="AI118" s="20"/>
      <c r="AJ118" s="20"/>
      <c r="AK118" s="20"/>
      <c r="AL118" s="20"/>
      <c r="AM118" s="20"/>
      <c r="AN118" s="20"/>
      <c r="AO118" s="20"/>
      <c r="AP118" s="20"/>
      <c r="AQ118" s="20"/>
      <c r="AR118" s="20"/>
      <c r="AS118" s="20"/>
      <c r="AT118" s="20"/>
      <c r="AU118" s="20"/>
      <c r="AV118" s="20"/>
      <c r="AW118" s="20"/>
      <c r="AX118" s="20"/>
      <c r="AY118" s="20"/>
      <c r="AZ118" s="20"/>
      <c r="BA118" s="21" t="s">
        <v>517</v>
      </c>
      <c r="BB118" s="21">
        <v>0</v>
      </c>
      <c r="BC118" s="21">
        <v>2</v>
      </c>
      <c r="BD118" s="21">
        <v>0</v>
      </c>
      <c r="BE118" s="21">
        <v>4</v>
      </c>
      <c r="BF118" s="21">
        <v>0</v>
      </c>
      <c r="BG118" s="21">
        <v>0</v>
      </c>
      <c r="BH118" s="21">
        <v>2</v>
      </c>
      <c r="BI118" s="21">
        <v>0</v>
      </c>
      <c r="BJ118" s="21">
        <v>0</v>
      </c>
      <c r="BK118" s="21">
        <v>0</v>
      </c>
      <c r="BL118" s="21">
        <v>0</v>
      </c>
      <c r="BM118" s="21">
        <v>2</v>
      </c>
      <c r="BN118" s="21">
        <v>0</v>
      </c>
      <c r="BO118" s="21">
        <v>0</v>
      </c>
      <c r="BP118" s="21">
        <v>0</v>
      </c>
      <c r="BQ118" s="21">
        <v>0</v>
      </c>
      <c r="BR118" s="21">
        <v>0</v>
      </c>
      <c r="BS118" s="21">
        <v>0</v>
      </c>
      <c r="BT118" s="21">
        <v>0</v>
      </c>
      <c r="BU118" s="21">
        <v>0</v>
      </c>
      <c r="BV118" s="21">
        <v>0</v>
      </c>
      <c r="BW118" s="21">
        <v>0</v>
      </c>
      <c r="BX118" s="21">
        <v>0</v>
      </c>
      <c r="BY118" s="21">
        <v>0</v>
      </c>
      <c r="BZ118" s="21">
        <v>0</v>
      </c>
      <c r="CA118" s="21">
        <v>0</v>
      </c>
      <c r="DA118" s="54"/>
      <c r="DB118" s="54"/>
      <c r="DC118" s="54"/>
      <c r="DD118" s="26" t="s">
        <v>710</v>
      </c>
      <c r="DE118" s="20">
        <v>0</v>
      </c>
      <c r="DF118" s="20"/>
      <c r="DG118" s="20"/>
      <c r="DH118" s="20"/>
      <c r="DI118" s="20"/>
      <c r="DJ118" s="20"/>
      <c r="DK118" s="20"/>
      <c r="DL118" s="20"/>
      <c r="DM118" s="20"/>
      <c r="DN118" s="20"/>
      <c r="DO118" s="20"/>
      <c r="DP118" s="20"/>
      <c r="DQ118" s="20"/>
      <c r="DR118" s="20"/>
      <c r="DS118" s="20"/>
      <c r="DT118" s="20"/>
      <c r="DU118" s="20"/>
      <c r="DV118" s="20"/>
      <c r="DW118" s="20"/>
      <c r="DX118" s="20"/>
      <c r="DY118" s="20"/>
      <c r="DZ118" s="20"/>
      <c r="EA118" s="20"/>
      <c r="EB118" s="20"/>
      <c r="GC118" s="20"/>
      <c r="GD118" s="20"/>
      <c r="GE118" s="26" t="s">
        <v>517</v>
      </c>
      <c r="GF118" s="20">
        <v>0</v>
      </c>
      <c r="GG118" s="20">
        <v>0</v>
      </c>
      <c r="GH118" s="20">
        <v>0</v>
      </c>
      <c r="GI118" s="20">
        <v>0</v>
      </c>
      <c r="GJ118" s="20">
        <v>0</v>
      </c>
      <c r="GK118" s="20">
        <v>2</v>
      </c>
      <c r="GL118" s="20">
        <v>4</v>
      </c>
      <c r="GM118" s="20">
        <v>0</v>
      </c>
      <c r="GN118" s="20">
        <v>0</v>
      </c>
      <c r="GO118" s="20">
        <v>0</v>
      </c>
      <c r="GP118" s="20">
        <v>0</v>
      </c>
      <c r="GQ118" s="20">
        <v>0</v>
      </c>
      <c r="GR118" s="20">
        <v>4</v>
      </c>
      <c r="GS118" s="20">
        <v>0</v>
      </c>
      <c r="GT118" s="20">
        <v>0</v>
      </c>
      <c r="GU118" s="20">
        <v>2</v>
      </c>
      <c r="GV118" s="20">
        <v>0</v>
      </c>
      <c r="GW118" s="20">
        <v>0</v>
      </c>
      <c r="GX118" s="20">
        <v>0</v>
      </c>
      <c r="GY118" s="20">
        <v>0</v>
      </c>
      <c r="GZ118" s="20">
        <v>0</v>
      </c>
      <c r="HA118" s="20">
        <v>2</v>
      </c>
      <c r="HB118" s="20">
        <v>0</v>
      </c>
      <c r="HC118" s="20">
        <v>0</v>
      </c>
      <c r="HD118" s="20">
        <v>0</v>
      </c>
      <c r="HE118" s="20">
        <v>0</v>
      </c>
      <c r="HF118" s="20">
        <v>0</v>
      </c>
      <c r="HG118" s="20">
        <v>4</v>
      </c>
      <c r="HH118" s="20">
        <v>0</v>
      </c>
      <c r="HI118" s="20">
        <v>0</v>
      </c>
      <c r="HJ118" s="20">
        <v>0</v>
      </c>
      <c r="HK118" s="20">
        <v>0</v>
      </c>
      <c r="HL118" s="20">
        <v>0</v>
      </c>
      <c r="HM118" s="20">
        <v>0</v>
      </c>
      <c r="HN118" s="20">
        <v>0</v>
      </c>
      <c r="HO118" s="20">
        <v>0</v>
      </c>
      <c r="HP118" s="20">
        <v>0</v>
      </c>
      <c r="HQ118" s="20">
        <v>0</v>
      </c>
      <c r="HR118" s="20">
        <v>0</v>
      </c>
      <c r="HS118" s="20">
        <v>0</v>
      </c>
      <c r="HT118" s="20">
        <v>0</v>
      </c>
      <c r="HU118" s="20">
        <v>0</v>
      </c>
      <c r="HV118" s="20">
        <v>4</v>
      </c>
      <c r="HW118" s="20">
        <v>0</v>
      </c>
      <c r="HX118" s="20">
        <v>0</v>
      </c>
      <c r="HY118" s="20">
        <v>0</v>
      </c>
      <c r="HZ118" s="20">
        <v>0</v>
      </c>
      <c r="IA118" s="20">
        <v>0</v>
      </c>
      <c r="IB118" s="20">
        <v>0</v>
      </c>
      <c r="IC118" s="20">
        <v>0</v>
      </c>
      <c r="ID118" s="20">
        <v>0</v>
      </c>
      <c r="JS118" s="21" t="s">
        <v>517</v>
      </c>
      <c r="JT118" s="21">
        <v>0</v>
      </c>
      <c r="JU118" s="21">
        <v>2</v>
      </c>
      <c r="JV118" s="21">
        <v>0</v>
      </c>
      <c r="JW118" s="21">
        <v>4</v>
      </c>
      <c r="JX118" s="21">
        <v>2</v>
      </c>
      <c r="JY118" s="21">
        <v>0</v>
      </c>
      <c r="JZ118" s="21">
        <v>0</v>
      </c>
      <c r="KA118" s="21">
        <v>0</v>
      </c>
      <c r="KB118" s="21">
        <v>4</v>
      </c>
      <c r="KC118" s="21">
        <v>2</v>
      </c>
      <c r="KD118" s="21">
        <v>0</v>
      </c>
      <c r="KE118" s="21">
        <v>0</v>
      </c>
      <c r="KF118" s="21">
        <v>2</v>
      </c>
      <c r="KG118" s="21">
        <v>4</v>
      </c>
      <c r="KH118" s="21">
        <v>0</v>
      </c>
      <c r="KI118" s="21">
        <v>0</v>
      </c>
      <c r="KJ118" s="21">
        <v>0</v>
      </c>
      <c r="KK118" s="21">
        <v>0</v>
      </c>
      <c r="KL118" s="21">
        <v>0</v>
      </c>
      <c r="KM118" s="21">
        <v>0</v>
      </c>
      <c r="KN118" s="21">
        <v>0</v>
      </c>
      <c r="KO118" s="21">
        <v>0</v>
      </c>
      <c r="KP118" s="21">
        <v>0</v>
      </c>
      <c r="KQ118" s="21">
        <v>0</v>
      </c>
      <c r="KR118" s="21">
        <v>0</v>
      </c>
      <c r="KS118" s="21">
        <v>0</v>
      </c>
      <c r="LW118" s="26" t="s">
        <v>517</v>
      </c>
      <c r="LX118" s="20">
        <v>0</v>
      </c>
      <c r="LY118" s="20">
        <v>0</v>
      </c>
      <c r="LZ118" s="20">
        <v>0</v>
      </c>
      <c r="MA118" s="20">
        <v>0</v>
      </c>
      <c r="MB118" s="20">
        <v>0</v>
      </c>
      <c r="MC118" s="20">
        <v>0</v>
      </c>
      <c r="MD118" s="20">
        <v>0</v>
      </c>
      <c r="ME118" s="20">
        <v>0</v>
      </c>
      <c r="MF118" s="20">
        <v>0</v>
      </c>
      <c r="MG118" s="20">
        <v>0</v>
      </c>
      <c r="MH118" s="20">
        <v>2</v>
      </c>
      <c r="MI118" s="20">
        <v>2</v>
      </c>
      <c r="MJ118" s="20">
        <v>0</v>
      </c>
      <c r="MK118" s="20">
        <v>0</v>
      </c>
      <c r="ML118" s="20">
        <v>0</v>
      </c>
      <c r="MM118" s="20">
        <v>0</v>
      </c>
      <c r="MN118" s="20">
        <v>0</v>
      </c>
      <c r="MO118" s="20">
        <v>0</v>
      </c>
      <c r="MP118" s="20">
        <v>0</v>
      </c>
      <c r="MQ118" s="20">
        <v>0</v>
      </c>
      <c r="MR118" s="20">
        <v>0</v>
      </c>
      <c r="MS118" s="20">
        <v>0</v>
      </c>
      <c r="MT118" s="20">
        <v>0</v>
      </c>
      <c r="MU118" s="20">
        <v>0</v>
      </c>
      <c r="MV118" s="20">
        <v>0</v>
      </c>
      <c r="MW118" s="20">
        <v>0</v>
      </c>
    </row>
    <row r="119" spans="1:361" x14ac:dyDescent="0.25">
      <c r="A119" s="4"/>
      <c r="B119" s="6"/>
      <c r="C119" s="4"/>
      <c r="D119" s="4"/>
      <c r="E119" s="4"/>
      <c r="F119" s="4"/>
      <c r="G119" s="4"/>
      <c r="H119" s="4"/>
      <c r="I119" s="4"/>
      <c r="J119" s="4"/>
      <c r="K119" s="4"/>
      <c r="L119" s="6" t="str">
        <f>IF(E107=$AC$1,INDEX(($AP$28:$AP$37,$AP$42:$AP$51,$AP$56:$AP$65),MATCH(I104,$AM$28:$AM$37,0),1,MATCH(E111,$AK$22:$AK$24,0)),IF(E107=$AC$2,INDEX(($AV$28:$AV$37,$AV$42:$AV$51,$AV$56:$AV$65),MATCH(I104,$AS$28:$AS$37,0),1,MATCH(E111,$AK$22:$AK$24,0)),0))</f>
        <v>SAM8X30E</v>
      </c>
      <c r="M119" s="14">
        <f>INDEX(cennik!$C$2:$L$529,MATCH($L119,cennik!$B$2:$B$522,0),MATCH(M$27,cennik!$C$1:$L$1,0))</f>
        <v>898530</v>
      </c>
      <c r="N119" s="14" t="str">
        <f>INDEX(cennik!$C$2:$L$529,MATCH($L119,cennik!$B$2:$B$522,0),MATCH(N$27,cennik!$C$1:$L$1,0))</f>
        <v>szt.</v>
      </c>
      <c r="O119" s="14">
        <f>IF(AE101="suma",SUM(O117:O118),IF(AE101="tylko buf",O117,IF(AE101=0,0,0)))</f>
        <v>0</v>
      </c>
      <c r="P119" s="22">
        <f>INDEX(cennik!$C$2:$L$529,MATCH($L119,cennik!$B$2:$B$522,0),MATCH(P$27,cennik!$C$1:$L$1,0))</f>
        <v>0.5</v>
      </c>
      <c r="Q119" s="22">
        <f t="shared" si="105"/>
        <v>0</v>
      </c>
      <c r="R119" s="23">
        <f t="shared" si="101"/>
        <v>0</v>
      </c>
      <c r="S119" s="22">
        <f t="shared" si="102"/>
        <v>0.5</v>
      </c>
      <c r="T119" s="22">
        <f t="shared" si="106"/>
        <v>0</v>
      </c>
      <c r="U119" s="22">
        <f>INDEX(cennik!$C$2:$L$529,MATCH($L119,cennik!$B$2:$B$522,0),MATCH(U$27,cennik!$C$1:$L$1,0))*O119</f>
        <v>0</v>
      </c>
      <c r="V119" s="20"/>
      <c r="X119" s="25">
        <f t="shared" si="98"/>
        <v>0</v>
      </c>
      <c r="Y119" s="20"/>
      <c r="Z119" s="20"/>
      <c r="AA119" s="20"/>
      <c r="AB119" s="20"/>
      <c r="AC119" s="20"/>
      <c r="AD119" s="20"/>
      <c r="AE119" s="20"/>
      <c r="AF119" s="20"/>
      <c r="AG119" s="20"/>
      <c r="AH119" s="20"/>
      <c r="AI119" s="20"/>
      <c r="AJ119" s="20"/>
      <c r="AK119" s="20"/>
      <c r="AL119" s="20"/>
      <c r="AM119" s="20"/>
      <c r="AN119" s="20"/>
      <c r="AO119" s="20"/>
      <c r="AP119" s="20"/>
      <c r="AQ119" s="20"/>
      <c r="AR119" s="20"/>
      <c r="AS119" s="20"/>
      <c r="AT119" s="20"/>
      <c r="AU119" s="20"/>
      <c r="AV119" s="20"/>
      <c r="AW119" s="20"/>
      <c r="AX119" s="20"/>
      <c r="AY119" s="20"/>
      <c r="AZ119" s="20"/>
      <c r="BA119" s="21" t="s">
        <v>518</v>
      </c>
      <c r="BB119" s="21">
        <v>0</v>
      </c>
      <c r="BC119" s="21">
        <v>0</v>
      </c>
      <c r="BD119" s="21">
        <v>0</v>
      </c>
      <c r="BE119" s="21">
        <v>0</v>
      </c>
      <c r="BF119" s="21">
        <v>2</v>
      </c>
      <c r="BG119" s="21">
        <v>4</v>
      </c>
      <c r="BH119" s="21">
        <v>0</v>
      </c>
      <c r="BI119" s="21">
        <v>0</v>
      </c>
      <c r="BJ119" s="21">
        <v>4</v>
      </c>
      <c r="BK119" s="21">
        <v>2</v>
      </c>
      <c r="BL119" s="21">
        <v>0</v>
      </c>
      <c r="BM119" s="21">
        <v>0</v>
      </c>
      <c r="BN119" s="21">
        <v>0</v>
      </c>
      <c r="BO119" s="21">
        <v>0</v>
      </c>
      <c r="BP119" s="21">
        <v>2</v>
      </c>
      <c r="BQ119" s="21">
        <v>0</v>
      </c>
      <c r="BR119" s="21">
        <v>2</v>
      </c>
      <c r="BS119" s="21">
        <v>0</v>
      </c>
      <c r="BT119" s="21">
        <v>4</v>
      </c>
      <c r="BU119" s="21">
        <v>0</v>
      </c>
      <c r="BV119" s="21">
        <v>0</v>
      </c>
      <c r="BW119" s="21">
        <v>2</v>
      </c>
      <c r="BX119" s="21">
        <v>0</v>
      </c>
      <c r="BY119" s="21">
        <v>2</v>
      </c>
      <c r="BZ119" s="21">
        <v>0</v>
      </c>
      <c r="CA119" s="21">
        <v>4</v>
      </c>
      <c r="DA119" s="54"/>
      <c r="DB119" s="54"/>
      <c r="DC119" s="54"/>
      <c r="DD119" s="26" t="s">
        <v>711</v>
      </c>
      <c r="DE119" s="20">
        <v>0</v>
      </c>
      <c r="DF119" s="20"/>
      <c r="DG119" s="20"/>
      <c r="DH119" s="20"/>
      <c r="DI119" s="20"/>
      <c r="DJ119" s="20"/>
      <c r="DK119" s="20"/>
      <c r="DL119" s="20"/>
      <c r="DM119" s="20"/>
      <c r="DN119" s="20"/>
      <c r="DO119" s="20"/>
      <c r="DP119" s="20"/>
      <c r="DQ119" s="20"/>
      <c r="DR119" s="20"/>
      <c r="DS119" s="20"/>
      <c r="DT119" s="20"/>
      <c r="DU119" s="20"/>
      <c r="DV119" s="20"/>
      <c r="DW119" s="20"/>
      <c r="DX119" s="20"/>
      <c r="DY119" s="20"/>
      <c r="DZ119" s="20"/>
      <c r="EA119" s="20"/>
      <c r="EB119" s="20"/>
      <c r="GC119" s="20"/>
      <c r="GD119" s="20"/>
      <c r="GE119" s="26" t="s">
        <v>518</v>
      </c>
      <c r="GF119" s="20">
        <v>0</v>
      </c>
      <c r="GG119" s="20">
        <v>0</v>
      </c>
      <c r="GH119" s="20">
        <v>2</v>
      </c>
      <c r="GI119" s="20">
        <v>0</v>
      </c>
      <c r="GJ119" s="20">
        <v>0</v>
      </c>
      <c r="GK119" s="20">
        <v>0</v>
      </c>
      <c r="GL119" s="20">
        <v>0</v>
      </c>
      <c r="GM119" s="20">
        <v>0</v>
      </c>
      <c r="GN119" s="20">
        <v>2</v>
      </c>
      <c r="GO119" s="20">
        <v>4</v>
      </c>
      <c r="GP119" s="20">
        <v>0</v>
      </c>
      <c r="GQ119" s="20">
        <v>2</v>
      </c>
      <c r="GR119" s="20">
        <v>0</v>
      </c>
      <c r="GS119" s="20">
        <v>0</v>
      </c>
      <c r="GT119" s="20">
        <v>2</v>
      </c>
      <c r="GU119" s="20">
        <v>0</v>
      </c>
      <c r="GV119" s="20">
        <v>0</v>
      </c>
      <c r="GW119" s="20">
        <v>0</v>
      </c>
      <c r="GX119" s="20">
        <v>4</v>
      </c>
      <c r="GY119" s="20">
        <v>0</v>
      </c>
      <c r="GZ119" s="20">
        <v>0</v>
      </c>
      <c r="HA119" s="20">
        <v>0</v>
      </c>
      <c r="HB119" s="20">
        <v>0</v>
      </c>
      <c r="HC119" s="20">
        <v>0</v>
      </c>
      <c r="HD119" s="20">
        <v>0</v>
      </c>
      <c r="HE119" s="20">
        <v>0</v>
      </c>
      <c r="HF119" s="20">
        <v>0</v>
      </c>
      <c r="HG119" s="20">
        <v>0</v>
      </c>
      <c r="HH119" s="20">
        <v>0</v>
      </c>
      <c r="HI119" s="20">
        <v>0</v>
      </c>
      <c r="HJ119" s="20">
        <v>2</v>
      </c>
      <c r="HK119" s="20">
        <v>0</v>
      </c>
      <c r="HL119" s="20">
        <v>0</v>
      </c>
      <c r="HM119" s="20">
        <v>2</v>
      </c>
      <c r="HN119" s="20">
        <v>0</v>
      </c>
      <c r="HO119" s="20">
        <v>0</v>
      </c>
      <c r="HP119" s="20">
        <v>0</v>
      </c>
      <c r="HQ119" s="20">
        <v>0</v>
      </c>
      <c r="HR119" s="20">
        <v>0</v>
      </c>
      <c r="HS119" s="20">
        <v>0</v>
      </c>
      <c r="HT119" s="20">
        <v>0</v>
      </c>
      <c r="HU119" s="20">
        <v>0</v>
      </c>
      <c r="HV119" s="20">
        <v>0</v>
      </c>
      <c r="HW119" s="20">
        <v>0</v>
      </c>
      <c r="HX119" s="20">
        <v>0</v>
      </c>
      <c r="HY119" s="20">
        <v>0</v>
      </c>
      <c r="HZ119" s="20">
        <v>0</v>
      </c>
      <c r="IA119" s="20">
        <v>0</v>
      </c>
      <c r="IB119" s="20">
        <v>2</v>
      </c>
      <c r="IC119" s="20">
        <v>0</v>
      </c>
      <c r="ID119" s="20">
        <v>0</v>
      </c>
      <c r="JS119" s="21" t="s">
        <v>518</v>
      </c>
      <c r="JT119" s="21">
        <v>0</v>
      </c>
      <c r="JU119" s="21">
        <v>0</v>
      </c>
      <c r="JV119" s="21">
        <v>0</v>
      </c>
      <c r="JW119" s="21">
        <v>0</v>
      </c>
      <c r="JX119" s="21">
        <v>0</v>
      </c>
      <c r="JY119" s="21">
        <v>0</v>
      </c>
      <c r="JZ119" s="21">
        <v>0</v>
      </c>
      <c r="KA119" s="21">
        <v>2</v>
      </c>
      <c r="KB119" s="21">
        <v>0</v>
      </c>
      <c r="KC119" s="21">
        <v>0</v>
      </c>
      <c r="KD119" s="21">
        <v>0</v>
      </c>
      <c r="KE119" s="21">
        <v>4</v>
      </c>
      <c r="KF119" s="21">
        <v>0</v>
      </c>
      <c r="KG119" s="21">
        <v>0</v>
      </c>
      <c r="KH119" s="21">
        <v>2</v>
      </c>
      <c r="KI119" s="21">
        <v>0</v>
      </c>
      <c r="KJ119" s="21">
        <v>0</v>
      </c>
      <c r="KK119" s="21">
        <v>2</v>
      </c>
      <c r="KL119" s="21">
        <v>0</v>
      </c>
      <c r="KM119" s="21">
        <v>2</v>
      </c>
      <c r="KN119" s="21">
        <v>0</v>
      </c>
      <c r="KO119" s="21">
        <v>0</v>
      </c>
      <c r="KP119" s="21">
        <v>2</v>
      </c>
      <c r="KQ119" s="21">
        <v>0</v>
      </c>
      <c r="KR119" s="21">
        <v>2</v>
      </c>
      <c r="KS119" s="21">
        <v>0</v>
      </c>
      <c r="LW119" s="26" t="s">
        <v>518</v>
      </c>
      <c r="LX119" s="20">
        <v>0</v>
      </c>
      <c r="LY119" s="20">
        <v>0</v>
      </c>
      <c r="LZ119" s="20">
        <v>4</v>
      </c>
      <c r="MA119" s="20">
        <v>0</v>
      </c>
      <c r="MB119" s="20">
        <v>2</v>
      </c>
      <c r="MC119" s="20">
        <v>4</v>
      </c>
      <c r="MD119" s="20">
        <v>0</v>
      </c>
      <c r="ME119" s="20">
        <v>2</v>
      </c>
      <c r="MF119" s="20">
        <v>4</v>
      </c>
      <c r="MG119" s="20">
        <v>0</v>
      </c>
      <c r="MH119" s="20">
        <v>0</v>
      </c>
      <c r="MI119" s="20">
        <v>0</v>
      </c>
      <c r="MJ119" s="20">
        <v>0</v>
      </c>
      <c r="MK119" s="20">
        <v>0</v>
      </c>
      <c r="ML119" s="20">
        <v>2</v>
      </c>
      <c r="MM119" s="20">
        <v>0</v>
      </c>
      <c r="MN119" s="20">
        <v>0</v>
      </c>
      <c r="MO119" s="20">
        <v>4</v>
      </c>
      <c r="MP119" s="20">
        <v>0</v>
      </c>
      <c r="MQ119" s="20">
        <v>0</v>
      </c>
      <c r="MR119" s="20">
        <v>2</v>
      </c>
      <c r="MS119" s="20">
        <v>0</v>
      </c>
      <c r="MT119" s="20">
        <v>2</v>
      </c>
      <c r="MU119" s="20">
        <v>0</v>
      </c>
      <c r="MV119" s="20">
        <v>0</v>
      </c>
      <c r="MW119" s="20">
        <v>2</v>
      </c>
    </row>
    <row r="120" spans="1:361" x14ac:dyDescent="0.25">
      <c r="A120" s="4"/>
      <c r="B120" s="6"/>
      <c r="C120" s="4"/>
      <c r="D120" s="4"/>
      <c r="E120" s="4"/>
      <c r="F120" s="4"/>
      <c r="G120" s="4"/>
      <c r="H120" s="4"/>
      <c r="I120" s="4"/>
      <c r="J120" s="4"/>
      <c r="K120" s="4"/>
      <c r="L120" s="6" t="str">
        <f>IF(E107=$AC$1,INDEX(($AQ$28:$AQ$37,$AQ$42:$AQ$51,$AQ$56:$AQ$65),MATCH(I104,$AM$28:$AM$37,0),1,MATCH(E111,$AK$22:$AK$24,0)),IF(E107=$AC$2,INDEX(($AW$28:$AW$37,$AW$42:$AW$51,$AW$56:$AW$65),MATCH(I104,$AS$28:$AS$37,0),1,MATCH(E111,$AK$22:$AK$24,0)),0))</f>
        <v>NKWSM8A</v>
      </c>
      <c r="M120" s="14">
        <f>INDEX(cennik!$C$2:$L$529,MATCH($L120,cennik!$B$2:$B$522,0),MATCH(M$27,cennik!$C$1:$L$1,0))</f>
        <v>600909</v>
      </c>
      <c r="N120" s="14" t="str">
        <f>INDEX(cennik!$C$2:$L$529,MATCH($L120,cennik!$B$2:$B$522,0),MATCH(N$27,cennik!$C$1:$L$1,0))</f>
        <v>szt.</v>
      </c>
      <c r="O120" s="14">
        <f>O119</f>
        <v>0</v>
      </c>
      <c r="P120" s="22">
        <f>INDEX(cennik!$C$2:$L$529,MATCH($L120,cennik!$B$2:$B$522,0),MATCH(P$27,cennik!$C$1:$L$1,0))</f>
        <v>0.6</v>
      </c>
      <c r="Q120" s="22">
        <f t="shared" si="105"/>
        <v>0</v>
      </c>
      <c r="R120" s="23">
        <f t="shared" si="101"/>
        <v>0</v>
      </c>
      <c r="S120" s="22">
        <f t="shared" si="102"/>
        <v>0.6</v>
      </c>
      <c r="T120" s="22">
        <f t="shared" si="106"/>
        <v>0</v>
      </c>
      <c r="U120" s="22">
        <f>INDEX(cennik!$C$2:$L$529,MATCH($L120,cennik!$B$2:$B$522,0),MATCH(U$27,cennik!$C$1:$L$1,0))*O120</f>
        <v>0</v>
      </c>
      <c r="V120" s="20"/>
      <c r="X120" s="25">
        <f t="shared" si="98"/>
        <v>0</v>
      </c>
      <c r="Y120" s="20"/>
      <c r="Z120" s="20"/>
      <c r="AA120" s="20"/>
      <c r="AB120" s="20"/>
      <c r="AC120" s="20"/>
      <c r="AD120" s="20"/>
      <c r="AE120" s="20"/>
      <c r="AF120" s="20"/>
      <c r="AG120" s="20"/>
      <c r="AH120" s="20"/>
      <c r="AI120" s="20"/>
      <c r="AJ120" s="20"/>
      <c r="AK120" s="20"/>
      <c r="AL120" s="20"/>
      <c r="AM120" s="20"/>
      <c r="AN120" s="20"/>
      <c r="AO120" s="20"/>
      <c r="AP120" s="20"/>
      <c r="AQ120" s="20"/>
      <c r="AR120" s="20"/>
      <c r="AS120" s="20"/>
      <c r="AT120" s="20"/>
      <c r="AU120" s="20"/>
      <c r="AV120" s="20"/>
      <c r="AW120" s="20"/>
      <c r="AX120" s="20"/>
      <c r="AY120" s="20"/>
      <c r="AZ120" s="20"/>
      <c r="BA120" s="21" t="s">
        <v>519</v>
      </c>
      <c r="BB120" s="21">
        <v>0</v>
      </c>
      <c r="BC120" s="21">
        <v>0</v>
      </c>
      <c r="BD120" s="21">
        <v>2</v>
      </c>
      <c r="BE120" s="21">
        <v>0</v>
      </c>
      <c r="BF120" s="21">
        <v>2</v>
      </c>
      <c r="BG120" s="21">
        <v>0</v>
      </c>
      <c r="BH120" s="21">
        <v>4</v>
      </c>
      <c r="BI120" s="21">
        <v>6</v>
      </c>
      <c r="BJ120" s="21">
        <v>4</v>
      </c>
      <c r="BK120" s="21">
        <v>2</v>
      </c>
      <c r="BL120" s="21">
        <v>0</v>
      </c>
      <c r="BM120" s="21">
        <v>8</v>
      </c>
      <c r="BN120" s="21">
        <v>8</v>
      </c>
      <c r="BO120" s="21">
        <v>4</v>
      </c>
      <c r="BP120" s="21">
        <v>0</v>
      </c>
      <c r="BQ120" s="21">
        <v>12</v>
      </c>
      <c r="BR120" s="21">
        <v>8</v>
      </c>
      <c r="BS120" s="21">
        <v>8</v>
      </c>
      <c r="BT120" s="21">
        <v>2</v>
      </c>
      <c r="BU120" s="21">
        <v>14</v>
      </c>
      <c r="BV120" s="21">
        <v>12</v>
      </c>
      <c r="BW120" s="21">
        <v>8</v>
      </c>
      <c r="BX120" s="21">
        <v>8</v>
      </c>
      <c r="BY120" s="21">
        <v>16</v>
      </c>
      <c r="BZ120" s="21">
        <v>14</v>
      </c>
      <c r="CA120" s="21">
        <v>10</v>
      </c>
      <c r="DA120" s="54"/>
      <c r="DB120" s="54"/>
      <c r="DC120" s="54"/>
      <c r="DD120" s="26" t="s">
        <v>712</v>
      </c>
      <c r="DE120" s="20">
        <v>0</v>
      </c>
      <c r="DF120" s="20"/>
      <c r="DG120" s="20"/>
      <c r="DH120" s="20"/>
      <c r="DI120" s="20"/>
      <c r="DJ120" s="20"/>
      <c r="DK120" s="20"/>
      <c r="DL120" s="20"/>
      <c r="DM120" s="20"/>
      <c r="DN120" s="20"/>
      <c r="DO120" s="20"/>
      <c r="DP120" s="20"/>
      <c r="DQ120" s="20"/>
      <c r="DR120" s="20"/>
      <c r="DS120" s="20"/>
      <c r="DT120" s="20"/>
      <c r="DU120" s="20"/>
      <c r="DV120" s="20"/>
      <c r="DW120" s="20"/>
      <c r="DX120" s="20"/>
      <c r="DY120" s="20"/>
      <c r="DZ120" s="20"/>
      <c r="EA120" s="20"/>
      <c r="EB120" s="20"/>
      <c r="GC120" s="20"/>
      <c r="GD120" s="20"/>
      <c r="GE120" s="26" t="s">
        <v>519</v>
      </c>
      <c r="GF120" s="20">
        <v>0</v>
      </c>
      <c r="GG120" s="20">
        <v>0</v>
      </c>
      <c r="GH120" s="20">
        <v>0</v>
      </c>
      <c r="GI120" s="20">
        <v>0</v>
      </c>
      <c r="GJ120" s="20">
        <v>6</v>
      </c>
      <c r="GK120" s="20">
        <v>6</v>
      </c>
      <c r="GL120" s="20">
        <v>6</v>
      </c>
      <c r="GM120" s="20">
        <v>10</v>
      </c>
      <c r="GN120" s="20">
        <v>10</v>
      </c>
      <c r="GO120" s="20">
        <v>10</v>
      </c>
      <c r="GP120" s="20">
        <v>10</v>
      </c>
      <c r="GQ120" s="20">
        <v>8</v>
      </c>
      <c r="GR120" s="20">
        <v>8</v>
      </c>
      <c r="GS120" s="20">
        <v>8</v>
      </c>
      <c r="GT120" s="20">
        <v>6</v>
      </c>
      <c r="GU120" s="20">
        <v>20</v>
      </c>
      <c r="GV120" s="20">
        <v>6</v>
      </c>
      <c r="GW120" s="20">
        <v>20</v>
      </c>
      <c r="GX120" s="20">
        <v>4</v>
      </c>
      <c r="GY120" s="20">
        <v>4</v>
      </c>
      <c r="GZ120" s="20">
        <v>18</v>
      </c>
      <c r="HA120" s="20">
        <v>16</v>
      </c>
      <c r="HB120" s="20">
        <v>2</v>
      </c>
      <c r="HC120" s="20">
        <v>16</v>
      </c>
      <c r="HD120" s="20">
        <v>30</v>
      </c>
      <c r="HE120" s="20">
        <v>0</v>
      </c>
      <c r="HF120" s="20">
        <v>14</v>
      </c>
      <c r="HG120" s="20">
        <v>4</v>
      </c>
      <c r="HH120" s="20">
        <v>0</v>
      </c>
      <c r="HI120" s="20">
        <v>14</v>
      </c>
      <c r="HJ120" s="20">
        <v>12</v>
      </c>
      <c r="HK120" s="20">
        <v>0</v>
      </c>
      <c r="HL120" s="20">
        <v>12</v>
      </c>
      <c r="HM120" s="20">
        <v>10</v>
      </c>
      <c r="HN120" s="20">
        <v>0</v>
      </c>
      <c r="HO120" s="20">
        <v>10</v>
      </c>
      <c r="HP120" s="20">
        <v>24</v>
      </c>
      <c r="HQ120" s="20">
        <v>0</v>
      </c>
      <c r="HR120" s="20">
        <v>8</v>
      </c>
      <c r="HS120" s="20">
        <v>22</v>
      </c>
      <c r="HT120" s="20">
        <v>0</v>
      </c>
      <c r="HU120" s="20">
        <v>6</v>
      </c>
      <c r="HV120" s="20">
        <v>0</v>
      </c>
      <c r="HW120" s="20">
        <v>0</v>
      </c>
      <c r="HX120" s="20">
        <v>4</v>
      </c>
      <c r="HY120" s="20">
        <v>18</v>
      </c>
      <c r="HZ120" s="20">
        <v>0</v>
      </c>
      <c r="IA120" s="20">
        <v>2</v>
      </c>
      <c r="IB120" s="20">
        <v>2</v>
      </c>
      <c r="IC120" s="20">
        <v>0</v>
      </c>
      <c r="ID120" s="20">
        <v>2</v>
      </c>
      <c r="JS120" s="21" t="s">
        <v>519</v>
      </c>
      <c r="JT120" s="21">
        <v>0</v>
      </c>
      <c r="JU120" s="21">
        <v>0</v>
      </c>
      <c r="JV120" s="21">
        <v>2</v>
      </c>
      <c r="JW120" s="21">
        <v>0</v>
      </c>
      <c r="JX120" s="21">
        <v>2</v>
      </c>
      <c r="JY120" s="21">
        <v>2</v>
      </c>
      <c r="JZ120" s="21">
        <v>0</v>
      </c>
      <c r="KA120" s="21">
        <v>0</v>
      </c>
      <c r="KB120" s="21">
        <v>4</v>
      </c>
      <c r="KC120" s="21">
        <v>6</v>
      </c>
      <c r="KD120" s="21">
        <v>4</v>
      </c>
      <c r="KE120" s="21">
        <v>2</v>
      </c>
      <c r="KF120" s="21">
        <v>0</v>
      </c>
      <c r="KG120" s="21">
        <v>8</v>
      </c>
      <c r="KH120" s="21">
        <v>10</v>
      </c>
      <c r="KI120" s="21">
        <v>8</v>
      </c>
      <c r="KJ120" s="21">
        <v>6</v>
      </c>
      <c r="KK120" s="21">
        <v>2</v>
      </c>
      <c r="KL120" s="21">
        <v>0</v>
      </c>
      <c r="KM120" s="21">
        <v>12</v>
      </c>
      <c r="KN120" s="21">
        <v>10</v>
      </c>
      <c r="KO120" s="21">
        <v>8</v>
      </c>
      <c r="KP120" s="21">
        <v>8</v>
      </c>
      <c r="KQ120" s="21">
        <v>2</v>
      </c>
      <c r="KR120" s="21">
        <v>14</v>
      </c>
      <c r="KS120" s="21">
        <v>12</v>
      </c>
      <c r="LW120" s="26" t="s">
        <v>519</v>
      </c>
      <c r="LX120" s="20">
        <v>0</v>
      </c>
      <c r="LY120" s="20">
        <v>0</v>
      </c>
      <c r="LZ120" s="20">
        <v>0</v>
      </c>
      <c r="MA120" s="20">
        <v>0</v>
      </c>
      <c r="MB120" s="20">
        <v>0</v>
      </c>
      <c r="MC120" s="20">
        <v>0</v>
      </c>
      <c r="MD120" s="20">
        <v>0</v>
      </c>
      <c r="ME120" s="20">
        <v>2</v>
      </c>
      <c r="MF120" s="20">
        <v>0</v>
      </c>
      <c r="MG120" s="20">
        <v>2</v>
      </c>
      <c r="MH120" s="20">
        <v>0</v>
      </c>
      <c r="MI120" s="20">
        <v>14</v>
      </c>
      <c r="MJ120" s="20">
        <v>4</v>
      </c>
      <c r="MK120" s="20">
        <v>16</v>
      </c>
      <c r="ML120" s="20">
        <v>16</v>
      </c>
      <c r="MM120" s="20">
        <v>2</v>
      </c>
      <c r="MN120" s="20">
        <v>16</v>
      </c>
      <c r="MO120" s="20">
        <v>6</v>
      </c>
      <c r="MP120" s="20">
        <v>2</v>
      </c>
      <c r="MQ120" s="20">
        <v>16</v>
      </c>
      <c r="MR120" s="20">
        <v>16</v>
      </c>
      <c r="MS120" s="20">
        <v>2</v>
      </c>
      <c r="MT120" s="20">
        <v>8</v>
      </c>
      <c r="MU120" s="20">
        <v>32</v>
      </c>
      <c r="MV120" s="20">
        <v>2</v>
      </c>
      <c r="MW120" s="20">
        <v>2</v>
      </c>
    </row>
    <row r="121" spans="1:361" x14ac:dyDescent="0.25">
      <c r="A121" s="4"/>
      <c r="B121" s="6"/>
      <c r="C121" s="4"/>
      <c r="D121" s="4"/>
      <c r="E121" s="4"/>
      <c r="F121" s="4"/>
      <c r="G121" s="4"/>
      <c r="H121" s="4"/>
      <c r="I121" s="4"/>
      <c r="J121" s="4"/>
      <c r="K121" s="4"/>
      <c r="L121" s="6" t="str">
        <f>IF(L118="PUFK","PUPK",IF(L118="PUFKL","PUPK","PUP"))</f>
        <v>PUP</v>
      </c>
      <c r="M121" s="14">
        <f>INDEX(cennik!$C$2:$L$529,MATCH($L121,cennik!$B$2:$B$522,0),MATCH(M$27,cennik!$C$1:$L$1,0))</f>
        <v>897303</v>
      </c>
      <c r="N121" s="14" t="str">
        <f>INDEX(cennik!$C$2:$L$529,MATCH($L121,cennik!$B$2:$B$522,0),MATCH(N$27,cennik!$C$1:$L$1,0))</f>
        <v>szt.</v>
      </c>
      <c r="O121" s="14">
        <f>SUM((IF(MOD(A103,2)=0,A103/2,IF(MOD(A103,2)=1,FLOOR(A103/2,1)+1,0))*C103),(IF(MOD(A104,2)=0,A104/2,IF(MOD(A104,2)=1,FLOOR(A104/2,1)+1,0))*C104),(IF(MOD(A105,2)=0,A105/2,IF(MOD(A105,2)=1,FLOOR(A105/2,1)+1,0))*C105),(IF(MOD(A106,2)=0,A106/2,IF(MOD(A106,2)=1,FLOOR(A106/2,1)+1,0))*C106),(IF(MOD(A107,2)=0,A107/2,IF(MOD(A107,2)=1,FLOOR(A107/2,1)+1,0))*C107),(IF(MOD(A108,2)=0,A108/2,IF(MOD(A108,2)=1,FLOOR(A108/2,1)+1,0))*C108),(IF(MOD(A109,2)=0,A109/2,IF(MOD(A109,2)=1,FLOOR(A109/2,1)+1,0))*C109),(IF(MOD(A110,2)=0,A110/2,IF(MOD(A110,2)=1,FLOOR(A110/2,1)+1,0))*C110),(IF(MOD(A111,2)=0,A111/2,IF(MOD(A111,2)=1,FLOOR(A111/2,1)+1,0))*C111),(IF(MOD(A112,2)=0,A112/2,IF(MOD(A112,2)=1,FLOOR(A112/2,1)+1,0))*C112),(IF(MOD(A113,2)=0,A113/2,IF(MOD(A113,2)=1,FLOOR(A113/2,1)+1,0))*C113),(IF(MOD(A114,2)=0,A114/2,IF(MOD(A114,2)=1,FLOOR(A114/2,1)+1,0))*C114),(IF(MOD(A115,2)=0,A115/2,IF(MOD(A115,2)=1,FLOOR(A115/2,1)+1,0))*C115),(IF(MOD(A116,2)=0,A116/2,IF(MOD(A116,2)=1,FLOOR(A116/2,1)+1,0))*C116),(IF(MOD(A117,2)=0,A117/2,IF(MOD(A117,2)=1,FLOOR(A117/2,1)+1,0))*C117),(IF(MOD(A118,2)=0,A118/2,IF(MOD(A118,2)=1,FLOOR(A118/2,1)+1,0))*C118))</f>
        <v>0</v>
      </c>
      <c r="P121" s="22">
        <f>INDEX(cennik!$C$2:$L$529,MATCH($L121,cennik!$B$2:$B$522,0),MATCH(P$27,cennik!$C$1:$L$1,0))</f>
        <v>2.4</v>
      </c>
      <c r="Q121" s="22">
        <f t="shared" si="105"/>
        <v>0</v>
      </c>
      <c r="R121" s="23">
        <f t="shared" si="101"/>
        <v>0</v>
      </c>
      <c r="S121" s="22">
        <f t="shared" si="102"/>
        <v>2.4</v>
      </c>
      <c r="T121" s="22">
        <f t="shared" si="106"/>
        <v>0</v>
      </c>
      <c r="U121" s="22">
        <f>INDEX(cennik!$C$2:$L$529,MATCH($L121,cennik!$B$2:$B$522,0),MATCH(U$27,cennik!$C$1:$L$1,0))*O121</f>
        <v>0</v>
      </c>
      <c r="V121" s="20"/>
      <c r="X121" s="25">
        <f t="shared" si="98"/>
        <v>0</v>
      </c>
      <c r="Y121" s="20"/>
      <c r="Z121" s="20"/>
      <c r="AA121" s="20"/>
      <c r="AB121" s="20"/>
      <c r="AC121" s="20"/>
      <c r="AD121" s="20"/>
      <c r="AE121" s="20"/>
      <c r="AF121" s="20"/>
      <c r="AG121" s="20"/>
      <c r="AH121" s="20"/>
      <c r="AI121" s="20"/>
      <c r="AJ121" s="20"/>
      <c r="AK121" s="20"/>
      <c r="AL121" s="20"/>
      <c r="AM121" s="20"/>
      <c r="AN121" s="20"/>
      <c r="AO121" s="20"/>
      <c r="AP121" s="20"/>
      <c r="AQ121" s="20"/>
      <c r="AR121" s="20"/>
      <c r="AS121" s="20"/>
      <c r="AT121" s="20"/>
      <c r="AU121" s="20"/>
      <c r="AV121" s="20"/>
      <c r="AW121" s="20"/>
      <c r="AX121" s="20"/>
      <c r="AY121" s="20"/>
      <c r="AZ121" s="20"/>
      <c r="BA121" s="21" t="s">
        <v>520</v>
      </c>
      <c r="BB121" s="21">
        <v>0</v>
      </c>
      <c r="BC121" s="21">
        <v>0</v>
      </c>
      <c r="BD121" s="21">
        <v>0</v>
      </c>
      <c r="BE121" s="21">
        <v>0</v>
      </c>
      <c r="BF121" s="21">
        <v>0</v>
      </c>
      <c r="BG121" s="21">
        <v>0</v>
      </c>
      <c r="BH121" s="21">
        <v>0</v>
      </c>
      <c r="BI121" s="21">
        <v>0</v>
      </c>
      <c r="BJ121" s="21">
        <v>0</v>
      </c>
      <c r="BK121" s="21">
        <v>4</v>
      </c>
      <c r="BL121" s="21">
        <v>6</v>
      </c>
      <c r="BM121" s="21">
        <v>0</v>
      </c>
      <c r="BN121" s="21">
        <v>2</v>
      </c>
      <c r="BO121" s="21">
        <v>6</v>
      </c>
      <c r="BP121" s="21">
        <v>10</v>
      </c>
      <c r="BQ121" s="21">
        <v>0</v>
      </c>
      <c r="BR121" s="21">
        <v>4</v>
      </c>
      <c r="BS121" s="21">
        <v>6</v>
      </c>
      <c r="BT121" s="21">
        <v>10</v>
      </c>
      <c r="BU121" s="21">
        <v>2</v>
      </c>
      <c r="BV121" s="21">
        <v>4</v>
      </c>
      <c r="BW121" s="21">
        <v>8</v>
      </c>
      <c r="BX121" s="21">
        <v>10</v>
      </c>
      <c r="BY121" s="21">
        <v>2</v>
      </c>
      <c r="BZ121" s="21">
        <v>6</v>
      </c>
      <c r="CA121" s="21">
        <v>8</v>
      </c>
      <c r="DA121" s="54"/>
      <c r="DB121" s="54"/>
      <c r="DC121" s="54"/>
      <c r="DD121" s="20"/>
      <c r="DE121" s="20"/>
      <c r="DF121" s="20"/>
      <c r="DG121" s="20"/>
      <c r="DH121" s="20"/>
      <c r="DI121" s="20"/>
      <c r="DJ121" s="20"/>
      <c r="DK121" s="20"/>
      <c r="DL121" s="20"/>
      <c r="DM121" s="20"/>
      <c r="DN121" s="20"/>
      <c r="DO121" s="20"/>
      <c r="DP121" s="20"/>
      <c r="DQ121" s="20"/>
      <c r="DR121" s="20"/>
      <c r="DS121" s="20"/>
      <c r="DT121" s="20"/>
      <c r="DU121" s="20"/>
      <c r="DV121" s="20"/>
      <c r="DW121" s="20"/>
      <c r="DX121" s="20"/>
      <c r="DY121" s="20"/>
      <c r="DZ121" s="20"/>
      <c r="EA121" s="20"/>
      <c r="EB121" s="20"/>
      <c r="GC121" s="20"/>
      <c r="GD121" s="20"/>
      <c r="GE121" s="26" t="s">
        <v>520</v>
      </c>
      <c r="GF121" s="20">
        <v>0</v>
      </c>
      <c r="GG121" s="20">
        <v>0</v>
      </c>
      <c r="GH121" s="20">
        <v>0</v>
      </c>
      <c r="GI121" s="20">
        <v>2</v>
      </c>
      <c r="GJ121" s="20">
        <v>0</v>
      </c>
      <c r="GK121" s="20">
        <v>0</v>
      </c>
      <c r="GL121" s="20">
        <v>0</v>
      </c>
      <c r="GM121" s="20">
        <v>0</v>
      </c>
      <c r="GN121" s="20">
        <v>0</v>
      </c>
      <c r="GO121" s="20">
        <v>0</v>
      </c>
      <c r="GP121" s="20">
        <v>4</v>
      </c>
      <c r="GQ121" s="20">
        <v>6</v>
      </c>
      <c r="GR121" s="20">
        <v>6</v>
      </c>
      <c r="GS121" s="20">
        <v>10</v>
      </c>
      <c r="GT121" s="20">
        <v>12</v>
      </c>
      <c r="GU121" s="20">
        <v>0</v>
      </c>
      <c r="GV121" s="20">
        <v>16</v>
      </c>
      <c r="GW121" s="20">
        <v>4</v>
      </c>
      <c r="GX121" s="20">
        <v>18</v>
      </c>
      <c r="GY121" s="20">
        <v>22</v>
      </c>
      <c r="GZ121" s="20">
        <v>10</v>
      </c>
      <c r="HA121" s="20">
        <v>12</v>
      </c>
      <c r="HB121" s="20">
        <v>28</v>
      </c>
      <c r="HC121" s="20">
        <v>16</v>
      </c>
      <c r="HD121" s="20">
        <v>4</v>
      </c>
      <c r="HE121" s="20">
        <v>34</v>
      </c>
      <c r="HF121" s="20">
        <v>22</v>
      </c>
      <c r="HG121" s="20">
        <v>30</v>
      </c>
      <c r="HH121" s="20">
        <v>38</v>
      </c>
      <c r="HI121" s="20">
        <v>26</v>
      </c>
      <c r="HJ121" s="20">
        <v>28</v>
      </c>
      <c r="HK121" s="20">
        <v>42</v>
      </c>
      <c r="HL121" s="20">
        <v>32</v>
      </c>
      <c r="HM121" s="20">
        <v>34</v>
      </c>
      <c r="HN121" s="20">
        <v>46</v>
      </c>
      <c r="HO121" s="20">
        <v>38</v>
      </c>
      <c r="HP121" s="20">
        <v>26</v>
      </c>
      <c r="HQ121" s="20">
        <v>50</v>
      </c>
      <c r="HR121" s="20">
        <v>44</v>
      </c>
      <c r="HS121" s="20">
        <v>32</v>
      </c>
      <c r="HT121" s="20">
        <v>54</v>
      </c>
      <c r="HU121" s="20">
        <v>50</v>
      </c>
      <c r="HV121" s="20">
        <v>54</v>
      </c>
      <c r="HW121" s="20">
        <v>58</v>
      </c>
      <c r="HX121" s="20">
        <v>56</v>
      </c>
      <c r="HY121" s="20">
        <v>44</v>
      </c>
      <c r="HZ121" s="20">
        <v>62</v>
      </c>
      <c r="IA121" s="20">
        <v>62</v>
      </c>
      <c r="IB121" s="20">
        <v>62</v>
      </c>
      <c r="IC121" s="20">
        <v>66</v>
      </c>
      <c r="ID121" s="20">
        <v>66</v>
      </c>
      <c r="JS121" s="21" t="s">
        <v>520</v>
      </c>
      <c r="JT121" s="21">
        <v>0</v>
      </c>
      <c r="JU121" s="21">
        <v>0</v>
      </c>
      <c r="JV121" s="21">
        <v>0</v>
      </c>
      <c r="JW121" s="21">
        <v>0</v>
      </c>
      <c r="JX121" s="21">
        <v>0</v>
      </c>
      <c r="JY121" s="21">
        <v>2</v>
      </c>
      <c r="JZ121" s="21">
        <v>4</v>
      </c>
      <c r="KA121" s="21">
        <v>2</v>
      </c>
      <c r="KB121" s="21">
        <v>0</v>
      </c>
      <c r="KC121" s="21">
        <v>0</v>
      </c>
      <c r="KD121" s="21">
        <v>4</v>
      </c>
      <c r="KE121" s="21">
        <v>4</v>
      </c>
      <c r="KF121" s="21">
        <v>8</v>
      </c>
      <c r="KG121" s="21">
        <v>0</v>
      </c>
      <c r="KH121" s="21">
        <v>0</v>
      </c>
      <c r="KI121" s="21">
        <v>4</v>
      </c>
      <c r="KJ121" s="21">
        <v>6</v>
      </c>
      <c r="KK121" s="21">
        <v>10</v>
      </c>
      <c r="KL121" s="21">
        <v>14</v>
      </c>
      <c r="KM121" s="21">
        <v>2</v>
      </c>
      <c r="KN121" s="21">
        <v>6</v>
      </c>
      <c r="KO121" s="21">
        <v>8</v>
      </c>
      <c r="KP121" s="21">
        <v>8</v>
      </c>
      <c r="KQ121" s="21">
        <v>16</v>
      </c>
      <c r="KR121" s="21">
        <v>4</v>
      </c>
      <c r="KS121" s="21">
        <v>8</v>
      </c>
      <c r="LW121" s="26" t="s">
        <v>520</v>
      </c>
      <c r="LX121" s="20">
        <v>0</v>
      </c>
      <c r="LY121" s="20">
        <v>0</v>
      </c>
      <c r="LZ121" s="20">
        <v>0</v>
      </c>
      <c r="MA121" s="20">
        <v>4</v>
      </c>
      <c r="MB121" s="20">
        <v>4</v>
      </c>
      <c r="MC121" s="20">
        <v>4</v>
      </c>
      <c r="MD121" s="20">
        <v>8</v>
      </c>
      <c r="ME121" s="20">
        <v>6</v>
      </c>
      <c r="MF121" s="20">
        <v>8</v>
      </c>
      <c r="MG121" s="20">
        <v>10</v>
      </c>
      <c r="MH121" s="20">
        <v>12</v>
      </c>
      <c r="MI121" s="20">
        <v>0</v>
      </c>
      <c r="MJ121" s="20">
        <v>12</v>
      </c>
      <c r="MK121" s="20">
        <v>2</v>
      </c>
      <c r="ML121" s="20">
        <v>2</v>
      </c>
      <c r="MM121" s="20">
        <v>18</v>
      </c>
      <c r="MN121" s="20">
        <v>6</v>
      </c>
      <c r="MO121" s="20">
        <v>14</v>
      </c>
      <c r="MP121" s="20">
        <v>22</v>
      </c>
      <c r="MQ121" s="20">
        <v>10</v>
      </c>
      <c r="MR121" s="20">
        <v>10</v>
      </c>
      <c r="MS121" s="20">
        <v>26</v>
      </c>
      <c r="MT121" s="20">
        <v>20</v>
      </c>
      <c r="MU121" s="20">
        <v>0</v>
      </c>
      <c r="MV121" s="20">
        <v>30</v>
      </c>
      <c r="MW121" s="20">
        <v>30</v>
      </c>
    </row>
    <row r="122" spans="1:361" x14ac:dyDescent="0.25">
      <c r="A122" s="4"/>
      <c r="B122" s="6"/>
      <c r="C122" s="4"/>
      <c r="D122" s="4"/>
      <c r="E122" s="4"/>
      <c r="F122" s="4"/>
      <c r="G122" s="4"/>
      <c r="H122" s="4"/>
      <c r="I122" s="4"/>
      <c r="J122" s="4"/>
      <c r="K122" s="4"/>
      <c r="L122" s="6" t="s">
        <v>512</v>
      </c>
      <c r="M122" s="14">
        <f>INDEX(cennik!$C$2:$L$529,MATCH($L122,cennik!$B$2:$B$522,0),MATCH(M$27,cennik!$C$1:$L$1,0))</f>
        <v>808251</v>
      </c>
      <c r="N122" s="14" t="str">
        <f>INDEX(cennik!$C$2:$L$529,MATCH($L122,cennik!$B$2:$B$522,0),MATCH(N$27,cennik!$C$1:$L$1,0))</f>
        <v>szt.</v>
      </c>
      <c r="O122" s="14">
        <f>IF(E111=$AK$24,0,E112)</f>
        <v>0</v>
      </c>
      <c r="P122" s="22">
        <f>INDEX(cennik!$C$2:$L$529,MATCH($L122,cennik!$B$2:$B$522,0),MATCH(P$27,cennik!$C$1:$L$1,0))</f>
        <v>0.63</v>
      </c>
      <c r="Q122" s="22">
        <f t="shared" si="105"/>
        <v>0</v>
      </c>
      <c r="R122" s="23">
        <f t="shared" si="101"/>
        <v>0</v>
      </c>
      <c r="S122" s="22">
        <f t="shared" si="102"/>
        <v>0.63</v>
      </c>
      <c r="T122" s="22">
        <f t="shared" si="106"/>
        <v>0</v>
      </c>
      <c r="U122" s="22">
        <f>INDEX(cennik!$C$2:$L$529,MATCH($L122,cennik!$B$2:$B$522,0),MATCH(U$27,cennik!$C$1:$L$1,0))*O122</f>
        <v>0</v>
      </c>
      <c r="V122" s="20"/>
      <c r="X122" s="20"/>
      <c r="Y122" s="20"/>
      <c r="Z122" s="20"/>
      <c r="AA122" s="20"/>
      <c r="AB122" s="20"/>
      <c r="AC122" s="20"/>
      <c r="AD122" s="20"/>
      <c r="AE122" s="20"/>
      <c r="AF122" s="20"/>
      <c r="AG122" s="20"/>
      <c r="AH122" s="20"/>
      <c r="AI122" s="20"/>
      <c r="AJ122" s="20"/>
      <c r="AK122" s="20"/>
      <c r="AL122" s="20"/>
      <c r="AM122" s="20"/>
      <c r="AN122" s="20"/>
      <c r="AO122" s="20"/>
      <c r="AP122" s="20"/>
      <c r="AQ122" s="20"/>
      <c r="AR122" s="20"/>
      <c r="AS122" s="20"/>
      <c r="AT122" s="20"/>
      <c r="AU122" s="20"/>
      <c r="AV122" s="20"/>
      <c r="AW122" s="20"/>
      <c r="AX122" s="20"/>
      <c r="AY122" s="20"/>
      <c r="AZ122" s="20"/>
      <c r="BA122" s="21" t="s">
        <v>521</v>
      </c>
      <c r="BB122" s="21">
        <v>0</v>
      </c>
      <c r="BC122" s="21">
        <v>0</v>
      </c>
      <c r="BD122" s="21">
        <v>0</v>
      </c>
      <c r="BE122" s="21">
        <v>4</v>
      </c>
      <c r="BF122" s="21">
        <v>4</v>
      </c>
      <c r="BG122" s="21">
        <v>12</v>
      </c>
      <c r="BH122" s="21">
        <v>8</v>
      </c>
      <c r="BI122" s="21">
        <v>8</v>
      </c>
      <c r="BJ122" s="21">
        <v>12</v>
      </c>
      <c r="BK122" s="21">
        <v>12</v>
      </c>
      <c r="BL122" s="21">
        <v>20</v>
      </c>
      <c r="BM122" s="21">
        <v>16</v>
      </c>
      <c r="BN122" s="21">
        <v>16</v>
      </c>
      <c r="BO122" s="21">
        <v>20</v>
      </c>
      <c r="BP122" s="21">
        <v>20</v>
      </c>
      <c r="BQ122" s="21">
        <v>24</v>
      </c>
      <c r="BR122" s="21">
        <v>24</v>
      </c>
      <c r="BS122" s="21">
        <v>24</v>
      </c>
      <c r="BT122" s="21">
        <v>28</v>
      </c>
      <c r="BU122" s="21">
        <v>28</v>
      </c>
      <c r="BV122" s="21">
        <v>32</v>
      </c>
      <c r="BW122" s="21">
        <v>32</v>
      </c>
      <c r="BX122" s="21">
        <v>32</v>
      </c>
      <c r="BY122" s="21">
        <v>36</v>
      </c>
      <c r="BZ122" s="21">
        <v>36</v>
      </c>
      <c r="CA122" s="21">
        <v>40</v>
      </c>
      <c r="DA122" s="54"/>
      <c r="DB122" s="54"/>
      <c r="DC122" s="54"/>
      <c r="DD122" s="20" t="s">
        <v>113</v>
      </c>
      <c r="DE122" s="20">
        <v>0</v>
      </c>
      <c r="DF122" s="20">
        <v>1</v>
      </c>
      <c r="DG122" s="20">
        <v>2</v>
      </c>
      <c r="DH122" s="20">
        <v>3</v>
      </c>
      <c r="DI122" s="20">
        <v>4</v>
      </c>
      <c r="DJ122" s="20">
        <v>5</v>
      </c>
      <c r="DK122" s="20">
        <v>6</v>
      </c>
      <c r="DL122" s="20">
        <v>7</v>
      </c>
      <c r="DM122" s="20">
        <v>8</v>
      </c>
      <c r="DN122" s="20">
        <v>9</v>
      </c>
      <c r="DO122" s="20">
        <v>10</v>
      </c>
      <c r="DP122" s="20">
        <v>11</v>
      </c>
      <c r="DQ122" s="20">
        <v>12</v>
      </c>
      <c r="DR122" s="20">
        <v>13</v>
      </c>
      <c r="DS122" s="20">
        <v>14</v>
      </c>
      <c r="DT122" s="20">
        <v>15</v>
      </c>
      <c r="DU122" s="20">
        <v>16</v>
      </c>
      <c r="DV122" s="20">
        <v>17</v>
      </c>
      <c r="DW122" s="20">
        <v>18</v>
      </c>
      <c r="DX122" s="20">
        <v>19</v>
      </c>
      <c r="DY122" s="20">
        <v>20</v>
      </c>
      <c r="DZ122" s="20"/>
      <c r="EA122" s="20"/>
      <c r="EB122" s="20"/>
      <c r="GC122" s="20"/>
      <c r="GD122" s="20"/>
      <c r="GE122" s="26" t="s">
        <v>521</v>
      </c>
      <c r="GF122" s="20">
        <v>0</v>
      </c>
      <c r="GG122" s="20">
        <v>4</v>
      </c>
      <c r="GH122" s="20">
        <v>4</v>
      </c>
      <c r="GI122" s="20">
        <v>4</v>
      </c>
      <c r="GJ122" s="20">
        <v>8</v>
      </c>
      <c r="GK122" s="20">
        <v>12</v>
      </c>
      <c r="GL122" s="20">
        <v>12</v>
      </c>
      <c r="GM122" s="20">
        <v>16</v>
      </c>
      <c r="GN122" s="20">
        <v>20</v>
      </c>
      <c r="GO122" s="20">
        <v>20</v>
      </c>
      <c r="GP122" s="20">
        <v>24</v>
      </c>
      <c r="GQ122" s="20">
        <v>28</v>
      </c>
      <c r="GR122" s="20">
        <v>32</v>
      </c>
      <c r="GS122" s="20">
        <v>32</v>
      </c>
      <c r="GT122" s="20">
        <v>36</v>
      </c>
      <c r="GU122" s="20">
        <v>40</v>
      </c>
      <c r="GV122" s="20">
        <v>40</v>
      </c>
      <c r="GW122" s="20">
        <v>44</v>
      </c>
      <c r="GX122" s="20">
        <v>48</v>
      </c>
      <c r="GY122" s="20">
        <v>48</v>
      </c>
      <c r="GZ122" s="20">
        <v>52</v>
      </c>
      <c r="HA122" s="20">
        <v>56</v>
      </c>
      <c r="HB122" s="20">
        <v>56</v>
      </c>
      <c r="HC122" s="20">
        <v>60</v>
      </c>
      <c r="HD122" s="20">
        <v>64</v>
      </c>
      <c r="HE122" s="20">
        <v>64</v>
      </c>
      <c r="HF122" s="20">
        <v>68</v>
      </c>
      <c r="HG122" s="20">
        <v>72</v>
      </c>
      <c r="HH122" s="20">
        <v>72</v>
      </c>
      <c r="HI122" s="20">
        <v>76</v>
      </c>
      <c r="HJ122" s="20">
        <v>80</v>
      </c>
      <c r="HK122" s="20">
        <v>80</v>
      </c>
      <c r="HL122" s="20">
        <v>84</v>
      </c>
      <c r="HM122" s="20">
        <v>88</v>
      </c>
      <c r="HN122" s="20">
        <v>88</v>
      </c>
      <c r="HO122" s="20">
        <v>92</v>
      </c>
      <c r="HP122" s="20">
        <v>96</v>
      </c>
      <c r="HQ122" s="20">
        <v>96</v>
      </c>
      <c r="HR122" s="20">
        <v>100</v>
      </c>
      <c r="HS122" s="20">
        <v>104</v>
      </c>
      <c r="HT122" s="20">
        <v>104</v>
      </c>
      <c r="HU122" s="20">
        <v>108</v>
      </c>
      <c r="HV122" s="20">
        <v>112</v>
      </c>
      <c r="HW122" s="20">
        <v>112</v>
      </c>
      <c r="HX122" s="20">
        <v>116</v>
      </c>
      <c r="HY122" s="20">
        <v>120</v>
      </c>
      <c r="HZ122" s="20">
        <v>120</v>
      </c>
      <c r="IA122" s="20">
        <v>124</v>
      </c>
      <c r="IB122" s="20">
        <v>128</v>
      </c>
      <c r="IC122" s="20">
        <v>128</v>
      </c>
      <c r="ID122" s="20">
        <v>132</v>
      </c>
      <c r="JS122" s="21" t="s">
        <v>521</v>
      </c>
      <c r="JT122" s="21">
        <v>0</v>
      </c>
      <c r="JU122" s="21">
        <v>0</v>
      </c>
      <c r="JV122" s="21">
        <v>0</v>
      </c>
      <c r="JW122" s="21">
        <v>4</v>
      </c>
      <c r="JX122" s="21">
        <v>4</v>
      </c>
      <c r="JY122" s="21">
        <v>4</v>
      </c>
      <c r="JZ122" s="21">
        <v>8</v>
      </c>
      <c r="KA122" s="21">
        <v>16</v>
      </c>
      <c r="KB122" s="21">
        <v>12</v>
      </c>
      <c r="KC122" s="21">
        <v>12</v>
      </c>
      <c r="KD122" s="21">
        <v>12</v>
      </c>
      <c r="KE122" s="21">
        <v>16</v>
      </c>
      <c r="KF122" s="21">
        <v>16</v>
      </c>
      <c r="KG122" s="21">
        <v>20</v>
      </c>
      <c r="KH122" s="21">
        <v>20</v>
      </c>
      <c r="KI122" s="21">
        <v>20</v>
      </c>
      <c r="KJ122" s="21">
        <v>24</v>
      </c>
      <c r="KK122" s="21">
        <v>24</v>
      </c>
      <c r="KL122" s="21">
        <v>24</v>
      </c>
      <c r="KM122" s="21">
        <v>28</v>
      </c>
      <c r="KN122" s="21">
        <v>28</v>
      </c>
      <c r="KO122" s="21">
        <v>32</v>
      </c>
      <c r="KP122" s="21">
        <v>32</v>
      </c>
      <c r="KQ122" s="21">
        <v>32</v>
      </c>
      <c r="KR122" s="21">
        <v>36</v>
      </c>
      <c r="KS122" s="21">
        <v>36</v>
      </c>
      <c r="LW122" s="26" t="s">
        <v>521</v>
      </c>
      <c r="LX122" s="20">
        <v>0</v>
      </c>
      <c r="LY122" s="20">
        <v>4</v>
      </c>
      <c r="LZ122" s="20">
        <v>4</v>
      </c>
      <c r="MA122" s="20">
        <v>4</v>
      </c>
      <c r="MB122" s="20">
        <v>8</v>
      </c>
      <c r="MC122" s="20">
        <v>12</v>
      </c>
      <c r="MD122" s="20">
        <v>12</v>
      </c>
      <c r="ME122" s="20">
        <v>16</v>
      </c>
      <c r="MF122" s="20">
        <v>20</v>
      </c>
      <c r="MG122" s="20">
        <v>20</v>
      </c>
      <c r="MH122" s="20">
        <v>24</v>
      </c>
      <c r="MI122" s="20">
        <v>28</v>
      </c>
      <c r="MJ122" s="20">
        <v>28</v>
      </c>
      <c r="MK122" s="20">
        <v>32</v>
      </c>
      <c r="ML122" s="20">
        <v>36</v>
      </c>
      <c r="MM122" s="20">
        <v>36</v>
      </c>
      <c r="MN122" s="20">
        <v>40</v>
      </c>
      <c r="MO122" s="20">
        <v>44</v>
      </c>
      <c r="MP122" s="20">
        <v>44</v>
      </c>
      <c r="MQ122" s="20">
        <v>48</v>
      </c>
      <c r="MR122" s="20">
        <v>52</v>
      </c>
      <c r="MS122" s="20">
        <v>52</v>
      </c>
      <c r="MT122" s="20">
        <v>56</v>
      </c>
      <c r="MU122" s="20">
        <v>60</v>
      </c>
      <c r="MV122" s="20">
        <v>60</v>
      </c>
      <c r="MW122" s="20">
        <v>64</v>
      </c>
    </row>
    <row r="123" spans="1:361" x14ac:dyDescent="0.25">
      <c r="A123" s="4"/>
      <c r="B123" s="6"/>
      <c r="C123" s="4"/>
      <c r="D123" s="4"/>
      <c r="E123" s="4"/>
      <c r="F123" s="4"/>
      <c r="G123" s="4"/>
      <c r="H123" s="4"/>
      <c r="I123" s="4"/>
      <c r="J123" s="4"/>
      <c r="K123" s="4"/>
      <c r="L123" s="6" t="s">
        <v>67</v>
      </c>
      <c r="M123" s="14">
        <f>INDEX(cennik!$C$2:$L$529,MATCH($L123,cennik!$B$2:$B$522,0),MATCH(M$27,cennik!$C$1:$L$1,0))</f>
        <v>890008</v>
      </c>
      <c r="N123" s="14" t="str">
        <f>INDEX(cennik!$C$2:$L$529,MATCH($L123,cennik!$B$2:$B$522,0),MATCH(N$27,cennik!$C$1:$L$1,0))</f>
        <v>100 szt.</v>
      </c>
      <c r="O123" s="14">
        <f>ROUNDUP((O122/100),0)</f>
        <v>0</v>
      </c>
      <c r="P123" s="22">
        <f>INDEX(cennik!$C$2:$L$529,MATCH($L123,cennik!$B$2:$B$522,0),MATCH(P$27,cennik!$C$1:$L$1,0))</f>
        <v>28.15</v>
      </c>
      <c r="Q123" s="22">
        <f t="shared" si="105"/>
        <v>0</v>
      </c>
      <c r="R123" s="23">
        <f t="shared" si="101"/>
        <v>0</v>
      </c>
      <c r="S123" s="22">
        <f t="shared" si="102"/>
        <v>28.15</v>
      </c>
      <c r="T123" s="22">
        <f t="shared" si="106"/>
        <v>0</v>
      </c>
      <c r="U123" s="22">
        <f>INDEX(cennik!$C$2:$L$529,MATCH($L123,cennik!$B$2:$B$522,0),MATCH(U$27,cennik!$C$1:$L$1,0))*O123</f>
        <v>0</v>
      </c>
      <c r="V123" s="20"/>
      <c r="AE123" s="20"/>
      <c r="AF123" s="20"/>
      <c r="AG123" s="20"/>
      <c r="AH123" s="20"/>
      <c r="AI123" s="20"/>
      <c r="AJ123" s="20"/>
      <c r="AK123" s="20"/>
      <c r="AL123" s="20"/>
      <c r="AM123" s="20"/>
      <c r="AN123" s="20"/>
      <c r="AO123" s="20"/>
      <c r="AP123" s="20"/>
      <c r="AQ123" s="20"/>
      <c r="AR123" s="20"/>
      <c r="AS123" s="20"/>
      <c r="AT123" s="20"/>
      <c r="AU123" s="20"/>
      <c r="AV123" s="20"/>
      <c r="AW123" s="20"/>
      <c r="AX123" s="20"/>
      <c r="AY123" s="20"/>
      <c r="AZ123" s="20"/>
      <c r="BA123" s="21" t="s">
        <v>710</v>
      </c>
      <c r="BB123" s="21">
        <v>0</v>
      </c>
      <c r="BC123" s="21">
        <v>2</v>
      </c>
      <c r="BD123" s="21">
        <v>0</v>
      </c>
      <c r="BE123" s="21">
        <v>4</v>
      </c>
      <c r="BF123" s="21">
        <v>2</v>
      </c>
      <c r="BG123" s="21">
        <v>4</v>
      </c>
      <c r="BH123" s="21">
        <v>2</v>
      </c>
      <c r="BI123" s="21">
        <v>0</v>
      </c>
      <c r="BJ123" s="21">
        <v>4</v>
      </c>
      <c r="BK123" s="21">
        <v>2</v>
      </c>
      <c r="BL123" s="21">
        <v>4</v>
      </c>
      <c r="BM123" s="21">
        <v>2</v>
      </c>
      <c r="BN123" s="21">
        <v>0</v>
      </c>
      <c r="BO123" s="21">
        <v>4</v>
      </c>
      <c r="BP123" s="21">
        <v>2</v>
      </c>
      <c r="BQ123" s="21">
        <v>4</v>
      </c>
      <c r="BR123" s="21">
        <v>2</v>
      </c>
      <c r="BS123" s="21">
        <v>0</v>
      </c>
      <c r="BT123" s="21">
        <v>4</v>
      </c>
      <c r="BU123" s="21">
        <v>2</v>
      </c>
      <c r="BV123" s="21">
        <v>4</v>
      </c>
      <c r="BW123" s="21">
        <v>2</v>
      </c>
      <c r="BX123" s="21">
        <v>0</v>
      </c>
      <c r="BY123" s="21">
        <v>4</v>
      </c>
      <c r="BZ123" s="21">
        <v>2</v>
      </c>
      <c r="CA123" s="21">
        <v>4</v>
      </c>
      <c r="DA123" s="54"/>
      <c r="DB123" s="54"/>
      <c r="DC123" s="54"/>
      <c r="DD123" s="20" t="s">
        <v>127</v>
      </c>
      <c r="DE123" s="20">
        <v>0</v>
      </c>
      <c r="DF123" s="20">
        <v>2</v>
      </c>
      <c r="DG123" s="20">
        <v>4</v>
      </c>
      <c r="DH123" s="20">
        <v>0</v>
      </c>
      <c r="DI123" s="20">
        <v>2</v>
      </c>
      <c r="DJ123" s="20">
        <v>4</v>
      </c>
      <c r="DK123" s="20">
        <v>0</v>
      </c>
      <c r="DL123" s="20">
        <v>4</v>
      </c>
      <c r="DM123" s="20">
        <v>0</v>
      </c>
      <c r="DN123" s="20">
        <v>2</v>
      </c>
      <c r="DO123" s="20">
        <v>4</v>
      </c>
      <c r="DP123" s="20">
        <v>0</v>
      </c>
      <c r="DQ123" s="20">
        <v>2</v>
      </c>
      <c r="DR123" s="20">
        <v>0</v>
      </c>
      <c r="DS123" s="20">
        <v>2</v>
      </c>
      <c r="DT123" s="20">
        <v>4</v>
      </c>
      <c r="DU123" s="20">
        <v>0</v>
      </c>
      <c r="DV123" s="20">
        <v>2</v>
      </c>
      <c r="DW123" s="20">
        <v>4</v>
      </c>
      <c r="DX123" s="20">
        <v>2</v>
      </c>
      <c r="DY123" s="20">
        <v>4</v>
      </c>
      <c r="DZ123" s="20"/>
      <c r="EA123" s="20"/>
      <c r="EB123" s="20"/>
      <c r="GC123" s="20"/>
      <c r="GD123" s="20"/>
      <c r="GE123" s="26" t="s">
        <v>710</v>
      </c>
      <c r="GF123" s="20">
        <v>0</v>
      </c>
      <c r="GG123" s="20">
        <v>0</v>
      </c>
      <c r="GH123" s="20">
        <v>2</v>
      </c>
      <c r="GI123" s="20">
        <v>4</v>
      </c>
      <c r="GJ123" s="20">
        <v>0</v>
      </c>
      <c r="GK123" s="20">
        <v>2</v>
      </c>
      <c r="GL123" s="20">
        <v>4</v>
      </c>
      <c r="GM123" s="20">
        <v>0</v>
      </c>
      <c r="GN123" s="20">
        <v>2</v>
      </c>
      <c r="GO123" s="20">
        <v>4</v>
      </c>
      <c r="GP123" s="20">
        <v>0</v>
      </c>
      <c r="GQ123" s="20">
        <v>2</v>
      </c>
      <c r="GR123" s="20">
        <v>4</v>
      </c>
      <c r="GS123" s="20">
        <v>0</v>
      </c>
      <c r="GT123" s="20">
        <v>2</v>
      </c>
      <c r="GU123" s="20">
        <v>4</v>
      </c>
      <c r="GV123" s="20">
        <v>0</v>
      </c>
      <c r="GW123" s="20">
        <v>2</v>
      </c>
      <c r="GX123" s="20">
        <v>4</v>
      </c>
      <c r="GY123" s="20">
        <v>0</v>
      </c>
      <c r="GZ123" s="20">
        <v>2</v>
      </c>
      <c r="HA123" s="20">
        <v>4</v>
      </c>
      <c r="HB123" s="20">
        <v>0</v>
      </c>
      <c r="HC123" s="20">
        <v>2</v>
      </c>
      <c r="HD123" s="20">
        <v>4</v>
      </c>
      <c r="HE123" s="20">
        <v>0</v>
      </c>
      <c r="HF123" s="20"/>
      <c r="HG123" s="20"/>
      <c r="HH123" s="20"/>
      <c r="HI123" s="20"/>
      <c r="HJ123" s="20"/>
      <c r="HK123" s="20"/>
      <c r="HL123" s="20"/>
      <c r="HM123" s="20"/>
      <c r="HN123" s="20"/>
      <c r="HO123" s="20"/>
      <c r="HP123" s="20"/>
      <c r="HQ123" s="20"/>
      <c r="HR123" s="20"/>
      <c r="HS123" s="20"/>
      <c r="HT123" s="20"/>
      <c r="HU123" s="20"/>
      <c r="HV123" s="20"/>
      <c r="HW123" s="20"/>
      <c r="HX123" s="20"/>
      <c r="HY123" s="20"/>
      <c r="HZ123" s="20"/>
      <c r="IA123" s="20"/>
      <c r="IB123" s="20"/>
      <c r="IC123" s="20"/>
      <c r="ID123" s="20"/>
      <c r="JS123" s="21" t="s">
        <v>710</v>
      </c>
      <c r="JT123" s="21">
        <v>0</v>
      </c>
      <c r="JU123" s="21">
        <v>2</v>
      </c>
      <c r="JV123" s="21">
        <v>0</v>
      </c>
      <c r="JW123" s="21">
        <v>4</v>
      </c>
      <c r="JX123" s="21">
        <v>2</v>
      </c>
      <c r="JY123" s="21">
        <v>0</v>
      </c>
      <c r="JZ123" s="21">
        <v>4</v>
      </c>
      <c r="KA123" s="21">
        <v>0</v>
      </c>
      <c r="KB123" s="21">
        <v>4</v>
      </c>
      <c r="KC123" s="21">
        <v>2</v>
      </c>
      <c r="KD123" s="21">
        <v>0</v>
      </c>
      <c r="KE123" s="21">
        <v>4</v>
      </c>
      <c r="KF123" s="21">
        <v>2</v>
      </c>
      <c r="KG123" s="21">
        <v>4</v>
      </c>
      <c r="KH123" s="21">
        <v>2</v>
      </c>
      <c r="KI123" s="21">
        <v>0</v>
      </c>
      <c r="KJ123" s="21">
        <v>4</v>
      </c>
      <c r="KK123" s="21">
        <v>2</v>
      </c>
      <c r="KL123" s="21">
        <v>0</v>
      </c>
      <c r="KM123" s="21">
        <v>4</v>
      </c>
      <c r="KN123" s="21">
        <v>0</v>
      </c>
      <c r="KO123" s="21">
        <v>4</v>
      </c>
      <c r="KP123" s="21">
        <v>2</v>
      </c>
      <c r="KQ123" s="21">
        <v>0</v>
      </c>
      <c r="KR123" s="21">
        <v>4</v>
      </c>
      <c r="KS123" s="21">
        <v>2</v>
      </c>
      <c r="LW123" s="26" t="s">
        <v>710</v>
      </c>
      <c r="LX123" s="20">
        <v>0</v>
      </c>
      <c r="LY123" s="20">
        <v>0</v>
      </c>
      <c r="LZ123" s="20">
        <v>4</v>
      </c>
      <c r="MA123" s="20">
        <v>0</v>
      </c>
      <c r="MB123" s="20">
        <v>2</v>
      </c>
      <c r="MC123" s="20">
        <v>4</v>
      </c>
      <c r="MD123" s="20">
        <v>0</v>
      </c>
      <c r="ME123" s="20">
        <v>2</v>
      </c>
      <c r="MF123" s="20">
        <v>4</v>
      </c>
      <c r="MG123" s="20">
        <v>0</v>
      </c>
      <c r="MH123" s="20">
        <v>2</v>
      </c>
      <c r="MI123" s="20">
        <v>4</v>
      </c>
      <c r="MJ123" s="20">
        <v>0</v>
      </c>
      <c r="MK123" s="20">
        <v>2</v>
      </c>
      <c r="ML123" s="20">
        <v>4</v>
      </c>
      <c r="MM123" s="20">
        <v>0</v>
      </c>
      <c r="MN123" s="20">
        <v>2</v>
      </c>
      <c r="MO123" s="20">
        <v>4</v>
      </c>
      <c r="MP123" s="20">
        <v>0</v>
      </c>
      <c r="MQ123" s="20">
        <v>2</v>
      </c>
      <c r="MR123" s="20">
        <v>4</v>
      </c>
      <c r="MS123" s="20">
        <v>0</v>
      </c>
      <c r="MT123" s="20">
        <v>2</v>
      </c>
      <c r="MU123" s="20">
        <v>4</v>
      </c>
      <c r="MV123" s="20">
        <v>0</v>
      </c>
      <c r="MW123" s="20">
        <v>2</v>
      </c>
    </row>
    <row r="124" spans="1:361" x14ac:dyDescent="0.25">
      <c r="A124" s="4"/>
      <c r="B124" s="6"/>
      <c r="C124" s="4"/>
      <c r="D124" s="4"/>
      <c r="E124" s="4"/>
      <c r="F124" s="4"/>
      <c r="G124" s="4"/>
      <c r="H124" s="4"/>
      <c r="I124" s="4"/>
      <c r="J124" s="4"/>
      <c r="K124" s="4"/>
      <c r="L124" s="6" t="str">
        <f>IF(E111=$AK$22,"NOWPAL40x40SR","-------")</f>
        <v>NOWPAL40x40SR</v>
      </c>
      <c r="M124" s="14">
        <f>INDEX(cennik!$C$2:$L$529,MATCH($L124,cennik!$B$2:$B$522,0),MATCH(M$27,cennik!$C$1:$L$1,0))</f>
        <v>890404</v>
      </c>
      <c r="N124" s="14" t="str">
        <f>INDEX(cennik!$C$2:$L$529,MATCH($L124,cennik!$B$2:$B$522,0),MATCH(N$27,cennik!$C$1:$L$1,0))</f>
        <v>szt.</v>
      </c>
      <c r="O124" s="14">
        <f>IF(L124="NOWPAL40X40SR",SUM(C103:C118)*4,0)</f>
        <v>0</v>
      </c>
      <c r="P124" s="22">
        <f>INDEX(cennik!$C$2:$L$529,MATCH($L124,cennik!$B$2:$B$522,0),MATCH(P$27,cennik!$C$1:$L$1,0))</f>
        <v>0.7</v>
      </c>
      <c r="Q124" s="22">
        <f t="shared" si="105"/>
        <v>0</v>
      </c>
      <c r="R124" s="23">
        <f t="shared" si="101"/>
        <v>0</v>
      </c>
      <c r="S124" s="22">
        <f t="shared" si="102"/>
        <v>0.7</v>
      </c>
      <c r="T124" s="22">
        <f t="shared" si="106"/>
        <v>0</v>
      </c>
      <c r="U124" s="22">
        <f>INDEX(cennik!$C$2:$L$529,MATCH($L124,cennik!$B$2:$B$522,0),MATCH(U$27,cennik!$C$1:$L$1,0))*O124</f>
        <v>0</v>
      </c>
      <c r="V124" s="20"/>
      <c r="W124" s="27" t="s">
        <v>160</v>
      </c>
      <c r="X124" s="27" t="s">
        <v>80</v>
      </c>
      <c r="Y124" s="358" t="s">
        <v>160</v>
      </c>
      <c r="Z124" s="358"/>
      <c r="AA124" s="358"/>
      <c r="AB124" s="358"/>
      <c r="AC124" s="358"/>
      <c r="AD124" s="358"/>
      <c r="AE124" s="20"/>
      <c r="AF124" s="20"/>
      <c r="AG124" s="20"/>
      <c r="AH124" s="20"/>
      <c r="AI124" s="20"/>
      <c r="AJ124" s="20"/>
      <c r="AK124" s="20"/>
      <c r="AL124" s="20"/>
      <c r="AM124" s="20"/>
      <c r="AN124" s="20"/>
      <c r="AO124" s="20"/>
      <c r="AP124" s="20"/>
      <c r="AQ124" s="20"/>
      <c r="AR124" s="20"/>
      <c r="AS124" s="20"/>
      <c r="AT124" s="20"/>
      <c r="AU124" s="20"/>
      <c r="AV124" s="20"/>
      <c r="AW124" s="20"/>
      <c r="AX124" s="20"/>
      <c r="AY124" s="20"/>
      <c r="AZ124" s="20"/>
      <c r="BA124" s="21" t="s">
        <v>711</v>
      </c>
      <c r="BB124" s="21">
        <v>0</v>
      </c>
      <c r="BC124" s="21">
        <v>0</v>
      </c>
      <c r="BD124" s="21">
        <v>2</v>
      </c>
      <c r="BE124" s="21">
        <v>0</v>
      </c>
      <c r="BF124" s="21">
        <v>2</v>
      </c>
      <c r="BG124" s="21">
        <v>2</v>
      </c>
      <c r="BH124" s="21">
        <v>4</v>
      </c>
      <c r="BI124" s="21">
        <v>6</v>
      </c>
      <c r="BJ124" s="21">
        <v>4</v>
      </c>
      <c r="BK124" s="21">
        <v>6</v>
      </c>
      <c r="BL124" s="21">
        <v>6</v>
      </c>
      <c r="BM124" s="21">
        <v>8</v>
      </c>
      <c r="BN124" s="21">
        <v>10</v>
      </c>
      <c r="BO124" s="21">
        <v>8</v>
      </c>
      <c r="BP124" s="21">
        <v>10</v>
      </c>
      <c r="BQ124" s="21">
        <v>10</v>
      </c>
      <c r="BR124" s="21">
        <v>12</v>
      </c>
      <c r="BS124" s="21">
        <v>14</v>
      </c>
      <c r="BT124" s="21">
        <v>12</v>
      </c>
      <c r="BU124" s="21">
        <v>14</v>
      </c>
      <c r="BV124" s="21">
        <v>14</v>
      </c>
      <c r="BW124" s="21">
        <v>16</v>
      </c>
      <c r="BX124" s="21">
        <v>18</v>
      </c>
      <c r="BY124" s="21">
        <v>16</v>
      </c>
      <c r="BZ124" s="21">
        <v>18</v>
      </c>
      <c r="CA124" s="21">
        <v>18</v>
      </c>
      <c r="DA124" s="54"/>
      <c r="DB124" s="54"/>
      <c r="DC124" s="54"/>
      <c r="DD124" s="20" t="s">
        <v>19</v>
      </c>
      <c r="DE124" s="20">
        <v>0</v>
      </c>
      <c r="DF124" s="20">
        <v>0</v>
      </c>
      <c r="DG124" s="20">
        <v>0</v>
      </c>
      <c r="DH124" s="20">
        <v>4</v>
      </c>
      <c r="DI124" s="20">
        <v>4</v>
      </c>
      <c r="DJ124" s="20">
        <v>4</v>
      </c>
      <c r="DK124" s="20">
        <v>8</v>
      </c>
      <c r="DL124" s="20">
        <v>6</v>
      </c>
      <c r="DM124" s="20">
        <v>10</v>
      </c>
      <c r="DN124" s="20">
        <v>10</v>
      </c>
      <c r="DO124" s="20">
        <v>10</v>
      </c>
      <c r="DP124" s="20">
        <v>14</v>
      </c>
      <c r="DQ124" s="20">
        <v>14</v>
      </c>
      <c r="DR124" s="20">
        <v>16</v>
      </c>
      <c r="DS124" s="20">
        <v>16</v>
      </c>
      <c r="DT124" s="20">
        <v>16</v>
      </c>
      <c r="DU124" s="20">
        <v>20</v>
      </c>
      <c r="DV124" s="20">
        <v>20</v>
      </c>
      <c r="DW124" s="20">
        <v>20</v>
      </c>
      <c r="DX124" s="20">
        <v>22</v>
      </c>
      <c r="DY124" s="20">
        <v>22</v>
      </c>
      <c r="DZ124" s="20"/>
      <c r="EA124" s="20"/>
      <c r="EB124" s="20"/>
      <c r="GC124" s="20"/>
      <c r="GD124" s="20"/>
      <c r="GE124" s="26" t="s">
        <v>711</v>
      </c>
      <c r="GF124" s="20">
        <v>0</v>
      </c>
      <c r="GG124" s="20">
        <v>2</v>
      </c>
      <c r="GH124" s="20">
        <v>2</v>
      </c>
      <c r="GI124" s="20">
        <v>2</v>
      </c>
      <c r="GJ124" s="20">
        <v>6</v>
      </c>
      <c r="GK124" s="20">
        <v>6</v>
      </c>
      <c r="GL124" s="20">
        <v>6</v>
      </c>
      <c r="GM124" s="20">
        <v>10</v>
      </c>
      <c r="GN124" s="20">
        <v>10</v>
      </c>
      <c r="GO124" s="20">
        <v>10</v>
      </c>
      <c r="GP124" s="20">
        <v>14</v>
      </c>
      <c r="GQ124" s="20">
        <v>14</v>
      </c>
      <c r="GR124" s="20">
        <v>14</v>
      </c>
      <c r="GS124" s="20">
        <v>18</v>
      </c>
      <c r="GT124" s="20">
        <v>18</v>
      </c>
      <c r="GU124" s="20">
        <v>18</v>
      </c>
      <c r="GV124" s="20">
        <v>22</v>
      </c>
      <c r="GW124" s="20">
        <v>22</v>
      </c>
      <c r="GX124" s="20">
        <v>22</v>
      </c>
      <c r="GY124" s="20">
        <v>26</v>
      </c>
      <c r="GZ124" s="20">
        <v>26</v>
      </c>
      <c r="HA124" s="20">
        <v>26</v>
      </c>
      <c r="HB124" s="20">
        <v>30</v>
      </c>
      <c r="HC124" s="20">
        <v>30</v>
      </c>
      <c r="HD124" s="20">
        <v>30</v>
      </c>
      <c r="HE124" s="20">
        <v>34</v>
      </c>
      <c r="HF124" s="20"/>
      <c r="HG124" s="20"/>
      <c r="HH124" s="20"/>
      <c r="HI124" s="20"/>
      <c r="HJ124" s="20"/>
      <c r="HK124" s="20"/>
      <c r="HL124" s="20"/>
      <c r="HM124" s="20"/>
      <c r="HN124" s="20"/>
      <c r="HO124" s="20"/>
      <c r="HP124" s="20"/>
      <c r="HQ124" s="20"/>
      <c r="HR124" s="20"/>
      <c r="HS124" s="20"/>
      <c r="HT124" s="20"/>
      <c r="HU124" s="20"/>
      <c r="HV124" s="20"/>
      <c r="HW124" s="20"/>
      <c r="HX124" s="20"/>
      <c r="HY124" s="20"/>
      <c r="HZ124" s="20"/>
      <c r="IA124" s="20"/>
      <c r="IB124" s="20"/>
      <c r="IC124" s="20"/>
      <c r="ID124" s="20"/>
      <c r="JS124" s="21" t="s">
        <v>711</v>
      </c>
      <c r="JT124" s="21">
        <v>0</v>
      </c>
      <c r="JU124" s="21">
        <v>0</v>
      </c>
      <c r="JV124" s="21">
        <v>2</v>
      </c>
      <c r="JW124" s="21">
        <v>0</v>
      </c>
      <c r="JX124" s="21">
        <v>2</v>
      </c>
      <c r="JY124" s="21">
        <v>4</v>
      </c>
      <c r="JZ124" s="21">
        <v>2</v>
      </c>
      <c r="KA124" s="21">
        <v>6</v>
      </c>
      <c r="KB124" s="21">
        <v>4</v>
      </c>
      <c r="KC124" s="21">
        <v>6</v>
      </c>
      <c r="KD124" s="21">
        <v>8</v>
      </c>
      <c r="KE124" s="21">
        <v>6</v>
      </c>
      <c r="KF124" s="21">
        <v>8</v>
      </c>
      <c r="KG124" s="21">
        <v>8</v>
      </c>
      <c r="KH124" s="21">
        <v>10</v>
      </c>
      <c r="KI124" s="21">
        <v>12</v>
      </c>
      <c r="KJ124" s="21">
        <v>10</v>
      </c>
      <c r="KK124" s="21">
        <v>12</v>
      </c>
      <c r="KL124" s="21">
        <v>14</v>
      </c>
      <c r="KM124" s="21">
        <v>12</v>
      </c>
      <c r="KN124" s="21">
        <v>16</v>
      </c>
      <c r="KO124" s="21">
        <v>14</v>
      </c>
      <c r="KP124" s="21">
        <v>16</v>
      </c>
      <c r="KQ124" s="21">
        <v>18</v>
      </c>
      <c r="KR124" s="21">
        <v>16</v>
      </c>
      <c r="KS124" s="21">
        <v>18</v>
      </c>
      <c r="LW124" s="26" t="s">
        <v>711</v>
      </c>
      <c r="LX124" s="20">
        <v>0</v>
      </c>
      <c r="LY124" s="20">
        <v>2</v>
      </c>
      <c r="LZ124" s="20">
        <v>0</v>
      </c>
      <c r="MA124" s="20">
        <v>4</v>
      </c>
      <c r="MB124" s="20">
        <v>4</v>
      </c>
      <c r="MC124" s="20">
        <v>4</v>
      </c>
      <c r="MD124" s="20">
        <v>8</v>
      </c>
      <c r="ME124" s="20">
        <v>8</v>
      </c>
      <c r="MF124" s="20">
        <v>8</v>
      </c>
      <c r="MG124" s="20">
        <v>12</v>
      </c>
      <c r="MH124" s="20">
        <v>12</v>
      </c>
      <c r="MI124" s="20">
        <v>12</v>
      </c>
      <c r="MJ124" s="20">
        <v>16</v>
      </c>
      <c r="MK124" s="20">
        <v>16</v>
      </c>
      <c r="ML124" s="20">
        <v>16</v>
      </c>
      <c r="MM124" s="20">
        <v>20</v>
      </c>
      <c r="MN124" s="20">
        <v>20</v>
      </c>
      <c r="MO124" s="20">
        <v>20</v>
      </c>
      <c r="MP124" s="20">
        <v>24</v>
      </c>
      <c r="MQ124" s="20">
        <v>24</v>
      </c>
      <c r="MR124" s="20">
        <v>24</v>
      </c>
      <c r="MS124" s="20">
        <v>28</v>
      </c>
      <c r="MT124" s="20">
        <v>28</v>
      </c>
      <c r="MU124" s="20">
        <v>28</v>
      </c>
      <c r="MV124" s="20">
        <v>32</v>
      </c>
      <c r="MW124" s="20">
        <v>32</v>
      </c>
    </row>
    <row r="125" spans="1:361" x14ac:dyDescent="0.25">
      <c r="A125" s="4"/>
      <c r="B125" s="6"/>
      <c r="C125" s="4"/>
      <c r="D125" s="4"/>
      <c r="E125" s="4"/>
      <c r="F125" s="4"/>
      <c r="G125" s="4"/>
      <c r="H125" s="4"/>
      <c r="I125" s="4"/>
      <c r="J125" s="4"/>
      <c r="K125" s="4"/>
      <c r="L125" s="6" t="s">
        <v>1019</v>
      </c>
      <c r="M125" s="14">
        <f>INDEX(cennik!$C$2:$L$529,MATCH($L125,cennik!$B$2:$B$522,0),MATCH(M$27,cennik!$C$1:$L$1,0))</f>
        <v>166794</v>
      </c>
      <c r="N125" s="14" t="str">
        <f>INDEX(cennik!$C$2:$L$529,MATCH($L125,cennik!$B$2:$B$522,0),MATCH(N$27,cennik!$C$1:$L$1,0))</f>
        <v>100 szt.</v>
      </c>
      <c r="O125" s="14">
        <f>ROUNDUP((O119/100),0)</f>
        <v>0</v>
      </c>
      <c r="P125" s="22">
        <f>INDEX(cennik!$C$2:$L$529,MATCH($L125,cennik!$B$2:$B$522,0),MATCH(P$27,cennik!$C$1:$L$1,0))</f>
        <v>3.95</v>
      </c>
      <c r="Q125" s="22">
        <f t="shared" si="105"/>
        <v>0</v>
      </c>
      <c r="R125" s="23">
        <f t="shared" si="101"/>
        <v>0</v>
      </c>
      <c r="S125" s="22">
        <f t="shared" si="102"/>
        <v>3.95</v>
      </c>
      <c r="T125" s="22">
        <f t="shared" si="106"/>
        <v>0</v>
      </c>
      <c r="U125" s="22">
        <f>INDEX(cennik!$C$2:$L$529,MATCH($L125,cennik!$B$2:$B$522,0),MATCH(U$27,cennik!$C$1:$L$1,0))*O125</f>
        <v>0</v>
      </c>
      <c r="V125" s="20"/>
      <c r="W125" s="25" t="str">
        <f>IF(E152="WERTYKALNY",G150,IF(E152="HORYZONTALNY",E150,0))</f>
        <v>1000-1050</v>
      </c>
      <c r="X125" s="25">
        <f t="shared" ref="X125:X140" si="111">(IF($E$152=$AB$1,(IF(A149=0,0,IF(A149&gt;0,IF((((INT(((A149*$W$129)+((A149-1)*20)+80)/$E$151))-1)*$E$151)+500&gt;=((A149*$W$129)+((A149-1)*20)+80),(INT(((A149*$W$129)+((A149-1)*20)+80)/$E$151))*2,((INT(((A149*$W$129)+((A149-1)*20)+80)/$E$151))+1)*2)))),IF($E$152=$AB$2,(IF(A149=0,0,IF(A149&gt;0,IF((((INT(((A149*$W$130)+((A149-1)*20)+80)/$E$151))-1)*$E$151)+500&gt;=((A149*$W$130)+((A149-1)*20)+80),(INT(((A149*$W$130)+((A149-1)*20)+80)/$E$151))*2,((INT(((A149*$W$130)+((A149-1)*20)+80)/$E$151))+1)*2)))))))</f>
        <v>0</v>
      </c>
      <c r="Y125" s="27" t="s">
        <v>161</v>
      </c>
      <c r="Z125" s="27">
        <v>1.1499999999999999</v>
      </c>
      <c r="AA125" s="27">
        <v>2.1</v>
      </c>
      <c r="AB125" s="27">
        <v>2.2000000000000002</v>
      </c>
      <c r="AC125" s="27">
        <v>3.15</v>
      </c>
      <c r="AD125" s="27">
        <v>3.3</v>
      </c>
      <c r="AE125" s="20"/>
      <c r="AF125" s="20"/>
      <c r="AG125" s="20"/>
      <c r="AH125" s="20"/>
      <c r="AI125" s="20"/>
      <c r="AJ125" s="20"/>
      <c r="AK125" s="20"/>
      <c r="AL125" s="20">
        <f t="shared" ref="AL125:AL140" si="112">IF(X125=2,X125+2*C149,X125*C149)</f>
        <v>0</v>
      </c>
      <c r="AM125" s="20"/>
      <c r="AN125" s="20"/>
      <c r="AO125" s="20"/>
      <c r="AP125" s="20"/>
      <c r="AQ125" s="20"/>
      <c r="AR125" s="20"/>
      <c r="AS125" s="20"/>
      <c r="AT125" s="20"/>
      <c r="AU125" s="20"/>
      <c r="AV125" s="20"/>
      <c r="AW125" s="20"/>
      <c r="AX125" s="20"/>
      <c r="AY125" s="20"/>
      <c r="AZ125" s="20"/>
      <c r="BA125" s="21" t="s">
        <v>712</v>
      </c>
      <c r="BB125" s="21">
        <v>0</v>
      </c>
      <c r="BC125" s="21">
        <v>0</v>
      </c>
      <c r="BD125" s="21">
        <v>0</v>
      </c>
      <c r="BE125" s="21">
        <v>2</v>
      </c>
      <c r="BF125" s="21">
        <v>2</v>
      </c>
      <c r="BG125" s="21">
        <v>4</v>
      </c>
      <c r="BH125" s="21">
        <v>4</v>
      </c>
      <c r="BI125" s="21">
        <v>4</v>
      </c>
      <c r="BJ125" s="21">
        <v>6</v>
      </c>
      <c r="BK125" s="21">
        <v>6</v>
      </c>
      <c r="BL125" s="21">
        <v>8</v>
      </c>
      <c r="BM125" s="21">
        <v>8</v>
      </c>
      <c r="BN125" s="21">
        <v>8</v>
      </c>
      <c r="BO125" s="21">
        <v>10</v>
      </c>
      <c r="BP125" s="21">
        <v>10</v>
      </c>
      <c r="BQ125" s="21">
        <v>12</v>
      </c>
      <c r="BR125" s="21">
        <v>12</v>
      </c>
      <c r="BS125" s="21">
        <v>12</v>
      </c>
      <c r="BT125" s="21">
        <v>14</v>
      </c>
      <c r="BU125" s="21">
        <v>14</v>
      </c>
      <c r="BV125" s="21">
        <v>16</v>
      </c>
      <c r="BW125" s="21">
        <v>16</v>
      </c>
      <c r="BX125" s="21">
        <v>16</v>
      </c>
      <c r="BY125" s="21">
        <v>18</v>
      </c>
      <c r="BZ125" s="21">
        <v>18</v>
      </c>
      <c r="CA125" s="21">
        <v>20</v>
      </c>
      <c r="DA125" s="54"/>
      <c r="DB125" s="54"/>
      <c r="DC125" s="54"/>
      <c r="DD125" s="20" t="s">
        <v>408</v>
      </c>
      <c r="DE125" s="20">
        <v>0</v>
      </c>
      <c r="DF125" s="20">
        <v>0</v>
      </c>
      <c r="DG125" s="20">
        <v>4</v>
      </c>
      <c r="DH125" s="20">
        <v>4</v>
      </c>
      <c r="DI125" s="20">
        <v>8</v>
      </c>
      <c r="DJ125" s="20">
        <v>12</v>
      </c>
      <c r="DK125" s="20">
        <v>12</v>
      </c>
      <c r="DL125" s="20">
        <v>16</v>
      </c>
      <c r="DM125" s="20">
        <v>16</v>
      </c>
      <c r="DN125" s="20">
        <v>20</v>
      </c>
      <c r="DO125" s="20">
        <v>24</v>
      </c>
      <c r="DP125" s="20">
        <v>24</v>
      </c>
      <c r="DQ125" s="20">
        <v>28</v>
      </c>
      <c r="DR125" s="20">
        <v>28</v>
      </c>
      <c r="DS125" s="20">
        <v>32</v>
      </c>
      <c r="DT125" s="20">
        <v>36</v>
      </c>
      <c r="DU125" s="20">
        <v>36</v>
      </c>
      <c r="DV125" s="20">
        <v>40</v>
      </c>
      <c r="DW125" s="20">
        <v>44</v>
      </c>
      <c r="DX125" s="20">
        <v>44</v>
      </c>
      <c r="DY125" s="20">
        <v>48</v>
      </c>
      <c r="DZ125" s="20"/>
      <c r="EA125" s="20"/>
      <c r="EB125" s="20"/>
      <c r="GC125" s="20"/>
      <c r="GD125" s="20"/>
      <c r="GE125" s="26" t="s">
        <v>712</v>
      </c>
      <c r="GF125" s="20">
        <v>0</v>
      </c>
      <c r="GG125" s="20">
        <v>0</v>
      </c>
      <c r="GH125" s="20">
        <v>2</v>
      </c>
      <c r="GI125" s="20">
        <v>4</v>
      </c>
      <c r="GJ125" s="20">
        <v>4</v>
      </c>
      <c r="GK125" s="20">
        <v>6</v>
      </c>
      <c r="GL125" s="20">
        <v>8</v>
      </c>
      <c r="GM125" s="20">
        <v>8</v>
      </c>
      <c r="GN125" s="20">
        <v>10</v>
      </c>
      <c r="GO125" s="20">
        <v>12</v>
      </c>
      <c r="GP125" s="20">
        <v>12</v>
      </c>
      <c r="GQ125" s="20">
        <v>14</v>
      </c>
      <c r="GR125" s="20">
        <v>16</v>
      </c>
      <c r="GS125" s="20">
        <v>16</v>
      </c>
      <c r="GT125" s="20">
        <v>18</v>
      </c>
      <c r="GU125" s="20">
        <v>20</v>
      </c>
      <c r="GV125" s="20">
        <v>20</v>
      </c>
      <c r="GW125" s="20">
        <v>22</v>
      </c>
      <c r="GX125" s="20">
        <v>24</v>
      </c>
      <c r="GY125" s="20">
        <v>24</v>
      </c>
      <c r="GZ125" s="20">
        <v>26</v>
      </c>
      <c r="HA125" s="20">
        <v>28</v>
      </c>
      <c r="HB125" s="20">
        <v>28</v>
      </c>
      <c r="HC125" s="20">
        <v>30</v>
      </c>
      <c r="HD125" s="20">
        <v>32</v>
      </c>
      <c r="HE125" s="20">
        <v>32</v>
      </c>
      <c r="HF125" s="20"/>
      <c r="HG125" s="20"/>
      <c r="HH125" s="20"/>
      <c r="HI125" s="20"/>
      <c r="HJ125" s="20"/>
      <c r="HK125" s="20"/>
      <c r="HL125" s="20"/>
      <c r="HM125" s="20"/>
      <c r="HN125" s="20"/>
      <c r="HO125" s="20"/>
      <c r="HP125" s="20"/>
      <c r="HQ125" s="20"/>
      <c r="HR125" s="20"/>
      <c r="HS125" s="20"/>
      <c r="HT125" s="20"/>
      <c r="HU125" s="20"/>
      <c r="HV125" s="20"/>
      <c r="HW125" s="20"/>
      <c r="HX125" s="20"/>
      <c r="HY125" s="20"/>
      <c r="HZ125" s="20"/>
      <c r="IA125" s="20"/>
      <c r="IB125" s="20"/>
      <c r="IC125" s="20"/>
      <c r="ID125" s="20"/>
      <c r="JS125" s="21" t="s">
        <v>712</v>
      </c>
      <c r="JT125" s="21">
        <v>0</v>
      </c>
      <c r="JU125" s="21">
        <v>0</v>
      </c>
      <c r="JV125" s="21">
        <v>0</v>
      </c>
      <c r="JW125" s="21">
        <v>2</v>
      </c>
      <c r="JX125" s="21">
        <v>2</v>
      </c>
      <c r="JY125" s="21">
        <v>2</v>
      </c>
      <c r="JZ125" s="21">
        <v>4</v>
      </c>
      <c r="KA125" s="21">
        <v>4</v>
      </c>
      <c r="KB125" s="21">
        <v>6</v>
      </c>
      <c r="KC125" s="21">
        <v>6</v>
      </c>
      <c r="KD125" s="21">
        <v>6</v>
      </c>
      <c r="KE125" s="21">
        <v>8</v>
      </c>
      <c r="KF125" s="21">
        <v>8</v>
      </c>
      <c r="KG125" s="21">
        <v>10</v>
      </c>
      <c r="KH125" s="21">
        <v>10</v>
      </c>
      <c r="KI125" s="21">
        <v>10</v>
      </c>
      <c r="KJ125" s="21">
        <v>12</v>
      </c>
      <c r="KK125" s="21">
        <v>12</v>
      </c>
      <c r="KL125" s="21">
        <v>12</v>
      </c>
      <c r="KM125" s="21">
        <v>14</v>
      </c>
      <c r="KN125" s="21">
        <v>14</v>
      </c>
      <c r="KO125" s="21">
        <v>16</v>
      </c>
      <c r="KP125" s="21">
        <v>16</v>
      </c>
      <c r="KQ125" s="21">
        <v>16</v>
      </c>
      <c r="KR125" s="21">
        <v>18</v>
      </c>
      <c r="KS125" s="21">
        <v>18</v>
      </c>
      <c r="LW125" s="26" t="s">
        <v>712</v>
      </c>
      <c r="LX125" s="20">
        <v>0</v>
      </c>
      <c r="LY125" s="20">
        <v>0</v>
      </c>
      <c r="LZ125" s="20">
        <v>2</v>
      </c>
      <c r="MA125" s="20">
        <v>2</v>
      </c>
      <c r="MB125" s="20">
        <v>4</v>
      </c>
      <c r="MC125" s="20">
        <v>6</v>
      </c>
      <c r="MD125" s="20">
        <v>6</v>
      </c>
      <c r="ME125" s="20">
        <v>8</v>
      </c>
      <c r="MF125" s="20">
        <v>10</v>
      </c>
      <c r="MG125" s="20">
        <v>10</v>
      </c>
      <c r="MH125" s="20">
        <v>12</v>
      </c>
      <c r="MI125" s="20">
        <v>14</v>
      </c>
      <c r="MJ125" s="20">
        <v>14</v>
      </c>
      <c r="MK125" s="20">
        <v>16</v>
      </c>
      <c r="ML125" s="20">
        <v>18</v>
      </c>
      <c r="MM125" s="20">
        <v>18</v>
      </c>
      <c r="MN125" s="20">
        <v>20</v>
      </c>
      <c r="MO125" s="20">
        <v>22</v>
      </c>
      <c r="MP125" s="20">
        <v>22</v>
      </c>
      <c r="MQ125" s="20">
        <v>24</v>
      </c>
      <c r="MR125" s="20">
        <v>26</v>
      </c>
      <c r="MS125" s="20">
        <v>26</v>
      </c>
      <c r="MT125" s="20">
        <v>28</v>
      </c>
      <c r="MU125" s="20">
        <v>30</v>
      </c>
      <c r="MV125" s="20">
        <v>30</v>
      </c>
      <c r="MW125" s="20">
        <v>32</v>
      </c>
    </row>
    <row r="126" spans="1:361" x14ac:dyDescent="0.25">
      <c r="A126" s="4"/>
      <c r="B126" s="6"/>
      <c r="C126" s="4"/>
      <c r="D126" s="4"/>
      <c r="E126" s="4"/>
      <c r="F126" s="4"/>
      <c r="G126" s="4"/>
      <c r="H126" s="4"/>
      <c r="I126" s="4"/>
      <c r="J126" s="4"/>
      <c r="K126" s="4"/>
      <c r="L126" s="4"/>
      <c r="M126" s="4"/>
      <c r="N126" s="4"/>
      <c r="O126" s="4"/>
      <c r="P126" s="4"/>
      <c r="Q126" s="4"/>
      <c r="R126" s="4"/>
      <c r="S126" s="4"/>
      <c r="T126" s="22">
        <f>SUM(T104:T125)</f>
        <v>0</v>
      </c>
      <c r="U126" s="22">
        <f>SUM(U104:U125)</f>
        <v>0</v>
      </c>
      <c r="V126" s="20"/>
      <c r="W126" s="20"/>
      <c r="X126" s="25">
        <f t="shared" si="111"/>
        <v>0</v>
      </c>
      <c r="Y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149,$BB$2:$CA$2,0),MATCH($W$125,$AH$22:$AH$47,0)))*C149</f>
        <v>0</v>
      </c>
      <c r="Z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149,$BB$2:$CA$2,0),MATCH($W$125,$AH$22:$AH$47,0)))*C149</f>
        <v>0</v>
      </c>
      <c r="AA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149,$BB$2:$CA$2,0),MATCH($W$125,$AH$22:$AH$47,0)))*C149</f>
        <v>0</v>
      </c>
      <c r="AB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149,$BB$2:$CA$2,0),MATCH($W$125,$AH$22:$AH$47,0)))*C149</f>
        <v>0</v>
      </c>
      <c r="AC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149,$BB$2:$CA$2,0),MATCH($W$125,$AH$22:$AH$47,0)))*C149</f>
        <v>0</v>
      </c>
      <c r="AD12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149,$BB$2:$CA$2,0),MATCH($W$125,$AH$22:$AH$47,0)))*C149</f>
        <v>0</v>
      </c>
      <c r="AE126" s="20"/>
      <c r="AF126" s="20"/>
      <c r="AG126" s="20"/>
      <c r="AH126" s="20"/>
      <c r="AI126" s="20"/>
      <c r="AJ126" s="20"/>
      <c r="AK126" s="20"/>
      <c r="AL126" s="20">
        <f t="shared" si="112"/>
        <v>0</v>
      </c>
      <c r="AM126" s="20"/>
      <c r="AN126" s="20"/>
      <c r="AO126" s="20"/>
      <c r="AP126" s="20"/>
      <c r="AQ126" s="20"/>
      <c r="AR126" s="20"/>
      <c r="AS126" s="20"/>
      <c r="AT126" s="20"/>
      <c r="AU126" s="20"/>
      <c r="AV126" s="20"/>
      <c r="AW126" s="20"/>
      <c r="AX126" s="20"/>
      <c r="AY126" s="20"/>
      <c r="AZ126" s="20"/>
      <c r="DA126" s="54"/>
      <c r="DB126" s="54"/>
      <c r="DC126" s="54"/>
      <c r="DD126" s="20" t="s">
        <v>518</v>
      </c>
      <c r="DE126" s="20">
        <v>0</v>
      </c>
      <c r="DF126" s="20">
        <v>2</v>
      </c>
      <c r="DG126" s="20">
        <v>4</v>
      </c>
      <c r="DH126" s="20">
        <v>0</v>
      </c>
      <c r="DI126" s="20">
        <v>2</v>
      </c>
      <c r="DJ126" s="20">
        <v>4</v>
      </c>
      <c r="DK126" s="20">
        <v>0</v>
      </c>
      <c r="DL126" s="20">
        <v>4</v>
      </c>
      <c r="DM126" s="20">
        <v>0</v>
      </c>
      <c r="DN126" s="20">
        <v>2</v>
      </c>
      <c r="DO126" s="20">
        <v>4</v>
      </c>
      <c r="DP126" s="20">
        <v>0</v>
      </c>
      <c r="DQ126" s="20">
        <v>2</v>
      </c>
      <c r="DR126" s="20">
        <v>0</v>
      </c>
      <c r="DS126" s="20">
        <v>2</v>
      </c>
      <c r="DT126" s="20">
        <v>4</v>
      </c>
      <c r="DU126" s="20">
        <v>0</v>
      </c>
      <c r="DV126" s="20">
        <v>2</v>
      </c>
      <c r="DW126" s="20">
        <v>4</v>
      </c>
      <c r="DX126" s="20">
        <v>2</v>
      </c>
      <c r="DY126" s="20">
        <v>4</v>
      </c>
      <c r="DZ126" s="20"/>
      <c r="EA126" s="20"/>
      <c r="EB126" s="20"/>
      <c r="GC126" s="20"/>
      <c r="GD126" s="20"/>
      <c r="GE126" s="20"/>
      <c r="GF126" s="20"/>
      <c r="GG126" s="20"/>
      <c r="GH126" s="20"/>
      <c r="GI126" s="20"/>
      <c r="GJ126" s="20"/>
      <c r="GK126" s="20"/>
      <c r="GL126" s="20"/>
      <c r="GM126" s="20"/>
      <c r="GN126" s="20"/>
      <c r="GO126" s="20"/>
      <c r="GP126" s="20"/>
      <c r="GQ126" s="20"/>
      <c r="GR126" s="20"/>
      <c r="GS126" s="20"/>
      <c r="GT126" s="20"/>
      <c r="GU126" s="20"/>
      <c r="GV126" s="20"/>
      <c r="GW126" s="20"/>
      <c r="GX126" s="20"/>
      <c r="GY126" s="20"/>
      <c r="GZ126" s="20"/>
      <c r="HA126" s="20"/>
      <c r="HB126" s="20"/>
      <c r="HC126" s="20"/>
      <c r="HD126" s="20"/>
      <c r="HE126" s="20"/>
      <c r="HF126" s="20"/>
      <c r="HG126" s="20"/>
      <c r="HH126" s="20"/>
      <c r="HI126" s="20"/>
      <c r="HJ126" s="20"/>
      <c r="HK126" s="20"/>
      <c r="HL126" s="20"/>
      <c r="HM126" s="20"/>
      <c r="HN126" s="20"/>
      <c r="HO126" s="20"/>
      <c r="HP126" s="20"/>
      <c r="HQ126" s="20"/>
      <c r="HR126" s="20"/>
      <c r="HS126" s="20"/>
      <c r="HT126" s="20"/>
      <c r="HU126" s="20"/>
      <c r="HV126" s="20"/>
      <c r="HW126" s="20"/>
      <c r="HX126" s="20"/>
      <c r="HY126" s="20"/>
      <c r="HZ126" s="20"/>
      <c r="IA126" s="20"/>
      <c r="IB126" s="20"/>
      <c r="IC126" s="20"/>
      <c r="ID126" s="20"/>
      <c r="LW126" s="20"/>
      <c r="LX126" s="20"/>
      <c r="LY126" s="20"/>
      <c r="LZ126" s="20"/>
      <c r="MA126" s="20"/>
      <c r="MB126" s="20"/>
      <c r="MC126" s="20"/>
      <c r="MD126" s="20"/>
      <c r="ME126" s="20"/>
      <c r="MF126" s="20"/>
      <c r="MG126" s="20"/>
      <c r="MH126" s="20"/>
      <c r="MI126" s="20"/>
      <c r="MJ126" s="20"/>
      <c r="MK126" s="20"/>
      <c r="ML126" s="20"/>
      <c r="MM126" s="20"/>
      <c r="MN126" s="20"/>
      <c r="MO126" s="20"/>
      <c r="MP126" s="20"/>
      <c r="MQ126" s="20"/>
      <c r="MR126" s="20"/>
      <c r="MS126" s="20"/>
      <c r="MT126" s="20"/>
      <c r="MU126" s="20"/>
      <c r="MV126" s="20"/>
      <c r="MW126" s="20"/>
    </row>
    <row r="127" spans="1:361" ht="51.75" x14ac:dyDescent="0.25">
      <c r="A127" s="3" t="s">
        <v>120</v>
      </c>
      <c r="B127" s="6"/>
      <c r="C127" s="3" t="s">
        <v>121</v>
      </c>
      <c r="D127" s="4"/>
      <c r="E127" s="4"/>
      <c r="F127" s="4"/>
      <c r="G127" s="4"/>
      <c r="H127" s="4"/>
      <c r="I127" s="4"/>
      <c r="J127" s="4"/>
      <c r="K127" s="4"/>
      <c r="L127" s="360" t="str">
        <f>INDEX((Z107:AB110),MATCH(E130,Y107:Y110,0),MATCH(E131,Z106:AA106,0),1)</f>
        <v>KONSTRUKCJA DS-V6aN</v>
      </c>
      <c r="M127" s="360"/>
      <c r="N127" s="360"/>
      <c r="O127" s="360"/>
      <c r="P127" s="360"/>
      <c r="Q127" s="360"/>
      <c r="R127" s="360"/>
      <c r="S127" s="360"/>
      <c r="T127" s="360"/>
      <c r="U127" s="360"/>
      <c r="V127" s="20"/>
      <c r="W127" s="20"/>
      <c r="X127" s="25">
        <f t="shared" si="111"/>
        <v>0</v>
      </c>
      <c r="Y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150,$BB$2:$CA$2,0),MATCH($W$125,$AH$22:$AH$47,0)))*C150</f>
        <v>0</v>
      </c>
      <c r="Z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150,$BB$2:$CA$2,0),MATCH($W$125,$AH$22:$AH$47,0)))*C150</f>
        <v>0</v>
      </c>
      <c r="AA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150,$BB$2:$CA$2,0),MATCH($W$125,$AH$22:$AH$47,0)))*C150</f>
        <v>0</v>
      </c>
      <c r="AB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150,$BB$2:$CA$2,0),MATCH($W$125,$AH$22:$AH$47,0)))*C150</f>
        <v>0</v>
      </c>
      <c r="AC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150,$BB$2:$CA$2,0),MATCH($W$125,$AH$22:$AH$47,0)))*C150</f>
        <v>0</v>
      </c>
      <c r="AD12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150,$BB$2:$CA$2,0),MATCH($W$125,$AH$22:$AH$47,0)))*C150</f>
        <v>0</v>
      </c>
      <c r="AE127" s="20"/>
      <c r="AF127" s="20"/>
      <c r="AG127" s="20"/>
      <c r="AH127" s="20"/>
      <c r="AI127" s="20"/>
      <c r="AJ127" s="20"/>
      <c r="AK127" s="20"/>
      <c r="AL127" s="20">
        <f t="shared" si="112"/>
        <v>0</v>
      </c>
      <c r="AM127" s="20"/>
      <c r="AN127" s="20"/>
      <c r="AO127" s="20"/>
      <c r="AP127" s="20"/>
      <c r="AQ127" s="20"/>
      <c r="AR127" s="20"/>
      <c r="AS127" s="20"/>
      <c r="AT127" s="20"/>
      <c r="AU127" s="20"/>
      <c r="AV127" s="20"/>
      <c r="AW127" s="20"/>
      <c r="AX127" s="20"/>
      <c r="AY127" s="20"/>
      <c r="AZ127" s="20"/>
      <c r="BA127" s="20" t="s">
        <v>762</v>
      </c>
      <c r="DA127" s="54"/>
      <c r="DB127" s="54"/>
      <c r="DC127" s="54"/>
      <c r="DD127" s="20" t="s">
        <v>520</v>
      </c>
      <c r="DE127" s="20">
        <v>0</v>
      </c>
      <c r="DF127" s="20">
        <v>0</v>
      </c>
      <c r="DG127" s="20">
        <v>0</v>
      </c>
      <c r="DH127" s="20">
        <v>4</v>
      </c>
      <c r="DI127" s="20">
        <v>4</v>
      </c>
      <c r="DJ127" s="20">
        <v>4</v>
      </c>
      <c r="DK127" s="20">
        <v>8</v>
      </c>
      <c r="DL127" s="20">
        <v>6</v>
      </c>
      <c r="DM127" s="20">
        <v>10</v>
      </c>
      <c r="DN127" s="20">
        <v>10</v>
      </c>
      <c r="DO127" s="20">
        <v>10</v>
      </c>
      <c r="DP127" s="20">
        <v>14</v>
      </c>
      <c r="DQ127" s="20">
        <v>14</v>
      </c>
      <c r="DR127" s="20">
        <v>16</v>
      </c>
      <c r="DS127" s="20">
        <v>16</v>
      </c>
      <c r="DT127" s="20">
        <v>16</v>
      </c>
      <c r="DU127" s="20">
        <v>20</v>
      </c>
      <c r="DV127" s="20">
        <v>20</v>
      </c>
      <c r="DW127" s="20">
        <v>20</v>
      </c>
      <c r="DX127" s="20">
        <v>22</v>
      </c>
      <c r="DY127" s="20">
        <v>22</v>
      </c>
      <c r="DZ127" s="20"/>
      <c r="EA127" s="20"/>
      <c r="EB127" s="20"/>
      <c r="GC127" s="20"/>
      <c r="GD127" s="20"/>
      <c r="GE127" s="20" t="s">
        <v>508</v>
      </c>
      <c r="GF127" s="20"/>
      <c r="GG127" s="20"/>
      <c r="GH127" s="20"/>
      <c r="GI127" s="20"/>
      <c r="GJ127" s="20"/>
      <c r="GK127" s="20"/>
      <c r="GL127" s="20"/>
      <c r="GM127" s="20"/>
      <c r="GN127" s="20"/>
      <c r="GO127" s="20"/>
      <c r="GP127" s="20"/>
      <c r="GQ127" s="20"/>
      <c r="GR127" s="20"/>
      <c r="GS127" s="20"/>
      <c r="GT127" s="20"/>
      <c r="GU127" s="20"/>
      <c r="GV127" s="20"/>
      <c r="GW127" s="20"/>
      <c r="GX127" s="20"/>
      <c r="GY127" s="20"/>
      <c r="GZ127" s="20"/>
      <c r="HA127" s="20"/>
      <c r="HB127" s="20"/>
      <c r="HC127" s="20"/>
      <c r="HD127" s="20"/>
      <c r="HE127" s="20"/>
      <c r="HF127" s="20"/>
      <c r="HG127" s="20"/>
      <c r="HH127" s="20"/>
      <c r="HI127" s="20"/>
      <c r="HJ127" s="20"/>
      <c r="HK127" s="20"/>
      <c r="HL127" s="20"/>
      <c r="HM127" s="20"/>
      <c r="HN127" s="20"/>
      <c r="HO127" s="20"/>
      <c r="HP127" s="20"/>
      <c r="HQ127" s="20"/>
      <c r="HR127" s="20"/>
      <c r="HS127" s="20"/>
      <c r="HT127" s="20"/>
      <c r="HU127" s="20"/>
      <c r="HV127" s="20"/>
      <c r="HW127" s="20"/>
      <c r="HX127" s="20"/>
      <c r="HY127" s="20"/>
      <c r="HZ127" s="20"/>
      <c r="IA127" s="20"/>
      <c r="IB127" s="20"/>
      <c r="IC127" s="20"/>
      <c r="ID127" s="20"/>
      <c r="JS127" s="20" t="s">
        <v>715</v>
      </c>
      <c r="LW127" s="20" t="s">
        <v>479</v>
      </c>
      <c r="LX127" s="20"/>
      <c r="LY127" s="20"/>
      <c r="LZ127" s="20"/>
      <c r="MA127" s="20"/>
      <c r="MB127" s="20"/>
      <c r="MC127" s="20"/>
      <c r="MD127" s="20"/>
      <c r="ME127" s="20"/>
      <c r="MF127" s="20"/>
      <c r="MG127" s="20"/>
      <c r="MH127" s="20"/>
      <c r="MI127" s="20"/>
      <c r="MJ127" s="20"/>
      <c r="MK127" s="20"/>
      <c r="ML127" s="20"/>
      <c r="MM127" s="20"/>
      <c r="MN127" s="20"/>
      <c r="MO127" s="20"/>
      <c r="MP127" s="20"/>
      <c r="MQ127" s="20"/>
      <c r="MR127" s="20"/>
      <c r="MS127" s="20"/>
      <c r="MT127" s="20"/>
      <c r="MU127" s="20"/>
      <c r="MV127" s="20"/>
      <c r="MW127" s="20"/>
    </row>
    <row r="128" spans="1:361" x14ac:dyDescent="0.25">
      <c r="A128" s="8"/>
      <c r="B128" s="6" t="s">
        <v>116</v>
      </c>
      <c r="C128" s="8"/>
      <c r="D128" s="4"/>
      <c r="E128" s="4"/>
      <c r="F128" s="4"/>
      <c r="G128" s="4"/>
      <c r="H128" s="4"/>
      <c r="I128" s="4"/>
      <c r="J128" s="4"/>
      <c r="K128" s="4"/>
      <c r="L128" s="5" t="s">
        <v>103</v>
      </c>
      <c r="M128" s="5" t="s">
        <v>104</v>
      </c>
      <c r="N128" s="5" t="s">
        <v>107</v>
      </c>
      <c r="O128" s="5" t="s">
        <v>290</v>
      </c>
      <c r="P128" s="5" t="s">
        <v>446</v>
      </c>
      <c r="Q128" s="5" t="s">
        <v>448</v>
      </c>
      <c r="R128" s="5" t="s">
        <v>409</v>
      </c>
      <c r="S128" s="5" t="s">
        <v>447</v>
      </c>
      <c r="T128" s="5" t="s">
        <v>449</v>
      </c>
      <c r="U128" s="5" t="s">
        <v>106</v>
      </c>
      <c r="V128" s="20"/>
      <c r="W128" s="20"/>
      <c r="X128" s="25">
        <f t="shared" si="111"/>
        <v>0</v>
      </c>
      <c r="Y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151,$BB$2:$CA$2,0),MATCH($W$125,$AH$22:$AH$47,0)))*C151</f>
        <v>0</v>
      </c>
      <c r="Z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151,$BB$2:$CA$2,0),MATCH($W$125,$AH$22:$AH$47,0)))*C151</f>
        <v>0</v>
      </c>
      <c r="AA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151,$BB$2:$CA$2,0),MATCH($W$125,$AH$22:$AH$47,0)))*C151</f>
        <v>0</v>
      </c>
      <c r="AB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151,$BB$2:$CA$2,0),MATCH($W$125,$AH$22:$AH$47,0)))*C151</f>
        <v>0</v>
      </c>
      <c r="AC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151,$BB$2:$CA$2,0),MATCH($W$125,$AH$22:$AH$47,0)))*C151</f>
        <v>0</v>
      </c>
      <c r="AD12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151,$BB$2:$CA$2,0),MATCH($W$125,$AH$22:$AH$47,0)))*C151</f>
        <v>0</v>
      </c>
      <c r="AE128" s="20"/>
      <c r="AF128" s="20"/>
      <c r="AG128" s="20"/>
      <c r="AH128" s="20"/>
      <c r="AI128" s="20"/>
      <c r="AJ128" s="20"/>
      <c r="AK128" s="20"/>
      <c r="AL128" s="20">
        <f t="shared" si="112"/>
        <v>0</v>
      </c>
      <c r="AM128" s="20"/>
      <c r="AN128" s="20"/>
      <c r="AO128" s="20"/>
      <c r="AP128" s="20"/>
      <c r="AQ128" s="20"/>
      <c r="AR128" s="20"/>
      <c r="AS128" s="20"/>
      <c r="AT128" s="20"/>
      <c r="AU128" s="20"/>
      <c r="AV128" s="20"/>
      <c r="AW128" s="20"/>
      <c r="AX128" s="20"/>
      <c r="AY128" s="20"/>
      <c r="AZ128" s="20"/>
      <c r="BB128" s="21">
        <v>0</v>
      </c>
      <c r="BC128" s="21">
        <v>1</v>
      </c>
      <c r="BD128" s="21">
        <v>2</v>
      </c>
      <c r="BE128" s="21">
        <v>3</v>
      </c>
      <c r="BF128" s="21">
        <v>4</v>
      </c>
      <c r="BG128" s="21">
        <v>5</v>
      </c>
      <c r="BH128" s="21">
        <v>6</v>
      </c>
      <c r="BI128" s="21">
        <v>7</v>
      </c>
      <c r="BJ128" s="21">
        <v>8</v>
      </c>
      <c r="BK128" s="21">
        <v>9</v>
      </c>
      <c r="BL128" s="21">
        <v>10</v>
      </c>
      <c r="BM128" s="21">
        <v>11</v>
      </c>
      <c r="BN128" s="21">
        <v>12</v>
      </c>
      <c r="BO128" s="21">
        <v>13</v>
      </c>
      <c r="BP128" s="21">
        <v>14</v>
      </c>
      <c r="BQ128" s="21">
        <v>15</v>
      </c>
      <c r="BR128" s="21">
        <v>16</v>
      </c>
      <c r="BS128" s="21">
        <v>17</v>
      </c>
      <c r="BT128" s="21">
        <v>18</v>
      </c>
      <c r="BU128" s="21">
        <v>19</v>
      </c>
      <c r="BV128" s="21">
        <v>20</v>
      </c>
      <c r="BW128" s="21">
        <v>21</v>
      </c>
      <c r="BX128" s="21">
        <v>22</v>
      </c>
      <c r="BY128" s="21">
        <v>23</v>
      </c>
      <c r="BZ128" s="21">
        <v>24</v>
      </c>
      <c r="CA128" s="21">
        <v>25</v>
      </c>
      <c r="DA128" s="54"/>
      <c r="DB128" s="54"/>
      <c r="DC128" s="54"/>
      <c r="DD128" s="20" t="s">
        <v>521</v>
      </c>
      <c r="DE128" s="20">
        <v>0</v>
      </c>
      <c r="DF128" s="20">
        <v>0</v>
      </c>
      <c r="DG128" s="20">
        <v>4</v>
      </c>
      <c r="DH128" s="20">
        <v>4</v>
      </c>
      <c r="DI128" s="20">
        <v>8</v>
      </c>
      <c r="DJ128" s="20">
        <v>12</v>
      </c>
      <c r="DK128" s="20">
        <v>12</v>
      </c>
      <c r="DL128" s="20">
        <v>16</v>
      </c>
      <c r="DM128" s="20">
        <v>16</v>
      </c>
      <c r="DN128" s="20">
        <v>20</v>
      </c>
      <c r="DO128" s="20">
        <v>24</v>
      </c>
      <c r="DP128" s="20">
        <v>24</v>
      </c>
      <c r="DQ128" s="20">
        <v>28</v>
      </c>
      <c r="DR128" s="20">
        <v>28</v>
      </c>
      <c r="DS128" s="20">
        <v>32</v>
      </c>
      <c r="DT128" s="20">
        <v>36</v>
      </c>
      <c r="DU128" s="20">
        <v>36</v>
      </c>
      <c r="DV128" s="20">
        <v>40</v>
      </c>
      <c r="DW128" s="20">
        <v>44</v>
      </c>
      <c r="DX128" s="20">
        <v>44</v>
      </c>
      <c r="DY128" s="20">
        <v>48</v>
      </c>
      <c r="DZ128" s="20"/>
      <c r="EA128" s="20"/>
      <c r="EB128" s="20"/>
      <c r="GC128" s="20"/>
      <c r="GD128" s="20"/>
      <c r="GE128" s="20"/>
      <c r="GF128" s="20">
        <v>0</v>
      </c>
      <c r="GG128" s="20">
        <v>1</v>
      </c>
      <c r="GH128" s="20">
        <v>2</v>
      </c>
      <c r="GI128" s="20">
        <v>3</v>
      </c>
      <c r="GJ128" s="20">
        <v>4</v>
      </c>
      <c r="GK128" s="20">
        <v>5</v>
      </c>
      <c r="GL128" s="20">
        <v>6</v>
      </c>
      <c r="GM128" s="20">
        <v>7</v>
      </c>
      <c r="GN128" s="20">
        <v>8</v>
      </c>
      <c r="GO128" s="20">
        <v>9</v>
      </c>
      <c r="GP128" s="20">
        <v>10</v>
      </c>
      <c r="GQ128" s="20">
        <v>11</v>
      </c>
      <c r="GR128" s="20">
        <v>12</v>
      </c>
      <c r="GS128" s="20">
        <v>13</v>
      </c>
      <c r="GT128" s="20">
        <v>14</v>
      </c>
      <c r="GU128" s="20">
        <v>15</v>
      </c>
      <c r="GV128" s="20">
        <v>16</v>
      </c>
      <c r="GW128" s="20">
        <v>17</v>
      </c>
      <c r="GX128" s="20">
        <v>18</v>
      </c>
      <c r="GY128" s="20">
        <v>19</v>
      </c>
      <c r="GZ128" s="20">
        <v>20</v>
      </c>
      <c r="HA128" s="20">
        <v>21</v>
      </c>
      <c r="HB128" s="20">
        <v>22</v>
      </c>
      <c r="HC128" s="20">
        <v>23</v>
      </c>
      <c r="HD128" s="20">
        <v>24</v>
      </c>
      <c r="HE128" s="20">
        <v>25</v>
      </c>
      <c r="HF128" s="20">
        <v>26</v>
      </c>
      <c r="HG128" s="20">
        <v>27</v>
      </c>
      <c r="HH128" s="20">
        <v>28</v>
      </c>
      <c r="HI128" s="20">
        <v>29</v>
      </c>
      <c r="HJ128" s="20">
        <v>30</v>
      </c>
      <c r="HK128" s="20">
        <v>31</v>
      </c>
      <c r="HL128" s="20">
        <v>32</v>
      </c>
      <c r="HM128" s="20">
        <v>33</v>
      </c>
      <c r="HN128" s="20">
        <v>34</v>
      </c>
      <c r="HO128" s="20">
        <v>35</v>
      </c>
      <c r="HP128" s="20">
        <v>36</v>
      </c>
      <c r="HQ128" s="20">
        <v>37</v>
      </c>
      <c r="HR128" s="20">
        <v>38</v>
      </c>
      <c r="HS128" s="20">
        <v>39</v>
      </c>
      <c r="HT128" s="20">
        <v>40</v>
      </c>
      <c r="HU128" s="20">
        <v>41</v>
      </c>
      <c r="HV128" s="20">
        <v>42</v>
      </c>
      <c r="HW128" s="20">
        <v>43</v>
      </c>
      <c r="HX128" s="20">
        <v>44</v>
      </c>
      <c r="HY128" s="20">
        <v>45</v>
      </c>
      <c r="HZ128" s="20">
        <v>46</v>
      </c>
      <c r="IA128" s="20">
        <v>47</v>
      </c>
      <c r="IB128" s="20">
        <v>48</v>
      </c>
      <c r="IC128" s="20">
        <v>49</v>
      </c>
      <c r="ID128" s="20">
        <v>50</v>
      </c>
      <c r="JT128" s="21">
        <v>0</v>
      </c>
      <c r="JU128" s="21">
        <v>1</v>
      </c>
      <c r="JV128" s="21">
        <v>2</v>
      </c>
      <c r="JW128" s="21">
        <v>3</v>
      </c>
      <c r="JX128" s="21">
        <v>4</v>
      </c>
      <c r="JY128" s="21">
        <v>5</v>
      </c>
      <c r="JZ128" s="21">
        <v>6</v>
      </c>
      <c r="KA128" s="21">
        <v>7</v>
      </c>
      <c r="KB128" s="21">
        <v>8</v>
      </c>
      <c r="KC128" s="21">
        <v>9</v>
      </c>
      <c r="KD128" s="21">
        <v>10</v>
      </c>
      <c r="KE128" s="21">
        <v>11</v>
      </c>
      <c r="KF128" s="21">
        <v>12</v>
      </c>
      <c r="KG128" s="21">
        <v>13</v>
      </c>
      <c r="KH128" s="21">
        <v>14</v>
      </c>
      <c r="KI128" s="21">
        <v>15</v>
      </c>
      <c r="KJ128" s="21">
        <v>16</v>
      </c>
      <c r="KK128" s="21">
        <v>17</v>
      </c>
      <c r="KL128" s="21">
        <v>18</v>
      </c>
      <c r="KM128" s="21">
        <v>19</v>
      </c>
      <c r="KN128" s="21">
        <v>20</v>
      </c>
      <c r="KO128" s="21">
        <v>21</v>
      </c>
      <c r="KP128" s="21">
        <v>22</v>
      </c>
      <c r="KQ128" s="21">
        <v>23</v>
      </c>
      <c r="KR128" s="21">
        <v>24</v>
      </c>
      <c r="KS128" s="21">
        <v>25</v>
      </c>
      <c r="LW128" s="20"/>
      <c r="LX128" s="20">
        <v>0</v>
      </c>
      <c r="LY128" s="20">
        <v>1</v>
      </c>
      <c r="LZ128" s="20">
        <v>2</v>
      </c>
      <c r="MA128" s="20">
        <v>3</v>
      </c>
      <c r="MB128" s="20">
        <v>4</v>
      </c>
      <c r="MC128" s="20">
        <v>5</v>
      </c>
      <c r="MD128" s="20">
        <v>6</v>
      </c>
      <c r="ME128" s="20">
        <v>7</v>
      </c>
      <c r="MF128" s="20">
        <v>8</v>
      </c>
      <c r="MG128" s="20">
        <v>9</v>
      </c>
      <c r="MH128" s="20">
        <v>10</v>
      </c>
      <c r="MI128" s="20">
        <v>11</v>
      </c>
      <c r="MJ128" s="20">
        <v>12</v>
      </c>
      <c r="MK128" s="20">
        <v>13</v>
      </c>
      <c r="ML128" s="20">
        <v>14</v>
      </c>
      <c r="MM128" s="20">
        <v>15</v>
      </c>
      <c r="MN128" s="20">
        <v>16</v>
      </c>
      <c r="MO128" s="20">
        <v>17</v>
      </c>
      <c r="MP128" s="20">
        <v>18</v>
      </c>
      <c r="MQ128" s="20">
        <v>19</v>
      </c>
      <c r="MR128" s="20">
        <v>20</v>
      </c>
      <c r="MS128" s="20">
        <v>21</v>
      </c>
      <c r="MT128" s="20">
        <v>22</v>
      </c>
      <c r="MU128" s="20">
        <v>23</v>
      </c>
      <c r="MV128" s="20">
        <v>24</v>
      </c>
      <c r="MW128" s="20">
        <v>25</v>
      </c>
    </row>
    <row r="129" spans="1:361" x14ac:dyDescent="0.25">
      <c r="A129" s="8"/>
      <c r="B129" s="6" t="s">
        <v>116</v>
      </c>
      <c r="C129" s="8"/>
      <c r="D129" s="6" t="s">
        <v>118</v>
      </c>
      <c r="E129" s="8" t="s">
        <v>111</v>
      </c>
      <c r="F129" s="5" t="s">
        <v>116</v>
      </c>
      <c r="G129" s="8" t="s">
        <v>115</v>
      </c>
      <c r="H129" s="5" t="s">
        <v>116</v>
      </c>
      <c r="I129" s="8">
        <v>35</v>
      </c>
      <c r="J129" s="5" t="s">
        <v>119</v>
      </c>
      <c r="K129" s="4"/>
      <c r="L129" s="6" t="str">
        <f>E130</f>
        <v>SMA40/033</v>
      </c>
      <c r="M129" s="14">
        <f>INDEX(cennik!$C$2:$L$529,MATCH($L129,cennik!$B$2:$B$522,0),MATCH(M$27,cennik!$C$1:$L$1,0))</f>
        <v>890433</v>
      </c>
      <c r="N129" s="14" t="str">
        <f>INDEX(cennik!$C$2:$L$529,MATCH($L129,cennik!$B$2:$B$522,0),MATCH(N$27,cennik!$C$1:$L$1,0))</f>
        <v>szt.</v>
      </c>
      <c r="O129" s="14">
        <f>SUM(X106:X121)</f>
        <v>0</v>
      </c>
      <c r="P129" s="22">
        <f>INDEX(cennik!$C$2:$L$529,MATCH($L129,cennik!$B$2:$B$522,0),MATCH(P$27,cennik!$C$1:$L$1,0))</f>
        <v>20.36</v>
      </c>
      <c r="Q129" s="22">
        <f>O129*P129</f>
        <v>0</v>
      </c>
      <c r="R129" s="23">
        <f t="shared" ref="R129:R138" si="113">$E$134</f>
        <v>0</v>
      </c>
      <c r="S129" s="22">
        <f t="shared" ref="S129:S138" si="114">P129*((100-$E$134)/100)</f>
        <v>20.36</v>
      </c>
      <c r="T129" s="22">
        <f>O129*S129</f>
        <v>0</v>
      </c>
      <c r="U129" s="22">
        <f>INDEX(cennik!$C$2:$L$529,MATCH($L129,cennik!$B$2:$B$522,0),MATCH(U$27,cennik!$C$1:$L$1,0))*O129</f>
        <v>0</v>
      </c>
      <c r="V129" s="20"/>
      <c r="W129" s="20">
        <f>IF(G150=$AH$22,$AJ$22,IF(G150=$AH$23,$AJ$23,IF(G150=$AH$24,$AJ$24,IF(G150=$AH$25,$AJ$25,IF(G150=$AH$26,$AJ$26,IF(G150=$AH$27,$AJ$27,IF(G150=$AH$28,$AJ$28,IF(G150=$AH$29,$AJ$29,0))))))))</f>
        <v>1050</v>
      </c>
      <c r="X129" s="25">
        <f t="shared" si="111"/>
        <v>0</v>
      </c>
      <c r="Y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152,$BB$2:$CA$2,0),MATCH($W$125,$AH$22:$AH$47,0)))*C152</f>
        <v>0</v>
      </c>
      <c r="Z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152,$BB$2:$CA$2,0),MATCH($W$125,$AH$22:$AH$47,0)))*C152</f>
        <v>0</v>
      </c>
      <c r="AA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152,$BB$2:$CA$2,0),MATCH($W$125,$AH$22:$AH$47,0)))*C152</f>
        <v>0</v>
      </c>
      <c r="AB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152,$BB$2:$CA$2,0),MATCH($W$125,$AH$22:$AH$47,0)))*C152</f>
        <v>0</v>
      </c>
      <c r="AC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152,$BB$2:$CA$2,0),MATCH($W$125,$AH$22:$AH$47,0)))*C152</f>
        <v>0</v>
      </c>
      <c r="AD12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152,$BB$2:$CA$2,0),MATCH($W$125,$AH$22:$AH$47,0)))*C152</f>
        <v>0</v>
      </c>
      <c r="AE129" s="20"/>
      <c r="AF129" s="20"/>
      <c r="AG129" s="20"/>
      <c r="AH129" s="20"/>
      <c r="AI129" s="20"/>
      <c r="AJ129" s="20"/>
      <c r="AK129" s="20"/>
      <c r="AL129" s="20">
        <f t="shared" si="112"/>
        <v>0</v>
      </c>
      <c r="AM129" s="20"/>
      <c r="AN129" s="20"/>
      <c r="AO129" s="20"/>
      <c r="AP129" s="20"/>
      <c r="AQ129" s="20"/>
      <c r="AR129" s="20"/>
      <c r="AS129" s="20"/>
      <c r="AT129" s="20"/>
      <c r="AU129" s="20"/>
      <c r="AV129" s="20"/>
      <c r="AW129" s="20"/>
      <c r="AX129" s="20"/>
      <c r="AY129" s="20"/>
      <c r="AZ129" s="20"/>
      <c r="BA129" s="21" t="s">
        <v>126</v>
      </c>
      <c r="BB129" s="21">
        <v>0</v>
      </c>
      <c r="BC129" s="21">
        <v>0</v>
      </c>
      <c r="BD129" s="21">
        <v>0</v>
      </c>
      <c r="BE129" s="21">
        <v>0</v>
      </c>
      <c r="BF129" s="21">
        <v>2</v>
      </c>
      <c r="BG129" s="21">
        <v>0</v>
      </c>
      <c r="BH129" s="21">
        <v>0</v>
      </c>
      <c r="BI129" s="21">
        <v>0</v>
      </c>
      <c r="BJ129" s="21">
        <v>2</v>
      </c>
      <c r="BK129" s="21">
        <v>0</v>
      </c>
      <c r="BL129" s="21">
        <v>0</v>
      </c>
      <c r="BM129" s="21">
        <v>0</v>
      </c>
      <c r="BN129" s="21">
        <v>0</v>
      </c>
      <c r="BO129" s="21">
        <v>0</v>
      </c>
      <c r="BP129" s="21">
        <v>0</v>
      </c>
      <c r="BQ129" s="21">
        <v>2</v>
      </c>
      <c r="BR129" s="21">
        <v>0</v>
      </c>
      <c r="BS129" s="21">
        <v>2</v>
      </c>
      <c r="BT129" s="21">
        <v>0</v>
      </c>
      <c r="BU129" s="21">
        <v>0</v>
      </c>
      <c r="BV129" s="21">
        <v>0</v>
      </c>
      <c r="BW129" s="21">
        <v>0</v>
      </c>
      <c r="BX129" s="21">
        <v>0</v>
      </c>
      <c r="BY129" s="21">
        <v>0</v>
      </c>
      <c r="BZ129" s="21">
        <v>0</v>
      </c>
      <c r="CA129" s="21">
        <v>0</v>
      </c>
      <c r="DA129" s="54"/>
      <c r="DB129" s="54"/>
      <c r="DC129" s="54"/>
      <c r="DD129" s="26" t="s">
        <v>710</v>
      </c>
      <c r="DE129" s="20">
        <v>0</v>
      </c>
      <c r="DF129" s="20"/>
      <c r="DG129" s="20"/>
      <c r="DH129" s="20"/>
      <c r="DI129" s="20"/>
      <c r="DJ129" s="20"/>
      <c r="DK129" s="20"/>
      <c r="DL129" s="20"/>
      <c r="DM129" s="20"/>
      <c r="DN129" s="20"/>
      <c r="DO129" s="20"/>
      <c r="DP129" s="20"/>
      <c r="DQ129" s="20"/>
      <c r="DR129" s="20"/>
      <c r="DS129" s="20"/>
      <c r="DT129" s="20"/>
      <c r="DU129" s="20"/>
      <c r="DV129" s="20"/>
      <c r="DW129" s="20"/>
      <c r="DX129" s="20"/>
      <c r="DY129" s="20"/>
      <c r="DZ129" s="20"/>
      <c r="EA129" s="20"/>
      <c r="EB129" s="20"/>
      <c r="GC129" s="20"/>
      <c r="GD129" s="20"/>
      <c r="GE129" s="20" t="s">
        <v>126</v>
      </c>
      <c r="GF129" s="20">
        <v>0</v>
      </c>
      <c r="GG129" s="20">
        <v>0</v>
      </c>
      <c r="GH129" s="20">
        <v>0</v>
      </c>
      <c r="GI129" s="20">
        <v>0</v>
      </c>
      <c r="GJ129" s="20">
        <v>0</v>
      </c>
      <c r="GK129" s="20">
        <v>0</v>
      </c>
      <c r="GL129" s="20">
        <v>0</v>
      </c>
      <c r="GM129" s="20">
        <v>0</v>
      </c>
      <c r="GN129" s="20">
        <v>0</v>
      </c>
      <c r="GO129" s="20">
        <v>0</v>
      </c>
      <c r="GP129" s="20">
        <v>0</v>
      </c>
      <c r="GQ129" s="20">
        <v>0</v>
      </c>
      <c r="GR129" s="20">
        <v>0</v>
      </c>
      <c r="GS129" s="20">
        <v>0</v>
      </c>
      <c r="GT129" s="20">
        <v>0</v>
      </c>
      <c r="GU129" s="20">
        <v>0</v>
      </c>
      <c r="GV129" s="20">
        <v>0</v>
      </c>
      <c r="GW129" s="20">
        <v>0</v>
      </c>
      <c r="GX129" s="20">
        <v>0</v>
      </c>
      <c r="GY129" s="20">
        <v>0</v>
      </c>
      <c r="GZ129" s="20">
        <v>0</v>
      </c>
      <c r="HA129" s="20">
        <v>0</v>
      </c>
      <c r="HB129" s="20">
        <v>0</v>
      </c>
      <c r="HC129" s="20">
        <v>0</v>
      </c>
      <c r="HD129" s="20">
        <v>0</v>
      </c>
      <c r="HE129" s="20">
        <v>0</v>
      </c>
      <c r="HF129" s="20">
        <v>0</v>
      </c>
      <c r="HG129" s="20">
        <v>0</v>
      </c>
      <c r="HH129" s="20">
        <v>0</v>
      </c>
      <c r="HI129" s="20">
        <v>0</v>
      </c>
      <c r="HJ129" s="20">
        <v>0</v>
      </c>
      <c r="HK129" s="20">
        <v>0</v>
      </c>
      <c r="HL129" s="20">
        <v>2</v>
      </c>
      <c r="HM129" s="20">
        <v>0</v>
      </c>
      <c r="HN129" s="20">
        <v>0</v>
      </c>
      <c r="HO129" s="20">
        <v>0</v>
      </c>
      <c r="HP129" s="20">
        <v>0</v>
      </c>
      <c r="HQ129" s="20">
        <v>0</v>
      </c>
      <c r="HR129" s="20">
        <v>0</v>
      </c>
      <c r="HS129" s="20">
        <v>0</v>
      </c>
      <c r="HT129" s="20">
        <v>0</v>
      </c>
      <c r="HU129" s="20">
        <v>0</v>
      </c>
      <c r="HV129" s="20">
        <v>0</v>
      </c>
      <c r="HW129" s="20">
        <v>0</v>
      </c>
      <c r="HX129" s="20">
        <v>0</v>
      </c>
      <c r="HY129" s="20">
        <v>0</v>
      </c>
      <c r="HZ129" s="20">
        <v>0</v>
      </c>
      <c r="IA129" s="20">
        <v>2</v>
      </c>
      <c r="IB129" s="20">
        <v>0</v>
      </c>
      <c r="IC129" s="20">
        <v>0</v>
      </c>
      <c r="ID129" s="20">
        <v>0</v>
      </c>
      <c r="JS129" s="21" t="s">
        <v>126</v>
      </c>
      <c r="JT129" s="21">
        <v>0</v>
      </c>
      <c r="JU129" s="21">
        <v>0</v>
      </c>
      <c r="JV129" s="21">
        <v>0</v>
      </c>
      <c r="JW129" s="21">
        <v>0</v>
      </c>
      <c r="JX129" s="21">
        <v>0</v>
      </c>
      <c r="JY129" s="21">
        <v>0</v>
      </c>
      <c r="JZ129" s="21">
        <v>0</v>
      </c>
      <c r="KA129" s="21">
        <v>0</v>
      </c>
      <c r="KB129" s="21">
        <v>0</v>
      </c>
      <c r="KC129" s="21">
        <v>0</v>
      </c>
      <c r="KD129" s="21">
        <v>0</v>
      </c>
      <c r="KE129" s="21">
        <v>0</v>
      </c>
      <c r="KF129" s="21">
        <v>0</v>
      </c>
      <c r="KG129" s="21">
        <v>0</v>
      </c>
      <c r="KH129" s="21">
        <v>0</v>
      </c>
      <c r="KI129" s="21">
        <v>0</v>
      </c>
      <c r="KJ129" s="21">
        <v>0</v>
      </c>
      <c r="KK129" s="21">
        <v>0</v>
      </c>
      <c r="KL129" s="21">
        <v>0</v>
      </c>
      <c r="KM129" s="21">
        <v>0</v>
      </c>
      <c r="KN129" s="21">
        <v>0</v>
      </c>
      <c r="KO129" s="21">
        <v>0</v>
      </c>
      <c r="KP129" s="21">
        <v>0</v>
      </c>
      <c r="KQ129" s="21">
        <v>0</v>
      </c>
      <c r="KR129" s="21">
        <v>0</v>
      </c>
      <c r="KS129" s="21">
        <v>0</v>
      </c>
      <c r="LW129" s="20" t="s">
        <v>126</v>
      </c>
      <c r="LX129" s="20">
        <v>0</v>
      </c>
      <c r="LY129" s="20">
        <v>0</v>
      </c>
      <c r="LZ129" s="20">
        <v>0</v>
      </c>
      <c r="MA129" s="20">
        <v>0</v>
      </c>
      <c r="MB129" s="20">
        <v>0</v>
      </c>
      <c r="MC129" s="20">
        <v>0</v>
      </c>
      <c r="MD129" s="20">
        <v>0</v>
      </c>
      <c r="ME129" s="20">
        <v>0</v>
      </c>
      <c r="MF129" s="20">
        <v>0</v>
      </c>
      <c r="MG129" s="20">
        <v>0</v>
      </c>
      <c r="MH129" s="20">
        <v>0</v>
      </c>
      <c r="MI129" s="20">
        <v>0</v>
      </c>
      <c r="MJ129" s="20">
        <v>0</v>
      </c>
      <c r="MK129" s="20">
        <v>0</v>
      </c>
      <c r="ML129" s="20">
        <v>0</v>
      </c>
      <c r="MM129" s="20">
        <v>0</v>
      </c>
      <c r="MN129" s="20">
        <v>0</v>
      </c>
      <c r="MO129" s="20">
        <v>0</v>
      </c>
      <c r="MP129" s="20">
        <v>0</v>
      </c>
      <c r="MQ129" s="20">
        <v>0</v>
      </c>
      <c r="MR129" s="20">
        <v>0</v>
      </c>
      <c r="MS129" s="20">
        <v>0</v>
      </c>
      <c r="MT129" s="20">
        <v>0</v>
      </c>
      <c r="MU129" s="20">
        <v>0</v>
      </c>
      <c r="MV129" s="20">
        <v>0</v>
      </c>
      <c r="MW129" s="20">
        <v>0</v>
      </c>
    </row>
    <row r="130" spans="1:361" x14ac:dyDescent="0.25">
      <c r="A130" s="8"/>
      <c r="B130" s="6" t="s">
        <v>116</v>
      </c>
      <c r="C130" s="8"/>
      <c r="D130" s="6" t="s">
        <v>296</v>
      </c>
      <c r="E130" s="8" t="s">
        <v>91</v>
      </c>
      <c r="F130" s="5"/>
      <c r="G130" s="5"/>
      <c r="H130" s="5"/>
      <c r="I130" s="5"/>
      <c r="J130" s="5"/>
      <c r="K130" s="4"/>
      <c r="L130" s="6" t="str">
        <f>INDEX(($AC$5:$AD$14,$AH$5:$AI$14),MATCH(I129,$AB$5:$AB$14,0),MATCH(E133,$AC$4:$AD$4,0),MATCH(E132,$AC$1:$AC$2,0))</f>
        <v>BUF35</v>
      </c>
      <c r="M130" s="14">
        <f>INDEX(cennik!$C$2:$L$529,MATCH($L130,cennik!$B$2:$B$522,0),MATCH(M$27,cennik!$C$1:$L$1,0))</f>
        <v>897335</v>
      </c>
      <c r="N130" s="14" t="str">
        <f>INDEX(cennik!$C$2:$L$529,MATCH($L130,cennik!$B$2:$B$522,0),MATCH(N$27,cennik!$C$1:$L$1,0))</f>
        <v>szt.</v>
      </c>
      <c r="O130" s="14">
        <f>SUM(IF(A128=0,0,IF((A128&gt;0),C128*4)),IF(A129=0,0,IF((A129&gt;0),C129*4)),IF(A130=0,0,IF((A130&gt;0),C130*4)),IF(A131=0,0,IF((A131&gt;0),C131*4)),IF(A132=0,0,IF((A132&gt;0),C132*4)),IF(A133=0,0,IF((A133&gt;0),C133*4)),IF(A134=0,0,IF((A134&gt;0),C134*4)),IF(A135=0,0,IF((A135&gt;0),C135*4)),IF(A136=0,0,IF((A136&gt;0),C136*4)),IF(A137=0,0,IF((A137&gt;0),C137*4)),IF(A138=0,0,IF((A138&gt;0),C138*4)),IF(A139=0,0,IF((A139&gt;0),C139*4)),IF(A140=0,0,IF((A140&gt;0),C140*4)),IF(A141=0,0,IF((A141&gt;0),C141*4)),IF(A142=0,0,IF((A142&gt;0),C142*4)),,IF(A143=0,0,IF((A143&gt;0),C143*4)))</f>
        <v>0</v>
      </c>
      <c r="P130" s="22">
        <f>INDEX(cennik!$C$2:$L$529,MATCH($L130,cennik!$B$2:$B$522,0),MATCH(P$27,cennik!$C$1:$L$1,0))</f>
        <v>1.92</v>
      </c>
      <c r="Q130" s="22">
        <f t="shared" ref="Q130:Q137" si="115">O130*P130</f>
        <v>0</v>
      </c>
      <c r="R130" s="23">
        <f t="shared" si="113"/>
        <v>0</v>
      </c>
      <c r="S130" s="22">
        <f t="shared" si="114"/>
        <v>1.92</v>
      </c>
      <c r="T130" s="22">
        <f t="shared" ref="T130:T135" si="116">O130*S130</f>
        <v>0</v>
      </c>
      <c r="U130" s="22">
        <f>INDEX(cennik!$C$2:$L$529,MATCH($L130,cennik!$B$2:$B$522,0),MATCH(U$27,cennik!$C$1:$L$1,0))*O130</f>
        <v>0</v>
      </c>
      <c r="V130" s="20"/>
      <c r="W130" s="20">
        <f>IF(E150=$AH$30,$AJ$30,IF(E150=$AH$31,$AJ$31,IF(E150=$AH$32,$AJ$32,IF(E150=$AH$33,$AJ$33,IF(E150=$AH$34,$AJ$34,IF(E150=$AH$35,$AJ$35,IF(E150=$AH$36,$AJ$36,IF(E150=$AH$37,$AJ$37,IF(E150=$AH$38,$AJ$38,IF(E150=$AH$39,$AJ$39,IF(E150=$AH$40,$AJ$40,IF(E150=$AH$41,$AJ$41,IF(E150=$AH$42,$AJ$42,IF(E150=$AH$43,$AJ$43,IF(E150=$AH$44,$AJ$44,IF(E150=$AH$45,$AJ$45,IF(E150=$AH$46,$AJ$46,IF(E150=$AH$47,$AJ$47,0))))))))))))))))))</f>
        <v>2500</v>
      </c>
      <c r="X130" s="25">
        <f t="shared" si="111"/>
        <v>0</v>
      </c>
      <c r="Y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153,$BB$2:$CA$2,0),MATCH($W$125,$AH$22:$AH$47,0)))*C153</f>
        <v>0</v>
      </c>
      <c r="Z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153,$BB$2:$CA$2,0),MATCH($W$125,$AH$22:$AH$47,0)))*C153</f>
        <v>0</v>
      </c>
      <c r="AA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153,$BB$2:$CA$2,0),MATCH($W$125,$AH$22:$AH$47,0)))*C153</f>
        <v>0</v>
      </c>
      <c r="AB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153,$BB$2:$CA$2,0),MATCH($W$125,$AH$22:$AH$47,0)))*C153</f>
        <v>0</v>
      </c>
      <c r="AC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153,$BB$2:$CA$2,0),MATCH($W$125,$AH$22:$AH$47,0)))*C153</f>
        <v>0</v>
      </c>
      <c r="AD13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153,$BB$2:$CA$2,0),MATCH($W$125,$AH$22:$AH$47,0)))*C153</f>
        <v>0</v>
      </c>
      <c r="AE130" s="20"/>
      <c r="AF130" s="20"/>
      <c r="AG130" s="20"/>
      <c r="AH130" s="20"/>
      <c r="AI130" s="20"/>
      <c r="AJ130" s="20"/>
      <c r="AK130" s="20"/>
      <c r="AL130" s="20">
        <f t="shared" si="112"/>
        <v>0</v>
      </c>
      <c r="AM130" s="20"/>
      <c r="AN130" s="20"/>
      <c r="AO130" s="20"/>
      <c r="AP130" s="20"/>
      <c r="AQ130" s="20"/>
      <c r="AR130" s="20"/>
      <c r="AS130" s="20"/>
      <c r="AT130" s="20"/>
      <c r="AU130" s="20"/>
      <c r="AV130" s="20"/>
      <c r="AW130" s="20"/>
      <c r="AX130" s="20"/>
      <c r="AY130" s="20"/>
      <c r="AZ130" s="20"/>
      <c r="BA130" s="21" t="s">
        <v>12</v>
      </c>
      <c r="BB130" s="21">
        <v>0</v>
      </c>
      <c r="BC130" s="21">
        <v>2</v>
      </c>
      <c r="BD130" s="21">
        <v>0</v>
      </c>
      <c r="BE130" s="21">
        <v>4</v>
      </c>
      <c r="BF130" s="21">
        <v>0</v>
      </c>
      <c r="BG130" s="21">
        <v>4</v>
      </c>
      <c r="BH130" s="21">
        <v>2</v>
      </c>
      <c r="BI130" s="21">
        <v>0</v>
      </c>
      <c r="BJ130" s="21">
        <v>0</v>
      </c>
      <c r="BK130" s="21">
        <v>0</v>
      </c>
      <c r="BL130" s="21">
        <v>0</v>
      </c>
      <c r="BM130" s="21">
        <v>0</v>
      </c>
      <c r="BN130" s="21">
        <v>0</v>
      </c>
      <c r="BO130" s="21">
        <v>0</v>
      </c>
      <c r="BP130" s="21">
        <v>0</v>
      </c>
      <c r="BQ130" s="21">
        <v>0</v>
      </c>
      <c r="BR130" s="21">
        <v>0</v>
      </c>
      <c r="BS130" s="21">
        <v>0</v>
      </c>
      <c r="BT130" s="21">
        <v>0</v>
      </c>
      <c r="BU130" s="21">
        <v>0</v>
      </c>
      <c r="BV130" s="21">
        <v>0</v>
      </c>
      <c r="BW130" s="21">
        <v>0</v>
      </c>
      <c r="BX130" s="21">
        <v>0</v>
      </c>
      <c r="BY130" s="21">
        <v>0</v>
      </c>
      <c r="BZ130" s="21">
        <v>0</v>
      </c>
      <c r="CA130" s="21">
        <v>0</v>
      </c>
      <c r="DA130" s="54"/>
      <c r="DB130" s="54"/>
      <c r="DC130" s="54"/>
      <c r="DD130" s="26" t="s">
        <v>711</v>
      </c>
      <c r="DE130" s="20">
        <v>0</v>
      </c>
      <c r="DF130" s="20"/>
      <c r="DG130" s="20"/>
      <c r="DH130" s="20"/>
      <c r="DI130" s="20"/>
      <c r="DJ130" s="20"/>
      <c r="DK130" s="20"/>
      <c r="DL130" s="20"/>
      <c r="DM130" s="20"/>
      <c r="DN130" s="20"/>
      <c r="DO130" s="20"/>
      <c r="DP130" s="20"/>
      <c r="DQ130" s="20"/>
      <c r="DR130" s="20"/>
      <c r="DS130" s="20"/>
      <c r="DT130" s="20"/>
      <c r="DU130" s="20"/>
      <c r="DV130" s="20"/>
      <c r="DW130" s="20"/>
      <c r="DX130" s="20"/>
      <c r="DY130" s="20"/>
      <c r="DZ130" s="20"/>
      <c r="EA130" s="20"/>
      <c r="EB130" s="20"/>
      <c r="GC130" s="20"/>
      <c r="GD130" s="20"/>
      <c r="GE130" s="20" t="s">
        <v>12</v>
      </c>
      <c r="GF130" s="20">
        <v>0</v>
      </c>
      <c r="GG130" s="20">
        <v>0</v>
      </c>
      <c r="GH130" s="20">
        <v>2</v>
      </c>
      <c r="GI130" s="20">
        <v>4</v>
      </c>
      <c r="GJ130" s="20">
        <v>0</v>
      </c>
      <c r="GK130" s="20">
        <v>2</v>
      </c>
      <c r="GL130" s="20">
        <v>4</v>
      </c>
      <c r="GM130" s="20">
        <v>0</v>
      </c>
      <c r="GN130" s="20">
        <v>0</v>
      </c>
      <c r="GO130" s="20">
        <v>2</v>
      </c>
      <c r="GP130" s="20">
        <v>0</v>
      </c>
      <c r="GQ130" s="20">
        <v>0</v>
      </c>
      <c r="GR130" s="20">
        <v>4</v>
      </c>
      <c r="GS130" s="20">
        <v>0</v>
      </c>
      <c r="GT130" s="20">
        <v>0</v>
      </c>
      <c r="GU130" s="20">
        <v>0</v>
      </c>
      <c r="GV130" s="20">
        <v>2</v>
      </c>
      <c r="GW130" s="20">
        <v>0</v>
      </c>
      <c r="GX130" s="20">
        <v>0</v>
      </c>
      <c r="GY130" s="20">
        <v>0</v>
      </c>
      <c r="GZ130" s="20">
        <v>0</v>
      </c>
      <c r="HA130" s="20">
        <v>0</v>
      </c>
      <c r="HB130" s="20">
        <v>0</v>
      </c>
      <c r="HC130" s="20">
        <v>0</v>
      </c>
      <c r="HD130" s="20">
        <v>0</v>
      </c>
      <c r="HE130" s="20">
        <v>0</v>
      </c>
      <c r="HF130" s="20">
        <v>0</v>
      </c>
      <c r="HG130" s="20">
        <v>0</v>
      </c>
      <c r="HH130" s="20">
        <v>0</v>
      </c>
      <c r="HI130" s="20">
        <v>0</v>
      </c>
      <c r="HJ130" s="20">
        <v>0</v>
      </c>
      <c r="HK130" s="20">
        <v>0</v>
      </c>
      <c r="HL130" s="20">
        <v>0</v>
      </c>
      <c r="HM130" s="20">
        <v>0</v>
      </c>
      <c r="HN130" s="20">
        <v>0</v>
      </c>
      <c r="HO130" s="20">
        <v>0</v>
      </c>
      <c r="HP130" s="20">
        <v>0</v>
      </c>
      <c r="HQ130" s="20">
        <v>0</v>
      </c>
      <c r="HR130" s="20">
        <v>0</v>
      </c>
      <c r="HS130" s="20">
        <v>0</v>
      </c>
      <c r="HT130" s="20">
        <v>0</v>
      </c>
      <c r="HU130" s="20">
        <v>0</v>
      </c>
      <c r="HV130" s="20">
        <v>0</v>
      </c>
      <c r="HW130" s="20">
        <v>0</v>
      </c>
      <c r="HX130" s="20">
        <v>0</v>
      </c>
      <c r="HY130" s="20">
        <v>0</v>
      </c>
      <c r="HZ130" s="20">
        <v>0</v>
      </c>
      <c r="IA130" s="20">
        <v>0</v>
      </c>
      <c r="IB130" s="20">
        <v>0</v>
      </c>
      <c r="IC130" s="20">
        <v>0</v>
      </c>
      <c r="ID130" s="20">
        <v>0</v>
      </c>
      <c r="JS130" s="21" t="s">
        <v>12</v>
      </c>
      <c r="JT130" s="21">
        <v>0</v>
      </c>
      <c r="JU130" s="21">
        <v>2</v>
      </c>
      <c r="JV130" s="21">
        <v>0</v>
      </c>
      <c r="JW130" s="21">
        <v>4</v>
      </c>
      <c r="JX130" s="21">
        <v>2</v>
      </c>
      <c r="JY130" s="21">
        <v>0</v>
      </c>
      <c r="JZ130" s="21">
        <v>0</v>
      </c>
      <c r="KA130" s="21">
        <v>0</v>
      </c>
      <c r="KB130" s="21">
        <v>0</v>
      </c>
      <c r="KC130" s="21">
        <v>2</v>
      </c>
      <c r="KD130" s="21">
        <v>0</v>
      </c>
      <c r="KE130" s="21">
        <v>4</v>
      </c>
      <c r="KF130" s="21">
        <v>0</v>
      </c>
      <c r="KG130" s="21">
        <v>0</v>
      </c>
      <c r="KH130" s="21">
        <v>0</v>
      </c>
      <c r="KI130" s="21">
        <v>0</v>
      </c>
      <c r="KJ130" s="21">
        <v>0</v>
      </c>
      <c r="KK130" s="21">
        <v>0</v>
      </c>
      <c r="KL130" s="21">
        <v>0</v>
      </c>
      <c r="KM130" s="21">
        <v>0</v>
      </c>
      <c r="KN130" s="21">
        <v>2</v>
      </c>
      <c r="KO130" s="21">
        <v>0</v>
      </c>
      <c r="KP130" s="21">
        <v>4</v>
      </c>
      <c r="KQ130" s="21">
        <v>0</v>
      </c>
      <c r="KR130" s="21">
        <v>0</v>
      </c>
      <c r="KS130" s="21">
        <v>2</v>
      </c>
      <c r="LW130" s="20" t="s">
        <v>12</v>
      </c>
      <c r="LX130" s="20">
        <v>0</v>
      </c>
      <c r="LY130" s="20">
        <v>0</v>
      </c>
      <c r="LZ130" s="20">
        <v>2</v>
      </c>
      <c r="MA130" s="20">
        <v>0</v>
      </c>
      <c r="MB130" s="20">
        <v>2</v>
      </c>
      <c r="MC130" s="20">
        <v>0</v>
      </c>
      <c r="MD130" s="20">
        <v>0</v>
      </c>
      <c r="ME130" s="20">
        <v>0</v>
      </c>
      <c r="MF130" s="20">
        <v>0</v>
      </c>
      <c r="MG130" s="20">
        <v>0</v>
      </c>
      <c r="MH130" s="20">
        <v>0</v>
      </c>
      <c r="MI130" s="20">
        <v>0</v>
      </c>
      <c r="MJ130" s="20">
        <v>0</v>
      </c>
      <c r="MK130" s="20">
        <v>2</v>
      </c>
      <c r="ML130" s="20">
        <v>0</v>
      </c>
      <c r="MM130" s="20">
        <v>2</v>
      </c>
      <c r="MN130" s="20">
        <v>0</v>
      </c>
      <c r="MO130" s="20">
        <v>0</v>
      </c>
      <c r="MP130" s="20">
        <v>0</v>
      </c>
      <c r="MQ130" s="20">
        <v>0</v>
      </c>
      <c r="MR130" s="20">
        <v>0</v>
      </c>
      <c r="MS130" s="20">
        <v>0</v>
      </c>
      <c r="MT130" s="20">
        <v>0</v>
      </c>
      <c r="MU130" s="20">
        <v>2</v>
      </c>
      <c r="MV130" s="20">
        <v>0</v>
      </c>
      <c r="MW130" s="20">
        <v>2</v>
      </c>
    </row>
    <row r="131" spans="1:361" x14ac:dyDescent="0.25">
      <c r="A131" s="8"/>
      <c r="B131" s="6" t="s">
        <v>116</v>
      </c>
      <c r="C131" s="8"/>
      <c r="D131" s="6" t="s">
        <v>122</v>
      </c>
      <c r="E131" s="8" t="s">
        <v>123</v>
      </c>
      <c r="F131" s="5"/>
      <c r="G131" s="5"/>
      <c r="H131" s="5"/>
      <c r="I131" s="5"/>
      <c r="J131" s="5"/>
      <c r="K131" s="4"/>
      <c r="L131" s="6" t="str">
        <f>INDEX(($AC$15:$AD$15,$AH$15:$AI$15),1,MATCH(E133,$AC$4:$AD$4,0),MATCH(E132,$AC$1:$AC$2,0))</f>
        <v>PUF</v>
      </c>
      <c r="M131" s="14">
        <f>INDEX(cennik!$C$2:$L$529,MATCH($L131,cennik!$B$2:$B$522,0),MATCH(M$27,cennik!$C$1:$L$1,0))</f>
        <v>897300</v>
      </c>
      <c r="N131" s="14" t="str">
        <f>INDEX(cennik!$C$2:$L$529,MATCH($L131,cennik!$B$2:$B$522,0),MATCH(N$27,cennik!$C$1:$L$1,0))</f>
        <v>szt.</v>
      </c>
      <c r="O131" s="14">
        <f>SUM(IF(A128=0,0,IF(A128&gt;0,(A128-1)*2*C128)),IF(A129=0,0,IF(A129&gt;0,(A129-1)*2*C129)),IF(A130=0,0,IF(A130&gt;0,(A130-1)*2*C130)),IF(A131=0,0,IF(A131&gt;0,(A131-1)*2*C131)),IF(A132=0,0,IF(A132&gt;0,(A132-1)*2*C132)),IF(A133=0,0,IF(A133&gt;0,(A133-1)*2*C133)),IF(A134=0,0,IF(A134&gt;0,(A134-1)*2*C134)),IF(A135=0,0,IF(A135&gt;0,(A135-1)*2*C135)),IF(A136=0,0,IF(A136&gt;0,(A136-1)*2*C136)),IF(A137=0,0,IF(A137&gt;0,(A137-1)*2*C137)),IF(A138=0,0,IF(A138&gt;0,(A138-1)*2*C138)),IF(A139=0,0,IF(A139&gt;0,(A139-1)*2*C139)),IF(A140=0,0,IF(A140&gt;0,(A140-1)*2*C140)),IF(A141=0,0,IF(A141&gt;0,(A141-1)*2*C141)),IF(A142=0,0,IF(A142&gt;0,(A142-1)*2*C142)),IF(A143=0,0,IF(A143&gt;0,(A143-1)*2*C143)))</f>
        <v>0</v>
      </c>
      <c r="P131" s="22">
        <f>INDEX(cennik!$C$2:$L$529,MATCH($L131,cennik!$B$2:$B$522,0),MATCH(P$27,cennik!$C$1:$L$1,0))</f>
        <v>2.06</v>
      </c>
      <c r="Q131" s="22">
        <f t="shared" si="115"/>
        <v>0</v>
      </c>
      <c r="R131" s="23">
        <f t="shared" si="113"/>
        <v>0</v>
      </c>
      <c r="S131" s="22">
        <f t="shared" si="114"/>
        <v>2.06</v>
      </c>
      <c r="T131" s="22">
        <f t="shared" si="116"/>
        <v>0</v>
      </c>
      <c r="U131" s="22">
        <f>INDEX(cennik!$C$2:$L$529,MATCH($L131,cennik!$B$2:$B$522,0),MATCH(U$27,cennik!$C$1:$L$1,0))*O131</f>
        <v>0</v>
      </c>
      <c r="V131" s="20"/>
      <c r="W131" s="20"/>
      <c r="X131" s="25">
        <f t="shared" si="111"/>
        <v>0</v>
      </c>
      <c r="Y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154,$BB$2:$CA$2,0),MATCH($W$125,$AH$22:$AH$47,0)))*C154</f>
        <v>0</v>
      </c>
      <c r="Z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154,$BB$2:$CA$2,0),MATCH($W$125,$AH$22:$AH$47,0)))*C154</f>
        <v>0</v>
      </c>
      <c r="AA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154,$BB$2:$CA$2,0),MATCH($W$125,$AH$22:$AH$47,0)))*C154</f>
        <v>0</v>
      </c>
      <c r="AB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154,$BB$2:$CA$2,0),MATCH($W$125,$AH$22:$AH$47,0)))*C154</f>
        <v>0</v>
      </c>
      <c r="AC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154,$BB$2:$CA$2,0),MATCH($W$125,$AH$22:$AH$47,0)))*C154</f>
        <v>0</v>
      </c>
      <c r="AD13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154,$BB$2:$CA$2,0),MATCH($W$125,$AH$22:$AH$47,0)))*C154</f>
        <v>0</v>
      </c>
      <c r="AE131" s="20"/>
      <c r="AF131" s="20"/>
      <c r="AG131" s="20"/>
      <c r="AH131" s="20"/>
      <c r="AI131" s="20"/>
      <c r="AJ131" s="20"/>
      <c r="AK131" s="20"/>
      <c r="AL131" s="20">
        <f t="shared" si="112"/>
        <v>0</v>
      </c>
      <c r="AM131" s="20"/>
      <c r="AN131" s="20"/>
      <c r="AO131" s="20"/>
      <c r="AP131" s="20"/>
      <c r="AQ131" s="20"/>
      <c r="AR131" s="20"/>
      <c r="AS131" s="20"/>
      <c r="AT131" s="20"/>
      <c r="AU131" s="20"/>
      <c r="AV131" s="20"/>
      <c r="AW131" s="20"/>
      <c r="AX131" s="20"/>
      <c r="AY131" s="20"/>
      <c r="AZ131" s="20"/>
      <c r="BA131" s="21" t="s">
        <v>127</v>
      </c>
      <c r="BB131" s="21">
        <v>0</v>
      </c>
      <c r="BC131" s="21">
        <v>0</v>
      </c>
      <c r="BD131" s="21">
        <v>0</v>
      </c>
      <c r="BE131" s="21">
        <v>0</v>
      </c>
      <c r="BF131" s="21">
        <v>4</v>
      </c>
      <c r="BG131" s="21">
        <v>0</v>
      </c>
      <c r="BH131" s="21">
        <v>0</v>
      </c>
      <c r="BI131" s="21">
        <v>0</v>
      </c>
      <c r="BJ131" s="21">
        <v>0</v>
      </c>
      <c r="BK131" s="21">
        <v>0</v>
      </c>
      <c r="BL131" s="21">
        <v>4</v>
      </c>
      <c r="BM131" s="21">
        <v>2</v>
      </c>
      <c r="BN131" s="21">
        <v>0</v>
      </c>
      <c r="BO131" s="21">
        <v>2</v>
      </c>
      <c r="BP131" s="21">
        <v>0</v>
      </c>
      <c r="BQ131" s="21">
        <v>0</v>
      </c>
      <c r="BR131" s="21">
        <v>0</v>
      </c>
      <c r="BS131" s="21">
        <v>0</v>
      </c>
      <c r="BT131" s="21">
        <v>2</v>
      </c>
      <c r="BU131" s="21">
        <v>0</v>
      </c>
      <c r="BV131" s="21">
        <v>2</v>
      </c>
      <c r="BW131" s="21">
        <v>0</v>
      </c>
      <c r="BX131" s="21">
        <v>4</v>
      </c>
      <c r="BY131" s="21">
        <v>0</v>
      </c>
      <c r="BZ131" s="21">
        <v>0</v>
      </c>
      <c r="CA131" s="21">
        <v>0</v>
      </c>
      <c r="DA131" s="54"/>
      <c r="DB131" s="54"/>
      <c r="DC131" s="54"/>
      <c r="DD131" s="26" t="s">
        <v>712</v>
      </c>
      <c r="DE131" s="20">
        <v>0</v>
      </c>
      <c r="DF131" s="20"/>
      <c r="DG131" s="20"/>
      <c r="DH131" s="20"/>
      <c r="DI131" s="20"/>
      <c r="DJ131" s="20"/>
      <c r="DK131" s="20"/>
      <c r="DL131" s="20"/>
      <c r="DM131" s="20"/>
      <c r="DN131" s="20"/>
      <c r="DO131" s="20"/>
      <c r="DP131" s="20"/>
      <c r="DQ131" s="20"/>
      <c r="DR131" s="20"/>
      <c r="DS131" s="20"/>
      <c r="DT131" s="20"/>
      <c r="DU131" s="20"/>
      <c r="DV131" s="20"/>
      <c r="DW131" s="20"/>
      <c r="DX131" s="20"/>
      <c r="DY131" s="20"/>
      <c r="DZ131" s="20"/>
      <c r="EA131" s="20"/>
      <c r="EB131" s="20"/>
      <c r="GC131" s="20"/>
      <c r="GD131" s="20"/>
      <c r="GE131" s="20" t="s">
        <v>127</v>
      </c>
      <c r="GF131" s="20">
        <v>0</v>
      </c>
      <c r="GG131" s="20">
        <v>0</v>
      </c>
      <c r="GH131" s="20">
        <v>0</v>
      </c>
      <c r="GI131" s="20">
        <v>0</v>
      </c>
      <c r="GJ131" s="20">
        <v>0</v>
      </c>
      <c r="GK131" s="20">
        <v>0</v>
      </c>
      <c r="GL131" s="20">
        <v>0</v>
      </c>
      <c r="GM131" s="20">
        <v>0</v>
      </c>
      <c r="GN131" s="20">
        <v>2</v>
      </c>
      <c r="GO131" s="20">
        <v>2</v>
      </c>
      <c r="GP131" s="20">
        <v>0</v>
      </c>
      <c r="GQ131" s="20">
        <v>0</v>
      </c>
      <c r="GR131" s="20">
        <v>0</v>
      </c>
      <c r="GS131" s="20">
        <v>0</v>
      </c>
      <c r="GT131" s="20">
        <v>0</v>
      </c>
      <c r="GU131" s="20">
        <v>2</v>
      </c>
      <c r="GV131" s="20">
        <v>0</v>
      </c>
      <c r="GW131" s="20">
        <v>0</v>
      </c>
      <c r="GX131" s="20">
        <v>0</v>
      </c>
      <c r="GY131" s="20">
        <v>2</v>
      </c>
      <c r="GZ131" s="20">
        <v>0</v>
      </c>
      <c r="HA131" s="20">
        <v>0</v>
      </c>
      <c r="HB131" s="20">
        <v>4</v>
      </c>
      <c r="HC131" s="20">
        <v>0</v>
      </c>
      <c r="HD131" s="20">
        <v>0</v>
      </c>
      <c r="HE131" s="20">
        <v>0</v>
      </c>
      <c r="HF131" s="20">
        <v>0</v>
      </c>
      <c r="HG131" s="20">
        <v>0</v>
      </c>
      <c r="HH131" s="20">
        <v>0</v>
      </c>
      <c r="HI131" s="20">
        <v>0</v>
      </c>
      <c r="HJ131" s="20">
        <v>0</v>
      </c>
      <c r="HK131" s="20">
        <v>0</v>
      </c>
      <c r="HL131" s="20">
        <v>0</v>
      </c>
      <c r="HM131" s="20">
        <v>0</v>
      </c>
      <c r="HN131" s="20">
        <v>0</v>
      </c>
      <c r="HO131" s="20">
        <v>0</v>
      </c>
      <c r="HP131" s="20">
        <v>0</v>
      </c>
      <c r="HQ131" s="20">
        <v>0</v>
      </c>
      <c r="HR131" s="20">
        <v>0</v>
      </c>
      <c r="HS131" s="20">
        <v>0</v>
      </c>
      <c r="HT131" s="20">
        <v>0</v>
      </c>
      <c r="HU131" s="20">
        <v>0</v>
      </c>
      <c r="HV131" s="20">
        <v>0</v>
      </c>
      <c r="HW131" s="20">
        <v>0</v>
      </c>
      <c r="HX131" s="20">
        <v>2</v>
      </c>
      <c r="HY131" s="20">
        <v>0</v>
      </c>
      <c r="HZ131" s="20">
        <v>0</v>
      </c>
      <c r="IA131" s="20">
        <v>0</v>
      </c>
      <c r="IB131" s="20">
        <v>0</v>
      </c>
      <c r="IC131" s="20">
        <v>0</v>
      </c>
      <c r="ID131" s="20">
        <v>0</v>
      </c>
      <c r="JS131" s="21" t="s">
        <v>127</v>
      </c>
      <c r="JT131" s="21">
        <v>0</v>
      </c>
      <c r="JU131" s="21">
        <v>0</v>
      </c>
      <c r="JV131" s="21">
        <v>0</v>
      </c>
      <c r="JW131" s="21">
        <v>0</v>
      </c>
      <c r="JX131" s="21">
        <v>0</v>
      </c>
      <c r="JY131" s="21">
        <v>0</v>
      </c>
      <c r="JZ131" s="21">
        <v>4</v>
      </c>
      <c r="KA131" s="21">
        <v>0</v>
      </c>
      <c r="KB131" s="21">
        <v>0</v>
      </c>
      <c r="KC131" s="21">
        <v>0</v>
      </c>
      <c r="KD131" s="21">
        <v>0</v>
      </c>
      <c r="KE131" s="21">
        <v>0</v>
      </c>
      <c r="KF131" s="21">
        <v>0</v>
      </c>
      <c r="KG131" s="21">
        <v>0</v>
      </c>
      <c r="KH131" s="21">
        <v>2</v>
      </c>
      <c r="KI131" s="21">
        <v>2</v>
      </c>
      <c r="KJ131" s="21">
        <v>0</v>
      </c>
      <c r="KK131" s="21">
        <v>0</v>
      </c>
      <c r="KL131" s="21">
        <v>0</v>
      </c>
      <c r="KM131" s="21">
        <v>0</v>
      </c>
      <c r="KN131" s="21">
        <v>0</v>
      </c>
      <c r="KO131" s="21">
        <v>0</v>
      </c>
      <c r="KP131" s="21">
        <v>0</v>
      </c>
      <c r="KQ131" s="21">
        <v>2</v>
      </c>
      <c r="KR131" s="21">
        <v>0</v>
      </c>
      <c r="KS131" s="21">
        <v>0</v>
      </c>
      <c r="LW131" s="20" t="s">
        <v>127</v>
      </c>
      <c r="LX131" s="20">
        <v>0</v>
      </c>
      <c r="LY131" s="20">
        <v>0</v>
      </c>
      <c r="LZ131" s="20">
        <v>0</v>
      </c>
      <c r="MA131" s="20">
        <v>0</v>
      </c>
      <c r="MB131" s="20">
        <v>0</v>
      </c>
      <c r="MC131" s="20">
        <v>0</v>
      </c>
      <c r="MD131" s="20">
        <v>0</v>
      </c>
      <c r="ME131" s="20">
        <v>0</v>
      </c>
      <c r="MF131" s="20">
        <v>0</v>
      </c>
      <c r="MG131" s="20">
        <v>2</v>
      </c>
      <c r="MH131" s="20">
        <v>4</v>
      </c>
      <c r="MI131" s="20">
        <v>0</v>
      </c>
      <c r="MJ131" s="20">
        <v>0</v>
      </c>
      <c r="MK131" s="20">
        <v>2</v>
      </c>
      <c r="ML131" s="20">
        <v>0</v>
      </c>
      <c r="MM131" s="20">
        <v>0</v>
      </c>
      <c r="MN131" s="20">
        <v>0</v>
      </c>
      <c r="MO131" s="20">
        <v>0</v>
      </c>
      <c r="MP131" s="20">
        <v>4</v>
      </c>
      <c r="MQ131" s="20">
        <v>0</v>
      </c>
      <c r="MR131" s="20">
        <v>2</v>
      </c>
      <c r="MS131" s="20">
        <v>0</v>
      </c>
      <c r="MT131" s="20">
        <v>0</v>
      </c>
      <c r="MU131" s="20">
        <v>0</v>
      </c>
      <c r="MV131" s="20">
        <v>0</v>
      </c>
      <c r="MW131" s="20">
        <v>0</v>
      </c>
    </row>
    <row r="132" spans="1:361" x14ac:dyDescent="0.25">
      <c r="A132" s="8"/>
      <c r="B132" s="6" t="s">
        <v>116</v>
      </c>
      <c r="C132" s="8"/>
      <c r="D132" s="6" t="s">
        <v>129</v>
      </c>
      <c r="E132" s="8" t="s">
        <v>130</v>
      </c>
      <c r="F132" s="5"/>
      <c r="G132" s="5"/>
      <c r="H132" s="5"/>
      <c r="I132" s="5"/>
      <c r="J132" s="5"/>
      <c r="K132" s="4"/>
      <c r="L132" s="6" t="str">
        <f>INDEX(($AE$5:$AE$14,$AJ$5:$AJ$14),MATCH(I129,$AB$5:$AB$14,0),1,MATCH(E132,$AC$1:$AC$2,0))</f>
        <v>SAM8X30E</v>
      </c>
      <c r="M132" s="14">
        <f>INDEX(cennik!$C$2:$L$529,MATCH($L132,cennik!$B$2:$B$522,0),MATCH(M$27,cennik!$C$1:$L$1,0))</f>
        <v>898530</v>
      </c>
      <c r="N132" s="14" t="str">
        <f>INDEX(cennik!$C$2:$L$529,MATCH($L132,cennik!$B$2:$B$522,0),MATCH(N$27,cennik!$C$1:$L$1,0))</f>
        <v>szt.</v>
      </c>
      <c r="O132" s="14">
        <f>IF(L132="-------",0,SUM(O130:O131))</f>
        <v>0</v>
      </c>
      <c r="P132" s="22">
        <f>INDEX(cennik!$C$2:$L$529,MATCH($L132,cennik!$B$2:$B$522,0),MATCH(P$27,cennik!$C$1:$L$1,0))</f>
        <v>0.5</v>
      </c>
      <c r="Q132" s="22">
        <f t="shared" si="115"/>
        <v>0</v>
      </c>
      <c r="R132" s="23">
        <f t="shared" si="113"/>
        <v>0</v>
      </c>
      <c r="S132" s="22">
        <f t="shared" si="114"/>
        <v>0.5</v>
      </c>
      <c r="T132" s="22">
        <f t="shared" si="116"/>
        <v>0</v>
      </c>
      <c r="U132" s="22">
        <f>INDEX(cennik!$C$2:$L$529,MATCH($L132,cennik!$B$2:$B$522,0),MATCH(U$27,cennik!$C$1:$L$1,0))*O132</f>
        <v>0</v>
      </c>
      <c r="V132" s="20"/>
      <c r="W132" s="20"/>
      <c r="X132" s="25">
        <f t="shared" si="111"/>
        <v>0</v>
      </c>
      <c r="Y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155,$BB$2:$CA$2,0),MATCH($W$125,$AH$22:$AH$47,0)))*C155</f>
        <v>0</v>
      </c>
      <c r="Z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155,$BB$2:$CA$2,0),MATCH($W$125,$AH$22:$AH$47,0)))*C155</f>
        <v>0</v>
      </c>
      <c r="AA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155,$BB$2:$CA$2,0),MATCH($W$125,$AH$22:$AH$47,0)))*C155</f>
        <v>0</v>
      </c>
      <c r="AB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155,$BB$2:$CA$2,0),MATCH($W$125,$AH$22:$AH$47,0)))*C155</f>
        <v>0</v>
      </c>
      <c r="AC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155,$BB$2:$CA$2,0),MATCH($W$125,$AH$22:$AH$47,0)))*C155</f>
        <v>0</v>
      </c>
      <c r="AD13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155,$BB$2:$CA$2,0),MATCH($W$125,$AH$22:$AH$47,0)))*C155</f>
        <v>0</v>
      </c>
      <c r="AE132" s="20"/>
      <c r="AF132" s="20"/>
      <c r="AG132" s="20"/>
      <c r="AH132" s="20"/>
      <c r="AI132" s="20"/>
      <c r="AJ132" s="20"/>
      <c r="AK132" s="20"/>
      <c r="AL132" s="20">
        <f t="shared" si="112"/>
        <v>0</v>
      </c>
      <c r="AM132" s="20"/>
      <c r="AN132" s="20"/>
      <c r="AO132" s="20"/>
      <c r="AP132" s="20"/>
      <c r="AQ132" s="20"/>
      <c r="AR132" s="20"/>
      <c r="AS132" s="20"/>
      <c r="AT132" s="20"/>
      <c r="AU132" s="20"/>
      <c r="AV132" s="20"/>
      <c r="AW132" s="20"/>
      <c r="AX132" s="20"/>
      <c r="AY132" s="20"/>
      <c r="AZ132" s="20"/>
      <c r="BA132" s="21" t="s">
        <v>15</v>
      </c>
      <c r="BB132" s="21">
        <v>0</v>
      </c>
      <c r="BC132" s="21">
        <v>0</v>
      </c>
      <c r="BD132" s="21">
        <v>2</v>
      </c>
      <c r="BE132" s="21">
        <v>0</v>
      </c>
      <c r="BF132" s="21">
        <v>0</v>
      </c>
      <c r="BG132" s="21">
        <v>2</v>
      </c>
      <c r="BH132" s="21">
        <v>4</v>
      </c>
      <c r="BI132" s="21">
        <v>2</v>
      </c>
      <c r="BJ132" s="21">
        <v>0</v>
      </c>
      <c r="BK132" s="21">
        <v>8</v>
      </c>
      <c r="BL132" s="21">
        <v>6</v>
      </c>
      <c r="BM132" s="21">
        <v>2</v>
      </c>
      <c r="BN132" s="21">
        <v>0</v>
      </c>
      <c r="BO132" s="21">
        <v>10</v>
      </c>
      <c r="BP132" s="21">
        <v>6</v>
      </c>
      <c r="BQ132" s="21">
        <v>2</v>
      </c>
      <c r="BR132" s="21">
        <v>12</v>
      </c>
      <c r="BS132" s="21">
        <v>12</v>
      </c>
      <c r="BT132" s="21">
        <v>6</v>
      </c>
      <c r="BU132" s="21">
        <v>2</v>
      </c>
      <c r="BV132" s="21">
        <v>12</v>
      </c>
      <c r="BW132" s="21">
        <v>8</v>
      </c>
      <c r="BX132" s="21">
        <v>8</v>
      </c>
      <c r="BY132" s="21">
        <v>16</v>
      </c>
      <c r="BZ132" s="21">
        <v>0</v>
      </c>
      <c r="CA132" s="21">
        <v>22</v>
      </c>
      <c r="DA132" s="54"/>
      <c r="DB132" s="54"/>
      <c r="DC132" s="54"/>
      <c r="DD132" s="20"/>
      <c r="DE132" s="20"/>
      <c r="DF132" s="20"/>
      <c r="DG132" s="20"/>
      <c r="DH132" s="20"/>
      <c r="DI132" s="20"/>
      <c r="DJ132" s="20"/>
      <c r="DK132" s="20"/>
      <c r="DL132" s="20"/>
      <c r="DM132" s="20"/>
      <c r="DN132" s="20"/>
      <c r="DO132" s="20"/>
      <c r="DP132" s="20"/>
      <c r="DQ132" s="20"/>
      <c r="DR132" s="20"/>
      <c r="DS132" s="20"/>
      <c r="DT132" s="20"/>
      <c r="DU132" s="20"/>
      <c r="DV132" s="20"/>
      <c r="DW132" s="20"/>
      <c r="DX132" s="20"/>
      <c r="DY132" s="20"/>
      <c r="DZ132" s="20"/>
      <c r="EA132" s="20"/>
      <c r="EB132" s="20"/>
      <c r="GC132" s="20"/>
      <c r="GD132" s="20"/>
      <c r="GE132" s="20" t="s">
        <v>15</v>
      </c>
      <c r="GF132" s="20">
        <v>0</v>
      </c>
      <c r="GG132" s="20">
        <v>2</v>
      </c>
      <c r="GH132" s="20">
        <v>2</v>
      </c>
      <c r="GI132" s="20">
        <v>2</v>
      </c>
      <c r="GJ132" s="20">
        <v>6</v>
      </c>
      <c r="GK132" s="20">
        <v>6</v>
      </c>
      <c r="GL132" s="20">
        <v>4</v>
      </c>
      <c r="GM132" s="20">
        <v>6</v>
      </c>
      <c r="GN132" s="20">
        <v>4</v>
      </c>
      <c r="GO132" s="20">
        <v>2</v>
      </c>
      <c r="GP132" s="20">
        <v>2</v>
      </c>
      <c r="GQ132" s="20">
        <v>16</v>
      </c>
      <c r="GR132" s="20">
        <v>0</v>
      </c>
      <c r="GS132" s="20">
        <v>0</v>
      </c>
      <c r="GT132" s="20">
        <v>12</v>
      </c>
      <c r="GU132" s="20">
        <v>10</v>
      </c>
      <c r="GV132" s="20">
        <v>22</v>
      </c>
      <c r="GW132" s="20">
        <v>8</v>
      </c>
      <c r="GX132" s="20">
        <v>22</v>
      </c>
      <c r="GY132" s="20">
        <v>20</v>
      </c>
      <c r="GZ132" s="20">
        <v>4</v>
      </c>
      <c r="HA132" s="20">
        <v>18</v>
      </c>
      <c r="HB132" s="20">
        <v>8</v>
      </c>
      <c r="HC132" s="20">
        <v>0</v>
      </c>
      <c r="HD132" s="20">
        <v>14</v>
      </c>
      <c r="HE132" s="20">
        <v>28</v>
      </c>
      <c r="HF132" s="20">
        <v>0</v>
      </c>
      <c r="HG132" s="20">
        <v>10</v>
      </c>
      <c r="HH132" s="20">
        <v>24</v>
      </c>
      <c r="HI132" s="20">
        <v>0</v>
      </c>
      <c r="HJ132" s="20">
        <v>6</v>
      </c>
      <c r="HK132" s="20">
        <v>20</v>
      </c>
      <c r="HL132" s="20">
        <v>14</v>
      </c>
      <c r="HM132" s="20">
        <v>4</v>
      </c>
      <c r="HN132" s="20">
        <v>4</v>
      </c>
      <c r="HO132" s="20">
        <v>30</v>
      </c>
      <c r="HP132" s="20">
        <v>0</v>
      </c>
      <c r="HQ132" s="20">
        <v>12</v>
      </c>
      <c r="HR132" s="20">
        <v>26</v>
      </c>
      <c r="HS132" s="20">
        <v>0</v>
      </c>
      <c r="HT132" s="20">
        <v>10</v>
      </c>
      <c r="HU132" s="20">
        <v>22</v>
      </c>
      <c r="HV132" s="20">
        <v>0</v>
      </c>
      <c r="HW132" s="20">
        <v>6</v>
      </c>
      <c r="HX132" s="20">
        <v>4</v>
      </c>
      <c r="HY132" s="20">
        <v>0</v>
      </c>
      <c r="HZ132" s="20">
        <v>2</v>
      </c>
      <c r="IA132" s="20">
        <v>0</v>
      </c>
      <c r="IB132" s="20">
        <v>28</v>
      </c>
      <c r="IC132" s="20">
        <v>0</v>
      </c>
      <c r="ID132" s="20">
        <v>12</v>
      </c>
      <c r="JS132" s="20" t="s">
        <v>1024</v>
      </c>
      <c r="JT132" s="21">
        <v>0</v>
      </c>
      <c r="JU132" s="21">
        <v>0</v>
      </c>
      <c r="JV132" s="21">
        <v>0</v>
      </c>
      <c r="JW132" s="21">
        <v>0</v>
      </c>
      <c r="JX132" s="21">
        <v>0</v>
      </c>
      <c r="JY132" s="21">
        <v>0</v>
      </c>
      <c r="JZ132" s="21">
        <v>0</v>
      </c>
      <c r="KA132" s="21">
        <v>2</v>
      </c>
      <c r="KB132" s="21">
        <v>0</v>
      </c>
      <c r="KC132" s="21">
        <v>0</v>
      </c>
      <c r="KD132" s="21">
        <v>0</v>
      </c>
      <c r="KE132" s="21">
        <v>0</v>
      </c>
      <c r="KF132" s="21">
        <v>2</v>
      </c>
      <c r="KG132" s="21">
        <v>0</v>
      </c>
      <c r="KH132" s="21">
        <v>0</v>
      </c>
      <c r="KI132" s="21">
        <v>0</v>
      </c>
      <c r="KJ132" s="21">
        <v>0</v>
      </c>
      <c r="KK132" s="21">
        <v>4</v>
      </c>
      <c r="KL132" s="21">
        <v>0</v>
      </c>
      <c r="KM132" s="21">
        <v>0</v>
      </c>
      <c r="KN132" s="21">
        <v>0</v>
      </c>
      <c r="KO132" s="21">
        <v>0</v>
      </c>
      <c r="KP132" s="21">
        <v>0</v>
      </c>
      <c r="KQ132" s="21">
        <v>0</v>
      </c>
      <c r="KR132" s="21">
        <v>0</v>
      </c>
      <c r="KS132" s="21">
        <v>0</v>
      </c>
      <c r="LW132" s="20" t="s">
        <v>1024</v>
      </c>
      <c r="LX132" s="20">
        <v>0</v>
      </c>
      <c r="LY132" s="20">
        <v>2</v>
      </c>
      <c r="LZ132" s="20">
        <v>2</v>
      </c>
      <c r="MA132" s="20">
        <v>0</v>
      </c>
      <c r="MB132" s="20">
        <v>0</v>
      </c>
      <c r="MC132" s="20">
        <v>4</v>
      </c>
      <c r="MD132" s="20">
        <v>0</v>
      </c>
      <c r="ME132" s="20">
        <v>4</v>
      </c>
      <c r="MF132" s="20">
        <v>0</v>
      </c>
      <c r="MG132" s="20">
        <v>0</v>
      </c>
      <c r="MH132" s="20">
        <v>0</v>
      </c>
      <c r="MI132" s="20">
        <v>0</v>
      </c>
      <c r="MJ132" s="20">
        <v>2</v>
      </c>
      <c r="MK132" s="20">
        <v>0</v>
      </c>
      <c r="ML132" s="20">
        <v>0</v>
      </c>
      <c r="MM132" s="20">
        <v>0</v>
      </c>
      <c r="MN132" s="20">
        <v>0</v>
      </c>
      <c r="MO132" s="20">
        <v>2</v>
      </c>
      <c r="MP132" s="20">
        <v>0</v>
      </c>
      <c r="MQ132" s="20">
        <v>0</v>
      </c>
      <c r="MR132" s="20">
        <v>0</v>
      </c>
      <c r="MS132" s="20">
        <v>0</v>
      </c>
      <c r="MT132" s="20">
        <v>2</v>
      </c>
      <c r="MU132" s="20">
        <v>0</v>
      </c>
      <c r="MV132" s="20">
        <v>0</v>
      </c>
      <c r="MW132" s="20">
        <v>0</v>
      </c>
    </row>
    <row r="133" spans="1:361" x14ac:dyDescent="0.25">
      <c r="A133" s="8"/>
      <c r="B133" s="6" t="s">
        <v>116</v>
      </c>
      <c r="C133" s="8"/>
      <c r="D133" s="6" t="s">
        <v>124</v>
      </c>
      <c r="E133" s="8" t="s">
        <v>125</v>
      </c>
      <c r="F133" s="5"/>
      <c r="G133" s="5"/>
      <c r="H133" s="5"/>
      <c r="I133" s="5"/>
      <c r="J133" s="5"/>
      <c r="K133" s="4"/>
      <c r="L133" s="6" t="str">
        <f>INDEX(($AF$5:$AF$14,$AK$5:$AK$14),MATCH(I129,$AB$5:$AB$14,0),1,MATCH(E132,$AC$1:$AC$2,0))</f>
        <v>NKWSM8A</v>
      </c>
      <c r="M133" s="14">
        <f>INDEX(cennik!$C$2:$L$529,MATCH($L133,cennik!$B$2:$B$522,0),MATCH(M$27,cennik!$C$1:$L$1,0))</f>
        <v>600909</v>
      </c>
      <c r="N133" s="14" t="str">
        <f>INDEX(cennik!$C$2:$L$529,MATCH($L133,cennik!$B$2:$B$522,0),MATCH(N$27,cennik!$C$1:$L$1,0))</f>
        <v>szt.</v>
      </c>
      <c r="O133" s="14">
        <f>IF(L133="-------",0,SUM(O130:O131))</f>
        <v>0</v>
      </c>
      <c r="P133" s="22">
        <f>INDEX(cennik!$C$2:$L$529,MATCH($L133,cennik!$B$2:$B$522,0),MATCH(P$27,cennik!$C$1:$L$1,0))</f>
        <v>0.6</v>
      </c>
      <c r="Q133" s="22">
        <f t="shared" si="115"/>
        <v>0</v>
      </c>
      <c r="R133" s="23">
        <f t="shared" si="113"/>
        <v>0</v>
      </c>
      <c r="S133" s="22">
        <f t="shared" si="114"/>
        <v>0.6</v>
      </c>
      <c r="T133" s="22">
        <f t="shared" si="116"/>
        <v>0</v>
      </c>
      <c r="U133" s="22">
        <f>INDEX(cennik!$C$2:$L$529,MATCH($L133,cennik!$B$2:$B$522,0),MATCH(U$27,cennik!$C$1:$L$1,0))*O133</f>
        <v>0</v>
      </c>
      <c r="V133" s="20"/>
      <c r="W133" s="20"/>
      <c r="X133" s="25">
        <f t="shared" si="111"/>
        <v>0</v>
      </c>
      <c r="Y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156,$BB$2:$CA$2,0),MATCH($W$125,$AH$22:$AH$47,0)))*C156</f>
        <v>0</v>
      </c>
      <c r="Z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156,$BB$2:$CA$2,0),MATCH($W$125,$AH$22:$AH$47,0)))*C156</f>
        <v>0</v>
      </c>
      <c r="AA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156,$BB$2:$CA$2,0),MATCH($W$125,$AH$22:$AH$47,0)))*C156</f>
        <v>0</v>
      </c>
      <c r="AB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156,$BB$2:$CA$2,0),MATCH($W$125,$AH$22:$AH$47,0)))*C156</f>
        <v>0</v>
      </c>
      <c r="AC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156,$BB$2:$CA$2,0),MATCH($W$125,$AH$22:$AH$47,0)))*C156</f>
        <v>0</v>
      </c>
      <c r="AD13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156,$BB$2:$CA$2,0),MATCH($W$125,$AH$22:$AH$47,0)))*C156</f>
        <v>0</v>
      </c>
      <c r="AE133" s="20"/>
      <c r="AF133" s="20"/>
      <c r="AG133" s="20"/>
      <c r="AH133" s="20"/>
      <c r="AI133" s="20"/>
      <c r="AJ133" s="20"/>
      <c r="AK133" s="20"/>
      <c r="AL133" s="20">
        <f t="shared" si="112"/>
        <v>0</v>
      </c>
      <c r="AM133" s="20"/>
      <c r="AN133" s="20"/>
      <c r="AO133" s="20"/>
      <c r="AP133" s="20"/>
      <c r="AQ133" s="20"/>
      <c r="AR133" s="20"/>
      <c r="AS133" s="20"/>
      <c r="AT133" s="20"/>
      <c r="AU133" s="20"/>
      <c r="AV133" s="20"/>
      <c r="AW133" s="20"/>
      <c r="AX133" s="20"/>
      <c r="AY133" s="20"/>
      <c r="AZ133" s="20"/>
      <c r="BA133" s="21" t="s">
        <v>19</v>
      </c>
      <c r="BB133" s="21">
        <v>0</v>
      </c>
      <c r="BC133" s="21">
        <v>0</v>
      </c>
      <c r="BD133" s="21">
        <v>0</v>
      </c>
      <c r="BE133" s="21">
        <v>0</v>
      </c>
      <c r="BF133" s="21">
        <v>0</v>
      </c>
      <c r="BG133" s="21">
        <v>0</v>
      </c>
      <c r="BH133" s="21">
        <v>0</v>
      </c>
      <c r="BI133" s="21">
        <v>4</v>
      </c>
      <c r="BJ133" s="21">
        <v>6</v>
      </c>
      <c r="BK133" s="21">
        <v>0</v>
      </c>
      <c r="BL133" s="21">
        <v>0</v>
      </c>
      <c r="BM133" s="21">
        <v>6</v>
      </c>
      <c r="BN133" s="21">
        <v>10</v>
      </c>
      <c r="BO133" s="21">
        <v>0</v>
      </c>
      <c r="BP133" s="21">
        <v>6</v>
      </c>
      <c r="BQ133" s="21">
        <v>10</v>
      </c>
      <c r="BR133" s="21">
        <v>2</v>
      </c>
      <c r="BS133" s="21">
        <v>2</v>
      </c>
      <c r="BT133" s="21">
        <v>8</v>
      </c>
      <c r="BU133" s="21">
        <v>14</v>
      </c>
      <c r="BV133" s="21">
        <v>4</v>
      </c>
      <c r="BW133" s="21">
        <v>10</v>
      </c>
      <c r="BX133" s="21">
        <v>8</v>
      </c>
      <c r="BY133" s="21">
        <v>4</v>
      </c>
      <c r="BZ133" s="21">
        <v>20</v>
      </c>
      <c r="CA133" s="21">
        <v>0</v>
      </c>
      <c r="DA133" s="54"/>
      <c r="DB133" s="54"/>
      <c r="DC133" s="54"/>
      <c r="DD133" s="20" t="s">
        <v>137</v>
      </c>
      <c r="DE133" s="20">
        <v>0</v>
      </c>
      <c r="DF133" s="20">
        <v>1</v>
      </c>
      <c r="DG133" s="20">
        <v>2</v>
      </c>
      <c r="DH133" s="20">
        <v>3</v>
      </c>
      <c r="DI133" s="20">
        <v>4</v>
      </c>
      <c r="DJ133" s="20">
        <v>5</v>
      </c>
      <c r="DK133" s="20">
        <v>6</v>
      </c>
      <c r="DL133" s="20">
        <v>7</v>
      </c>
      <c r="DM133" s="20">
        <v>8</v>
      </c>
      <c r="DN133" s="20">
        <v>9</v>
      </c>
      <c r="DO133" s="20">
        <v>10</v>
      </c>
      <c r="DP133" s="20">
        <v>11</v>
      </c>
      <c r="DQ133" s="20">
        <v>12</v>
      </c>
      <c r="DR133" s="20">
        <v>13</v>
      </c>
      <c r="DS133" s="20">
        <v>14</v>
      </c>
      <c r="DT133" s="20">
        <v>15</v>
      </c>
      <c r="DU133" s="20">
        <v>16</v>
      </c>
      <c r="DV133" s="20">
        <v>17</v>
      </c>
      <c r="DW133" s="20">
        <v>18</v>
      </c>
      <c r="DX133" s="20">
        <v>19</v>
      </c>
      <c r="DY133" s="20">
        <v>20</v>
      </c>
      <c r="DZ133" s="20"/>
      <c r="EA133" s="20"/>
      <c r="EB133" s="20"/>
      <c r="GC133" s="20"/>
      <c r="GD133" s="20"/>
      <c r="GE133" s="20" t="s">
        <v>19</v>
      </c>
      <c r="GF133" s="20">
        <v>0</v>
      </c>
      <c r="GG133" s="20">
        <v>0</v>
      </c>
      <c r="GH133" s="20">
        <v>0</v>
      </c>
      <c r="GI133" s="20">
        <v>0</v>
      </c>
      <c r="GJ133" s="20">
        <v>0</v>
      </c>
      <c r="GK133" s="20">
        <v>0</v>
      </c>
      <c r="GL133" s="20">
        <v>2</v>
      </c>
      <c r="GM133" s="20">
        <v>4</v>
      </c>
      <c r="GN133" s="20">
        <v>6</v>
      </c>
      <c r="GO133" s="20">
        <v>8</v>
      </c>
      <c r="GP133" s="20">
        <v>12</v>
      </c>
      <c r="GQ133" s="20">
        <v>0</v>
      </c>
      <c r="GR133" s="20">
        <v>14</v>
      </c>
      <c r="GS133" s="20">
        <v>18</v>
      </c>
      <c r="GT133" s="20">
        <v>8</v>
      </c>
      <c r="GU133" s="20">
        <v>10</v>
      </c>
      <c r="GV133" s="20">
        <v>0</v>
      </c>
      <c r="GW133" s="20">
        <v>16</v>
      </c>
      <c r="GX133" s="20">
        <v>4</v>
      </c>
      <c r="GY133" s="20">
        <v>6</v>
      </c>
      <c r="GZ133" s="20">
        <v>24</v>
      </c>
      <c r="HA133" s="20">
        <v>12</v>
      </c>
      <c r="HB133" s="20">
        <v>20</v>
      </c>
      <c r="HC133" s="20">
        <v>32</v>
      </c>
      <c r="HD133" s="20">
        <v>20</v>
      </c>
      <c r="HE133" s="20">
        <v>8</v>
      </c>
      <c r="HF133" s="20">
        <v>36</v>
      </c>
      <c r="HG133" s="20">
        <v>28</v>
      </c>
      <c r="HH133" s="20">
        <v>16</v>
      </c>
      <c r="HI133" s="20">
        <v>40</v>
      </c>
      <c r="HJ133" s="20">
        <v>36</v>
      </c>
      <c r="HK133" s="20">
        <v>24</v>
      </c>
      <c r="HL133" s="20">
        <v>30</v>
      </c>
      <c r="HM133" s="20">
        <v>42</v>
      </c>
      <c r="HN133" s="20">
        <v>42</v>
      </c>
      <c r="HO133" s="20">
        <v>20</v>
      </c>
      <c r="HP133" s="20">
        <v>50</v>
      </c>
      <c r="HQ133" s="20">
        <v>40</v>
      </c>
      <c r="HR133" s="20">
        <v>28</v>
      </c>
      <c r="HS133" s="20">
        <v>54</v>
      </c>
      <c r="HT133" s="20">
        <v>46</v>
      </c>
      <c r="HU133" s="20">
        <v>36</v>
      </c>
      <c r="HV133" s="20">
        <v>58</v>
      </c>
      <c r="HW133" s="20">
        <v>54</v>
      </c>
      <c r="HX133" s="20">
        <v>56</v>
      </c>
      <c r="HY133" s="20">
        <v>62</v>
      </c>
      <c r="HZ133" s="20">
        <v>62</v>
      </c>
      <c r="IA133" s="20">
        <v>64</v>
      </c>
      <c r="IB133" s="20">
        <v>40</v>
      </c>
      <c r="IC133" s="20">
        <v>68</v>
      </c>
      <c r="ID133" s="20">
        <v>58</v>
      </c>
      <c r="JS133" s="21" t="s">
        <v>15</v>
      </c>
      <c r="JT133" s="21">
        <v>0</v>
      </c>
      <c r="JU133" s="21">
        <v>0</v>
      </c>
      <c r="JV133" s="21">
        <v>2</v>
      </c>
      <c r="JW133" s="21">
        <v>0</v>
      </c>
      <c r="JX133" s="21">
        <v>0</v>
      </c>
      <c r="JY133" s="21">
        <v>2</v>
      </c>
      <c r="JZ133" s="21">
        <v>0</v>
      </c>
      <c r="KA133" s="21">
        <v>0</v>
      </c>
      <c r="KB133" s="21">
        <v>0</v>
      </c>
      <c r="KC133" s="21">
        <v>0</v>
      </c>
      <c r="KD133" s="21">
        <v>2</v>
      </c>
      <c r="KE133" s="21">
        <v>0</v>
      </c>
      <c r="KF133" s="21">
        <v>0</v>
      </c>
      <c r="KG133" s="21">
        <v>0</v>
      </c>
      <c r="KH133" s="21">
        <v>0</v>
      </c>
      <c r="KI133" s="21">
        <v>0</v>
      </c>
      <c r="KJ133" s="21">
        <v>0</v>
      </c>
      <c r="KK133" s="21">
        <v>0</v>
      </c>
      <c r="KL133" s="21">
        <v>0</v>
      </c>
      <c r="KM133" s="21">
        <v>0</v>
      </c>
      <c r="KN133" s="21">
        <v>0</v>
      </c>
      <c r="KO133" s="21">
        <v>0</v>
      </c>
      <c r="KP133" s="21">
        <v>0</v>
      </c>
      <c r="KQ133" s="21">
        <v>0</v>
      </c>
      <c r="KR133" s="21">
        <v>0</v>
      </c>
      <c r="KS133" s="21">
        <v>0</v>
      </c>
      <c r="LW133" s="20" t="s">
        <v>15</v>
      </c>
      <c r="LX133" s="20">
        <v>0</v>
      </c>
      <c r="LY133" s="20">
        <v>0</v>
      </c>
      <c r="LZ133" s="20">
        <v>0</v>
      </c>
      <c r="MA133" s="20">
        <v>2</v>
      </c>
      <c r="MB133" s="20">
        <v>0</v>
      </c>
      <c r="MC133" s="20">
        <v>0</v>
      </c>
      <c r="MD133" s="20">
        <v>0</v>
      </c>
      <c r="ME133" s="20">
        <v>0</v>
      </c>
      <c r="MF133" s="20">
        <v>0</v>
      </c>
      <c r="MG133" s="20">
        <v>0</v>
      </c>
      <c r="MH133" s="20">
        <v>0</v>
      </c>
      <c r="MI133" s="20">
        <v>0</v>
      </c>
      <c r="MJ133" s="20">
        <v>0</v>
      </c>
      <c r="MK133" s="20">
        <v>0</v>
      </c>
      <c r="ML133" s="20">
        <v>0</v>
      </c>
      <c r="MM133" s="20">
        <v>0</v>
      </c>
      <c r="MN133" s="20">
        <v>0</v>
      </c>
      <c r="MO133" s="20">
        <v>0</v>
      </c>
      <c r="MP133" s="20">
        <v>0</v>
      </c>
      <c r="MQ133" s="20">
        <v>0</v>
      </c>
      <c r="MR133" s="20">
        <v>0</v>
      </c>
      <c r="MS133" s="20">
        <v>0</v>
      </c>
      <c r="MT133" s="20">
        <v>0</v>
      </c>
      <c r="MU133" s="20">
        <v>0</v>
      </c>
      <c r="MV133" s="20">
        <v>0</v>
      </c>
      <c r="MW133" s="20">
        <v>0</v>
      </c>
    </row>
    <row r="134" spans="1:361" x14ac:dyDescent="0.25">
      <c r="A134" s="8"/>
      <c r="B134" s="6" t="s">
        <v>116</v>
      </c>
      <c r="C134" s="8"/>
      <c r="D134" s="6" t="s">
        <v>162</v>
      </c>
      <c r="E134" s="8">
        <v>0</v>
      </c>
      <c r="F134" s="5"/>
      <c r="G134" s="5"/>
      <c r="H134" s="5"/>
      <c r="I134" s="5"/>
      <c r="J134" s="5" t="s">
        <v>163</v>
      </c>
      <c r="K134" s="4"/>
      <c r="L134" s="6" t="s">
        <v>297</v>
      </c>
      <c r="M134" s="14">
        <f>INDEX(cennik!$C$2:$L$529,MATCH($L134,cennik!$B$2:$B$522,0),MATCH(M$27,cennik!$C$1:$L$1,0))</f>
        <v>894824</v>
      </c>
      <c r="N134" s="14" t="str">
        <f>INDEX(cennik!$C$2:$L$529,MATCH($L134,cennik!$B$2:$B$522,0),MATCH(N$27,cennik!$C$1:$L$1,0))</f>
        <v>szt.</v>
      </c>
      <c r="O134" s="14">
        <f>O129*4</f>
        <v>0</v>
      </c>
      <c r="P134" s="22">
        <f>INDEX(cennik!$C$2:$L$529,MATCH($L134,cennik!$B$2:$B$522,0),MATCH(P$27,cennik!$C$1:$L$1,0))</f>
        <v>1.85</v>
      </c>
      <c r="Q134" s="22">
        <f t="shared" si="115"/>
        <v>0</v>
      </c>
      <c r="R134" s="23">
        <f t="shared" si="113"/>
        <v>0</v>
      </c>
      <c r="S134" s="22">
        <f t="shared" si="114"/>
        <v>1.85</v>
      </c>
      <c r="T134" s="22">
        <f t="shared" si="116"/>
        <v>0</v>
      </c>
      <c r="U134" s="22">
        <f>INDEX(cennik!$C$2:$L$529,MATCH($L134,cennik!$B$2:$B$522,0),MATCH(U$27,cennik!$C$1:$L$1,0))*O134</f>
        <v>0</v>
      </c>
      <c r="V134" s="20"/>
      <c r="W134" s="20"/>
      <c r="X134" s="25">
        <f t="shared" si="111"/>
        <v>0</v>
      </c>
      <c r="Y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157,$BB$2:$CA$2,0),MATCH($W$125,$AH$22:$AH$47,0)))*C157</f>
        <v>0</v>
      </c>
      <c r="Z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157,$BB$2:$CA$2,0),MATCH($W$125,$AH$22:$AH$47,0)))*C157</f>
        <v>0</v>
      </c>
      <c r="AA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157,$BB$2:$CA$2,0),MATCH($W$125,$AH$22:$AH$47,0)))*C157</f>
        <v>0</v>
      </c>
      <c r="AB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157,$BB$2:$CA$2,0),MATCH($W$125,$AH$22:$AH$47,0)))*C157</f>
        <v>0</v>
      </c>
      <c r="AC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157,$BB$2:$CA$2,0),MATCH($W$125,$AH$22:$AH$47,0)))*C157</f>
        <v>0</v>
      </c>
      <c r="AD13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157,$BB$2:$CA$2,0),MATCH($W$125,$AH$22:$AH$47,0)))*C157</f>
        <v>0</v>
      </c>
      <c r="AE134" s="20"/>
      <c r="AF134" s="20"/>
      <c r="AG134" s="20"/>
      <c r="AH134" s="20"/>
      <c r="AI134" s="20"/>
      <c r="AJ134" s="20"/>
      <c r="AK134" s="20"/>
      <c r="AL134" s="20">
        <f t="shared" si="112"/>
        <v>0</v>
      </c>
      <c r="AM134" s="20"/>
      <c r="AN134" s="20"/>
      <c r="AO134" s="20"/>
      <c r="AP134" s="20"/>
      <c r="AQ134" s="20"/>
      <c r="AR134" s="20"/>
      <c r="AS134" s="20"/>
      <c r="AT134" s="20"/>
      <c r="AU134" s="20"/>
      <c r="AV134" s="20"/>
      <c r="AW134" s="20"/>
      <c r="AX134" s="20"/>
      <c r="AY134" s="20"/>
      <c r="AZ134" s="20"/>
      <c r="BA134" s="21" t="s">
        <v>408</v>
      </c>
      <c r="BB134" s="21">
        <v>0</v>
      </c>
      <c r="BC134" s="21">
        <v>0</v>
      </c>
      <c r="BD134" s="21">
        <v>0</v>
      </c>
      <c r="BE134" s="21">
        <v>4</v>
      </c>
      <c r="BF134" s="21">
        <v>8</v>
      </c>
      <c r="BG134" s="21">
        <v>8</v>
      </c>
      <c r="BH134" s="21">
        <v>8</v>
      </c>
      <c r="BI134" s="21">
        <v>8</v>
      </c>
      <c r="BJ134" s="21">
        <v>12</v>
      </c>
      <c r="BK134" s="21">
        <v>12</v>
      </c>
      <c r="BL134" s="21">
        <v>16</v>
      </c>
      <c r="BM134" s="21">
        <v>16</v>
      </c>
      <c r="BN134" s="21">
        <v>16</v>
      </c>
      <c r="BO134" s="21">
        <v>20</v>
      </c>
      <c r="BP134" s="21">
        <v>20</v>
      </c>
      <c r="BQ134" s="21">
        <v>24</v>
      </c>
      <c r="BR134" s="21">
        <v>24</v>
      </c>
      <c r="BS134" s="21">
        <v>28</v>
      </c>
      <c r="BT134" s="21">
        <v>28</v>
      </c>
      <c r="BU134" s="21">
        <v>28</v>
      </c>
      <c r="BV134" s="21">
        <v>32</v>
      </c>
      <c r="BW134" s="21">
        <v>32</v>
      </c>
      <c r="BX134" s="21">
        <v>36</v>
      </c>
      <c r="BY134" s="21">
        <v>36</v>
      </c>
      <c r="BZ134" s="21">
        <v>36</v>
      </c>
      <c r="CA134" s="21">
        <v>40</v>
      </c>
      <c r="DA134" s="54"/>
      <c r="DB134" s="54"/>
      <c r="DC134" s="54"/>
      <c r="DD134" s="20" t="s">
        <v>127</v>
      </c>
      <c r="DE134" s="20">
        <v>0</v>
      </c>
      <c r="DF134" s="20">
        <v>2</v>
      </c>
      <c r="DG134" s="20">
        <v>4</v>
      </c>
      <c r="DH134" s="20">
        <v>0</v>
      </c>
      <c r="DI134" s="20">
        <v>2</v>
      </c>
      <c r="DJ134" s="20">
        <v>4</v>
      </c>
      <c r="DK134" s="20">
        <v>0</v>
      </c>
      <c r="DL134" s="20">
        <v>2</v>
      </c>
      <c r="DM134" s="20">
        <v>4</v>
      </c>
      <c r="DN134" s="20">
        <v>2</v>
      </c>
      <c r="DO134" s="20">
        <v>4</v>
      </c>
      <c r="DP134" s="20">
        <v>0</v>
      </c>
      <c r="DQ134" s="20">
        <v>2</v>
      </c>
      <c r="DR134" s="20">
        <v>4</v>
      </c>
      <c r="DS134" s="20">
        <v>0</v>
      </c>
      <c r="DT134" s="20">
        <v>2</v>
      </c>
      <c r="DU134" s="20">
        <v>4</v>
      </c>
      <c r="DV134" s="20">
        <v>0</v>
      </c>
      <c r="DW134" s="20">
        <v>4</v>
      </c>
      <c r="DX134" s="20">
        <v>0</v>
      </c>
      <c r="DY134" s="20">
        <v>2</v>
      </c>
      <c r="DZ134" s="20"/>
      <c r="EA134" s="20"/>
      <c r="EB134" s="20"/>
      <c r="GC134" s="20"/>
      <c r="GD134" s="20"/>
      <c r="GE134" s="20" t="s">
        <v>408</v>
      </c>
      <c r="GF134" s="20">
        <v>0</v>
      </c>
      <c r="GG134" s="20">
        <f>((((SUM(GG129:GG133))/2)-1))*4</f>
        <v>0</v>
      </c>
      <c r="GH134" s="20">
        <f t="shared" ref="GH134:ID134" si="117">((((SUM(GH129:GH133))/2)-1))*4</f>
        <v>4</v>
      </c>
      <c r="GI134" s="20">
        <f t="shared" si="117"/>
        <v>8</v>
      </c>
      <c r="GJ134" s="20">
        <f t="shared" si="117"/>
        <v>8</v>
      </c>
      <c r="GK134" s="20">
        <f t="shared" si="117"/>
        <v>12</v>
      </c>
      <c r="GL134" s="20">
        <f t="shared" si="117"/>
        <v>16</v>
      </c>
      <c r="GM134" s="20">
        <f t="shared" si="117"/>
        <v>16</v>
      </c>
      <c r="GN134" s="20">
        <f t="shared" si="117"/>
        <v>20</v>
      </c>
      <c r="GO134" s="20">
        <f t="shared" si="117"/>
        <v>24</v>
      </c>
      <c r="GP134" s="20">
        <f t="shared" si="117"/>
        <v>24</v>
      </c>
      <c r="GQ134" s="20">
        <f t="shared" si="117"/>
        <v>28</v>
      </c>
      <c r="GR134" s="20">
        <f t="shared" si="117"/>
        <v>32</v>
      </c>
      <c r="GS134" s="20">
        <f t="shared" si="117"/>
        <v>32</v>
      </c>
      <c r="GT134" s="20">
        <f t="shared" si="117"/>
        <v>36</v>
      </c>
      <c r="GU134" s="20">
        <f t="shared" si="117"/>
        <v>40</v>
      </c>
      <c r="GV134" s="20">
        <f t="shared" si="117"/>
        <v>44</v>
      </c>
      <c r="GW134" s="20">
        <f t="shared" si="117"/>
        <v>44</v>
      </c>
      <c r="GX134" s="20">
        <f t="shared" si="117"/>
        <v>48</v>
      </c>
      <c r="GY134" s="20">
        <f t="shared" si="117"/>
        <v>52</v>
      </c>
      <c r="GZ134" s="20">
        <f t="shared" si="117"/>
        <v>52</v>
      </c>
      <c r="HA134" s="20">
        <f t="shared" si="117"/>
        <v>56</v>
      </c>
      <c r="HB134" s="20">
        <f t="shared" si="117"/>
        <v>60</v>
      </c>
      <c r="HC134" s="20">
        <f t="shared" si="117"/>
        <v>60</v>
      </c>
      <c r="HD134" s="20">
        <f t="shared" si="117"/>
        <v>64</v>
      </c>
      <c r="HE134" s="20">
        <f t="shared" si="117"/>
        <v>68</v>
      </c>
      <c r="HF134" s="20">
        <f t="shared" si="117"/>
        <v>68</v>
      </c>
      <c r="HG134" s="20">
        <f t="shared" si="117"/>
        <v>72</v>
      </c>
      <c r="HH134" s="20">
        <f t="shared" si="117"/>
        <v>76</v>
      </c>
      <c r="HI134" s="20">
        <f t="shared" si="117"/>
        <v>76</v>
      </c>
      <c r="HJ134" s="20">
        <f t="shared" si="117"/>
        <v>80</v>
      </c>
      <c r="HK134" s="20">
        <f t="shared" si="117"/>
        <v>84</v>
      </c>
      <c r="HL134" s="20">
        <f t="shared" si="117"/>
        <v>88</v>
      </c>
      <c r="HM134" s="20">
        <f t="shared" si="117"/>
        <v>88</v>
      </c>
      <c r="HN134" s="20">
        <f t="shared" si="117"/>
        <v>88</v>
      </c>
      <c r="HO134" s="20">
        <f t="shared" si="117"/>
        <v>96</v>
      </c>
      <c r="HP134" s="20">
        <f t="shared" si="117"/>
        <v>96</v>
      </c>
      <c r="HQ134" s="20">
        <f t="shared" si="117"/>
        <v>100</v>
      </c>
      <c r="HR134" s="20">
        <f t="shared" si="117"/>
        <v>104</v>
      </c>
      <c r="HS134" s="20">
        <f t="shared" si="117"/>
        <v>104</v>
      </c>
      <c r="HT134" s="20">
        <f t="shared" si="117"/>
        <v>108</v>
      </c>
      <c r="HU134" s="20">
        <f t="shared" si="117"/>
        <v>112</v>
      </c>
      <c r="HV134" s="20">
        <f t="shared" si="117"/>
        <v>112</v>
      </c>
      <c r="HW134" s="20">
        <f t="shared" si="117"/>
        <v>116</v>
      </c>
      <c r="HX134" s="20">
        <f t="shared" si="117"/>
        <v>120</v>
      </c>
      <c r="HY134" s="20">
        <f t="shared" si="117"/>
        <v>120</v>
      </c>
      <c r="HZ134" s="20">
        <f t="shared" si="117"/>
        <v>124</v>
      </c>
      <c r="IA134" s="20">
        <f t="shared" si="117"/>
        <v>128</v>
      </c>
      <c r="IB134" s="20">
        <f t="shared" si="117"/>
        <v>132</v>
      </c>
      <c r="IC134" s="20">
        <f t="shared" si="117"/>
        <v>132</v>
      </c>
      <c r="ID134" s="20">
        <f t="shared" si="117"/>
        <v>136</v>
      </c>
      <c r="JS134" s="21" t="s">
        <v>19</v>
      </c>
      <c r="JT134" s="21">
        <v>0</v>
      </c>
      <c r="JU134" s="21">
        <v>0</v>
      </c>
      <c r="JV134" s="21">
        <v>0</v>
      </c>
      <c r="JW134" s="21">
        <v>0</v>
      </c>
      <c r="JX134" s="21">
        <v>2</v>
      </c>
      <c r="JY134" s="21">
        <v>0</v>
      </c>
      <c r="JZ134" s="21">
        <v>0</v>
      </c>
      <c r="KA134" s="21">
        <v>2</v>
      </c>
      <c r="KB134" s="21">
        <v>0</v>
      </c>
      <c r="KC134" s="21">
        <v>6</v>
      </c>
      <c r="KD134" s="21">
        <v>4</v>
      </c>
      <c r="KE134" s="21">
        <v>2</v>
      </c>
      <c r="KF134" s="21">
        <v>6</v>
      </c>
      <c r="KG134" s="21">
        <v>4</v>
      </c>
      <c r="KH134" s="21">
        <v>10</v>
      </c>
      <c r="KI134" s="21">
        <v>2</v>
      </c>
      <c r="KJ134" s="21">
        <v>2</v>
      </c>
      <c r="KK134" s="21">
        <v>2</v>
      </c>
      <c r="KL134" s="21">
        <v>8</v>
      </c>
      <c r="KM134" s="21">
        <v>0</v>
      </c>
      <c r="KN134" s="21">
        <v>4</v>
      </c>
      <c r="KO134" s="21">
        <v>6</v>
      </c>
      <c r="KP134" s="21">
        <v>2</v>
      </c>
      <c r="KQ134" s="21">
        <v>2</v>
      </c>
      <c r="KR134" s="21">
        <v>4</v>
      </c>
      <c r="KS134" s="21">
        <v>8</v>
      </c>
      <c r="LW134" s="20" t="s">
        <v>19</v>
      </c>
      <c r="LX134" s="20">
        <v>0</v>
      </c>
      <c r="LY134" s="20">
        <v>0</v>
      </c>
      <c r="LZ134" s="20">
        <v>0</v>
      </c>
      <c r="MA134" s="20">
        <v>0</v>
      </c>
      <c r="MB134" s="20">
        <v>2</v>
      </c>
      <c r="MC134" s="20">
        <v>0</v>
      </c>
      <c r="MD134" s="20">
        <v>6</v>
      </c>
      <c r="ME134" s="20">
        <v>0</v>
      </c>
      <c r="MF134" s="20">
        <v>0</v>
      </c>
      <c r="MG134" s="20">
        <v>0</v>
      </c>
      <c r="MH134" s="20">
        <v>0</v>
      </c>
      <c r="MI134" s="20">
        <v>4</v>
      </c>
      <c r="MJ134" s="20">
        <v>6</v>
      </c>
      <c r="MK134" s="20">
        <v>2</v>
      </c>
      <c r="ML134" s="20">
        <v>8</v>
      </c>
      <c r="MM134" s="20">
        <v>6</v>
      </c>
      <c r="MN134" s="20">
        <v>2</v>
      </c>
      <c r="MO134" s="20">
        <v>4</v>
      </c>
      <c r="MP134" s="20">
        <v>0</v>
      </c>
      <c r="MQ134" s="20">
        <v>4</v>
      </c>
      <c r="MR134" s="20">
        <v>4</v>
      </c>
      <c r="MS134" s="20">
        <v>0</v>
      </c>
      <c r="MT134" s="20">
        <v>2</v>
      </c>
      <c r="MU134" s="20">
        <v>6</v>
      </c>
      <c r="MV134" s="20">
        <v>2</v>
      </c>
      <c r="MW134" s="20">
        <v>0</v>
      </c>
    </row>
    <row r="135" spans="1:361" x14ac:dyDescent="0.25">
      <c r="A135" s="8"/>
      <c r="B135" s="6" t="s">
        <v>116</v>
      </c>
      <c r="C135" s="8"/>
      <c r="D135" s="6" t="s">
        <v>515</v>
      </c>
      <c r="E135" s="8">
        <v>0</v>
      </c>
      <c r="F135" s="4"/>
      <c r="G135" s="4"/>
      <c r="H135" s="4"/>
      <c r="I135" s="4"/>
      <c r="J135" s="5" t="s">
        <v>509</v>
      </c>
      <c r="K135" s="4"/>
      <c r="L135" s="6" t="str">
        <f>IF(L131="PUFK","PUPK",IF(L131="PUFKL","PUPK","PUP"))</f>
        <v>PUP</v>
      </c>
      <c r="M135" s="14">
        <f>INDEX(cennik!$C$2:$L$529,MATCH($L135,cennik!$B$2:$B$522,0),MATCH(M$27,cennik!$C$1:$L$1,0))</f>
        <v>897303</v>
      </c>
      <c r="N135" s="14" t="str">
        <f>INDEX(cennik!$C$2:$L$529,MATCH($L135,cennik!$B$2:$B$522,0),MATCH(N$27,cennik!$C$1:$L$1,0))</f>
        <v>szt.</v>
      </c>
      <c r="O135" s="14">
        <f>O131/2</f>
        <v>0</v>
      </c>
      <c r="P135" s="22">
        <f>INDEX(cennik!$C$2:$L$529,MATCH($L135,cennik!$B$2:$B$522,0),MATCH(P$27,cennik!$C$1:$L$1,0))</f>
        <v>2.4</v>
      </c>
      <c r="Q135" s="22">
        <f t="shared" si="115"/>
        <v>0</v>
      </c>
      <c r="R135" s="23">
        <f t="shared" si="113"/>
        <v>0</v>
      </c>
      <c r="S135" s="22">
        <f t="shared" si="114"/>
        <v>2.4</v>
      </c>
      <c r="T135" s="22">
        <f t="shared" si="116"/>
        <v>0</v>
      </c>
      <c r="U135" s="22">
        <f>INDEX(cennik!$C$2:$L$529,MATCH($L135,cennik!$B$2:$B$522,0),MATCH(U$27,cennik!$C$1:$L$1,0))*O135</f>
        <v>0</v>
      </c>
      <c r="V135" s="20"/>
      <c r="W135" s="20"/>
      <c r="X135" s="25">
        <f t="shared" si="111"/>
        <v>0</v>
      </c>
      <c r="Y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158,$BB$2:$CA$2,0),MATCH($W$125,$AH$22:$AH$47,0)))*C158</f>
        <v>0</v>
      </c>
      <c r="Z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158,$BB$2:$CA$2,0),MATCH($W$125,$AH$22:$AH$47,0)))*C158</f>
        <v>0</v>
      </c>
      <c r="AA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158,$BB$2:$CA$2,0),MATCH($W$125,$AH$22:$AH$47,0)))*C158</f>
        <v>0</v>
      </c>
      <c r="AB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158,$BB$2:$CA$2,0),MATCH($W$125,$AH$22:$AH$47,0)))*C158</f>
        <v>0</v>
      </c>
      <c r="AC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158,$BB$2:$CA$2,0),MATCH($W$125,$AH$22:$AH$47,0)))*C158</f>
        <v>0</v>
      </c>
      <c r="AD13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158,$BB$2:$CA$2,0),MATCH($W$125,$AH$22:$AH$47,0)))*C158</f>
        <v>0</v>
      </c>
      <c r="AE135" s="20"/>
      <c r="AF135" s="20"/>
      <c r="AG135" s="20"/>
      <c r="AH135" s="20"/>
      <c r="AI135" s="20"/>
      <c r="AJ135" s="20"/>
      <c r="AK135" s="20"/>
      <c r="AL135" s="20">
        <f t="shared" si="112"/>
        <v>0</v>
      </c>
      <c r="AM135" s="20"/>
      <c r="AN135" s="20"/>
      <c r="AO135" s="20"/>
      <c r="AP135" s="20"/>
      <c r="AQ135" s="20"/>
      <c r="AR135" s="20"/>
      <c r="AS135" s="20"/>
      <c r="AT135" s="20"/>
      <c r="AU135" s="20"/>
      <c r="AV135" s="20"/>
      <c r="AW135" s="20"/>
      <c r="AX135" s="20"/>
      <c r="AY135" s="20"/>
      <c r="AZ135" s="20"/>
      <c r="BA135" s="21" t="s">
        <v>516</v>
      </c>
      <c r="BB135" s="21">
        <v>0</v>
      </c>
      <c r="BC135" s="21">
        <v>0</v>
      </c>
      <c r="BD135" s="21">
        <v>0</v>
      </c>
      <c r="BE135" s="21">
        <v>0</v>
      </c>
      <c r="BF135" s="21">
        <v>2</v>
      </c>
      <c r="BG135" s="21">
        <v>0</v>
      </c>
      <c r="BH135" s="21">
        <v>0</v>
      </c>
      <c r="BI135" s="21">
        <v>0</v>
      </c>
      <c r="BJ135" s="21">
        <v>2</v>
      </c>
      <c r="BK135" s="21">
        <v>0</v>
      </c>
      <c r="BL135" s="21">
        <v>0</v>
      </c>
      <c r="BM135" s="21">
        <v>0</v>
      </c>
      <c r="BN135" s="21">
        <v>0</v>
      </c>
      <c r="BO135" s="21">
        <v>0</v>
      </c>
      <c r="BP135" s="21">
        <v>0</v>
      </c>
      <c r="BQ135" s="21">
        <v>2</v>
      </c>
      <c r="BR135" s="21">
        <v>0</v>
      </c>
      <c r="BS135" s="21">
        <v>2</v>
      </c>
      <c r="BT135" s="21">
        <v>0</v>
      </c>
      <c r="BU135" s="21">
        <v>0</v>
      </c>
      <c r="BV135" s="21">
        <v>0</v>
      </c>
      <c r="BW135" s="21">
        <v>0</v>
      </c>
      <c r="BX135" s="21">
        <v>0</v>
      </c>
      <c r="BY135" s="21">
        <v>0</v>
      </c>
      <c r="BZ135" s="21">
        <v>0</v>
      </c>
      <c r="CA135" s="21">
        <v>0</v>
      </c>
      <c r="DA135" s="54"/>
      <c r="DB135" s="54"/>
      <c r="DC135" s="54"/>
      <c r="DD135" s="20" t="s">
        <v>19</v>
      </c>
      <c r="DE135" s="20">
        <v>0</v>
      </c>
      <c r="DF135" s="20">
        <v>0</v>
      </c>
      <c r="DG135" s="20">
        <v>0</v>
      </c>
      <c r="DH135" s="20">
        <v>4</v>
      </c>
      <c r="DI135" s="20">
        <v>4</v>
      </c>
      <c r="DJ135" s="20">
        <v>4</v>
      </c>
      <c r="DK135" s="20">
        <v>8</v>
      </c>
      <c r="DL135" s="20">
        <v>8</v>
      </c>
      <c r="DM135" s="20">
        <v>8</v>
      </c>
      <c r="DN135" s="20">
        <v>10</v>
      </c>
      <c r="DO135" s="20">
        <v>10</v>
      </c>
      <c r="DP135" s="20">
        <v>14</v>
      </c>
      <c r="DQ135" s="20">
        <v>14</v>
      </c>
      <c r="DR135" s="20">
        <v>14</v>
      </c>
      <c r="DS135" s="20">
        <v>18</v>
      </c>
      <c r="DT135" s="20">
        <v>18</v>
      </c>
      <c r="DU135" s="20">
        <v>18</v>
      </c>
      <c r="DV135" s="20">
        <v>22</v>
      </c>
      <c r="DW135" s="20">
        <v>20</v>
      </c>
      <c r="DX135" s="20">
        <v>24</v>
      </c>
      <c r="DY135" s="20">
        <v>24</v>
      </c>
      <c r="DZ135" s="20"/>
      <c r="EA135" s="20"/>
      <c r="EB135" s="20"/>
      <c r="GC135" s="20"/>
      <c r="GD135" s="20"/>
      <c r="GE135" s="26" t="s">
        <v>516</v>
      </c>
      <c r="GF135" s="20">
        <v>0</v>
      </c>
      <c r="GG135" s="20">
        <v>0</v>
      </c>
      <c r="GH135" s="20">
        <v>0</v>
      </c>
      <c r="GI135" s="20">
        <v>0</v>
      </c>
      <c r="GJ135" s="20">
        <v>0</v>
      </c>
      <c r="GK135" s="20">
        <v>0</v>
      </c>
      <c r="GL135" s="20">
        <v>0</v>
      </c>
      <c r="GM135" s="20">
        <v>0</v>
      </c>
      <c r="GN135" s="20">
        <v>0</v>
      </c>
      <c r="GO135" s="20">
        <v>0</v>
      </c>
      <c r="GP135" s="20">
        <v>0</v>
      </c>
      <c r="GQ135" s="20">
        <v>0</v>
      </c>
      <c r="GR135" s="20">
        <v>0</v>
      </c>
      <c r="GS135" s="20">
        <v>0</v>
      </c>
      <c r="GT135" s="20">
        <v>0</v>
      </c>
      <c r="GU135" s="20">
        <v>0</v>
      </c>
      <c r="GV135" s="20">
        <v>0</v>
      </c>
      <c r="GW135" s="20">
        <v>0</v>
      </c>
      <c r="GX135" s="20">
        <v>0</v>
      </c>
      <c r="GY135" s="20">
        <v>0</v>
      </c>
      <c r="GZ135" s="20">
        <v>0</v>
      </c>
      <c r="HA135" s="20">
        <v>0</v>
      </c>
      <c r="HB135" s="20">
        <v>0</v>
      </c>
      <c r="HC135" s="20">
        <v>0</v>
      </c>
      <c r="HD135" s="20">
        <v>0</v>
      </c>
      <c r="HE135" s="20">
        <v>0</v>
      </c>
      <c r="HF135" s="20">
        <v>0</v>
      </c>
      <c r="HG135" s="20">
        <v>0</v>
      </c>
      <c r="HH135" s="20">
        <v>0</v>
      </c>
      <c r="HI135" s="20">
        <v>0</v>
      </c>
      <c r="HJ135" s="20">
        <v>0</v>
      </c>
      <c r="HK135" s="20">
        <v>0</v>
      </c>
      <c r="HL135" s="20">
        <v>2</v>
      </c>
      <c r="HM135" s="20">
        <v>0</v>
      </c>
      <c r="HN135" s="20">
        <v>0</v>
      </c>
      <c r="HO135" s="20">
        <v>0</v>
      </c>
      <c r="HP135" s="20">
        <v>0</v>
      </c>
      <c r="HQ135" s="20">
        <v>0</v>
      </c>
      <c r="HR135" s="20">
        <v>0</v>
      </c>
      <c r="HS135" s="20">
        <v>0</v>
      </c>
      <c r="HT135" s="20">
        <v>0</v>
      </c>
      <c r="HU135" s="20">
        <v>0</v>
      </c>
      <c r="HV135" s="20">
        <v>0</v>
      </c>
      <c r="HW135" s="20">
        <v>0</v>
      </c>
      <c r="HX135" s="20">
        <v>0</v>
      </c>
      <c r="HY135" s="20">
        <v>0</v>
      </c>
      <c r="HZ135" s="20">
        <v>0</v>
      </c>
      <c r="IA135" s="20">
        <v>2</v>
      </c>
      <c r="IB135" s="20">
        <v>0</v>
      </c>
      <c r="IC135" s="20">
        <v>0</v>
      </c>
      <c r="ID135" s="20">
        <v>0</v>
      </c>
      <c r="JS135" s="20" t="s">
        <v>1298</v>
      </c>
      <c r="JT135" s="21">
        <v>0</v>
      </c>
      <c r="JU135" s="21">
        <v>0</v>
      </c>
      <c r="JV135" s="21">
        <v>0</v>
      </c>
      <c r="JW135" s="21">
        <v>0</v>
      </c>
      <c r="JX135" s="21">
        <v>0</v>
      </c>
      <c r="JY135" s="21">
        <v>2</v>
      </c>
      <c r="JZ135" s="21">
        <v>2</v>
      </c>
      <c r="KA135" s="21">
        <v>2</v>
      </c>
      <c r="KB135" s="21">
        <v>6</v>
      </c>
      <c r="KC135" s="21">
        <v>0</v>
      </c>
      <c r="KD135" s="21">
        <v>2</v>
      </c>
      <c r="KE135" s="21">
        <v>4</v>
      </c>
      <c r="KF135" s="21">
        <v>2</v>
      </c>
      <c r="KG135" s="21">
        <v>6</v>
      </c>
      <c r="KH135" s="21">
        <v>0</v>
      </c>
      <c r="KI135" s="21">
        <v>8</v>
      </c>
      <c r="KJ135" s="21">
        <v>10</v>
      </c>
      <c r="KK135" s="21">
        <v>8</v>
      </c>
      <c r="KL135" s="21">
        <v>6</v>
      </c>
      <c r="KM135" s="21">
        <v>14</v>
      </c>
      <c r="KN135" s="21">
        <v>10</v>
      </c>
      <c r="KO135" s="21">
        <v>10</v>
      </c>
      <c r="KP135" s="21">
        <v>12</v>
      </c>
      <c r="KQ135" s="21">
        <v>14</v>
      </c>
      <c r="KR135" s="21">
        <v>14</v>
      </c>
      <c r="KS135" s="21">
        <v>10</v>
      </c>
      <c r="LW135" s="20" t="s">
        <v>1298</v>
      </c>
      <c r="LX135" s="20">
        <v>0</v>
      </c>
      <c r="LY135" s="20">
        <v>0</v>
      </c>
      <c r="LZ135" s="20">
        <v>0</v>
      </c>
      <c r="MA135" s="20">
        <v>2</v>
      </c>
      <c r="MB135" s="20">
        <v>2</v>
      </c>
      <c r="MC135" s="20">
        <v>0</v>
      </c>
      <c r="MD135" s="20">
        <v>2</v>
      </c>
      <c r="ME135" s="20">
        <v>6</v>
      </c>
      <c r="MF135" s="20">
        <v>10</v>
      </c>
      <c r="MG135" s="20">
        <v>10</v>
      </c>
      <c r="MH135" s="20">
        <v>10</v>
      </c>
      <c r="MI135" s="20">
        <v>10</v>
      </c>
      <c r="MJ135" s="20">
        <v>8</v>
      </c>
      <c r="MK135" s="20">
        <v>12</v>
      </c>
      <c r="ML135" s="20">
        <v>10</v>
      </c>
      <c r="MM135" s="20">
        <v>12</v>
      </c>
      <c r="MN135" s="20">
        <v>18</v>
      </c>
      <c r="MO135" s="20">
        <v>16</v>
      </c>
      <c r="MP135" s="20">
        <v>20</v>
      </c>
      <c r="MQ135" s="20">
        <v>20</v>
      </c>
      <c r="MR135" s="20">
        <v>20</v>
      </c>
      <c r="MS135" s="20">
        <v>26</v>
      </c>
      <c r="MT135" s="20">
        <v>24</v>
      </c>
      <c r="MU135" s="20">
        <v>22</v>
      </c>
      <c r="MV135" s="20">
        <v>28</v>
      </c>
      <c r="MW135" s="20">
        <v>30</v>
      </c>
    </row>
    <row r="136" spans="1:361" x14ac:dyDescent="0.25">
      <c r="A136" s="8"/>
      <c r="B136" s="6" t="s">
        <v>116</v>
      </c>
      <c r="C136" s="8"/>
      <c r="D136" s="6" t="s">
        <v>511</v>
      </c>
      <c r="E136" s="4"/>
      <c r="F136" s="4"/>
      <c r="G136" s="4"/>
      <c r="H136" s="4"/>
      <c r="I136" s="4"/>
      <c r="J136" s="4"/>
      <c r="K136" s="4"/>
      <c r="L136" s="6" t="str">
        <f>IF(E130=Y107,"EPDMW2X40",IF(E130=Y108,"-------",IF(E130=Y109,"-------",0)))</f>
        <v>-------</v>
      </c>
      <c r="M136" s="14" t="str">
        <f>INDEX(cennik!$C$2:$L$529,MATCH($L136,cennik!$B$2:$B$522,0),MATCH(M$27,cennik!$C$1:$L$1,0))</f>
        <v>-------</v>
      </c>
      <c r="N136" s="14">
        <f>INDEX(cennik!$C$2:$L$529,MATCH($L136,cennik!$B$2:$B$522,0),MATCH(N$27,cennik!$C$1:$L$1,0))</f>
        <v>0</v>
      </c>
      <c r="O136" s="14">
        <f>IF(E130=Y107,(ROUNDUP(((O129*0.15)/10),0)),IF(E130=Y108,0,IF(E130=Y109,0,0)))</f>
        <v>0</v>
      </c>
      <c r="P136" s="22">
        <f>INDEX(cennik!$C$2:$L$529,MATCH($L136,cennik!$B$2:$B$522,0),MATCH(P$27,cennik!$C$1:$L$1,0))</f>
        <v>0</v>
      </c>
      <c r="Q136" s="22">
        <f t="shared" si="115"/>
        <v>0</v>
      </c>
      <c r="R136" s="23">
        <f t="shared" si="113"/>
        <v>0</v>
      </c>
      <c r="S136" s="22">
        <f t="shared" si="114"/>
        <v>0</v>
      </c>
      <c r="T136" s="22">
        <f>O136*S136</f>
        <v>0</v>
      </c>
      <c r="U136" s="22">
        <f>INDEX(cennik!$C$2:$L$529,MATCH($L136,cennik!$B$2:$B$522,0),MATCH(U$27,cennik!$C$1:$L$1,0))*O136</f>
        <v>0</v>
      </c>
      <c r="V136" s="20"/>
      <c r="W136" s="20"/>
      <c r="X136" s="25">
        <f t="shared" si="111"/>
        <v>0</v>
      </c>
      <c r="Y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159,$BB$2:$CA$2,0),MATCH($W$125,$AH$22:$AH$47,0)))*C159</f>
        <v>0</v>
      </c>
      <c r="Z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159,$BB$2:$CA$2,0),MATCH($W$125,$AH$22:$AH$47,0)))*C159</f>
        <v>0</v>
      </c>
      <c r="AA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159,$BB$2:$CA$2,0),MATCH($W$125,$AH$22:$AH$47,0)))*C159</f>
        <v>0</v>
      </c>
      <c r="AB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159,$BB$2:$CA$2,0),MATCH($W$125,$AH$22:$AH$47,0)))*C159</f>
        <v>0</v>
      </c>
      <c r="AC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159,$BB$2:$CA$2,0),MATCH($W$125,$AH$22:$AH$47,0)))*C159</f>
        <v>0</v>
      </c>
      <c r="AD13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159,$BB$2:$CA$2,0),MATCH($W$125,$AH$22:$AH$47,0)))*C159</f>
        <v>0</v>
      </c>
      <c r="AE136" s="20"/>
      <c r="AF136" s="20"/>
      <c r="AG136" s="20"/>
      <c r="AH136" s="20"/>
      <c r="AI136" s="20"/>
      <c r="AJ136" s="20"/>
      <c r="AK136" s="20"/>
      <c r="AL136" s="20">
        <f t="shared" si="112"/>
        <v>0</v>
      </c>
      <c r="AM136" s="20"/>
      <c r="AN136" s="20"/>
      <c r="AO136" s="20"/>
      <c r="AP136" s="20"/>
      <c r="AQ136" s="20"/>
      <c r="AR136" s="20"/>
      <c r="AS136" s="20"/>
      <c r="AT136" s="20"/>
      <c r="AU136" s="20"/>
      <c r="AV136" s="20"/>
      <c r="AW136" s="20"/>
      <c r="AX136" s="20"/>
      <c r="AY136" s="20"/>
      <c r="AZ136" s="20"/>
      <c r="BA136" s="21" t="s">
        <v>517</v>
      </c>
      <c r="BB136" s="21">
        <v>0</v>
      </c>
      <c r="BC136" s="21">
        <v>2</v>
      </c>
      <c r="BD136" s="21">
        <v>0</v>
      </c>
      <c r="BE136" s="21">
        <v>4</v>
      </c>
      <c r="BF136" s="21">
        <v>0</v>
      </c>
      <c r="BG136" s="21">
        <v>4</v>
      </c>
      <c r="BH136" s="21">
        <v>2</v>
      </c>
      <c r="BI136" s="21">
        <v>0</v>
      </c>
      <c r="BJ136" s="21">
        <v>0</v>
      </c>
      <c r="BK136" s="21">
        <v>0</v>
      </c>
      <c r="BL136" s="21">
        <v>0</v>
      </c>
      <c r="BM136" s="21">
        <v>0</v>
      </c>
      <c r="BN136" s="21">
        <v>0</v>
      </c>
      <c r="BO136" s="21">
        <v>0</v>
      </c>
      <c r="BP136" s="21">
        <v>0</v>
      </c>
      <c r="BQ136" s="21">
        <v>0</v>
      </c>
      <c r="BR136" s="21">
        <v>0</v>
      </c>
      <c r="BS136" s="21">
        <v>0</v>
      </c>
      <c r="BT136" s="21">
        <v>0</v>
      </c>
      <c r="BU136" s="21">
        <v>0</v>
      </c>
      <c r="BV136" s="21">
        <v>0</v>
      </c>
      <c r="BW136" s="21">
        <v>0</v>
      </c>
      <c r="BX136" s="21">
        <v>0</v>
      </c>
      <c r="BY136" s="21">
        <v>0</v>
      </c>
      <c r="BZ136" s="21">
        <v>0</v>
      </c>
      <c r="CA136" s="21">
        <v>0</v>
      </c>
      <c r="DA136" s="54"/>
      <c r="DB136" s="54"/>
      <c r="DC136" s="54"/>
      <c r="DD136" s="20" t="s">
        <v>408</v>
      </c>
      <c r="DE136" s="20">
        <v>0</v>
      </c>
      <c r="DF136" s="20">
        <v>0</v>
      </c>
      <c r="DG136" s="20">
        <v>4</v>
      </c>
      <c r="DH136" s="20">
        <v>4</v>
      </c>
      <c r="DI136" s="20">
        <v>8</v>
      </c>
      <c r="DJ136" s="20">
        <v>12</v>
      </c>
      <c r="DK136" s="20">
        <v>12</v>
      </c>
      <c r="DL136" s="20">
        <v>16</v>
      </c>
      <c r="DM136" s="20">
        <v>20</v>
      </c>
      <c r="DN136" s="20">
        <v>20</v>
      </c>
      <c r="DO136" s="20">
        <v>24</v>
      </c>
      <c r="DP136" s="20">
        <v>24</v>
      </c>
      <c r="DQ136" s="20">
        <v>28</v>
      </c>
      <c r="DR136" s="20">
        <v>32</v>
      </c>
      <c r="DS136" s="20">
        <v>32</v>
      </c>
      <c r="DT136" s="20">
        <v>36</v>
      </c>
      <c r="DU136" s="20">
        <v>40</v>
      </c>
      <c r="DV136" s="20">
        <v>40</v>
      </c>
      <c r="DW136" s="20">
        <v>44</v>
      </c>
      <c r="DX136" s="20">
        <v>44</v>
      </c>
      <c r="DY136" s="20">
        <v>48</v>
      </c>
      <c r="DZ136" s="20"/>
      <c r="EA136" s="20"/>
      <c r="EB136" s="20"/>
      <c r="GC136" s="20"/>
      <c r="GD136" s="20"/>
      <c r="GE136" s="26" t="s">
        <v>517</v>
      </c>
      <c r="GF136" s="20">
        <v>0</v>
      </c>
      <c r="GG136" s="20">
        <v>0</v>
      </c>
      <c r="GH136" s="20">
        <v>2</v>
      </c>
      <c r="GI136" s="20">
        <v>4</v>
      </c>
      <c r="GJ136" s="20">
        <v>0</v>
      </c>
      <c r="GK136" s="20">
        <v>2</v>
      </c>
      <c r="GL136" s="20">
        <v>4</v>
      </c>
      <c r="GM136" s="20">
        <v>0</v>
      </c>
      <c r="GN136" s="20">
        <v>0</v>
      </c>
      <c r="GO136" s="20">
        <v>2</v>
      </c>
      <c r="GP136" s="20">
        <v>0</v>
      </c>
      <c r="GQ136" s="20">
        <v>0</v>
      </c>
      <c r="GR136" s="20">
        <v>4</v>
      </c>
      <c r="GS136" s="20">
        <v>0</v>
      </c>
      <c r="GT136" s="20">
        <v>0</v>
      </c>
      <c r="GU136" s="20">
        <v>0</v>
      </c>
      <c r="GV136" s="20">
        <v>2</v>
      </c>
      <c r="GW136" s="20">
        <v>0</v>
      </c>
      <c r="GX136" s="20">
        <v>0</v>
      </c>
      <c r="GY136" s="20">
        <v>0</v>
      </c>
      <c r="GZ136" s="20">
        <v>0</v>
      </c>
      <c r="HA136" s="20">
        <v>0</v>
      </c>
      <c r="HB136" s="20">
        <v>0</v>
      </c>
      <c r="HC136" s="20">
        <v>0</v>
      </c>
      <c r="HD136" s="20">
        <v>0</v>
      </c>
      <c r="HE136" s="20">
        <v>0</v>
      </c>
      <c r="HF136" s="20">
        <v>0</v>
      </c>
      <c r="HG136" s="20">
        <v>0</v>
      </c>
      <c r="HH136" s="20">
        <v>0</v>
      </c>
      <c r="HI136" s="20">
        <v>0</v>
      </c>
      <c r="HJ136" s="20">
        <v>0</v>
      </c>
      <c r="HK136" s="20">
        <v>0</v>
      </c>
      <c r="HL136" s="20">
        <v>0</v>
      </c>
      <c r="HM136" s="20">
        <v>0</v>
      </c>
      <c r="HN136" s="20">
        <v>0</v>
      </c>
      <c r="HO136" s="20">
        <v>0</v>
      </c>
      <c r="HP136" s="20">
        <v>0</v>
      </c>
      <c r="HQ136" s="20">
        <v>0</v>
      </c>
      <c r="HR136" s="20">
        <v>0</v>
      </c>
      <c r="HS136" s="20">
        <v>0</v>
      </c>
      <c r="HT136" s="20">
        <v>0</v>
      </c>
      <c r="HU136" s="20">
        <v>0</v>
      </c>
      <c r="HV136" s="20">
        <v>0</v>
      </c>
      <c r="HW136" s="20">
        <v>0</v>
      </c>
      <c r="HX136" s="20">
        <v>0</v>
      </c>
      <c r="HY136" s="20">
        <v>0</v>
      </c>
      <c r="HZ136" s="20">
        <v>0</v>
      </c>
      <c r="IA136" s="20">
        <v>0</v>
      </c>
      <c r="IB136" s="20">
        <v>0</v>
      </c>
      <c r="IC136" s="20">
        <v>0</v>
      </c>
      <c r="ID136" s="20">
        <v>0</v>
      </c>
      <c r="JS136" s="20" t="s">
        <v>1026</v>
      </c>
      <c r="JT136" s="21">
        <v>0</v>
      </c>
      <c r="JU136" s="21">
        <v>0</v>
      </c>
      <c r="JV136" s="21">
        <v>0</v>
      </c>
      <c r="JW136" s="21">
        <v>0</v>
      </c>
      <c r="JX136" s="21">
        <v>0</v>
      </c>
      <c r="JY136" s="21">
        <v>0</v>
      </c>
      <c r="JZ136" s="21">
        <v>0</v>
      </c>
      <c r="KA136" s="21">
        <v>0</v>
      </c>
      <c r="KB136" s="21">
        <v>0</v>
      </c>
      <c r="KC136" s="21">
        <v>0</v>
      </c>
      <c r="KD136" s="21">
        <v>0</v>
      </c>
      <c r="KE136" s="21">
        <v>0</v>
      </c>
      <c r="KF136" s="21">
        <v>0</v>
      </c>
      <c r="KG136" s="21">
        <v>0</v>
      </c>
      <c r="KH136" s="21">
        <v>0</v>
      </c>
      <c r="KI136" s="21">
        <v>0</v>
      </c>
      <c r="KJ136" s="21">
        <v>0</v>
      </c>
      <c r="KK136" s="21">
        <v>0</v>
      </c>
      <c r="KL136" s="21">
        <v>0</v>
      </c>
      <c r="KM136" s="21">
        <v>0</v>
      </c>
      <c r="KN136" s="21">
        <v>0</v>
      </c>
      <c r="KO136" s="21">
        <v>0</v>
      </c>
      <c r="KP136" s="21">
        <v>0</v>
      </c>
      <c r="KQ136" s="21">
        <v>0</v>
      </c>
      <c r="KR136" s="21">
        <v>0</v>
      </c>
      <c r="KS136" s="21">
        <v>0</v>
      </c>
      <c r="LW136" s="20" t="s">
        <v>1026</v>
      </c>
      <c r="LX136" s="20">
        <v>0</v>
      </c>
      <c r="LY136" s="20">
        <v>0</v>
      </c>
      <c r="LZ136" s="20">
        <v>0</v>
      </c>
      <c r="MA136" s="20">
        <v>0</v>
      </c>
      <c r="MB136" s="20">
        <v>0</v>
      </c>
      <c r="MC136" s="20">
        <v>0</v>
      </c>
      <c r="MD136" s="20">
        <v>0</v>
      </c>
      <c r="ME136" s="20">
        <v>0</v>
      </c>
      <c r="MF136" s="20">
        <v>0</v>
      </c>
      <c r="MG136" s="20">
        <v>0</v>
      </c>
      <c r="MH136" s="20">
        <v>0</v>
      </c>
      <c r="MI136" s="20">
        <v>0</v>
      </c>
      <c r="MJ136" s="20">
        <v>0</v>
      </c>
      <c r="MK136" s="20">
        <v>0</v>
      </c>
      <c r="ML136" s="20">
        <v>0</v>
      </c>
      <c r="MM136" s="20">
        <v>0</v>
      </c>
      <c r="MN136" s="20">
        <v>0</v>
      </c>
      <c r="MO136" s="20">
        <v>0</v>
      </c>
      <c r="MP136" s="20">
        <v>0</v>
      </c>
      <c r="MQ136" s="20">
        <v>0</v>
      </c>
      <c r="MR136" s="20">
        <v>0</v>
      </c>
      <c r="MS136" s="20">
        <v>0</v>
      </c>
      <c r="MT136" s="20">
        <v>0</v>
      </c>
      <c r="MU136" s="20">
        <v>0</v>
      </c>
      <c r="MV136" s="20">
        <v>0</v>
      </c>
      <c r="MW136" s="20">
        <v>0</v>
      </c>
    </row>
    <row r="137" spans="1:361" x14ac:dyDescent="0.25">
      <c r="A137" s="8"/>
      <c r="B137" s="6" t="s">
        <v>116</v>
      </c>
      <c r="C137" s="8"/>
      <c r="D137" s="40" t="s">
        <v>945</v>
      </c>
      <c r="E137" s="4"/>
      <c r="F137" s="4"/>
      <c r="G137" s="4"/>
      <c r="H137" s="4"/>
      <c r="I137" s="4"/>
      <c r="J137" s="4"/>
      <c r="K137" s="4"/>
      <c r="L137" s="6" t="s">
        <v>89</v>
      </c>
      <c r="M137" s="14">
        <f>INDEX(cennik!$C$2:$L$529,MATCH($L137,cennik!$B$2:$B$522,0),MATCH(M$27,cennik!$C$1:$L$1,0))</f>
        <v>651820</v>
      </c>
      <c r="N137" s="14" t="str">
        <f>INDEX(cennik!$C$2:$L$529,MATCH($L137,cennik!$B$2:$B$522,0),MATCH(N$27,cennik!$C$1:$L$1,0))</f>
        <v>100 szt.</v>
      </c>
      <c r="O137" s="14">
        <f>ROUNDUP((E135/100),0)</f>
        <v>0</v>
      </c>
      <c r="P137" s="22">
        <f>INDEX(cennik!$C$2:$L$529,MATCH($L137,cennik!$B$2:$B$522,0),MATCH(P$27,cennik!$C$1:$L$1,0))</f>
        <v>95.85</v>
      </c>
      <c r="Q137" s="22">
        <f t="shared" si="115"/>
        <v>0</v>
      </c>
      <c r="R137" s="23">
        <f t="shared" si="113"/>
        <v>0</v>
      </c>
      <c r="S137" s="22">
        <f t="shared" si="114"/>
        <v>95.85</v>
      </c>
      <c r="T137" s="22">
        <f>O137*S137</f>
        <v>0</v>
      </c>
      <c r="U137" s="22">
        <f>INDEX(cennik!$C$2:$L$529,MATCH($L137,cennik!$B$2:$B$522,0),MATCH(U$27,cennik!$C$1:$L$1,0))*O137</f>
        <v>0</v>
      </c>
      <c r="V137" s="20"/>
      <c r="W137" s="20"/>
      <c r="X137" s="25">
        <f t="shared" si="111"/>
        <v>0</v>
      </c>
      <c r="Y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160,$BB$2:$CA$2,0),MATCH($W$125,$AH$22:$AH$47,0)))*C160</f>
        <v>0</v>
      </c>
      <c r="Z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160,$BB$2:$CA$2,0),MATCH($W$125,$AH$22:$AH$47,0)))*C160</f>
        <v>0</v>
      </c>
      <c r="AA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160,$BB$2:$CA$2,0),MATCH($W$125,$AH$22:$AH$47,0)))*C160</f>
        <v>0</v>
      </c>
      <c r="AB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160,$BB$2:$CA$2,0),MATCH($W$125,$AH$22:$AH$47,0)))*C160</f>
        <v>0</v>
      </c>
      <c r="AC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160,$BB$2:$CA$2,0),MATCH($W$125,$AH$22:$AH$47,0)))*C160</f>
        <v>0</v>
      </c>
      <c r="AD13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160,$BB$2:$CA$2,0),MATCH($W$125,$AH$22:$AH$47,0)))*C160</f>
        <v>0</v>
      </c>
      <c r="AE137" s="20"/>
      <c r="AF137" s="20"/>
      <c r="AG137" s="20"/>
      <c r="AH137" s="20"/>
      <c r="AI137" s="20"/>
      <c r="AJ137" s="20"/>
      <c r="AK137" s="20"/>
      <c r="AL137" s="20">
        <f t="shared" si="112"/>
        <v>0</v>
      </c>
      <c r="AM137" s="20"/>
      <c r="AN137" s="20"/>
      <c r="AO137" s="20"/>
      <c r="AP137" s="20"/>
      <c r="AQ137" s="20"/>
      <c r="AR137" s="20"/>
      <c r="AS137" s="20"/>
      <c r="AT137" s="20"/>
      <c r="AU137" s="20"/>
      <c r="AV137" s="20"/>
      <c r="AW137" s="20"/>
      <c r="AX137" s="20"/>
      <c r="AY137" s="20"/>
      <c r="AZ137" s="20"/>
      <c r="BA137" s="21" t="s">
        <v>518</v>
      </c>
      <c r="BB137" s="21">
        <v>0</v>
      </c>
      <c r="BC137" s="21">
        <v>0</v>
      </c>
      <c r="BD137" s="21">
        <v>0</v>
      </c>
      <c r="BE137" s="21">
        <v>0</v>
      </c>
      <c r="BF137" s="21">
        <v>4</v>
      </c>
      <c r="BG137" s="21">
        <v>0</v>
      </c>
      <c r="BH137" s="21">
        <v>0</v>
      </c>
      <c r="BI137" s="21">
        <v>0</v>
      </c>
      <c r="BJ137" s="21">
        <v>0</v>
      </c>
      <c r="BK137" s="21">
        <v>0</v>
      </c>
      <c r="BL137" s="21">
        <v>4</v>
      </c>
      <c r="BM137" s="21">
        <v>2</v>
      </c>
      <c r="BN137" s="21">
        <v>0</v>
      </c>
      <c r="BO137" s="21">
        <v>2</v>
      </c>
      <c r="BP137" s="21">
        <v>0</v>
      </c>
      <c r="BQ137" s="21">
        <v>0</v>
      </c>
      <c r="BR137" s="21">
        <v>0</v>
      </c>
      <c r="BS137" s="21">
        <v>0</v>
      </c>
      <c r="BT137" s="21">
        <v>2</v>
      </c>
      <c r="BU137" s="21">
        <v>0</v>
      </c>
      <c r="BV137" s="21">
        <v>2</v>
      </c>
      <c r="BW137" s="21">
        <v>0</v>
      </c>
      <c r="BX137" s="21">
        <v>4</v>
      </c>
      <c r="BY137" s="21">
        <v>0</v>
      </c>
      <c r="BZ137" s="21">
        <v>0</v>
      </c>
      <c r="CA137" s="21">
        <v>0</v>
      </c>
      <c r="DA137" s="54"/>
      <c r="DB137" s="54"/>
      <c r="DC137" s="54"/>
      <c r="DD137" s="20" t="s">
        <v>518</v>
      </c>
      <c r="DE137" s="20">
        <v>0</v>
      </c>
      <c r="DF137" s="20">
        <v>2</v>
      </c>
      <c r="DG137" s="20">
        <v>4</v>
      </c>
      <c r="DH137" s="20">
        <v>0</v>
      </c>
      <c r="DI137" s="20">
        <v>2</v>
      </c>
      <c r="DJ137" s="20">
        <v>4</v>
      </c>
      <c r="DK137" s="20">
        <v>0</v>
      </c>
      <c r="DL137" s="20">
        <v>2</v>
      </c>
      <c r="DM137" s="20">
        <v>4</v>
      </c>
      <c r="DN137" s="20">
        <v>2</v>
      </c>
      <c r="DO137" s="20">
        <v>4</v>
      </c>
      <c r="DP137" s="20">
        <v>0</v>
      </c>
      <c r="DQ137" s="20">
        <v>2</v>
      </c>
      <c r="DR137" s="20">
        <v>4</v>
      </c>
      <c r="DS137" s="20">
        <v>0</v>
      </c>
      <c r="DT137" s="20">
        <v>2</v>
      </c>
      <c r="DU137" s="20">
        <v>4</v>
      </c>
      <c r="DV137" s="20">
        <v>0</v>
      </c>
      <c r="DW137" s="20">
        <v>4</v>
      </c>
      <c r="DX137" s="20">
        <v>0</v>
      </c>
      <c r="DY137" s="20">
        <v>2</v>
      </c>
      <c r="DZ137" s="20"/>
      <c r="EA137" s="20"/>
      <c r="EB137" s="20"/>
      <c r="GC137" s="20"/>
      <c r="GD137" s="20"/>
      <c r="GE137" s="26" t="s">
        <v>518</v>
      </c>
      <c r="GF137" s="20">
        <v>0</v>
      </c>
      <c r="GG137" s="20">
        <v>0</v>
      </c>
      <c r="GH137" s="20">
        <v>0</v>
      </c>
      <c r="GI137" s="20">
        <v>0</v>
      </c>
      <c r="GJ137" s="20">
        <v>0</v>
      </c>
      <c r="GK137" s="20">
        <v>0</v>
      </c>
      <c r="GL137" s="20">
        <v>0</v>
      </c>
      <c r="GM137" s="20">
        <v>0</v>
      </c>
      <c r="GN137" s="20">
        <v>2</v>
      </c>
      <c r="GO137" s="20">
        <v>2</v>
      </c>
      <c r="GP137" s="20">
        <v>0</v>
      </c>
      <c r="GQ137" s="20">
        <v>0</v>
      </c>
      <c r="GR137" s="20">
        <v>0</v>
      </c>
      <c r="GS137" s="20">
        <v>0</v>
      </c>
      <c r="GT137" s="20">
        <v>0</v>
      </c>
      <c r="GU137" s="20">
        <v>2</v>
      </c>
      <c r="GV137" s="20">
        <v>0</v>
      </c>
      <c r="GW137" s="20">
        <v>0</v>
      </c>
      <c r="GX137" s="20">
        <v>0</v>
      </c>
      <c r="GY137" s="20">
        <v>2</v>
      </c>
      <c r="GZ137" s="20">
        <v>0</v>
      </c>
      <c r="HA137" s="20">
        <v>0</v>
      </c>
      <c r="HB137" s="20">
        <v>4</v>
      </c>
      <c r="HC137" s="20">
        <v>0</v>
      </c>
      <c r="HD137" s="20">
        <v>0</v>
      </c>
      <c r="HE137" s="20">
        <v>0</v>
      </c>
      <c r="HF137" s="20">
        <v>0</v>
      </c>
      <c r="HG137" s="20">
        <v>0</v>
      </c>
      <c r="HH137" s="20">
        <v>0</v>
      </c>
      <c r="HI137" s="20">
        <v>0</v>
      </c>
      <c r="HJ137" s="20">
        <v>0</v>
      </c>
      <c r="HK137" s="20">
        <v>0</v>
      </c>
      <c r="HL137" s="20">
        <v>0</v>
      </c>
      <c r="HM137" s="20">
        <v>0</v>
      </c>
      <c r="HN137" s="20">
        <v>0</v>
      </c>
      <c r="HO137" s="20">
        <v>0</v>
      </c>
      <c r="HP137" s="20">
        <v>0</v>
      </c>
      <c r="HQ137" s="20">
        <v>0</v>
      </c>
      <c r="HR137" s="20">
        <v>0</v>
      </c>
      <c r="HS137" s="20">
        <v>0</v>
      </c>
      <c r="HT137" s="20">
        <v>0</v>
      </c>
      <c r="HU137" s="20">
        <v>0</v>
      </c>
      <c r="HV137" s="20">
        <v>0</v>
      </c>
      <c r="HW137" s="20">
        <v>0</v>
      </c>
      <c r="HX137" s="20">
        <v>2</v>
      </c>
      <c r="HY137" s="20">
        <v>0</v>
      </c>
      <c r="HZ137" s="20">
        <v>0</v>
      </c>
      <c r="IA137" s="20">
        <v>0</v>
      </c>
      <c r="IB137" s="20">
        <v>0</v>
      </c>
      <c r="IC137" s="20">
        <v>0</v>
      </c>
      <c r="ID137" s="20">
        <v>0</v>
      </c>
      <c r="JS137" s="21" t="s">
        <v>408</v>
      </c>
      <c r="JT137" s="21">
        <v>0</v>
      </c>
      <c r="JU137" s="20">
        <f t="shared" ref="JU137:KS137" si="118">((((SUM(JU129:JU136))/2)-1))*4</f>
        <v>0</v>
      </c>
      <c r="JV137" s="20">
        <f t="shared" si="118"/>
        <v>0</v>
      </c>
      <c r="JW137" s="20">
        <f t="shared" si="118"/>
        <v>4</v>
      </c>
      <c r="JX137" s="20">
        <f t="shared" si="118"/>
        <v>4</v>
      </c>
      <c r="JY137" s="20">
        <f t="shared" si="118"/>
        <v>4</v>
      </c>
      <c r="JZ137" s="20">
        <f t="shared" si="118"/>
        <v>8</v>
      </c>
      <c r="KA137" s="20">
        <f t="shared" si="118"/>
        <v>8</v>
      </c>
      <c r="KB137" s="20">
        <f t="shared" si="118"/>
        <v>8</v>
      </c>
      <c r="KC137" s="20">
        <f t="shared" si="118"/>
        <v>12</v>
      </c>
      <c r="KD137" s="20">
        <f t="shared" si="118"/>
        <v>12</v>
      </c>
      <c r="KE137" s="20">
        <f t="shared" si="118"/>
        <v>16</v>
      </c>
      <c r="KF137" s="20">
        <f t="shared" si="118"/>
        <v>16</v>
      </c>
      <c r="KG137" s="20">
        <f t="shared" si="118"/>
        <v>16</v>
      </c>
      <c r="KH137" s="20">
        <f t="shared" si="118"/>
        <v>20</v>
      </c>
      <c r="KI137" s="20">
        <f t="shared" si="118"/>
        <v>20</v>
      </c>
      <c r="KJ137" s="20">
        <f t="shared" si="118"/>
        <v>20</v>
      </c>
      <c r="KK137" s="20">
        <f t="shared" si="118"/>
        <v>24</v>
      </c>
      <c r="KL137" s="20">
        <f t="shared" si="118"/>
        <v>24</v>
      </c>
      <c r="KM137" s="20">
        <f t="shared" si="118"/>
        <v>24</v>
      </c>
      <c r="KN137" s="20">
        <f t="shared" si="118"/>
        <v>28</v>
      </c>
      <c r="KO137" s="20">
        <f t="shared" si="118"/>
        <v>28</v>
      </c>
      <c r="KP137" s="20">
        <f t="shared" si="118"/>
        <v>32</v>
      </c>
      <c r="KQ137" s="20">
        <f t="shared" si="118"/>
        <v>32</v>
      </c>
      <c r="KR137" s="20">
        <f t="shared" si="118"/>
        <v>32</v>
      </c>
      <c r="KS137" s="20">
        <f t="shared" si="118"/>
        <v>36</v>
      </c>
      <c r="LW137" s="20" t="s">
        <v>408</v>
      </c>
      <c r="LX137" s="20">
        <v>0</v>
      </c>
      <c r="LY137" s="20">
        <f t="shared" ref="LY137:MW137" si="119">((((SUM(LY129:LY136))/2)-1))*4</f>
        <v>0</v>
      </c>
      <c r="LZ137" s="20">
        <f t="shared" si="119"/>
        <v>4</v>
      </c>
      <c r="MA137" s="20">
        <f t="shared" si="119"/>
        <v>4</v>
      </c>
      <c r="MB137" s="20">
        <f t="shared" si="119"/>
        <v>8</v>
      </c>
      <c r="MC137" s="20">
        <f t="shared" si="119"/>
        <v>4</v>
      </c>
      <c r="MD137" s="20">
        <f t="shared" si="119"/>
        <v>12</v>
      </c>
      <c r="ME137" s="20">
        <f t="shared" si="119"/>
        <v>16</v>
      </c>
      <c r="MF137" s="20">
        <f t="shared" si="119"/>
        <v>16</v>
      </c>
      <c r="MG137" s="20">
        <f t="shared" si="119"/>
        <v>20</v>
      </c>
      <c r="MH137" s="20">
        <f t="shared" si="119"/>
        <v>24</v>
      </c>
      <c r="MI137" s="20">
        <f t="shared" si="119"/>
        <v>24</v>
      </c>
      <c r="MJ137" s="20">
        <f t="shared" si="119"/>
        <v>28</v>
      </c>
      <c r="MK137" s="20">
        <f t="shared" si="119"/>
        <v>32</v>
      </c>
      <c r="ML137" s="20">
        <f t="shared" si="119"/>
        <v>32</v>
      </c>
      <c r="MM137" s="20">
        <f t="shared" si="119"/>
        <v>36</v>
      </c>
      <c r="MN137" s="20">
        <f t="shared" si="119"/>
        <v>36</v>
      </c>
      <c r="MO137" s="20">
        <f t="shared" si="119"/>
        <v>40</v>
      </c>
      <c r="MP137" s="20">
        <f t="shared" si="119"/>
        <v>44</v>
      </c>
      <c r="MQ137" s="20">
        <f t="shared" si="119"/>
        <v>44</v>
      </c>
      <c r="MR137" s="20">
        <f t="shared" si="119"/>
        <v>48</v>
      </c>
      <c r="MS137" s="20">
        <f t="shared" si="119"/>
        <v>48</v>
      </c>
      <c r="MT137" s="20">
        <f t="shared" si="119"/>
        <v>52</v>
      </c>
      <c r="MU137" s="20">
        <f t="shared" si="119"/>
        <v>56</v>
      </c>
      <c r="MV137" s="20">
        <f t="shared" si="119"/>
        <v>56</v>
      </c>
      <c r="MW137" s="20">
        <f t="shared" si="119"/>
        <v>60</v>
      </c>
    </row>
    <row r="138" spans="1:361" x14ac:dyDescent="0.25">
      <c r="A138" s="8"/>
      <c r="B138" s="6" t="s">
        <v>116</v>
      </c>
      <c r="C138" s="8"/>
      <c r="D138" s="40" t="s">
        <v>946</v>
      </c>
      <c r="E138" s="4"/>
      <c r="F138" s="4"/>
      <c r="G138" s="4"/>
      <c r="H138" s="4"/>
      <c r="I138" s="4"/>
      <c r="J138" s="4"/>
      <c r="K138" s="4"/>
      <c r="L138" s="6" t="s">
        <v>1019</v>
      </c>
      <c r="M138" s="14">
        <f>INDEX(cennik!$C$2:$L$529,MATCH($L138,cennik!$B$2:$B$522,0),MATCH(M$27,cennik!$C$1:$L$1,0))</f>
        <v>166794</v>
      </c>
      <c r="N138" s="14" t="str">
        <f>INDEX(cennik!$C$2:$L$529,MATCH($L138,cennik!$B$2:$B$522,0),MATCH(N$27,cennik!$C$1:$L$1,0))</f>
        <v>100 szt.</v>
      </c>
      <c r="O138" s="14">
        <f>ROUNDUP((O132/100),0)</f>
        <v>0</v>
      </c>
      <c r="P138" s="22">
        <f>INDEX(cennik!$C$2:$L$529,MATCH($L138,cennik!$B$2:$B$522,0),MATCH(P$27,cennik!$C$1:$L$1,0))</f>
        <v>3.95</v>
      </c>
      <c r="Q138" s="22">
        <f t="shared" ref="Q138" si="120">O138*P138</f>
        <v>0</v>
      </c>
      <c r="R138" s="23">
        <f t="shared" si="113"/>
        <v>0</v>
      </c>
      <c r="S138" s="22">
        <f t="shared" si="114"/>
        <v>3.95</v>
      </c>
      <c r="T138" s="22">
        <f>O138*S138</f>
        <v>0</v>
      </c>
      <c r="U138" s="22">
        <f>INDEX(cennik!$C$2:$L$529,MATCH($L138,cennik!$B$2:$B$522,0),MATCH(U$27,cennik!$C$1:$L$1,0))*O138</f>
        <v>0</v>
      </c>
      <c r="V138" s="20"/>
      <c r="W138" s="20"/>
      <c r="X138" s="25">
        <f t="shared" si="111"/>
        <v>0</v>
      </c>
      <c r="Y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161,$BB$2:$CA$2,0),MATCH($W$125,$AH$22:$AH$47,0)))*C161</f>
        <v>0</v>
      </c>
      <c r="Z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161,$BB$2:$CA$2,0),MATCH($W$125,$AH$22:$AH$47,0)))*C161</f>
        <v>0</v>
      </c>
      <c r="AA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161,$BB$2:$CA$2,0),MATCH($W$125,$AH$22:$AH$47,0)))*C161</f>
        <v>0</v>
      </c>
      <c r="AB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161,$BB$2:$CA$2,0),MATCH($W$125,$AH$22:$AH$47,0)))*C161</f>
        <v>0</v>
      </c>
      <c r="AC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161,$BB$2:$CA$2,0),MATCH($W$125,$AH$22:$AH$47,0)))*C161</f>
        <v>0</v>
      </c>
      <c r="AD13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161,$BB$2:$CA$2,0),MATCH($W$125,$AH$22:$AH$47,0)))*C161</f>
        <v>0</v>
      </c>
      <c r="AE138" s="20"/>
      <c r="AF138" s="20"/>
      <c r="AG138" s="20"/>
      <c r="AH138" s="20"/>
      <c r="AI138" s="20"/>
      <c r="AJ138" s="20"/>
      <c r="AK138" s="20"/>
      <c r="AL138" s="20">
        <f t="shared" si="112"/>
        <v>0</v>
      </c>
      <c r="AM138" s="20"/>
      <c r="AN138" s="20"/>
      <c r="AO138" s="20"/>
      <c r="AP138" s="20"/>
      <c r="AQ138" s="20"/>
      <c r="AR138" s="20"/>
      <c r="AS138" s="20"/>
      <c r="AT138" s="20"/>
      <c r="AU138" s="20"/>
      <c r="AV138" s="20"/>
      <c r="AW138" s="20"/>
      <c r="AX138" s="20"/>
      <c r="AY138" s="20"/>
      <c r="AZ138" s="20"/>
      <c r="BA138" s="21" t="s">
        <v>519</v>
      </c>
      <c r="BB138" s="21">
        <v>0</v>
      </c>
      <c r="BC138" s="21">
        <v>0</v>
      </c>
      <c r="BD138" s="21">
        <v>2</v>
      </c>
      <c r="BE138" s="21">
        <v>0</v>
      </c>
      <c r="BF138" s="21">
        <v>0</v>
      </c>
      <c r="BG138" s="21">
        <v>2</v>
      </c>
      <c r="BH138" s="21">
        <v>4</v>
      </c>
      <c r="BI138" s="21">
        <v>2</v>
      </c>
      <c r="BJ138" s="21">
        <v>0</v>
      </c>
      <c r="BK138" s="21">
        <v>8</v>
      </c>
      <c r="BL138" s="21">
        <v>6</v>
      </c>
      <c r="BM138" s="21">
        <v>2</v>
      </c>
      <c r="BN138" s="21">
        <v>0</v>
      </c>
      <c r="BO138" s="21">
        <v>10</v>
      </c>
      <c r="BP138" s="21">
        <v>6</v>
      </c>
      <c r="BQ138" s="21">
        <v>2</v>
      </c>
      <c r="BR138" s="21">
        <v>12</v>
      </c>
      <c r="BS138" s="21">
        <v>12</v>
      </c>
      <c r="BT138" s="21">
        <v>6</v>
      </c>
      <c r="BU138" s="21">
        <v>2</v>
      </c>
      <c r="BV138" s="21">
        <v>12</v>
      </c>
      <c r="BW138" s="21">
        <v>8</v>
      </c>
      <c r="BX138" s="21">
        <v>8</v>
      </c>
      <c r="BY138" s="21">
        <v>16</v>
      </c>
      <c r="BZ138" s="21">
        <v>0</v>
      </c>
      <c r="CA138" s="21">
        <v>22</v>
      </c>
      <c r="DA138" s="54"/>
      <c r="DB138" s="54"/>
      <c r="DC138" s="54"/>
      <c r="DD138" s="20" t="s">
        <v>520</v>
      </c>
      <c r="DE138" s="20">
        <v>0</v>
      </c>
      <c r="DF138" s="20">
        <v>0</v>
      </c>
      <c r="DG138" s="20">
        <v>0</v>
      </c>
      <c r="DH138" s="20">
        <v>4</v>
      </c>
      <c r="DI138" s="20">
        <v>4</v>
      </c>
      <c r="DJ138" s="20">
        <v>4</v>
      </c>
      <c r="DK138" s="20">
        <v>8</v>
      </c>
      <c r="DL138" s="20">
        <v>8</v>
      </c>
      <c r="DM138" s="20">
        <v>8</v>
      </c>
      <c r="DN138" s="20">
        <v>10</v>
      </c>
      <c r="DO138" s="20">
        <v>10</v>
      </c>
      <c r="DP138" s="20">
        <v>14</v>
      </c>
      <c r="DQ138" s="20">
        <v>14</v>
      </c>
      <c r="DR138" s="20">
        <v>14</v>
      </c>
      <c r="DS138" s="20">
        <v>18</v>
      </c>
      <c r="DT138" s="20">
        <v>18</v>
      </c>
      <c r="DU138" s="20">
        <v>18</v>
      </c>
      <c r="DV138" s="20">
        <v>22</v>
      </c>
      <c r="DW138" s="20">
        <v>20</v>
      </c>
      <c r="DX138" s="20">
        <v>24</v>
      </c>
      <c r="DY138" s="20">
        <v>24</v>
      </c>
      <c r="DZ138" s="20"/>
      <c r="EA138" s="20"/>
      <c r="EB138" s="20"/>
      <c r="GC138" s="20"/>
      <c r="GD138" s="20"/>
      <c r="GE138" s="26" t="s">
        <v>519</v>
      </c>
      <c r="GF138" s="20">
        <v>0</v>
      </c>
      <c r="GG138" s="20">
        <v>2</v>
      </c>
      <c r="GH138" s="20">
        <v>2</v>
      </c>
      <c r="GI138" s="20">
        <v>2</v>
      </c>
      <c r="GJ138" s="20">
        <v>6</v>
      </c>
      <c r="GK138" s="20">
        <v>6</v>
      </c>
      <c r="GL138" s="20">
        <v>4</v>
      </c>
      <c r="GM138" s="20">
        <v>6</v>
      </c>
      <c r="GN138" s="20">
        <v>4</v>
      </c>
      <c r="GO138" s="20">
        <v>2</v>
      </c>
      <c r="GP138" s="20">
        <v>2</v>
      </c>
      <c r="GQ138" s="20">
        <v>16</v>
      </c>
      <c r="GR138" s="20">
        <v>0</v>
      </c>
      <c r="GS138" s="20">
        <v>0</v>
      </c>
      <c r="GT138" s="20">
        <v>12</v>
      </c>
      <c r="GU138" s="20">
        <v>10</v>
      </c>
      <c r="GV138" s="20">
        <v>22</v>
      </c>
      <c r="GW138" s="20">
        <v>8</v>
      </c>
      <c r="GX138" s="20">
        <v>22</v>
      </c>
      <c r="GY138" s="20">
        <v>20</v>
      </c>
      <c r="GZ138" s="20">
        <v>4</v>
      </c>
      <c r="HA138" s="20">
        <v>18</v>
      </c>
      <c r="HB138" s="20">
        <v>8</v>
      </c>
      <c r="HC138" s="20">
        <v>0</v>
      </c>
      <c r="HD138" s="20">
        <v>14</v>
      </c>
      <c r="HE138" s="20">
        <v>28</v>
      </c>
      <c r="HF138" s="20">
        <v>0</v>
      </c>
      <c r="HG138" s="20">
        <v>10</v>
      </c>
      <c r="HH138" s="20">
        <v>24</v>
      </c>
      <c r="HI138" s="20">
        <v>0</v>
      </c>
      <c r="HJ138" s="20">
        <v>6</v>
      </c>
      <c r="HK138" s="20">
        <v>20</v>
      </c>
      <c r="HL138" s="20">
        <v>14</v>
      </c>
      <c r="HM138" s="20">
        <v>4</v>
      </c>
      <c r="HN138" s="20">
        <v>4</v>
      </c>
      <c r="HO138" s="20">
        <v>30</v>
      </c>
      <c r="HP138" s="20">
        <v>0</v>
      </c>
      <c r="HQ138" s="20">
        <v>12</v>
      </c>
      <c r="HR138" s="20">
        <v>26</v>
      </c>
      <c r="HS138" s="20">
        <v>0</v>
      </c>
      <c r="HT138" s="20">
        <v>10</v>
      </c>
      <c r="HU138" s="20">
        <v>22</v>
      </c>
      <c r="HV138" s="20">
        <v>0</v>
      </c>
      <c r="HW138" s="20">
        <v>6</v>
      </c>
      <c r="HX138" s="20">
        <v>4</v>
      </c>
      <c r="HY138" s="20">
        <v>0</v>
      </c>
      <c r="HZ138" s="20">
        <v>2</v>
      </c>
      <c r="IA138" s="20">
        <v>0</v>
      </c>
      <c r="IB138" s="20">
        <v>28</v>
      </c>
      <c r="IC138" s="20">
        <v>0</v>
      </c>
      <c r="ID138" s="20">
        <v>12</v>
      </c>
      <c r="JS138" s="21" t="s">
        <v>516</v>
      </c>
      <c r="JT138" s="21">
        <v>0</v>
      </c>
      <c r="JU138" s="21">
        <v>0</v>
      </c>
      <c r="JV138" s="21">
        <v>0</v>
      </c>
      <c r="JW138" s="21">
        <v>0</v>
      </c>
      <c r="JX138" s="21">
        <v>0</v>
      </c>
      <c r="JY138" s="21">
        <v>4</v>
      </c>
      <c r="JZ138" s="21">
        <v>0</v>
      </c>
      <c r="KA138" s="21">
        <v>0</v>
      </c>
      <c r="KB138" s="21">
        <v>0</v>
      </c>
      <c r="KC138" s="21">
        <v>0</v>
      </c>
      <c r="KD138" s="21">
        <v>6</v>
      </c>
      <c r="KE138" s="21">
        <v>0</v>
      </c>
      <c r="KF138" s="21">
        <v>0</v>
      </c>
      <c r="KG138" s="21">
        <v>2</v>
      </c>
      <c r="KH138" s="21">
        <v>0</v>
      </c>
      <c r="KI138" s="21">
        <v>2</v>
      </c>
      <c r="KJ138" s="21">
        <v>0</v>
      </c>
      <c r="KK138" s="21">
        <v>0</v>
      </c>
      <c r="KL138" s="21">
        <v>0</v>
      </c>
      <c r="KM138" s="21">
        <v>0</v>
      </c>
      <c r="KN138" s="21">
        <v>2</v>
      </c>
      <c r="KO138" s="21">
        <v>0</v>
      </c>
      <c r="KP138" s="21">
        <v>0</v>
      </c>
      <c r="KQ138" s="21">
        <v>0</v>
      </c>
      <c r="KR138" s="21">
        <v>0</v>
      </c>
      <c r="KS138" s="21">
        <v>0</v>
      </c>
      <c r="LW138" s="26" t="s">
        <v>516</v>
      </c>
      <c r="LX138" s="20">
        <v>0</v>
      </c>
      <c r="LY138" s="20">
        <v>4</v>
      </c>
      <c r="LZ138" s="20">
        <v>4</v>
      </c>
      <c r="MA138" s="20">
        <v>6</v>
      </c>
      <c r="MB138" s="20">
        <v>0</v>
      </c>
      <c r="MC138" s="20">
        <v>0</v>
      </c>
      <c r="MD138" s="20">
        <v>0</v>
      </c>
      <c r="ME138" s="20">
        <v>0</v>
      </c>
      <c r="MF138" s="20">
        <v>0</v>
      </c>
      <c r="MG138" s="20">
        <v>0</v>
      </c>
      <c r="MH138" s="20">
        <v>0</v>
      </c>
      <c r="MI138" s="20">
        <v>0</v>
      </c>
      <c r="MJ138" s="20">
        <v>0</v>
      </c>
      <c r="MK138" s="20">
        <v>0</v>
      </c>
      <c r="ML138" s="20">
        <v>0</v>
      </c>
      <c r="MM138" s="20">
        <v>0</v>
      </c>
      <c r="MN138" s="20">
        <v>0</v>
      </c>
      <c r="MO138" s="20">
        <v>0</v>
      </c>
      <c r="MP138" s="20">
        <v>0</v>
      </c>
      <c r="MQ138" s="20">
        <v>0</v>
      </c>
      <c r="MR138" s="20">
        <v>0</v>
      </c>
      <c r="MS138" s="20">
        <v>0</v>
      </c>
      <c r="MT138" s="20">
        <v>0</v>
      </c>
      <c r="MU138" s="20">
        <v>0</v>
      </c>
      <c r="MV138" s="20">
        <v>0</v>
      </c>
      <c r="MW138" s="20">
        <v>0</v>
      </c>
    </row>
    <row r="139" spans="1:361" x14ac:dyDescent="0.25">
      <c r="A139" s="8"/>
      <c r="B139" s="6" t="s">
        <v>116</v>
      </c>
      <c r="C139" s="8"/>
      <c r="D139" s="4"/>
      <c r="E139" s="4"/>
      <c r="F139" s="4"/>
      <c r="G139" s="4"/>
      <c r="H139" s="4"/>
      <c r="I139" s="4"/>
      <c r="J139" s="4"/>
      <c r="K139" s="4"/>
      <c r="L139" s="4"/>
      <c r="M139" s="4"/>
      <c r="N139" s="4"/>
      <c r="O139" s="4"/>
      <c r="P139" s="4"/>
      <c r="Q139" s="4"/>
      <c r="R139" s="4"/>
      <c r="S139" s="4"/>
      <c r="T139" s="22">
        <f>SUM(T129:T138)</f>
        <v>0</v>
      </c>
      <c r="U139" s="22">
        <f>SUM(U129:U138)</f>
        <v>0</v>
      </c>
      <c r="V139" s="20"/>
      <c r="W139" s="20"/>
      <c r="X139" s="25">
        <f t="shared" si="111"/>
        <v>0</v>
      </c>
      <c r="Y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162,$BB$2:$CA$2,0),MATCH($W$125,$AH$22:$AH$47,0)))*C162</f>
        <v>0</v>
      </c>
      <c r="Z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162,$BB$2:$CA$2,0),MATCH($W$125,$AH$22:$AH$47,0)))*C162</f>
        <v>0</v>
      </c>
      <c r="AA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162,$BB$2:$CA$2,0),MATCH($W$125,$AH$22:$AH$47,0)))*C162</f>
        <v>0</v>
      </c>
      <c r="AB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162,$BB$2:$CA$2,0),MATCH($W$125,$AH$22:$AH$47,0)))*C162</f>
        <v>0</v>
      </c>
      <c r="AC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162,$BB$2:$CA$2,0),MATCH($W$125,$AH$22:$AH$47,0)))*C162</f>
        <v>0</v>
      </c>
      <c r="AD13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162,$BB$2:$CA$2,0),MATCH($W$125,$AH$22:$AH$47,0)))*C162</f>
        <v>0</v>
      </c>
      <c r="AE139" s="20"/>
      <c r="AF139" s="20"/>
      <c r="AG139" s="20"/>
      <c r="AH139" s="20"/>
      <c r="AI139" s="20"/>
      <c r="AJ139" s="20"/>
      <c r="AK139" s="20"/>
      <c r="AL139" s="20">
        <f t="shared" si="112"/>
        <v>0</v>
      </c>
      <c r="AM139" s="20"/>
      <c r="AN139" s="20"/>
      <c r="AO139" s="20"/>
      <c r="AP139" s="20"/>
      <c r="AQ139" s="20"/>
      <c r="AR139" s="20"/>
      <c r="AS139" s="20"/>
      <c r="AT139" s="20"/>
      <c r="AU139" s="20"/>
      <c r="AV139" s="20"/>
      <c r="AW139" s="20"/>
      <c r="AX139" s="20"/>
      <c r="AY139" s="20"/>
      <c r="AZ139" s="20"/>
      <c r="BA139" s="21" t="s">
        <v>520</v>
      </c>
      <c r="BB139" s="21">
        <v>0</v>
      </c>
      <c r="BC139" s="21">
        <v>0</v>
      </c>
      <c r="BD139" s="21">
        <v>0</v>
      </c>
      <c r="BE139" s="21">
        <v>0</v>
      </c>
      <c r="BF139" s="21">
        <v>0</v>
      </c>
      <c r="BG139" s="21">
        <v>0</v>
      </c>
      <c r="BH139" s="21">
        <v>0</v>
      </c>
      <c r="BI139" s="21">
        <v>4</v>
      </c>
      <c r="BJ139" s="21">
        <v>6</v>
      </c>
      <c r="BK139" s="21">
        <v>0</v>
      </c>
      <c r="BL139" s="21">
        <v>0</v>
      </c>
      <c r="BM139" s="21">
        <v>6</v>
      </c>
      <c r="BN139" s="21">
        <v>10</v>
      </c>
      <c r="BO139" s="21">
        <v>0</v>
      </c>
      <c r="BP139" s="21">
        <v>6</v>
      </c>
      <c r="BQ139" s="21">
        <v>10</v>
      </c>
      <c r="BR139" s="21">
        <v>2</v>
      </c>
      <c r="BS139" s="21">
        <v>2</v>
      </c>
      <c r="BT139" s="21">
        <v>8</v>
      </c>
      <c r="BU139" s="21">
        <v>14</v>
      </c>
      <c r="BV139" s="21">
        <v>4</v>
      </c>
      <c r="BW139" s="21">
        <v>10</v>
      </c>
      <c r="BX139" s="21">
        <v>8</v>
      </c>
      <c r="BY139" s="21">
        <v>4</v>
      </c>
      <c r="BZ139" s="21">
        <v>20</v>
      </c>
      <c r="CA139" s="21">
        <v>0</v>
      </c>
      <c r="DA139" s="54"/>
      <c r="DB139" s="54"/>
      <c r="DC139" s="54"/>
      <c r="DD139" s="20" t="s">
        <v>521</v>
      </c>
      <c r="DE139" s="20">
        <v>0</v>
      </c>
      <c r="DF139" s="20">
        <v>0</v>
      </c>
      <c r="DG139" s="20">
        <v>4</v>
      </c>
      <c r="DH139" s="20">
        <v>4</v>
      </c>
      <c r="DI139" s="20">
        <v>8</v>
      </c>
      <c r="DJ139" s="20">
        <v>12</v>
      </c>
      <c r="DK139" s="20">
        <v>12</v>
      </c>
      <c r="DL139" s="20">
        <v>16</v>
      </c>
      <c r="DM139" s="20">
        <v>20</v>
      </c>
      <c r="DN139" s="20">
        <v>20</v>
      </c>
      <c r="DO139" s="20">
        <v>24</v>
      </c>
      <c r="DP139" s="20">
        <v>24</v>
      </c>
      <c r="DQ139" s="20">
        <v>28</v>
      </c>
      <c r="DR139" s="20">
        <v>32</v>
      </c>
      <c r="DS139" s="20">
        <v>32</v>
      </c>
      <c r="DT139" s="20">
        <v>36</v>
      </c>
      <c r="DU139" s="20">
        <v>40</v>
      </c>
      <c r="DV139" s="20">
        <v>40</v>
      </c>
      <c r="DW139" s="20">
        <v>44</v>
      </c>
      <c r="DX139" s="20">
        <v>44</v>
      </c>
      <c r="DY139" s="20">
        <v>48</v>
      </c>
      <c r="DZ139" s="20"/>
      <c r="EA139" s="20"/>
      <c r="EB139" s="20"/>
      <c r="GC139" s="20"/>
      <c r="GD139" s="20"/>
      <c r="GE139" s="26" t="s">
        <v>520</v>
      </c>
      <c r="GF139" s="20">
        <v>0</v>
      </c>
      <c r="GG139" s="20">
        <v>0</v>
      </c>
      <c r="GH139" s="20">
        <v>0</v>
      </c>
      <c r="GI139" s="20">
        <v>0</v>
      </c>
      <c r="GJ139" s="20">
        <v>0</v>
      </c>
      <c r="GK139" s="20">
        <v>0</v>
      </c>
      <c r="GL139" s="20">
        <v>2</v>
      </c>
      <c r="GM139" s="20">
        <v>4</v>
      </c>
      <c r="GN139" s="20">
        <v>6</v>
      </c>
      <c r="GO139" s="20">
        <v>8</v>
      </c>
      <c r="GP139" s="20">
        <v>12</v>
      </c>
      <c r="GQ139" s="20">
        <v>0</v>
      </c>
      <c r="GR139" s="20">
        <v>14</v>
      </c>
      <c r="GS139" s="20">
        <v>18</v>
      </c>
      <c r="GT139" s="20">
        <v>8</v>
      </c>
      <c r="GU139" s="20">
        <v>10</v>
      </c>
      <c r="GV139" s="20">
        <v>0</v>
      </c>
      <c r="GW139" s="20">
        <v>16</v>
      </c>
      <c r="GX139" s="20">
        <v>4</v>
      </c>
      <c r="GY139" s="20">
        <v>6</v>
      </c>
      <c r="GZ139" s="20">
        <v>24</v>
      </c>
      <c r="HA139" s="20">
        <v>12</v>
      </c>
      <c r="HB139" s="20">
        <v>20</v>
      </c>
      <c r="HC139" s="20">
        <v>32</v>
      </c>
      <c r="HD139" s="20">
        <v>20</v>
      </c>
      <c r="HE139" s="20">
        <v>8</v>
      </c>
      <c r="HF139" s="20">
        <v>36</v>
      </c>
      <c r="HG139" s="20">
        <v>28</v>
      </c>
      <c r="HH139" s="20">
        <v>16</v>
      </c>
      <c r="HI139" s="20">
        <v>40</v>
      </c>
      <c r="HJ139" s="20">
        <v>36</v>
      </c>
      <c r="HK139" s="20">
        <v>24</v>
      </c>
      <c r="HL139" s="20">
        <v>30</v>
      </c>
      <c r="HM139" s="20">
        <v>42</v>
      </c>
      <c r="HN139" s="20">
        <v>42</v>
      </c>
      <c r="HO139" s="20">
        <v>20</v>
      </c>
      <c r="HP139" s="20">
        <v>50</v>
      </c>
      <c r="HQ139" s="20">
        <v>40</v>
      </c>
      <c r="HR139" s="20">
        <v>28</v>
      </c>
      <c r="HS139" s="20">
        <v>54</v>
      </c>
      <c r="HT139" s="20">
        <v>46</v>
      </c>
      <c r="HU139" s="20">
        <v>36</v>
      </c>
      <c r="HV139" s="20">
        <v>58</v>
      </c>
      <c r="HW139" s="20">
        <v>54</v>
      </c>
      <c r="HX139" s="20">
        <v>56</v>
      </c>
      <c r="HY139" s="20">
        <v>62</v>
      </c>
      <c r="HZ139" s="20">
        <v>62</v>
      </c>
      <c r="IA139" s="20">
        <v>64</v>
      </c>
      <c r="IB139" s="20">
        <v>40</v>
      </c>
      <c r="IC139" s="20">
        <v>68</v>
      </c>
      <c r="ID139" s="20">
        <v>58</v>
      </c>
      <c r="JS139" s="21" t="s">
        <v>517</v>
      </c>
      <c r="JT139" s="21">
        <v>0</v>
      </c>
      <c r="JU139" s="21">
        <v>2</v>
      </c>
      <c r="JV139" s="21">
        <v>0</v>
      </c>
      <c r="JW139" s="21">
        <v>4</v>
      </c>
      <c r="JX139" s="21">
        <v>0</v>
      </c>
      <c r="JY139" s="21">
        <v>0</v>
      </c>
      <c r="JZ139" s="21">
        <v>2</v>
      </c>
      <c r="KA139" s="21">
        <v>0</v>
      </c>
      <c r="KB139" s="21">
        <v>0</v>
      </c>
      <c r="KC139" s="21">
        <v>0</v>
      </c>
      <c r="KD139" s="21">
        <v>0</v>
      </c>
      <c r="KE139" s="21">
        <v>2</v>
      </c>
      <c r="KF139" s="21">
        <v>0</v>
      </c>
      <c r="KG139" s="21">
        <v>0</v>
      </c>
      <c r="KH139" s="21">
        <v>0</v>
      </c>
      <c r="KI139" s="21">
        <v>0</v>
      </c>
      <c r="KJ139" s="21">
        <v>0</v>
      </c>
      <c r="KK139" s="21">
        <v>0</v>
      </c>
      <c r="KL139" s="21">
        <v>0</v>
      </c>
      <c r="KM139" s="21">
        <v>0</v>
      </c>
      <c r="KN139" s="21">
        <v>0</v>
      </c>
      <c r="KO139" s="21">
        <v>0</v>
      </c>
      <c r="KP139" s="21">
        <v>0</v>
      </c>
      <c r="KQ139" s="21">
        <v>0</v>
      </c>
      <c r="KR139" s="21">
        <v>0</v>
      </c>
      <c r="KS139" s="21">
        <v>0</v>
      </c>
      <c r="LW139" s="26" t="s">
        <v>517</v>
      </c>
      <c r="LX139" s="20">
        <v>0</v>
      </c>
      <c r="LY139" s="20">
        <v>0</v>
      </c>
      <c r="LZ139" s="20">
        <v>0</v>
      </c>
      <c r="MA139" s="20">
        <v>0</v>
      </c>
      <c r="MB139" s="20">
        <v>0</v>
      </c>
      <c r="MC139" s="20">
        <v>2</v>
      </c>
      <c r="MD139" s="20">
        <v>4</v>
      </c>
      <c r="ME139" s="20">
        <v>0</v>
      </c>
      <c r="MF139" s="20">
        <v>0</v>
      </c>
      <c r="MG139" s="20">
        <v>0</v>
      </c>
      <c r="MH139" s="20">
        <v>0</v>
      </c>
      <c r="MI139" s="20">
        <v>0</v>
      </c>
      <c r="MJ139" s="20">
        <v>4</v>
      </c>
      <c r="MK139" s="20">
        <v>0</v>
      </c>
      <c r="ML139" s="20">
        <v>0</v>
      </c>
      <c r="MM139" s="20">
        <v>2</v>
      </c>
      <c r="MN139" s="20">
        <v>0</v>
      </c>
      <c r="MO139" s="20">
        <v>0</v>
      </c>
      <c r="MP139" s="20">
        <v>0</v>
      </c>
      <c r="MQ139" s="20">
        <v>0</v>
      </c>
      <c r="MR139" s="20">
        <v>0</v>
      </c>
      <c r="MS139" s="20">
        <v>2</v>
      </c>
      <c r="MT139" s="20">
        <v>0</v>
      </c>
      <c r="MU139" s="20">
        <v>0</v>
      </c>
      <c r="MV139" s="20">
        <v>0</v>
      </c>
      <c r="MW139" s="20">
        <v>0</v>
      </c>
    </row>
    <row r="140" spans="1:361" x14ac:dyDescent="0.25">
      <c r="A140" s="8"/>
      <c r="B140" s="6" t="s">
        <v>116</v>
      </c>
      <c r="C140" s="8"/>
      <c r="D140" s="4"/>
      <c r="E140" s="4"/>
      <c r="F140" s="4"/>
      <c r="G140" s="4"/>
      <c r="H140" s="4"/>
      <c r="I140" s="4"/>
      <c r="J140" s="4"/>
      <c r="K140" s="4"/>
      <c r="L140" s="4"/>
      <c r="M140" s="4"/>
      <c r="N140" s="4"/>
      <c r="O140" s="4"/>
      <c r="P140" s="4"/>
      <c r="Q140" s="4"/>
      <c r="R140" s="4"/>
      <c r="S140" s="4"/>
      <c r="T140" s="4"/>
      <c r="U140" s="4"/>
      <c r="V140" s="20"/>
      <c r="W140" s="20"/>
      <c r="X140" s="25">
        <f t="shared" si="111"/>
        <v>0</v>
      </c>
      <c r="Y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163,$BB$2:$CA$2,0),MATCH($W$125,$AH$22:$AH$47,0)))*C163</f>
        <v>0</v>
      </c>
      <c r="Z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163,$BB$2:$CA$2,0),MATCH($W$125,$AH$22:$AH$47,0)))*C163</f>
        <v>0</v>
      </c>
      <c r="AA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163,$BB$2:$CA$2,0),MATCH($W$125,$AH$22:$AH$47,0)))*C163</f>
        <v>0</v>
      </c>
      <c r="AB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163,$BB$2:$CA$2,0),MATCH($W$125,$AH$22:$AH$47,0)))*C163</f>
        <v>0</v>
      </c>
      <c r="AC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163,$BB$2:$CA$2,0),MATCH($W$125,$AH$22:$AH$47,0)))*C163</f>
        <v>0</v>
      </c>
      <c r="AD14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163,$BB$2:$CA$2,0),MATCH($W$125,$AH$22:$AH$47,0)))*C163</f>
        <v>0</v>
      </c>
      <c r="AE140" s="20"/>
      <c r="AF140" s="20"/>
      <c r="AG140" s="20"/>
      <c r="AH140" s="20"/>
      <c r="AI140" s="20"/>
      <c r="AJ140" s="20"/>
      <c r="AK140" s="20"/>
      <c r="AL140" s="20">
        <f t="shared" si="112"/>
        <v>0</v>
      </c>
      <c r="AM140" s="20"/>
      <c r="AN140" s="20"/>
      <c r="AO140" s="20"/>
      <c r="AP140" s="20"/>
      <c r="AQ140" s="20"/>
      <c r="AR140" s="20"/>
      <c r="AS140" s="20"/>
      <c r="AT140" s="20"/>
      <c r="AU140" s="20"/>
      <c r="AV140" s="20"/>
      <c r="AW140" s="20"/>
      <c r="AX140" s="20"/>
      <c r="AY140" s="20"/>
      <c r="AZ140" s="20"/>
      <c r="BA140" s="21" t="s">
        <v>521</v>
      </c>
      <c r="BB140" s="21">
        <v>0</v>
      </c>
      <c r="BC140" s="21">
        <v>0</v>
      </c>
      <c r="BD140" s="21">
        <v>0</v>
      </c>
      <c r="BE140" s="21">
        <v>4</v>
      </c>
      <c r="BF140" s="21">
        <v>8</v>
      </c>
      <c r="BG140" s="21">
        <v>8</v>
      </c>
      <c r="BH140" s="21">
        <v>8</v>
      </c>
      <c r="BI140" s="21">
        <v>8</v>
      </c>
      <c r="BJ140" s="21">
        <v>12</v>
      </c>
      <c r="BK140" s="21">
        <v>12</v>
      </c>
      <c r="BL140" s="21">
        <v>16</v>
      </c>
      <c r="BM140" s="21">
        <v>16</v>
      </c>
      <c r="BN140" s="21">
        <v>16</v>
      </c>
      <c r="BO140" s="21">
        <v>20</v>
      </c>
      <c r="BP140" s="21">
        <v>20</v>
      </c>
      <c r="BQ140" s="21">
        <v>24</v>
      </c>
      <c r="BR140" s="21">
        <v>24</v>
      </c>
      <c r="BS140" s="21">
        <v>28</v>
      </c>
      <c r="BT140" s="21">
        <v>28</v>
      </c>
      <c r="BU140" s="21">
        <v>28</v>
      </c>
      <c r="BV140" s="21">
        <v>32</v>
      </c>
      <c r="BW140" s="21">
        <v>32</v>
      </c>
      <c r="BX140" s="21">
        <v>36</v>
      </c>
      <c r="BY140" s="21">
        <v>36</v>
      </c>
      <c r="BZ140" s="21">
        <v>36</v>
      </c>
      <c r="CA140" s="21">
        <v>40</v>
      </c>
      <c r="DA140" s="54"/>
      <c r="DB140" s="54"/>
      <c r="DC140" s="54"/>
      <c r="DD140" s="26" t="s">
        <v>710</v>
      </c>
      <c r="DE140" s="20">
        <v>0</v>
      </c>
      <c r="DF140" s="20"/>
      <c r="DG140" s="20"/>
      <c r="DH140" s="20"/>
      <c r="DI140" s="20"/>
      <c r="DJ140" s="20"/>
      <c r="DK140" s="20"/>
      <c r="DL140" s="20"/>
      <c r="DM140" s="20"/>
      <c r="DN140" s="20"/>
      <c r="DO140" s="20"/>
      <c r="DP140" s="20"/>
      <c r="DQ140" s="20"/>
      <c r="DR140" s="20"/>
      <c r="DS140" s="20"/>
      <c r="DT140" s="20"/>
      <c r="DU140" s="20"/>
      <c r="DV140" s="20"/>
      <c r="DW140" s="20"/>
      <c r="DX140" s="20"/>
      <c r="DY140" s="20"/>
      <c r="DZ140" s="20"/>
      <c r="EA140" s="20"/>
      <c r="EB140" s="20"/>
      <c r="GC140" s="20"/>
      <c r="GD140" s="20"/>
      <c r="GE140" s="26" t="s">
        <v>521</v>
      </c>
      <c r="GF140" s="20">
        <v>0</v>
      </c>
      <c r="GG140" s="20">
        <v>0</v>
      </c>
      <c r="GH140" s="20">
        <v>4</v>
      </c>
      <c r="GI140" s="20">
        <v>8</v>
      </c>
      <c r="GJ140" s="20">
        <v>8</v>
      </c>
      <c r="GK140" s="20">
        <v>12</v>
      </c>
      <c r="GL140" s="20">
        <v>16</v>
      </c>
      <c r="GM140" s="20">
        <v>16</v>
      </c>
      <c r="GN140" s="20">
        <v>20</v>
      </c>
      <c r="GO140" s="20">
        <v>24</v>
      </c>
      <c r="GP140" s="20">
        <v>24</v>
      </c>
      <c r="GQ140" s="20">
        <v>28</v>
      </c>
      <c r="GR140" s="20">
        <v>32</v>
      </c>
      <c r="GS140" s="20">
        <v>32</v>
      </c>
      <c r="GT140" s="20">
        <v>36</v>
      </c>
      <c r="GU140" s="20">
        <v>40</v>
      </c>
      <c r="GV140" s="20">
        <v>44</v>
      </c>
      <c r="GW140" s="20">
        <v>44</v>
      </c>
      <c r="GX140" s="20">
        <v>48</v>
      </c>
      <c r="GY140" s="20">
        <v>52</v>
      </c>
      <c r="GZ140" s="20">
        <v>52</v>
      </c>
      <c r="HA140" s="20">
        <v>56</v>
      </c>
      <c r="HB140" s="20">
        <v>60</v>
      </c>
      <c r="HC140" s="20">
        <v>60</v>
      </c>
      <c r="HD140" s="20">
        <v>64</v>
      </c>
      <c r="HE140" s="20">
        <v>68</v>
      </c>
      <c r="HF140" s="20">
        <v>68</v>
      </c>
      <c r="HG140" s="20">
        <v>72</v>
      </c>
      <c r="HH140" s="20">
        <v>76</v>
      </c>
      <c r="HI140" s="20">
        <v>76</v>
      </c>
      <c r="HJ140" s="20">
        <v>80</v>
      </c>
      <c r="HK140" s="20">
        <v>84</v>
      </c>
      <c r="HL140" s="20">
        <v>88</v>
      </c>
      <c r="HM140" s="20">
        <v>88</v>
      </c>
      <c r="HN140" s="20">
        <v>88</v>
      </c>
      <c r="HO140" s="20">
        <v>96</v>
      </c>
      <c r="HP140" s="20">
        <v>96</v>
      </c>
      <c r="HQ140" s="20">
        <v>100</v>
      </c>
      <c r="HR140" s="20">
        <v>104</v>
      </c>
      <c r="HS140" s="20">
        <v>104</v>
      </c>
      <c r="HT140" s="20">
        <v>108</v>
      </c>
      <c r="HU140" s="20">
        <v>112</v>
      </c>
      <c r="HV140" s="20">
        <v>112</v>
      </c>
      <c r="HW140" s="20">
        <v>116</v>
      </c>
      <c r="HX140" s="20">
        <v>120</v>
      </c>
      <c r="HY140" s="20">
        <v>120</v>
      </c>
      <c r="HZ140" s="20">
        <v>124</v>
      </c>
      <c r="IA140" s="20">
        <v>128</v>
      </c>
      <c r="IB140" s="20">
        <v>132</v>
      </c>
      <c r="IC140" s="20">
        <v>132</v>
      </c>
      <c r="ID140" s="20">
        <v>136</v>
      </c>
      <c r="JS140" s="21" t="s">
        <v>518</v>
      </c>
      <c r="JT140" s="21">
        <v>0</v>
      </c>
      <c r="JU140" s="21">
        <v>0</v>
      </c>
      <c r="JV140" s="21">
        <v>0</v>
      </c>
      <c r="JW140" s="21">
        <v>0</v>
      </c>
      <c r="JX140" s="21">
        <v>2</v>
      </c>
      <c r="JY140" s="21">
        <v>4</v>
      </c>
      <c r="JZ140" s="21">
        <v>0</v>
      </c>
      <c r="KA140" s="21">
        <v>0</v>
      </c>
      <c r="KB140" s="21">
        <v>4</v>
      </c>
      <c r="KC140" s="21">
        <v>2</v>
      </c>
      <c r="KD140" s="21">
        <v>0</v>
      </c>
      <c r="KE140" s="21">
        <v>0</v>
      </c>
      <c r="KF140" s="21">
        <v>0</v>
      </c>
      <c r="KG140" s="21">
        <v>0</v>
      </c>
      <c r="KH140" s="21">
        <v>2</v>
      </c>
      <c r="KI140" s="21">
        <v>0</v>
      </c>
      <c r="KJ140" s="21">
        <v>2</v>
      </c>
      <c r="KK140" s="21">
        <v>0</v>
      </c>
      <c r="KL140" s="21">
        <v>4</v>
      </c>
      <c r="KM140" s="21">
        <v>0</v>
      </c>
      <c r="KN140" s="21">
        <v>0</v>
      </c>
      <c r="KO140" s="21">
        <v>2</v>
      </c>
      <c r="KP140" s="21">
        <v>0</v>
      </c>
      <c r="KQ140" s="21">
        <v>2</v>
      </c>
      <c r="KR140" s="21">
        <v>0</v>
      </c>
      <c r="KS140" s="21">
        <v>4</v>
      </c>
      <c r="LW140" s="26" t="s">
        <v>518</v>
      </c>
      <c r="LX140" s="20">
        <v>0</v>
      </c>
      <c r="LY140" s="20">
        <v>0</v>
      </c>
      <c r="LZ140" s="20">
        <v>2</v>
      </c>
      <c r="MA140" s="20">
        <v>0</v>
      </c>
      <c r="MB140" s="20">
        <v>0</v>
      </c>
      <c r="MC140" s="20">
        <v>0</v>
      </c>
      <c r="MD140" s="20">
        <v>0</v>
      </c>
      <c r="ME140" s="20">
        <v>0</v>
      </c>
      <c r="MF140" s="20">
        <v>2</v>
      </c>
      <c r="MG140" s="20">
        <v>4</v>
      </c>
      <c r="MH140" s="20">
        <v>0</v>
      </c>
      <c r="MI140" s="20">
        <v>2</v>
      </c>
      <c r="MJ140" s="20">
        <v>0</v>
      </c>
      <c r="MK140" s="20">
        <v>0</v>
      </c>
      <c r="ML140" s="20">
        <v>2</v>
      </c>
      <c r="MM140" s="20">
        <v>0</v>
      </c>
      <c r="MN140" s="20">
        <v>0</v>
      </c>
      <c r="MO140" s="20">
        <v>0</v>
      </c>
      <c r="MP140" s="20">
        <v>4</v>
      </c>
      <c r="MQ140" s="20">
        <v>0</v>
      </c>
      <c r="MR140" s="20">
        <v>0</v>
      </c>
      <c r="MS140" s="20">
        <v>0</v>
      </c>
      <c r="MT140" s="20">
        <v>0</v>
      </c>
      <c r="MU140" s="20">
        <v>0</v>
      </c>
      <c r="MV140" s="20">
        <v>0</v>
      </c>
      <c r="MW140" s="20">
        <v>0</v>
      </c>
    </row>
    <row r="141" spans="1:361" x14ac:dyDescent="0.25">
      <c r="A141" s="8"/>
      <c r="B141" s="6" t="s">
        <v>116</v>
      </c>
      <c r="C141" s="8"/>
      <c r="D141" s="4"/>
      <c r="E141" s="4"/>
      <c r="F141" s="4"/>
      <c r="G141" s="4"/>
      <c r="H141" s="4"/>
      <c r="I141" s="4"/>
      <c r="J141" s="4"/>
      <c r="K141" s="4"/>
      <c r="L141" s="4"/>
      <c r="M141" s="4"/>
      <c r="N141" s="4"/>
      <c r="O141" s="4"/>
      <c r="P141" s="4"/>
      <c r="Q141" s="4"/>
      <c r="R141" s="4"/>
      <c r="S141" s="4"/>
      <c r="T141" s="4"/>
      <c r="U141" s="4"/>
      <c r="V141" s="20"/>
      <c r="W141" s="20"/>
      <c r="X141" s="25"/>
      <c r="Y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$158,$BA$3:$BA$17,0),MATCH(A164,$BB$2:$CA$2,0),MATCH($W$125,$AH$22:$AH$47,0)))*C164</f>
        <v>0</v>
      </c>
      <c r="Z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$150,$BA$3:$BA$17,0),MATCH(A164,$BB$2:$CA$2,0),MATCH($W$125,$AH$22:$AH$47,0)))*C164</f>
        <v>0</v>
      </c>
      <c r="AA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$151,$BA$3:$BA$17,0),MATCH(A164,$BB$2:$CA$2,0),MATCH($W$125,$AH$22:$AH$47,0)))*C164</f>
        <v>0</v>
      </c>
      <c r="AB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$152,$BA$3:$BA$17,0),MATCH(A164,$BB$2:$CA$2,0),MATCH($W$125,$AH$22:$AH$47,0)))*C164</f>
        <v>0</v>
      </c>
      <c r="AC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$154,$BA$3:$BA$17,0),MATCH(A164,$BB$2:$CA$2,0),MATCH($W$125,$AH$22:$AH$47,0)))*C164</f>
        <v>0</v>
      </c>
      <c r="AD14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$155,$BA$3:$BA$17,0),MATCH(A164,$BB$2:$CA$2,0),MATCH($W$125,$AH$22:$AH$47,0)))*C164</f>
        <v>0</v>
      </c>
      <c r="AE141" s="20" t="str">
        <f>INDEX(($AH$53:$AI$62),MATCH(I150,$AG$53:$AG$62,0),MATCH(E153,$AH$52:$AI$52,0))</f>
        <v>suma</v>
      </c>
      <c r="AF141" s="20"/>
      <c r="AG141" s="20"/>
      <c r="AH141" s="20"/>
      <c r="AI141" s="20"/>
      <c r="AJ141" s="20"/>
      <c r="AK141" s="20"/>
      <c r="AL141" s="20"/>
      <c r="AM141" s="20"/>
      <c r="AN141" s="20"/>
      <c r="AO141" s="20"/>
      <c r="AP141" s="20"/>
      <c r="AQ141" s="20"/>
      <c r="AR141" s="20"/>
      <c r="AS141" s="20"/>
      <c r="AT141" s="20"/>
      <c r="AU141" s="20"/>
      <c r="AV141" s="20"/>
      <c r="AW141" s="20"/>
      <c r="AX141" s="20"/>
      <c r="AY141" s="20"/>
      <c r="AZ141" s="20"/>
      <c r="BA141" s="21" t="s">
        <v>710</v>
      </c>
      <c r="BB141" s="21">
        <v>0</v>
      </c>
      <c r="BC141" s="21">
        <v>2</v>
      </c>
      <c r="BD141" s="21">
        <v>0</v>
      </c>
      <c r="BE141" s="21">
        <v>4</v>
      </c>
      <c r="BF141" s="21">
        <v>0</v>
      </c>
      <c r="BG141" s="21">
        <v>4</v>
      </c>
      <c r="BH141" s="21">
        <v>2</v>
      </c>
      <c r="BI141" s="21">
        <v>0</v>
      </c>
      <c r="BJ141" s="21">
        <v>2</v>
      </c>
      <c r="BK141" s="21">
        <v>0</v>
      </c>
      <c r="BL141" s="21">
        <v>4</v>
      </c>
      <c r="BM141" s="21">
        <v>2</v>
      </c>
      <c r="BN141" s="21">
        <v>0</v>
      </c>
      <c r="BO141" s="21">
        <v>2</v>
      </c>
      <c r="BP141" s="21">
        <v>0</v>
      </c>
      <c r="BQ141" s="21">
        <v>4</v>
      </c>
      <c r="BR141" s="21">
        <v>2</v>
      </c>
      <c r="BS141" s="21">
        <v>4</v>
      </c>
      <c r="BT141" s="21">
        <v>2</v>
      </c>
      <c r="BU141" s="21">
        <v>0</v>
      </c>
      <c r="BV141" s="21">
        <v>4</v>
      </c>
      <c r="BW141" s="21">
        <v>0</v>
      </c>
      <c r="BX141" s="21">
        <v>4</v>
      </c>
      <c r="BY141" s="21">
        <v>2</v>
      </c>
      <c r="BZ141" s="21">
        <v>0</v>
      </c>
      <c r="CA141" s="21">
        <v>2</v>
      </c>
      <c r="DA141" s="54"/>
      <c r="DB141" s="54"/>
      <c r="DC141" s="54"/>
      <c r="DD141" s="26" t="s">
        <v>711</v>
      </c>
      <c r="DE141" s="20">
        <v>0</v>
      </c>
      <c r="DF141" s="20"/>
      <c r="DG141" s="20"/>
      <c r="DH141" s="20"/>
      <c r="DI141" s="20"/>
      <c r="DJ141" s="20"/>
      <c r="DK141" s="20"/>
      <c r="DL141" s="20"/>
      <c r="DM141" s="20"/>
      <c r="DN141" s="20"/>
      <c r="DO141" s="20"/>
      <c r="DP141" s="20"/>
      <c r="DQ141" s="20"/>
      <c r="DR141" s="20"/>
      <c r="DS141" s="20"/>
      <c r="DT141" s="20"/>
      <c r="DU141" s="20"/>
      <c r="DV141" s="20"/>
      <c r="DW141" s="20"/>
      <c r="DX141" s="20"/>
      <c r="DY141" s="20"/>
      <c r="DZ141" s="20"/>
      <c r="EA141" s="20"/>
      <c r="EB141" s="20"/>
      <c r="GC141" s="20"/>
      <c r="GD141" s="20"/>
      <c r="GE141" s="26" t="s">
        <v>710</v>
      </c>
      <c r="GF141" s="20">
        <v>0</v>
      </c>
      <c r="GG141" s="20">
        <v>0</v>
      </c>
      <c r="GH141" s="20">
        <v>2</v>
      </c>
      <c r="GI141" s="20">
        <v>4</v>
      </c>
      <c r="GJ141" s="20">
        <v>0</v>
      </c>
      <c r="GK141" s="20">
        <v>2</v>
      </c>
      <c r="GL141" s="20">
        <v>4</v>
      </c>
      <c r="GM141" s="20">
        <v>0</v>
      </c>
      <c r="GN141" s="20">
        <v>2</v>
      </c>
      <c r="GO141" s="20">
        <v>4</v>
      </c>
      <c r="GP141" s="20">
        <v>0</v>
      </c>
      <c r="GQ141" s="20">
        <v>2</v>
      </c>
      <c r="GR141" s="20">
        <v>4</v>
      </c>
      <c r="GS141" s="20">
        <v>0</v>
      </c>
      <c r="GT141" s="20">
        <v>2</v>
      </c>
      <c r="GU141" s="20">
        <v>2</v>
      </c>
      <c r="GV141" s="20">
        <v>4</v>
      </c>
      <c r="GW141" s="20">
        <v>0</v>
      </c>
      <c r="GX141" s="20">
        <v>2</v>
      </c>
      <c r="GY141" s="20">
        <v>4</v>
      </c>
      <c r="GZ141" s="20">
        <v>0</v>
      </c>
      <c r="HA141" s="20">
        <v>2</v>
      </c>
      <c r="HB141" s="20">
        <v>4</v>
      </c>
      <c r="HC141" s="20">
        <v>0</v>
      </c>
      <c r="HD141" s="20">
        <v>2</v>
      </c>
      <c r="HE141" s="20">
        <v>4</v>
      </c>
      <c r="HF141" s="20"/>
      <c r="HG141" s="20"/>
      <c r="HH141" s="20"/>
      <c r="HI141" s="20"/>
      <c r="HJ141" s="20"/>
      <c r="HK141" s="20"/>
      <c r="HL141" s="20"/>
      <c r="HM141" s="20"/>
      <c r="HN141" s="20"/>
      <c r="HO141" s="20"/>
      <c r="HP141" s="20"/>
      <c r="HQ141" s="20"/>
      <c r="HR141" s="20"/>
      <c r="HS141" s="20"/>
      <c r="HT141" s="20"/>
      <c r="HU141" s="20"/>
      <c r="HV141" s="20"/>
      <c r="HW141" s="20"/>
      <c r="HX141" s="20"/>
      <c r="HY141" s="20"/>
      <c r="HZ141" s="20"/>
      <c r="IA141" s="20"/>
      <c r="IB141" s="20"/>
      <c r="IC141" s="20"/>
      <c r="ID141" s="20"/>
      <c r="JS141" s="21" t="s">
        <v>519</v>
      </c>
      <c r="JT141" s="21">
        <v>0</v>
      </c>
      <c r="JU141" s="21">
        <v>0</v>
      </c>
      <c r="JV141" s="21">
        <v>2</v>
      </c>
      <c r="JW141" s="21">
        <v>0</v>
      </c>
      <c r="JX141" s="21">
        <v>2</v>
      </c>
      <c r="JY141" s="21">
        <v>0</v>
      </c>
      <c r="JZ141" s="21">
        <v>4</v>
      </c>
      <c r="KA141" s="21">
        <v>6</v>
      </c>
      <c r="KB141" s="21">
        <v>4</v>
      </c>
      <c r="KC141" s="21">
        <v>2</v>
      </c>
      <c r="KD141" s="21">
        <v>0</v>
      </c>
      <c r="KE141" s="21">
        <v>8</v>
      </c>
      <c r="KF141" s="21">
        <v>8</v>
      </c>
      <c r="KG141" s="21">
        <v>4</v>
      </c>
      <c r="KH141" s="21">
        <v>0</v>
      </c>
      <c r="KI141" s="21">
        <v>12</v>
      </c>
      <c r="KJ141" s="21">
        <v>8</v>
      </c>
      <c r="KK141" s="21">
        <v>8</v>
      </c>
      <c r="KL141" s="21">
        <v>2</v>
      </c>
      <c r="KM141" s="21">
        <v>14</v>
      </c>
      <c r="KN141" s="21">
        <v>12</v>
      </c>
      <c r="KO141" s="21">
        <v>8</v>
      </c>
      <c r="KP141" s="21">
        <v>8</v>
      </c>
      <c r="KQ141" s="21">
        <v>16</v>
      </c>
      <c r="KR141" s="21">
        <v>14</v>
      </c>
      <c r="KS141" s="21">
        <v>10</v>
      </c>
      <c r="LW141" s="26" t="s">
        <v>519</v>
      </c>
      <c r="LX141" s="20">
        <v>0</v>
      </c>
      <c r="LY141" s="20">
        <v>0</v>
      </c>
      <c r="LZ141" s="20">
        <v>0</v>
      </c>
      <c r="MA141" s="20">
        <v>0</v>
      </c>
      <c r="MB141" s="20">
        <v>6</v>
      </c>
      <c r="MC141" s="20">
        <v>6</v>
      </c>
      <c r="MD141" s="20">
        <v>6</v>
      </c>
      <c r="ME141" s="20">
        <v>10</v>
      </c>
      <c r="MF141" s="20">
        <v>10</v>
      </c>
      <c r="MG141" s="20">
        <v>10</v>
      </c>
      <c r="MH141" s="20">
        <v>10</v>
      </c>
      <c r="MI141" s="20">
        <v>8</v>
      </c>
      <c r="MJ141" s="20">
        <v>8</v>
      </c>
      <c r="MK141" s="20">
        <v>8</v>
      </c>
      <c r="ML141" s="20">
        <v>6</v>
      </c>
      <c r="MM141" s="20">
        <v>20</v>
      </c>
      <c r="MN141" s="20">
        <v>6</v>
      </c>
      <c r="MO141" s="20">
        <v>20</v>
      </c>
      <c r="MP141" s="20">
        <v>4</v>
      </c>
      <c r="MQ141" s="20">
        <v>4</v>
      </c>
      <c r="MR141" s="20">
        <v>18</v>
      </c>
      <c r="MS141" s="20">
        <v>16</v>
      </c>
      <c r="MT141" s="20">
        <v>2</v>
      </c>
      <c r="MU141" s="20">
        <v>16</v>
      </c>
      <c r="MV141" s="20">
        <v>30</v>
      </c>
      <c r="MW141" s="20">
        <v>0</v>
      </c>
    </row>
    <row r="142" spans="1:361" x14ac:dyDescent="0.25">
      <c r="A142" s="8"/>
      <c r="B142" s="6" t="s">
        <v>116</v>
      </c>
      <c r="C142" s="8"/>
      <c r="D142" s="4"/>
      <c r="E142" s="4"/>
      <c r="F142" s="4"/>
      <c r="G142" s="4"/>
      <c r="H142" s="4"/>
      <c r="I142" s="4"/>
      <c r="J142" s="4"/>
      <c r="K142" s="4"/>
      <c r="L142" s="4"/>
      <c r="M142" s="4"/>
      <c r="N142" s="4"/>
      <c r="O142" s="4"/>
      <c r="P142" s="4"/>
      <c r="Q142" s="4"/>
      <c r="R142" s="4"/>
      <c r="S142" s="4"/>
      <c r="T142" s="4"/>
      <c r="U142" s="4"/>
      <c r="V142" s="20"/>
      <c r="W142" s="20"/>
      <c r="X142" s="20"/>
      <c r="Y142" s="20"/>
      <c r="Z142" s="20"/>
      <c r="AA142" s="20"/>
      <c r="AB142" s="20"/>
      <c r="AC142" s="20"/>
      <c r="AD142" s="20"/>
      <c r="AE142" s="20"/>
      <c r="AF142" s="20"/>
      <c r="AG142" s="20"/>
      <c r="AH142" s="20"/>
      <c r="AI142" s="20"/>
      <c r="AJ142" s="20"/>
      <c r="AK142" s="20"/>
      <c r="AL142" s="20"/>
      <c r="AM142" s="20"/>
      <c r="AN142" s="20"/>
      <c r="AO142" s="20"/>
      <c r="AP142" s="20"/>
      <c r="AQ142" s="20"/>
      <c r="AR142" s="20"/>
      <c r="AS142" s="20"/>
      <c r="AT142" s="20"/>
      <c r="AU142" s="20"/>
      <c r="AV142" s="20"/>
      <c r="AW142" s="20"/>
      <c r="AX142" s="20"/>
      <c r="AY142" s="20"/>
      <c r="AZ142" s="20"/>
      <c r="BA142" s="21" t="s">
        <v>711</v>
      </c>
      <c r="BB142" s="21">
        <v>0</v>
      </c>
      <c r="BC142" s="21">
        <v>0</v>
      </c>
      <c r="BD142" s="21">
        <v>2</v>
      </c>
      <c r="BE142" s="21">
        <v>0</v>
      </c>
      <c r="BF142" s="21">
        <v>4</v>
      </c>
      <c r="BG142" s="21">
        <v>2</v>
      </c>
      <c r="BH142" s="21">
        <v>4</v>
      </c>
      <c r="BI142" s="21">
        <v>6</v>
      </c>
      <c r="BJ142" s="21">
        <v>6</v>
      </c>
      <c r="BK142" s="21">
        <v>8</v>
      </c>
      <c r="BL142" s="21">
        <v>6</v>
      </c>
      <c r="BM142" s="21">
        <v>8</v>
      </c>
      <c r="BN142" s="21">
        <v>10</v>
      </c>
      <c r="BO142" s="21">
        <v>10</v>
      </c>
      <c r="BP142" s="21">
        <v>12</v>
      </c>
      <c r="BQ142" s="21">
        <v>10</v>
      </c>
      <c r="BR142" s="21">
        <v>12</v>
      </c>
      <c r="BS142" s="21">
        <v>12</v>
      </c>
      <c r="BT142" s="21">
        <v>14</v>
      </c>
      <c r="BU142" s="21">
        <v>16</v>
      </c>
      <c r="BV142" s="21">
        <v>14</v>
      </c>
      <c r="BW142" s="21">
        <v>18</v>
      </c>
      <c r="BX142" s="21">
        <v>16</v>
      </c>
      <c r="BY142" s="21">
        <v>18</v>
      </c>
      <c r="BZ142" s="21">
        <v>20</v>
      </c>
      <c r="CA142" s="21">
        <v>20</v>
      </c>
      <c r="DA142" s="54"/>
      <c r="DB142" s="54"/>
      <c r="DC142" s="54"/>
      <c r="DD142" s="26" t="s">
        <v>712</v>
      </c>
      <c r="DE142" s="20">
        <v>0</v>
      </c>
      <c r="DF142" s="20"/>
      <c r="DG142" s="20"/>
      <c r="DH142" s="20"/>
      <c r="DI142" s="20"/>
      <c r="DJ142" s="20"/>
      <c r="DK142" s="20"/>
      <c r="DL142" s="20"/>
      <c r="DM142" s="20"/>
      <c r="DN142" s="20"/>
      <c r="DO142" s="20"/>
      <c r="DP142" s="20"/>
      <c r="DQ142" s="20"/>
      <c r="DR142" s="20"/>
      <c r="DS142" s="20"/>
      <c r="DT142" s="20"/>
      <c r="DU142" s="20"/>
      <c r="DV142" s="20"/>
      <c r="DW142" s="20"/>
      <c r="DX142" s="20"/>
      <c r="DY142" s="20"/>
      <c r="DZ142" s="20"/>
      <c r="EA142" s="20"/>
      <c r="EB142" s="20"/>
      <c r="GC142" s="20"/>
      <c r="GD142" s="20"/>
      <c r="GE142" s="26" t="s">
        <v>711</v>
      </c>
      <c r="GF142" s="20">
        <v>0</v>
      </c>
      <c r="GG142" s="20">
        <v>2</v>
      </c>
      <c r="GH142" s="20">
        <v>2</v>
      </c>
      <c r="GI142" s="20">
        <v>2</v>
      </c>
      <c r="GJ142" s="20">
        <v>6</v>
      </c>
      <c r="GK142" s="20">
        <v>6</v>
      </c>
      <c r="GL142" s="20">
        <v>6</v>
      </c>
      <c r="GM142" s="20">
        <v>10</v>
      </c>
      <c r="GN142" s="20">
        <v>10</v>
      </c>
      <c r="GO142" s="20">
        <v>10</v>
      </c>
      <c r="GP142" s="20">
        <v>14</v>
      </c>
      <c r="GQ142" s="20">
        <v>14</v>
      </c>
      <c r="GR142" s="20">
        <v>14</v>
      </c>
      <c r="GS142" s="20">
        <v>18</v>
      </c>
      <c r="GT142" s="20">
        <v>18</v>
      </c>
      <c r="GU142" s="20">
        <v>20</v>
      </c>
      <c r="GV142" s="20">
        <v>20</v>
      </c>
      <c r="GW142" s="20">
        <v>24</v>
      </c>
      <c r="GX142" s="20">
        <v>24</v>
      </c>
      <c r="GY142" s="20">
        <v>24</v>
      </c>
      <c r="GZ142" s="20">
        <v>28</v>
      </c>
      <c r="HA142" s="20">
        <v>28</v>
      </c>
      <c r="HB142" s="20">
        <v>28</v>
      </c>
      <c r="HC142" s="20">
        <v>32</v>
      </c>
      <c r="HD142" s="20">
        <v>32</v>
      </c>
      <c r="HE142" s="20">
        <v>32</v>
      </c>
      <c r="HF142" s="20"/>
      <c r="HG142" s="20"/>
      <c r="HH142" s="20"/>
      <c r="HI142" s="20"/>
      <c r="HJ142" s="20"/>
      <c r="HK142" s="20"/>
      <c r="HL142" s="20"/>
      <c r="HM142" s="20"/>
      <c r="HN142" s="20"/>
      <c r="HO142" s="20"/>
      <c r="HP142" s="20"/>
      <c r="HQ142" s="20"/>
      <c r="HR142" s="20"/>
      <c r="HS142" s="20"/>
      <c r="HT142" s="20"/>
      <c r="HU142" s="20"/>
      <c r="HV142" s="20"/>
      <c r="HW142" s="20"/>
      <c r="HX142" s="20"/>
      <c r="HY142" s="20"/>
      <c r="HZ142" s="20"/>
      <c r="IA142" s="20"/>
      <c r="IB142" s="20"/>
      <c r="IC142" s="20"/>
      <c r="ID142" s="20"/>
      <c r="JS142" s="21" t="s">
        <v>520</v>
      </c>
      <c r="JT142" s="21">
        <v>0</v>
      </c>
      <c r="JU142" s="21">
        <v>0</v>
      </c>
      <c r="JV142" s="21">
        <v>0</v>
      </c>
      <c r="JW142" s="21">
        <v>0</v>
      </c>
      <c r="JX142" s="21">
        <v>0</v>
      </c>
      <c r="JY142" s="21">
        <v>0</v>
      </c>
      <c r="JZ142" s="21">
        <v>0</v>
      </c>
      <c r="KA142" s="21">
        <v>0</v>
      </c>
      <c r="KB142" s="21">
        <v>0</v>
      </c>
      <c r="KC142" s="21">
        <v>4</v>
      </c>
      <c r="KD142" s="21">
        <v>6</v>
      </c>
      <c r="KE142" s="21">
        <v>0</v>
      </c>
      <c r="KF142" s="21">
        <v>2</v>
      </c>
      <c r="KG142" s="21">
        <v>6</v>
      </c>
      <c r="KH142" s="21">
        <v>10</v>
      </c>
      <c r="KI142" s="21">
        <v>0</v>
      </c>
      <c r="KJ142" s="21">
        <v>4</v>
      </c>
      <c r="KK142" s="21">
        <v>6</v>
      </c>
      <c r="KL142" s="21">
        <v>10</v>
      </c>
      <c r="KM142" s="21">
        <v>2</v>
      </c>
      <c r="KN142" s="21">
        <v>4</v>
      </c>
      <c r="KO142" s="21">
        <v>8</v>
      </c>
      <c r="KP142" s="21">
        <v>10</v>
      </c>
      <c r="KQ142" s="21">
        <v>2</v>
      </c>
      <c r="KR142" s="21">
        <v>6</v>
      </c>
      <c r="KS142" s="21">
        <v>8</v>
      </c>
      <c r="LW142" s="26" t="s">
        <v>520</v>
      </c>
      <c r="LX142" s="20">
        <v>0</v>
      </c>
      <c r="LY142" s="20">
        <v>0</v>
      </c>
      <c r="LZ142" s="20">
        <v>0</v>
      </c>
      <c r="MA142" s="20">
        <v>2</v>
      </c>
      <c r="MB142" s="20">
        <v>0</v>
      </c>
      <c r="MC142" s="20">
        <v>0</v>
      </c>
      <c r="MD142" s="20">
        <v>0</v>
      </c>
      <c r="ME142" s="20">
        <v>0</v>
      </c>
      <c r="MF142" s="20">
        <v>0</v>
      </c>
      <c r="MG142" s="20">
        <v>0</v>
      </c>
      <c r="MH142" s="20">
        <v>4</v>
      </c>
      <c r="MI142" s="20">
        <v>6</v>
      </c>
      <c r="MJ142" s="20">
        <v>6</v>
      </c>
      <c r="MK142" s="20">
        <v>10</v>
      </c>
      <c r="ML142" s="20">
        <v>12</v>
      </c>
      <c r="MM142" s="20">
        <v>0</v>
      </c>
      <c r="MN142" s="20">
        <v>16</v>
      </c>
      <c r="MO142" s="20">
        <v>4</v>
      </c>
      <c r="MP142" s="20">
        <v>18</v>
      </c>
      <c r="MQ142" s="20">
        <v>22</v>
      </c>
      <c r="MR142" s="20">
        <v>10</v>
      </c>
      <c r="MS142" s="20">
        <v>12</v>
      </c>
      <c r="MT142" s="20">
        <v>28</v>
      </c>
      <c r="MU142" s="20">
        <v>16</v>
      </c>
      <c r="MV142" s="20">
        <v>4</v>
      </c>
      <c r="MW142" s="20">
        <v>34</v>
      </c>
    </row>
    <row r="143" spans="1:361" x14ac:dyDescent="0.25">
      <c r="A143" s="8"/>
      <c r="B143" s="6" t="s">
        <v>116</v>
      </c>
      <c r="C143" s="8"/>
      <c r="D143" s="4"/>
      <c r="E143" s="4"/>
      <c r="F143" s="4"/>
      <c r="G143" s="4"/>
      <c r="H143" s="4"/>
      <c r="I143" s="4"/>
      <c r="J143" s="4"/>
      <c r="K143" s="4"/>
      <c r="L143" s="4"/>
      <c r="M143" s="4"/>
      <c r="N143" s="4"/>
      <c r="O143" s="4"/>
      <c r="P143" s="4"/>
      <c r="Q143" s="4"/>
      <c r="R143" s="4"/>
      <c r="S143" s="4"/>
      <c r="T143" s="4"/>
      <c r="U143" s="4"/>
      <c r="V143" s="20"/>
      <c r="W143" s="20"/>
      <c r="X143" s="20"/>
      <c r="Y143" s="20"/>
      <c r="Z143" s="20"/>
      <c r="AA143" s="20"/>
      <c r="AB143" s="20"/>
      <c r="AC143" s="20"/>
      <c r="AD143" s="20"/>
      <c r="AE143" s="20"/>
      <c r="AF143" s="20"/>
      <c r="AG143" s="20"/>
      <c r="AH143" s="20"/>
      <c r="AI143" s="20"/>
      <c r="AJ143" s="20"/>
      <c r="AK143" s="20"/>
      <c r="AL143" s="20"/>
      <c r="AM143" s="20"/>
      <c r="AN143" s="20"/>
      <c r="AO143" s="20"/>
      <c r="AP143" s="20"/>
      <c r="AQ143" s="20"/>
      <c r="AR143" s="20"/>
      <c r="AS143" s="20"/>
      <c r="AT143" s="20"/>
      <c r="AU143" s="20"/>
      <c r="AV143" s="20"/>
      <c r="AW143" s="20"/>
      <c r="AX143" s="20"/>
      <c r="AY143" s="20"/>
      <c r="AZ143" s="20"/>
      <c r="BA143" s="21" t="s">
        <v>712</v>
      </c>
      <c r="BB143" s="21">
        <v>0</v>
      </c>
      <c r="BC143" s="21">
        <v>0</v>
      </c>
      <c r="BD143" s="21">
        <v>0</v>
      </c>
      <c r="BE143" s="21">
        <v>2</v>
      </c>
      <c r="BF143" s="21">
        <v>2</v>
      </c>
      <c r="BG143" s="21">
        <v>4</v>
      </c>
      <c r="BH143" s="21">
        <v>4</v>
      </c>
      <c r="BI143" s="21">
        <v>4</v>
      </c>
      <c r="BJ143" s="21">
        <v>6</v>
      </c>
      <c r="BK143" s="21">
        <v>6</v>
      </c>
      <c r="BL143" s="21">
        <v>8</v>
      </c>
      <c r="BM143" s="21">
        <v>8</v>
      </c>
      <c r="BN143" s="21">
        <v>8</v>
      </c>
      <c r="BO143" s="21">
        <v>10</v>
      </c>
      <c r="BP143" s="21">
        <v>10</v>
      </c>
      <c r="BQ143" s="21">
        <v>12</v>
      </c>
      <c r="BR143" s="21">
        <v>12</v>
      </c>
      <c r="BS143" s="21">
        <v>14</v>
      </c>
      <c r="BT143" s="21">
        <v>14</v>
      </c>
      <c r="BU143" s="21">
        <v>14</v>
      </c>
      <c r="BV143" s="21">
        <v>16</v>
      </c>
      <c r="BW143" s="21">
        <v>16</v>
      </c>
      <c r="BX143" s="21">
        <v>18</v>
      </c>
      <c r="BY143" s="21">
        <v>18</v>
      </c>
      <c r="BZ143" s="21">
        <v>18</v>
      </c>
      <c r="CA143" s="21">
        <v>20</v>
      </c>
      <c r="DA143" s="54"/>
      <c r="DB143" s="54"/>
      <c r="DC143" s="54"/>
      <c r="DD143" s="20"/>
      <c r="DE143" s="20"/>
      <c r="DF143" s="20"/>
      <c r="DG143" s="20"/>
      <c r="DH143" s="20"/>
      <c r="DI143" s="20"/>
      <c r="DJ143" s="20"/>
      <c r="DK143" s="20"/>
      <c r="DL143" s="20"/>
      <c r="DM143" s="20"/>
      <c r="DN143" s="20"/>
      <c r="DO143" s="20"/>
      <c r="DP143" s="20"/>
      <c r="DQ143" s="20"/>
      <c r="DR143" s="20"/>
      <c r="DS143" s="20"/>
      <c r="DT143" s="20"/>
      <c r="DU143" s="20"/>
      <c r="DV143" s="20"/>
      <c r="DW143" s="20"/>
      <c r="DX143" s="20"/>
      <c r="DY143" s="20"/>
      <c r="DZ143" s="20"/>
      <c r="EA143" s="20"/>
      <c r="EB143" s="20"/>
      <c r="GC143" s="20"/>
      <c r="GD143" s="20"/>
      <c r="GE143" s="26" t="s">
        <v>712</v>
      </c>
      <c r="GF143" s="20">
        <v>0</v>
      </c>
      <c r="GG143" s="20">
        <v>0</v>
      </c>
      <c r="GH143" s="20">
        <v>2</v>
      </c>
      <c r="GI143" s="20">
        <v>4</v>
      </c>
      <c r="GJ143" s="20">
        <v>4</v>
      </c>
      <c r="GK143" s="20">
        <v>6</v>
      </c>
      <c r="GL143" s="20">
        <v>8</v>
      </c>
      <c r="GM143" s="20">
        <v>8</v>
      </c>
      <c r="GN143" s="20">
        <v>10</v>
      </c>
      <c r="GO143" s="20">
        <v>12</v>
      </c>
      <c r="GP143" s="20">
        <v>12</v>
      </c>
      <c r="GQ143" s="20">
        <v>14</v>
      </c>
      <c r="GR143" s="20">
        <v>16</v>
      </c>
      <c r="GS143" s="20">
        <v>16</v>
      </c>
      <c r="GT143" s="20">
        <v>18</v>
      </c>
      <c r="GU143" s="20">
        <v>20</v>
      </c>
      <c r="GV143" s="20">
        <v>22</v>
      </c>
      <c r="GW143" s="20">
        <v>22</v>
      </c>
      <c r="GX143" s="20">
        <v>24</v>
      </c>
      <c r="GY143" s="20">
        <v>26</v>
      </c>
      <c r="GZ143" s="20">
        <v>26</v>
      </c>
      <c r="HA143" s="20">
        <v>28</v>
      </c>
      <c r="HB143" s="20">
        <v>30</v>
      </c>
      <c r="HC143" s="20">
        <v>30</v>
      </c>
      <c r="HD143" s="20">
        <v>32</v>
      </c>
      <c r="HE143" s="20">
        <v>34</v>
      </c>
      <c r="HF143" s="20"/>
      <c r="HG143" s="20"/>
      <c r="HH143" s="20"/>
      <c r="HI143" s="20"/>
      <c r="HJ143" s="20"/>
      <c r="HK143" s="20"/>
      <c r="HL143" s="20"/>
      <c r="HM143" s="20"/>
      <c r="HN143" s="20"/>
      <c r="HO143" s="20"/>
      <c r="HP143" s="20"/>
      <c r="HQ143" s="20"/>
      <c r="HR143" s="20"/>
      <c r="HS143" s="20"/>
      <c r="HT143" s="20"/>
      <c r="HU143" s="20"/>
      <c r="HV143" s="20"/>
      <c r="HW143" s="20"/>
      <c r="HX143" s="20"/>
      <c r="HY143" s="20"/>
      <c r="HZ143" s="20"/>
      <c r="IA143" s="20"/>
      <c r="IB143" s="20"/>
      <c r="IC143" s="20"/>
      <c r="ID143" s="20"/>
      <c r="JI143" s="358" t="s">
        <v>160</v>
      </c>
      <c r="JJ143" s="358"/>
      <c r="JK143" s="358"/>
      <c r="JL143" s="358"/>
      <c r="JM143" s="358"/>
      <c r="JN143" s="358"/>
      <c r="JO143" s="358"/>
      <c r="JP143" s="27"/>
      <c r="JQ143" s="27"/>
      <c r="JS143" s="21" t="s">
        <v>521</v>
      </c>
      <c r="JT143" s="21">
        <v>0</v>
      </c>
      <c r="JU143" s="21">
        <v>0</v>
      </c>
      <c r="JV143" s="21">
        <v>0</v>
      </c>
      <c r="JW143" s="21">
        <v>4</v>
      </c>
      <c r="JX143" s="21">
        <v>4</v>
      </c>
      <c r="JY143" s="21">
        <v>12</v>
      </c>
      <c r="JZ143" s="21">
        <v>8</v>
      </c>
      <c r="KA143" s="21">
        <v>8</v>
      </c>
      <c r="KB143" s="21">
        <v>12</v>
      </c>
      <c r="KC143" s="21">
        <v>12</v>
      </c>
      <c r="KD143" s="21">
        <v>20</v>
      </c>
      <c r="KE143" s="21">
        <v>16</v>
      </c>
      <c r="KF143" s="21">
        <v>16</v>
      </c>
      <c r="KG143" s="21">
        <v>20</v>
      </c>
      <c r="KH143" s="21">
        <v>20</v>
      </c>
      <c r="KI143" s="21">
        <v>24</v>
      </c>
      <c r="KJ143" s="21">
        <v>24</v>
      </c>
      <c r="KK143" s="21">
        <v>24</v>
      </c>
      <c r="KL143" s="21">
        <v>28</v>
      </c>
      <c r="KM143" s="21">
        <v>28</v>
      </c>
      <c r="KN143" s="21">
        <v>32</v>
      </c>
      <c r="KO143" s="21">
        <v>32</v>
      </c>
      <c r="KP143" s="21">
        <v>32</v>
      </c>
      <c r="KQ143" s="21">
        <v>36</v>
      </c>
      <c r="KR143" s="21">
        <v>36</v>
      </c>
      <c r="KS143" s="21">
        <v>40</v>
      </c>
      <c r="LW143" s="26" t="s">
        <v>521</v>
      </c>
      <c r="LX143" s="20">
        <v>0</v>
      </c>
      <c r="LY143" s="20">
        <v>4</v>
      </c>
      <c r="LZ143" s="20">
        <v>4</v>
      </c>
      <c r="MA143" s="20">
        <v>4</v>
      </c>
      <c r="MB143" s="20">
        <v>8</v>
      </c>
      <c r="MC143" s="20">
        <v>12</v>
      </c>
      <c r="MD143" s="20">
        <v>12</v>
      </c>
      <c r="ME143" s="20">
        <v>16</v>
      </c>
      <c r="MF143" s="20">
        <v>20</v>
      </c>
      <c r="MG143" s="20">
        <v>20</v>
      </c>
      <c r="MH143" s="20">
        <v>24</v>
      </c>
      <c r="MI143" s="20">
        <v>28</v>
      </c>
      <c r="MJ143" s="20">
        <v>32</v>
      </c>
      <c r="MK143" s="20">
        <v>32</v>
      </c>
      <c r="ML143" s="20">
        <v>36</v>
      </c>
      <c r="MM143" s="20">
        <v>40</v>
      </c>
      <c r="MN143" s="20">
        <v>40</v>
      </c>
      <c r="MO143" s="20">
        <v>44</v>
      </c>
      <c r="MP143" s="20">
        <v>48</v>
      </c>
      <c r="MQ143" s="20">
        <v>48</v>
      </c>
      <c r="MR143" s="20">
        <v>52</v>
      </c>
      <c r="MS143" s="20">
        <v>56</v>
      </c>
      <c r="MT143" s="20">
        <v>56</v>
      </c>
      <c r="MU143" s="20">
        <v>60</v>
      </c>
      <c r="MV143" s="20">
        <v>64</v>
      </c>
      <c r="MW143" s="20">
        <v>64</v>
      </c>
    </row>
    <row r="144" spans="1:361" x14ac:dyDescent="0.25">
      <c r="A144" s="4"/>
      <c r="B144" s="6"/>
      <c r="C144" s="4"/>
      <c r="D144" s="4"/>
      <c r="E144" s="4"/>
      <c r="F144" s="4"/>
      <c r="G144" s="4"/>
      <c r="H144" s="4"/>
      <c r="I144" s="4"/>
      <c r="J144" s="4"/>
      <c r="K144" s="4"/>
      <c r="L144" s="4"/>
      <c r="M144" s="4"/>
      <c r="N144" s="4"/>
      <c r="O144" s="4"/>
      <c r="P144" s="4"/>
      <c r="Q144" s="4"/>
      <c r="R144" s="4"/>
      <c r="S144" s="4"/>
      <c r="T144" s="4"/>
      <c r="U144" s="4"/>
      <c r="V144" s="20"/>
      <c r="W144" s="20"/>
      <c r="X144" s="20"/>
      <c r="Y144" s="20"/>
      <c r="Z144" s="20"/>
      <c r="AA144" s="20"/>
      <c r="AB144" s="20"/>
      <c r="AC144" s="20"/>
      <c r="AD144" s="20"/>
      <c r="AE144" s="20"/>
      <c r="AF144" s="20"/>
      <c r="AG144" s="20"/>
      <c r="AH144" s="20"/>
      <c r="AI144" s="20"/>
      <c r="AJ144" s="20"/>
      <c r="AK144" s="20"/>
      <c r="AL144" s="20"/>
      <c r="AM144" s="20"/>
      <c r="AN144" s="20"/>
      <c r="AO144" s="20"/>
      <c r="AP144" s="20"/>
      <c r="AQ144" s="20"/>
      <c r="AR144" s="20"/>
      <c r="AS144" s="20"/>
      <c r="AT144" s="20"/>
      <c r="AU144" s="20"/>
      <c r="AV144" s="20"/>
      <c r="AW144" s="20"/>
      <c r="AX144" s="20"/>
      <c r="AY144" s="20"/>
      <c r="AZ144" s="20"/>
      <c r="DA144" s="54"/>
      <c r="DB144" s="54"/>
      <c r="DC144" s="54"/>
      <c r="DD144" s="20" t="s">
        <v>138</v>
      </c>
      <c r="DE144" s="20">
        <v>0</v>
      </c>
      <c r="DF144" s="20">
        <v>1</v>
      </c>
      <c r="DG144" s="20">
        <v>2</v>
      </c>
      <c r="DH144" s="20">
        <v>3</v>
      </c>
      <c r="DI144" s="20">
        <v>4</v>
      </c>
      <c r="DJ144" s="20">
        <v>5</v>
      </c>
      <c r="DK144" s="20">
        <v>6</v>
      </c>
      <c r="DL144" s="20">
        <v>7</v>
      </c>
      <c r="DM144" s="20">
        <v>8</v>
      </c>
      <c r="DN144" s="20">
        <v>9</v>
      </c>
      <c r="DO144" s="20">
        <v>10</v>
      </c>
      <c r="DP144" s="20">
        <v>11</v>
      </c>
      <c r="DQ144" s="20">
        <v>12</v>
      </c>
      <c r="DR144" s="20">
        <v>13</v>
      </c>
      <c r="DS144" s="20">
        <v>14</v>
      </c>
      <c r="DT144" s="20">
        <v>15</v>
      </c>
      <c r="DU144" s="20">
        <v>16</v>
      </c>
      <c r="DV144" s="20">
        <v>17</v>
      </c>
      <c r="DW144" s="20">
        <v>18</v>
      </c>
      <c r="DX144" s="20">
        <v>19</v>
      </c>
      <c r="DY144" s="20">
        <v>20</v>
      </c>
      <c r="DZ144" s="20"/>
      <c r="EA144" s="20"/>
      <c r="EB144" s="20"/>
      <c r="GC144" s="20"/>
      <c r="GD144" s="20"/>
      <c r="GE144" s="20"/>
      <c r="GF144" s="20"/>
      <c r="GG144" s="20"/>
      <c r="GH144" s="20"/>
      <c r="GI144" s="20"/>
      <c r="GJ144" s="20"/>
      <c r="GK144" s="20"/>
      <c r="GL144" s="20"/>
      <c r="GM144" s="20"/>
      <c r="GN144" s="20"/>
      <c r="GO144" s="20"/>
      <c r="GP144" s="20"/>
      <c r="GQ144" s="20"/>
      <c r="GR144" s="20"/>
      <c r="GS144" s="20"/>
      <c r="GT144" s="20"/>
      <c r="GU144" s="20"/>
      <c r="GV144" s="20"/>
      <c r="GW144" s="20"/>
      <c r="GX144" s="20"/>
      <c r="GY144" s="20"/>
      <c r="GZ144" s="20"/>
      <c r="HA144" s="20"/>
      <c r="HB144" s="20"/>
      <c r="HC144" s="20"/>
      <c r="HD144" s="20"/>
      <c r="HE144" s="20"/>
      <c r="HF144" s="20"/>
      <c r="HG144" s="20"/>
      <c r="HH144" s="20"/>
      <c r="HI144" s="20"/>
      <c r="HJ144" s="20"/>
      <c r="HK144" s="20"/>
      <c r="HL144" s="20"/>
      <c r="HM144" s="20"/>
      <c r="HN144" s="20"/>
      <c r="HO144" s="20"/>
      <c r="HP144" s="20"/>
      <c r="HQ144" s="20"/>
      <c r="HR144" s="20"/>
      <c r="HS144" s="20"/>
      <c r="HT144" s="20"/>
      <c r="HU144" s="20"/>
      <c r="HV144" s="20"/>
      <c r="HW144" s="20"/>
      <c r="HX144" s="20"/>
      <c r="HY144" s="20"/>
      <c r="HZ144" s="20"/>
      <c r="IA144" s="20"/>
      <c r="IB144" s="20"/>
      <c r="IC144" s="20"/>
      <c r="ID144" s="20"/>
      <c r="JI144" s="26" t="s">
        <v>161</v>
      </c>
      <c r="JJ144" s="27">
        <v>1.1499999999999999</v>
      </c>
      <c r="JK144" s="27">
        <v>2.1</v>
      </c>
      <c r="JL144" s="27">
        <v>2.2000000000000002</v>
      </c>
      <c r="JM144" s="27">
        <v>2.4</v>
      </c>
      <c r="JN144" s="27">
        <v>3.15</v>
      </c>
      <c r="JO144" s="27">
        <v>3.3</v>
      </c>
      <c r="JP144" s="27">
        <v>3.6</v>
      </c>
      <c r="JQ144" s="27">
        <v>4.4000000000000004</v>
      </c>
      <c r="JS144" s="21" t="s">
        <v>710</v>
      </c>
      <c r="JT144" s="21">
        <v>0</v>
      </c>
      <c r="JU144" s="21">
        <v>2</v>
      </c>
      <c r="JV144" s="21">
        <v>0</v>
      </c>
      <c r="JW144" s="21">
        <v>4</v>
      </c>
      <c r="JX144" s="21">
        <v>2</v>
      </c>
      <c r="JY144" s="21">
        <v>4</v>
      </c>
      <c r="JZ144" s="21">
        <v>2</v>
      </c>
      <c r="KA144" s="21">
        <v>0</v>
      </c>
      <c r="KB144" s="21">
        <v>4</v>
      </c>
      <c r="KC144" s="21">
        <v>2</v>
      </c>
      <c r="KD144" s="21">
        <v>4</v>
      </c>
      <c r="KE144" s="21">
        <v>2</v>
      </c>
      <c r="KF144" s="21">
        <v>0</v>
      </c>
      <c r="KG144" s="21">
        <v>4</v>
      </c>
      <c r="KH144" s="21">
        <v>2</v>
      </c>
      <c r="KI144" s="21">
        <v>4</v>
      </c>
      <c r="KJ144" s="21">
        <v>2</v>
      </c>
      <c r="KK144" s="21">
        <v>0</v>
      </c>
      <c r="KL144" s="21">
        <v>4</v>
      </c>
      <c r="KM144" s="21">
        <v>2</v>
      </c>
      <c r="KN144" s="21">
        <v>4</v>
      </c>
      <c r="KO144" s="21">
        <v>2</v>
      </c>
      <c r="KP144" s="21">
        <v>0</v>
      </c>
      <c r="KQ144" s="21">
        <v>4</v>
      </c>
      <c r="KR144" s="21">
        <v>2</v>
      </c>
      <c r="KS144" s="21">
        <v>4</v>
      </c>
      <c r="LW144" s="26" t="s">
        <v>710</v>
      </c>
      <c r="LX144" s="20">
        <v>0</v>
      </c>
      <c r="LY144" s="20">
        <v>0</v>
      </c>
      <c r="LZ144" s="20">
        <v>2</v>
      </c>
      <c r="MA144" s="20">
        <v>4</v>
      </c>
      <c r="MB144" s="20">
        <v>0</v>
      </c>
      <c r="MC144" s="20">
        <v>2</v>
      </c>
      <c r="MD144" s="20">
        <v>4</v>
      </c>
      <c r="ME144" s="20">
        <v>0</v>
      </c>
      <c r="MF144" s="20">
        <v>2</v>
      </c>
      <c r="MG144" s="20">
        <v>4</v>
      </c>
      <c r="MH144" s="20">
        <v>0</v>
      </c>
      <c r="MI144" s="20">
        <v>2</v>
      </c>
      <c r="MJ144" s="20">
        <v>4</v>
      </c>
      <c r="MK144" s="20">
        <v>0</v>
      </c>
      <c r="ML144" s="20">
        <v>2</v>
      </c>
      <c r="MM144" s="20">
        <v>4</v>
      </c>
      <c r="MN144" s="20">
        <v>0</v>
      </c>
      <c r="MO144" s="20">
        <v>2</v>
      </c>
      <c r="MP144" s="20">
        <v>4</v>
      </c>
      <c r="MQ144" s="20">
        <v>0</v>
      </c>
      <c r="MR144" s="20">
        <v>2</v>
      </c>
      <c r="MS144" s="20">
        <v>4</v>
      </c>
      <c r="MT144" s="20">
        <v>0</v>
      </c>
      <c r="MU144" s="20">
        <v>2</v>
      </c>
      <c r="MV144" s="20">
        <v>4</v>
      </c>
      <c r="MW144" s="20">
        <v>0</v>
      </c>
    </row>
    <row r="145" spans="1:361" x14ac:dyDescent="0.25">
      <c r="A145" s="4"/>
      <c r="B145" s="6"/>
      <c r="C145" s="4"/>
      <c r="D145" s="4"/>
      <c r="E145" s="4"/>
      <c r="F145" s="4"/>
      <c r="G145" s="4"/>
      <c r="H145" s="4"/>
      <c r="I145" s="4"/>
      <c r="J145" s="4"/>
      <c r="K145" s="4"/>
      <c r="L145" s="4"/>
      <c r="M145" s="4"/>
      <c r="N145" s="4"/>
      <c r="O145" s="4"/>
      <c r="P145" s="4"/>
      <c r="Q145" s="4"/>
      <c r="R145" s="4"/>
      <c r="S145" s="4"/>
      <c r="T145" s="4"/>
      <c r="U145" s="4"/>
      <c r="V145" s="20"/>
      <c r="W145" s="20"/>
      <c r="X145" s="20"/>
      <c r="Y145" s="20"/>
      <c r="Z145" s="20"/>
      <c r="AA145" s="20"/>
      <c r="AB145" s="20"/>
      <c r="AC145" s="20"/>
      <c r="AD145" s="20"/>
      <c r="AE145" s="20"/>
      <c r="AF145" s="20"/>
      <c r="AG145" s="20"/>
      <c r="AH145" s="20"/>
      <c r="AI145" s="20"/>
      <c r="AJ145" s="20"/>
      <c r="AK145" s="20"/>
      <c r="AL145" s="20"/>
      <c r="AM145" s="20"/>
      <c r="AN145" s="20"/>
      <c r="AO145" s="20"/>
      <c r="AP145" s="20"/>
      <c r="AQ145" s="20"/>
      <c r="AR145" s="20"/>
      <c r="AS145" s="20"/>
      <c r="AT145" s="20"/>
      <c r="AU145" s="20"/>
      <c r="AV145" s="20"/>
      <c r="AW145" s="20"/>
      <c r="AX145" s="20"/>
      <c r="AY145" s="20"/>
      <c r="AZ145" s="20"/>
      <c r="DA145" s="54"/>
      <c r="DB145" s="54"/>
      <c r="DC145" s="54"/>
      <c r="DD145" s="20" t="s">
        <v>127</v>
      </c>
      <c r="DE145" s="20">
        <v>0</v>
      </c>
      <c r="DF145" s="20">
        <v>2</v>
      </c>
      <c r="DG145" s="20">
        <v>4</v>
      </c>
      <c r="DH145" s="20">
        <v>0</v>
      </c>
      <c r="DI145" s="20">
        <v>2</v>
      </c>
      <c r="DJ145" s="20">
        <v>4</v>
      </c>
      <c r="DK145" s="20">
        <v>0</v>
      </c>
      <c r="DL145" s="20">
        <v>2</v>
      </c>
      <c r="DM145" s="20">
        <v>4</v>
      </c>
      <c r="DN145" s="20">
        <v>0</v>
      </c>
      <c r="DO145" s="20">
        <v>2</v>
      </c>
      <c r="DP145" s="20">
        <v>4</v>
      </c>
      <c r="DQ145" s="20">
        <v>0</v>
      </c>
      <c r="DR145" s="20">
        <v>2</v>
      </c>
      <c r="DS145" s="20">
        <v>4</v>
      </c>
      <c r="DT145" s="20">
        <v>2</v>
      </c>
      <c r="DU145" s="20">
        <v>4</v>
      </c>
      <c r="DV145" s="20">
        <v>0</v>
      </c>
      <c r="DW145" s="20">
        <v>2</v>
      </c>
      <c r="DX145" s="20">
        <v>4</v>
      </c>
      <c r="DY145" s="20">
        <v>0</v>
      </c>
      <c r="DZ145" s="20"/>
      <c r="EA145" s="20"/>
      <c r="EB145" s="20"/>
      <c r="GC145" s="20"/>
      <c r="GD145" s="20"/>
      <c r="GE145" s="20" t="s">
        <v>507</v>
      </c>
      <c r="GF145" s="20"/>
      <c r="GG145" s="20"/>
      <c r="GH145" s="20"/>
      <c r="GI145" s="20"/>
      <c r="GJ145" s="20"/>
      <c r="GK145" s="20"/>
      <c r="GL145" s="20"/>
      <c r="GM145" s="20"/>
      <c r="GN145" s="20"/>
      <c r="GO145" s="20"/>
      <c r="GP145" s="20"/>
      <c r="GQ145" s="20"/>
      <c r="GR145" s="20"/>
      <c r="GS145" s="20"/>
      <c r="GT145" s="20"/>
      <c r="GU145" s="20"/>
      <c r="GV145" s="20"/>
      <c r="GW145" s="20"/>
      <c r="GX145" s="20"/>
      <c r="GY145" s="20"/>
      <c r="GZ145" s="20"/>
      <c r="HA145" s="20"/>
      <c r="HB145" s="20"/>
      <c r="HC145" s="20"/>
      <c r="HD145" s="20"/>
      <c r="HE145" s="20"/>
      <c r="HF145" s="20"/>
      <c r="HG145" s="20"/>
      <c r="HH145" s="20"/>
      <c r="HI145" s="20"/>
      <c r="HJ145" s="20"/>
      <c r="HK145" s="20"/>
      <c r="HL145" s="20"/>
      <c r="HM145" s="20"/>
      <c r="HN145" s="20"/>
      <c r="HO145" s="20"/>
      <c r="HP145" s="20"/>
      <c r="HQ145" s="20"/>
      <c r="HR145" s="20"/>
      <c r="HS145" s="20"/>
      <c r="HT145" s="20"/>
      <c r="HU145" s="20"/>
      <c r="HV145" s="20"/>
      <c r="HW145" s="20"/>
      <c r="HX145" s="20"/>
      <c r="HY145" s="20"/>
      <c r="HZ145" s="20"/>
      <c r="IA145" s="20"/>
      <c r="IB145" s="20"/>
      <c r="IC145" s="20"/>
      <c r="ID145" s="20"/>
      <c r="JI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149,$JT$2:$KS$2,0),MATCH($W$125,$AH$22:$AH$47,0)))*C149</f>
        <v>0</v>
      </c>
      <c r="JJ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149,$JT$2:$KS$2,0),MATCH($W$125,$AH$22:$AH$47,0)))*C149</f>
        <v>0</v>
      </c>
      <c r="JK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149,$JT$2:$KS$2,0),MATCH($W$125,$AH$22:$AH$47,0)))*C149</f>
        <v>0</v>
      </c>
      <c r="JL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149,$JT$2:$KS$2,0),MATCH($W$125,$AH$22:$AH$47,0)))*C149</f>
        <v>0</v>
      </c>
      <c r="JM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149,$JT$2:$KS$2,0),MATCH($W$125,$AH$22:$AH$47,0)))*C149</f>
        <v>0</v>
      </c>
      <c r="JN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149,$JT$2:$KS$2,0),MATCH($W$125,$AH$22:$AH$47,0)))*C149</f>
        <v>0</v>
      </c>
      <c r="JO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149,$JT$2:$KS$2,0),MATCH($W$125,$AH$22:$AH$47,0)))*C149</f>
        <v>0</v>
      </c>
      <c r="JP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149,$JT$2:$KS$2,0),MATCH($W$125,$AH$22:$AH$47,0)))*C149</f>
        <v>0</v>
      </c>
      <c r="JQ14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149,$JT$2:$KS$2,0),MATCH($W$125,$AH$22:$AH$47,0)))*C149</f>
        <v>0</v>
      </c>
      <c r="JS145" s="21" t="s">
        <v>711</v>
      </c>
      <c r="JT145" s="21">
        <v>0</v>
      </c>
      <c r="JU145" s="21">
        <v>0</v>
      </c>
      <c r="JV145" s="21">
        <v>2</v>
      </c>
      <c r="JW145" s="21">
        <v>0</v>
      </c>
      <c r="JX145" s="21">
        <v>2</v>
      </c>
      <c r="JY145" s="21">
        <v>2</v>
      </c>
      <c r="JZ145" s="21">
        <v>4</v>
      </c>
      <c r="KA145" s="21">
        <v>6</v>
      </c>
      <c r="KB145" s="21">
        <v>4</v>
      </c>
      <c r="KC145" s="21">
        <v>6</v>
      </c>
      <c r="KD145" s="21">
        <v>6</v>
      </c>
      <c r="KE145" s="21">
        <v>8</v>
      </c>
      <c r="KF145" s="21">
        <v>10</v>
      </c>
      <c r="KG145" s="21">
        <v>8</v>
      </c>
      <c r="KH145" s="21">
        <v>10</v>
      </c>
      <c r="KI145" s="21">
        <v>10</v>
      </c>
      <c r="KJ145" s="21">
        <v>12</v>
      </c>
      <c r="KK145" s="21">
        <v>14</v>
      </c>
      <c r="KL145" s="21">
        <v>12</v>
      </c>
      <c r="KM145" s="21">
        <v>14</v>
      </c>
      <c r="KN145" s="21">
        <v>14</v>
      </c>
      <c r="KO145" s="21">
        <v>16</v>
      </c>
      <c r="KP145" s="21">
        <v>18</v>
      </c>
      <c r="KQ145" s="21">
        <v>16</v>
      </c>
      <c r="KR145" s="21">
        <v>18</v>
      </c>
      <c r="KS145" s="21">
        <v>18</v>
      </c>
      <c r="LW145" s="26" t="s">
        <v>711</v>
      </c>
      <c r="LX145" s="20">
        <v>0</v>
      </c>
      <c r="LY145" s="20">
        <v>2</v>
      </c>
      <c r="LZ145" s="20">
        <v>2</v>
      </c>
      <c r="MA145" s="20">
        <v>2</v>
      </c>
      <c r="MB145" s="20">
        <v>6</v>
      </c>
      <c r="MC145" s="20">
        <v>6</v>
      </c>
      <c r="MD145" s="20">
        <v>6</v>
      </c>
      <c r="ME145" s="20">
        <v>10</v>
      </c>
      <c r="MF145" s="20">
        <v>10</v>
      </c>
      <c r="MG145" s="20">
        <v>10</v>
      </c>
      <c r="MH145" s="20">
        <v>14</v>
      </c>
      <c r="MI145" s="20">
        <v>14</v>
      </c>
      <c r="MJ145" s="20">
        <v>14</v>
      </c>
      <c r="MK145" s="20">
        <v>18</v>
      </c>
      <c r="ML145" s="20">
        <v>18</v>
      </c>
      <c r="MM145" s="20">
        <v>18</v>
      </c>
      <c r="MN145" s="20">
        <v>22</v>
      </c>
      <c r="MO145" s="20">
        <v>22</v>
      </c>
      <c r="MP145" s="20">
        <v>22</v>
      </c>
      <c r="MQ145" s="20">
        <v>26</v>
      </c>
      <c r="MR145" s="20">
        <v>26</v>
      </c>
      <c r="MS145" s="20">
        <v>26</v>
      </c>
      <c r="MT145" s="20">
        <v>30</v>
      </c>
      <c r="MU145" s="20">
        <v>30</v>
      </c>
      <c r="MV145" s="20">
        <v>30</v>
      </c>
      <c r="MW145" s="20">
        <v>34</v>
      </c>
    </row>
    <row r="146" spans="1:361" x14ac:dyDescent="0.25">
      <c r="A146" s="4"/>
      <c r="B146" s="6"/>
      <c r="C146" s="4"/>
      <c r="D146" s="4"/>
      <c r="E146" s="4"/>
      <c r="F146" s="4"/>
      <c r="G146" s="4"/>
      <c r="H146" s="4"/>
      <c r="I146" s="4"/>
      <c r="J146" s="4"/>
      <c r="K146" s="4"/>
      <c r="L146" s="4"/>
      <c r="M146" s="4"/>
      <c r="N146" s="4"/>
      <c r="O146" s="4"/>
      <c r="P146" s="4"/>
      <c r="Q146" s="4"/>
      <c r="R146" s="4"/>
      <c r="S146" s="4"/>
      <c r="T146" s="4"/>
      <c r="U146" s="4"/>
      <c r="V146" s="20"/>
      <c r="W146" s="27" t="s">
        <v>160</v>
      </c>
      <c r="X146" s="20" t="s">
        <v>871</v>
      </c>
      <c r="Y146" s="20"/>
      <c r="Z146" s="20"/>
      <c r="AA146" s="20"/>
      <c r="AB146" s="20"/>
      <c r="AC146" s="20"/>
      <c r="AD146" s="20"/>
      <c r="AE146" s="20"/>
      <c r="AF146" s="20"/>
      <c r="AG146" s="20"/>
      <c r="AH146" s="20"/>
      <c r="AI146" s="20"/>
      <c r="AJ146" s="20"/>
      <c r="AK146" s="20"/>
      <c r="AL146" s="20"/>
      <c r="AM146" s="20"/>
      <c r="AN146" s="20"/>
      <c r="AO146" s="20"/>
      <c r="AP146" s="20"/>
      <c r="AQ146" s="20"/>
      <c r="AR146" s="20"/>
      <c r="AS146" s="20"/>
      <c r="AT146" s="20"/>
      <c r="AU146" s="20"/>
      <c r="AV146" s="20"/>
      <c r="AW146" s="20"/>
      <c r="AX146" s="20"/>
      <c r="AY146" s="20"/>
      <c r="AZ146" s="20"/>
      <c r="DA146" s="54"/>
      <c r="DB146" s="54"/>
      <c r="DC146" s="54"/>
      <c r="DD146" s="20" t="s">
        <v>19</v>
      </c>
      <c r="DE146" s="20">
        <v>0</v>
      </c>
      <c r="DF146" s="20">
        <v>0</v>
      </c>
      <c r="DG146" s="20">
        <v>0</v>
      </c>
      <c r="DH146" s="20">
        <v>4</v>
      </c>
      <c r="DI146" s="20">
        <v>4</v>
      </c>
      <c r="DJ146" s="20">
        <v>4</v>
      </c>
      <c r="DK146" s="20">
        <v>8</v>
      </c>
      <c r="DL146" s="20">
        <v>8</v>
      </c>
      <c r="DM146" s="20">
        <v>8</v>
      </c>
      <c r="DN146" s="20">
        <v>12</v>
      </c>
      <c r="DO146" s="20">
        <v>12</v>
      </c>
      <c r="DP146" s="20">
        <v>12</v>
      </c>
      <c r="DQ146" s="20">
        <v>16</v>
      </c>
      <c r="DR146" s="20">
        <v>16</v>
      </c>
      <c r="DS146" s="20">
        <v>16</v>
      </c>
      <c r="DT146" s="20">
        <v>18</v>
      </c>
      <c r="DU146" s="20">
        <v>18</v>
      </c>
      <c r="DV146" s="20">
        <v>22</v>
      </c>
      <c r="DW146" s="20">
        <v>22</v>
      </c>
      <c r="DX146" s="20">
        <v>22</v>
      </c>
      <c r="DY146" s="20">
        <v>26</v>
      </c>
      <c r="DZ146" s="20"/>
      <c r="EA146" s="20"/>
      <c r="EB146" s="20"/>
      <c r="GC146" s="20"/>
      <c r="GD146" s="20"/>
      <c r="GE146" s="20"/>
      <c r="GF146" s="20">
        <v>0</v>
      </c>
      <c r="GG146" s="20">
        <v>1</v>
      </c>
      <c r="GH146" s="20">
        <v>2</v>
      </c>
      <c r="GI146" s="20">
        <v>3</v>
      </c>
      <c r="GJ146" s="20">
        <v>4</v>
      </c>
      <c r="GK146" s="20">
        <v>5</v>
      </c>
      <c r="GL146" s="20">
        <v>6</v>
      </c>
      <c r="GM146" s="20">
        <v>7</v>
      </c>
      <c r="GN146" s="20">
        <v>8</v>
      </c>
      <c r="GO146" s="20">
        <v>9</v>
      </c>
      <c r="GP146" s="20">
        <v>10</v>
      </c>
      <c r="GQ146" s="20">
        <v>11</v>
      </c>
      <c r="GR146" s="20">
        <v>12</v>
      </c>
      <c r="GS146" s="20">
        <v>13</v>
      </c>
      <c r="GT146" s="20">
        <v>14</v>
      </c>
      <c r="GU146" s="20">
        <v>15</v>
      </c>
      <c r="GV146" s="20">
        <v>16</v>
      </c>
      <c r="GW146" s="20">
        <v>17</v>
      </c>
      <c r="GX146" s="20">
        <v>18</v>
      </c>
      <c r="GY146" s="20">
        <v>19</v>
      </c>
      <c r="GZ146" s="20">
        <v>20</v>
      </c>
      <c r="HA146" s="20">
        <v>21</v>
      </c>
      <c r="HB146" s="20">
        <v>22</v>
      </c>
      <c r="HC146" s="20">
        <v>23</v>
      </c>
      <c r="HD146" s="20">
        <v>24</v>
      </c>
      <c r="HE146" s="20">
        <v>25</v>
      </c>
      <c r="HF146" s="20">
        <v>26</v>
      </c>
      <c r="HG146" s="20">
        <v>27</v>
      </c>
      <c r="HH146" s="20">
        <v>28</v>
      </c>
      <c r="HI146" s="20">
        <v>29</v>
      </c>
      <c r="HJ146" s="20">
        <v>30</v>
      </c>
      <c r="HK146" s="20">
        <v>31</v>
      </c>
      <c r="HL146" s="20">
        <v>32</v>
      </c>
      <c r="HM146" s="20">
        <v>33</v>
      </c>
      <c r="HN146" s="20">
        <v>34</v>
      </c>
      <c r="HO146" s="20">
        <v>35</v>
      </c>
      <c r="HP146" s="20">
        <v>36</v>
      </c>
      <c r="HQ146" s="20">
        <v>37</v>
      </c>
      <c r="HR146" s="20">
        <v>38</v>
      </c>
      <c r="HS146" s="20">
        <v>39</v>
      </c>
      <c r="HT146" s="20">
        <v>40</v>
      </c>
      <c r="HU146" s="20">
        <v>41</v>
      </c>
      <c r="HV146" s="20">
        <v>42</v>
      </c>
      <c r="HW146" s="20">
        <v>43</v>
      </c>
      <c r="HX146" s="20">
        <v>44</v>
      </c>
      <c r="HY146" s="20">
        <v>45</v>
      </c>
      <c r="HZ146" s="20">
        <v>46</v>
      </c>
      <c r="IA146" s="20">
        <v>47</v>
      </c>
      <c r="IB146" s="20">
        <v>48</v>
      </c>
      <c r="IC146" s="20">
        <v>49</v>
      </c>
      <c r="ID146" s="20">
        <v>50</v>
      </c>
      <c r="JI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150,$JT$2:$KS$2,0),MATCH($W$125,$AH$22:$AH$47,0)))*C150</f>
        <v>0</v>
      </c>
      <c r="JJ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150,$JT$2:$KS$2,0),MATCH($W$125,$AH$22:$AH$47,0)))*C150</f>
        <v>0</v>
      </c>
      <c r="JK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150,$JT$2:$KS$2,0),MATCH($W$125,$AH$22:$AH$47,0)))*C150</f>
        <v>0</v>
      </c>
      <c r="JL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150,$JT$2:$KS$2,0),MATCH($W$125,$AH$22:$AH$47,0)))*C150</f>
        <v>0</v>
      </c>
      <c r="JM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150,$JT$2:$KS$2,0),MATCH($W$125,$AH$22:$AH$47,0)))*C150</f>
        <v>0</v>
      </c>
      <c r="JN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150,$JT$2:$KS$2,0),MATCH($W$125,$AH$22:$AH$47,0)))*C150</f>
        <v>0</v>
      </c>
      <c r="JO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150,$JT$2:$KS$2,0),MATCH($W$125,$AH$22:$AH$47,0)))*C150</f>
        <v>0</v>
      </c>
      <c r="JP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150,$JT$2:$KS$2,0),MATCH($W$125,$AH$22:$AH$47,0)))*C150</f>
        <v>0</v>
      </c>
      <c r="JQ14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150,$JT$2:$KS$2,0),MATCH($W$125,$AH$22:$AH$47,0)))*C150</f>
        <v>0</v>
      </c>
      <c r="JS146" s="21" t="s">
        <v>712</v>
      </c>
      <c r="JT146" s="21">
        <v>0</v>
      </c>
      <c r="JU146" s="21">
        <v>0</v>
      </c>
      <c r="JV146" s="21">
        <v>0</v>
      </c>
      <c r="JW146" s="21">
        <v>2</v>
      </c>
      <c r="JX146" s="21">
        <v>2</v>
      </c>
      <c r="JY146" s="21">
        <v>4</v>
      </c>
      <c r="JZ146" s="21">
        <v>4</v>
      </c>
      <c r="KA146" s="21">
        <v>4</v>
      </c>
      <c r="KB146" s="21">
        <v>6</v>
      </c>
      <c r="KC146" s="21">
        <v>6</v>
      </c>
      <c r="KD146" s="21">
        <v>8</v>
      </c>
      <c r="KE146" s="21">
        <v>8</v>
      </c>
      <c r="KF146" s="21">
        <v>8</v>
      </c>
      <c r="KG146" s="21">
        <v>10</v>
      </c>
      <c r="KH146" s="21">
        <v>10</v>
      </c>
      <c r="KI146" s="21">
        <v>12</v>
      </c>
      <c r="KJ146" s="21">
        <v>12</v>
      </c>
      <c r="KK146" s="21">
        <v>12</v>
      </c>
      <c r="KL146" s="21">
        <v>14</v>
      </c>
      <c r="KM146" s="21">
        <v>14</v>
      </c>
      <c r="KN146" s="21">
        <v>16</v>
      </c>
      <c r="KO146" s="21">
        <v>16</v>
      </c>
      <c r="KP146" s="21">
        <v>16</v>
      </c>
      <c r="KQ146" s="21">
        <v>18</v>
      </c>
      <c r="KR146" s="21">
        <v>18</v>
      </c>
      <c r="KS146" s="21">
        <v>20</v>
      </c>
      <c r="LW146" s="26" t="s">
        <v>712</v>
      </c>
      <c r="LX146" s="20">
        <v>0</v>
      </c>
      <c r="LY146" s="20">
        <v>0</v>
      </c>
      <c r="LZ146" s="20">
        <v>2</v>
      </c>
      <c r="MA146" s="20">
        <v>4</v>
      </c>
      <c r="MB146" s="20">
        <v>4</v>
      </c>
      <c r="MC146" s="20">
        <v>6</v>
      </c>
      <c r="MD146" s="20">
        <v>8</v>
      </c>
      <c r="ME146" s="20">
        <v>8</v>
      </c>
      <c r="MF146" s="20">
        <v>10</v>
      </c>
      <c r="MG146" s="20">
        <v>12</v>
      </c>
      <c r="MH146" s="20">
        <v>12</v>
      </c>
      <c r="MI146" s="20">
        <v>14</v>
      </c>
      <c r="MJ146" s="20">
        <v>16</v>
      </c>
      <c r="MK146" s="20">
        <v>16</v>
      </c>
      <c r="ML146" s="20">
        <v>18</v>
      </c>
      <c r="MM146" s="20">
        <v>20</v>
      </c>
      <c r="MN146" s="20">
        <v>20</v>
      </c>
      <c r="MO146" s="20">
        <v>22</v>
      </c>
      <c r="MP146" s="20">
        <v>24</v>
      </c>
      <c r="MQ146" s="20">
        <v>24</v>
      </c>
      <c r="MR146" s="20">
        <v>26</v>
      </c>
      <c r="MS146" s="20">
        <v>28</v>
      </c>
      <c r="MT146" s="20">
        <v>28</v>
      </c>
      <c r="MU146" s="20">
        <v>30</v>
      </c>
      <c r="MV146" s="20">
        <v>32</v>
      </c>
      <c r="MW146" s="20">
        <v>32</v>
      </c>
    </row>
    <row r="147" spans="1:361" x14ac:dyDescent="0.25">
      <c r="A147" s="4"/>
      <c r="B147" s="6"/>
      <c r="C147" s="4"/>
      <c r="D147" s="4"/>
      <c r="E147" s="4"/>
      <c r="F147" s="4"/>
      <c r="G147" s="4"/>
      <c r="H147" s="4"/>
      <c r="I147" s="4"/>
      <c r="J147" s="4"/>
      <c r="K147" s="4"/>
      <c r="L147" s="4"/>
      <c r="M147" s="4"/>
      <c r="N147" s="4"/>
      <c r="O147" s="4"/>
      <c r="P147" s="4"/>
      <c r="Q147" s="4"/>
      <c r="R147" s="4"/>
      <c r="S147" s="4"/>
      <c r="T147" s="4"/>
      <c r="U147" s="4"/>
      <c r="W147" s="25" t="str">
        <f>IF(E177="WERTYKALNY",G175,IF(E177="HORYZONTALNY",E175,0))</f>
        <v>1300-1350</v>
      </c>
      <c r="X147" s="25">
        <f t="shared" ref="X147:X162" si="121">(IF($E$177=$AB$1,(IF(A174=0,0,IF(A174&gt;0,IF((((INT(((A174*$W$151)+((A174-1)*20)+80)/$E$176)))*$E$176)+600&gt;=((A174*$W$151)+((A174-1)*20)+80),((INT(((A174*$W$151)+((A174-1)*20)+80)/$E$176))+1),((INT(((A174*$W$151)+((A174-1)*20)+80)/$E$176))+2))))),IF($E$177=$AB$2,(IF(A174=0,0,IF(A174&gt;0,IF((((INT(((A174*$W$152)+((A174-1)*20)+80)/$E$176)))*$E$176)+600&gt;=((A174*$W$152)+((A174-1)*20)+80),((INT(((A174*$W$152)+((A174-1)*20)+80)/$E$176))+1),((INT(((A174*$W$152)+((A174-1)*20)+80)/$E$176))+2))))))))</f>
        <v>0</v>
      </c>
      <c r="Y147" s="27" t="s">
        <v>161</v>
      </c>
      <c r="AB147" s="27">
        <v>2.2000000000000002</v>
      </c>
      <c r="AC147" s="27"/>
      <c r="AD147" s="27">
        <v>3.3</v>
      </c>
      <c r="AH147" s="20"/>
      <c r="AL147" s="20">
        <f t="shared" ref="AL147:AL162" si="122">X147*C174</f>
        <v>0</v>
      </c>
      <c r="DD147" s="20" t="s">
        <v>408</v>
      </c>
      <c r="DE147" s="20">
        <v>0</v>
      </c>
      <c r="DF147" s="20">
        <v>0</v>
      </c>
      <c r="DG147" s="20">
        <v>4</v>
      </c>
      <c r="DH147" s="20">
        <v>4</v>
      </c>
      <c r="DI147" s="20">
        <v>8</v>
      </c>
      <c r="DJ147" s="20">
        <v>12</v>
      </c>
      <c r="DK147" s="20">
        <v>12</v>
      </c>
      <c r="DL147" s="20">
        <v>16</v>
      </c>
      <c r="DM147" s="20">
        <v>20</v>
      </c>
      <c r="DN147" s="20">
        <v>20</v>
      </c>
      <c r="DO147" s="20">
        <v>24</v>
      </c>
      <c r="DP147" s="20">
        <v>28</v>
      </c>
      <c r="DQ147" s="20">
        <v>28</v>
      </c>
      <c r="DR147" s="20">
        <v>32</v>
      </c>
      <c r="DS147" s="20">
        <v>36</v>
      </c>
      <c r="DT147" s="20">
        <v>36</v>
      </c>
      <c r="DU147" s="20">
        <v>40</v>
      </c>
      <c r="DV147" s="20">
        <v>40</v>
      </c>
      <c r="DW147" s="20">
        <v>44</v>
      </c>
      <c r="DX147" s="20">
        <v>48</v>
      </c>
      <c r="DY147" s="20">
        <v>48</v>
      </c>
      <c r="GE147" s="20" t="s">
        <v>126</v>
      </c>
      <c r="GF147" s="20">
        <v>0</v>
      </c>
      <c r="GG147" s="20">
        <v>0</v>
      </c>
      <c r="GH147" s="20">
        <v>0</v>
      </c>
      <c r="GI147" s="20">
        <v>0</v>
      </c>
      <c r="GJ147" s="20">
        <v>0</v>
      </c>
      <c r="GK147" s="20">
        <v>0</v>
      </c>
      <c r="GL147" s="20">
        <v>0</v>
      </c>
      <c r="GM147" s="20">
        <v>0</v>
      </c>
      <c r="GN147" s="20">
        <v>0</v>
      </c>
      <c r="GO147" s="20">
        <v>0</v>
      </c>
      <c r="GP147" s="20">
        <v>0</v>
      </c>
      <c r="GQ147" s="20">
        <v>0</v>
      </c>
      <c r="GR147" s="20">
        <v>0</v>
      </c>
      <c r="GS147" s="20">
        <v>0</v>
      </c>
      <c r="GT147" s="20">
        <v>0</v>
      </c>
      <c r="GU147" s="20">
        <v>0</v>
      </c>
      <c r="GV147" s="20">
        <v>0</v>
      </c>
      <c r="GW147" s="20">
        <v>0</v>
      </c>
      <c r="GX147" s="20">
        <v>0</v>
      </c>
      <c r="GY147" s="20">
        <v>0</v>
      </c>
      <c r="GZ147" s="20">
        <v>0</v>
      </c>
      <c r="HA147" s="20">
        <v>0</v>
      </c>
      <c r="HB147" s="20">
        <v>0</v>
      </c>
      <c r="HC147" s="20">
        <v>0</v>
      </c>
      <c r="HD147" s="20">
        <v>0</v>
      </c>
      <c r="HE147" s="20">
        <v>0</v>
      </c>
      <c r="HF147" s="20">
        <v>0</v>
      </c>
      <c r="HG147" s="20">
        <v>0</v>
      </c>
      <c r="HH147" s="20">
        <v>0</v>
      </c>
      <c r="HI147" s="20">
        <v>0</v>
      </c>
      <c r="HJ147" s="20">
        <v>0</v>
      </c>
      <c r="HK147" s="20">
        <v>0</v>
      </c>
      <c r="HL147" s="20">
        <v>0</v>
      </c>
      <c r="HM147" s="20">
        <v>0</v>
      </c>
      <c r="HN147" s="20">
        <v>0</v>
      </c>
      <c r="HO147" s="20">
        <v>0</v>
      </c>
      <c r="HP147" s="20">
        <v>0</v>
      </c>
      <c r="HQ147" s="20">
        <v>2</v>
      </c>
      <c r="HR147" s="20">
        <v>0</v>
      </c>
      <c r="HS147" s="20">
        <v>0</v>
      </c>
      <c r="HT147" s="20">
        <v>0</v>
      </c>
      <c r="HU147" s="20">
        <v>0</v>
      </c>
      <c r="HV147" s="20">
        <v>0</v>
      </c>
      <c r="HW147" s="20">
        <v>0</v>
      </c>
      <c r="HX147" s="20">
        <v>0</v>
      </c>
      <c r="HY147" s="20">
        <v>0</v>
      </c>
      <c r="HZ147" s="20">
        <v>0</v>
      </c>
      <c r="IA147" s="20">
        <v>0</v>
      </c>
      <c r="IB147" s="20">
        <v>0</v>
      </c>
      <c r="IC147" s="20">
        <v>0</v>
      </c>
      <c r="ID147" s="20">
        <v>0</v>
      </c>
      <c r="JI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151,$JT$2:$KS$2,0),MATCH($W$125,$AH$22:$AH$47,0)))*C151</f>
        <v>0</v>
      </c>
      <c r="JJ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151,$JT$2:$KS$2,0),MATCH($W$125,$AH$22:$AH$47,0)))*C151</f>
        <v>0</v>
      </c>
      <c r="JK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151,$JT$2:$KS$2,0),MATCH($W$125,$AH$22:$AH$47,0)))*C151</f>
        <v>0</v>
      </c>
      <c r="JL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151,$JT$2:$KS$2,0),MATCH($W$125,$AH$22:$AH$47,0)))*C151</f>
        <v>0</v>
      </c>
      <c r="JM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151,$JT$2:$KS$2,0),MATCH($W$125,$AH$22:$AH$47,0)))*C151</f>
        <v>0</v>
      </c>
      <c r="JN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151,$JT$2:$KS$2,0),MATCH($W$125,$AH$22:$AH$47,0)))*C151</f>
        <v>0</v>
      </c>
      <c r="JO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151,$JT$2:$KS$2,0),MATCH($W$125,$AH$22:$AH$47,0)))*C151</f>
        <v>0</v>
      </c>
      <c r="JP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151,$JT$2:$KS$2,0),MATCH($W$125,$AH$22:$AH$47,0)))*C151</f>
        <v>0</v>
      </c>
      <c r="JQ14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151,$JT$2:$KS$2,0),MATCH($W$125,$AH$22:$AH$47,0)))*C151</f>
        <v>0</v>
      </c>
      <c r="LW147" s="20"/>
      <c r="LX147" s="20"/>
      <c r="LY147" s="20"/>
      <c r="LZ147" s="20"/>
      <c r="MA147" s="20"/>
      <c r="MB147" s="20"/>
      <c r="MC147" s="20"/>
      <c r="MD147" s="20"/>
      <c r="ME147" s="20"/>
      <c r="MF147" s="20"/>
      <c r="MG147" s="20"/>
      <c r="MH147" s="20"/>
      <c r="MI147" s="20"/>
      <c r="MJ147" s="20"/>
      <c r="MK147" s="20"/>
      <c r="ML147" s="20"/>
      <c r="MM147" s="20"/>
      <c r="MN147" s="20"/>
      <c r="MO147" s="20"/>
      <c r="MP147" s="20"/>
      <c r="MQ147" s="20"/>
      <c r="MR147" s="20"/>
      <c r="MS147" s="20"/>
      <c r="MT147" s="20"/>
      <c r="MU147" s="20"/>
      <c r="MV147" s="20"/>
      <c r="MW147" s="20"/>
    </row>
    <row r="148" spans="1:361" ht="51.75" x14ac:dyDescent="0.25">
      <c r="A148" s="3" t="s">
        <v>120</v>
      </c>
      <c r="B148" s="6"/>
      <c r="C148" s="3" t="s">
        <v>121</v>
      </c>
      <c r="D148" s="4"/>
      <c r="E148" s="4"/>
      <c r="F148" s="4"/>
      <c r="G148" s="4"/>
      <c r="H148" s="4"/>
      <c r="I148" s="4"/>
      <c r="J148" s="4"/>
      <c r="K148" s="4"/>
      <c r="L148" s="360" t="str">
        <f>IF(E152="wertykalny","KONSTRUKCJA DS-V6cN",IF(E152="horyzontalny","KONSTRUKCJA DS-H6cN"))</f>
        <v>KONSTRUKCJA DS-V6cN</v>
      </c>
      <c r="M148" s="360"/>
      <c r="N148" s="360"/>
      <c r="O148" s="360"/>
      <c r="P148" s="360"/>
      <c r="Q148" s="360"/>
      <c r="R148" s="360"/>
      <c r="S148" s="360"/>
      <c r="T148" s="360"/>
      <c r="U148" s="360"/>
      <c r="X148" s="25">
        <f t="shared" si="121"/>
        <v>0</v>
      </c>
      <c r="Y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174,$BB$2:$CA$2,0),MATCH($W$147,$AH$22:$AH$47,0)))*C174</f>
        <v>0</v>
      </c>
      <c r="Z148" s="21">
        <f>(IF($E$177=$AB$1,(IF(A174=0,0,IF(A174&gt;0,IF((((INT(((A174*$W$151)+((A174-1)*20)+80)/$E$176)))*$E$176)+600&gt;=((A174*$W$151)+((A174-1)*20)+80),((INT(((A174*$W$151)+((A174-1)*20)+80)/$E$176))+1),((INT(((A174*$W$151)+((A174-1)*20)+80)/$E$176))+2)))))))</f>
        <v>0</v>
      </c>
      <c r="AB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174,$BB$2:$CA$2,0),MATCH($W$147,$AH$22:$AH$47,0)))*C174</f>
        <v>0</v>
      </c>
      <c r="AC148" s="25"/>
      <c r="AD14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174,$BB$2:$CA$2,0),MATCH($W$147,$AH$22:$AH$47,0)))*C174</f>
        <v>0</v>
      </c>
      <c r="AH148" s="20"/>
      <c r="AL148" s="20">
        <f t="shared" si="122"/>
        <v>0</v>
      </c>
      <c r="DD148" s="20" t="s">
        <v>518</v>
      </c>
      <c r="DE148" s="20">
        <v>0</v>
      </c>
      <c r="DF148" s="20">
        <v>2</v>
      </c>
      <c r="DG148" s="20">
        <v>4</v>
      </c>
      <c r="DH148" s="20">
        <v>0</v>
      </c>
      <c r="DI148" s="20">
        <v>2</v>
      </c>
      <c r="DJ148" s="20">
        <v>4</v>
      </c>
      <c r="DK148" s="20">
        <v>0</v>
      </c>
      <c r="DL148" s="20">
        <v>2</v>
      </c>
      <c r="DM148" s="20">
        <v>4</v>
      </c>
      <c r="DN148" s="20">
        <v>0</v>
      </c>
      <c r="DO148" s="20">
        <v>2</v>
      </c>
      <c r="DP148" s="20">
        <v>4</v>
      </c>
      <c r="DQ148" s="20">
        <v>0</v>
      </c>
      <c r="DR148" s="20">
        <v>2</v>
      </c>
      <c r="DS148" s="20">
        <v>4</v>
      </c>
      <c r="DT148" s="20">
        <v>2</v>
      </c>
      <c r="DU148" s="20">
        <v>4</v>
      </c>
      <c r="DV148" s="20">
        <v>0</v>
      </c>
      <c r="DW148" s="20">
        <v>2</v>
      </c>
      <c r="DX148" s="20">
        <v>4</v>
      </c>
      <c r="DY148" s="20">
        <v>0</v>
      </c>
      <c r="GE148" s="20" t="s">
        <v>12</v>
      </c>
      <c r="GF148" s="20">
        <v>0</v>
      </c>
      <c r="GG148" s="20">
        <v>0</v>
      </c>
      <c r="GH148" s="20">
        <v>2</v>
      </c>
      <c r="GI148" s="20">
        <v>4</v>
      </c>
      <c r="GJ148" s="20">
        <v>0</v>
      </c>
      <c r="GK148" s="20">
        <v>2</v>
      </c>
      <c r="GL148" s="20">
        <v>4</v>
      </c>
      <c r="GM148" s="20">
        <v>0</v>
      </c>
      <c r="GN148" s="20">
        <v>0</v>
      </c>
      <c r="GO148" s="20">
        <v>0</v>
      </c>
      <c r="GP148" s="20">
        <v>0</v>
      </c>
      <c r="GQ148" s="20">
        <v>0</v>
      </c>
      <c r="GR148" s="20">
        <v>0</v>
      </c>
      <c r="GS148" s="20">
        <v>2</v>
      </c>
      <c r="GT148" s="20">
        <v>0</v>
      </c>
      <c r="GU148" s="20">
        <v>0</v>
      </c>
      <c r="GV148" s="20">
        <v>2</v>
      </c>
      <c r="GW148" s="20">
        <v>0</v>
      </c>
      <c r="GX148" s="20">
        <v>0</v>
      </c>
      <c r="GY148" s="20">
        <v>0</v>
      </c>
      <c r="GZ148" s="20">
        <v>0</v>
      </c>
      <c r="HA148" s="20">
        <v>0</v>
      </c>
      <c r="HB148" s="20">
        <v>0</v>
      </c>
      <c r="HC148" s="20">
        <v>0</v>
      </c>
      <c r="HD148" s="20">
        <v>0</v>
      </c>
      <c r="HE148" s="20">
        <v>0</v>
      </c>
      <c r="HF148" s="20">
        <v>0</v>
      </c>
      <c r="HG148" s="20">
        <v>0</v>
      </c>
      <c r="HH148" s="20">
        <v>0</v>
      </c>
      <c r="HI148" s="20">
        <v>0</v>
      </c>
      <c r="HJ148" s="20">
        <v>0</v>
      </c>
      <c r="HK148" s="20">
        <v>0</v>
      </c>
      <c r="HL148" s="20">
        <v>0</v>
      </c>
      <c r="HM148" s="20">
        <v>0</v>
      </c>
      <c r="HN148" s="20">
        <v>0</v>
      </c>
      <c r="HO148" s="20">
        <v>0</v>
      </c>
      <c r="HP148" s="20">
        <v>0</v>
      </c>
      <c r="HQ148" s="20">
        <v>0</v>
      </c>
      <c r="HR148" s="20">
        <v>0</v>
      </c>
      <c r="HS148" s="20">
        <v>0</v>
      </c>
      <c r="HT148" s="20">
        <v>0</v>
      </c>
      <c r="HU148" s="20">
        <v>0</v>
      </c>
      <c r="HV148" s="20">
        <v>0</v>
      </c>
      <c r="HW148" s="20">
        <v>0</v>
      </c>
      <c r="HX148" s="20">
        <v>0</v>
      </c>
      <c r="HY148" s="20">
        <v>0</v>
      </c>
      <c r="HZ148" s="20">
        <v>0</v>
      </c>
      <c r="IA148" s="20">
        <v>0</v>
      </c>
      <c r="IB148" s="20">
        <v>0</v>
      </c>
      <c r="IC148" s="20">
        <v>0</v>
      </c>
      <c r="ID148" s="20">
        <v>0</v>
      </c>
      <c r="JI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152,$JT$2:$KS$2,0),MATCH($W$125,$AH$22:$AH$47,0)))*C152</f>
        <v>0</v>
      </c>
      <c r="JJ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152,$JT$2:$KS$2,0),MATCH($W$125,$AH$22:$AH$47,0)))*C152</f>
        <v>0</v>
      </c>
      <c r="JK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152,$JT$2:$KS$2,0),MATCH($W$125,$AH$22:$AH$47,0)))*C152</f>
        <v>0</v>
      </c>
      <c r="JL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152,$JT$2:$KS$2,0),MATCH($W$125,$AH$22:$AH$47,0)))*C152</f>
        <v>0</v>
      </c>
      <c r="JM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152,$JT$2:$KS$2,0),MATCH($W$125,$AH$22:$AH$47,0)))*C152</f>
        <v>0</v>
      </c>
      <c r="JN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152,$JT$2:$KS$2,0),MATCH($W$125,$AH$22:$AH$47,0)))*C152</f>
        <v>0</v>
      </c>
      <c r="JO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152,$JT$2:$KS$2,0),MATCH($W$125,$AH$22:$AH$47,0)))*C152</f>
        <v>0</v>
      </c>
      <c r="JP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152,$JT$2:$KS$2,0),MATCH($W$125,$AH$22:$AH$47,0)))*C152</f>
        <v>0</v>
      </c>
      <c r="JQ14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152,$JT$2:$KS$2,0),MATCH($W$125,$AH$22:$AH$47,0)))*C152</f>
        <v>0</v>
      </c>
      <c r="JS148" s="20" t="s">
        <v>762</v>
      </c>
      <c r="LW148" s="20" t="s">
        <v>508</v>
      </c>
      <c r="LX148" s="20"/>
      <c r="LY148" s="20"/>
      <c r="LZ148" s="20"/>
      <c r="MA148" s="20"/>
      <c r="MB148" s="20"/>
      <c r="MC148" s="20"/>
      <c r="MD148" s="20"/>
      <c r="ME148" s="20"/>
      <c r="MF148" s="20"/>
      <c r="MG148" s="20"/>
      <c r="MH148" s="20"/>
      <c r="MI148" s="20"/>
      <c r="MJ148" s="20"/>
      <c r="MK148" s="20"/>
      <c r="ML148" s="20"/>
      <c r="MM148" s="20"/>
      <c r="MN148" s="20"/>
      <c r="MO148" s="20"/>
      <c r="MP148" s="20"/>
      <c r="MQ148" s="20"/>
      <c r="MR148" s="20"/>
      <c r="MS148" s="20"/>
      <c r="MT148" s="20"/>
      <c r="MU148" s="20"/>
      <c r="MV148" s="20"/>
      <c r="MW148" s="20"/>
    </row>
    <row r="149" spans="1:361" x14ac:dyDescent="0.25">
      <c r="A149" s="8"/>
      <c r="B149" s="5" t="s">
        <v>116</v>
      </c>
      <c r="C149" s="8"/>
      <c r="D149" s="4"/>
      <c r="E149" s="4"/>
      <c r="F149" s="4"/>
      <c r="G149" s="4"/>
      <c r="H149" s="4"/>
      <c r="I149" s="4"/>
      <c r="J149" s="4"/>
      <c r="K149" s="4"/>
      <c r="L149" s="5" t="s">
        <v>103</v>
      </c>
      <c r="M149" s="5" t="s">
        <v>104</v>
      </c>
      <c r="N149" s="5" t="s">
        <v>107</v>
      </c>
      <c r="O149" s="5" t="s">
        <v>290</v>
      </c>
      <c r="P149" s="5" t="s">
        <v>446</v>
      </c>
      <c r="Q149" s="5" t="s">
        <v>448</v>
      </c>
      <c r="R149" s="5" t="s">
        <v>409</v>
      </c>
      <c r="S149" s="5" t="s">
        <v>447</v>
      </c>
      <c r="T149" s="5" t="s">
        <v>449</v>
      </c>
      <c r="U149" s="5" t="s">
        <v>106</v>
      </c>
      <c r="X149" s="25">
        <f t="shared" si="121"/>
        <v>0</v>
      </c>
      <c r="Y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175,$BB$2:$CA$2,0),MATCH($W$147,$AH$22:$AH$47,0)))*C175</f>
        <v>0</v>
      </c>
      <c r="Z149" s="21">
        <f>((((A174*$W$151)+((A174-1)*20)+80)/$E$176)-1)*$E$176</f>
        <v>-1140</v>
      </c>
      <c r="AB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175,$BB$2:$CA$2,0),MATCH($W$147,$AH$22:$AH$47,0)))*C175</f>
        <v>0</v>
      </c>
      <c r="AC149" s="25"/>
      <c r="AD14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175,$BB$2:$CA$2,0),MATCH($W$147,$AH$22:$AH$47,0)))*C175</f>
        <v>0</v>
      </c>
      <c r="AH149" s="20"/>
      <c r="AL149" s="20">
        <f t="shared" si="122"/>
        <v>0</v>
      </c>
      <c r="DD149" s="20" t="s">
        <v>520</v>
      </c>
      <c r="DE149" s="20">
        <v>0</v>
      </c>
      <c r="DF149" s="20">
        <v>0</v>
      </c>
      <c r="DG149" s="20">
        <v>0</v>
      </c>
      <c r="DH149" s="20">
        <v>4</v>
      </c>
      <c r="DI149" s="20">
        <v>4</v>
      </c>
      <c r="DJ149" s="20">
        <v>4</v>
      </c>
      <c r="DK149" s="20">
        <v>8</v>
      </c>
      <c r="DL149" s="20">
        <v>8</v>
      </c>
      <c r="DM149" s="20">
        <v>8</v>
      </c>
      <c r="DN149" s="20">
        <v>12</v>
      </c>
      <c r="DO149" s="20">
        <v>12</v>
      </c>
      <c r="DP149" s="20">
        <v>12</v>
      </c>
      <c r="DQ149" s="20">
        <v>16</v>
      </c>
      <c r="DR149" s="20">
        <v>16</v>
      </c>
      <c r="DS149" s="20">
        <v>16</v>
      </c>
      <c r="DT149" s="20">
        <v>18</v>
      </c>
      <c r="DU149" s="20">
        <v>18</v>
      </c>
      <c r="DV149" s="20">
        <v>22</v>
      </c>
      <c r="DW149" s="20">
        <v>22</v>
      </c>
      <c r="DX149" s="20">
        <v>22</v>
      </c>
      <c r="DY149" s="20">
        <v>26</v>
      </c>
      <c r="GE149" s="20" t="s">
        <v>127</v>
      </c>
      <c r="GF149" s="20">
        <v>0</v>
      </c>
      <c r="GG149" s="20">
        <v>0</v>
      </c>
      <c r="GH149" s="20">
        <v>0</v>
      </c>
      <c r="GI149" s="20">
        <v>0</v>
      </c>
      <c r="GJ149" s="20">
        <v>0</v>
      </c>
      <c r="GK149" s="20">
        <v>0</v>
      </c>
      <c r="GL149" s="20">
        <v>0</v>
      </c>
      <c r="GM149" s="20">
        <v>0</v>
      </c>
      <c r="GN149" s="20">
        <v>2</v>
      </c>
      <c r="GO149" s="20">
        <v>2</v>
      </c>
      <c r="GP149" s="20">
        <v>4</v>
      </c>
      <c r="GQ149" s="20">
        <v>0</v>
      </c>
      <c r="GR149" s="20">
        <v>2</v>
      </c>
      <c r="GS149" s="20">
        <v>0</v>
      </c>
      <c r="GT149" s="20">
        <v>0</v>
      </c>
      <c r="GU149" s="20">
        <v>2</v>
      </c>
      <c r="GV149" s="20">
        <v>0</v>
      </c>
      <c r="GW149" s="20">
        <v>0</v>
      </c>
      <c r="GX149" s="20">
        <v>0</v>
      </c>
      <c r="GY149" s="20">
        <v>0</v>
      </c>
      <c r="GZ149" s="20">
        <v>2</v>
      </c>
      <c r="HA149" s="20">
        <v>0</v>
      </c>
      <c r="HB149" s="20">
        <v>2</v>
      </c>
      <c r="HC149" s="20">
        <v>2</v>
      </c>
      <c r="HD149" s="20">
        <v>0</v>
      </c>
      <c r="HE149" s="20">
        <v>0</v>
      </c>
      <c r="HF149" s="20">
        <v>0</v>
      </c>
      <c r="HG149" s="20">
        <v>0</v>
      </c>
      <c r="HH149" s="20">
        <v>0</v>
      </c>
      <c r="HI149" s="20">
        <v>0</v>
      </c>
      <c r="HJ149" s="20">
        <v>0</v>
      </c>
      <c r="HK149" s="20">
        <v>0</v>
      </c>
      <c r="HL149" s="20">
        <v>0</v>
      </c>
      <c r="HM149" s="20">
        <v>2</v>
      </c>
      <c r="HN149" s="20">
        <v>0</v>
      </c>
      <c r="HO149" s="20">
        <v>0</v>
      </c>
      <c r="HP149" s="20">
        <v>2</v>
      </c>
      <c r="HQ149" s="20">
        <v>0</v>
      </c>
      <c r="HR149" s="20">
        <v>0</v>
      </c>
      <c r="HS149" s="20">
        <v>0</v>
      </c>
      <c r="HT149" s="20">
        <v>0</v>
      </c>
      <c r="HU149" s="20">
        <v>0</v>
      </c>
      <c r="HV149" s="20">
        <v>0</v>
      </c>
      <c r="HW149" s="20">
        <v>0</v>
      </c>
      <c r="HX149" s="20">
        <v>0</v>
      </c>
      <c r="HY149" s="20">
        <v>0</v>
      </c>
      <c r="HZ149" s="20">
        <v>0</v>
      </c>
      <c r="IA149" s="20">
        <v>4</v>
      </c>
      <c r="IB149" s="20">
        <v>0</v>
      </c>
      <c r="IC149" s="20">
        <v>0</v>
      </c>
      <c r="ID149" s="20">
        <v>0</v>
      </c>
      <c r="JI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153,$JT$2:$KS$2,0),MATCH($W$125,$AH$22:$AH$47,0)))*C153</f>
        <v>0</v>
      </c>
      <c r="JJ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153,$JT$2:$KS$2,0),MATCH($W$125,$AH$22:$AH$47,0)))*C153</f>
        <v>0</v>
      </c>
      <c r="JK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153,$JT$2:$KS$2,0),MATCH($W$125,$AH$22:$AH$47,0)))*C153</f>
        <v>0</v>
      </c>
      <c r="JL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153,$JT$2:$KS$2,0),MATCH($W$125,$AH$22:$AH$47,0)))*C153</f>
        <v>0</v>
      </c>
      <c r="JM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153,$JT$2:$KS$2,0),MATCH($W$125,$AH$22:$AH$47,0)))*C153</f>
        <v>0</v>
      </c>
      <c r="JN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153,$JT$2:$KS$2,0),MATCH($W$125,$AH$22:$AH$47,0)))*C153</f>
        <v>0</v>
      </c>
      <c r="JO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153,$JT$2:$KS$2,0),MATCH($W$125,$AH$22:$AH$47,0)))*C153</f>
        <v>0</v>
      </c>
      <c r="JP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153,$JT$2:$KS$2,0),MATCH($W$125,$AH$22:$AH$47,0)))*C153</f>
        <v>0</v>
      </c>
      <c r="JQ14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153,$JT$2:$KS$2,0),MATCH($W$125,$AH$22:$AH$47,0)))*C153</f>
        <v>0</v>
      </c>
      <c r="JT149" s="21">
        <v>0</v>
      </c>
      <c r="JU149" s="21">
        <v>1</v>
      </c>
      <c r="JV149" s="21">
        <v>2</v>
      </c>
      <c r="JW149" s="21">
        <v>3</v>
      </c>
      <c r="JX149" s="21">
        <v>4</v>
      </c>
      <c r="JY149" s="21">
        <v>5</v>
      </c>
      <c r="JZ149" s="21">
        <v>6</v>
      </c>
      <c r="KA149" s="21">
        <v>7</v>
      </c>
      <c r="KB149" s="21">
        <v>8</v>
      </c>
      <c r="KC149" s="21">
        <v>9</v>
      </c>
      <c r="KD149" s="21">
        <v>10</v>
      </c>
      <c r="KE149" s="21">
        <v>11</v>
      </c>
      <c r="KF149" s="21">
        <v>12</v>
      </c>
      <c r="KG149" s="21">
        <v>13</v>
      </c>
      <c r="KH149" s="21">
        <v>14</v>
      </c>
      <c r="KI149" s="21">
        <v>15</v>
      </c>
      <c r="KJ149" s="21">
        <v>16</v>
      </c>
      <c r="KK149" s="21">
        <v>17</v>
      </c>
      <c r="KL149" s="21">
        <v>18</v>
      </c>
      <c r="KM149" s="21">
        <v>19</v>
      </c>
      <c r="KN149" s="21">
        <v>20</v>
      </c>
      <c r="KO149" s="21">
        <v>21</v>
      </c>
      <c r="KP149" s="21">
        <v>22</v>
      </c>
      <c r="KQ149" s="21">
        <v>23</v>
      </c>
      <c r="KR149" s="21">
        <v>24</v>
      </c>
      <c r="KS149" s="21">
        <v>25</v>
      </c>
      <c r="LW149" s="20"/>
      <c r="LX149" s="20">
        <v>0</v>
      </c>
      <c r="LY149" s="20">
        <v>1</v>
      </c>
      <c r="LZ149" s="20">
        <v>2</v>
      </c>
      <c r="MA149" s="20">
        <v>3</v>
      </c>
      <c r="MB149" s="20">
        <v>4</v>
      </c>
      <c r="MC149" s="20">
        <v>5</v>
      </c>
      <c r="MD149" s="20">
        <v>6</v>
      </c>
      <c r="ME149" s="20">
        <v>7</v>
      </c>
      <c r="MF149" s="20">
        <v>8</v>
      </c>
      <c r="MG149" s="20">
        <v>9</v>
      </c>
      <c r="MH149" s="20">
        <v>10</v>
      </c>
      <c r="MI149" s="20">
        <v>11</v>
      </c>
      <c r="MJ149" s="20">
        <v>12</v>
      </c>
      <c r="MK149" s="20">
        <v>13</v>
      </c>
      <c r="ML149" s="20">
        <v>14</v>
      </c>
      <c r="MM149" s="20">
        <v>15</v>
      </c>
      <c r="MN149" s="20">
        <v>16</v>
      </c>
      <c r="MO149" s="20">
        <v>17</v>
      </c>
      <c r="MP149" s="20">
        <v>18</v>
      </c>
      <c r="MQ149" s="20">
        <v>19</v>
      </c>
      <c r="MR149" s="20">
        <v>20</v>
      </c>
      <c r="MS149" s="20">
        <v>21</v>
      </c>
      <c r="MT149" s="20">
        <v>22</v>
      </c>
      <c r="MU149" s="20">
        <v>23</v>
      </c>
      <c r="MV149" s="20">
        <v>24</v>
      </c>
      <c r="MW149" s="20">
        <v>25</v>
      </c>
    </row>
    <row r="150" spans="1:361" x14ac:dyDescent="0.25">
      <c r="A150" s="8"/>
      <c r="B150" s="5" t="s">
        <v>116</v>
      </c>
      <c r="C150" s="8"/>
      <c r="D150" s="6" t="s">
        <v>118</v>
      </c>
      <c r="E150" s="8" t="s">
        <v>833</v>
      </c>
      <c r="F150" s="5" t="s">
        <v>116</v>
      </c>
      <c r="G150" s="8" t="s">
        <v>115</v>
      </c>
      <c r="H150" s="5" t="s">
        <v>116</v>
      </c>
      <c r="I150" s="8">
        <v>35</v>
      </c>
      <c r="J150" s="5" t="s">
        <v>119</v>
      </c>
      <c r="K150" s="4"/>
      <c r="L150" s="6" t="str">
        <f>IF($E$156=$AK$22,"PAL40H40/1,15",IF($E$156=$AK$23,"PAL30H32/1,15","-------"))</f>
        <v>PAL40H40/1,15</v>
      </c>
      <c r="M150" s="14">
        <f>INDEX(cennik!$C$2:$L$529,MATCH($L150,cennik!$B$2:$B$522,0),MATCH(M$27,cennik!$C$1:$L$1,0))</f>
        <v>894510</v>
      </c>
      <c r="N150" s="14" t="str">
        <f>INDEX(cennik!$C$2:$L$529,MATCH($L150,cennik!$B$2:$B$522,0),MATCH(N$27,cennik!$C$1:$L$1,0))</f>
        <v>szt.</v>
      </c>
      <c r="O150" s="14">
        <f>IF(L150="-------",0,SUM(JJ145:JJ160))</f>
        <v>0</v>
      </c>
      <c r="P150" s="22">
        <f>INDEX(cennik!$C$2:$L$529,MATCH($L150,cennik!$B$2:$B$522,0),MATCH(P$27,cennik!$C$1:$L$1,0))</f>
        <v>36.799999999999997</v>
      </c>
      <c r="Q150" s="22">
        <f>O150*P150</f>
        <v>0</v>
      </c>
      <c r="R150" s="23">
        <f t="shared" ref="R150:R155" si="123">$E$155</f>
        <v>0</v>
      </c>
      <c r="S150" s="22">
        <f>P150*((100-$E$155)/100)</f>
        <v>36.799999999999997</v>
      </c>
      <c r="T150" s="22">
        <f>O150*S150</f>
        <v>0</v>
      </c>
      <c r="U150" s="22">
        <f>INDEX(cennik!$C$2:$L$529,MATCH($L150,cennik!$B$2:$B$522,0),MATCH(U$27,cennik!$C$1:$L$1,0))*O150</f>
        <v>0</v>
      </c>
      <c r="X150" s="25">
        <f t="shared" si="121"/>
        <v>0</v>
      </c>
      <c r="Y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176,$BB$2:$CA$2,0),MATCH($W$147,$AH$22:$AH$47,0)))*C176</f>
        <v>0</v>
      </c>
      <c r="AB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176,$BB$2:$CA$2,0),MATCH($W$147,$AH$22:$AH$47,0)))*C176</f>
        <v>0</v>
      </c>
      <c r="AC150" s="25"/>
      <c r="AD15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176,$BB$2:$CA$2,0),MATCH($W$147,$AH$22:$AH$47,0)))*C176</f>
        <v>0</v>
      </c>
      <c r="AH150" s="20"/>
      <c r="AL150" s="20">
        <f t="shared" si="122"/>
        <v>0</v>
      </c>
      <c r="DD150" s="20" t="s">
        <v>521</v>
      </c>
      <c r="DE150" s="20">
        <v>0</v>
      </c>
      <c r="DF150" s="20">
        <v>0</v>
      </c>
      <c r="DG150" s="20">
        <v>4</v>
      </c>
      <c r="DH150" s="20">
        <v>4</v>
      </c>
      <c r="DI150" s="20">
        <v>8</v>
      </c>
      <c r="DJ150" s="20">
        <v>12</v>
      </c>
      <c r="DK150" s="20">
        <v>12</v>
      </c>
      <c r="DL150" s="20">
        <v>16</v>
      </c>
      <c r="DM150" s="20">
        <v>20</v>
      </c>
      <c r="DN150" s="20">
        <v>20</v>
      </c>
      <c r="DO150" s="20">
        <v>24</v>
      </c>
      <c r="DP150" s="20">
        <v>28</v>
      </c>
      <c r="DQ150" s="20">
        <v>28</v>
      </c>
      <c r="DR150" s="20">
        <v>32</v>
      </c>
      <c r="DS150" s="20">
        <v>36</v>
      </c>
      <c r="DT150" s="20">
        <v>36</v>
      </c>
      <c r="DU150" s="20">
        <v>40</v>
      </c>
      <c r="DV150" s="20">
        <v>40</v>
      </c>
      <c r="DW150" s="20">
        <v>44</v>
      </c>
      <c r="DX150" s="20">
        <v>48</v>
      </c>
      <c r="DY150" s="20">
        <v>48</v>
      </c>
      <c r="GE150" s="20" t="s">
        <v>15</v>
      </c>
      <c r="GF150" s="20">
        <v>0</v>
      </c>
      <c r="GG150" s="20">
        <v>2</v>
      </c>
      <c r="GH150" s="20">
        <v>2</v>
      </c>
      <c r="GI150" s="20">
        <v>2</v>
      </c>
      <c r="GJ150" s="20">
        <v>6</v>
      </c>
      <c r="GK150" s="20">
        <v>4</v>
      </c>
      <c r="GL150" s="20">
        <v>0</v>
      </c>
      <c r="GM150" s="20">
        <v>2</v>
      </c>
      <c r="GN150" s="20">
        <v>0</v>
      </c>
      <c r="GO150" s="20">
        <v>12</v>
      </c>
      <c r="GP150" s="20">
        <v>10</v>
      </c>
      <c r="GQ150" s="20">
        <v>8</v>
      </c>
      <c r="GR150" s="20">
        <v>6</v>
      </c>
      <c r="GS150" s="20">
        <v>18</v>
      </c>
      <c r="GT150" s="20">
        <v>2</v>
      </c>
      <c r="GU150" s="20">
        <v>0</v>
      </c>
      <c r="GV150" s="20">
        <v>12</v>
      </c>
      <c r="GW150" s="20">
        <v>0</v>
      </c>
      <c r="GX150" s="20">
        <v>10</v>
      </c>
      <c r="GY150" s="20">
        <v>22</v>
      </c>
      <c r="GZ150" s="20">
        <v>20</v>
      </c>
      <c r="HA150" s="20">
        <v>4</v>
      </c>
      <c r="HB150" s="20">
        <v>8</v>
      </c>
      <c r="HC150" s="20">
        <v>14</v>
      </c>
      <c r="HD150" s="20">
        <v>0</v>
      </c>
      <c r="HE150" s="20">
        <v>10</v>
      </c>
      <c r="HF150" s="20">
        <v>24</v>
      </c>
      <c r="HG150" s="20">
        <v>0</v>
      </c>
      <c r="HH150" s="20">
        <v>6</v>
      </c>
      <c r="HI150" s="20">
        <v>18</v>
      </c>
      <c r="HJ150" s="20">
        <v>30</v>
      </c>
      <c r="HK150" s="20">
        <v>0</v>
      </c>
      <c r="HL150" s="20">
        <v>12</v>
      </c>
      <c r="HM150" s="20">
        <v>10</v>
      </c>
      <c r="HN150" s="20">
        <v>0</v>
      </c>
      <c r="HO150" s="20">
        <v>6</v>
      </c>
      <c r="HP150" s="20">
        <v>4</v>
      </c>
      <c r="HQ150" s="20">
        <v>14</v>
      </c>
      <c r="HR150" s="20">
        <v>0</v>
      </c>
      <c r="HS150" s="20">
        <v>14</v>
      </c>
      <c r="HT150" s="20">
        <v>26</v>
      </c>
      <c r="HU150" s="20">
        <v>0</v>
      </c>
      <c r="HV150" s="20">
        <v>8</v>
      </c>
      <c r="HW150" s="20">
        <v>20</v>
      </c>
      <c r="HX150" s="20">
        <v>0</v>
      </c>
      <c r="HY150" s="20">
        <v>2</v>
      </c>
      <c r="HZ150" s="20">
        <v>14</v>
      </c>
      <c r="IA150" s="20">
        <v>12</v>
      </c>
      <c r="IB150" s="20">
        <v>0</v>
      </c>
      <c r="IC150" s="20">
        <v>10</v>
      </c>
      <c r="ID150" s="20">
        <v>22</v>
      </c>
      <c r="JI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154,$JT$2:$KS$2,0),MATCH($W$125,$AH$22:$AH$47,0)))*C154</f>
        <v>0</v>
      </c>
      <c r="JJ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154,$JT$2:$KS$2,0),MATCH($W$125,$AH$22:$AH$47,0)))*C154</f>
        <v>0</v>
      </c>
      <c r="JK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154,$JT$2:$KS$2,0),MATCH($W$125,$AH$22:$AH$47,0)))*C154</f>
        <v>0</v>
      </c>
      <c r="JL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154,$JT$2:$KS$2,0),MATCH($W$125,$AH$22:$AH$47,0)))*C154</f>
        <v>0</v>
      </c>
      <c r="JM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154,$JT$2:$KS$2,0),MATCH($W$125,$AH$22:$AH$47,0)))*C154</f>
        <v>0</v>
      </c>
      <c r="JN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154,$JT$2:$KS$2,0),MATCH($W$125,$AH$22:$AH$47,0)))*C154</f>
        <v>0</v>
      </c>
      <c r="JO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154,$JT$2:$KS$2,0),MATCH($W$125,$AH$22:$AH$47,0)))*C154</f>
        <v>0</v>
      </c>
      <c r="JP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154,$JT$2:$KS$2,0),MATCH($W$125,$AH$22:$AH$47,0)))*C154</f>
        <v>0</v>
      </c>
      <c r="JQ15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154,$JT$2:$KS$2,0),MATCH($W$125,$AH$22:$AH$47,0)))*C154</f>
        <v>0</v>
      </c>
      <c r="JS150" s="21" t="s">
        <v>126</v>
      </c>
      <c r="JT150" s="20">
        <v>0</v>
      </c>
      <c r="JU150" s="20">
        <v>0</v>
      </c>
      <c r="JV150" s="20">
        <v>0</v>
      </c>
      <c r="JW150" s="20">
        <v>0</v>
      </c>
      <c r="JX150" s="20">
        <v>0</v>
      </c>
      <c r="JY150" s="20">
        <v>0</v>
      </c>
      <c r="JZ150" s="20">
        <v>0</v>
      </c>
      <c r="KA150" s="20">
        <v>0</v>
      </c>
      <c r="KB150" s="20">
        <v>0</v>
      </c>
      <c r="KC150" s="20">
        <v>0</v>
      </c>
      <c r="KD150" s="20">
        <v>0</v>
      </c>
      <c r="KE150" s="20">
        <v>0</v>
      </c>
      <c r="KF150" s="20">
        <v>0</v>
      </c>
      <c r="KG150" s="20">
        <v>0</v>
      </c>
      <c r="KH150" s="20">
        <v>0</v>
      </c>
      <c r="KI150" s="20">
        <v>0</v>
      </c>
      <c r="KJ150" s="20">
        <v>0</v>
      </c>
      <c r="KK150" s="20">
        <v>0</v>
      </c>
      <c r="KL150" s="20">
        <v>0</v>
      </c>
      <c r="KM150" s="20">
        <v>0</v>
      </c>
      <c r="KN150" s="20">
        <v>0</v>
      </c>
      <c r="KO150" s="20">
        <v>0</v>
      </c>
      <c r="KP150" s="20">
        <v>0</v>
      </c>
      <c r="KQ150" s="20">
        <v>0</v>
      </c>
      <c r="KR150" s="20">
        <v>0</v>
      </c>
      <c r="KS150" s="20">
        <v>0</v>
      </c>
      <c r="LW150" s="20" t="s">
        <v>126</v>
      </c>
      <c r="LX150" s="20">
        <v>0</v>
      </c>
      <c r="LY150" s="20">
        <v>0</v>
      </c>
      <c r="LZ150" s="20">
        <v>0</v>
      </c>
      <c r="MA150" s="20">
        <v>0</v>
      </c>
      <c r="MB150" s="20">
        <v>0</v>
      </c>
      <c r="MC150" s="20">
        <v>0</v>
      </c>
      <c r="MD150" s="20">
        <v>0</v>
      </c>
      <c r="ME150" s="20">
        <v>0</v>
      </c>
      <c r="MF150" s="20">
        <v>0</v>
      </c>
      <c r="MG150" s="20">
        <v>0</v>
      </c>
      <c r="MH150" s="20">
        <v>0</v>
      </c>
      <c r="MI150" s="20">
        <v>0</v>
      </c>
      <c r="MJ150" s="20">
        <v>0</v>
      </c>
      <c r="MK150" s="20">
        <v>0</v>
      </c>
      <c r="ML150" s="20">
        <v>0</v>
      </c>
      <c r="MM150" s="20">
        <v>0</v>
      </c>
      <c r="MN150" s="20">
        <v>0</v>
      </c>
      <c r="MO150" s="20">
        <v>0</v>
      </c>
      <c r="MP150" s="20">
        <v>0</v>
      </c>
      <c r="MQ150" s="20">
        <v>0</v>
      </c>
      <c r="MR150" s="20">
        <v>0</v>
      </c>
      <c r="MS150" s="20">
        <v>0</v>
      </c>
      <c r="MT150" s="20">
        <v>0</v>
      </c>
      <c r="MU150" s="20">
        <v>0</v>
      </c>
      <c r="MV150" s="20">
        <v>0</v>
      </c>
      <c r="MW150" s="20">
        <v>0</v>
      </c>
    </row>
    <row r="151" spans="1:361" x14ac:dyDescent="0.25">
      <c r="A151" s="8"/>
      <c r="B151" s="5" t="s">
        <v>116</v>
      </c>
      <c r="C151" s="8"/>
      <c r="D151" s="6" t="s">
        <v>117</v>
      </c>
      <c r="E151" s="8">
        <v>1000</v>
      </c>
      <c r="F151" s="5"/>
      <c r="G151" s="5"/>
      <c r="H151" s="5"/>
      <c r="I151" s="5"/>
      <c r="J151" s="5" t="s">
        <v>119</v>
      </c>
      <c r="K151" s="4"/>
      <c r="L151" s="6" t="str">
        <f>IF($E$156=$AK$22,"PAL40H40/2,1",IF($E$156=$AK$23,"PAL30H32/2,1","-------"))</f>
        <v>PAL40H40/2,1</v>
      </c>
      <c r="M151" s="14">
        <f>INDEX(cennik!$C$2:$L$529,MATCH($L151,cennik!$B$2:$B$522,0),MATCH(M$27,cennik!$C$1:$L$1,0))</f>
        <v>894621</v>
      </c>
      <c r="N151" s="14" t="str">
        <f>INDEX(cennik!$C$2:$L$529,MATCH($L151,cennik!$B$2:$B$522,0),MATCH(N$27,cennik!$C$1:$L$1,0))</f>
        <v>szt.</v>
      </c>
      <c r="O151" s="14">
        <f>IF(L151="-------",0,SUM(JK145:JK160))</f>
        <v>0</v>
      </c>
      <c r="P151" s="22">
        <f>INDEX(cennik!$C$2:$L$529,MATCH($L151,cennik!$B$2:$B$522,0),MATCH(P$27,cennik!$C$1:$L$1,0))</f>
        <v>65.099999999999994</v>
      </c>
      <c r="Q151" s="22">
        <f>O151*P151</f>
        <v>0</v>
      </c>
      <c r="R151" s="23">
        <f t="shared" si="123"/>
        <v>0</v>
      </c>
      <c r="S151" s="22">
        <f>P151*((100-$E$155)/100)</f>
        <v>65.099999999999994</v>
      </c>
      <c r="T151" s="22">
        <f t="shared" ref="T151:T155" si="124">O151*S151</f>
        <v>0</v>
      </c>
      <c r="U151" s="22">
        <f>INDEX(cennik!$C$2:$L$529,MATCH($L151,cennik!$B$2:$B$522,0),MATCH(U$27,cennik!$C$1:$L$1,0))*O151</f>
        <v>0</v>
      </c>
      <c r="W151" s="20">
        <f>IF(G175=$AH$22,$AJ$22,IF(G175=$AH$23,$AJ$23,IF(G175=$AH$24,$AJ$24,IF(G175=$AH$25,$AJ$25,IF(G175=$AH$26,$AJ$26,IF(G175=$AH$27,$AJ$27,IF(G175=$AH$28,$AJ$28,IF(G175=$AH$29,$AJ$29,0))))))))</f>
        <v>1350</v>
      </c>
      <c r="X151" s="25">
        <f t="shared" si="121"/>
        <v>0</v>
      </c>
      <c r="Y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177,$BB$2:$CA$2,0),MATCH($W$147,$AH$22:$AH$47,0)))*C177</f>
        <v>0</v>
      </c>
      <c r="Z151" s="21">
        <f>(INT(((((A174*$W$151)+((A174-1)*20)+80)/$E$176)))*E176)+500</f>
        <v>500</v>
      </c>
      <c r="AB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177,$BB$2:$CA$2,0),MATCH($W$147,$AH$22:$AH$47,0)))*C177</f>
        <v>0</v>
      </c>
      <c r="AC151" s="25"/>
      <c r="AD15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177,$BB$2:$CA$2,0),MATCH($W$147,$AH$22:$AH$47,0)))*C177</f>
        <v>0</v>
      </c>
      <c r="AL151" s="20">
        <f t="shared" si="122"/>
        <v>0</v>
      </c>
      <c r="DD151" s="26" t="s">
        <v>710</v>
      </c>
      <c r="DE151" s="20">
        <v>0</v>
      </c>
      <c r="DF151" s="20"/>
      <c r="DG151" s="20"/>
      <c r="DH151" s="20"/>
      <c r="DI151" s="20"/>
      <c r="DJ151" s="20"/>
      <c r="DK151" s="20"/>
      <c r="DL151" s="20"/>
      <c r="DM151" s="20"/>
      <c r="DN151" s="20"/>
      <c r="DO151" s="20"/>
      <c r="DP151" s="20"/>
      <c r="DQ151" s="20"/>
      <c r="DR151" s="20"/>
      <c r="DS151" s="20"/>
      <c r="DT151" s="20"/>
      <c r="DU151" s="20"/>
      <c r="DV151" s="20"/>
      <c r="DW151" s="20"/>
      <c r="DX151" s="20"/>
      <c r="DY151" s="20"/>
      <c r="GE151" s="20" t="s">
        <v>19</v>
      </c>
      <c r="GF151" s="20">
        <v>0</v>
      </c>
      <c r="GG151" s="20">
        <v>0</v>
      </c>
      <c r="GH151" s="20">
        <v>0</v>
      </c>
      <c r="GI151" s="20">
        <v>0</v>
      </c>
      <c r="GJ151" s="20">
        <v>0</v>
      </c>
      <c r="GK151" s="20">
        <v>2</v>
      </c>
      <c r="GL151" s="20">
        <v>6</v>
      </c>
      <c r="GM151" s="20">
        <v>8</v>
      </c>
      <c r="GN151" s="20">
        <v>10</v>
      </c>
      <c r="GO151" s="20">
        <v>0</v>
      </c>
      <c r="GP151" s="20">
        <v>2</v>
      </c>
      <c r="GQ151" s="20">
        <v>8</v>
      </c>
      <c r="GR151" s="20">
        <v>10</v>
      </c>
      <c r="GS151" s="20">
        <v>0</v>
      </c>
      <c r="GT151" s="20">
        <v>18</v>
      </c>
      <c r="GU151" s="20">
        <v>20</v>
      </c>
      <c r="GV151" s="20">
        <v>10</v>
      </c>
      <c r="GW151" s="20">
        <v>24</v>
      </c>
      <c r="GX151" s="20">
        <v>16</v>
      </c>
      <c r="GY151" s="20">
        <v>6</v>
      </c>
      <c r="GZ151" s="20">
        <v>8</v>
      </c>
      <c r="HA151" s="20">
        <v>26</v>
      </c>
      <c r="HB151" s="20">
        <v>22</v>
      </c>
      <c r="HC151" s="20">
        <v>18</v>
      </c>
      <c r="HD151" s="20">
        <v>34</v>
      </c>
      <c r="HE151" s="20">
        <v>26</v>
      </c>
      <c r="HF151" s="20">
        <v>14</v>
      </c>
      <c r="HG151" s="20">
        <v>38</v>
      </c>
      <c r="HH151" s="20">
        <v>34</v>
      </c>
      <c r="HI151" s="20">
        <v>24</v>
      </c>
      <c r="HJ151" s="20">
        <v>14</v>
      </c>
      <c r="HK151" s="20">
        <v>44</v>
      </c>
      <c r="HL151" s="20">
        <v>34</v>
      </c>
      <c r="HM151" s="20">
        <v>36</v>
      </c>
      <c r="HN151" s="20">
        <v>48</v>
      </c>
      <c r="HO151" s="20">
        <v>44</v>
      </c>
      <c r="HP151" s="20">
        <v>46</v>
      </c>
      <c r="HQ151" s="20">
        <v>38</v>
      </c>
      <c r="HR151" s="20">
        <v>54</v>
      </c>
      <c r="HS151" s="20">
        <v>42</v>
      </c>
      <c r="HT151" s="20">
        <v>32</v>
      </c>
      <c r="HU151" s="20">
        <v>58</v>
      </c>
      <c r="HV151" s="20">
        <v>52</v>
      </c>
      <c r="HW151" s="20">
        <v>42</v>
      </c>
      <c r="HX151" s="20">
        <v>62</v>
      </c>
      <c r="HY151" s="20">
        <v>62</v>
      </c>
      <c r="HZ151" s="20">
        <v>52</v>
      </c>
      <c r="IA151" s="20">
        <v>52</v>
      </c>
      <c r="IB151" s="20">
        <v>68</v>
      </c>
      <c r="IC151" s="20">
        <v>60</v>
      </c>
      <c r="ID151" s="20">
        <v>50</v>
      </c>
      <c r="JI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155,$JT$2:$KS$2,0),MATCH($W$125,$AH$22:$AH$47,0)))*C155</f>
        <v>0</v>
      </c>
      <c r="JJ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155,$JT$2:$KS$2,0),MATCH($W$125,$AH$22:$AH$47,0)))*C155</f>
        <v>0</v>
      </c>
      <c r="JK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155,$JT$2:$KS$2,0),MATCH($W$125,$AH$22:$AH$47,0)))*C155</f>
        <v>0</v>
      </c>
      <c r="JL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155,$JT$2:$KS$2,0),MATCH($W$125,$AH$22:$AH$47,0)))*C155</f>
        <v>0</v>
      </c>
      <c r="JM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155,$JT$2:$KS$2,0),MATCH($W$125,$AH$22:$AH$47,0)))*C155</f>
        <v>0</v>
      </c>
      <c r="JN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155,$JT$2:$KS$2,0),MATCH($W$125,$AH$22:$AH$47,0)))*C155</f>
        <v>0</v>
      </c>
      <c r="JO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155,$JT$2:$KS$2,0),MATCH($W$125,$AH$22:$AH$47,0)))*C155</f>
        <v>0</v>
      </c>
      <c r="JP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155,$JT$2:$KS$2,0),MATCH($W$125,$AH$22:$AH$47,0)))*C155</f>
        <v>0</v>
      </c>
      <c r="JQ151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155,$JT$2:$KS$2,0),MATCH($W$125,$AH$22:$AH$47,0)))*C155</f>
        <v>0</v>
      </c>
      <c r="JS151" s="21" t="s">
        <v>12</v>
      </c>
      <c r="JT151" s="20">
        <v>0</v>
      </c>
      <c r="JU151" s="20">
        <v>2</v>
      </c>
      <c r="JV151" s="20">
        <v>0</v>
      </c>
      <c r="JW151" s="20">
        <v>4</v>
      </c>
      <c r="JX151" s="20">
        <v>0</v>
      </c>
      <c r="JY151" s="20">
        <v>0</v>
      </c>
      <c r="JZ151" s="20">
        <v>0</v>
      </c>
      <c r="KA151" s="20">
        <v>0</v>
      </c>
      <c r="KB151" s="20">
        <v>4</v>
      </c>
      <c r="KC151" s="20">
        <v>0</v>
      </c>
      <c r="KD151" s="20">
        <v>0</v>
      </c>
      <c r="KE151" s="20">
        <v>0</v>
      </c>
      <c r="KF151" s="20">
        <v>0</v>
      </c>
      <c r="KG151" s="20">
        <v>0</v>
      </c>
      <c r="KH151" s="20">
        <v>0</v>
      </c>
      <c r="KI151" s="20">
        <v>0</v>
      </c>
      <c r="KJ151" s="20">
        <v>4</v>
      </c>
      <c r="KK151" s="20">
        <v>0</v>
      </c>
      <c r="KL151" s="20">
        <v>0</v>
      </c>
      <c r="KM151" s="20">
        <v>0</v>
      </c>
      <c r="KN151" s="20">
        <v>0</v>
      </c>
      <c r="KO151" s="20">
        <v>4</v>
      </c>
      <c r="KP151" s="20">
        <v>0</v>
      </c>
      <c r="KQ151" s="20">
        <v>0</v>
      </c>
      <c r="KR151" s="20">
        <v>0</v>
      </c>
      <c r="KS151" s="20">
        <v>0</v>
      </c>
      <c r="LW151" s="20" t="s">
        <v>12</v>
      </c>
      <c r="LX151" s="20">
        <v>0</v>
      </c>
      <c r="LY151" s="20">
        <v>0</v>
      </c>
      <c r="LZ151" s="20">
        <v>0</v>
      </c>
      <c r="MA151" s="20">
        <v>0</v>
      </c>
      <c r="MB151" s="20">
        <v>0</v>
      </c>
      <c r="MC151" s="20">
        <v>2</v>
      </c>
      <c r="MD151" s="20">
        <v>0</v>
      </c>
      <c r="ME151" s="20">
        <v>0</v>
      </c>
      <c r="MF151" s="20">
        <v>2</v>
      </c>
      <c r="MG151" s="20">
        <v>0</v>
      </c>
      <c r="MH151" s="20">
        <v>0</v>
      </c>
      <c r="MI151" s="20">
        <v>0</v>
      </c>
      <c r="MJ151" s="20">
        <v>0</v>
      </c>
      <c r="MK151" s="20">
        <v>0</v>
      </c>
      <c r="ML151" s="20">
        <v>0</v>
      </c>
      <c r="MM151" s="20">
        <v>0</v>
      </c>
      <c r="MN151" s="20">
        <v>2</v>
      </c>
      <c r="MO151" s="20">
        <v>0</v>
      </c>
      <c r="MP151" s="20">
        <v>0</v>
      </c>
      <c r="MQ151" s="20">
        <v>0</v>
      </c>
      <c r="MR151" s="20">
        <v>0</v>
      </c>
      <c r="MS151" s="20">
        <v>0</v>
      </c>
      <c r="MT151" s="20">
        <v>0</v>
      </c>
      <c r="MU151" s="20">
        <v>0</v>
      </c>
      <c r="MV151" s="20">
        <v>0</v>
      </c>
      <c r="MW151" s="20">
        <v>0</v>
      </c>
    </row>
    <row r="152" spans="1:361" x14ac:dyDescent="0.25">
      <c r="A152" s="8"/>
      <c r="B152" s="5" t="s">
        <v>116</v>
      </c>
      <c r="C152" s="8"/>
      <c r="D152" s="6" t="s">
        <v>122</v>
      </c>
      <c r="E152" s="8" t="s">
        <v>123</v>
      </c>
      <c r="F152" s="5"/>
      <c r="G152" s="5"/>
      <c r="H152" s="5"/>
      <c r="I152" s="5"/>
      <c r="J152" s="5"/>
      <c r="K152" s="4"/>
      <c r="L152" s="6" t="str">
        <f>IF($E$156=$AK$22,"PAL40H40/2,2",IF($E$156=$AK$23,"PAL30H32/2,2",IF($E$156=$AK$24,"CWP40H35/2,2MC","-------")))</f>
        <v>PAL40H40/2,2</v>
      </c>
      <c r="M152" s="14">
        <f>INDEX(cennik!$C$2:$L$529,MATCH($L152,cennik!$B$2:$B$522,0),MATCH(M$27,cennik!$C$1:$L$1,0))</f>
        <v>894622</v>
      </c>
      <c r="N152" s="14" t="str">
        <f>INDEX(cennik!$C$2:$L$529,MATCH($L152,cennik!$B$2:$B$522,0),MATCH(N$27,cennik!$C$1:$L$1,0))</f>
        <v>szt.</v>
      </c>
      <c r="O152" s="14">
        <f>IF(L152="-------",0,SUM(JL145:JL160))</f>
        <v>0</v>
      </c>
      <c r="P152" s="22">
        <f>INDEX(cennik!$C$2:$L$529,MATCH($L152,cennik!$B$2:$B$522,0),MATCH(P$27,cennik!$C$1:$L$1,0))</f>
        <v>68.2</v>
      </c>
      <c r="Q152" s="22">
        <f t="shared" ref="Q152:Q155" si="125">O152*P152</f>
        <v>0</v>
      </c>
      <c r="R152" s="23">
        <f t="shared" si="123"/>
        <v>0</v>
      </c>
      <c r="S152" s="22">
        <f>P152*((100-$E$155)/100)</f>
        <v>68.2</v>
      </c>
      <c r="T152" s="22">
        <f t="shared" si="124"/>
        <v>0</v>
      </c>
      <c r="U152" s="22">
        <f>INDEX(cennik!$C$2:$L$529,MATCH($L152,cennik!$B$2:$B$522,0),MATCH(U$27,cennik!$C$1:$L$1,0))*O152</f>
        <v>0</v>
      </c>
      <c r="W152" s="20">
        <f>IF(E175=$AH$30,$AJ$30,IF(E175=$AH$31,$AJ$31,IF(E175=$AH$32,$AJ$32,IF(E175=$AH$33,$AJ$33,IF(E175=$AH$34,$AJ$34,IF(E175=$AH$35,$AJ$35,IF(E175=$AH$36,$AJ$36,IF(E175=$AH$37,$AJ$37,IF(E175=$AH$38,$AJ$38,IF(E175=$AH$39,$AJ$39,IF(E175=$AH$40,$AJ$40,IF(E175=$AH$41,$AJ$41,IF(E175=$AH$42,$AJ$42,IF(E175=$AH$43,$AJ$43,IF(E175=$AH$44,$AJ$44,IF(E175=$AH$45,$AJ$45,IF(E175=$AH$46,$AJ$46,IF(E175=$AH$47,$AJ$47,0))))))))))))))))))</f>
        <v>2500</v>
      </c>
      <c r="X152" s="25">
        <f t="shared" si="121"/>
        <v>0</v>
      </c>
      <c r="Y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178,$BB$2:$CA$2,0),MATCH($W$147,$AH$22:$AH$47,0)))*C178</f>
        <v>0</v>
      </c>
      <c r="Z152" s="21">
        <f>((A174*$W$151)+((A174-1)*20)+80)</f>
        <v>60</v>
      </c>
      <c r="AB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178,$BB$2:$CA$2,0),MATCH($W$147,$AH$22:$AH$47,0)))*C178</f>
        <v>0</v>
      </c>
      <c r="AC152" s="25"/>
      <c r="AD15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178,$BB$2:$CA$2,0),MATCH($W$147,$AH$22:$AH$47,0)))*C178</f>
        <v>0</v>
      </c>
      <c r="AL152" s="20">
        <f t="shared" si="122"/>
        <v>0</v>
      </c>
      <c r="DD152" s="26" t="s">
        <v>711</v>
      </c>
      <c r="DE152" s="20">
        <v>0</v>
      </c>
      <c r="DF152" s="20"/>
      <c r="DG152" s="20"/>
      <c r="DH152" s="20"/>
      <c r="DI152" s="20"/>
      <c r="DJ152" s="20"/>
      <c r="DK152" s="20"/>
      <c r="DL152" s="20"/>
      <c r="DM152" s="20"/>
      <c r="DN152" s="20"/>
      <c r="DO152" s="20"/>
      <c r="DP152" s="20"/>
      <c r="DQ152" s="20"/>
      <c r="DR152" s="20"/>
      <c r="DS152" s="20"/>
      <c r="DT152" s="20"/>
      <c r="DU152" s="20"/>
      <c r="DV152" s="20"/>
      <c r="DW152" s="20"/>
      <c r="DX152" s="20"/>
      <c r="DY152" s="20"/>
      <c r="GE152" s="20" t="s">
        <v>408</v>
      </c>
      <c r="GF152" s="20">
        <v>0</v>
      </c>
      <c r="GG152" s="20">
        <f>((((SUM(GG147:GG151))/2)-1))*4</f>
        <v>0</v>
      </c>
      <c r="GH152" s="20">
        <f t="shared" ref="GH152:ID152" si="126">((((SUM(GH147:GH151))/2)-1))*4</f>
        <v>4</v>
      </c>
      <c r="GI152" s="20">
        <f t="shared" si="126"/>
        <v>8</v>
      </c>
      <c r="GJ152" s="20">
        <f t="shared" si="126"/>
        <v>8</v>
      </c>
      <c r="GK152" s="20">
        <f t="shared" si="126"/>
        <v>12</v>
      </c>
      <c r="GL152" s="20">
        <f t="shared" si="126"/>
        <v>16</v>
      </c>
      <c r="GM152" s="20">
        <f t="shared" si="126"/>
        <v>16</v>
      </c>
      <c r="GN152" s="20">
        <f t="shared" si="126"/>
        <v>20</v>
      </c>
      <c r="GO152" s="20">
        <f t="shared" si="126"/>
        <v>24</v>
      </c>
      <c r="GP152" s="20">
        <f t="shared" si="126"/>
        <v>28</v>
      </c>
      <c r="GQ152" s="20">
        <f t="shared" si="126"/>
        <v>28</v>
      </c>
      <c r="GR152" s="20">
        <f t="shared" si="126"/>
        <v>32</v>
      </c>
      <c r="GS152" s="20">
        <f t="shared" si="126"/>
        <v>36</v>
      </c>
      <c r="GT152" s="20">
        <f t="shared" si="126"/>
        <v>36</v>
      </c>
      <c r="GU152" s="20">
        <f t="shared" si="126"/>
        <v>40</v>
      </c>
      <c r="GV152" s="20">
        <f t="shared" si="126"/>
        <v>44</v>
      </c>
      <c r="GW152" s="20">
        <f t="shared" si="126"/>
        <v>44</v>
      </c>
      <c r="GX152" s="20">
        <f t="shared" si="126"/>
        <v>48</v>
      </c>
      <c r="GY152" s="20">
        <f t="shared" si="126"/>
        <v>52</v>
      </c>
      <c r="GZ152" s="20">
        <f t="shared" si="126"/>
        <v>56</v>
      </c>
      <c r="HA152" s="20">
        <f t="shared" si="126"/>
        <v>56</v>
      </c>
      <c r="HB152" s="20">
        <f t="shared" si="126"/>
        <v>60</v>
      </c>
      <c r="HC152" s="20">
        <f t="shared" si="126"/>
        <v>64</v>
      </c>
      <c r="HD152" s="20">
        <f t="shared" si="126"/>
        <v>64</v>
      </c>
      <c r="HE152" s="20">
        <f t="shared" si="126"/>
        <v>68</v>
      </c>
      <c r="HF152" s="20">
        <f t="shared" si="126"/>
        <v>72</v>
      </c>
      <c r="HG152" s="20">
        <f t="shared" si="126"/>
        <v>72</v>
      </c>
      <c r="HH152" s="20">
        <f t="shared" si="126"/>
        <v>76</v>
      </c>
      <c r="HI152" s="20">
        <f t="shared" si="126"/>
        <v>80</v>
      </c>
      <c r="HJ152" s="20">
        <f t="shared" si="126"/>
        <v>84</v>
      </c>
      <c r="HK152" s="20">
        <f t="shared" si="126"/>
        <v>84</v>
      </c>
      <c r="HL152" s="20">
        <f t="shared" si="126"/>
        <v>88</v>
      </c>
      <c r="HM152" s="20">
        <f t="shared" si="126"/>
        <v>92</v>
      </c>
      <c r="HN152" s="20">
        <f t="shared" si="126"/>
        <v>92</v>
      </c>
      <c r="HO152" s="20">
        <f t="shared" si="126"/>
        <v>96</v>
      </c>
      <c r="HP152" s="20">
        <f t="shared" si="126"/>
        <v>100</v>
      </c>
      <c r="HQ152" s="20">
        <f t="shared" si="126"/>
        <v>104</v>
      </c>
      <c r="HR152" s="20">
        <f t="shared" si="126"/>
        <v>104</v>
      </c>
      <c r="HS152" s="20">
        <f t="shared" si="126"/>
        <v>108</v>
      </c>
      <c r="HT152" s="20">
        <f t="shared" si="126"/>
        <v>112</v>
      </c>
      <c r="HU152" s="20">
        <f t="shared" si="126"/>
        <v>112</v>
      </c>
      <c r="HV152" s="20">
        <f t="shared" si="126"/>
        <v>116</v>
      </c>
      <c r="HW152" s="20">
        <f t="shared" si="126"/>
        <v>120</v>
      </c>
      <c r="HX152" s="20">
        <f t="shared" si="126"/>
        <v>120</v>
      </c>
      <c r="HY152" s="20">
        <f t="shared" si="126"/>
        <v>124</v>
      </c>
      <c r="HZ152" s="20">
        <f t="shared" si="126"/>
        <v>128</v>
      </c>
      <c r="IA152" s="20">
        <f t="shared" si="126"/>
        <v>132</v>
      </c>
      <c r="IB152" s="20">
        <f t="shared" si="126"/>
        <v>132</v>
      </c>
      <c r="IC152" s="20">
        <f t="shared" si="126"/>
        <v>136</v>
      </c>
      <c r="ID152" s="20">
        <f t="shared" si="126"/>
        <v>140</v>
      </c>
      <c r="JI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156,$JT$2:$KS$2,0),MATCH($W$125,$AH$22:$AH$47,0)))*C156</f>
        <v>0</v>
      </c>
      <c r="JJ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156,$JT$2:$KS$2,0),MATCH($W$125,$AH$22:$AH$47,0)))*C156</f>
        <v>0</v>
      </c>
      <c r="JK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156,$JT$2:$KS$2,0),MATCH($W$125,$AH$22:$AH$47,0)))*C156</f>
        <v>0</v>
      </c>
      <c r="JL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156,$JT$2:$KS$2,0),MATCH($W$125,$AH$22:$AH$47,0)))*C156</f>
        <v>0</v>
      </c>
      <c r="JM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156,$JT$2:$KS$2,0),MATCH($W$125,$AH$22:$AH$47,0)))*C156</f>
        <v>0</v>
      </c>
      <c r="JN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156,$JT$2:$KS$2,0),MATCH($W$125,$AH$22:$AH$47,0)))*C156</f>
        <v>0</v>
      </c>
      <c r="JO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156,$JT$2:$KS$2,0),MATCH($W$125,$AH$22:$AH$47,0)))*C156</f>
        <v>0</v>
      </c>
      <c r="JP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156,$JT$2:$KS$2,0),MATCH($W$125,$AH$22:$AH$47,0)))*C156</f>
        <v>0</v>
      </c>
      <c r="JQ152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156,$JT$2:$KS$2,0),MATCH($W$125,$AH$22:$AH$47,0)))*C156</f>
        <v>0</v>
      </c>
      <c r="JS152" s="21" t="s">
        <v>127</v>
      </c>
      <c r="JT152" s="20">
        <v>0</v>
      </c>
      <c r="JU152" s="20">
        <v>0</v>
      </c>
      <c r="JV152" s="20">
        <v>0</v>
      </c>
      <c r="JW152" s="20">
        <v>0</v>
      </c>
      <c r="JX152" s="20">
        <v>0</v>
      </c>
      <c r="JY152" s="20">
        <v>0</v>
      </c>
      <c r="JZ152" s="20">
        <v>0</v>
      </c>
      <c r="KA152" s="20">
        <v>0</v>
      </c>
      <c r="KB152" s="20">
        <v>0</v>
      </c>
      <c r="KC152" s="20">
        <v>2</v>
      </c>
      <c r="KD152" s="20">
        <v>0</v>
      </c>
      <c r="KE152" s="20">
        <v>4</v>
      </c>
      <c r="KF152" s="20">
        <v>0</v>
      </c>
      <c r="KG152" s="20">
        <v>0</v>
      </c>
      <c r="KH152" s="20">
        <v>2</v>
      </c>
      <c r="KI152" s="20">
        <v>0</v>
      </c>
      <c r="KJ152" s="20">
        <v>0</v>
      </c>
      <c r="KK152" s="20">
        <v>2</v>
      </c>
      <c r="KL152" s="20">
        <v>0</v>
      </c>
      <c r="KM152" s="20">
        <v>2</v>
      </c>
      <c r="KN152" s="20">
        <v>0</v>
      </c>
      <c r="KO152" s="20">
        <v>0</v>
      </c>
      <c r="KP152" s="20">
        <v>2</v>
      </c>
      <c r="KQ152" s="20">
        <v>0</v>
      </c>
      <c r="KR152" s="20">
        <v>4</v>
      </c>
      <c r="KS152" s="20">
        <v>2</v>
      </c>
      <c r="LW152" s="20" t="s">
        <v>127</v>
      </c>
      <c r="LX152" s="20">
        <v>0</v>
      </c>
      <c r="LY152" s="20">
        <v>0</v>
      </c>
      <c r="LZ152" s="20">
        <v>2</v>
      </c>
      <c r="MA152" s="20">
        <v>0</v>
      </c>
      <c r="MB152" s="20">
        <v>0</v>
      </c>
      <c r="MC152" s="20">
        <v>2</v>
      </c>
      <c r="MD152" s="20">
        <v>0</v>
      </c>
      <c r="ME152" s="20">
        <v>2</v>
      </c>
      <c r="MF152" s="20">
        <v>2</v>
      </c>
      <c r="MG152" s="20">
        <v>0</v>
      </c>
      <c r="MH152" s="20">
        <v>2</v>
      </c>
      <c r="MI152" s="20">
        <v>0</v>
      </c>
      <c r="MJ152" s="20">
        <v>0</v>
      </c>
      <c r="MK152" s="20">
        <v>2</v>
      </c>
      <c r="ML152" s="20">
        <v>0</v>
      </c>
      <c r="MM152" s="20">
        <v>2</v>
      </c>
      <c r="MN152" s="20">
        <v>2</v>
      </c>
      <c r="MO152" s="20">
        <v>0</v>
      </c>
      <c r="MP152" s="20">
        <v>2</v>
      </c>
      <c r="MQ152" s="20">
        <v>0</v>
      </c>
      <c r="MR152" s="20">
        <v>0</v>
      </c>
      <c r="MS152" s="20">
        <v>2</v>
      </c>
      <c r="MT152" s="20">
        <v>0</v>
      </c>
      <c r="MU152" s="20">
        <v>0</v>
      </c>
      <c r="MV152" s="20">
        <v>2</v>
      </c>
      <c r="MW152" s="20">
        <v>0</v>
      </c>
    </row>
    <row r="153" spans="1:361" x14ac:dyDescent="0.25">
      <c r="A153" s="8"/>
      <c r="B153" s="5" t="s">
        <v>116</v>
      </c>
      <c r="C153" s="8"/>
      <c r="D153" s="6" t="s">
        <v>129</v>
      </c>
      <c r="E153" s="8" t="s">
        <v>130</v>
      </c>
      <c r="F153" s="63" t="str">
        <f>IF(E156="40x35 stal","niekompatybilne z profilem stalowym","")</f>
        <v/>
      </c>
      <c r="G153" s="5"/>
      <c r="H153" s="5"/>
      <c r="I153" s="5"/>
      <c r="J153" s="5"/>
      <c r="K153" s="4"/>
      <c r="L153" s="6" t="str">
        <f>IF($E$111=$AK$22,"PAL40H40/2,4",IF($E$111=$AK$23,"-------",IF($E$111=$AK$24,"-------","-------")))</f>
        <v>PAL40H40/2,4</v>
      </c>
      <c r="M153" s="14">
        <f>INDEX(cennik!$C$2:$L$529,MATCH($L153,cennik!$B$2:$B$522,0),MATCH(M$27,cennik!$C$1:$L$1,0))</f>
        <v>894624</v>
      </c>
      <c r="N153" s="14" t="str">
        <f>INDEX(cennik!$C$2:$L$529,MATCH($L153,cennik!$B$2:$B$522,0),MATCH(N$27,cennik!$C$1:$L$1,0))</f>
        <v>szt.</v>
      </c>
      <c r="O153" s="14">
        <f>IF(L153="-------",0,SUM(JM145:JM160))</f>
        <v>0</v>
      </c>
      <c r="P153" s="22">
        <f>INDEX(cennik!$C$2:$L$529,MATCH($L153,cennik!$B$2:$B$522,0),MATCH(P$27,cennik!$C$1:$L$1,0))</f>
        <v>74.400000000000006</v>
      </c>
      <c r="Q153" s="22">
        <f t="shared" ref="Q153" si="127">O153*P153</f>
        <v>0</v>
      </c>
      <c r="R153" s="23">
        <f t="shared" si="123"/>
        <v>0</v>
      </c>
      <c r="S153" s="22">
        <f>P153*((100-$E$155)/100)</f>
        <v>74.400000000000006</v>
      </c>
      <c r="T153" s="22">
        <f t="shared" ref="T153" si="128">O153*S153</f>
        <v>0</v>
      </c>
      <c r="U153" s="22">
        <f>INDEX(cennik!$C$2:$L$529,MATCH($L153,cennik!$B$2:$B$522,0),MATCH(U$27,cennik!$C$1:$L$1,0))*O153</f>
        <v>0</v>
      </c>
      <c r="W153" s="20"/>
      <c r="X153" s="25">
        <f t="shared" si="121"/>
        <v>0</v>
      </c>
      <c r="Y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179,$BB$2:$CA$2,0),MATCH($W$147,$AH$22:$AH$47,0)))*C179</f>
        <v>0</v>
      </c>
      <c r="AB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179,$BB$2:$CA$2,0),MATCH($W$147,$AH$22:$AH$47,0)))*C179</f>
        <v>0</v>
      </c>
      <c r="AC153" s="25"/>
      <c r="AD15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179,$BB$2:$CA$2,0),MATCH($W$147,$AH$22:$AH$47,0)))*C179</f>
        <v>0</v>
      </c>
      <c r="AL153" s="20">
        <f t="shared" si="122"/>
        <v>0</v>
      </c>
      <c r="DD153" s="26" t="s">
        <v>712</v>
      </c>
      <c r="DE153" s="20">
        <v>0</v>
      </c>
      <c r="DF153" s="20"/>
      <c r="DG153" s="20"/>
      <c r="DH153" s="20"/>
      <c r="DI153" s="20"/>
      <c r="DJ153" s="20"/>
      <c r="DK153" s="20"/>
      <c r="DL153" s="20"/>
      <c r="DM153" s="20"/>
      <c r="DN153" s="20"/>
      <c r="DO153" s="20"/>
      <c r="DP153" s="20"/>
      <c r="DQ153" s="20"/>
      <c r="DR153" s="20"/>
      <c r="DS153" s="20"/>
      <c r="DT153" s="20"/>
      <c r="DU153" s="20"/>
      <c r="DV153" s="20"/>
      <c r="DW153" s="20"/>
      <c r="DX153" s="20"/>
      <c r="DY153" s="20"/>
      <c r="GE153" s="26" t="s">
        <v>516</v>
      </c>
      <c r="GF153" s="20">
        <v>0</v>
      </c>
      <c r="GG153" s="20">
        <v>0</v>
      </c>
      <c r="GH153" s="20">
        <v>0</v>
      </c>
      <c r="GI153" s="20">
        <v>0</v>
      </c>
      <c r="GJ153" s="20">
        <v>0</v>
      </c>
      <c r="GK153" s="20">
        <v>0</v>
      </c>
      <c r="GL153" s="20">
        <v>0</v>
      </c>
      <c r="GM153" s="20">
        <v>0</v>
      </c>
      <c r="GN153" s="20">
        <v>0</v>
      </c>
      <c r="GO153" s="20">
        <v>0</v>
      </c>
      <c r="GP153" s="20">
        <v>0</v>
      </c>
      <c r="GQ153" s="20">
        <v>0</v>
      </c>
      <c r="GR153" s="20">
        <v>0</v>
      </c>
      <c r="GS153" s="20">
        <v>0</v>
      </c>
      <c r="GT153" s="20">
        <v>0</v>
      </c>
      <c r="GU153" s="20">
        <v>0</v>
      </c>
      <c r="GV153" s="20">
        <v>0</v>
      </c>
      <c r="GW153" s="20">
        <v>0</v>
      </c>
      <c r="GX153" s="20">
        <v>0</v>
      </c>
      <c r="GY153" s="20">
        <v>0</v>
      </c>
      <c r="GZ153" s="20">
        <v>0</v>
      </c>
      <c r="HA153" s="20">
        <v>0</v>
      </c>
      <c r="HB153" s="20">
        <v>0</v>
      </c>
      <c r="HC153" s="20">
        <v>0</v>
      </c>
      <c r="HD153" s="20">
        <v>0</v>
      </c>
      <c r="HE153" s="20">
        <v>0</v>
      </c>
      <c r="HF153" s="20">
        <v>0</v>
      </c>
      <c r="HG153" s="20">
        <v>0</v>
      </c>
      <c r="HH153" s="20">
        <v>0</v>
      </c>
      <c r="HI153" s="20">
        <v>0</v>
      </c>
      <c r="HJ153" s="20">
        <v>0</v>
      </c>
      <c r="HK153" s="20">
        <v>0</v>
      </c>
      <c r="HL153" s="20">
        <v>0</v>
      </c>
      <c r="HM153" s="20">
        <v>0</v>
      </c>
      <c r="HN153" s="20">
        <v>0</v>
      </c>
      <c r="HO153" s="20">
        <v>0</v>
      </c>
      <c r="HP153" s="20">
        <v>0</v>
      </c>
      <c r="HQ153" s="20">
        <v>2</v>
      </c>
      <c r="HR153" s="20">
        <v>0</v>
      </c>
      <c r="HS153" s="20">
        <v>0</v>
      </c>
      <c r="HT153" s="20">
        <v>0</v>
      </c>
      <c r="HU153" s="20">
        <v>0</v>
      </c>
      <c r="HV153" s="20">
        <v>0</v>
      </c>
      <c r="HW153" s="20">
        <v>0</v>
      </c>
      <c r="HX153" s="20">
        <v>0</v>
      </c>
      <c r="HY153" s="20">
        <v>0</v>
      </c>
      <c r="HZ153" s="20">
        <v>0</v>
      </c>
      <c r="IA153" s="20">
        <v>0</v>
      </c>
      <c r="IB153" s="20">
        <v>0</v>
      </c>
      <c r="IC153" s="20">
        <v>0</v>
      </c>
      <c r="ID153" s="20">
        <v>0</v>
      </c>
      <c r="JI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157,$JT$2:$KS$2,0),MATCH($W$125,$AH$22:$AH$47,0)))*C157</f>
        <v>0</v>
      </c>
      <c r="JJ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157,$JT$2:$KS$2,0),MATCH($W$125,$AH$22:$AH$47,0)))*C157</f>
        <v>0</v>
      </c>
      <c r="JK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157,$JT$2:$KS$2,0),MATCH($W$125,$AH$22:$AH$47,0)))*C157</f>
        <v>0</v>
      </c>
      <c r="JL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157,$JT$2:$KS$2,0),MATCH($W$125,$AH$22:$AH$47,0)))*C157</f>
        <v>0</v>
      </c>
      <c r="JM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157,$JT$2:$KS$2,0),MATCH($W$125,$AH$22:$AH$47,0)))*C157</f>
        <v>0</v>
      </c>
      <c r="JN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157,$JT$2:$KS$2,0),MATCH($W$125,$AH$22:$AH$47,0)))*C157</f>
        <v>0</v>
      </c>
      <c r="JO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157,$JT$2:$KS$2,0),MATCH($W$125,$AH$22:$AH$47,0)))*C157</f>
        <v>0</v>
      </c>
      <c r="JP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157,$JT$2:$KS$2,0),MATCH($W$125,$AH$22:$AH$47,0)))*C157</f>
        <v>0</v>
      </c>
      <c r="JQ153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157,$JT$2:$KS$2,0),MATCH($W$125,$AH$22:$AH$47,0)))*C157</f>
        <v>0</v>
      </c>
      <c r="JS153" s="20" t="s">
        <v>1024</v>
      </c>
      <c r="JT153" s="20">
        <v>0</v>
      </c>
      <c r="JU153" s="20">
        <v>0</v>
      </c>
      <c r="JV153" s="20">
        <v>0</v>
      </c>
      <c r="JW153" s="20">
        <v>0</v>
      </c>
      <c r="JX153" s="20">
        <v>2</v>
      </c>
      <c r="JY153" s="20">
        <v>0</v>
      </c>
      <c r="JZ153" s="20">
        <v>4</v>
      </c>
      <c r="KA153" s="20">
        <v>0</v>
      </c>
      <c r="KB153" s="20">
        <v>0</v>
      </c>
      <c r="KC153" s="20">
        <v>0</v>
      </c>
      <c r="KD153" s="20">
        <v>0</v>
      </c>
      <c r="KE153" s="20">
        <v>0</v>
      </c>
      <c r="KF153" s="20">
        <v>2</v>
      </c>
      <c r="KG153" s="20">
        <v>0</v>
      </c>
      <c r="KH153" s="20">
        <v>0</v>
      </c>
      <c r="KI153" s="20">
        <v>0</v>
      </c>
      <c r="KJ153" s="20">
        <v>0</v>
      </c>
      <c r="KK153" s="20">
        <v>0</v>
      </c>
      <c r="KL153" s="20">
        <v>0</v>
      </c>
      <c r="KM153" s="20">
        <v>0</v>
      </c>
      <c r="KN153" s="20">
        <v>0</v>
      </c>
      <c r="KO153" s="20">
        <v>0</v>
      </c>
      <c r="KP153" s="20">
        <v>0</v>
      </c>
      <c r="KQ153" s="20">
        <v>0</v>
      </c>
      <c r="KR153" s="20">
        <v>0</v>
      </c>
      <c r="KS153" s="20">
        <v>0</v>
      </c>
      <c r="LW153" s="20" t="s">
        <v>1024</v>
      </c>
      <c r="LX153" s="20">
        <v>0</v>
      </c>
      <c r="LY153" s="20">
        <v>2</v>
      </c>
      <c r="LZ153" s="20">
        <v>2</v>
      </c>
      <c r="MA153" s="20">
        <v>0</v>
      </c>
      <c r="MB153" s="20">
        <v>2</v>
      </c>
      <c r="MC153" s="20">
        <v>0</v>
      </c>
      <c r="MD153" s="20">
        <v>0</v>
      </c>
      <c r="ME153" s="20">
        <v>0</v>
      </c>
      <c r="MF153" s="20">
        <v>0</v>
      </c>
      <c r="MG153" s="20">
        <v>0</v>
      </c>
      <c r="MH153" s="20">
        <v>0</v>
      </c>
      <c r="MI153" s="20">
        <v>0</v>
      </c>
      <c r="MJ153" s="20">
        <v>2</v>
      </c>
      <c r="MK153" s="20">
        <v>0</v>
      </c>
      <c r="ML153" s="20">
        <v>0</v>
      </c>
      <c r="MM153" s="20">
        <v>0</v>
      </c>
      <c r="MN153" s="20">
        <v>0</v>
      </c>
      <c r="MO153" s="20">
        <v>0</v>
      </c>
      <c r="MP153" s="20">
        <v>0</v>
      </c>
      <c r="MQ153" s="20">
        <v>0</v>
      </c>
      <c r="MR153" s="20">
        <v>0</v>
      </c>
      <c r="MS153" s="20">
        <v>0</v>
      </c>
      <c r="MT153" s="20">
        <v>0</v>
      </c>
      <c r="MU153" s="20">
        <v>0</v>
      </c>
      <c r="MV153" s="20">
        <v>0</v>
      </c>
      <c r="MW153" s="20">
        <v>0</v>
      </c>
    </row>
    <row r="154" spans="1:361" x14ac:dyDescent="0.25">
      <c r="A154" s="8"/>
      <c r="B154" s="5" t="s">
        <v>116</v>
      </c>
      <c r="C154" s="8"/>
      <c r="D154" s="6" t="s">
        <v>124</v>
      </c>
      <c r="E154" s="8" t="s">
        <v>125</v>
      </c>
      <c r="F154" s="5"/>
      <c r="G154" s="5"/>
      <c r="H154" s="5"/>
      <c r="I154" s="5"/>
      <c r="J154" s="5"/>
      <c r="K154" s="4"/>
      <c r="L154" s="6" t="str">
        <f>IF($E$156=$AK$22,"PAL40H40/3,15",IF($E$156=$AK$23,"PAL30H32/3,15","-------"))</f>
        <v>PAL40H40/3,15</v>
      </c>
      <c r="M154" s="14">
        <f>INDEX(cennik!$C$2:$L$529,MATCH($L154,cennik!$B$2:$B$522,0),MATCH(M$27,cennik!$C$1:$L$1,0))</f>
        <v>894631</v>
      </c>
      <c r="N154" s="14" t="str">
        <f>INDEX(cennik!$C$2:$L$529,MATCH($L154,cennik!$B$2:$B$522,0),MATCH(N$27,cennik!$C$1:$L$1,0))</f>
        <v>szt.</v>
      </c>
      <c r="O154" s="14">
        <f>IF(L154="-------",0,SUM(JN145:JN160))</f>
        <v>0</v>
      </c>
      <c r="P154" s="22">
        <f>INDEX(cennik!$C$2:$L$529,MATCH($L154,cennik!$B$2:$B$522,0),MATCH(P$27,cennik!$C$1:$L$1,0))</f>
        <v>97.65</v>
      </c>
      <c r="Q154" s="22">
        <f t="shared" si="125"/>
        <v>0</v>
      </c>
      <c r="R154" s="23">
        <f t="shared" si="123"/>
        <v>0</v>
      </c>
      <c r="S154" s="22">
        <f t="shared" ref="S154:S171" si="129">P154*((100-$E$155)/100)</f>
        <v>97.65</v>
      </c>
      <c r="T154" s="22">
        <f t="shared" si="124"/>
        <v>0</v>
      </c>
      <c r="U154" s="22">
        <f>INDEX(cennik!$C$2:$L$529,MATCH($L154,cennik!$B$2:$B$522,0),MATCH(U$27,cennik!$C$1:$L$1,0))*O154</f>
        <v>0</v>
      </c>
      <c r="X154" s="25">
        <f t="shared" si="121"/>
        <v>0</v>
      </c>
      <c r="Y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180,$BB$2:$CA$2,0),MATCH($W$147,$AH$22:$AH$47,0)))*C180</f>
        <v>0</v>
      </c>
      <c r="Z154" s="21">
        <f>(INT(((A174*$W$151)+((A174-1)*20)+80)/$E$176))+1</f>
        <v>1</v>
      </c>
      <c r="AB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180,$BB$2:$CA$2,0),MATCH($W$147,$AH$22:$AH$47,0)))*C180</f>
        <v>0</v>
      </c>
      <c r="AC154" s="25"/>
      <c r="AD154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180,$BB$2:$CA$2,0),MATCH($W$147,$AH$22:$AH$47,0)))*C180</f>
        <v>0</v>
      </c>
      <c r="AL154" s="20">
        <f t="shared" si="122"/>
        <v>0</v>
      </c>
      <c r="DD154" s="20"/>
      <c r="DE154" s="20"/>
      <c r="DF154" s="20"/>
      <c r="DG154" s="20"/>
      <c r="DH154" s="20"/>
      <c r="DI154" s="20"/>
      <c r="DJ154" s="20"/>
      <c r="DK154" s="20"/>
      <c r="DL154" s="20"/>
      <c r="DM154" s="20"/>
      <c r="DN154" s="20"/>
      <c r="DO154" s="20"/>
      <c r="DP154" s="20"/>
      <c r="DQ154" s="20"/>
      <c r="DR154" s="20"/>
      <c r="DS154" s="20"/>
      <c r="DT154" s="20"/>
      <c r="DU154" s="20"/>
      <c r="DV154" s="20"/>
      <c r="DW154" s="20"/>
      <c r="DX154" s="20"/>
      <c r="DY154" s="20"/>
      <c r="GE154" s="26" t="s">
        <v>517</v>
      </c>
      <c r="GF154" s="20">
        <v>0</v>
      </c>
      <c r="GG154" s="20">
        <v>0</v>
      </c>
      <c r="GH154" s="20">
        <v>2</v>
      </c>
      <c r="GI154" s="20">
        <v>4</v>
      </c>
      <c r="GJ154" s="20">
        <v>0</v>
      </c>
      <c r="GK154" s="20">
        <v>2</v>
      </c>
      <c r="GL154" s="20">
        <v>4</v>
      </c>
      <c r="GM154" s="20">
        <v>0</v>
      </c>
      <c r="GN154" s="20">
        <v>0</v>
      </c>
      <c r="GO154" s="20">
        <v>0</v>
      </c>
      <c r="GP154" s="20">
        <v>0</v>
      </c>
      <c r="GQ154" s="20">
        <v>0</v>
      </c>
      <c r="GR154" s="20">
        <v>0</v>
      </c>
      <c r="GS154" s="20">
        <v>2</v>
      </c>
      <c r="GT154" s="20">
        <v>0</v>
      </c>
      <c r="GU154" s="20">
        <v>0</v>
      </c>
      <c r="GV154" s="20">
        <v>2</v>
      </c>
      <c r="GW154" s="20">
        <v>0</v>
      </c>
      <c r="GX154" s="20">
        <v>0</v>
      </c>
      <c r="GY154" s="20">
        <v>0</v>
      </c>
      <c r="GZ154" s="20">
        <v>0</v>
      </c>
      <c r="HA154" s="20">
        <v>0</v>
      </c>
      <c r="HB154" s="20">
        <v>0</v>
      </c>
      <c r="HC154" s="20">
        <v>0</v>
      </c>
      <c r="HD154" s="20">
        <v>0</v>
      </c>
      <c r="HE154" s="20">
        <v>0</v>
      </c>
      <c r="HF154" s="20">
        <v>0</v>
      </c>
      <c r="HG154" s="20">
        <v>0</v>
      </c>
      <c r="HH154" s="20">
        <v>0</v>
      </c>
      <c r="HI154" s="20">
        <v>0</v>
      </c>
      <c r="HJ154" s="20">
        <v>0</v>
      </c>
      <c r="HK154" s="20">
        <v>0</v>
      </c>
      <c r="HL154" s="20">
        <v>0</v>
      </c>
      <c r="HM154" s="20">
        <v>0</v>
      </c>
      <c r="HN154" s="20">
        <v>0</v>
      </c>
      <c r="HO154" s="20">
        <v>0</v>
      </c>
      <c r="HP154" s="20">
        <v>0</v>
      </c>
      <c r="HQ154" s="20">
        <v>0</v>
      </c>
      <c r="HR154" s="20">
        <v>0</v>
      </c>
      <c r="HS154" s="20">
        <v>0</v>
      </c>
      <c r="HT154" s="20">
        <v>0</v>
      </c>
      <c r="HU154" s="20">
        <v>0</v>
      </c>
      <c r="HV154" s="20">
        <v>0</v>
      </c>
      <c r="HW154" s="20">
        <v>0</v>
      </c>
      <c r="HX154" s="20">
        <v>0</v>
      </c>
      <c r="HY154" s="20">
        <v>0</v>
      </c>
      <c r="HZ154" s="20">
        <v>0</v>
      </c>
      <c r="IA154" s="20">
        <v>0</v>
      </c>
      <c r="IB154" s="20">
        <v>0</v>
      </c>
      <c r="IC154" s="20">
        <v>0</v>
      </c>
      <c r="ID154" s="20">
        <v>0</v>
      </c>
      <c r="JI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158,$JT$2:$KS$2,0),MATCH($W$125,$AH$22:$AH$47,0)))*C158</f>
        <v>0</v>
      </c>
      <c r="JJ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158,$JT$2:$KS$2,0),MATCH($W$125,$AH$22:$AH$47,0)))*C158</f>
        <v>0</v>
      </c>
      <c r="JK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158,$JT$2:$KS$2,0),MATCH($W$125,$AH$22:$AH$47,0)))*C158</f>
        <v>0</v>
      </c>
      <c r="JL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158,$JT$2:$KS$2,0),MATCH($W$125,$AH$22:$AH$47,0)))*C158</f>
        <v>0</v>
      </c>
      <c r="JM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158,$JT$2:$KS$2,0),MATCH($W$125,$AH$22:$AH$47,0)))*C158</f>
        <v>0</v>
      </c>
      <c r="JN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158,$JT$2:$KS$2,0),MATCH($W$125,$AH$22:$AH$47,0)))*C158</f>
        <v>0</v>
      </c>
      <c r="JO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158,$JT$2:$KS$2,0),MATCH($W$125,$AH$22:$AH$47,0)))*C158</f>
        <v>0</v>
      </c>
      <c r="JP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158,$JT$2:$KS$2,0),MATCH($W$125,$AH$22:$AH$47,0)))*C158</f>
        <v>0</v>
      </c>
      <c r="JQ154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158,$JT$2:$KS$2,0),MATCH($W$125,$AH$22:$AH$47,0)))*C158</f>
        <v>0</v>
      </c>
      <c r="JS154" s="21" t="s">
        <v>15</v>
      </c>
      <c r="JT154" s="20">
        <v>0</v>
      </c>
      <c r="JU154" s="20">
        <v>0</v>
      </c>
      <c r="JV154" s="20">
        <v>2</v>
      </c>
      <c r="JW154" s="20">
        <v>0</v>
      </c>
      <c r="JX154" s="20">
        <v>2</v>
      </c>
      <c r="JY154" s="20">
        <v>0</v>
      </c>
      <c r="JZ154" s="20">
        <v>0</v>
      </c>
      <c r="KA154" s="20">
        <v>2</v>
      </c>
      <c r="KB154" s="20">
        <v>0</v>
      </c>
      <c r="KC154" s="20">
        <v>0</v>
      </c>
      <c r="KD154" s="20">
        <v>0</v>
      </c>
      <c r="KE154" s="20">
        <v>0</v>
      </c>
      <c r="KF154" s="20">
        <v>0</v>
      </c>
      <c r="KG154" s="20">
        <v>0</v>
      </c>
      <c r="KH154" s="20">
        <v>0</v>
      </c>
      <c r="KI154" s="20">
        <v>0</v>
      </c>
      <c r="KJ154" s="20">
        <v>0</v>
      </c>
      <c r="KK154" s="20">
        <v>0</v>
      </c>
      <c r="KL154" s="20">
        <v>0</v>
      </c>
      <c r="KM154" s="20">
        <v>0</v>
      </c>
      <c r="KN154" s="20">
        <v>0</v>
      </c>
      <c r="KO154" s="20">
        <v>0</v>
      </c>
      <c r="KP154" s="20">
        <v>0</v>
      </c>
      <c r="KQ154" s="20">
        <v>0</v>
      </c>
      <c r="KR154" s="20">
        <v>0</v>
      </c>
      <c r="KS154" s="20">
        <v>0</v>
      </c>
      <c r="LW154" s="20" t="s">
        <v>15</v>
      </c>
      <c r="LX154" s="20">
        <v>0</v>
      </c>
      <c r="LY154" s="20">
        <v>0</v>
      </c>
      <c r="LZ154" s="20">
        <v>0</v>
      </c>
      <c r="MA154" s="20">
        <v>0</v>
      </c>
      <c r="MB154" s="20">
        <v>2</v>
      </c>
      <c r="MC154" s="20">
        <v>0</v>
      </c>
      <c r="MD154" s="20">
        <v>0</v>
      </c>
      <c r="ME154" s="20">
        <v>0</v>
      </c>
      <c r="MF154" s="20">
        <v>0</v>
      </c>
      <c r="MG154" s="20">
        <v>0</v>
      </c>
      <c r="MH154" s="20">
        <v>0</v>
      </c>
      <c r="MI154" s="20">
        <v>0</v>
      </c>
      <c r="MJ154" s="20">
        <v>0</v>
      </c>
      <c r="MK154" s="20">
        <v>0</v>
      </c>
      <c r="ML154" s="20">
        <v>0</v>
      </c>
      <c r="MM154" s="20">
        <v>0</v>
      </c>
      <c r="MN154" s="20">
        <v>0</v>
      </c>
      <c r="MO154" s="20">
        <v>0</v>
      </c>
      <c r="MP154" s="20">
        <v>0</v>
      </c>
      <c r="MQ154" s="20">
        <v>0</v>
      </c>
      <c r="MR154" s="20">
        <v>0</v>
      </c>
      <c r="MS154" s="20">
        <v>0</v>
      </c>
      <c r="MT154" s="20">
        <v>0</v>
      </c>
      <c r="MU154" s="20">
        <v>0</v>
      </c>
      <c r="MV154" s="20">
        <v>0</v>
      </c>
      <c r="MW154" s="20">
        <v>0</v>
      </c>
    </row>
    <row r="155" spans="1:361" x14ac:dyDescent="0.25">
      <c r="A155" s="8"/>
      <c r="B155" s="5" t="s">
        <v>116</v>
      </c>
      <c r="C155" s="8"/>
      <c r="D155" s="6" t="s">
        <v>162</v>
      </c>
      <c r="E155" s="8">
        <v>0</v>
      </c>
      <c r="F155" s="5"/>
      <c r="G155" s="5"/>
      <c r="H155" s="5"/>
      <c r="I155" s="5"/>
      <c r="J155" s="5" t="s">
        <v>163</v>
      </c>
      <c r="K155" s="4"/>
      <c r="L155" s="6" t="str">
        <f>IF($E$156=$AK$22,"PAL40H40/3,3",IF($E$156=$AK$23,"PAL30H32/3,3",IF($E$156=$AK$24,"CWP40H35/3,3MC","-------")))</f>
        <v>PAL40H40/3,3</v>
      </c>
      <c r="M155" s="14">
        <f>INDEX(cennik!$C$2:$L$529,MATCH($L155,cennik!$B$2:$B$522,0),MATCH(M$27,cennik!$C$1:$L$1,0))</f>
        <v>894633</v>
      </c>
      <c r="N155" s="14" t="str">
        <f>INDEX(cennik!$C$2:$L$529,MATCH($L155,cennik!$B$2:$B$522,0),MATCH(N$27,cennik!$C$1:$L$1,0))</f>
        <v>szt.</v>
      </c>
      <c r="O155" s="14">
        <f>IF(L155="-------",0,SUM(JO145:JO160))</f>
        <v>0</v>
      </c>
      <c r="P155" s="22">
        <f>INDEX(cennik!$C$2:$L$529,MATCH($L155,cennik!$B$2:$B$522,0),MATCH(P$27,cennik!$C$1:$L$1,0))</f>
        <v>102.3</v>
      </c>
      <c r="Q155" s="22">
        <f t="shared" si="125"/>
        <v>0</v>
      </c>
      <c r="R155" s="23">
        <f t="shared" si="123"/>
        <v>0</v>
      </c>
      <c r="S155" s="22">
        <f t="shared" si="129"/>
        <v>102.3</v>
      </c>
      <c r="T155" s="22">
        <f t="shared" si="124"/>
        <v>0</v>
      </c>
      <c r="U155" s="22">
        <f>INDEX(cennik!$C$2:$L$529,MATCH($L155,cennik!$B$2:$B$522,0),MATCH(U$27,cennik!$C$1:$L$1,0))*O155</f>
        <v>0</v>
      </c>
      <c r="X155" s="25">
        <f t="shared" si="121"/>
        <v>0</v>
      </c>
      <c r="Y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181,$BB$2:$CA$2,0),MATCH($W$147,$AH$22:$AH$47,0)))*C181</f>
        <v>0</v>
      </c>
      <c r="Z155" s="21">
        <f>((INT(((A174*$W$151)+((A174-1)*20)+80)/$E$176))+2)</f>
        <v>2</v>
      </c>
      <c r="AB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181,$BB$2:$CA$2,0),MATCH($W$147,$AH$22:$AH$47,0)))*C181</f>
        <v>0</v>
      </c>
      <c r="AC155" s="25"/>
      <c r="AD155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181,$BB$2:$CA$2,0),MATCH($W$147,$AH$22:$AH$47,0)))*C181</f>
        <v>0</v>
      </c>
      <c r="AL155" s="20">
        <f t="shared" si="122"/>
        <v>0</v>
      </c>
      <c r="DD155" s="20" t="s">
        <v>478</v>
      </c>
      <c r="DE155" s="20">
        <v>0</v>
      </c>
      <c r="DF155" s="20">
        <v>1</v>
      </c>
      <c r="DG155" s="20">
        <v>2</v>
      </c>
      <c r="DH155" s="20">
        <v>3</v>
      </c>
      <c r="DI155" s="20">
        <v>4</v>
      </c>
      <c r="DJ155" s="20">
        <v>5</v>
      </c>
      <c r="DK155" s="20">
        <v>6</v>
      </c>
      <c r="DL155" s="20">
        <v>7</v>
      </c>
      <c r="DM155" s="20">
        <v>8</v>
      </c>
      <c r="DN155" s="20">
        <v>9</v>
      </c>
      <c r="DO155" s="20">
        <v>10</v>
      </c>
      <c r="DP155" s="20">
        <v>11</v>
      </c>
      <c r="DQ155" s="20">
        <v>12</v>
      </c>
      <c r="DR155" s="20">
        <v>13</v>
      </c>
      <c r="DS155" s="20">
        <v>14</v>
      </c>
      <c r="DT155" s="20">
        <v>15</v>
      </c>
      <c r="DU155" s="20">
        <v>16</v>
      </c>
      <c r="DV155" s="20">
        <v>17</v>
      </c>
      <c r="DW155" s="20">
        <v>18</v>
      </c>
      <c r="DX155" s="20">
        <v>19</v>
      </c>
      <c r="DY155" s="20">
        <v>20</v>
      </c>
      <c r="GE155" s="26" t="s">
        <v>518</v>
      </c>
      <c r="GF155" s="20">
        <v>0</v>
      </c>
      <c r="GG155" s="20">
        <v>0</v>
      </c>
      <c r="GH155" s="20">
        <v>0</v>
      </c>
      <c r="GI155" s="20">
        <v>0</v>
      </c>
      <c r="GJ155" s="20">
        <v>0</v>
      </c>
      <c r="GK155" s="20">
        <v>0</v>
      </c>
      <c r="GL155" s="20">
        <v>0</v>
      </c>
      <c r="GM155" s="20">
        <v>0</v>
      </c>
      <c r="GN155" s="20">
        <v>2</v>
      </c>
      <c r="GO155" s="20">
        <v>2</v>
      </c>
      <c r="GP155" s="20">
        <v>4</v>
      </c>
      <c r="GQ155" s="20">
        <v>0</v>
      </c>
      <c r="GR155" s="20">
        <v>2</v>
      </c>
      <c r="GS155" s="20">
        <v>0</v>
      </c>
      <c r="GT155" s="20">
        <v>0</v>
      </c>
      <c r="GU155" s="20">
        <v>2</v>
      </c>
      <c r="GV155" s="20">
        <v>0</v>
      </c>
      <c r="GW155" s="20">
        <v>0</v>
      </c>
      <c r="GX155" s="20">
        <v>0</v>
      </c>
      <c r="GY155" s="20">
        <v>0</v>
      </c>
      <c r="GZ155" s="20">
        <v>2</v>
      </c>
      <c r="HA155" s="20">
        <v>0</v>
      </c>
      <c r="HB155" s="20">
        <v>2</v>
      </c>
      <c r="HC155" s="20">
        <v>2</v>
      </c>
      <c r="HD155" s="20">
        <v>0</v>
      </c>
      <c r="HE155" s="20">
        <v>0</v>
      </c>
      <c r="HF155" s="20">
        <v>0</v>
      </c>
      <c r="HG155" s="20">
        <v>0</v>
      </c>
      <c r="HH155" s="20">
        <v>0</v>
      </c>
      <c r="HI155" s="20">
        <v>0</v>
      </c>
      <c r="HJ155" s="20">
        <v>0</v>
      </c>
      <c r="HK155" s="20">
        <v>0</v>
      </c>
      <c r="HL155" s="20">
        <v>0</v>
      </c>
      <c r="HM155" s="20">
        <v>2</v>
      </c>
      <c r="HN155" s="20">
        <v>0</v>
      </c>
      <c r="HO155" s="20">
        <v>0</v>
      </c>
      <c r="HP155" s="20">
        <v>2</v>
      </c>
      <c r="HQ155" s="20">
        <v>0</v>
      </c>
      <c r="HR155" s="20">
        <v>0</v>
      </c>
      <c r="HS155" s="20">
        <v>0</v>
      </c>
      <c r="HT155" s="20">
        <v>0</v>
      </c>
      <c r="HU155" s="20">
        <v>0</v>
      </c>
      <c r="HV155" s="20">
        <v>0</v>
      </c>
      <c r="HW155" s="20">
        <v>0</v>
      </c>
      <c r="HX155" s="20">
        <v>0</v>
      </c>
      <c r="HY155" s="20">
        <v>0</v>
      </c>
      <c r="HZ155" s="20">
        <v>0</v>
      </c>
      <c r="IA155" s="20">
        <v>4</v>
      </c>
      <c r="IB155" s="20">
        <v>0</v>
      </c>
      <c r="IC155" s="20">
        <v>0</v>
      </c>
      <c r="ID155" s="20">
        <v>0</v>
      </c>
      <c r="JI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159,$JT$2:$KS$2,0),MATCH($W$125,$AH$22:$AH$47,0)))*C159</f>
        <v>0</v>
      </c>
      <c r="JJ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159,$JT$2:$KS$2,0),MATCH($W$125,$AH$22:$AH$47,0)))*C159</f>
        <v>0</v>
      </c>
      <c r="JK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159,$JT$2:$KS$2,0),MATCH($W$125,$AH$22:$AH$47,0)))*C159</f>
        <v>0</v>
      </c>
      <c r="JL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159,$JT$2:$KS$2,0),MATCH($W$125,$AH$22:$AH$47,0)))*C159</f>
        <v>0</v>
      </c>
      <c r="JM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159,$JT$2:$KS$2,0),MATCH($W$125,$AH$22:$AH$47,0)))*C159</f>
        <v>0</v>
      </c>
      <c r="JN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159,$JT$2:$KS$2,0),MATCH($W$125,$AH$22:$AH$47,0)))*C159</f>
        <v>0</v>
      </c>
      <c r="JO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159,$JT$2:$KS$2,0),MATCH($W$125,$AH$22:$AH$47,0)))*C159</f>
        <v>0</v>
      </c>
      <c r="JP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159,$JT$2:$KS$2,0),MATCH($W$125,$AH$22:$AH$47,0)))*C159</f>
        <v>0</v>
      </c>
      <c r="JQ155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159,$JT$2:$KS$2,0),MATCH($W$125,$AH$22:$AH$47,0)))*C159</f>
        <v>0</v>
      </c>
      <c r="JS155" s="21" t="s">
        <v>19</v>
      </c>
      <c r="JT155" s="20">
        <v>0</v>
      </c>
      <c r="JU155" s="20">
        <v>0</v>
      </c>
      <c r="JV155" s="20">
        <v>0</v>
      </c>
      <c r="JW155" s="20">
        <v>0</v>
      </c>
      <c r="JX155" s="20">
        <v>0</v>
      </c>
      <c r="JY155" s="20">
        <v>0</v>
      </c>
      <c r="JZ155" s="20">
        <v>0</v>
      </c>
      <c r="KA155" s="20">
        <v>4</v>
      </c>
      <c r="KB155" s="20">
        <v>2</v>
      </c>
      <c r="KC155" s="20">
        <v>4</v>
      </c>
      <c r="KD155" s="20">
        <v>4</v>
      </c>
      <c r="KE155" s="20">
        <v>0</v>
      </c>
      <c r="KF155" s="20">
        <v>2</v>
      </c>
      <c r="KG155" s="20">
        <v>0</v>
      </c>
      <c r="KH155" s="20">
        <v>6</v>
      </c>
      <c r="KI155" s="20">
        <v>6</v>
      </c>
      <c r="KJ155" s="20">
        <v>0</v>
      </c>
      <c r="KK155" s="20">
        <v>2</v>
      </c>
      <c r="KL155" s="20">
        <v>2</v>
      </c>
      <c r="KM155" s="20">
        <v>8</v>
      </c>
      <c r="KN155" s="20">
        <v>8</v>
      </c>
      <c r="KO155" s="20">
        <v>2</v>
      </c>
      <c r="KP155" s="20">
        <v>4</v>
      </c>
      <c r="KQ155" s="20">
        <v>4</v>
      </c>
      <c r="KR155" s="20">
        <v>0</v>
      </c>
      <c r="KS155" s="20">
        <v>0</v>
      </c>
      <c r="LW155" s="20" t="s">
        <v>19</v>
      </c>
      <c r="LX155" s="20">
        <v>0</v>
      </c>
      <c r="LY155" s="20">
        <v>0</v>
      </c>
      <c r="LZ155" s="20">
        <v>0</v>
      </c>
      <c r="MA155" s="20">
        <v>2</v>
      </c>
      <c r="MB155" s="20">
        <v>0</v>
      </c>
      <c r="MC155" s="20">
        <v>0</v>
      </c>
      <c r="MD155" s="20">
        <v>4</v>
      </c>
      <c r="ME155" s="20">
        <v>4</v>
      </c>
      <c r="MF155" s="20">
        <v>2</v>
      </c>
      <c r="MG155" s="20">
        <v>6</v>
      </c>
      <c r="MH155" s="20">
        <v>6</v>
      </c>
      <c r="MI155" s="20">
        <v>0</v>
      </c>
      <c r="MJ155" s="20">
        <v>2</v>
      </c>
      <c r="MK155" s="20">
        <v>8</v>
      </c>
      <c r="ML155" s="20">
        <v>2</v>
      </c>
      <c r="MM155" s="20">
        <v>2</v>
      </c>
      <c r="MN155" s="20">
        <v>0</v>
      </c>
      <c r="MO155" s="20">
        <v>4</v>
      </c>
      <c r="MP155" s="20">
        <v>4</v>
      </c>
      <c r="MQ155" s="20">
        <v>0</v>
      </c>
      <c r="MR155" s="20">
        <v>6</v>
      </c>
      <c r="MS155" s="20">
        <v>6</v>
      </c>
      <c r="MT155" s="20">
        <v>0</v>
      </c>
      <c r="MU155" s="20">
        <v>8</v>
      </c>
      <c r="MV155" s="20">
        <v>8</v>
      </c>
      <c r="MW155" s="20">
        <v>2</v>
      </c>
    </row>
    <row r="156" spans="1:361" x14ac:dyDescent="0.25">
      <c r="A156" s="8"/>
      <c r="B156" s="5" t="s">
        <v>116</v>
      </c>
      <c r="C156" s="8"/>
      <c r="D156" s="6" t="s">
        <v>709</v>
      </c>
      <c r="E156" s="8" t="s">
        <v>781</v>
      </c>
      <c r="F156" s="359" t="str">
        <f>IF(E156="30x32 alu","możliwość stosowania w 1 strefie wiatrowej oraz 1,2,3 strefie śniegowej przy max. rozstawie podpór wynoszącym 0,8m","")</f>
        <v/>
      </c>
      <c r="G156" s="359"/>
      <c r="H156" s="359"/>
      <c r="I156" s="359"/>
      <c r="J156" s="4"/>
      <c r="K156" s="4"/>
      <c r="L156" s="6" t="str">
        <f>IF($E$111=$AK$22,"PAL40H40/3,6",IF($E$111=$AK$23,"-------",IF($E$111=$AK$24,"-------","-------")))</f>
        <v>PAL40H40/3,6</v>
      </c>
      <c r="M156" s="14">
        <f>INDEX(cennik!$C$2:$L$529,MATCH($L156,cennik!$B$2:$B$522,0),MATCH(M$27,cennik!$C$1:$L$1,0))</f>
        <v>894636</v>
      </c>
      <c r="N156" s="14" t="str">
        <f>INDEX(cennik!$C$2:$L$529,MATCH($L156,cennik!$B$2:$B$522,0),MATCH(N$27,cennik!$C$1:$L$1,0))</f>
        <v>szt.</v>
      </c>
      <c r="O156" s="14">
        <f>IF(L156="-------",0,SUM(JP145:JP160))</f>
        <v>0</v>
      </c>
      <c r="P156" s="22">
        <f>INDEX(cennik!$C$2:$L$529,MATCH($L156,cennik!$B$2:$B$522,0),MATCH(P$27,cennik!$C$1:$L$1,0))</f>
        <v>111.6</v>
      </c>
      <c r="Q156" s="22">
        <f t="shared" ref="Q156:Q157" si="130">O156*P156</f>
        <v>0</v>
      </c>
      <c r="R156" s="23">
        <f t="shared" ref="R156:R157" si="131">$E$155</f>
        <v>0</v>
      </c>
      <c r="S156" s="22">
        <f t="shared" si="129"/>
        <v>111.6</v>
      </c>
      <c r="T156" s="22">
        <f t="shared" ref="T156:T157" si="132">O156*S156</f>
        <v>0</v>
      </c>
      <c r="U156" s="22">
        <f>INDEX(cennik!$C$2:$L$529,MATCH($L156,cennik!$B$2:$B$522,0),MATCH(U$27,cennik!$C$1:$L$1,0))*O156</f>
        <v>0</v>
      </c>
      <c r="X156" s="25">
        <f t="shared" si="121"/>
        <v>0</v>
      </c>
      <c r="Y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182,$BB$2:$CA$2,0),MATCH($W$147,$AH$22:$AH$47,0)))*C182</f>
        <v>0</v>
      </c>
      <c r="AB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182,$BB$2:$CA$2,0),MATCH($W$147,$AH$22:$AH$47,0)))*C182</f>
        <v>0</v>
      </c>
      <c r="AC156" s="25"/>
      <c r="AD156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182,$BB$2:$CA$2,0),MATCH($W$147,$AH$22:$AH$47,0)))*C182</f>
        <v>0</v>
      </c>
      <c r="AL156" s="20">
        <f t="shared" si="122"/>
        <v>0</v>
      </c>
      <c r="DD156" s="20" t="s">
        <v>127</v>
      </c>
      <c r="DE156" s="20">
        <v>0</v>
      </c>
      <c r="DF156" s="20">
        <v>0</v>
      </c>
      <c r="DG156" s="20">
        <v>4</v>
      </c>
      <c r="DH156" s="20">
        <v>0</v>
      </c>
      <c r="DI156" s="20">
        <v>2</v>
      </c>
      <c r="DJ156" s="20">
        <v>4</v>
      </c>
      <c r="DK156" s="20">
        <v>0</v>
      </c>
      <c r="DL156" s="20">
        <v>2</v>
      </c>
      <c r="DM156" s="20">
        <v>4</v>
      </c>
      <c r="DN156" s="20">
        <v>0</v>
      </c>
      <c r="DO156" s="20">
        <v>2</v>
      </c>
      <c r="DP156" s="20">
        <v>4</v>
      </c>
      <c r="DQ156" s="20">
        <v>0</v>
      </c>
      <c r="DR156" s="20">
        <v>2</v>
      </c>
      <c r="DS156" s="20">
        <v>4</v>
      </c>
      <c r="DT156" s="20">
        <v>0</v>
      </c>
      <c r="DU156" s="20">
        <v>2</v>
      </c>
      <c r="DV156" s="20">
        <v>4</v>
      </c>
      <c r="DW156" s="20">
        <v>0</v>
      </c>
      <c r="DX156" s="20">
        <v>2</v>
      </c>
      <c r="DY156" s="20">
        <v>4</v>
      </c>
      <c r="GE156" s="26" t="s">
        <v>519</v>
      </c>
      <c r="GF156" s="20">
        <v>0</v>
      </c>
      <c r="GG156" s="20">
        <v>2</v>
      </c>
      <c r="GH156" s="20">
        <v>2</v>
      </c>
      <c r="GI156" s="20">
        <v>2</v>
      </c>
      <c r="GJ156" s="20">
        <v>6</v>
      </c>
      <c r="GK156" s="20">
        <v>4</v>
      </c>
      <c r="GL156" s="20">
        <v>0</v>
      </c>
      <c r="GM156" s="20">
        <v>2</v>
      </c>
      <c r="GN156" s="20">
        <v>0</v>
      </c>
      <c r="GO156" s="20">
        <v>12</v>
      </c>
      <c r="GP156" s="20">
        <v>10</v>
      </c>
      <c r="GQ156" s="20">
        <v>8</v>
      </c>
      <c r="GR156" s="20">
        <v>6</v>
      </c>
      <c r="GS156" s="20">
        <v>18</v>
      </c>
      <c r="GT156" s="20">
        <v>2</v>
      </c>
      <c r="GU156" s="20">
        <v>0</v>
      </c>
      <c r="GV156" s="20">
        <v>12</v>
      </c>
      <c r="GW156" s="20">
        <v>0</v>
      </c>
      <c r="GX156" s="20">
        <v>10</v>
      </c>
      <c r="GY156" s="20">
        <v>22</v>
      </c>
      <c r="GZ156" s="20">
        <v>20</v>
      </c>
      <c r="HA156" s="20">
        <v>4</v>
      </c>
      <c r="HB156" s="20">
        <v>8</v>
      </c>
      <c r="HC156" s="20">
        <v>14</v>
      </c>
      <c r="HD156" s="20">
        <v>0</v>
      </c>
      <c r="HE156" s="20">
        <v>10</v>
      </c>
      <c r="HF156" s="20">
        <v>24</v>
      </c>
      <c r="HG156" s="20">
        <v>0</v>
      </c>
      <c r="HH156" s="20">
        <v>6</v>
      </c>
      <c r="HI156" s="20">
        <v>18</v>
      </c>
      <c r="HJ156" s="20">
        <v>30</v>
      </c>
      <c r="HK156" s="20">
        <v>0</v>
      </c>
      <c r="HL156" s="20">
        <v>12</v>
      </c>
      <c r="HM156" s="20">
        <v>10</v>
      </c>
      <c r="HN156" s="20">
        <v>0</v>
      </c>
      <c r="HO156" s="20">
        <v>6</v>
      </c>
      <c r="HP156" s="20">
        <v>4</v>
      </c>
      <c r="HQ156" s="20">
        <v>14</v>
      </c>
      <c r="HR156" s="20">
        <v>0</v>
      </c>
      <c r="HS156" s="20">
        <v>14</v>
      </c>
      <c r="HT156" s="20">
        <v>26</v>
      </c>
      <c r="HU156" s="20">
        <v>0</v>
      </c>
      <c r="HV156" s="20">
        <v>8</v>
      </c>
      <c r="HW156" s="20">
        <v>20</v>
      </c>
      <c r="HX156" s="20">
        <v>0</v>
      </c>
      <c r="HY156" s="20">
        <v>2</v>
      </c>
      <c r="HZ156" s="20">
        <v>14</v>
      </c>
      <c r="IA156" s="20">
        <v>12</v>
      </c>
      <c r="IB156" s="20">
        <v>0</v>
      </c>
      <c r="IC156" s="20">
        <v>10</v>
      </c>
      <c r="ID156" s="20">
        <v>22</v>
      </c>
      <c r="JI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160,$JT$2:$KS$2,0),MATCH($W$125,$AH$22:$AH$47,0)))*C160</f>
        <v>0</v>
      </c>
      <c r="JJ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160,$JT$2:$KS$2,0),MATCH($W$125,$AH$22:$AH$47,0)))*C160</f>
        <v>0</v>
      </c>
      <c r="JK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160,$JT$2:$KS$2,0),MATCH($W$125,$AH$22:$AH$47,0)))*C160</f>
        <v>0</v>
      </c>
      <c r="JL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160,$JT$2:$KS$2,0),MATCH($W$125,$AH$22:$AH$47,0)))*C160</f>
        <v>0</v>
      </c>
      <c r="JM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160,$JT$2:$KS$2,0),MATCH($W$125,$AH$22:$AH$47,0)))*C160</f>
        <v>0</v>
      </c>
      <c r="JN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160,$JT$2:$KS$2,0),MATCH($W$125,$AH$22:$AH$47,0)))*C160</f>
        <v>0</v>
      </c>
      <c r="JO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160,$JT$2:$KS$2,0),MATCH($W$125,$AH$22:$AH$47,0)))*C160</f>
        <v>0</v>
      </c>
      <c r="JP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160,$JT$2:$KS$2,0),MATCH($W$125,$AH$22:$AH$47,0)))*C160</f>
        <v>0</v>
      </c>
      <c r="JQ156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160,$JT$2:$KS$2,0),MATCH($W$125,$AH$22:$AH$47,0)))*C160</f>
        <v>0</v>
      </c>
      <c r="JS156" s="20" t="s">
        <v>1298</v>
      </c>
      <c r="JT156" s="20">
        <v>0</v>
      </c>
      <c r="JU156" s="20">
        <v>0</v>
      </c>
      <c r="JV156" s="20">
        <v>0</v>
      </c>
      <c r="JW156" s="20">
        <v>0</v>
      </c>
      <c r="JX156" s="20">
        <v>0</v>
      </c>
      <c r="JY156" s="20">
        <v>4</v>
      </c>
      <c r="JZ156" s="20">
        <v>2</v>
      </c>
      <c r="KA156" s="20">
        <v>0</v>
      </c>
      <c r="KB156" s="20">
        <v>2</v>
      </c>
      <c r="KC156" s="20">
        <v>2</v>
      </c>
      <c r="KD156" s="20">
        <v>4</v>
      </c>
      <c r="KE156" s="20">
        <v>6</v>
      </c>
      <c r="KF156" s="20">
        <v>6</v>
      </c>
      <c r="KG156" s="20">
        <v>10</v>
      </c>
      <c r="KH156" s="20">
        <v>4</v>
      </c>
      <c r="KI156" s="20">
        <v>6</v>
      </c>
      <c r="KJ156" s="20">
        <v>10</v>
      </c>
      <c r="KK156" s="20">
        <v>10</v>
      </c>
      <c r="KL156" s="20">
        <v>12</v>
      </c>
      <c r="KM156" s="20">
        <v>6</v>
      </c>
      <c r="KN156" s="20">
        <v>8</v>
      </c>
      <c r="KO156" s="20">
        <v>12</v>
      </c>
      <c r="KP156" s="20">
        <v>12</v>
      </c>
      <c r="KQ156" s="20">
        <v>14</v>
      </c>
      <c r="KR156" s="20">
        <v>16</v>
      </c>
      <c r="KS156" s="20">
        <v>18</v>
      </c>
      <c r="LW156" s="20" t="s">
        <v>1298</v>
      </c>
      <c r="LX156" s="20">
        <v>0</v>
      </c>
      <c r="LY156" s="20">
        <v>0</v>
      </c>
      <c r="LZ156" s="20">
        <v>0</v>
      </c>
      <c r="MA156" s="20">
        <v>2</v>
      </c>
      <c r="MB156" s="20">
        <v>2</v>
      </c>
      <c r="MC156" s="20">
        <v>4</v>
      </c>
      <c r="MD156" s="20">
        <v>4</v>
      </c>
      <c r="ME156" s="20">
        <v>4</v>
      </c>
      <c r="MF156" s="20">
        <v>6</v>
      </c>
      <c r="MG156" s="20">
        <v>6</v>
      </c>
      <c r="MH156" s="20">
        <v>6</v>
      </c>
      <c r="MI156" s="20">
        <v>14</v>
      </c>
      <c r="MJ156" s="20">
        <v>12</v>
      </c>
      <c r="MK156" s="20">
        <v>8</v>
      </c>
      <c r="ML156" s="20">
        <v>16</v>
      </c>
      <c r="MM156" s="20">
        <v>16</v>
      </c>
      <c r="MN156" s="20">
        <v>18</v>
      </c>
      <c r="MO156" s="20">
        <v>18</v>
      </c>
      <c r="MP156" s="20">
        <v>18</v>
      </c>
      <c r="MQ156" s="20">
        <v>24</v>
      </c>
      <c r="MR156" s="20">
        <v>20</v>
      </c>
      <c r="MS156" s="20">
        <v>20</v>
      </c>
      <c r="MT156" s="20">
        <v>28</v>
      </c>
      <c r="MU156" s="20">
        <v>22</v>
      </c>
      <c r="MV156" s="20">
        <v>22</v>
      </c>
      <c r="MW156" s="20">
        <v>30</v>
      </c>
    </row>
    <row r="157" spans="1:361" x14ac:dyDescent="0.25">
      <c r="A157" s="8"/>
      <c r="B157" s="5" t="s">
        <v>116</v>
      </c>
      <c r="C157" s="8"/>
      <c r="D157" s="6" t="s">
        <v>510</v>
      </c>
      <c r="E157" s="8">
        <v>0</v>
      </c>
      <c r="F157" s="359"/>
      <c r="G157" s="359"/>
      <c r="H157" s="359"/>
      <c r="I157" s="359"/>
      <c r="J157" s="5" t="s">
        <v>509</v>
      </c>
      <c r="K157" s="4"/>
      <c r="L157" s="6" t="str">
        <f>IF($E$111=$AK$22,"PAL40H40/4,4",IF($E$111=$AK$23,"-------",IF($E$111=$AK$24,"-------","-------")))</f>
        <v>PAL40H40/4,4</v>
      </c>
      <c r="M157" s="14">
        <f>INDEX(cennik!$C$2:$L$529,MATCH($L157,cennik!$B$2:$B$522,0),MATCH(M$27,cennik!$C$1:$L$1,0))</f>
        <v>894644</v>
      </c>
      <c r="N157" s="14" t="str">
        <f>INDEX(cennik!$C$2:$L$529,MATCH($L157,cennik!$B$2:$B$522,0),MATCH(N$27,cennik!$C$1:$L$1,0))</f>
        <v>szt.</v>
      </c>
      <c r="O157" s="14">
        <f>IF(L157="-------",0,SUM(JQ145:JQ160))</f>
        <v>0</v>
      </c>
      <c r="P157" s="22">
        <f>INDEX(cennik!$C$2:$L$529,MATCH($L157,cennik!$B$2:$B$522,0),MATCH(P$27,cennik!$C$1:$L$1,0))</f>
        <v>140.80000000000001</v>
      </c>
      <c r="Q157" s="22">
        <f t="shared" si="130"/>
        <v>0</v>
      </c>
      <c r="R157" s="23">
        <f t="shared" si="131"/>
        <v>0</v>
      </c>
      <c r="S157" s="22">
        <f t="shared" si="129"/>
        <v>140.80000000000001</v>
      </c>
      <c r="T157" s="22">
        <f t="shared" si="132"/>
        <v>0</v>
      </c>
      <c r="U157" s="22">
        <f>INDEX(cennik!$C$2:$L$529,MATCH($L157,cennik!$B$2:$B$522,0),MATCH(U$27,cennik!$C$1:$L$1,0))*O157</f>
        <v>0</v>
      </c>
      <c r="X157" s="25">
        <f t="shared" si="121"/>
        <v>0</v>
      </c>
      <c r="Y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183,$BB$2:$CA$2,0),MATCH($W$147,$AH$22:$AH$47,0)))*C183</f>
        <v>0</v>
      </c>
      <c r="AB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183,$BB$2:$CA$2,0),MATCH($W$147,$AH$22:$AH$47,0)))*C183</f>
        <v>0</v>
      </c>
      <c r="AC157" s="25"/>
      <c r="AD157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183,$BB$2:$CA$2,0),MATCH($W$147,$AH$22:$AH$47,0)))*C183</f>
        <v>0</v>
      </c>
      <c r="AL157" s="20">
        <f t="shared" si="122"/>
        <v>0</v>
      </c>
      <c r="DD157" s="20" t="s">
        <v>19</v>
      </c>
      <c r="DE157" s="20">
        <v>0</v>
      </c>
      <c r="DF157" s="20">
        <v>2</v>
      </c>
      <c r="DG157" s="20">
        <v>0</v>
      </c>
      <c r="DH157" s="20">
        <v>4</v>
      </c>
      <c r="DI157" s="20">
        <v>4</v>
      </c>
      <c r="DJ157" s="20">
        <v>4</v>
      </c>
      <c r="DK157" s="20">
        <v>8</v>
      </c>
      <c r="DL157" s="20">
        <v>8</v>
      </c>
      <c r="DM157" s="20">
        <v>8</v>
      </c>
      <c r="DN157" s="20">
        <v>12</v>
      </c>
      <c r="DO157" s="20">
        <v>12</v>
      </c>
      <c r="DP157" s="20">
        <v>12</v>
      </c>
      <c r="DQ157" s="20">
        <v>16</v>
      </c>
      <c r="DR157" s="20">
        <v>16</v>
      </c>
      <c r="DS157" s="20">
        <v>16</v>
      </c>
      <c r="DT157" s="20">
        <v>20</v>
      </c>
      <c r="DU157" s="20">
        <v>20</v>
      </c>
      <c r="DV157" s="20">
        <v>20</v>
      </c>
      <c r="DW157" s="20">
        <v>24</v>
      </c>
      <c r="DX157" s="20">
        <v>24</v>
      </c>
      <c r="DY157" s="20">
        <v>24</v>
      </c>
      <c r="GE157" s="26" t="s">
        <v>520</v>
      </c>
      <c r="GF157" s="20">
        <v>0</v>
      </c>
      <c r="GG157" s="20">
        <v>0</v>
      </c>
      <c r="GH157" s="20">
        <v>0</v>
      </c>
      <c r="GI157" s="20">
        <v>0</v>
      </c>
      <c r="GJ157" s="20">
        <v>0</v>
      </c>
      <c r="GK157" s="20">
        <v>2</v>
      </c>
      <c r="GL157" s="20">
        <v>6</v>
      </c>
      <c r="GM157" s="20">
        <v>8</v>
      </c>
      <c r="GN157" s="20">
        <v>10</v>
      </c>
      <c r="GO157" s="20">
        <v>0</v>
      </c>
      <c r="GP157" s="20">
        <v>2</v>
      </c>
      <c r="GQ157" s="20">
        <v>8</v>
      </c>
      <c r="GR157" s="20">
        <v>10</v>
      </c>
      <c r="GS157" s="20">
        <v>0</v>
      </c>
      <c r="GT157" s="20">
        <v>18</v>
      </c>
      <c r="GU157" s="20">
        <v>20</v>
      </c>
      <c r="GV157" s="20">
        <v>10</v>
      </c>
      <c r="GW157" s="20">
        <v>24</v>
      </c>
      <c r="GX157" s="20">
        <v>16</v>
      </c>
      <c r="GY157" s="20">
        <v>6</v>
      </c>
      <c r="GZ157" s="20">
        <v>8</v>
      </c>
      <c r="HA157" s="20">
        <v>26</v>
      </c>
      <c r="HB157" s="20">
        <v>22</v>
      </c>
      <c r="HC157" s="20">
        <v>18</v>
      </c>
      <c r="HD157" s="20">
        <v>34</v>
      </c>
      <c r="HE157" s="20">
        <v>26</v>
      </c>
      <c r="HF157" s="20">
        <v>14</v>
      </c>
      <c r="HG157" s="20">
        <v>38</v>
      </c>
      <c r="HH157" s="20">
        <v>34</v>
      </c>
      <c r="HI157" s="20">
        <v>24</v>
      </c>
      <c r="HJ157" s="20">
        <v>14</v>
      </c>
      <c r="HK157" s="20">
        <v>44</v>
      </c>
      <c r="HL157" s="20">
        <v>34</v>
      </c>
      <c r="HM157" s="20">
        <v>36</v>
      </c>
      <c r="HN157" s="20">
        <v>48</v>
      </c>
      <c r="HO157" s="20">
        <v>44</v>
      </c>
      <c r="HP157" s="20">
        <v>46</v>
      </c>
      <c r="HQ157" s="20">
        <v>38</v>
      </c>
      <c r="HR157" s="20">
        <v>54</v>
      </c>
      <c r="HS157" s="20">
        <v>42</v>
      </c>
      <c r="HT157" s="20">
        <v>32</v>
      </c>
      <c r="HU157" s="20">
        <v>58</v>
      </c>
      <c r="HV157" s="20">
        <v>52</v>
      </c>
      <c r="HW157" s="20">
        <v>42</v>
      </c>
      <c r="HX157" s="20">
        <v>62</v>
      </c>
      <c r="HY157" s="20">
        <v>62</v>
      </c>
      <c r="HZ157" s="20">
        <v>52</v>
      </c>
      <c r="IA157" s="20">
        <v>52</v>
      </c>
      <c r="IB157" s="20">
        <v>68</v>
      </c>
      <c r="IC157" s="20">
        <v>60</v>
      </c>
      <c r="ID157" s="20">
        <v>50</v>
      </c>
      <c r="JI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161,$JT$2:$KS$2,0),MATCH($W$125,$AH$22:$AH$47,0)))*C161</f>
        <v>0</v>
      </c>
      <c r="JJ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161,$JT$2:$KS$2,0),MATCH($W$125,$AH$22:$AH$47,0)))*C161</f>
        <v>0</v>
      </c>
      <c r="JK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161,$JT$2:$KS$2,0),MATCH($W$125,$AH$22:$AH$47,0)))*C161</f>
        <v>0</v>
      </c>
      <c r="JL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161,$JT$2:$KS$2,0),MATCH($W$125,$AH$22:$AH$47,0)))*C161</f>
        <v>0</v>
      </c>
      <c r="JM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161,$JT$2:$KS$2,0),MATCH($W$125,$AH$22:$AH$47,0)))*C161</f>
        <v>0</v>
      </c>
      <c r="JN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161,$JT$2:$KS$2,0),MATCH($W$125,$AH$22:$AH$47,0)))*C161</f>
        <v>0</v>
      </c>
      <c r="JO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161,$JT$2:$KS$2,0),MATCH($W$125,$AH$22:$AH$47,0)))*C161</f>
        <v>0</v>
      </c>
      <c r="JP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161,$JT$2:$KS$2,0),MATCH($W$125,$AH$22:$AH$47,0)))*C161</f>
        <v>0</v>
      </c>
      <c r="JQ157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161,$JT$2:$KS$2,0),MATCH($W$125,$AH$22:$AH$47,0)))*C161</f>
        <v>0</v>
      </c>
      <c r="JS157" s="20" t="s">
        <v>1026</v>
      </c>
      <c r="JT157" s="20">
        <v>0</v>
      </c>
      <c r="JU157" s="20">
        <v>0</v>
      </c>
      <c r="JV157" s="20">
        <v>0</v>
      </c>
      <c r="JW157" s="20">
        <v>0</v>
      </c>
      <c r="JX157" s="20">
        <v>0</v>
      </c>
      <c r="JY157" s="20">
        <v>0</v>
      </c>
      <c r="JZ157" s="20">
        <v>0</v>
      </c>
      <c r="KA157" s="20">
        <v>0</v>
      </c>
      <c r="KB157" s="20">
        <v>0</v>
      </c>
      <c r="KC157" s="20">
        <v>0</v>
      </c>
      <c r="KD157" s="20">
        <v>0</v>
      </c>
      <c r="KE157" s="20">
        <v>0</v>
      </c>
      <c r="KF157" s="20">
        <v>0</v>
      </c>
      <c r="KG157" s="20">
        <v>0</v>
      </c>
      <c r="KH157" s="20">
        <v>0</v>
      </c>
      <c r="KI157" s="20">
        <v>0</v>
      </c>
      <c r="KJ157" s="20">
        <v>0</v>
      </c>
      <c r="KK157" s="20">
        <v>0</v>
      </c>
      <c r="KL157" s="20">
        <v>0</v>
      </c>
      <c r="KM157" s="20">
        <v>0</v>
      </c>
      <c r="KN157" s="20">
        <v>0</v>
      </c>
      <c r="KO157" s="20">
        <v>0</v>
      </c>
      <c r="KP157" s="20">
        <v>0</v>
      </c>
      <c r="KQ157" s="20">
        <v>0</v>
      </c>
      <c r="KR157" s="20">
        <v>0</v>
      </c>
      <c r="KS157" s="20">
        <v>0</v>
      </c>
      <c r="LW157" s="20" t="s">
        <v>1026</v>
      </c>
      <c r="LX157" s="20">
        <v>0</v>
      </c>
      <c r="LY157" s="20">
        <v>0</v>
      </c>
      <c r="LZ157" s="20">
        <v>0</v>
      </c>
      <c r="MA157" s="20">
        <v>0</v>
      </c>
      <c r="MB157" s="20">
        <v>0</v>
      </c>
      <c r="MC157" s="20">
        <v>0</v>
      </c>
      <c r="MD157" s="20">
        <v>0</v>
      </c>
      <c r="ME157" s="20">
        <v>0</v>
      </c>
      <c r="MF157" s="20">
        <v>0</v>
      </c>
      <c r="MG157" s="20">
        <v>0</v>
      </c>
      <c r="MH157" s="20">
        <v>0</v>
      </c>
      <c r="MI157" s="20">
        <v>0</v>
      </c>
      <c r="MJ157" s="20">
        <v>0</v>
      </c>
      <c r="MK157" s="20">
        <v>0</v>
      </c>
      <c r="ML157" s="20">
        <v>0</v>
      </c>
      <c r="MM157" s="20">
        <v>0</v>
      </c>
      <c r="MN157" s="20">
        <v>0</v>
      </c>
      <c r="MO157" s="20">
        <v>0</v>
      </c>
      <c r="MP157" s="20">
        <v>0</v>
      </c>
      <c r="MQ157" s="20">
        <v>0</v>
      </c>
      <c r="MR157" s="20">
        <v>0</v>
      </c>
      <c r="MS157" s="20">
        <v>0</v>
      </c>
      <c r="MT157" s="20">
        <v>0</v>
      </c>
      <c r="MU157" s="20">
        <v>0</v>
      </c>
      <c r="MV157" s="20">
        <v>0</v>
      </c>
      <c r="MW157" s="20">
        <v>0</v>
      </c>
    </row>
    <row r="158" spans="1:361" x14ac:dyDescent="0.25">
      <c r="A158" s="8"/>
      <c r="B158" s="5" t="s">
        <v>116</v>
      </c>
      <c r="C158" s="8"/>
      <c r="D158" s="6" t="s">
        <v>511</v>
      </c>
      <c r="E158" s="4"/>
      <c r="F158" s="359"/>
      <c r="G158" s="359"/>
      <c r="H158" s="359"/>
      <c r="I158" s="359"/>
      <c r="J158" s="4"/>
      <c r="K158" s="4"/>
      <c r="L158" s="6" t="str">
        <f>IF($E$156=$AK$22,"LPAN40",IF($E$156=$AK$23,"LPAN30",IF($E$156=$AK$24,"LC40H35MC",0)))</f>
        <v>LPAN40</v>
      </c>
      <c r="M158" s="14">
        <f>INDEX(cennik!$C$2:$L$529,MATCH($L158,cennik!$B$2:$B$522,0),MATCH(M$27,cennik!$C$1:$L$1,0))</f>
        <v>890512</v>
      </c>
      <c r="N158" s="14" t="str">
        <f>INDEX(cennik!$C$2:$L$529,MATCH($L158,cennik!$B$2:$B$522,0),MATCH(N$27,cennik!$C$1:$L$1,0))</f>
        <v>szt.</v>
      </c>
      <c r="O158" s="14">
        <f>IF(L158="-------",0,SUM(JI145:JI160))</f>
        <v>0</v>
      </c>
      <c r="P158" s="22">
        <f>INDEX(cennik!$C$2:$L$529,MATCH($L158,cennik!$B$2:$B$522,0),MATCH(P$27,cennik!$C$1:$L$1,0))</f>
        <v>4.28</v>
      </c>
      <c r="Q158" s="22">
        <f t="shared" ref="Q158:Q171" si="133">O158*P158</f>
        <v>0</v>
      </c>
      <c r="R158" s="23">
        <f t="shared" ref="R158:R171" si="134">$E$155</f>
        <v>0</v>
      </c>
      <c r="S158" s="22">
        <f t="shared" si="129"/>
        <v>4.28</v>
      </c>
      <c r="T158" s="22">
        <f t="shared" ref="T158:T171" si="135">O158*S158</f>
        <v>0</v>
      </c>
      <c r="U158" s="22">
        <f>INDEX(cennik!$C$2:$L$529,MATCH($L158,cennik!$B$2:$B$522,0),MATCH(U$27,cennik!$C$1:$L$1,0))*O158</f>
        <v>0</v>
      </c>
      <c r="X158" s="25">
        <f t="shared" si="121"/>
        <v>0</v>
      </c>
      <c r="Y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184,$BB$2:$CA$2,0),MATCH($W$147,$AH$22:$AH$47,0)))*C184</f>
        <v>0</v>
      </c>
      <c r="AB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184,$BB$2:$CA$2,0),MATCH($W$147,$AH$22:$AH$47,0)))*C184</f>
        <v>0</v>
      </c>
      <c r="AC158" s="25"/>
      <c r="AD158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184,$BB$2:$CA$2,0),MATCH($W$147,$AH$22:$AH$47,0)))*C184</f>
        <v>0</v>
      </c>
      <c r="AL158" s="20">
        <f t="shared" si="122"/>
        <v>0</v>
      </c>
      <c r="DD158" s="20" t="s">
        <v>408</v>
      </c>
      <c r="DE158" s="20">
        <v>0</v>
      </c>
      <c r="DF158" s="20">
        <v>0</v>
      </c>
      <c r="DG158" s="20">
        <v>4</v>
      </c>
      <c r="DH158" s="20">
        <v>4</v>
      </c>
      <c r="DI158" s="20">
        <v>8</v>
      </c>
      <c r="DJ158" s="20">
        <v>12</v>
      </c>
      <c r="DK158" s="20">
        <v>12</v>
      </c>
      <c r="DL158" s="20">
        <v>16</v>
      </c>
      <c r="DM158" s="20">
        <v>20</v>
      </c>
      <c r="DN158" s="20">
        <v>20</v>
      </c>
      <c r="DO158" s="20">
        <v>24</v>
      </c>
      <c r="DP158" s="20">
        <v>28</v>
      </c>
      <c r="DQ158" s="20">
        <v>28</v>
      </c>
      <c r="DR158" s="20">
        <v>32</v>
      </c>
      <c r="DS158" s="20">
        <v>36</v>
      </c>
      <c r="DT158" s="20">
        <v>36</v>
      </c>
      <c r="DU158" s="20">
        <v>40</v>
      </c>
      <c r="DV158" s="20">
        <v>44</v>
      </c>
      <c r="DW158" s="20">
        <v>44</v>
      </c>
      <c r="DX158" s="20">
        <v>48</v>
      </c>
      <c r="DY158" s="20">
        <v>52</v>
      </c>
      <c r="GE158" s="26" t="s">
        <v>521</v>
      </c>
      <c r="GF158" s="20">
        <v>0</v>
      </c>
      <c r="GG158" s="20">
        <v>0</v>
      </c>
      <c r="GH158" s="20">
        <v>4</v>
      </c>
      <c r="GI158" s="20">
        <v>8</v>
      </c>
      <c r="GJ158" s="20">
        <v>8</v>
      </c>
      <c r="GK158" s="20">
        <v>12</v>
      </c>
      <c r="GL158" s="20">
        <v>16</v>
      </c>
      <c r="GM158" s="20">
        <v>16</v>
      </c>
      <c r="GN158" s="20">
        <v>20</v>
      </c>
      <c r="GO158" s="20">
        <v>24</v>
      </c>
      <c r="GP158" s="20">
        <v>28</v>
      </c>
      <c r="GQ158" s="20">
        <v>28</v>
      </c>
      <c r="GR158" s="20">
        <v>32</v>
      </c>
      <c r="GS158" s="20">
        <v>36</v>
      </c>
      <c r="GT158" s="20">
        <v>36</v>
      </c>
      <c r="GU158" s="20">
        <v>40</v>
      </c>
      <c r="GV158" s="20">
        <v>44</v>
      </c>
      <c r="GW158" s="20">
        <v>44</v>
      </c>
      <c r="GX158" s="20">
        <v>48</v>
      </c>
      <c r="GY158" s="20">
        <v>52</v>
      </c>
      <c r="GZ158" s="20">
        <v>56</v>
      </c>
      <c r="HA158" s="20">
        <v>56</v>
      </c>
      <c r="HB158" s="20">
        <v>60</v>
      </c>
      <c r="HC158" s="20">
        <v>64</v>
      </c>
      <c r="HD158" s="20">
        <v>64</v>
      </c>
      <c r="HE158" s="20">
        <v>68</v>
      </c>
      <c r="HF158" s="20">
        <v>72</v>
      </c>
      <c r="HG158" s="20">
        <v>72</v>
      </c>
      <c r="HH158" s="20">
        <v>76</v>
      </c>
      <c r="HI158" s="20">
        <v>80</v>
      </c>
      <c r="HJ158" s="20">
        <v>84</v>
      </c>
      <c r="HK158" s="20">
        <v>84</v>
      </c>
      <c r="HL158" s="20">
        <v>88</v>
      </c>
      <c r="HM158" s="20">
        <v>92</v>
      </c>
      <c r="HN158" s="20">
        <v>92</v>
      </c>
      <c r="HO158" s="20">
        <v>96</v>
      </c>
      <c r="HP158" s="20">
        <v>100</v>
      </c>
      <c r="HQ158" s="20">
        <v>104</v>
      </c>
      <c r="HR158" s="20">
        <v>104</v>
      </c>
      <c r="HS158" s="20">
        <v>108</v>
      </c>
      <c r="HT158" s="20">
        <v>112</v>
      </c>
      <c r="HU158" s="20">
        <v>112</v>
      </c>
      <c r="HV158" s="20">
        <v>116</v>
      </c>
      <c r="HW158" s="20">
        <v>120</v>
      </c>
      <c r="HX158" s="20">
        <v>120</v>
      </c>
      <c r="HY158" s="20">
        <v>124</v>
      </c>
      <c r="HZ158" s="20">
        <v>128</v>
      </c>
      <c r="IA158" s="20">
        <v>132</v>
      </c>
      <c r="IB158" s="20">
        <v>132</v>
      </c>
      <c r="IC158" s="20">
        <v>136</v>
      </c>
      <c r="ID158" s="20">
        <v>140</v>
      </c>
      <c r="JI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162,$JT$2:$KS$2,0),MATCH($W$125,$AH$22:$AH$47,0)))*C162</f>
        <v>0</v>
      </c>
      <c r="JJ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162,$JT$2:$KS$2,0),MATCH($W$125,$AH$22:$AH$47,0)))*C162</f>
        <v>0</v>
      </c>
      <c r="JK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162,$JT$2:$KS$2,0),MATCH($W$125,$AH$22:$AH$47,0)))*C162</f>
        <v>0</v>
      </c>
      <c r="JL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162,$JT$2:$KS$2,0),MATCH($W$125,$AH$22:$AH$47,0)))*C162</f>
        <v>0</v>
      </c>
      <c r="JM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162,$JT$2:$KS$2,0),MATCH($W$125,$AH$22:$AH$47,0)))*C162</f>
        <v>0</v>
      </c>
      <c r="JN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162,$JT$2:$KS$2,0),MATCH($W$125,$AH$22:$AH$47,0)))*C162</f>
        <v>0</v>
      </c>
      <c r="JO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162,$JT$2:$KS$2,0),MATCH($W$125,$AH$22:$AH$47,0)))*C162</f>
        <v>0</v>
      </c>
      <c r="JP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162,$JT$2:$KS$2,0),MATCH($W$125,$AH$22:$AH$47,0)))*C162</f>
        <v>0</v>
      </c>
      <c r="JQ158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162,$JT$2:$KS$2,0),MATCH($W$125,$AH$22:$AH$47,0)))*C162</f>
        <v>0</v>
      </c>
      <c r="JS158" s="21" t="s">
        <v>408</v>
      </c>
      <c r="JT158" s="21">
        <v>0</v>
      </c>
      <c r="JU158" s="20">
        <f t="shared" ref="JU158:KS158" si="136">((((SUM(JU150:JU157))/2)-1))*4</f>
        <v>0</v>
      </c>
      <c r="JV158" s="20">
        <f t="shared" si="136"/>
        <v>0</v>
      </c>
      <c r="JW158" s="20">
        <f t="shared" si="136"/>
        <v>4</v>
      </c>
      <c r="JX158" s="20">
        <f t="shared" si="136"/>
        <v>4</v>
      </c>
      <c r="JY158" s="20">
        <f t="shared" si="136"/>
        <v>4</v>
      </c>
      <c r="JZ158" s="20">
        <f t="shared" si="136"/>
        <v>8</v>
      </c>
      <c r="KA158" s="20">
        <f t="shared" si="136"/>
        <v>8</v>
      </c>
      <c r="KB158" s="20">
        <f t="shared" si="136"/>
        <v>12</v>
      </c>
      <c r="KC158" s="20">
        <f t="shared" si="136"/>
        <v>12</v>
      </c>
      <c r="KD158" s="20">
        <f t="shared" si="136"/>
        <v>12</v>
      </c>
      <c r="KE158" s="20">
        <f t="shared" si="136"/>
        <v>16</v>
      </c>
      <c r="KF158" s="20">
        <f t="shared" si="136"/>
        <v>16</v>
      </c>
      <c r="KG158" s="20">
        <f t="shared" si="136"/>
        <v>16</v>
      </c>
      <c r="KH158" s="20">
        <f t="shared" si="136"/>
        <v>20</v>
      </c>
      <c r="KI158" s="20">
        <f t="shared" si="136"/>
        <v>20</v>
      </c>
      <c r="KJ158" s="20">
        <f t="shared" si="136"/>
        <v>24</v>
      </c>
      <c r="KK158" s="20">
        <f t="shared" si="136"/>
        <v>24</v>
      </c>
      <c r="KL158" s="20">
        <f t="shared" si="136"/>
        <v>24</v>
      </c>
      <c r="KM158" s="20">
        <f t="shared" si="136"/>
        <v>28</v>
      </c>
      <c r="KN158" s="20">
        <f t="shared" si="136"/>
        <v>28</v>
      </c>
      <c r="KO158" s="20">
        <f t="shared" si="136"/>
        <v>32</v>
      </c>
      <c r="KP158" s="20">
        <f t="shared" si="136"/>
        <v>32</v>
      </c>
      <c r="KQ158" s="20">
        <f t="shared" si="136"/>
        <v>32</v>
      </c>
      <c r="KR158" s="20">
        <f t="shared" si="136"/>
        <v>36</v>
      </c>
      <c r="KS158" s="20">
        <f t="shared" si="136"/>
        <v>36</v>
      </c>
      <c r="LW158" s="20" t="s">
        <v>408</v>
      </c>
      <c r="LX158" s="20">
        <v>0</v>
      </c>
      <c r="LY158" s="20">
        <f t="shared" ref="LY158:MW158" si="137">((((SUM(LY150:LY157))/2)-1))*4</f>
        <v>0</v>
      </c>
      <c r="LZ158" s="20">
        <f t="shared" si="137"/>
        <v>4</v>
      </c>
      <c r="MA158" s="20">
        <f t="shared" si="137"/>
        <v>4</v>
      </c>
      <c r="MB158" s="20">
        <f t="shared" si="137"/>
        <v>8</v>
      </c>
      <c r="MC158" s="20">
        <f t="shared" si="137"/>
        <v>12</v>
      </c>
      <c r="MD158" s="20">
        <f t="shared" si="137"/>
        <v>12</v>
      </c>
      <c r="ME158" s="20">
        <f t="shared" si="137"/>
        <v>16</v>
      </c>
      <c r="MF158" s="20">
        <f t="shared" si="137"/>
        <v>20</v>
      </c>
      <c r="MG158" s="20">
        <f t="shared" si="137"/>
        <v>20</v>
      </c>
      <c r="MH158" s="20">
        <f t="shared" si="137"/>
        <v>24</v>
      </c>
      <c r="MI158" s="20">
        <f t="shared" si="137"/>
        <v>24</v>
      </c>
      <c r="MJ158" s="20">
        <f t="shared" si="137"/>
        <v>28</v>
      </c>
      <c r="MK158" s="20">
        <f t="shared" si="137"/>
        <v>32</v>
      </c>
      <c r="ML158" s="20">
        <f t="shared" si="137"/>
        <v>32</v>
      </c>
      <c r="MM158" s="20">
        <f t="shared" si="137"/>
        <v>36</v>
      </c>
      <c r="MN158" s="20">
        <f t="shared" si="137"/>
        <v>40</v>
      </c>
      <c r="MO158" s="20">
        <f t="shared" si="137"/>
        <v>40</v>
      </c>
      <c r="MP158" s="20">
        <f t="shared" si="137"/>
        <v>44</v>
      </c>
      <c r="MQ158" s="20">
        <f t="shared" si="137"/>
        <v>44</v>
      </c>
      <c r="MR158" s="20">
        <f t="shared" si="137"/>
        <v>48</v>
      </c>
      <c r="MS158" s="20">
        <f t="shared" si="137"/>
        <v>52</v>
      </c>
      <c r="MT158" s="20">
        <f t="shared" si="137"/>
        <v>52</v>
      </c>
      <c r="MU158" s="20">
        <f t="shared" si="137"/>
        <v>56</v>
      </c>
      <c r="MV158" s="20">
        <f t="shared" si="137"/>
        <v>60</v>
      </c>
      <c r="MW158" s="20">
        <f t="shared" si="137"/>
        <v>60</v>
      </c>
    </row>
    <row r="159" spans="1:361" x14ac:dyDescent="0.25">
      <c r="A159" s="8"/>
      <c r="B159" s="5" t="s">
        <v>116</v>
      </c>
      <c r="C159" s="8"/>
      <c r="D159" s="6" t="s">
        <v>1470</v>
      </c>
      <c r="E159" s="8" t="s">
        <v>1471</v>
      </c>
      <c r="F159" s="359"/>
      <c r="G159" s="359"/>
      <c r="H159" s="359"/>
      <c r="I159" s="359"/>
      <c r="J159" s="4"/>
      <c r="K159" s="4"/>
      <c r="L159" s="6" t="s">
        <v>80</v>
      </c>
      <c r="M159" s="14">
        <f>INDEX(cennik!$C$2:$L$529,MATCH($L159,cennik!$B$2:$B$522,0),MATCH(M$27,cennik!$C$1:$L$1,0))</f>
        <v>899501</v>
      </c>
      <c r="N159" s="14" t="str">
        <f>INDEX(cennik!$C$2:$L$529,MATCH($L159,cennik!$B$2:$B$522,0),MATCH(N$27,cennik!$C$1:$L$1,0))</f>
        <v>szt.</v>
      </c>
      <c r="O159" s="14">
        <f>SUM(AL125:AL140)</f>
        <v>0</v>
      </c>
      <c r="P159" s="22">
        <f>INDEX(cennik!$C$2:$L$529,MATCH($L159,cennik!$B$2:$B$522,0),MATCH(P$27,cennik!$C$1:$L$1,0))</f>
        <v>39.44</v>
      </c>
      <c r="Q159" s="22">
        <f t="shared" si="133"/>
        <v>0</v>
      </c>
      <c r="R159" s="23">
        <f t="shared" si="134"/>
        <v>0</v>
      </c>
      <c r="S159" s="22">
        <f t="shared" si="129"/>
        <v>39.44</v>
      </c>
      <c r="T159" s="22">
        <f t="shared" si="135"/>
        <v>0</v>
      </c>
      <c r="U159" s="22">
        <f>INDEX(cennik!$C$2:$L$529,MATCH($L159,cennik!$B$2:$B$522,0),MATCH(U$27,cennik!$C$1:$L$1,0))*O159</f>
        <v>0</v>
      </c>
      <c r="X159" s="25">
        <f t="shared" si="121"/>
        <v>0</v>
      </c>
      <c r="Y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185,$BB$2:$CA$2,0),MATCH($W$147,$AH$22:$AH$47,0)))*C185</f>
        <v>0</v>
      </c>
      <c r="AB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185,$BB$2:$CA$2,0),MATCH($W$147,$AH$22:$AH$47,0)))*C185</f>
        <v>0</v>
      </c>
      <c r="AC159" s="25"/>
      <c r="AD159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185,$BB$2:$CA$2,0),MATCH($W$147,$AH$22:$AH$47,0)))*C185</f>
        <v>0</v>
      </c>
      <c r="AL159" s="20">
        <f t="shared" si="122"/>
        <v>0</v>
      </c>
      <c r="DD159" s="20" t="s">
        <v>518</v>
      </c>
      <c r="DE159" s="20">
        <v>0</v>
      </c>
      <c r="DF159" s="20">
        <v>0</v>
      </c>
      <c r="DG159" s="20">
        <v>4</v>
      </c>
      <c r="DH159" s="20">
        <v>0</v>
      </c>
      <c r="DI159" s="20">
        <v>2</v>
      </c>
      <c r="DJ159" s="20">
        <v>4</v>
      </c>
      <c r="DK159" s="20">
        <v>0</v>
      </c>
      <c r="DL159" s="20">
        <v>2</v>
      </c>
      <c r="DM159" s="20">
        <v>4</v>
      </c>
      <c r="DN159" s="20">
        <v>0</v>
      </c>
      <c r="DO159" s="20">
        <v>2</v>
      </c>
      <c r="DP159" s="20">
        <v>4</v>
      </c>
      <c r="DQ159" s="20">
        <v>0</v>
      </c>
      <c r="DR159" s="20">
        <v>2</v>
      </c>
      <c r="DS159" s="20">
        <v>4</v>
      </c>
      <c r="DT159" s="20">
        <v>0</v>
      </c>
      <c r="DU159" s="20">
        <v>2</v>
      </c>
      <c r="DV159" s="20">
        <v>4</v>
      </c>
      <c r="DW159" s="20">
        <v>0</v>
      </c>
      <c r="DX159" s="20">
        <v>2</v>
      </c>
      <c r="DY159" s="20">
        <v>4</v>
      </c>
      <c r="GE159" s="26" t="s">
        <v>710</v>
      </c>
      <c r="GF159" s="20">
        <v>0</v>
      </c>
      <c r="GG159" s="20">
        <v>0</v>
      </c>
      <c r="GH159" s="20">
        <v>2</v>
      </c>
      <c r="GI159" s="20">
        <v>4</v>
      </c>
      <c r="GJ159" s="20">
        <v>0</v>
      </c>
      <c r="GK159" s="20">
        <v>2</v>
      </c>
      <c r="GL159" s="20">
        <v>4</v>
      </c>
      <c r="GM159" s="20">
        <v>0</v>
      </c>
      <c r="GN159" s="20">
        <v>2</v>
      </c>
      <c r="GO159" s="20">
        <v>2</v>
      </c>
      <c r="GP159" s="20">
        <v>4</v>
      </c>
      <c r="GQ159" s="20">
        <v>0</v>
      </c>
      <c r="GR159" s="20">
        <v>2</v>
      </c>
      <c r="GS159" s="20">
        <v>4</v>
      </c>
      <c r="GT159" s="20">
        <v>0</v>
      </c>
      <c r="GU159" s="20">
        <v>2</v>
      </c>
      <c r="GV159" s="20">
        <v>4</v>
      </c>
      <c r="GW159" s="20">
        <v>0</v>
      </c>
      <c r="GX159" s="20">
        <v>0</v>
      </c>
      <c r="GY159" s="20">
        <v>2</v>
      </c>
      <c r="GZ159" s="20">
        <v>4</v>
      </c>
      <c r="HA159" s="20">
        <v>0</v>
      </c>
      <c r="HB159" s="20">
        <v>2</v>
      </c>
      <c r="HC159" s="20">
        <v>4</v>
      </c>
      <c r="HD159" s="20">
        <v>0</v>
      </c>
      <c r="HE159" s="20">
        <v>2</v>
      </c>
      <c r="HF159" s="20"/>
      <c r="HG159" s="20"/>
      <c r="HH159" s="20"/>
      <c r="HI159" s="20"/>
      <c r="HJ159" s="20"/>
      <c r="HK159" s="20"/>
      <c r="HL159" s="20"/>
      <c r="HM159" s="20"/>
      <c r="HN159" s="20"/>
      <c r="HO159" s="20"/>
      <c r="HP159" s="20"/>
      <c r="HQ159" s="20"/>
      <c r="HR159" s="20"/>
      <c r="HS159" s="20"/>
      <c r="HT159" s="20"/>
      <c r="HU159" s="20"/>
      <c r="HV159" s="20"/>
      <c r="HW159" s="20"/>
      <c r="HX159" s="20"/>
      <c r="HY159" s="20"/>
      <c r="HZ159" s="20"/>
      <c r="IA159" s="20"/>
      <c r="IB159" s="20"/>
      <c r="IC159" s="20"/>
      <c r="ID159" s="20"/>
      <c r="JI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163,$JT$2:$KS$2,0),MATCH($W$125,$AH$22:$AH$47,0)))*C163</f>
        <v>0</v>
      </c>
      <c r="JJ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163,$JT$2:$KS$2,0),MATCH($W$125,$AH$22:$AH$47,0)))*C163</f>
        <v>0</v>
      </c>
      <c r="JK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163,$JT$2:$KS$2,0),MATCH($W$125,$AH$22:$AH$47,0)))*C163</f>
        <v>0</v>
      </c>
      <c r="JL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163,$JT$2:$KS$2,0),MATCH($W$125,$AH$22:$AH$47,0)))*C163</f>
        <v>0</v>
      </c>
      <c r="JM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163,$JT$2:$KS$2,0),MATCH($W$125,$AH$22:$AH$47,0)))*C163</f>
        <v>0</v>
      </c>
      <c r="JN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163,$JT$2:$KS$2,0),MATCH($W$125,$AH$22:$AH$47,0)))*C163</f>
        <v>0</v>
      </c>
      <c r="JO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163,$JT$2:$KS$2,0),MATCH($W$125,$AH$22:$AH$47,0)))*C163</f>
        <v>0</v>
      </c>
      <c r="JP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163,$JT$2:$KS$2,0),MATCH($W$125,$AH$22:$AH$47,0)))*C163</f>
        <v>0</v>
      </c>
      <c r="JQ159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163,$JT$2:$KS$2,0),MATCH($W$125,$AH$22:$AH$47,0)))*C163</f>
        <v>0</v>
      </c>
      <c r="JS159" s="21" t="s">
        <v>516</v>
      </c>
      <c r="JT159" s="21">
        <v>0</v>
      </c>
      <c r="JU159" s="21">
        <v>0</v>
      </c>
      <c r="JV159" s="21">
        <v>0</v>
      </c>
      <c r="JW159" s="21">
        <v>0</v>
      </c>
      <c r="JX159" s="21">
        <v>2</v>
      </c>
      <c r="JY159" s="21">
        <v>0</v>
      </c>
      <c r="JZ159" s="21">
        <v>0</v>
      </c>
      <c r="KA159" s="21">
        <v>0</v>
      </c>
      <c r="KB159" s="21">
        <v>2</v>
      </c>
      <c r="KC159" s="21">
        <v>0</v>
      </c>
      <c r="KD159" s="21">
        <v>0</v>
      </c>
      <c r="KE159" s="21">
        <v>0</v>
      </c>
      <c r="KF159" s="21">
        <v>0</v>
      </c>
      <c r="KG159" s="21">
        <v>0</v>
      </c>
      <c r="KH159" s="21">
        <v>0</v>
      </c>
      <c r="KI159" s="21">
        <v>2</v>
      </c>
      <c r="KJ159" s="21">
        <v>0</v>
      </c>
      <c r="KK159" s="21">
        <v>2</v>
      </c>
      <c r="KL159" s="21">
        <v>0</v>
      </c>
      <c r="KM159" s="21">
        <v>0</v>
      </c>
      <c r="KN159" s="21">
        <v>0</v>
      </c>
      <c r="KO159" s="21">
        <v>0</v>
      </c>
      <c r="KP159" s="21">
        <v>0</v>
      </c>
      <c r="KQ159" s="21">
        <v>0</v>
      </c>
      <c r="KR159" s="21">
        <v>0</v>
      </c>
      <c r="KS159" s="21">
        <v>0</v>
      </c>
      <c r="LW159" s="26" t="s">
        <v>516</v>
      </c>
      <c r="LX159" s="20">
        <v>0</v>
      </c>
      <c r="LY159" s="20">
        <v>0</v>
      </c>
      <c r="LZ159" s="20">
        <v>0</v>
      </c>
      <c r="MA159" s="20">
        <v>0</v>
      </c>
      <c r="MB159" s="20">
        <v>0</v>
      </c>
      <c r="MC159" s="20">
        <v>0</v>
      </c>
      <c r="MD159" s="20">
        <v>0</v>
      </c>
      <c r="ME159" s="20">
        <v>0</v>
      </c>
      <c r="MF159" s="20">
        <v>0</v>
      </c>
      <c r="MG159" s="20">
        <v>0</v>
      </c>
      <c r="MH159" s="20">
        <v>0</v>
      </c>
      <c r="MI159" s="20">
        <v>0</v>
      </c>
      <c r="MJ159" s="20">
        <v>0</v>
      </c>
      <c r="MK159" s="20">
        <v>0</v>
      </c>
      <c r="ML159" s="20">
        <v>0</v>
      </c>
      <c r="MM159" s="20">
        <v>0</v>
      </c>
      <c r="MN159" s="20">
        <v>0</v>
      </c>
      <c r="MO159" s="20">
        <v>0</v>
      </c>
      <c r="MP159" s="20">
        <v>0</v>
      </c>
      <c r="MQ159" s="20">
        <v>0</v>
      </c>
      <c r="MR159" s="20">
        <v>0</v>
      </c>
      <c r="MS159" s="20">
        <v>0</v>
      </c>
      <c r="MT159" s="20">
        <v>0</v>
      </c>
      <c r="MU159" s="20">
        <v>0</v>
      </c>
      <c r="MV159" s="20">
        <v>0</v>
      </c>
      <c r="MW159" s="20">
        <v>0</v>
      </c>
    </row>
    <row r="160" spans="1:361" x14ac:dyDescent="0.25">
      <c r="A160" s="8"/>
      <c r="B160" s="5" t="s">
        <v>116</v>
      </c>
      <c r="C160" s="8"/>
      <c r="D160" s="6" t="s">
        <v>1469</v>
      </c>
      <c r="E160" s="4"/>
      <c r="F160" s="359"/>
      <c r="G160" s="359"/>
      <c r="H160" s="359"/>
      <c r="I160" s="359"/>
      <c r="J160" s="4"/>
      <c r="K160" s="4"/>
      <c r="L160" s="6" t="s">
        <v>297</v>
      </c>
      <c r="M160" s="14">
        <f>INDEX(cennik!$C$2:$L$529,MATCH($L160,cennik!$B$2:$B$522,0),MATCH(M$27,cennik!$C$1:$L$1,0))</f>
        <v>894824</v>
      </c>
      <c r="N160" s="14" t="str">
        <f>INDEX(cennik!$C$2:$L$529,MATCH($L160,cennik!$B$2:$B$522,0),MATCH(N$27,cennik!$C$1:$L$1,0))</f>
        <v>szt.</v>
      </c>
      <c r="O160" s="14">
        <f>O159*4</f>
        <v>0</v>
      </c>
      <c r="P160" s="22">
        <f>INDEX(cennik!$C$2:$L$529,MATCH($L160,cennik!$B$2:$B$522,0),MATCH(P$27,cennik!$C$1:$L$1,0))</f>
        <v>1.85</v>
      </c>
      <c r="Q160" s="22">
        <f t="shared" si="133"/>
        <v>0</v>
      </c>
      <c r="R160" s="23">
        <f t="shared" si="134"/>
        <v>0</v>
      </c>
      <c r="S160" s="22">
        <f t="shared" si="129"/>
        <v>1.85</v>
      </c>
      <c r="T160" s="22">
        <f t="shared" si="135"/>
        <v>0</v>
      </c>
      <c r="U160" s="22">
        <f>INDEX(cennik!$C$2:$L$529,MATCH($L160,cennik!$B$2:$B$522,0),MATCH(U$27,cennik!$C$1:$L$1,0))*O160</f>
        <v>0</v>
      </c>
      <c r="X160" s="25">
        <f t="shared" si="121"/>
        <v>0</v>
      </c>
      <c r="Y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186,$BB$2:$CA$2,0),MATCH($W$147,$AH$22:$AH$47,0)))*C186</f>
        <v>0</v>
      </c>
      <c r="AB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186,$BB$2:$CA$2,0),MATCH($W$147,$AH$22:$AH$47,0)))*C186</f>
        <v>0</v>
      </c>
      <c r="AC160" s="25"/>
      <c r="AD160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186,$BB$2:$CA$2,0),MATCH($W$147,$AH$22:$AH$47,0)))*C186</f>
        <v>0</v>
      </c>
      <c r="AL160" s="20">
        <f t="shared" si="122"/>
        <v>0</v>
      </c>
      <c r="DD160" s="20" t="s">
        <v>520</v>
      </c>
      <c r="DE160" s="20">
        <v>0</v>
      </c>
      <c r="DF160" s="20">
        <v>2</v>
      </c>
      <c r="DG160" s="20">
        <v>0</v>
      </c>
      <c r="DH160" s="20">
        <v>4</v>
      </c>
      <c r="DI160" s="20">
        <v>4</v>
      </c>
      <c r="DJ160" s="20">
        <v>4</v>
      </c>
      <c r="DK160" s="20">
        <v>8</v>
      </c>
      <c r="DL160" s="20">
        <v>8</v>
      </c>
      <c r="DM160" s="20">
        <v>8</v>
      </c>
      <c r="DN160" s="20">
        <v>12</v>
      </c>
      <c r="DO160" s="20">
        <v>12</v>
      </c>
      <c r="DP160" s="20">
        <v>12</v>
      </c>
      <c r="DQ160" s="20">
        <v>16</v>
      </c>
      <c r="DR160" s="20">
        <v>16</v>
      </c>
      <c r="DS160" s="20">
        <v>16</v>
      </c>
      <c r="DT160" s="20">
        <v>20</v>
      </c>
      <c r="DU160" s="20">
        <v>20</v>
      </c>
      <c r="DV160" s="20">
        <v>20</v>
      </c>
      <c r="DW160" s="20">
        <v>24</v>
      </c>
      <c r="DX160" s="20">
        <v>24</v>
      </c>
      <c r="DY160" s="20">
        <v>24</v>
      </c>
      <c r="GE160" s="26" t="s">
        <v>711</v>
      </c>
      <c r="GF160" s="20">
        <v>0</v>
      </c>
      <c r="GG160" s="20">
        <v>2</v>
      </c>
      <c r="GH160" s="20">
        <v>2</v>
      </c>
      <c r="GI160" s="20">
        <v>2</v>
      </c>
      <c r="GJ160" s="20">
        <v>6</v>
      </c>
      <c r="GK160" s="20">
        <v>6</v>
      </c>
      <c r="GL160" s="20">
        <v>6</v>
      </c>
      <c r="GM160" s="20">
        <v>10</v>
      </c>
      <c r="GN160" s="20">
        <v>10</v>
      </c>
      <c r="GO160" s="20">
        <v>12</v>
      </c>
      <c r="GP160" s="20">
        <v>12</v>
      </c>
      <c r="GQ160" s="20">
        <v>16</v>
      </c>
      <c r="GR160" s="20">
        <v>16</v>
      </c>
      <c r="GS160" s="20">
        <v>16</v>
      </c>
      <c r="GT160" s="20">
        <v>20</v>
      </c>
      <c r="GU160" s="20">
        <v>20</v>
      </c>
      <c r="GV160" s="20">
        <v>20</v>
      </c>
      <c r="GW160" s="20">
        <v>24</v>
      </c>
      <c r="GX160" s="20">
        <v>26</v>
      </c>
      <c r="GY160" s="20">
        <v>26</v>
      </c>
      <c r="GZ160" s="20">
        <v>26</v>
      </c>
      <c r="HA160" s="20">
        <v>30</v>
      </c>
      <c r="HB160" s="20">
        <v>30</v>
      </c>
      <c r="HC160" s="20">
        <v>30</v>
      </c>
      <c r="HD160" s="20">
        <v>34</v>
      </c>
      <c r="HE160" s="20">
        <v>34</v>
      </c>
      <c r="HF160" s="20"/>
      <c r="HG160" s="20"/>
      <c r="HH160" s="20"/>
      <c r="HI160" s="20"/>
      <c r="HJ160" s="20"/>
      <c r="HK160" s="20"/>
      <c r="HL160" s="20"/>
      <c r="HM160" s="20"/>
      <c r="HN160" s="20"/>
      <c r="HO160" s="20"/>
      <c r="HP160" s="20"/>
      <c r="HQ160" s="20"/>
      <c r="HR160" s="20"/>
      <c r="HS160" s="20"/>
      <c r="HT160" s="20"/>
      <c r="HU160" s="20"/>
      <c r="HV160" s="20"/>
      <c r="HW160" s="20"/>
      <c r="HX160" s="20"/>
      <c r="HY160" s="20"/>
      <c r="HZ160" s="20"/>
      <c r="IA160" s="20"/>
      <c r="IB160" s="20"/>
      <c r="IC160" s="20"/>
      <c r="ID160" s="20"/>
      <c r="JI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$158,$JS$3:$JS$20,0),MATCH(A164,$JT$2:$KS$2,0),MATCH($W$125,$AH$22:$AH$47,0)))*C164</f>
        <v>0</v>
      </c>
      <c r="JJ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$150,$JS$3:$JS$20,0),MATCH(A164,$JT$2:$KS$2,0),MATCH($W$125,$AH$22:$AH$47,0)))*C164</f>
        <v>0</v>
      </c>
      <c r="JK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$151,$JS$3:$JS$20,0),MATCH(A164,$JT$2:$KS$2,0),MATCH($W$125,$AH$22:$AH$47,0)))*C164</f>
        <v>0</v>
      </c>
      <c r="JL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$152,$JS$3:$JS$20,0),MATCH(A164,$JT$2:$KS$2,0),MATCH($W$125,$AH$22:$AH$47,0)))*C164</f>
        <v>0</v>
      </c>
      <c r="JM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$153,$JS$3:$JS$20,0),MATCH(A164,$JT$2:$KS$2,0),MATCH($W$125,$AH$22:$AH$47,0)))*C164</f>
        <v>0</v>
      </c>
      <c r="JN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$154,$JS$3:$JS$20,0),MATCH(A164,$JT$2:$KS$2,0),MATCH($W$125,$AH$22:$AH$47,0)))*C164</f>
        <v>0</v>
      </c>
      <c r="JO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$155,$JS$3:$JS$20,0),MATCH(A164,$JT$2:$KS$2,0),MATCH($W$125,$AH$22:$AH$47,0)))*C164</f>
        <v>0</v>
      </c>
      <c r="JP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$156,$JS$3:$JS$20,0),MATCH(A164,$JT$2:$KS$2,0),MATCH($W$125,$AH$22:$AH$47,0)))*C164</f>
        <v>0</v>
      </c>
      <c r="JQ160" s="25">
        <f>(INDEX(($JT$3:$KS$20,$JT$24:$KS$41,$JT$45:$KS$62,$JT$66:$KS$83,$JT$87:$KS$104,$JT$108:$KS$125,$JT$129:$KS$146,$JT$150:$KS$167,$KV$3:$LU$20,$KV$24:$LU$41,$KV$45:$LU$62,$KV$66:$LU$83,$KV$87:$LU$104,$LX$3:$MW$20,$LX$24:$MW$41,$LX$45:$MW$62,$LX$66:$MW$83,$LX$87:$MW$104,$LX$108:$MW$125,$LX$129:$MW$146,$LX$150:$MW$167,$LX$171:$MW$188,$MZ$3:$NY$20,$MZ$24:$NY$41,$MZ$45:$NY$62,$MZ$66:$NY$83),MATCH($L$157,$JS$3:$JS$20,0),MATCH(A164,$JT$2:$KS$2,0),MATCH($W$125,$AH$22:$AH$47,0)))*C164</f>
        <v>0</v>
      </c>
      <c r="JS160" s="21" t="s">
        <v>517</v>
      </c>
      <c r="JT160" s="21">
        <v>0</v>
      </c>
      <c r="JU160" s="21">
        <v>2</v>
      </c>
      <c r="JV160" s="21">
        <v>0</v>
      </c>
      <c r="JW160" s="21">
        <v>4</v>
      </c>
      <c r="JX160" s="21">
        <v>0</v>
      </c>
      <c r="JY160" s="21">
        <v>4</v>
      </c>
      <c r="JZ160" s="21">
        <v>2</v>
      </c>
      <c r="KA160" s="21">
        <v>0</v>
      </c>
      <c r="KB160" s="21">
        <v>0</v>
      </c>
      <c r="KC160" s="21">
        <v>0</v>
      </c>
      <c r="KD160" s="21">
        <v>0</v>
      </c>
      <c r="KE160" s="21">
        <v>0</v>
      </c>
      <c r="KF160" s="21">
        <v>0</v>
      </c>
      <c r="KG160" s="21">
        <v>0</v>
      </c>
      <c r="KH160" s="21">
        <v>0</v>
      </c>
      <c r="KI160" s="21">
        <v>0</v>
      </c>
      <c r="KJ160" s="21">
        <v>0</v>
      </c>
      <c r="KK160" s="21">
        <v>0</v>
      </c>
      <c r="KL160" s="21">
        <v>0</v>
      </c>
      <c r="KM160" s="21">
        <v>0</v>
      </c>
      <c r="KN160" s="21">
        <v>0</v>
      </c>
      <c r="KO160" s="21">
        <v>0</v>
      </c>
      <c r="KP160" s="21">
        <v>0</v>
      </c>
      <c r="KQ160" s="21">
        <v>0</v>
      </c>
      <c r="KR160" s="21">
        <v>0</v>
      </c>
      <c r="KS160" s="21">
        <v>0</v>
      </c>
      <c r="LW160" s="26" t="s">
        <v>517</v>
      </c>
      <c r="LX160" s="20">
        <v>0</v>
      </c>
      <c r="LY160" s="20">
        <v>0</v>
      </c>
      <c r="LZ160" s="20">
        <v>2</v>
      </c>
      <c r="MA160" s="20">
        <v>4</v>
      </c>
      <c r="MB160" s="20">
        <v>0</v>
      </c>
      <c r="MC160" s="20">
        <v>2</v>
      </c>
      <c r="MD160" s="20">
        <v>4</v>
      </c>
      <c r="ME160" s="20">
        <v>0</v>
      </c>
      <c r="MF160" s="20">
        <v>0</v>
      </c>
      <c r="MG160" s="20">
        <v>2</v>
      </c>
      <c r="MH160" s="20">
        <v>0</v>
      </c>
      <c r="MI160" s="20">
        <v>0</v>
      </c>
      <c r="MJ160" s="20">
        <v>4</v>
      </c>
      <c r="MK160" s="20">
        <v>0</v>
      </c>
      <c r="ML160" s="20">
        <v>0</v>
      </c>
      <c r="MM160" s="20">
        <v>0</v>
      </c>
      <c r="MN160" s="20">
        <v>2</v>
      </c>
      <c r="MO160" s="20">
        <v>0</v>
      </c>
      <c r="MP160" s="20">
        <v>0</v>
      </c>
      <c r="MQ160" s="20">
        <v>0</v>
      </c>
      <c r="MR160" s="20">
        <v>0</v>
      </c>
      <c r="MS160" s="20">
        <v>0</v>
      </c>
      <c r="MT160" s="20">
        <v>0</v>
      </c>
      <c r="MU160" s="20">
        <v>0</v>
      </c>
      <c r="MV160" s="20">
        <v>0</v>
      </c>
      <c r="MW160" s="20">
        <v>0</v>
      </c>
    </row>
    <row r="161" spans="1:361" x14ac:dyDescent="0.25">
      <c r="A161" s="8"/>
      <c r="B161" s="5" t="s">
        <v>116</v>
      </c>
      <c r="C161" s="8"/>
      <c r="D161" s="40" t="s">
        <v>944</v>
      </c>
      <c r="E161" s="4"/>
      <c r="F161" s="4"/>
      <c r="G161" s="4"/>
      <c r="H161" s="4"/>
      <c r="I161" s="4"/>
      <c r="J161" s="4"/>
      <c r="K161" s="4"/>
      <c r="L161" s="6" t="str">
        <f>IF(E159=$AT$2,(IF(E156=$AK$22,"SSZ10x20E A2",IF(E156=$AK$23,"SSZ10x20E A2",IF(E156=$AK$24,"SGKFM10X20PV",0)))),IF(E159=$AT$3,(IF(E156=$AK$22,"SMHM10X33E",IF(E156=$AK$23,"SMHM10X33E",IF(E156=$AK$24,"SGKFM10X20PV",0))))))</f>
        <v>SSZ10x20E A2</v>
      </c>
      <c r="M161" s="14">
        <f>INDEX(cennik!$C$2:$L$529,MATCH($L161,cennik!$B$2:$B$522,0),MATCH(M$27,cennik!$C$1:$L$1,0))</f>
        <v>991020</v>
      </c>
      <c r="N161" s="14" t="str">
        <f>INDEX(cennik!$C$2:$L$529,MATCH($L161,cennik!$B$2:$B$522,0),MATCH(N$27,cennik!$C$1:$L$1,0))</f>
        <v>100 szt.</v>
      </c>
      <c r="O161" s="14">
        <f>ROUNDUP(((O159+IF(E156=$AK$24,E157+O158*4,0))/100),0)</f>
        <v>0</v>
      </c>
      <c r="P161" s="22">
        <f>INDEX(cennik!$C$2:$L$529,MATCH($L161,cennik!$B$2:$B$522,0),MATCH(P$27,cennik!$C$1:$L$1,0))</f>
        <v>69.75</v>
      </c>
      <c r="Q161" s="22">
        <f t="shared" si="133"/>
        <v>0</v>
      </c>
      <c r="R161" s="23">
        <f t="shared" si="134"/>
        <v>0</v>
      </c>
      <c r="S161" s="22">
        <f t="shared" si="129"/>
        <v>69.75</v>
      </c>
      <c r="T161" s="22">
        <f t="shared" si="135"/>
        <v>0</v>
      </c>
      <c r="U161" s="22">
        <f>INDEX(cennik!$C$2:$L$529,MATCH($L161,cennik!$B$2:$B$522,0),MATCH(U$27,cennik!$C$1:$L$1,0))*O161</f>
        <v>0</v>
      </c>
      <c r="X161" s="25">
        <f t="shared" si="121"/>
        <v>0</v>
      </c>
      <c r="Y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187,$BB$2:$CA$2,0),MATCH($W$147,$AH$22:$AH$47,0)))*C187</f>
        <v>0</v>
      </c>
      <c r="AB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187,$BB$2:$CA$2,0),MATCH($W$147,$AH$22:$AH$47,0)))*C187</f>
        <v>0</v>
      </c>
      <c r="AC161" s="25"/>
      <c r="AD161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187,$BB$2:$CA$2,0),MATCH($W$147,$AH$22:$AH$47,0)))*C187</f>
        <v>0</v>
      </c>
      <c r="AL161" s="20">
        <f t="shared" si="122"/>
        <v>0</v>
      </c>
      <c r="DD161" s="20" t="s">
        <v>521</v>
      </c>
      <c r="DE161" s="20">
        <v>0</v>
      </c>
      <c r="DF161" s="20">
        <v>0</v>
      </c>
      <c r="DG161" s="20">
        <v>4</v>
      </c>
      <c r="DH161" s="20">
        <v>4</v>
      </c>
      <c r="DI161" s="20">
        <v>8</v>
      </c>
      <c r="DJ161" s="20">
        <v>12</v>
      </c>
      <c r="DK161" s="20">
        <v>12</v>
      </c>
      <c r="DL161" s="20">
        <v>16</v>
      </c>
      <c r="DM161" s="20">
        <v>20</v>
      </c>
      <c r="DN161" s="20">
        <v>20</v>
      </c>
      <c r="DO161" s="20">
        <v>24</v>
      </c>
      <c r="DP161" s="20">
        <v>28</v>
      </c>
      <c r="DQ161" s="20">
        <v>28</v>
      </c>
      <c r="DR161" s="20">
        <v>32</v>
      </c>
      <c r="DS161" s="20">
        <v>36</v>
      </c>
      <c r="DT161" s="20">
        <v>36</v>
      </c>
      <c r="DU161" s="20">
        <v>40</v>
      </c>
      <c r="DV161" s="20">
        <v>44</v>
      </c>
      <c r="DW161" s="20">
        <v>44</v>
      </c>
      <c r="DX161" s="20">
        <v>48</v>
      </c>
      <c r="DY161" s="20">
        <v>52</v>
      </c>
      <c r="GE161" s="26" t="s">
        <v>712</v>
      </c>
      <c r="GF161" s="20">
        <v>0</v>
      </c>
      <c r="GG161" s="20">
        <v>0</v>
      </c>
      <c r="GH161" s="20">
        <v>2</v>
      </c>
      <c r="GI161" s="20">
        <v>4</v>
      </c>
      <c r="GJ161" s="20">
        <v>4</v>
      </c>
      <c r="GK161" s="20">
        <v>6</v>
      </c>
      <c r="GL161" s="20">
        <v>8</v>
      </c>
      <c r="GM161" s="20">
        <v>8</v>
      </c>
      <c r="GN161" s="20">
        <v>10</v>
      </c>
      <c r="GO161" s="20">
        <v>12</v>
      </c>
      <c r="GP161" s="20">
        <v>14</v>
      </c>
      <c r="GQ161" s="20">
        <v>14</v>
      </c>
      <c r="GR161" s="20">
        <v>16</v>
      </c>
      <c r="GS161" s="20">
        <v>18</v>
      </c>
      <c r="GT161" s="20">
        <v>18</v>
      </c>
      <c r="GU161" s="20">
        <v>20</v>
      </c>
      <c r="GV161" s="20">
        <v>22</v>
      </c>
      <c r="GW161" s="20">
        <v>22</v>
      </c>
      <c r="GX161" s="20">
        <v>24</v>
      </c>
      <c r="GY161" s="20">
        <v>26</v>
      </c>
      <c r="GZ161" s="20">
        <v>28</v>
      </c>
      <c r="HA161" s="20">
        <v>28</v>
      </c>
      <c r="HB161" s="20">
        <v>30</v>
      </c>
      <c r="HC161" s="20">
        <v>32</v>
      </c>
      <c r="HD161" s="20">
        <v>32</v>
      </c>
      <c r="HE161" s="20">
        <v>34</v>
      </c>
      <c r="HF161" s="20"/>
      <c r="HG161" s="20"/>
      <c r="HH161" s="20"/>
      <c r="HI161" s="20"/>
      <c r="HJ161" s="20"/>
      <c r="HK161" s="20"/>
      <c r="HL161" s="20"/>
      <c r="HM161" s="20"/>
      <c r="HN161" s="20"/>
      <c r="HO161" s="20"/>
      <c r="HP161" s="20"/>
      <c r="HQ161" s="20"/>
      <c r="HR161" s="20"/>
      <c r="HS161" s="20"/>
      <c r="HT161" s="20"/>
      <c r="HU161" s="20"/>
      <c r="HV161" s="20"/>
      <c r="HW161" s="20"/>
      <c r="HX161" s="20"/>
      <c r="HY161" s="20"/>
      <c r="HZ161" s="20"/>
      <c r="IA161" s="20"/>
      <c r="IB161" s="20"/>
      <c r="IC161" s="20"/>
      <c r="ID161" s="20"/>
      <c r="JS161" s="21" t="s">
        <v>518</v>
      </c>
      <c r="JT161" s="21">
        <v>0</v>
      </c>
      <c r="JU161" s="21">
        <v>0</v>
      </c>
      <c r="JV161" s="21">
        <v>0</v>
      </c>
      <c r="JW161" s="21">
        <v>0</v>
      </c>
      <c r="JX161" s="21">
        <v>4</v>
      </c>
      <c r="JY161" s="21">
        <v>0</v>
      </c>
      <c r="JZ161" s="21">
        <v>0</v>
      </c>
      <c r="KA161" s="21">
        <v>0</v>
      </c>
      <c r="KB161" s="21">
        <v>0</v>
      </c>
      <c r="KC161" s="21">
        <v>0</v>
      </c>
      <c r="KD161" s="21">
        <v>4</v>
      </c>
      <c r="KE161" s="21">
        <v>2</v>
      </c>
      <c r="KF161" s="21">
        <v>0</v>
      </c>
      <c r="KG161" s="21">
        <v>2</v>
      </c>
      <c r="KH161" s="21">
        <v>0</v>
      </c>
      <c r="KI161" s="21">
        <v>0</v>
      </c>
      <c r="KJ161" s="21">
        <v>0</v>
      </c>
      <c r="KK161" s="21">
        <v>0</v>
      </c>
      <c r="KL161" s="21">
        <v>2</v>
      </c>
      <c r="KM161" s="21">
        <v>0</v>
      </c>
      <c r="KN161" s="21">
        <v>2</v>
      </c>
      <c r="KO161" s="21">
        <v>0</v>
      </c>
      <c r="KP161" s="21">
        <v>4</v>
      </c>
      <c r="KQ161" s="21">
        <v>0</v>
      </c>
      <c r="KR161" s="21">
        <v>0</v>
      </c>
      <c r="KS161" s="21">
        <v>0</v>
      </c>
      <c r="LW161" s="26" t="s">
        <v>518</v>
      </c>
      <c r="LX161" s="20">
        <v>0</v>
      </c>
      <c r="LY161" s="20">
        <v>0</v>
      </c>
      <c r="LZ161" s="20">
        <v>0</v>
      </c>
      <c r="MA161" s="20">
        <v>0</v>
      </c>
      <c r="MB161" s="20">
        <v>0</v>
      </c>
      <c r="MC161" s="20">
        <v>0</v>
      </c>
      <c r="MD161" s="20">
        <v>0</v>
      </c>
      <c r="ME161" s="20">
        <v>0</v>
      </c>
      <c r="MF161" s="20">
        <v>2</v>
      </c>
      <c r="MG161" s="20">
        <v>2</v>
      </c>
      <c r="MH161" s="20">
        <v>0</v>
      </c>
      <c r="MI161" s="20">
        <v>0</v>
      </c>
      <c r="MJ161" s="20">
        <v>0</v>
      </c>
      <c r="MK161" s="20">
        <v>0</v>
      </c>
      <c r="ML161" s="20">
        <v>0</v>
      </c>
      <c r="MM161" s="20">
        <v>2</v>
      </c>
      <c r="MN161" s="20">
        <v>0</v>
      </c>
      <c r="MO161" s="20">
        <v>0</v>
      </c>
      <c r="MP161" s="20">
        <v>0</v>
      </c>
      <c r="MQ161" s="20">
        <v>2</v>
      </c>
      <c r="MR161" s="20">
        <v>0</v>
      </c>
      <c r="MS161" s="20">
        <v>0</v>
      </c>
      <c r="MT161" s="20">
        <v>4</v>
      </c>
      <c r="MU161" s="20">
        <v>0</v>
      </c>
      <c r="MV161" s="20">
        <v>0</v>
      </c>
      <c r="MW161" s="20">
        <v>0</v>
      </c>
    </row>
    <row r="162" spans="1:361" x14ac:dyDescent="0.25">
      <c r="A162" s="8"/>
      <c r="B162" s="5" t="s">
        <v>116</v>
      </c>
      <c r="C162" s="8"/>
      <c r="D162" s="4"/>
      <c r="E162" s="4"/>
      <c r="F162" s="4"/>
      <c r="G162" s="4"/>
      <c r="H162" s="4"/>
      <c r="I162" s="4"/>
      <c r="J162" s="4"/>
      <c r="K162" s="4"/>
      <c r="L162" s="6" t="str">
        <f>IF(E156=$AK$22,"NKZM10E A2",IF(E156=$AK$23,"NKZM10E A2",IF(E156=$AK$24,"-------",0)))</f>
        <v>NKZM10E A2</v>
      </c>
      <c r="M162" s="14">
        <f>INDEX(cennik!$C$2:$L$529,MATCH($L162,cennik!$B$2:$B$522,0),MATCH(M$27,cennik!$C$1:$L$1,0))</f>
        <v>890009</v>
      </c>
      <c r="N162" s="14" t="str">
        <f>INDEX(cennik!$C$2:$L$529,MATCH($L162,cennik!$B$2:$B$522,0),MATCH(N$27,cennik!$C$1:$L$1,0))</f>
        <v>100 szt.</v>
      </c>
      <c r="O162" s="14">
        <f>IF(L162="-------",0,ROUNDUP((O159/100),0))</f>
        <v>0</v>
      </c>
      <c r="P162" s="22">
        <f>INDEX(cennik!$C$2:$L$529,MATCH($L162,cennik!$B$2:$B$522,0),MATCH(P$27,cennik!$C$1:$L$1,0))</f>
        <v>46.15</v>
      </c>
      <c r="Q162" s="22">
        <f t="shared" si="133"/>
        <v>0</v>
      </c>
      <c r="R162" s="23">
        <f t="shared" si="134"/>
        <v>0</v>
      </c>
      <c r="S162" s="22">
        <f t="shared" si="129"/>
        <v>46.15</v>
      </c>
      <c r="T162" s="22">
        <f t="shared" si="135"/>
        <v>0</v>
      </c>
      <c r="U162" s="22">
        <f>INDEX(cennik!$C$2:$L$529,MATCH($L162,cennik!$B$2:$B$522,0),MATCH(U$27,cennik!$C$1:$L$1,0))*O162</f>
        <v>0</v>
      </c>
      <c r="X162" s="25">
        <f t="shared" si="121"/>
        <v>0</v>
      </c>
      <c r="Y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188,$BB$2:$CA$2,0),MATCH($W$147,$AH$22:$AH$47,0)))*C188</f>
        <v>0</v>
      </c>
      <c r="AB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188,$BB$2:$CA$2,0),MATCH($W$147,$AH$22:$AH$47,0)))*C188</f>
        <v>0</v>
      </c>
      <c r="AC162" s="25"/>
      <c r="AD162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188,$BB$2:$CA$2,0),MATCH($W$147,$AH$22:$AH$47,0)))*C188</f>
        <v>0</v>
      </c>
      <c r="AL162" s="20">
        <f t="shared" si="122"/>
        <v>0</v>
      </c>
      <c r="DD162" s="26" t="s">
        <v>710</v>
      </c>
      <c r="DE162" s="20">
        <v>0</v>
      </c>
      <c r="DF162" s="20"/>
      <c r="DG162" s="20"/>
      <c r="DH162" s="20"/>
      <c r="DI162" s="20"/>
      <c r="DJ162" s="20"/>
      <c r="DK162" s="20"/>
      <c r="DL162" s="20"/>
      <c r="DM162" s="20"/>
      <c r="DN162" s="20"/>
      <c r="DO162" s="20"/>
      <c r="DP162" s="20"/>
      <c r="DQ162" s="20"/>
      <c r="DR162" s="20"/>
      <c r="DS162" s="20"/>
      <c r="DT162" s="20"/>
      <c r="DU162" s="20"/>
      <c r="DV162" s="20"/>
      <c r="DW162" s="20"/>
      <c r="DX162" s="20"/>
      <c r="DY162" s="20"/>
      <c r="EC162" s="20"/>
      <c r="ED162" s="20"/>
      <c r="EE162" s="20"/>
      <c r="EF162" s="20"/>
      <c r="EG162" s="20"/>
      <c r="EH162" s="20"/>
      <c r="EI162" s="20"/>
      <c r="EJ162" s="20"/>
      <c r="EK162" s="20"/>
      <c r="EL162" s="20"/>
      <c r="EM162" s="20"/>
      <c r="EN162" s="20"/>
      <c r="EO162" s="20"/>
      <c r="EP162" s="20"/>
      <c r="EQ162" s="20"/>
      <c r="ER162" s="20"/>
      <c r="ES162" s="20"/>
      <c r="ET162" s="20"/>
      <c r="EU162" s="20"/>
      <c r="EV162" s="20"/>
      <c r="EW162" s="20"/>
      <c r="EX162" s="20"/>
      <c r="EY162" s="20"/>
      <c r="EZ162" s="20"/>
      <c r="FA162" s="20"/>
      <c r="FB162" s="20"/>
      <c r="FC162" s="20"/>
      <c r="FD162" s="20"/>
      <c r="FE162" s="20"/>
      <c r="FF162" s="20"/>
      <c r="FG162" s="20"/>
      <c r="FH162" s="20"/>
      <c r="FI162" s="20"/>
      <c r="FJ162" s="20"/>
      <c r="FK162" s="20"/>
      <c r="FL162" s="20"/>
      <c r="FM162" s="20"/>
      <c r="FN162" s="20"/>
      <c r="FO162" s="20"/>
      <c r="FP162" s="20"/>
      <c r="FQ162" s="20"/>
      <c r="FR162" s="20"/>
      <c r="FS162" s="20"/>
      <c r="FT162" s="20"/>
      <c r="FU162" s="20"/>
      <c r="FV162" s="20"/>
      <c r="FW162" s="20"/>
      <c r="FX162" s="20"/>
      <c r="FY162" s="20"/>
      <c r="FZ162" s="20"/>
      <c r="GA162" s="20"/>
      <c r="GB162" s="20"/>
      <c r="JS162" s="21" t="s">
        <v>519</v>
      </c>
      <c r="JT162" s="21">
        <v>0</v>
      </c>
      <c r="JU162" s="21">
        <v>0</v>
      </c>
      <c r="JV162" s="21">
        <v>2</v>
      </c>
      <c r="JW162" s="21">
        <v>0</v>
      </c>
      <c r="JX162" s="21">
        <v>0</v>
      </c>
      <c r="JY162" s="21">
        <v>2</v>
      </c>
      <c r="JZ162" s="21">
        <v>4</v>
      </c>
      <c r="KA162" s="21">
        <v>2</v>
      </c>
      <c r="KB162" s="21">
        <v>0</v>
      </c>
      <c r="KC162" s="21">
        <v>8</v>
      </c>
      <c r="KD162" s="21">
        <v>6</v>
      </c>
      <c r="KE162" s="21">
        <v>2</v>
      </c>
      <c r="KF162" s="21">
        <v>0</v>
      </c>
      <c r="KG162" s="21">
        <v>10</v>
      </c>
      <c r="KH162" s="21">
        <v>6</v>
      </c>
      <c r="KI162" s="21">
        <v>2</v>
      </c>
      <c r="KJ162" s="21">
        <v>12</v>
      </c>
      <c r="KK162" s="21">
        <v>12</v>
      </c>
      <c r="KL162" s="21">
        <v>6</v>
      </c>
      <c r="KM162" s="21">
        <v>2</v>
      </c>
      <c r="KN162" s="21">
        <v>12</v>
      </c>
      <c r="KO162" s="21">
        <v>8</v>
      </c>
      <c r="KP162" s="21">
        <v>8</v>
      </c>
      <c r="KQ162" s="21">
        <v>16</v>
      </c>
      <c r="KR162" s="21">
        <v>0</v>
      </c>
      <c r="KS162" s="21">
        <v>22</v>
      </c>
      <c r="LW162" s="26" t="s">
        <v>519</v>
      </c>
      <c r="LX162" s="20">
        <v>0</v>
      </c>
      <c r="LY162" s="20">
        <v>2</v>
      </c>
      <c r="LZ162" s="20">
        <v>2</v>
      </c>
      <c r="MA162" s="20">
        <v>2</v>
      </c>
      <c r="MB162" s="20">
        <v>6</v>
      </c>
      <c r="MC162" s="20">
        <v>6</v>
      </c>
      <c r="MD162" s="20">
        <v>4</v>
      </c>
      <c r="ME162" s="20">
        <v>6</v>
      </c>
      <c r="MF162" s="20">
        <v>4</v>
      </c>
      <c r="MG162" s="20">
        <v>2</v>
      </c>
      <c r="MH162" s="20">
        <v>2</v>
      </c>
      <c r="MI162" s="20">
        <v>16</v>
      </c>
      <c r="MJ162" s="20">
        <v>0</v>
      </c>
      <c r="MK162" s="20">
        <v>0</v>
      </c>
      <c r="ML162" s="20">
        <v>12</v>
      </c>
      <c r="MM162" s="20">
        <v>10</v>
      </c>
      <c r="MN162" s="20">
        <v>22</v>
      </c>
      <c r="MO162" s="20">
        <v>8</v>
      </c>
      <c r="MP162" s="20">
        <v>22</v>
      </c>
      <c r="MQ162" s="20">
        <v>20</v>
      </c>
      <c r="MR162" s="20">
        <v>4</v>
      </c>
      <c r="MS162" s="20">
        <v>18</v>
      </c>
      <c r="MT162" s="20">
        <v>8</v>
      </c>
      <c r="MU162" s="20">
        <v>0</v>
      </c>
      <c r="MV162" s="20">
        <v>14</v>
      </c>
      <c r="MW162" s="20">
        <v>28</v>
      </c>
    </row>
    <row r="163" spans="1:361" x14ac:dyDescent="0.25">
      <c r="A163" s="8"/>
      <c r="B163" s="5" t="s">
        <v>116</v>
      </c>
      <c r="C163" s="8"/>
      <c r="D163" s="4"/>
      <c r="E163" s="4"/>
      <c r="F163" s="4"/>
      <c r="G163" s="4"/>
      <c r="H163" s="4"/>
      <c r="I163" s="4"/>
      <c r="J163" s="4"/>
      <c r="K163" s="4"/>
      <c r="L163" s="6" t="str">
        <f>IF(E153=$AC$1,INDEX(($AN$28:$AO$37,$AN$42:$AO$51,$AN$56:$AO$65),MATCH(I150,$AM$28:$AM$37,0),MATCH(E154,$AN$27:$AO$27,0),MATCH(E156,$AK$22:$AK$24,0)),IF(E153=$AC$2,INDEX(($AT$28:$AU$37,$AT$42:$AU$51,$AT$56:$AU$65),MATCH(I150,$AS$28:$AS$37,0),MATCH(E154,$AT$27:$AU$27,0),MATCH(E156,$AK$22:$AK$24,0)),0))</f>
        <v>BUF35</v>
      </c>
      <c r="M163" s="14">
        <f>INDEX(cennik!$C$2:$L$529,MATCH($L163,cennik!$B$2:$B$522,0),MATCH(M$27,cennik!$C$1:$L$1,0))</f>
        <v>897335</v>
      </c>
      <c r="N163" s="14" t="str">
        <f>INDEX(cennik!$C$2:$L$529,MATCH($L163,cennik!$B$2:$B$522,0),MATCH(N$27,cennik!$C$1:$L$1,0))</f>
        <v>szt.</v>
      </c>
      <c r="O163" s="14">
        <f>SUM(IF(A149=0,0,IF((A149&gt;0),C149*4)),IF(A150=0,0,IF((A150&gt;0),C150*4)),IF(A151=0,0,IF((A151&gt;0),C151*4)),IF(A152=0,0,IF((A152&gt;0),C152*4)),IF(A153=0,0,IF((A153&gt;0),C153*4)),IF(A154=0,0,IF((A154&gt;0),C154*4)),IF(A155=0,0,IF((A155&gt;0),C155*4)),IF(A156=0,0,IF((A156&gt;0),C156*4)),IF(A157=0,0,IF((A157&gt;0),C157*4)),IF(A158=0,0,IF((A158&gt;0),C158*4)),IF(A159=0,0,IF((A159&gt;0),C159*4)),IF(A160=0,0,IF((A160&gt;0),C160*4)),IF(A161=0,0,IF((A161&gt;0),C161*4)),IF(A162=0,0,IF((A162&gt;0),C162*4)),IF(A163=0,0,IF((A163&gt;0),C163*4)),,IF(A164=0,0,IF((A164&gt;0),C164*4)))</f>
        <v>0</v>
      </c>
      <c r="P163" s="22">
        <f>INDEX(cennik!$C$2:$L$529,MATCH($L163,cennik!$B$2:$B$522,0),MATCH(P$27,cennik!$C$1:$L$1,0))</f>
        <v>1.92</v>
      </c>
      <c r="Q163" s="22">
        <f t="shared" si="133"/>
        <v>0</v>
      </c>
      <c r="R163" s="23">
        <f t="shared" si="134"/>
        <v>0</v>
      </c>
      <c r="S163" s="22">
        <f t="shared" si="129"/>
        <v>1.92</v>
      </c>
      <c r="T163" s="22">
        <f t="shared" si="135"/>
        <v>0</v>
      </c>
      <c r="U163" s="22">
        <f>INDEX(cennik!$C$2:$L$529,MATCH($L163,cennik!$B$2:$B$522,0),MATCH(U$27,cennik!$C$1:$L$1,0))*O163</f>
        <v>0</v>
      </c>
      <c r="Y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$177,$BA$3:$BA$17,0),MATCH(A189,$BB$2:$CA$2,0),MATCH($W$147,$AH$22:$AH$47,0)))*C189</f>
        <v>0</v>
      </c>
      <c r="AB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$175,$BA$3:$BA$17,0),MATCH(A189,$BB$2:$CA$2,0),MATCH($W$147,$AH$22:$AH$47,0)))*C189</f>
        <v>0</v>
      </c>
      <c r="AC163" s="25"/>
      <c r="AD163" s="25">
        <f>(INDEX(($BB$3:$CA$17,$BB$21:$CA$35,$BB$39:$CA$53,$BB$57:$CA$71,$BB$75:$CA$89,$BB$93:$CA$107,$BB$111:$CA$125,$BB$129:$CA$143,$EC$3:$FB$17,$EC$21:$FB$35,$EC$39:$FB$53,$EC$57:$FB$71,$EC$75:$FB$89,$GF$3:$HE$17,$GF$21:$HE$35,$GF$39:$HE$53,$GF$57:$HE$71,$GF$75:$HE$89,$GF$93:$HE$107,$GF$111:$HE$125,$GF$129:$HE$143,$GF$147:$HE$161,$IG$3:$JF$17,$IG$21:$JF$35,$IG$39:$JF$53,$IG$57:$JF$71),MATCH($L$176,$BA$3:$BA$17,0),MATCH(A189,$BB$2:$CA$2,0),MATCH($W$147,$AH$22:$AH$47,0)))*C189</f>
        <v>0</v>
      </c>
      <c r="CB163" s="20"/>
      <c r="CC163" s="20"/>
      <c r="CD163" s="20"/>
      <c r="CE163" s="20"/>
      <c r="CF163" s="20"/>
      <c r="CG163" s="20"/>
      <c r="CH163" s="20"/>
      <c r="CI163" s="20"/>
      <c r="CJ163" s="20"/>
      <c r="CK163" s="20"/>
      <c r="CL163" s="20"/>
      <c r="CM163" s="20"/>
      <c r="CN163" s="20"/>
      <c r="CO163" s="20"/>
      <c r="CP163" s="20"/>
      <c r="CQ163" s="20"/>
      <c r="CR163" s="20"/>
      <c r="CS163" s="20"/>
      <c r="CT163" s="20"/>
      <c r="CU163" s="20"/>
      <c r="CV163" s="20"/>
      <c r="CW163" s="20"/>
      <c r="CX163" s="20"/>
      <c r="CY163" s="20"/>
      <c r="CZ163" s="20"/>
      <c r="DD163" s="26" t="s">
        <v>711</v>
      </c>
      <c r="DE163" s="20">
        <v>0</v>
      </c>
      <c r="DF163" s="20"/>
      <c r="DG163" s="20"/>
      <c r="DH163" s="20"/>
      <c r="DI163" s="20"/>
      <c r="DJ163" s="20"/>
      <c r="DK163" s="20"/>
      <c r="DL163" s="20"/>
      <c r="DM163" s="20"/>
      <c r="DN163" s="20"/>
      <c r="DO163" s="20"/>
      <c r="DP163" s="20"/>
      <c r="DQ163" s="20"/>
      <c r="DR163" s="20"/>
      <c r="DS163" s="20"/>
      <c r="DT163" s="20"/>
      <c r="DU163" s="20"/>
      <c r="DV163" s="20"/>
      <c r="DW163" s="20"/>
      <c r="DX163" s="20"/>
      <c r="DY163" s="20"/>
      <c r="EC163" s="20"/>
      <c r="ED163" s="20"/>
      <c r="EE163" s="20"/>
      <c r="EF163" s="20"/>
      <c r="EG163" s="20"/>
      <c r="EH163" s="20"/>
      <c r="EI163" s="20"/>
      <c r="EJ163" s="20"/>
      <c r="EK163" s="20"/>
      <c r="EL163" s="20"/>
      <c r="EM163" s="20"/>
      <c r="EN163" s="20"/>
      <c r="EO163" s="20"/>
      <c r="EP163" s="20"/>
      <c r="EQ163" s="20"/>
      <c r="ER163" s="20"/>
      <c r="ES163" s="20"/>
      <c r="ET163" s="20"/>
      <c r="EU163" s="20"/>
      <c r="EV163" s="20"/>
      <c r="EW163" s="20"/>
      <c r="EX163" s="20"/>
      <c r="EY163" s="20"/>
      <c r="EZ163" s="20"/>
      <c r="FA163" s="20"/>
      <c r="FB163" s="20"/>
      <c r="FC163" s="20"/>
      <c r="FD163" s="20"/>
      <c r="FE163" s="20"/>
      <c r="FF163" s="20"/>
      <c r="FG163" s="20"/>
      <c r="FH163" s="20"/>
      <c r="FI163" s="20"/>
      <c r="FJ163" s="20"/>
      <c r="FK163" s="20"/>
      <c r="FL163" s="20"/>
      <c r="FM163" s="20"/>
      <c r="FN163" s="20"/>
      <c r="FO163" s="20"/>
      <c r="FP163" s="20"/>
      <c r="FQ163" s="20"/>
      <c r="FR163" s="20"/>
      <c r="FS163" s="20"/>
      <c r="FT163" s="20"/>
      <c r="FU163" s="20"/>
      <c r="FV163" s="20"/>
      <c r="FW163" s="20"/>
      <c r="FX163" s="20"/>
      <c r="FY163" s="20"/>
      <c r="FZ163" s="20"/>
      <c r="GA163" s="20"/>
      <c r="GB163" s="20"/>
      <c r="JS163" s="21" t="s">
        <v>520</v>
      </c>
      <c r="JT163" s="21">
        <v>0</v>
      </c>
      <c r="JU163" s="21">
        <v>0</v>
      </c>
      <c r="JV163" s="21">
        <v>0</v>
      </c>
      <c r="JW163" s="21">
        <v>0</v>
      </c>
      <c r="JX163" s="21">
        <v>0</v>
      </c>
      <c r="JY163" s="21">
        <v>0</v>
      </c>
      <c r="JZ163" s="21">
        <v>0</v>
      </c>
      <c r="KA163" s="21">
        <v>4</v>
      </c>
      <c r="KB163" s="21">
        <v>6</v>
      </c>
      <c r="KC163" s="21">
        <v>0</v>
      </c>
      <c r="KD163" s="21">
        <v>0</v>
      </c>
      <c r="KE163" s="21">
        <v>6</v>
      </c>
      <c r="KF163" s="21">
        <v>10</v>
      </c>
      <c r="KG163" s="21">
        <v>0</v>
      </c>
      <c r="KH163" s="21">
        <v>6</v>
      </c>
      <c r="KI163" s="21">
        <v>10</v>
      </c>
      <c r="KJ163" s="21">
        <v>2</v>
      </c>
      <c r="KK163" s="21">
        <v>2</v>
      </c>
      <c r="KL163" s="21">
        <v>8</v>
      </c>
      <c r="KM163" s="21">
        <v>14</v>
      </c>
      <c r="KN163" s="21">
        <v>4</v>
      </c>
      <c r="KO163" s="21">
        <v>10</v>
      </c>
      <c r="KP163" s="21">
        <v>8</v>
      </c>
      <c r="KQ163" s="21">
        <v>4</v>
      </c>
      <c r="KR163" s="21">
        <v>20</v>
      </c>
      <c r="KS163" s="21">
        <v>0</v>
      </c>
      <c r="LW163" s="26" t="s">
        <v>520</v>
      </c>
      <c r="LX163" s="20">
        <v>0</v>
      </c>
      <c r="LY163" s="20">
        <v>0</v>
      </c>
      <c r="LZ163" s="20">
        <v>0</v>
      </c>
      <c r="MA163" s="20">
        <v>0</v>
      </c>
      <c r="MB163" s="20">
        <v>0</v>
      </c>
      <c r="MC163" s="20">
        <v>0</v>
      </c>
      <c r="MD163" s="20">
        <v>2</v>
      </c>
      <c r="ME163" s="20">
        <v>4</v>
      </c>
      <c r="MF163" s="20">
        <v>6</v>
      </c>
      <c r="MG163" s="20">
        <v>8</v>
      </c>
      <c r="MH163" s="20">
        <v>12</v>
      </c>
      <c r="MI163" s="20">
        <v>0</v>
      </c>
      <c r="MJ163" s="20">
        <v>14</v>
      </c>
      <c r="MK163" s="20">
        <v>18</v>
      </c>
      <c r="ML163" s="20">
        <v>8</v>
      </c>
      <c r="MM163" s="20">
        <v>10</v>
      </c>
      <c r="MN163" s="20">
        <v>0</v>
      </c>
      <c r="MO163" s="20">
        <v>16</v>
      </c>
      <c r="MP163" s="20">
        <v>4</v>
      </c>
      <c r="MQ163" s="20">
        <v>6</v>
      </c>
      <c r="MR163" s="20">
        <v>24</v>
      </c>
      <c r="MS163" s="20">
        <v>12</v>
      </c>
      <c r="MT163" s="20">
        <v>20</v>
      </c>
      <c r="MU163" s="20">
        <v>32</v>
      </c>
      <c r="MV163" s="20">
        <v>20</v>
      </c>
      <c r="MW163" s="20">
        <v>8</v>
      </c>
    </row>
    <row r="164" spans="1:361" x14ac:dyDescent="0.25">
      <c r="A164" s="8"/>
      <c r="B164" s="5" t="s">
        <v>116</v>
      </c>
      <c r="C164" s="8"/>
      <c r="D164" s="4"/>
      <c r="E164" s="4"/>
      <c r="F164" s="4"/>
      <c r="G164" s="4"/>
      <c r="H164" s="4"/>
      <c r="I164" s="4"/>
      <c r="J164" s="4"/>
      <c r="K164" s="4"/>
      <c r="L164" s="6" t="str">
        <f>IF(E153=$AC$1,INDEX(($AN$38:$AO$38,$AN$52:$AO$52,$AN$66:$AO$66),1,MATCH($E$154,$AN$27:$AO$27,0),MATCH($E$156,$AK$22:$AK$24,0)),IF(E153=$AC$2,INDEX(($AT$38:$AU$38,$AT$52:$AU$52,$AT$66:$AU$66),1,MATCH($E$154,$AT$27:$AU$27,0),MATCH($E$156,$AK$22:$AK$24,0)),0))</f>
        <v>PUF</v>
      </c>
      <c r="M164" s="14">
        <f>INDEX(cennik!$C$2:$L$529,MATCH($L164,cennik!$B$2:$B$522,0),MATCH(M$27,cennik!$C$1:$L$1,0))</f>
        <v>897300</v>
      </c>
      <c r="N164" s="14" t="str">
        <f>INDEX(cennik!$C$2:$L$529,MATCH($L164,cennik!$B$2:$B$522,0),MATCH(N$27,cennik!$C$1:$L$1,0))</f>
        <v>szt.</v>
      </c>
      <c r="O164" s="14">
        <f>SUM(IF(A149=0,0,IF(A149&gt;0,(A149-1)*2*C149)),IF(A150=0,0,IF(A150&gt;0,(A150-1)*2*C150)),IF(A151=0,0,IF(A151&gt;0,(A151-1)*2*C151)),IF(A152=0,0,IF(A152&gt;0,(A152-1)*2*C152)),IF(A153=0,0,IF(A153&gt;0,(A153-1)*2*C153)),IF(A154=0,0,IF(A154&gt;0,(A154-1)*2*C154)),IF(A155=0,0,IF(A155&gt;0,(A155-1)*2*C155)),IF(A156=0,0,IF(A156&gt;0,(A156-1)*2*C156)),IF(A157=0,0,IF(A157&gt;0,(A157-1)*2*C157)),IF(A158=0,0,IF(A158&gt;0,(A158-1)*2*C158)),IF(A159=0,0,IF(A159&gt;0,(A159-1)*2*C159)),IF(A160=0,0,IF(A160&gt;0,(A160-1)*2*C160)),IF(A161=0,0,IF(A161&gt;0,(A161-1)*2*C161)),IF(A162=0,0,IF(A162&gt;0,(A162-1)*2*C162)),IF(A163=0,0,IF(A163&gt;0,(A163-1)*2*C163)),IF(A164=0,0,IF(A164&gt;0,(A164-1)*2*C164)))</f>
        <v>0</v>
      </c>
      <c r="P164" s="22">
        <f>INDEX(cennik!$C$2:$L$529,MATCH($L164,cennik!$B$2:$B$522,0),MATCH(P$27,cennik!$C$1:$L$1,0))</f>
        <v>2.06</v>
      </c>
      <c r="Q164" s="22">
        <f t="shared" si="133"/>
        <v>0</v>
      </c>
      <c r="R164" s="23">
        <f t="shared" si="134"/>
        <v>0</v>
      </c>
      <c r="S164" s="22">
        <f t="shared" si="129"/>
        <v>2.06</v>
      </c>
      <c r="T164" s="22">
        <f t="shared" si="135"/>
        <v>0</v>
      </c>
      <c r="U164" s="22">
        <f>INDEX(cennik!$C$2:$L$529,MATCH($L164,cennik!$B$2:$B$522,0),MATCH(U$27,cennik!$C$1:$L$1,0))*O164</f>
        <v>0</v>
      </c>
      <c r="CB164" s="20"/>
      <c r="CC164" s="20"/>
      <c r="CD164" s="20"/>
      <c r="CE164" s="20"/>
      <c r="CF164" s="20"/>
      <c r="CG164" s="20"/>
      <c r="CH164" s="20"/>
      <c r="CI164" s="20"/>
      <c r="CJ164" s="20"/>
      <c r="CK164" s="20"/>
      <c r="CL164" s="20"/>
      <c r="CM164" s="20"/>
      <c r="CN164" s="20"/>
      <c r="CO164" s="20"/>
      <c r="CP164" s="20"/>
      <c r="CQ164" s="20"/>
      <c r="CR164" s="20"/>
      <c r="CS164" s="20"/>
      <c r="CT164" s="20"/>
      <c r="CU164" s="20"/>
      <c r="CV164" s="20"/>
      <c r="CW164" s="20"/>
      <c r="CX164" s="20"/>
      <c r="CY164" s="20"/>
      <c r="CZ164" s="20"/>
      <c r="DD164" s="26" t="s">
        <v>712</v>
      </c>
      <c r="DE164" s="20">
        <v>0</v>
      </c>
      <c r="DF164" s="20"/>
      <c r="DG164" s="20"/>
      <c r="DH164" s="20"/>
      <c r="DI164" s="20"/>
      <c r="DJ164" s="20"/>
      <c r="DK164" s="20"/>
      <c r="DL164" s="20"/>
      <c r="DM164" s="20"/>
      <c r="DN164" s="20"/>
      <c r="DO164" s="20"/>
      <c r="DP164" s="20"/>
      <c r="DQ164" s="20"/>
      <c r="DR164" s="20"/>
      <c r="DS164" s="20"/>
      <c r="DT164" s="20"/>
      <c r="DU164" s="20"/>
      <c r="DV164" s="20"/>
      <c r="DW164" s="20"/>
      <c r="DX164" s="20"/>
      <c r="DY164" s="20"/>
      <c r="EC164" s="20"/>
      <c r="ED164" s="20"/>
      <c r="EE164" s="20"/>
      <c r="EF164" s="20"/>
      <c r="EG164" s="20"/>
      <c r="EH164" s="20"/>
      <c r="EI164" s="20"/>
      <c r="EJ164" s="20"/>
      <c r="EK164" s="20"/>
      <c r="EL164" s="20"/>
      <c r="EM164" s="20"/>
      <c r="EN164" s="20"/>
      <c r="EO164" s="20"/>
      <c r="EP164" s="20"/>
      <c r="EQ164" s="20"/>
      <c r="ER164" s="20"/>
      <c r="ES164" s="20"/>
      <c r="ET164" s="20"/>
      <c r="EU164" s="20"/>
      <c r="EV164" s="20"/>
      <c r="EW164" s="20"/>
      <c r="EX164" s="20"/>
      <c r="EY164" s="20"/>
      <c r="EZ164" s="20"/>
      <c r="FA164" s="20"/>
      <c r="FB164" s="20"/>
      <c r="FC164" s="20"/>
      <c r="FD164" s="20"/>
      <c r="FE164" s="20"/>
      <c r="FF164" s="20"/>
      <c r="FG164" s="20"/>
      <c r="FH164" s="20"/>
      <c r="FI164" s="20"/>
      <c r="FJ164" s="20"/>
      <c r="FK164" s="20"/>
      <c r="FL164" s="20"/>
      <c r="FM164" s="20"/>
      <c r="FN164" s="20"/>
      <c r="FO164" s="20"/>
      <c r="FP164" s="20"/>
      <c r="FQ164" s="20"/>
      <c r="FR164" s="20"/>
      <c r="FS164" s="20"/>
      <c r="FT164" s="20"/>
      <c r="FU164" s="20"/>
      <c r="FV164" s="20"/>
      <c r="FW164" s="20"/>
      <c r="FX164" s="20"/>
      <c r="FY164" s="20"/>
      <c r="FZ164" s="20"/>
      <c r="GA164" s="20"/>
      <c r="GB164" s="20"/>
      <c r="JS164" s="21" t="s">
        <v>521</v>
      </c>
      <c r="JT164" s="21">
        <v>0</v>
      </c>
      <c r="JU164" s="21">
        <v>0</v>
      </c>
      <c r="JV164" s="21">
        <v>0</v>
      </c>
      <c r="JW164" s="21">
        <v>4</v>
      </c>
      <c r="JX164" s="21">
        <v>8</v>
      </c>
      <c r="JY164" s="21">
        <v>8</v>
      </c>
      <c r="JZ164" s="21">
        <v>8</v>
      </c>
      <c r="KA164" s="21">
        <v>8</v>
      </c>
      <c r="KB164" s="21">
        <v>12</v>
      </c>
      <c r="KC164" s="21">
        <v>12</v>
      </c>
      <c r="KD164" s="21">
        <v>16</v>
      </c>
      <c r="KE164" s="21">
        <v>16</v>
      </c>
      <c r="KF164" s="21">
        <v>16</v>
      </c>
      <c r="KG164" s="21">
        <v>20</v>
      </c>
      <c r="KH164" s="21">
        <v>20</v>
      </c>
      <c r="KI164" s="21">
        <v>24</v>
      </c>
      <c r="KJ164" s="21">
        <v>24</v>
      </c>
      <c r="KK164" s="21">
        <v>28</v>
      </c>
      <c r="KL164" s="21">
        <v>28</v>
      </c>
      <c r="KM164" s="21">
        <v>28</v>
      </c>
      <c r="KN164" s="21">
        <v>32</v>
      </c>
      <c r="KO164" s="21">
        <v>32</v>
      </c>
      <c r="KP164" s="21">
        <v>36</v>
      </c>
      <c r="KQ164" s="21">
        <v>36</v>
      </c>
      <c r="KR164" s="21">
        <v>36</v>
      </c>
      <c r="KS164" s="21">
        <v>40</v>
      </c>
      <c r="LW164" s="26" t="s">
        <v>521</v>
      </c>
      <c r="LX164" s="20">
        <v>0</v>
      </c>
      <c r="LY164" s="20">
        <v>0</v>
      </c>
      <c r="LZ164" s="20">
        <v>4</v>
      </c>
      <c r="MA164" s="20">
        <v>8</v>
      </c>
      <c r="MB164" s="20">
        <v>8</v>
      </c>
      <c r="MC164" s="20">
        <v>12</v>
      </c>
      <c r="MD164" s="20">
        <v>16</v>
      </c>
      <c r="ME164" s="20">
        <v>16</v>
      </c>
      <c r="MF164" s="20">
        <v>20</v>
      </c>
      <c r="MG164" s="20">
        <v>24</v>
      </c>
      <c r="MH164" s="20">
        <v>24</v>
      </c>
      <c r="MI164" s="20">
        <v>28</v>
      </c>
      <c r="MJ164" s="20">
        <v>32</v>
      </c>
      <c r="MK164" s="20">
        <v>32</v>
      </c>
      <c r="ML164" s="20">
        <v>36</v>
      </c>
      <c r="MM164" s="20">
        <v>40</v>
      </c>
      <c r="MN164" s="20">
        <v>44</v>
      </c>
      <c r="MO164" s="20">
        <v>44</v>
      </c>
      <c r="MP164" s="20">
        <v>48</v>
      </c>
      <c r="MQ164" s="20">
        <v>52</v>
      </c>
      <c r="MR164" s="20">
        <v>52</v>
      </c>
      <c r="MS164" s="20">
        <v>56</v>
      </c>
      <c r="MT164" s="20">
        <v>60</v>
      </c>
      <c r="MU164" s="20">
        <v>60</v>
      </c>
      <c r="MV164" s="20">
        <v>64</v>
      </c>
      <c r="MW164" s="20">
        <v>68</v>
      </c>
    </row>
    <row r="165" spans="1:361" x14ac:dyDescent="0.25">
      <c r="A165" s="4"/>
      <c r="B165" s="6"/>
      <c r="C165" s="4"/>
      <c r="D165" s="4"/>
      <c r="E165" s="4"/>
      <c r="F165" s="4"/>
      <c r="G165" s="4"/>
      <c r="H165" s="4"/>
      <c r="I165" s="4"/>
      <c r="J165" s="4"/>
      <c r="K165" s="4"/>
      <c r="L165" s="6" t="str">
        <f>IF(E153=$AC$1,INDEX(($AP$28:$AP$37,$AP$42:$AP$51,$AP$56:$AP$65),MATCH(I150,$AM$28:$AM$37,0),1,MATCH(E156,$AK$22:$AK$24,0)),IF(E153=$AC$2,INDEX(($AV$28:$AV$37,$AV$42:$AV$51,$AV$56:$AV$65),MATCH(I150,$AS$28:$AS$37,0),1,MATCH(E156,$AK$22:$AK$24,0)),0))</f>
        <v>SAM8X30E</v>
      </c>
      <c r="M165" s="14">
        <f>INDEX(cennik!$C$2:$L$529,MATCH($L165,cennik!$B$2:$B$522,0),MATCH(M$27,cennik!$C$1:$L$1,0))</f>
        <v>898530</v>
      </c>
      <c r="N165" s="14" t="str">
        <f>INDEX(cennik!$C$2:$L$529,MATCH($L165,cennik!$B$2:$B$522,0),MATCH(N$27,cennik!$C$1:$L$1,0))</f>
        <v>szt.</v>
      </c>
      <c r="O165" s="14">
        <f>IF(AE141="suma",SUM(O163:O164),IF(AE141="tylko buf",O163,IF(AE141=0,0,0)))</f>
        <v>0</v>
      </c>
      <c r="P165" s="22">
        <f>INDEX(cennik!$C$2:$L$529,MATCH($L165,cennik!$B$2:$B$522,0),MATCH(P$27,cennik!$C$1:$L$1,0))</f>
        <v>0.5</v>
      </c>
      <c r="Q165" s="22">
        <f t="shared" si="133"/>
        <v>0</v>
      </c>
      <c r="R165" s="23">
        <f t="shared" si="134"/>
        <v>0</v>
      </c>
      <c r="S165" s="22">
        <f t="shared" si="129"/>
        <v>0.5</v>
      </c>
      <c r="T165" s="22">
        <f t="shared" si="135"/>
        <v>0</v>
      </c>
      <c r="U165" s="22">
        <f>INDEX(cennik!$C$2:$L$529,MATCH($L165,cennik!$B$2:$B$522,0),MATCH(U$27,cennik!$C$1:$L$1,0))*O165</f>
        <v>0</v>
      </c>
      <c r="CB165" s="20"/>
      <c r="CC165" s="20"/>
      <c r="CD165" s="20"/>
      <c r="CE165" s="20"/>
      <c r="CF165" s="20"/>
      <c r="CG165" s="20"/>
      <c r="CH165" s="20"/>
      <c r="CI165" s="20"/>
      <c r="CJ165" s="20"/>
      <c r="CK165" s="20"/>
      <c r="CL165" s="20"/>
      <c r="CM165" s="20"/>
      <c r="CN165" s="20"/>
      <c r="CO165" s="20"/>
      <c r="CP165" s="20"/>
      <c r="CQ165" s="20"/>
      <c r="CR165" s="20"/>
      <c r="CS165" s="20"/>
      <c r="CT165" s="20"/>
      <c r="CU165" s="20"/>
      <c r="CV165" s="20"/>
      <c r="CW165" s="20"/>
      <c r="CX165" s="20"/>
      <c r="CY165" s="20"/>
      <c r="CZ165" s="20"/>
      <c r="DD165" s="20"/>
      <c r="DE165" s="20"/>
      <c r="DF165" s="20"/>
      <c r="DG165" s="20"/>
      <c r="DH165" s="20"/>
      <c r="DI165" s="20"/>
      <c r="DJ165" s="20"/>
      <c r="DK165" s="20"/>
      <c r="DL165" s="20"/>
      <c r="DM165" s="20"/>
      <c r="DN165" s="20"/>
      <c r="DO165" s="20"/>
      <c r="DP165" s="20"/>
      <c r="DQ165" s="20"/>
      <c r="DR165" s="20"/>
      <c r="DS165" s="20"/>
      <c r="DT165" s="20"/>
      <c r="DU165" s="20"/>
      <c r="DV165" s="20"/>
      <c r="DW165" s="20"/>
      <c r="DX165" s="20"/>
      <c r="DY165" s="20"/>
      <c r="EC165" s="20"/>
      <c r="ED165" s="20"/>
      <c r="EE165" s="20"/>
      <c r="EF165" s="20"/>
      <c r="EG165" s="20"/>
      <c r="EH165" s="20"/>
      <c r="EI165" s="20"/>
      <c r="EJ165" s="20"/>
      <c r="EK165" s="20"/>
      <c r="EL165" s="20"/>
      <c r="EM165" s="20"/>
      <c r="EN165" s="20"/>
      <c r="EO165" s="20"/>
      <c r="EP165" s="20"/>
      <c r="EQ165" s="20"/>
      <c r="ER165" s="20"/>
      <c r="ES165" s="20"/>
      <c r="ET165" s="20"/>
      <c r="EU165" s="20"/>
      <c r="EV165" s="20"/>
      <c r="EW165" s="20"/>
      <c r="EX165" s="20"/>
      <c r="EY165" s="20"/>
      <c r="EZ165" s="20"/>
      <c r="FA165" s="20"/>
      <c r="FB165" s="20"/>
      <c r="FC165" s="20"/>
      <c r="FD165" s="20"/>
      <c r="FE165" s="20"/>
      <c r="FF165" s="20"/>
      <c r="FG165" s="20"/>
      <c r="FH165" s="20"/>
      <c r="FI165" s="20"/>
      <c r="FJ165" s="20"/>
      <c r="FK165" s="20"/>
      <c r="FL165" s="20"/>
      <c r="FM165" s="20"/>
      <c r="FN165" s="20"/>
      <c r="FO165" s="20"/>
      <c r="FP165" s="20"/>
      <c r="FQ165" s="20"/>
      <c r="FR165" s="20"/>
      <c r="FS165" s="20"/>
      <c r="FT165" s="20"/>
      <c r="FU165" s="20"/>
      <c r="FV165" s="20"/>
      <c r="FW165" s="20"/>
      <c r="FX165" s="20"/>
      <c r="FY165" s="20"/>
      <c r="FZ165" s="20"/>
      <c r="GA165" s="20"/>
      <c r="GB165" s="20"/>
      <c r="JS165" s="21" t="s">
        <v>710</v>
      </c>
      <c r="JT165" s="21">
        <v>0</v>
      </c>
      <c r="JU165" s="21">
        <v>2</v>
      </c>
      <c r="JV165" s="21">
        <v>0</v>
      </c>
      <c r="JW165" s="21">
        <v>4</v>
      </c>
      <c r="JX165" s="21">
        <v>0</v>
      </c>
      <c r="JY165" s="21">
        <v>4</v>
      </c>
      <c r="JZ165" s="21">
        <v>2</v>
      </c>
      <c r="KA165" s="21">
        <v>0</v>
      </c>
      <c r="KB165" s="21">
        <v>2</v>
      </c>
      <c r="KC165" s="21">
        <v>0</v>
      </c>
      <c r="KD165" s="21">
        <v>4</v>
      </c>
      <c r="KE165" s="21">
        <v>2</v>
      </c>
      <c r="KF165" s="21">
        <v>0</v>
      </c>
      <c r="KG165" s="21">
        <v>2</v>
      </c>
      <c r="KH165" s="21">
        <v>0</v>
      </c>
      <c r="KI165" s="21">
        <v>4</v>
      </c>
      <c r="KJ165" s="21">
        <v>2</v>
      </c>
      <c r="KK165" s="21">
        <v>4</v>
      </c>
      <c r="KL165" s="21">
        <v>2</v>
      </c>
      <c r="KM165" s="21">
        <v>0</v>
      </c>
      <c r="KN165" s="21">
        <v>4</v>
      </c>
      <c r="KO165" s="21">
        <v>0</v>
      </c>
      <c r="KP165" s="21">
        <v>4</v>
      </c>
      <c r="KQ165" s="21">
        <v>2</v>
      </c>
      <c r="KR165" s="21">
        <v>0</v>
      </c>
      <c r="KS165" s="21">
        <v>2</v>
      </c>
      <c r="LW165" s="26" t="s">
        <v>710</v>
      </c>
      <c r="LX165" s="20">
        <v>0</v>
      </c>
      <c r="LY165" s="20">
        <v>0</v>
      </c>
      <c r="LZ165" s="20">
        <v>2</v>
      </c>
      <c r="MA165" s="20">
        <v>4</v>
      </c>
      <c r="MB165" s="20">
        <v>0</v>
      </c>
      <c r="MC165" s="20">
        <v>2</v>
      </c>
      <c r="MD165" s="20">
        <v>4</v>
      </c>
      <c r="ME165" s="20">
        <v>0</v>
      </c>
      <c r="MF165" s="20">
        <v>2</v>
      </c>
      <c r="MG165" s="20">
        <v>4</v>
      </c>
      <c r="MH165" s="20">
        <v>0</v>
      </c>
      <c r="MI165" s="20">
        <v>2</v>
      </c>
      <c r="MJ165" s="20">
        <v>4</v>
      </c>
      <c r="MK165" s="20">
        <v>0</v>
      </c>
      <c r="ML165" s="20">
        <v>2</v>
      </c>
      <c r="MM165" s="20">
        <v>2</v>
      </c>
      <c r="MN165" s="20">
        <v>4</v>
      </c>
      <c r="MO165" s="20">
        <v>0</v>
      </c>
      <c r="MP165" s="20">
        <v>2</v>
      </c>
      <c r="MQ165" s="20">
        <v>4</v>
      </c>
      <c r="MR165" s="20">
        <v>0</v>
      </c>
      <c r="MS165" s="20">
        <v>2</v>
      </c>
      <c r="MT165" s="20">
        <v>4</v>
      </c>
      <c r="MU165" s="20">
        <v>0</v>
      </c>
      <c r="MV165" s="20">
        <v>2</v>
      </c>
      <c r="MW165" s="20">
        <v>4</v>
      </c>
    </row>
    <row r="166" spans="1:361" x14ac:dyDescent="0.25">
      <c r="A166" s="4"/>
      <c r="B166" s="6"/>
      <c r="C166" s="4"/>
      <c r="D166" s="4"/>
      <c r="E166" s="4"/>
      <c r="F166" s="4"/>
      <c r="G166" s="4"/>
      <c r="H166" s="4"/>
      <c r="I166" s="4"/>
      <c r="J166" s="4"/>
      <c r="K166" s="4"/>
      <c r="L166" s="6" t="str">
        <f>IF(E153=$AC$1,INDEX(($AQ$28:$AQ$37,$AQ$42:$AQ$51,$AQ$56:$AQ$65),MATCH(I150,$AM$28:$AM$37,0),1,MATCH(E156,$AK$22:$AK$24,0)),IF(E153=$AC$2,INDEX(($AW$28:$AW$37,$AW$42:$AW$51,$AW$56:$AW$65),MATCH(I150,$AS$28:$AS$37,0),1,MATCH(E156,$AK$22:$AK$24,0)),0))</f>
        <v>NKWSM8A</v>
      </c>
      <c r="M166" s="14">
        <f>INDEX(cennik!$C$2:$L$529,MATCH($L166,cennik!$B$2:$B$522,0),MATCH(M$27,cennik!$C$1:$L$1,0))</f>
        <v>600909</v>
      </c>
      <c r="N166" s="14" t="str">
        <f>INDEX(cennik!$C$2:$L$529,MATCH($L166,cennik!$B$2:$B$522,0),MATCH(N$27,cennik!$C$1:$L$1,0))</f>
        <v>szt.</v>
      </c>
      <c r="O166" s="14">
        <f>O165</f>
        <v>0</v>
      </c>
      <c r="P166" s="22">
        <f>INDEX(cennik!$C$2:$L$529,MATCH($L166,cennik!$B$2:$B$522,0),MATCH(P$27,cennik!$C$1:$L$1,0))</f>
        <v>0.6</v>
      </c>
      <c r="Q166" s="22">
        <f t="shared" si="133"/>
        <v>0</v>
      </c>
      <c r="R166" s="23">
        <f t="shared" si="134"/>
        <v>0</v>
      </c>
      <c r="S166" s="22">
        <f t="shared" si="129"/>
        <v>0.6</v>
      </c>
      <c r="T166" s="22">
        <f t="shared" si="135"/>
        <v>0</v>
      </c>
      <c r="U166" s="22">
        <f>INDEX(cennik!$C$2:$L$529,MATCH($L166,cennik!$B$2:$B$522,0),MATCH(U$27,cennik!$C$1:$L$1,0))*O166</f>
        <v>0</v>
      </c>
      <c r="BA166" s="20"/>
      <c r="BB166" s="20"/>
      <c r="BC166" s="20"/>
      <c r="BD166" s="20"/>
      <c r="BE166" s="20"/>
      <c r="BF166" s="20"/>
      <c r="BG166" s="20"/>
      <c r="BH166" s="20"/>
      <c r="BI166" s="20"/>
      <c r="BJ166" s="20"/>
      <c r="BK166" s="20"/>
      <c r="BL166" s="20"/>
      <c r="BM166" s="20"/>
      <c r="BN166" s="20"/>
      <c r="BO166" s="20"/>
      <c r="BP166" s="20"/>
      <c r="BQ166" s="20"/>
      <c r="BR166" s="20"/>
      <c r="BS166" s="20"/>
      <c r="BT166" s="20"/>
      <c r="BU166" s="20"/>
      <c r="BV166" s="20"/>
      <c r="BW166" s="20"/>
      <c r="BX166" s="20"/>
      <c r="BY166" s="20"/>
      <c r="BZ166" s="20"/>
      <c r="CA166" s="20"/>
      <c r="CB166" s="20"/>
      <c r="CC166" s="20"/>
      <c r="CD166" s="20"/>
      <c r="CE166" s="20"/>
      <c r="CF166" s="20"/>
      <c r="CG166" s="20"/>
      <c r="CH166" s="20"/>
      <c r="CI166" s="20"/>
      <c r="CJ166" s="20"/>
      <c r="CK166" s="20"/>
      <c r="CL166" s="20"/>
      <c r="CM166" s="20"/>
      <c r="CN166" s="20"/>
      <c r="CO166" s="20"/>
      <c r="CP166" s="20"/>
      <c r="CQ166" s="20"/>
      <c r="CR166" s="20"/>
      <c r="CS166" s="20"/>
      <c r="CT166" s="20"/>
      <c r="CU166" s="20"/>
      <c r="CV166" s="20"/>
      <c r="CW166" s="20"/>
      <c r="CX166" s="20"/>
      <c r="CY166" s="20"/>
      <c r="CZ166" s="20"/>
      <c r="DD166" s="20" t="s">
        <v>479</v>
      </c>
      <c r="DE166" s="20">
        <v>0</v>
      </c>
      <c r="DF166" s="20">
        <v>1</v>
      </c>
      <c r="DG166" s="20">
        <v>2</v>
      </c>
      <c r="DH166" s="20">
        <v>3</v>
      </c>
      <c r="DI166" s="20">
        <v>4</v>
      </c>
      <c r="DJ166" s="20">
        <v>5</v>
      </c>
      <c r="DK166" s="20">
        <v>6</v>
      </c>
      <c r="DL166" s="20">
        <v>7</v>
      </c>
      <c r="DM166" s="20">
        <v>8</v>
      </c>
      <c r="DN166" s="20">
        <v>9</v>
      </c>
      <c r="DO166" s="20">
        <v>10</v>
      </c>
      <c r="DP166" s="20">
        <v>11</v>
      </c>
      <c r="DQ166" s="20">
        <v>12</v>
      </c>
      <c r="DR166" s="20">
        <v>13</v>
      </c>
      <c r="DS166" s="20">
        <v>14</v>
      </c>
      <c r="DT166" s="20">
        <v>15</v>
      </c>
      <c r="DU166" s="20">
        <v>16</v>
      </c>
      <c r="DV166" s="20">
        <v>17</v>
      </c>
      <c r="DW166" s="20">
        <v>18</v>
      </c>
      <c r="DX166" s="20">
        <v>19</v>
      </c>
      <c r="DY166" s="20">
        <v>20</v>
      </c>
      <c r="EC166" s="20"/>
      <c r="ED166" s="20"/>
      <c r="EE166" s="20"/>
      <c r="EF166" s="20"/>
      <c r="EG166" s="20"/>
      <c r="EH166" s="20"/>
      <c r="EI166" s="20"/>
      <c r="EJ166" s="20"/>
      <c r="EK166" s="20"/>
      <c r="EL166" s="20"/>
      <c r="EM166" s="20"/>
      <c r="EN166" s="20"/>
      <c r="EO166" s="20"/>
      <c r="EP166" s="20"/>
      <c r="EQ166" s="20"/>
      <c r="ER166" s="20"/>
      <c r="ES166" s="20"/>
      <c r="ET166" s="20"/>
      <c r="EU166" s="20"/>
      <c r="EV166" s="20"/>
      <c r="EW166" s="20"/>
      <c r="EX166" s="20"/>
      <c r="EY166" s="20"/>
      <c r="EZ166" s="20"/>
      <c r="FA166" s="20"/>
      <c r="FB166" s="20"/>
      <c r="FC166" s="20"/>
      <c r="FD166" s="20"/>
      <c r="FE166" s="20"/>
      <c r="FF166" s="20"/>
      <c r="FG166" s="20"/>
      <c r="FH166" s="20"/>
      <c r="FI166" s="20"/>
      <c r="FJ166" s="20"/>
      <c r="FK166" s="20"/>
      <c r="FL166" s="20"/>
      <c r="FM166" s="20"/>
      <c r="FN166" s="20"/>
      <c r="FO166" s="20"/>
      <c r="FP166" s="20"/>
      <c r="FQ166" s="20"/>
      <c r="FR166" s="20"/>
      <c r="FS166" s="20"/>
      <c r="FT166" s="20"/>
      <c r="FU166" s="20"/>
      <c r="FV166" s="20"/>
      <c r="FW166" s="20"/>
      <c r="FX166" s="20"/>
      <c r="FY166" s="20"/>
      <c r="FZ166" s="20"/>
      <c r="GA166" s="20"/>
      <c r="GB166" s="20"/>
      <c r="JS166" s="21" t="s">
        <v>711</v>
      </c>
      <c r="JT166" s="21">
        <v>0</v>
      </c>
      <c r="JU166" s="21">
        <v>0</v>
      </c>
      <c r="JV166" s="21">
        <v>2</v>
      </c>
      <c r="JW166" s="21">
        <v>0</v>
      </c>
      <c r="JX166" s="21">
        <v>4</v>
      </c>
      <c r="JY166" s="21">
        <v>2</v>
      </c>
      <c r="JZ166" s="21">
        <v>4</v>
      </c>
      <c r="KA166" s="21">
        <v>6</v>
      </c>
      <c r="KB166" s="21">
        <v>6</v>
      </c>
      <c r="KC166" s="21">
        <v>8</v>
      </c>
      <c r="KD166" s="21">
        <v>6</v>
      </c>
      <c r="KE166" s="21">
        <v>8</v>
      </c>
      <c r="KF166" s="21">
        <v>10</v>
      </c>
      <c r="KG166" s="21">
        <v>10</v>
      </c>
      <c r="KH166" s="21">
        <v>12</v>
      </c>
      <c r="KI166" s="21">
        <v>10</v>
      </c>
      <c r="KJ166" s="21">
        <v>12</v>
      </c>
      <c r="KK166" s="21">
        <v>12</v>
      </c>
      <c r="KL166" s="21">
        <v>14</v>
      </c>
      <c r="KM166" s="21">
        <v>16</v>
      </c>
      <c r="KN166" s="21">
        <v>14</v>
      </c>
      <c r="KO166" s="21">
        <v>18</v>
      </c>
      <c r="KP166" s="21">
        <v>16</v>
      </c>
      <c r="KQ166" s="21">
        <v>18</v>
      </c>
      <c r="KR166" s="21">
        <v>20</v>
      </c>
      <c r="KS166" s="21">
        <v>20</v>
      </c>
      <c r="LW166" s="26" t="s">
        <v>711</v>
      </c>
      <c r="LX166" s="20">
        <v>0</v>
      </c>
      <c r="LY166" s="20">
        <v>2</v>
      </c>
      <c r="LZ166" s="20">
        <v>2</v>
      </c>
      <c r="MA166" s="20">
        <v>2</v>
      </c>
      <c r="MB166" s="20">
        <v>6</v>
      </c>
      <c r="MC166" s="20">
        <v>6</v>
      </c>
      <c r="MD166" s="20">
        <v>6</v>
      </c>
      <c r="ME166" s="20">
        <v>10</v>
      </c>
      <c r="MF166" s="20">
        <v>10</v>
      </c>
      <c r="MG166" s="20">
        <v>10</v>
      </c>
      <c r="MH166" s="20">
        <v>14</v>
      </c>
      <c r="MI166" s="20">
        <v>14</v>
      </c>
      <c r="MJ166" s="20">
        <v>14</v>
      </c>
      <c r="MK166" s="20">
        <v>18</v>
      </c>
      <c r="ML166" s="20">
        <v>18</v>
      </c>
      <c r="MM166" s="20">
        <v>20</v>
      </c>
      <c r="MN166" s="20">
        <v>20</v>
      </c>
      <c r="MO166" s="20">
        <v>24</v>
      </c>
      <c r="MP166" s="20">
        <v>24</v>
      </c>
      <c r="MQ166" s="20">
        <v>24</v>
      </c>
      <c r="MR166" s="20">
        <v>28</v>
      </c>
      <c r="MS166" s="20">
        <v>28</v>
      </c>
      <c r="MT166" s="20">
        <v>28</v>
      </c>
      <c r="MU166" s="20">
        <v>32</v>
      </c>
      <c r="MV166" s="20">
        <v>32</v>
      </c>
      <c r="MW166" s="20">
        <v>32</v>
      </c>
    </row>
    <row r="167" spans="1:361" x14ac:dyDescent="0.25">
      <c r="A167" s="4"/>
      <c r="B167" s="6"/>
      <c r="C167" s="4"/>
      <c r="D167" s="4"/>
      <c r="E167" s="4"/>
      <c r="F167" s="4"/>
      <c r="G167" s="4"/>
      <c r="H167" s="4"/>
      <c r="I167" s="4"/>
      <c r="J167" s="4"/>
      <c r="K167" s="4"/>
      <c r="L167" s="6" t="str">
        <f>IF(L164="PUFK","PUPK",IF(L164="PUFKL","PUPK","PUP"))</f>
        <v>PUP</v>
      </c>
      <c r="M167" s="14">
        <f>INDEX(cennik!$C$2:$L$529,MATCH($L167,cennik!$B$2:$B$522,0),MATCH(M$27,cennik!$C$1:$L$1,0))</f>
        <v>897303</v>
      </c>
      <c r="N167" s="14" t="str">
        <f>INDEX(cennik!$C$2:$L$529,MATCH($L167,cennik!$B$2:$B$522,0),MATCH(N$27,cennik!$C$1:$L$1,0))</f>
        <v>szt.</v>
      </c>
      <c r="O167" s="14">
        <f>SUM((IF(MOD(A149,2)=0,A149/2,IF(MOD(A149,2)=1,FLOOR(A149/2,1)+1,0))*C149),(IF(MOD(A150,2)=0,A150/2,IF(MOD(A150,2)=1,FLOOR(A150/2,1)+1,0))*C150),(IF(MOD(A151,2)=0,A151/2,IF(MOD(A151,2)=1,FLOOR(A151/2,1)+1,0))*C151),(IF(MOD(A152,2)=0,A152/2,IF(MOD(A152,2)=1,FLOOR(A152/2,1)+1,0))*C152),(IF(MOD(A153,2)=0,A153/2,IF(MOD(A153,2)=1,FLOOR(A153/2,1)+1,0))*C153),(IF(MOD(A154,2)=0,A154/2,IF(MOD(A154,2)=1,FLOOR(A154/2,1)+1,0))*C154),(IF(MOD(A155,2)=0,A155/2,IF(MOD(A155,2)=1,FLOOR(A155/2,1)+1,0))*C155),(IF(MOD(A156,2)=0,A156/2,IF(MOD(A156,2)=1,FLOOR(A156/2,1)+1,0))*C156),(IF(MOD(A157,2)=0,A157/2,IF(MOD(A157,2)=1,FLOOR(A157/2,1)+1,0))*C157),(IF(MOD(A158,2)=0,A158/2,IF(MOD(A158,2)=1,FLOOR(A158/2,1)+1,0))*C158),(IF(MOD(A159,2)=0,A159/2,IF(MOD(A159,2)=1,FLOOR(A159/2,1)+1,0))*C159),(IF(MOD(A160,2)=0,A160/2,IF(MOD(A160,2)=1,FLOOR(A160/2,1)+1,0))*C160),(IF(MOD(A161,2)=0,A161/2,IF(MOD(A161,2)=1,FLOOR(A161/2,1)+1,0))*C161),(IF(MOD(A162,2)=0,A162/2,IF(MOD(A162,2)=1,FLOOR(A162/2,1)+1,0))*C162),(IF(MOD(A163,2)=0,A163/2,IF(MOD(A163,2)=1,FLOOR(A163/2,1)+1,0))*C163),(IF(MOD(A164,2)=0,A164/2,IF(MOD(A164,2)=1,FLOOR(A164/2,1)+1,0))*C164))</f>
        <v>0</v>
      </c>
      <c r="P167" s="22">
        <f>INDEX(cennik!$C$2:$L$529,MATCH($L167,cennik!$B$2:$B$522,0),MATCH(P$27,cennik!$C$1:$L$1,0))</f>
        <v>2.4</v>
      </c>
      <c r="Q167" s="22">
        <f t="shared" si="133"/>
        <v>0</v>
      </c>
      <c r="R167" s="23">
        <f t="shared" si="134"/>
        <v>0</v>
      </c>
      <c r="S167" s="22">
        <f t="shared" si="129"/>
        <v>2.4</v>
      </c>
      <c r="T167" s="22">
        <f t="shared" si="135"/>
        <v>0</v>
      </c>
      <c r="U167" s="22">
        <f>INDEX(cennik!$C$2:$L$529,MATCH($L167,cennik!$B$2:$B$522,0),MATCH(U$27,cennik!$C$1:$L$1,0))*O167</f>
        <v>0</v>
      </c>
      <c r="BA167" s="20"/>
      <c r="BB167" s="20"/>
      <c r="BC167" s="20"/>
      <c r="BD167" s="20"/>
      <c r="BE167" s="20"/>
      <c r="BF167" s="20"/>
      <c r="BG167" s="20"/>
      <c r="BH167" s="20"/>
      <c r="BI167" s="20"/>
      <c r="BJ167" s="20"/>
      <c r="BK167" s="20"/>
      <c r="BL167" s="20"/>
      <c r="BM167" s="20"/>
      <c r="BN167" s="20"/>
      <c r="BO167" s="20"/>
      <c r="BP167" s="20"/>
      <c r="BQ167" s="20"/>
      <c r="BR167" s="20"/>
      <c r="BS167" s="20"/>
      <c r="BT167" s="20"/>
      <c r="BU167" s="20"/>
      <c r="BV167" s="20"/>
      <c r="BW167" s="20"/>
      <c r="BX167" s="20"/>
      <c r="BY167" s="20"/>
      <c r="BZ167" s="20"/>
      <c r="CA167" s="20"/>
      <c r="CB167" s="20"/>
      <c r="CC167" s="20"/>
      <c r="CD167" s="20"/>
      <c r="CE167" s="20"/>
      <c r="CF167" s="20"/>
      <c r="CG167" s="20"/>
      <c r="CH167" s="20"/>
      <c r="CI167" s="20"/>
      <c r="CJ167" s="20"/>
      <c r="CK167" s="20"/>
      <c r="CL167" s="20"/>
      <c r="CM167" s="20"/>
      <c r="CN167" s="20"/>
      <c r="CO167" s="20"/>
      <c r="CP167" s="20"/>
      <c r="CQ167" s="20"/>
      <c r="CR167" s="20"/>
      <c r="CS167" s="20"/>
      <c r="CT167" s="20"/>
      <c r="CU167" s="20"/>
      <c r="CV167" s="20"/>
      <c r="CW167" s="20"/>
      <c r="CX167" s="20"/>
      <c r="CY167" s="20"/>
      <c r="CZ167" s="20"/>
      <c r="DD167" s="20" t="s">
        <v>127</v>
      </c>
      <c r="DE167" s="20">
        <v>0</v>
      </c>
      <c r="DF167" s="20">
        <v>0</v>
      </c>
      <c r="DG167" s="20">
        <v>2</v>
      </c>
      <c r="DH167" s="20">
        <v>4</v>
      </c>
      <c r="DI167" s="20">
        <v>0</v>
      </c>
      <c r="DJ167" s="20">
        <v>2</v>
      </c>
      <c r="DK167" s="20">
        <v>4</v>
      </c>
      <c r="DL167" s="20">
        <v>0</v>
      </c>
      <c r="DM167" s="20">
        <v>2</v>
      </c>
      <c r="DN167" s="20">
        <v>4</v>
      </c>
      <c r="DO167" s="20">
        <v>0</v>
      </c>
      <c r="DP167" s="20">
        <v>2</v>
      </c>
      <c r="DQ167" s="20">
        <v>4</v>
      </c>
      <c r="DR167" s="20">
        <v>0</v>
      </c>
      <c r="DS167" s="20">
        <v>2</v>
      </c>
      <c r="DT167" s="20">
        <v>4</v>
      </c>
      <c r="DU167" s="20">
        <v>0</v>
      </c>
      <c r="DV167" s="20">
        <v>2</v>
      </c>
      <c r="DW167" s="20">
        <v>4</v>
      </c>
      <c r="DX167" s="20">
        <v>0</v>
      </c>
      <c r="DY167" s="20">
        <v>2</v>
      </c>
      <c r="EC167" s="20"/>
      <c r="ED167" s="20"/>
      <c r="EE167" s="20"/>
      <c r="EF167" s="20"/>
      <c r="EG167" s="20"/>
      <c r="EH167" s="20"/>
      <c r="EI167" s="20"/>
      <c r="EJ167" s="20"/>
      <c r="EK167" s="20"/>
      <c r="EL167" s="20"/>
      <c r="EM167" s="20"/>
      <c r="EN167" s="20"/>
      <c r="EO167" s="20"/>
      <c r="EP167" s="20"/>
      <c r="EQ167" s="20"/>
      <c r="ER167" s="20"/>
      <c r="ES167" s="20"/>
      <c r="ET167" s="20"/>
      <c r="EU167" s="20"/>
      <c r="EV167" s="20"/>
      <c r="EW167" s="20"/>
      <c r="EX167" s="20"/>
      <c r="EY167" s="20"/>
      <c r="EZ167" s="20"/>
      <c r="FA167" s="20"/>
      <c r="FB167" s="20"/>
      <c r="FC167" s="20"/>
      <c r="FD167" s="20"/>
      <c r="FE167" s="20"/>
      <c r="FF167" s="20"/>
      <c r="FG167" s="20"/>
      <c r="FH167" s="20"/>
      <c r="FI167" s="20"/>
      <c r="FJ167" s="20"/>
      <c r="FK167" s="20"/>
      <c r="FL167" s="20"/>
      <c r="FM167" s="20"/>
      <c r="FN167" s="20"/>
      <c r="FO167" s="20"/>
      <c r="FP167" s="20"/>
      <c r="FQ167" s="20"/>
      <c r="FR167" s="20"/>
      <c r="FS167" s="20"/>
      <c r="FT167" s="20"/>
      <c r="FU167" s="20"/>
      <c r="FV167" s="20"/>
      <c r="FW167" s="20"/>
      <c r="FX167" s="20"/>
      <c r="FY167" s="20"/>
      <c r="FZ167" s="20"/>
      <c r="GA167" s="20"/>
      <c r="GB167" s="20"/>
      <c r="JS167" s="21" t="s">
        <v>712</v>
      </c>
      <c r="JT167" s="21">
        <v>0</v>
      </c>
      <c r="JU167" s="21">
        <v>0</v>
      </c>
      <c r="JV167" s="21">
        <v>0</v>
      </c>
      <c r="JW167" s="21">
        <v>2</v>
      </c>
      <c r="JX167" s="21">
        <v>2</v>
      </c>
      <c r="JY167" s="21">
        <v>4</v>
      </c>
      <c r="JZ167" s="21">
        <v>4</v>
      </c>
      <c r="KA167" s="21">
        <v>4</v>
      </c>
      <c r="KB167" s="21">
        <v>6</v>
      </c>
      <c r="KC167" s="21">
        <v>6</v>
      </c>
      <c r="KD167" s="21">
        <v>8</v>
      </c>
      <c r="KE167" s="21">
        <v>8</v>
      </c>
      <c r="KF167" s="21">
        <v>8</v>
      </c>
      <c r="KG167" s="21">
        <v>10</v>
      </c>
      <c r="KH167" s="21">
        <v>10</v>
      </c>
      <c r="KI167" s="21">
        <v>12</v>
      </c>
      <c r="KJ167" s="21">
        <v>12</v>
      </c>
      <c r="KK167" s="21">
        <v>14</v>
      </c>
      <c r="KL167" s="21">
        <v>14</v>
      </c>
      <c r="KM167" s="21">
        <v>14</v>
      </c>
      <c r="KN167" s="21">
        <v>16</v>
      </c>
      <c r="KO167" s="21">
        <v>16</v>
      </c>
      <c r="KP167" s="21">
        <v>18</v>
      </c>
      <c r="KQ167" s="21">
        <v>18</v>
      </c>
      <c r="KR167" s="21">
        <v>18</v>
      </c>
      <c r="KS167" s="21">
        <v>20</v>
      </c>
      <c r="LW167" s="26" t="s">
        <v>712</v>
      </c>
      <c r="LX167" s="20">
        <v>0</v>
      </c>
      <c r="LY167" s="20">
        <v>0</v>
      </c>
      <c r="LZ167" s="20">
        <v>2</v>
      </c>
      <c r="MA167" s="20">
        <v>4</v>
      </c>
      <c r="MB167" s="20">
        <v>4</v>
      </c>
      <c r="MC167" s="20">
        <v>6</v>
      </c>
      <c r="MD167" s="20">
        <v>8</v>
      </c>
      <c r="ME167" s="20">
        <v>8</v>
      </c>
      <c r="MF167" s="20">
        <v>10</v>
      </c>
      <c r="MG167" s="20">
        <v>12</v>
      </c>
      <c r="MH167" s="20">
        <v>12</v>
      </c>
      <c r="MI167" s="20">
        <v>14</v>
      </c>
      <c r="MJ167" s="20">
        <v>16</v>
      </c>
      <c r="MK167" s="20">
        <v>16</v>
      </c>
      <c r="ML167" s="20">
        <v>18</v>
      </c>
      <c r="MM167" s="20">
        <v>20</v>
      </c>
      <c r="MN167" s="20">
        <v>22</v>
      </c>
      <c r="MO167" s="20">
        <v>22</v>
      </c>
      <c r="MP167" s="20">
        <v>24</v>
      </c>
      <c r="MQ167" s="20">
        <v>26</v>
      </c>
      <c r="MR167" s="20">
        <v>26</v>
      </c>
      <c r="MS167" s="20">
        <v>28</v>
      </c>
      <c r="MT167" s="20">
        <v>30</v>
      </c>
      <c r="MU167" s="20">
        <v>30</v>
      </c>
      <c r="MV167" s="20">
        <v>32</v>
      </c>
      <c r="MW167" s="20">
        <v>34</v>
      </c>
    </row>
    <row r="168" spans="1:361" x14ac:dyDescent="0.25">
      <c r="A168" s="4"/>
      <c r="B168" s="6"/>
      <c r="C168" s="4"/>
      <c r="D168" s="4"/>
      <c r="E168" s="4"/>
      <c r="F168" s="4"/>
      <c r="G168" s="4"/>
      <c r="H168" s="4"/>
      <c r="I168" s="4"/>
      <c r="J168" s="4"/>
      <c r="K168" s="4"/>
      <c r="L168" s="6" t="s">
        <v>512</v>
      </c>
      <c r="M168" s="14">
        <f>INDEX(cennik!$C$2:$L$529,MATCH($L168,cennik!$B$2:$B$522,0),MATCH(M$27,cennik!$C$1:$L$1,0))</f>
        <v>808251</v>
      </c>
      <c r="N168" s="14" t="str">
        <f>INDEX(cennik!$C$2:$L$529,MATCH($L168,cennik!$B$2:$B$522,0),MATCH(N$27,cennik!$C$1:$L$1,0))</f>
        <v>szt.</v>
      </c>
      <c r="O168" s="14">
        <f>IF(E156=$AK$24,0,E157)</f>
        <v>0</v>
      </c>
      <c r="P168" s="22">
        <f>INDEX(cennik!$C$2:$L$529,MATCH($L168,cennik!$B$2:$B$522,0),MATCH(P$27,cennik!$C$1:$L$1,0))</f>
        <v>0.63</v>
      </c>
      <c r="Q168" s="22">
        <f t="shared" si="133"/>
        <v>0</v>
      </c>
      <c r="R168" s="23">
        <f t="shared" si="134"/>
        <v>0</v>
      </c>
      <c r="S168" s="22">
        <f t="shared" si="129"/>
        <v>0.63</v>
      </c>
      <c r="T168" s="22">
        <f t="shared" si="135"/>
        <v>0</v>
      </c>
      <c r="U168" s="22">
        <f>INDEX(cennik!$C$2:$L$529,MATCH($L168,cennik!$B$2:$B$522,0),MATCH(U$27,cennik!$C$1:$L$1,0))*O168</f>
        <v>0</v>
      </c>
      <c r="BA168" s="20"/>
      <c r="BB168" s="20"/>
      <c r="BC168" s="20"/>
      <c r="BD168" s="20"/>
      <c r="BE168" s="20"/>
      <c r="BF168" s="20"/>
      <c r="BG168" s="20"/>
      <c r="BH168" s="20"/>
      <c r="BI168" s="20"/>
      <c r="BJ168" s="20"/>
      <c r="BK168" s="20"/>
      <c r="BL168" s="20"/>
      <c r="BM168" s="20"/>
      <c r="BN168" s="20"/>
      <c r="BO168" s="20"/>
      <c r="BP168" s="20"/>
      <c r="BQ168" s="20"/>
      <c r="BR168" s="20"/>
      <c r="BS168" s="20"/>
      <c r="BT168" s="20"/>
      <c r="BU168" s="20"/>
      <c r="BV168" s="20"/>
      <c r="BW168" s="20"/>
      <c r="BX168" s="20"/>
      <c r="BY168" s="20"/>
      <c r="BZ168" s="20"/>
      <c r="CA168" s="20"/>
      <c r="CB168" s="20"/>
      <c r="CC168" s="20"/>
      <c r="CD168" s="20"/>
      <c r="CE168" s="20"/>
      <c r="CF168" s="20"/>
      <c r="CG168" s="20"/>
      <c r="CH168" s="20"/>
      <c r="CI168" s="20"/>
      <c r="CJ168" s="20"/>
      <c r="CK168" s="20"/>
      <c r="CL168" s="20"/>
      <c r="CM168" s="20"/>
      <c r="CN168" s="20"/>
      <c r="CO168" s="20"/>
      <c r="CP168" s="20"/>
      <c r="CQ168" s="20"/>
      <c r="CR168" s="20"/>
      <c r="CS168" s="20"/>
      <c r="CT168" s="20"/>
      <c r="CU168" s="20"/>
      <c r="CV168" s="20"/>
      <c r="CW168" s="20"/>
      <c r="CX168" s="20"/>
      <c r="CY168" s="20"/>
      <c r="CZ168" s="20"/>
      <c r="DD168" s="20" t="s">
        <v>19</v>
      </c>
      <c r="DE168" s="20">
        <v>0</v>
      </c>
      <c r="DF168" s="20">
        <v>2</v>
      </c>
      <c r="DG168" s="20">
        <v>2</v>
      </c>
      <c r="DH168" s="20">
        <v>2</v>
      </c>
      <c r="DI168" s="20">
        <v>6</v>
      </c>
      <c r="DJ168" s="20">
        <v>6</v>
      </c>
      <c r="DK168" s="20">
        <v>6</v>
      </c>
      <c r="DL168" s="20">
        <v>10</v>
      </c>
      <c r="DM168" s="20">
        <v>10</v>
      </c>
      <c r="DN168" s="20">
        <v>10</v>
      </c>
      <c r="DO168" s="20">
        <v>14</v>
      </c>
      <c r="DP168" s="20">
        <v>14</v>
      </c>
      <c r="DQ168" s="20">
        <v>14</v>
      </c>
      <c r="DR168" s="20">
        <v>18</v>
      </c>
      <c r="DS168" s="20">
        <v>18</v>
      </c>
      <c r="DT168" s="20">
        <v>18</v>
      </c>
      <c r="DU168" s="20">
        <v>22</v>
      </c>
      <c r="DV168" s="20">
        <v>22</v>
      </c>
      <c r="DW168" s="20">
        <v>22</v>
      </c>
      <c r="DX168" s="20">
        <v>26</v>
      </c>
      <c r="DY168" s="20">
        <v>26</v>
      </c>
      <c r="EC168" s="20"/>
      <c r="ED168" s="20"/>
      <c r="EE168" s="20"/>
      <c r="EF168" s="20"/>
      <c r="EG168" s="20"/>
      <c r="EH168" s="20"/>
      <c r="EI168" s="20"/>
      <c r="EJ168" s="20"/>
      <c r="EK168" s="20"/>
      <c r="EL168" s="20"/>
      <c r="EM168" s="20"/>
      <c r="EN168" s="20"/>
      <c r="EO168" s="20"/>
      <c r="EP168" s="20"/>
      <c r="EQ168" s="20"/>
      <c r="ER168" s="20"/>
      <c r="ES168" s="20"/>
      <c r="ET168" s="20"/>
      <c r="EU168" s="20"/>
      <c r="EV168" s="20"/>
      <c r="EW168" s="20"/>
      <c r="EX168" s="20"/>
      <c r="EY168" s="20"/>
      <c r="EZ168" s="20"/>
      <c r="FA168" s="20"/>
      <c r="FB168" s="20"/>
      <c r="FC168" s="20"/>
      <c r="FD168" s="20"/>
      <c r="FE168" s="20"/>
      <c r="FF168" s="20"/>
      <c r="FG168" s="20"/>
      <c r="FH168" s="20"/>
      <c r="FI168" s="20"/>
      <c r="FJ168" s="20"/>
      <c r="FK168" s="20"/>
      <c r="FL168" s="20"/>
      <c r="FM168" s="20"/>
      <c r="FN168" s="20"/>
      <c r="FO168" s="20"/>
      <c r="FP168" s="20"/>
      <c r="FQ168" s="20"/>
      <c r="FR168" s="20"/>
      <c r="FS168" s="20"/>
      <c r="FT168" s="20"/>
      <c r="FU168" s="20"/>
      <c r="FV168" s="20"/>
      <c r="FW168" s="20"/>
      <c r="FX168" s="20"/>
      <c r="FY168" s="20"/>
      <c r="FZ168" s="20"/>
      <c r="GA168" s="20"/>
      <c r="GB168" s="20"/>
      <c r="LW168" s="20"/>
      <c r="LX168" s="20"/>
      <c r="LY168" s="20"/>
      <c r="LZ168" s="20"/>
      <c r="MA168" s="20"/>
      <c r="MB168" s="20"/>
      <c r="MC168" s="20"/>
      <c r="MD168" s="20"/>
      <c r="ME168" s="20"/>
      <c r="MF168" s="20"/>
      <c r="MG168" s="20"/>
      <c r="MH168" s="20"/>
      <c r="MI168" s="20"/>
      <c r="MJ168" s="20"/>
      <c r="MK168" s="20"/>
      <c r="ML168" s="20"/>
      <c r="MM168" s="20"/>
      <c r="MN168" s="20"/>
      <c r="MO168" s="20"/>
      <c r="MP168" s="20"/>
      <c r="MQ168" s="20"/>
      <c r="MR168" s="20"/>
      <c r="MS168" s="20"/>
      <c r="MT168" s="20"/>
      <c r="MU168" s="20"/>
      <c r="MV168" s="20"/>
      <c r="MW168" s="20"/>
    </row>
    <row r="169" spans="1:361" x14ac:dyDescent="0.25">
      <c r="A169" s="2"/>
      <c r="B169" s="19"/>
      <c r="C169" s="2"/>
      <c r="D169" s="2"/>
      <c r="E169" s="2"/>
      <c r="F169" s="2"/>
      <c r="G169" s="2"/>
      <c r="H169" s="2"/>
      <c r="I169" s="2"/>
      <c r="J169" s="2"/>
      <c r="K169" s="2"/>
      <c r="L169" s="6" t="s">
        <v>67</v>
      </c>
      <c r="M169" s="14">
        <f>INDEX(cennik!$C$2:$L$529,MATCH($L169,cennik!$B$2:$B$522,0),MATCH(M$27,cennik!$C$1:$L$1,0))</f>
        <v>890008</v>
      </c>
      <c r="N169" s="14" t="str">
        <f>INDEX(cennik!$C$2:$L$529,MATCH($L169,cennik!$B$2:$B$522,0),MATCH(N$27,cennik!$C$1:$L$1,0))</f>
        <v>100 szt.</v>
      </c>
      <c r="O169" s="14">
        <f>ROUNDUP((O168/100),0)</f>
        <v>0</v>
      </c>
      <c r="P169" s="22">
        <f>INDEX(cennik!$C$2:$L$529,MATCH($L169,cennik!$B$2:$B$522,0),MATCH(P$27,cennik!$C$1:$L$1,0))</f>
        <v>28.15</v>
      </c>
      <c r="Q169" s="22">
        <f t="shared" si="133"/>
        <v>0</v>
      </c>
      <c r="R169" s="23">
        <f t="shared" si="134"/>
        <v>0</v>
      </c>
      <c r="S169" s="22">
        <f t="shared" si="129"/>
        <v>28.15</v>
      </c>
      <c r="T169" s="22">
        <f t="shared" si="135"/>
        <v>0</v>
      </c>
      <c r="U169" s="22">
        <f>INDEX(cennik!$C$2:$L$529,MATCH($L169,cennik!$B$2:$B$522,0),MATCH(U$27,cennik!$C$1:$L$1,0))*O169</f>
        <v>0</v>
      </c>
      <c r="BA169" s="20"/>
      <c r="BB169" s="20"/>
      <c r="BC169" s="20"/>
      <c r="BD169" s="20"/>
      <c r="BE169" s="20"/>
      <c r="BF169" s="20"/>
      <c r="BG169" s="20"/>
      <c r="BH169" s="20"/>
      <c r="BI169" s="20"/>
      <c r="BJ169" s="20"/>
      <c r="BK169" s="20"/>
      <c r="BL169" s="20"/>
      <c r="BM169" s="20"/>
      <c r="BN169" s="20"/>
      <c r="BO169" s="20"/>
      <c r="BP169" s="20"/>
      <c r="BQ169" s="20"/>
      <c r="BR169" s="20"/>
      <c r="BS169" s="20"/>
      <c r="BT169" s="20"/>
      <c r="BU169" s="20"/>
      <c r="BV169" s="20"/>
      <c r="BW169" s="20"/>
      <c r="BX169" s="20"/>
      <c r="BY169" s="20"/>
      <c r="BZ169" s="20"/>
      <c r="CA169" s="20"/>
      <c r="CB169" s="20"/>
      <c r="CC169" s="20"/>
      <c r="CD169" s="20"/>
      <c r="CE169" s="20"/>
      <c r="CF169" s="20"/>
      <c r="CG169" s="20"/>
      <c r="CH169" s="20"/>
      <c r="CI169" s="20"/>
      <c r="CJ169" s="20"/>
      <c r="CK169" s="20"/>
      <c r="CL169" s="20"/>
      <c r="CM169" s="20"/>
      <c r="CN169" s="20"/>
      <c r="CO169" s="20"/>
      <c r="CP169" s="20"/>
      <c r="CQ169" s="20"/>
      <c r="CR169" s="20"/>
      <c r="CS169" s="20"/>
      <c r="CT169" s="20"/>
      <c r="CU169" s="20"/>
      <c r="CV169" s="20"/>
      <c r="CW169" s="20"/>
      <c r="CX169" s="20"/>
      <c r="CY169" s="20"/>
      <c r="CZ169" s="20"/>
      <c r="DD169" s="20" t="s">
        <v>408</v>
      </c>
      <c r="DE169" s="20">
        <v>0</v>
      </c>
      <c r="DF169" s="20">
        <v>0</v>
      </c>
      <c r="DG169" s="20">
        <v>4</v>
      </c>
      <c r="DH169" s="20">
        <v>8</v>
      </c>
      <c r="DI169" s="20">
        <v>8</v>
      </c>
      <c r="DJ169" s="20">
        <v>12</v>
      </c>
      <c r="DK169" s="20">
        <v>16</v>
      </c>
      <c r="DL169" s="20">
        <v>16</v>
      </c>
      <c r="DM169" s="20">
        <v>20</v>
      </c>
      <c r="DN169" s="20">
        <v>24</v>
      </c>
      <c r="DO169" s="20">
        <v>24</v>
      </c>
      <c r="DP169" s="20">
        <v>28</v>
      </c>
      <c r="DQ169" s="20">
        <v>32</v>
      </c>
      <c r="DR169" s="20">
        <v>32</v>
      </c>
      <c r="DS169" s="20">
        <v>36</v>
      </c>
      <c r="DT169" s="20">
        <v>40</v>
      </c>
      <c r="DU169" s="20">
        <v>40</v>
      </c>
      <c r="DV169" s="20">
        <v>44</v>
      </c>
      <c r="DW169" s="20">
        <v>48</v>
      </c>
      <c r="DX169" s="20">
        <v>48</v>
      </c>
      <c r="DY169" s="20">
        <v>52</v>
      </c>
      <c r="EC169" s="20"/>
      <c r="ED169" s="20"/>
      <c r="EE169" s="20"/>
      <c r="EF169" s="20"/>
      <c r="EG169" s="20"/>
      <c r="EH169" s="20"/>
      <c r="EI169" s="20"/>
      <c r="EJ169" s="20"/>
      <c r="EK169" s="20"/>
      <c r="EL169" s="20"/>
      <c r="EM169" s="20"/>
      <c r="EN169" s="20"/>
      <c r="EO169" s="20"/>
      <c r="EP169" s="20"/>
      <c r="EQ169" s="20"/>
      <c r="ER169" s="20"/>
      <c r="ES169" s="20"/>
      <c r="ET169" s="20"/>
      <c r="EU169" s="20"/>
      <c r="EV169" s="20"/>
      <c r="EW169" s="20"/>
      <c r="EX169" s="20"/>
      <c r="EY169" s="20"/>
      <c r="EZ169" s="20"/>
      <c r="FA169" s="20"/>
      <c r="FB169" s="20"/>
      <c r="FC169" s="20"/>
      <c r="FD169" s="20"/>
      <c r="FE169" s="20"/>
      <c r="FF169" s="20"/>
      <c r="FG169" s="20"/>
      <c r="FH169" s="20"/>
      <c r="FI169" s="20"/>
      <c r="FJ169" s="20"/>
      <c r="FK169" s="20"/>
      <c r="FL169" s="20"/>
      <c r="FM169" s="20"/>
      <c r="FN169" s="20"/>
      <c r="FO169" s="20"/>
      <c r="FP169" s="20"/>
      <c r="FQ169" s="20"/>
      <c r="FR169" s="20"/>
      <c r="FS169" s="20"/>
      <c r="FT169" s="20"/>
      <c r="FU169" s="20"/>
      <c r="FV169" s="20"/>
      <c r="FW169" s="20"/>
      <c r="FX169" s="20"/>
      <c r="FY169" s="20"/>
      <c r="FZ169" s="20"/>
      <c r="GA169" s="20"/>
      <c r="GB169" s="20"/>
      <c r="LW169" s="20" t="s">
        <v>507</v>
      </c>
      <c r="LX169" s="20"/>
      <c r="LY169" s="20"/>
      <c r="LZ169" s="20"/>
      <c r="MA169" s="20"/>
      <c r="MB169" s="20"/>
      <c r="MC169" s="20"/>
      <c r="MD169" s="20"/>
      <c r="ME169" s="20"/>
      <c r="MF169" s="20"/>
      <c r="MG169" s="20"/>
      <c r="MH169" s="20"/>
      <c r="MI169" s="20"/>
      <c r="MJ169" s="20"/>
      <c r="MK169" s="20"/>
      <c r="ML169" s="20"/>
      <c r="MM169" s="20"/>
      <c r="MN169" s="20"/>
      <c r="MO169" s="20"/>
      <c r="MP169" s="20"/>
      <c r="MQ169" s="20"/>
      <c r="MR169" s="20"/>
      <c r="MS169" s="20"/>
      <c r="MT169" s="20"/>
      <c r="MU169" s="20"/>
      <c r="MV169" s="20"/>
      <c r="MW169" s="20"/>
    </row>
    <row r="170" spans="1:361" x14ac:dyDescent="0.25">
      <c r="A170" s="2"/>
      <c r="B170" s="19"/>
      <c r="C170" s="2"/>
      <c r="D170" s="2"/>
      <c r="E170" s="2"/>
      <c r="F170" s="2"/>
      <c r="G170" s="2"/>
      <c r="H170" s="2"/>
      <c r="I170" s="2"/>
      <c r="J170" s="2"/>
      <c r="K170" s="2"/>
      <c r="L170" s="6" t="str">
        <f>IF(E156=$AK$22,"NOWPAL40x40SR","-------")</f>
        <v>NOWPAL40x40SR</v>
      </c>
      <c r="M170" s="14">
        <f>INDEX(cennik!$C$2:$L$529,MATCH($L170,cennik!$B$2:$B$522,0),MATCH(M$27,cennik!$C$1:$L$1,0))</f>
        <v>890404</v>
      </c>
      <c r="N170" s="14" t="str">
        <f>INDEX(cennik!$C$2:$L$529,MATCH($L170,cennik!$B$2:$B$522,0),MATCH(N$27,cennik!$C$1:$L$1,0))</f>
        <v>szt.</v>
      </c>
      <c r="O170" s="14">
        <f>IF(L170="NOWPAL40X40SR",SUM(C149:C164)*4,0)</f>
        <v>0</v>
      </c>
      <c r="P170" s="22">
        <f>INDEX(cennik!$C$2:$L$529,MATCH($L170,cennik!$B$2:$B$522,0),MATCH(P$27,cennik!$C$1:$L$1,0))</f>
        <v>0.7</v>
      </c>
      <c r="Q170" s="22">
        <f t="shared" si="133"/>
        <v>0</v>
      </c>
      <c r="R170" s="23">
        <f t="shared" si="134"/>
        <v>0</v>
      </c>
      <c r="S170" s="22">
        <f t="shared" si="129"/>
        <v>0.7</v>
      </c>
      <c r="T170" s="22">
        <f t="shared" si="135"/>
        <v>0</v>
      </c>
      <c r="U170" s="22">
        <f>INDEX(cennik!$C$2:$L$529,MATCH($L170,cennik!$B$2:$B$522,0),MATCH(U$27,cennik!$C$1:$L$1,0))*O170</f>
        <v>0</v>
      </c>
      <c r="BA170" s="20"/>
      <c r="BB170" s="20"/>
      <c r="BC170" s="20"/>
      <c r="BD170" s="20"/>
      <c r="BE170" s="20"/>
      <c r="BF170" s="20"/>
      <c r="BG170" s="20"/>
      <c r="BH170" s="20"/>
      <c r="BI170" s="20"/>
      <c r="BJ170" s="20"/>
      <c r="BK170" s="20"/>
      <c r="BL170" s="20"/>
      <c r="BM170" s="20"/>
      <c r="BN170" s="20"/>
      <c r="BO170" s="20"/>
      <c r="BP170" s="20"/>
      <c r="BQ170" s="20"/>
      <c r="BR170" s="20"/>
      <c r="BS170" s="20"/>
      <c r="BT170" s="20"/>
      <c r="BU170" s="20"/>
      <c r="BV170" s="20"/>
      <c r="BW170" s="20"/>
      <c r="BX170" s="20"/>
      <c r="BY170" s="20"/>
      <c r="BZ170" s="20"/>
      <c r="CA170" s="20"/>
      <c r="CB170" s="20"/>
      <c r="CC170" s="20"/>
      <c r="CD170" s="20"/>
      <c r="CE170" s="20"/>
      <c r="CF170" s="20"/>
      <c r="CG170" s="20"/>
      <c r="CH170" s="20"/>
      <c r="CI170" s="20"/>
      <c r="CJ170" s="20"/>
      <c r="CK170" s="20"/>
      <c r="CL170" s="20"/>
      <c r="CM170" s="20"/>
      <c r="CN170" s="20"/>
      <c r="CO170" s="20"/>
      <c r="CP170" s="20"/>
      <c r="CQ170" s="20"/>
      <c r="CR170" s="20"/>
      <c r="CS170" s="20"/>
      <c r="CT170" s="20"/>
      <c r="CU170" s="20"/>
      <c r="CV170" s="20"/>
      <c r="CW170" s="20"/>
      <c r="CX170" s="20"/>
      <c r="CY170" s="20"/>
      <c r="CZ170" s="20"/>
      <c r="DD170" s="20" t="s">
        <v>518</v>
      </c>
      <c r="DE170" s="20">
        <v>0</v>
      </c>
      <c r="DF170" s="20">
        <v>0</v>
      </c>
      <c r="DG170" s="20">
        <v>2</v>
      </c>
      <c r="DH170" s="20">
        <v>4</v>
      </c>
      <c r="DI170" s="20">
        <v>0</v>
      </c>
      <c r="DJ170" s="20">
        <v>2</v>
      </c>
      <c r="DK170" s="20">
        <v>4</v>
      </c>
      <c r="DL170" s="20">
        <v>0</v>
      </c>
      <c r="DM170" s="20">
        <v>2</v>
      </c>
      <c r="DN170" s="20">
        <v>4</v>
      </c>
      <c r="DO170" s="20">
        <v>0</v>
      </c>
      <c r="DP170" s="20">
        <v>2</v>
      </c>
      <c r="DQ170" s="20">
        <v>4</v>
      </c>
      <c r="DR170" s="20">
        <v>0</v>
      </c>
      <c r="DS170" s="20">
        <v>2</v>
      </c>
      <c r="DT170" s="20">
        <v>4</v>
      </c>
      <c r="DU170" s="20">
        <v>0</v>
      </c>
      <c r="DV170" s="20">
        <v>2</v>
      </c>
      <c r="DW170" s="20">
        <v>4</v>
      </c>
      <c r="DX170" s="20">
        <v>0</v>
      </c>
      <c r="DY170" s="20">
        <v>2</v>
      </c>
      <c r="EC170" s="20"/>
      <c r="ED170" s="20"/>
      <c r="EE170" s="20"/>
      <c r="EF170" s="20"/>
      <c r="EG170" s="20"/>
      <c r="EH170" s="20"/>
      <c r="EI170" s="20"/>
      <c r="EJ170" s="20"/>
      <c r="EK170" s="20"/>
      <c r="EL170" s="20"/>
      <c r="EM170" s="20"/>
      <c r="EN170" s="20"/>
      <c r="EO170" s="20"/>
      <c r="EP170" s="20"/>
      <c r="EQ170" s="20"/>
      <c r="ER170" s="20"/>
      <c r="ES170" s="20"/>
      <c r="ET170" s="20"/>
      <c r="EU170" s="20"/>
      <c r="EV170" s="20"/>
      <c r="EW170" s="20"/>
      <c r="EX170" s="20"/>
      <c r="EY170" s="20"/>
      <c r="EZ170" s="20"/>
      <c r="FA170" s="20"/>
      <c r="FB170" s="20"/>
      <c r="FC170" s="20"/>
      <c r="FD170" s="20"/>
      <c r="FE170" s="20"/>
      <c r="FF170" s="20"/>
      <c r="FG170" s="20"/>
      <c r="FH170" s="20"/>
      <c r="FI170" s="20"/>
      <c r="FJ170" s="20"/>
      <c r="FK170" s="20"/>
      <c r="FL170" s="20"/>
      <c r="FM170" s="20"/>
      <c r="FN170" s="20"/>
      <c r="FO170" s="20"/>
      <c r="FP170" s="20"/>
      <c r="FQ170" s="20"/>
      <c r="FR170" s="20"/>
      <c r="FS170" s="20"/>
      <c r="FT170" s="20"/>
      <c r="FU170" s="20"/>
      <c r="FV170" s="20"/>
      <c r="FW170" s="20"/>
      <c r="FX170" s="20"/>
      <c r="FY170" s="20"/>
      <c r="FZ170" s="20"/>
      <c r="GA170" s="20"/>
      <c r="GB170" s="20"/>
      <c r="LW170" s="20"/>
      <c r="LX170" s="20">
        <v>0</v>
      </c>
      <c r="LY170" s="20">
        <v>1</v>
      </c>
      <c r="LZ170" s="20">
        <v>2</v>
      </c>
      <c r="MA170" s="20">
        <v>3</v>
      </c>
      <c r="MB170" s="20">
        <v>4</v>
      </c>
      <c r="MC170" s="20">
        <v>5</v>
      </c>
      <c r="MD170" s="20">
        <v>6</v>
      </c>
      <c r="ME170" s="20">
        <v>7</v>
      </c>
      <c r="MF170" s="20">
        <v>8</v>
      </c>
      <c r="MG170" s="20">
        <v>9</v>
      </c>
      <c r="MH170" s="20">
        <v>10</v>
      </c>
      <c r="MI170" s="20">
        <v>11</v>
      </c>
      <c r="MJ170" s="20">
        <v>12</v>
      </c>
      <c r="MK170" s="20">
        <v>13</v>
      </c>
      <c r="ML170" s="20">
        <v>14</v>
      </c>
      <c r="MM170" s="20">
        <v>15</v>
      </c>
      <c r="MN170" s="20">
        <v>16</v>
      </c>
      <c r="MO170" s="20">
        <v>17</v>
      </c>
      <c r="MP170" s="20">
        <v>18</v>
      </c>
      <c r="MQ170" s="20">
        <v>19</v>
      </c>
      <c r="MR170" s="20">
        <v>20</v>
      </c>
      <c r="MS170" s="20">
        <v>21</v>
      </c>
      <c r="MT170" s="20">
        <v>22</v>
      </c>
      <c r="MU170" s="20">
        <v>23</v>
      </c>
      <c r="MV170" s="20">
        <v>24</v>
      </c>
      <c r="MW170" s="20">
        <v>25</v>
      </c>
    </row>
    <row r="171" spans="1:361" x14ac:dyDescent="0.25">
      <c r="A171" s="2"/>
      <c r="B171" s="19"/>
      <c r="C171" s="2"/>
      <c r="D171" s="2"/>
      <c r="E171" s="2"/>
      <c r="F171" s="2"/>
      <c r="G171" s="2"/>
      <c r="H171" s="2"/>
      <c r="I171" s="2"/>
      <c r="J171" s="2"/>
      <c r="K171" s="2"/>
      <c r="L171" s="6" t="s">
        <v>1019</v>
      </c>
      <c r="M171" s="14">
        <f>INDEX(cennik!$C$2:$L$529,MATCH($L171,cennik!$B$2:$B$522,0),MATCH(M$27,cennik!$C$1:$L$1,0))</f>
        <v>166794</v>
      </c>
      <c r="N171" s="14" t="str">
        <f>INDEX(cennik!$C$2:$L$529,MATCH($L171,cennik!$B$2:$B$522,0),MATCH(N$27,cennik!$C$1:$L$1,0))</f>
        <v>100 szt.</v>
      </c>
      <c r="O171" s="14">
        <f>ROUNDUP((O165/100),0)</f>
        <v>0</v>
      </c>
      <c r="P171" s="22">
        <f>INDEX(cennik!$C$2:$L$529,MATCH($L171,cennik!$B$2:$B$522,0),MATCH(P$27,cennik!$C$1:$L$1,0))</f>
        <v>3.95</v>
      </c>
      <c r="Q171" s="22">
        <f t="shared" si="133"/>
        <v>0</v>
      </c>
      <c r="R171" s="23">
        <f t="shared" si="134"/>
        <v>0</v>
      </c>
      <c r="S171" s="22">
        <f t="shared" si="129"/>
        <v>3.95</v>
      </c>
      <c r="T171" s="22">
        <f t="shared" si="135"/>
        <v>0</v>
      </c>
      <c r="U171" s="22">
        <f>INDEX(cennik!$C$2:$L$529,MATCH($L171,cennik!$B$2:$B$522,0),MATCH(U$27,cennik!$C$1:$L$1,0))*O171</f>
        <v>0</v>
      </c>
      <c r="BA171" s="20"/>
      <c r="BB171" s="20"/>
      <c r="BC171" s="20"/>
      <c r="BD171" s="20"/>
      <c r="BE171" s="20"/>
      <c r="BF171" s="20"/>
      <c r="BG171" s="20"/>
      <c r="BH171" s="20"/>
      <c r="BI171" s="20"/>
      <c r="BJ171" s="20"/>
      <c r="BK171" s="20"/>
      <c r="BL171" s="20"/>
      <c r="BM171" s="20"/>
      <c r="BN171" s="20"/>
      <c r="BO171" s="20"/>
      <c r="BP171" s="20"/>
      <c r="BQ171" s="20"/>
      <c r="BR171" s="20"/>
      <c r="BS171" s="20"/>
      <c r="BT171" s="20"/>
      <c r="BU171" s="20"/>
      <c r="BV171" s="20"/>
      <c r="BW171" s="20"/>
      <c r="BX171" s="20"/>
      <c r="BY171" s="20"/>
      <c r="BZ171" s="20"/>
      <c r="CA171" s="20"/>
      <c r="CB171" s="20"/>
      <c r="CC171" s="20"/>
      <c r="CD171" s="20"/>
      <c r="CE171" s="20"/>
      <c r="CF171" s="20"/>
      <c r="CG171" s="20"/>
      <c r="CH171" s="20"/>
      <c r="CI171" s="20"/>
      <c r="CJ171" s="20"/>
      <c r="CK171" s="20"/>
      <c r="CL171" s="20"/>
      <c r="CM171" s="20"/>
      <c r="CN171" s="20"/>
      <c r="CO171" s="20"/>
      <c r="CP171" s="20"/>
      <c r="CQ171" s="20"/>
      <c r="CR171" s="20"/>
      <c r="CS171" s="20"/>
      <c r="CT171" s="20"/>
      <c r="CU171" s="20"/>
      <c r="CV171" s="20"/>
      <c r="CW171" s="20"/>
      <c r="CX171" s="20"/>
      <c r="CY171" s="20"/>
      <c r="CZ171" s="20"/>
      <c r="DD171" s="20" t="s">
        <v>520</v>
      </c>
      <c r="DE171" s="20">
        <v>0</v>
      </c>
      <c r="DF171" s="20">
        <v>2</v>
      </c>
      <c r="DG171" s="20">
        <v>2</v>
      </c>
      <c r="DH171" s="20">
        <v>2</v>
      </c>
      <c r="DI171" s="20">
        <v>6</v>
      </c>
      <c r="DJ171" s="20">
        <v>6</v>
      </c>
      <c r="DK171" s="20">
        <v>6</v>
      </c>
      <c r="DL171" s="20">
        <v>10</v>
      </c>
      <c r="DM171" s="20">
        <v>10</v>
      </c>
      <c r="DN171" s="20">
        <v>10</v>
      </c>
      <c r="DO171" s="20">
        <v>14</v>
      </c>
      <c r="DP171" s="20">
        <v>14</v>
      </c>
      <c r="DQ171" s="20">
        <v>14</v>
      </c>
      <c r="DR171" s="20">
        <v>18</v>
      </c>
      <c r="DS171" s="20">
        <v>18</v>
      </c>
      <c r="DT171" s="20">
        <v>18</v>
      </c>
      <c r="DU171" s="20">
        <v>22</v>
      </c>
      <c r="DV171" s="20">
        <v>22</v>
      </c>
      <c r="DW171" s="20">
        <v>22</v>
      </c>
      <c r="DX171" s="20">
        <v>26</v>
      </c>
      <c r="DY171" s="20">
        <v>26</v>
      </c>
      <c r="LW171" s="20" t="s">
        <v>126</v>
      </c>
      <c r="LX171" s="20">
        <v>0</v>
      </c>
      <c r="LY171" s="20">
        <v>0</v>
      </c>
      <c r="LZ171" s="20">
        <v>2</v>
      </c>
      <c r="MA171" s="20">
        <v>0</v>
      </c>
      <c r="MB171" s="20">
        <v>0</v>
      </c>
      <c r="MC171" s="20">
        <v>0</v>
      </c>
      <c r="MD171" s="20">
        <v>0</v>
      </c>
      <c r="ME171" s="20">
        <v>0</v>
      </c>
      <c r="MF171" s="20">
        <v>0</v>
      </c>
      <c r="MG171" s="20">
        <v>0</v>
      </c>
      <c r="MH171" s="20">
        <v>0</v>
      </c>
      <c r="MI171" s="20">
        <v>0</v>
      </c>
      <c r="MJ171" s="20">
        <v>0</v>
      </c>
      <c r="MK171" s="20">
        <v>0</v>
      </c>
      <c r="ML171" s="20">
        <v>0</v>
      </c>
      <c r="MM171" s="20">
        <v>0</v>
      </c>
      <c r="MN171" s="20">
        <v>0</v>
      </c>
      <c r="MO171" s="20">
        <v>0</v>
      </c>
      <c r="MP171" s="20">
        <v>0</v>
      </c>
      <c r="MQ171" s="20">
        <v>0</v>
      </c>
      <c r="MR171" s="20">
        <v>0</v>
      </c>
      <c r="MS171" s="20">
        <v>0</v>
      </c>
      <c r="MT171" s="20">
        <v>2</v>
      </c>
      <c r="MU171" s="20">
        <v>0</v>
      </c>
      <c r="MV171" s="20">
        <v>0</v>
      </c>
      <c r="MW171" s="20">
        <v>0</v>
      </c>
    </row>
    <row r="172" spans="1:361" x14ac:dyDescent="0.25">
      <c r="A172" s="2"/>
      <c r="B172" s="19"/>
      <c r="C172" s="2"/>
      <c r="D172" s="2"/>
      <c r="E172" s="2"/>
      <c r="F172" s="2"/>
      <c r="G172" s="2"/>
      <c r="H172" s="2"/>
      <c r="I172" s="2"/>
      <c r="J172" s="2"/>
      <c r="K172" s="2"/>
      <c r="L172" s="2"/>
      <c r="M172" s="2"/>
      <c r="N172" s="2"/>
      <c r="O172" s="4"/>
      <c r="P172" s="2"/>
      <c r="Q172" s="2"/>
      <c r="R172" s="2"/>
      <c r="S172" s="2"/>
      <c r="T172" s="22">
        <f>SUM(T150:T171)</f>
        <v>0</v>
      </c>
      <c r="U172" s="22">
        <f>SUM(U150:U171)</f>
        <v>0</v>
      </c>
      <c r="BA172" s="20"/>
      <c r="BB172" s="20"/>
      <c r="BC172" s="20"/>
      <c r="BD172" s="20"/>
      <c r="BE172" s="20"/>
      <c r="BF172" s="20"/>
      <c r="BG172" s="20"/>
      <c r="BH172" s="20"/>
      <c r="BI172" s="20"/>
      <c r="BJ172" s="20"/>
      <c r="BK172" s="20"/>
      <c r="BL172" s="20"/>
      <c r="BM172" s="20"/>
      <c r="BN172" s="20"/>
      <c r="BO172" s="20"/>
      <c r="BP172" s="20"/>
      <c r="BQ172" s="20"/>
      <c r="BR172" s="20"/>
      <c r="BS172" s="20"/>
      <c r="BT172" s="20"/>
      <c r="BU172" s="20"/>
      <c r="BV172" s="20"/>
      <c r="BW172" s="20"/>
      <c r="BX172" s="20"/>
      <c r="BY172" s="20"/>
      <c r="BZ172" s="20"/>
      <c r="CA172" s="20"/>
      <c r="CB172" s="20"/>
      <c r="CC172" s="20"/>
      <c r="CD172" s="20"/>
      <c r="CE172" s="20"/>
      <c r="CF172" s="20"/>
      <c r="CG172" s="20"/>
      <c r="CH172" s="20"/>
      <c r="CI172" s="20"/>
      <c r="CJ172" s="20"/>
      <c r="CK172" s="20"/>
      <c r="CL172" s="20"/>
      <c r="CM172" s="20"/>
      <c r="CN172" s="20"/>
      <c r="CO172" s="20"/>
      <c r="CP172" s="20"/>
      <c r="CQ172" s="20"/>
      <c r="CR172" s="20"/>
      <c r="CS172" s="20"/>
      <c r="CT172" s="20"/>
      <c r="CU172" s="20"/>
      <c r="CV172" s="20"/>
      <c r="CW172" s="20"/>
      <c r="CX172" s="20"/>
      <c r="CY172" s="20"/>
      <c r="CZ172" s="20"/>
      <c r="DD172" s="20" t="s">
        <v>521</v>
      </c>
      <c r="DE172" s="20">
        <v>0</v>
      </c>
      <c r="DF172" s="20">
        <v>0</v>
      </c>
      <c r="DG172" s="20">
        <v>4</v>
      </c>
      <c r="DH172" s="20">
        <v>8</v>
      </c>
      <c r="DI172" s="20">
        <v>8</v>
      </c>
      <c r="DJ172" s="20">
        <v>12</v>
      </c>
      <c r="DK172" s="20">
        <v>16</v>
      </c>
      <c r="DL172" s="20">
        <v>16</v>
      </c>
      <c r="DM172" s="20">
        <v>20</v>
      </c>
      <c r="DN172" s="20">
        <v>24</v>
      </c>
      <c r="DO172" s="20">
        <v>24</v>
      </c>
      <c r="DP172" s="20">
        <v>28</v>
      </c>
      <c r="DQ172" s="20">
        <v>32</v>
      </c>
      <c r="DR172" s="20">
        <v>32</v>
      </c>
      <c r="DS172" s="20">
        <v>36</v>
      </c>
      <c r="DT172" s="20">
        <v>40</v>
      </c>
      <c r="DU172" s="20">
        <v>40</v>
      </c>
      <c r="DV172" s="20">
        <v>44</v>
      </c>
      <c r="DW172" s="20">
        <v>48</v>
      </c>
      <c r="DX172" s="20">
        <v>48</v>
      </c>
      <c r="DY172" s="20">
        <v>52</v>
      </c>
      <c r="LW172" s="20" t="s">
        <v>12</v>
      </c>
      <c r="LX172" s="20">
        <v>0</v>
      </c>
      <c r="LY172" s="20">
        <v>0</v>
      </c>
      <c r="LZ172" s="20">
        <v>0</v>
      </c>
      <c r="MA172" s="20">
        <v>0</v>
      </c>
      <c r="MB172" s="20">
        <v>0</v>
      </c>
      <c r="MC172" s="20">
        <v>2</v>
      </c>
      <c r="MD172" s="20">
        <v>0</v>
      </c>
      <c r="ME172" s="20">
        <v>0</v>
      </c>
      <c r="MF172" s="20">
        <v>0</v>
      </c>
      <c r="MG172" s="20">
        <v>0</v>
      </c>
      <c r="MH172" s="20">
        <v>2</v>
      </c>
      <c r="MI172" s="20">
        <v>4</v>
      </c>
      <c r="MJ172" s="20">
        <v>0</v>
      </c>
      <c r="MK172" s="20">
        <v>0</v>
      </c>
      <c r="ML172" s="20">
        <v>2</v>
      </c>
      <c r="MM172" s="20">
        <v>0</v>
      </c>
      <c r="MN172" s="20">
        <v>2</v>
      </c>
      <c r="MO172" s="20">
        <v>0</v>
      </c>
      <c r="MP172" s="20">
        <v>0</v>
      </c>
      <c r="MQ172" s="20">
        <v>0</v>
      </c>
      <c r="MR172" s="20">
        <v>0</v>
      </c>
      <c r="MS172" s="20">
        <v>0</v>
      </c>
      <c r="MT172" s="20">
        <v>0</v>
      </c>
      <c r="MU172" s="20">
        <v>0</v>
      </c>
      <c r="MV172" s="20">
        <v>0</v>
      </c>
      <c r="MW172" s="20">
        <v>0</v>
      </c>
    </row>
    <row r="173" spans="1:361" ht="51.75" x14ac:dyDescent="0.25">
      <c r="A173" s="3" t="s">
        <v>120</v>
      </c>
      <c r="B173" s="6"/>
      <c r="C173" s="3" t="s">
        <v>121</v>
      </c>
      <c r="D173" s="4"/>
      <c r="E173" s="4"/>
      <c r="F173" s="4"/>
      <c r="G173" s="4"/>
      <c r="H173" s="4"/>
      <c r="I173" s="4"/>
      <c r="J173" s="4"/>
      <c r="K173" s="4"/>
      <c r="L173" s="360" t="str">
        <f>IF(E177="wertykalny","KONSTRUKCJA DS-V7N",IF(E177="horyzontalny","KONSTRUKCJA DS-H7N"))</f>
        <v>KONSTRUKCJA DS-V7N</v>
      </c>
      <c r="M173" s="360"/>
      <c r="N173" s="360"/>
      <c r="O173" s="360"/>
      <c r="P173" s="360"/>
      <c r="Q173" s="360"/>
      <c r="R173" s="360"/>
      <c r="S173" s="360"/>
      <c r="T173" s="360"/>
      <c r="U173" s="360"/>
      <c r="BA173" s="20"/>
      <c r="BB173" s="20"/>
      <c r="BC173" s="20"/>
      <c r="BD173" s="20"/>
      <c r="BE173" s="20"/>
      <c r="BF173" s="20"/>
      <c r="BG173" s="20"/>
      <c r="BH173" s="20"/>
      <c r="BI173" s="20"/>
      <c r="BJ173" s="20"/>
      <c r="BK173" s="20"/>
      <c r="BL173" s="20"/>
      <c r="BM173" s="20"/>
      <c r="BN173" s="20"/>
      <c r="BO173" s="20"/>
      <c r="BP173" s="20"/>
      <c r="BQ173" s="20"/>
      <c r="BR173" s="20"/>
      <c r="BS173" s="20"/>
      <c r="BT173" s="20"/>
      <c r="BU173" s="20"/>
      <c r="BV173" s="20"/>
      <c r="BW173" s="20"/>
      <c r="BX173" s="20"/>
      <c r="BY173" s="20"/>
      <c r="BZ173" s="20"/>
      <c r="CA173" s="20"/>
      <c r="DD173" s="26" t="s">
        <v>710</v>
      </c>
      <c r="DE173" s="20">
        <v>0</v>
      </c>
      <c r="DF173" s="20"/>
      <c r="DG173" s="20"/>
      <c r="DH173" s="20"/>
      <c r="DI173" s="20"/>
      <c r="DJ173" s="20"/>
      <c r="DK173" s="20"/>
      <c r="DL173" s="20"/>
      <c r="DM173" s="20"/>
      <c r="DN173" s="20"/>
      <c r="DO173" s="20"/>
      <c r="DP173" s="20"/>
      <c r="DQ173" s="20"/>
      <c r="DR173" s="20"/>
      <c r="DS173" s="20"/>
      <c r="DT173" s="20"/>
      <c r="DU173" s="20"/>
      <c r="DV173" s="20"/>
      <c r="DW173" s="20"/>
      <c r="DX173" s="20"/>
      <c r="DY173" s="20"/>
      <c r="LW173" s="20" t="s">
        <v>127</v>
      </c>
      <c r="LX173" s="20">
        <v>0</v>
      </c>
      <c r="LY173" s="20">
        <v>0</v>
      </c>
      <c r="LZ173" s="20">
        <v>0</v>
      </c>
      <c r="MA173" s="20">
        <v>0</v>
      </c>
      <c r="MB173" s="20">
        <v>2</v>
      </c>
      <c r="MC173" s="20">
        <v>0</v>
      </c>
      <c r="MD173" s="20">
        <v>0</v>
      </c>
      <c r="ME173" s="20">
        <v>2</v>
      </c>
      <c r="MF173" s="20">
        <v>4</v>
      </c>
      <c r="MG173" s="20">
        <v>0</v>
      </c>
      <c r="MH173" s="20">
        <v>0</v>
      </c>
      <c r="MI173" s="20">
        <v>0</v>
      </c>
      <c r="MJ173" s="20">
        <v>0</v>
      </c>
      <c r="MK173" s="20">
        <v>2</v>
      </c>
      <c r="ML173" s="20">
        <v>2</v>
      </c>
      <c r="MM173" s="20">
        <v>0</v>
      </c>
      <c r="MN173" s="20">
        <v>0</v>
      </c>
      <c r="MO173" s="20">
        <v>0</v>
      </c>
      <c r="MP173" s="20">
        <v>0</v>
      </c>
      <c r="MQ173" s="20">
        <v>2</v>
      </c>
      <c r="MR173" s="20">
        <v>0</v>
      </c>
      <c r="MS173" s="20">
        <v>0</v>
      </c>
      <c r="MT173" s="20">
        <v>0</v>
      </c>
      <c r="MU173" s="20">
        <v>0</v>
      </c>
      <c r="MV173" s="20">
        <v>2</v>
      </c>
      <c r="MW173" s="20">
        <v>2</v>
      </c>
    </row>
    <row r="174" spans="1:361" x14ac:dyDescent="0.25">
      <c r="A174" s="8"/>
      <c r="B174" s="5" t="s">
        <v>116</v>
      </c>
      <c r="C174" s="8"/>
      <c r="D174" s="4"/>
      <c r="E174" s="4"/>
      <c r="F174" s="4"/>
      <c r="G174" s="4"/>
      <c r="H174" s="4"/>
      <c r="I174" s="4"/>
      <c r="J174" s="4"/>
      <c r="K174" s="4"/>
      <c r="L174" s="5" t="s">
        <v>103</v>
      </c>
      <c r="M174" s="5" t="s">
        <v>104</v>
      </c>
      <c r="N174" s="5" t="s">
        <v>107</v>
      </c>
      <c r="O174" s="5" t="s">
        <v>290</v>
      </c>
      <c r="P174" s="5" t="s">
        <v>446</v>
      </c>
      <c r="Q174" s="5" t="s">
        <v>448</v>
      </c>
      <c r="R174" s="5" t="s">
        <v>409</v>
      </c>
      <c r="S174" s="5" t="s">
        <v>447</v>
      </c>
      <c r="T174" s="5" t="s">
        <v>449</v>
      </c>
      <c r="U174" s="5" t="s">
        <v>106</v>
      </c>
      <c r="BA174" s="20"/>
      <c r="BB174" s="20"/>
      <c r="BC174" s="20"/>
      <c r="BD174" s="20"/>
      <c r="BE174" s="20"/>
      <c r="BF174" s="20"/>
      <c r="BG174" s="20"/>
      <c r="BH174" s="20"/>
      <c r="BI174" s="20"/>
      <c r="BJ174" s="20"/>
      <c r="BK174" s="20"/>
      <c r="BL174" s="20"/>
      <c r="BM174" s="20"/>
      <c r="BN174" s="20"/>
      <c r="BO174" s="20"/>
      <c r="BP174" s="20"/>
      <c r="BQ174" s="20"/>
      <c r="BR174" s="20"/>
      <c r="BS174" s="20"/>
      <c r="BT174" s="20"/>
      <c r="BU174" s="20"/>
      <c r="BV174" s="20"/>
      <c r="BW174" s="20"/>
      <c r="BX174" s="20"/>
      <c r="BY174" s="20"/>
      <c r="BZ174" s="20"/>
      <c r="CA174" s="20"/>
      <c r="DD174" s="26" t="s">
        <v>711</v>
      </c>
      <c r="DE174" s="20">
        <v>0</v>
      </c>
      <c r="DF174" s="20"/>
      <c r="DG174" s="20"/>
      <c r="DH174" s="20"/>
      <c r="DI174" s="20"/>
      <c r="DJ174" s="20"/>
      <c r="DK174" s="20"/>
      <c r="DL174" s="20"/>
      <c r="DM174" s="20"/>
      <c r="DN174" s="20"/>
      <c r="DO174" s="20"/>
      <c r="DP174" s="20"/>
      <c r="DQ174" s="20"/>
      <c r="DR174" s="20"/>
      <c r="DS174" s="20"/>
      <c r="DT174" s="20"/>
      <c r="DU174" s="20"/>
      <c r="DV174" s="20"/>
      <c r="DW174" s="20"/>
      <c r="DX174" s="20"/>
      <c r="DY174" s="20"/>
      <c r="LW174" s="20" t="s">
        <v>1024</v>
      </c>
      <c r="LX174" s="20">
        <v>0</v>
      </c>
      <c r="LY174" s="20">
        <v>2</v>
      </c>
      <c r="LZ174" s="20">
        <v>0</v>
      </c>
      <c r="MA174" s="20">
        <v>0</v>
      </c>
      <c r="MB174" s="20">
        <v>0</v>
      </c>
      <c r="MC174" s="20">
        <v>2</v>
      </c>
      <c r="MD174" s="20">
        <v>0</v>
      </c>
      <c r="ME174" s="20">
        <v>0</v>
      </c>
      <c r="MF174" s="20">
        <v>0</v>
      </c>
      <c r="MG174" s="20">
        <v>0</v>
      </c>
      <c r="MH174" s="20">
        <v>0</v>
      </c>
      <c r="MI174" s="20">
        <v>0</v>
      </c>
      <c r="MJ174" s="20">
        <v>0</v>
      </c>
      <c r="MK174" s="20">
        <v>0</v>
      </c>
      <c r="ML174" s="20">
        <v>0</v>
      </c>
      <c r="MM174" s="20">
        <v>0</v>
      </c>
      <c r="MN174" s="20">
        <v>0</v>
      </c>
      <c r="MO174" s="20">
        <v>0</v>
      </c>
      <c r="MP174" s="20">
        <v>0</v>
      </c>
      <c r="MQ174" s="20">
        <v>0</v>
      </c>
      <c r="MR174" s="20">
        <v>0</v>
      </c>
      <c r="MS174" s="20">
        <v>0</v>
      </c>
      <c r="MT174" s="20">
        <v>0</v>
      </c>
      <c r="MU174" s="20">
        <v>0</v>
      </c>
      <c r="MV174" s="20">
        <v>0</v>
      </c>
      <c r="MW174" s="20">
        <v>0</v>
      </c>
    </row>
    <row r="175" spans="1:361" x14ac:dyDescent="0.25">
      <c r="A175" s="8"/>
      <c r="B175" s="5" t="s">
        <v>116</v>
      </c>
      <c r="C175" s="8"/>
      <c r="D175" s="6" t="s">
        <v>118</v>
      </c>
      <c r="E175" s="8" t="s">
        <v>833</v>
      </c>
      <c r="F175" s="5" t="s">
        <v>116</v>
      </c>
      <c r="G175" s="8" t="s">
        <v>762</v>
      </c>
      <c r="H175" s="5" t="s">
        <v>116</v>
      </c>
      <c r="I175" s="8">
        <v>35</v>
      </c>
      <c r="J175" s="5" t="s">
        <v>119</v>
      </c>
      <c r="K175" s="4"/>
      <c r="L175" s="6" t="s">
        <v>710</v>
      </c>
      <c r="M175" s="14">
        <f>INDEX(cennik!$C$2:$L$529,MATCH($L175,cennik!$B$2:$B$522,0),MATCH(M$27,cennik!$C$1:$L$1,0))</f>
        <v>620412</v>
      </c>
      <c r="N175" s="14" t="str">
        <f>INDEX(cennik!$C$2:$L$529,MATCH($L175,cennik!$B$2:$B$522,0),MATCH(N$27,cennik!$C$1:$L$1,0))</f>
        <v>szt.</v>
      </c>
      <c r="O175" s="14">
        <f>SUM(AB148:AB163)</f>
        <v>0</v>
      </c>
      <c r="P175" s="22">
        <f>INDEX(cennik!$C$2:$L$529,MATCH($L175,cennik!$B$2:$B$522,0),MATCH(P$27,cennik!$C$1:$L$1,0))</f>
        <v>40.51</v>
      </c>
      <c r="Q175" s="22">
        <f>O175*P175</f>
        <v>0</v>
      </c>
      <c r="R175" s="23">
        <f>$E$179</f>
        <v>0</v>
      </c>
      <c r="S175" s="22">
        <f t="shared" ref="S175:S190" si="138">P175*((100-$E$179)/100)</f>
        <v>40.51</v>
      </c>
      <c r="T175" s="22">
        <f>O175*S175</f>
        <v>0</v>
      </c>
      <c r="U175" s="22">
        <f>INDEX(cennik!$C$2:$L$529,MATCH($L175,cennik!$B$2:$B$522,0),MATCH(U$27,cennik!$C$1:$L$1,0))*O175</f>
        <v>0</v>
      </c>
      <c r="BA175" s="20"/>
      <c r="BB175" s="20"/>
      <c r="BC175" s="20"/>
      <c r="BD175" s="20"/>
      <c r="BE175" s="20"/>
      <c r="BF175" s="20"/>
      <c r="BG175" s="20"/>
      <c r="BH175" s="20"/>
      <c r="BI175" s="20"/>
      <c r="BJ175" s="20"/>
      <c r="BK175" s="20"/>
      <c r="BL175" s="20"/>
      <c r="BM175" s="20"/>
      <c r="BN175" s="20"/>
      <c r="BO175" s="20"/>
      <c r="BP175" s="20"/>
      <c r="BQ175" s="20"/>
      <c r="BR175" s="20"/>
      <c r="BS175" s="20"/>
      <c r="BT175" s="20"/>
      <c r="BU175" s="20"/>
      <c r="BV175" s="20"/>
      <c r="BW175" s="20"/>
      <c r="BX175" s="20"/>
      <c r="BY175" s="20"/>
      <c r="BZ175" s="20"/>
      <c r="CA175" s="20"/>
      <c r="DD175" s="26" t="s">
        <v>712</v>
      </c>
      <c r="DE175" s="20">
        <v>0</v>
      </c>
      <c r="DF175" s="20"/>
      <c r="DG175" s="20"/>
      <c r="DH175" s="20"/>
      <c r="DI175" s="20"/>
      <c r="DJ175" s="20"/>
      <c r="DK175" s="20"/>
      <c r="DL175" s="20"/>
      <c r="DM175" s="20"/>
      <c r="DN175" s="20"/>
      <c r="DO175" s="20"/>
      <c r="DP175" s="20"/>
      <c r="DQ175" s="20"/>
      <c r="DR175" s="20"/>
      <c r="DS175" s="20"/>
      <c r="DT175" s="20"/>
      <c r="DU175" s="20"/>
      <c r="DV175" s="20"/>
      <c r="DW175" s="20"/>
      <c r="DX175" s="20"/>
      <c r="DY175" s="20"/>
      <c r="LW175" s="20" t="s">
        <v>15</v>
      </c>
      <c r="LX175" s="20">
        <v>0</v>
      </c>
      <c r="LY175" s="20">
        <v>0</v>
      </c>
      <c r="LZ175" s="20">
        <v>0</v>
      </c>
      <c r="MA175" s="20">
        <v>0</v>
      </c>
      <c r="MB175" s="20">
        <v>0</v>
      </c>
      <c r="MC175" s="20">
        <v>0</v>
      </c>
      <c r="MD175" s="20">
        <v>0</v>
      </c>
      <c r="ME175" s="20">
        <v>0</v>
      </c>
      <c r="MF175" s="20">
        <v>0</v>
      </c>
      <c r="MG175" s="20">
        <v>0</v>
      </c>
      <c r="MH175" s="20">
        <v>0</v>
      </c>
      <c r="MI175" s="20">
        <v>0</v>
      </c>
      <c r="MJ175" s="20">
        <v>0</v>
      </c>
      <c r="MK175" s="20">
        <v>0</v>
      </c>
      <c r="ML175" s="20">
        <v>0</v>
      </c>
      <c r="MM175" s="20">
        <v>0</v>
      </c>
      <c r="MN175" s="20">
        <v>0</v>
      </c>
      <c r="MO175" s="20">
        <v>0</v>
      </c>
      <c r="MP175" s="20">
        <v>0</v>
      </c>
      <c r="MQ175" s="20">
        <v>0</v>
      </c>
      <c r="MR175" s="20">
        <v>0</v>
      </c>
      <c r="MS175" s="20">
        <v>0</v>
      </c>
      <c r="MT175" s="20">
        <v>2</v>
      </c>
      <c r="MU175" s="20">
        <v>0</v>
      </c>
      <c r="MV175" s="20">
        <v>0</v>
      </c>
      <c r="MW175" s="20">
        <v>0</v>
      </c>
    </row>
    <row r="176" spans="1:361" x14ac:dyDescent="0.25">
      <c r="A176" s="8"/>
      <c r="B176" s="5" t="s">
        <v>116</v>
      </c>
      <c r="C176" s="8"/>
      <c r="D176" s="6" t="s">
        <v>117</v>
      </c>
      <c r="E176" s="5">
        <v>1200</v>
      </c>
      <c r="F176" s="5"/>
      <c r="G176" s="5"/>
      <c r="H176" s="5"/>
      <c r="I176" s="5"/>
      <c r="J176" s="5" t="s">
        <v>119</v>
      </c>
      <c r="K176" s="4"/>
      <c r="L176" s="6" t="s">
        <v>711</v>
      </c>
      <c r="M176" s="14">
        <f>INDEX(cennik!$C$2:$L$529,MATCH($L176,cennik!$B$2:$B$522,0),MATCH(M$27,cennik!$C$1:$L$1,0))</f>
        <v>620413</v>
      </c>
      <c r="N176" s="14" t="str">
        <f>INDEX(cennik!$C$2:$L$529,MATCH($L176,cennik!$B$2:$B$522,0),MATCH(N$27,cennik!$C$1:$L$1,0))</f>
        <v>szt.</v>
      </c>
      <c r="O176" s="14">
        <f>SUM(AD148:AD163)</f>
        <v>0</v>
      </c>
      <c r="P176" s="22">
        <f>INDEX(cennik!$C$2:$L$529,MATCH($L176,cennik!$B$2:$B$522,0),MATCH(P$27,cennik!$C$1:$L$1,0))</f>
        <v>60.75</v>
      </c>
      <c r="Q176" s="22">
        <f>O176*P176</f>
        <v>0</v>
      </c>
      <c r="R176" s="23">
        <f t="shared" ref="R176:R190" si="139">$E$179</f>
        <v>0</v>
      </c>
      <c r="S176" s="22">
        <f t="shared" si="138"/>
        <v>60.75</v>
      </c>
      <c r="T176" s="22">
        <f t="shared" ref="T176:T184" si="140">O176*S176</f>
        <v>0</v>
      </c>
      <c r="U176" s="22">
        <f>INDEX(cennik!$C$2:$L$529,MATCH($L176,cennik!$B$2:$B$522,0),MATCH(U$27,cennik!$C$1:$L$1,0))*O176</f>
        <v>0</v>
      </c>
      <c r="DD176" s="20"/>
      <c r="DE176" s="20"/>
      <c r="DF176" s="20"/>
      <c r="DG176" s="20"/>
      <c r="DH176" s="20"/>
      <c r="DI176" s="20"/>
      <c r="DJ176" s="20"/>
      <c r="DK176" s="20"/>
      <c r="DL176" s="20"/>
      <c r="DM176" s="20"/>
      <c r="DN176" s="20"/>
      <c r="DO176" s="20"/>
      <c r="DP176" s="20"/>
      <c r="DQ176" s="20"/>
      <c r="DR176" s="20"/>
      <c r="DS176" s="20"/>
      <c r="DT176" s="20"/>
      <c r="DU176" s="20"/>
      <c r="DV176" s="20"/>
      <c r="DW176" s="20"/>
      <c r="DX176" s="20"/>
      <c r="DY176" s="20"/>
      <c r="LW176" s="20" t="s">
        <v>19</v>
      </c>
      <c r="LX176" s="20">
        <v>0</v>
      </c>
      <c r="LY176" s="20">
        <v>0</v>
      </c>
      <c r="LZ176" s="20">
        <v>0</v>
      </c>
      <c r="MA176" s="20">
        <v>0</v>
      </c>
      <c r="MB176" s="20">
        <v>0</v>
      </c>
      <c r="MC176" s="20">
        <v>0</v>
      </c>
      <c r="MD176" s="20">
        <v>2</v>
      </c>
      <c r="ME176" s="20">
        <v>2</v>
      </c>
      <c r="MF176" s="20">
        <v>0</v>
      </c>
      <c r="MG176" s="20">
        <v>4</v>
      </c>
      <c r="MH176" s="20">
        <v>2</v>
      </c>
      <c r="MI176" s="20">
        <v>0</v>
      </c>
      <c r="MJ176" s="20">
        <v>6</v>
      </c>
      <c r="MK176" s="20">
        <v>4</v>
      </c>
      <c r="ML176" s="20">
        <v>2</v>
      </c>
      <c r="MM176" s="20">
        <v>6</v>
      </c>
      <c r="MN176" s="20">
        <v>4</v>
      </c>
      <c r="MO176" s="20">
        <v>0</v>
      </c>
      <c r="MP176" s="20">
        <v>8</v>
      </c>
      <c r="MQ176" s="20">
        <v>6</v>
      </c>
      <c r="MR176" s="20">
        <v>0</v>
      </c>
      <c r="MS176" s="20">
        <v>8</v>
      </c>
      <c r="MT176" s="20">
        <v>0</v>
      </c>
      <c r="MU176" s="20">
        <v>2</v>
      </c>
      <c r="MV176" s="20">
        <v>0</v>
      </c>
      <c r="MW176" s="20">
        <v>8</v>
      </c>
    </row>
    <row r="177" spans="1:361" x14ac:dyDescent="0.25">
      <c r="A177" s="8"/>
      <c r="B177" s="5" t="s">
        <v>116</v>
      </c>
      <c r="C177" s="8"/>
      <c r="D177" s="6" t="s">
        <v>122</v>
      </c>
      <c r="E177" s="8" t="s">
        <v>123</v>
      </c>
      <c r="F177" s="53" t="str">
        <f>IF(E177=AB2,"MONTAŻ KLEM PO KRÓTSZYM BOKU","")</f>
        <v/>
      </c>
      <c r="G177" s="5"/>
      <c r="H177" s="5"/>
      <c r="I177" s="5"/>
      <c r="J177" s="5"/>
      <c r="K177" s="4"/>
      <c r="L177" s="6" t="s">
        <v>712</v>
      </c>
      <c r="M177" s="14">
        <f>INDEX(cennik!$C$2:$L$529,MATCH($L177,cennik!$B$2:$B$522,0),MATCH(M$27,cennik!$C$1:$L$1,0))</f>
        <v>620414</v>
      </c>
      <c r="N177" s="14" t="str">
        <f>INDEX(cennik!$C$2:$L$529,MATCH($L177,cennik!$B$2:$B$522,0),MATCH(N$27,cennik!$C$1:$L$1,0))</f>
        <v>szt.</v>
      </c>
      <c r="O177" s="14">
        <f>SUM(Y148:Y163)</f>
        <v>0</v>
      </c>
      <c r="P177" s="22">
        <f>INDEX(cennik!$C$2:$L$529,MATCH($L177,cennik!$B$2:$B$522,0),MATCH(P$27,cennik!$C$1:$L$1,0))</f>
        <v>4.8899999999999997</v>
      </c>
      <c r="Q177" s="22">
        <f t="shared" ref="Q177:Q185" si="141">O177*P177</f>
        <v>0</v>
      </c>
      <c r="R177" s="23">
        <f t="shared" si="139"/>
        <v>0</v>
      </c>
      <c r="S177" s="22">
        <f t="shared" si="138"/>
        <v>4.8899999999999997</v>
      </c>
      <c r="T177" s="22">
        <f t="shared" si="140"/>
        <v>0</v>
      </c>
      <c r="U177" s="22">
        <f>INDEX(cennik!$C$2:$L$529,MATCH($L177,cennik!$B$2:$B$522,0),MATCH(U$27,cennik!$C$1:$L$1,0))*O177</f>
        <v>0</v>
      </c>
      <c r="DD177" s="20" t="s">
        <v>508</v>
      </c>
      <c r="DE177" s="20">
        <v>0</v>
      </c>
      <c r="DF177" s="20">
        <v>1</v>
      </c>
      <c r="DG177" s="20">
        <v>2</v>
      </c>
      <c r="DH177" s="20">
        <v>3</v>
      </c>
      <c r="DI177" s="20">
        <v>4</v>
      </c>
      <c r="DJ177" s="20">
        <v>5</v>
      </c>
      <c r="DK177" s="20">
        <v>6</v>
      </c>
      <c r="DL177" s="20">
        <v>7</v>
      </c>
      <c r="DM177" s="20">
        <v>8</v>
      </c>
      <c r="DN177" s="20">
        <v>9</v>
      </c>
      <c r="DO177" s="20">
        <v>10</v>
      </c>
      <c r="DP177" s="20">
        <v>11</v>
      </c>
      <c r="DQ177" s="20">
        <v>12</v>
      </c>
      <c r="DR177" s="20">
        <v>13</v>
      </c>
      <c r="DS177" s="20">
        <v>14</v>
      </c>
      <c r="DT177" s="20">
        <v>15</v>
      </c>
      <c r="DU177" s="20">
        <v>16</v>
      </c>
      <c r="DV177" s="20">
        <v>17</v>
      </c>
      <c r="DW177" s="20">
        <v>18</v>
      </c>
      <c r="DX177" s="20">
        <v>19</v>
      </c>
      <c r="DY177" s="20">
        <v>20</v>
      </c>
      <c r="LW177" s="20" t="s">
        <v>1298</v>
      </c>
      <c r="LX177" s="20">
        <v>0</v>
      </c>
      <c r="LY177" s="20">
        <v>0</v>
      </c>
      <c r="LZ177" s="20">
        <v>2</v>
      </c>
      <c r="MA177" s="20">
        <v>4</v>
      </c>
      <c r="MB177" s="20">
        <v>4</v>
      </c>
      <c r="MC177" s="20">
        <v>4</v>
      </c>
      <c r="MD177" s="20">
        <v>6</v>
      </c>
      <c r="ME177" s="20">
        <v>6</v>
      </c>
      <c r="MF177" s="20">
        <v>8</v>
      </c>
      <c r="MG177" s="20">
        <v>8</v>
      </c>
      <c r="MH177" s="20">
        <v>10</v>
      </c>
      <c r="MI177" s="20">
        <v>12</v>
      </c>
      <c r="MJ177" s="20">
        <v>10</v>
      </c>
      <c r="MK177" s="20">
        <v>12</v>
      </c>
      <c r="ML177" s="20">
        <v>14</v>
      </c>
      <c r="MM177" s="20">
        <v>14</v>
      </c>
      <c r="MN177" s="20">
        <v>16</v>
      </c>
      <c r="MO177" s="20">
        <v>22</v>
      </c>
      <c r="MP177" s="20">
        <v>16</v>
      </c>
      <c r="MQ177" s="20">
        <v>18</v>
      </c>
      <c r="MR177" s="20">
        <v>26</v>
      </c>
      <c r="MS177" s="20">
        <v>20</v>
      </c>
      <c r="MT177" s="20">
        <v>26</v>
      </c>
      <c r="MU177" s="20">
        <v>28</v>
      </c>
      <c r="MV177" s="20">
        <v>30</v>
      </c>
      <c r="MW177" s="20">
        <v>24</v>
      </c>
    </row>
    <row r="178" spans="1:361" x14ac:dyDescent="0.25">
      <c r="A178" s="8"/>
      <c r="B178" s="5" t="s">
        <v>116</v>
      </c>
      <c r="C178" s="8"/>
      <c r="D178" s="6" t="s">
        <v>124</v>
      </c>
      <c r="E178" s="8" t="s">
        <v>125</v>
      </c>
      <c r="F178" s="5"/>
      <c r="G178" s="5"/>
      <c r="H178" s="5"/>
      <c r="I178" s="5"/>
      <c r="J178" s="5"/>
      <c r="K178" s="4"/>
      <c r="L178" s="6" t="str">
        <f>IF(E177=AB1,"CMP41H41/1,7MC",IF(E177=AB2,"CMP41H41/1MC",0))</f>
        <v>CMP41H41/1,7MC</v>
      </c>
      <c r="M178" s="14">
        <f>INDEX(cennik!$C$2:$L$529,MATCH($L178,cennik!$B$2:$B$522,0),MATCH(M$27,cennik!$C$1:$L$1,0))</f>
        <v>851117</v>
      </c>
      <c r="N178" s="14" t="str">
        <f>INDEX(cennik!$C$2:$L$529,MATCH($L178,cennik!$B$2:$B$522,0),MATCH(N$27,cennik!$C$1:$L$1,0))</f>
        <v>szt.</v>
      </c>
      <c r="O178" s="14">
        <f>O179</f>
        <v>0</v>
      </c>
      <c r="P178" s="22">
        <f>INDEX(cennik!$C$2:$L$529,MATCH($L178,cennik!$B$2:$B$522,0),MATCH(P$27,cennik!$C$1:$L$1,0))</f>
        <v>35.700000000000003</v>
      </c>
      <c r="Q178" s="22">
        <f t="shared" si="141"/>
        <v>0</v>
      </c>
      <c r="R178" s="23">
        <f t="shared" si="139"/>
        <v>0</v>
      </c>
      <c r="S178" s="22">
        <f t="shared" si="138"/>
        <v>35.700000000000003</v>
      </c>
      <c r="T178" s="22">
        <f t="shared" si="140"/>
        <v>0</v>
      </c>
      <c r="U178" s="22">
        <f>INDEX(cennik!$C$2:$L$529,MATCH($L178,cennik!$B$2:$B$522,0),MATCH(U$27,cennik!$C$1:$L$1,0))*O178</f>
        <v>0</v>
      </c>
      <c r="DD178" s="20" t="s">
        <v>127</v>
      </c>
      <c r="DE178" s="20">
        <v>0</v>
      </c>
      <c r="DF178" s="20">
        <v>0</v>
      </c>
      <c r="DG178" s="20">
        <v>2</v>
      </c>
      <c r="DH178" s="20">
        <v>4</v>
      </c>
      <c r="DI178" s="20">
        <v>0</v>
      </c>
      <c r="DJ178" s="20">
        <v>2</v>
      </c>
      <c r="DK178" s="20">
        <v>4</v>
      </c>
      <c r="DL178" s="20">
        <v>0</v>
      </c>
      <c r="DM178" s="20">
        <v>2</v>
      </c>
      <c r="DN178" s="20">
        <v>4</v>
      </c>
      <c r="DO178" s="20">
        <v>0</v>
      </c>
      <c r="DP178" s="20">
        <v>2</v>
      </c>
      <c r="DQ178" s="20">
        <v>4</v>
      </c>
      <c r="DR178" s="20">
        <v>0</v>
      </c>
      <c r="DS178" s="20">
        <v>2</v>
      </c>
      <c r="DT178" s="20">
        <v>2</v>
      </c>
      <c r="DU178" s="20">
        <v>4</v>
      </c>
      <c r="DV178" s="20">
        <v>0</v>
      </c>
      <c r="DW178" s="20">
        <v>2</v>
      </c>
      <c r="DX178" s="20">
        <v>4</v>
      </c>
      <c r="DY178" s="20">
        <v>0</v>
      </c>
      <c r="LW178" s="20" t="s">
        <v>1026</v>
      </c>
      <c r="LX178" s="20">
        <v>0</v>
      </c>
      <c r="LY178" s="20">
        <v>0</v>
      </c>
      <c r="LZ178" s="20">
        <v>0</v>
      </c>
      <c r="MA178" s="20">
        <v>0</v>
      </c>
      <c r="MB178" s="20">
        <v>0</v>
      </c>
      <c r="MC178" s="20">
        <v>0</v>
      </c>
      <c r="MD178" s="20">
        <v>0</v>
      </c>
      <c r="ME178" s="20">
        <v>0</v>
      </c>
      <c r="MF178" s="20">
        <v>0</v>
      </c>
      <c r="MG178" s="20">
        <v>0</v>
      </c>
      <c r="MH178" s="20">
        <v>0</v>
      </c>
      <c r="MI178" s="20">
        <v>0</v>
      </c>
      <c r="MJ178" s="20">
        <v>0</v>
      </c>
      <c r="MK178" s="20">
        <v>0</v>
      </c>
      <c r="ML178" s="20">
        <v>0</v>
      </c>
      <c r="MM178" s="20">
        <v>0</v>
      </c>
      <c r="MN178" s="20">
        <v>0</v>
      </c>
      <c r="MO178" s="20">
        <v>0</v>
      </c>
      <c r="MP178" s="20">
        <v>0</v>
      </c>
      <c r="MQ178" s="20">
        <v>0</v>
      </c>
      <c r="MR178" s="20">
        <v>0</v>
      </c>
      <c r="MS178" s="20">
        <v>0</v>
      </c>
      <c r="MT178" s="20">
        <v>0</v>
      </c>
      <c r="MU178" s="20">
        <v>0</v>
      </c>
      <c r="MV178" s="20">
        <v>0</v>
      </c>
      <c r="MW178" s="20">
        <v>0</v>
      </c>
    </row>
    <row r="179" spans="1:361" x14ac:dyDescent="0.25">
      <c r="A179" s="8"/>
      <c r="B179" s="5" t="s">
        <v>116</v>
      </c>
      <c r="C179" s="8"/>
      <c r="D179" s="6" t="s">
        <v>162</v>
      </c>
      <c r="E179" s="8">
        <v>0</v>
      </c>
      <c r="F179" s="5"/>
      <c r="G179" s="5"/>
      <c r="H179" s="5"/>
      <c r="I179" s="5"/>
      <c r="J179" s="5" t="s">
        <v>163</v>
      </c>
      <c r="K179" s="4"/>
      <c r="L179" s="6" t="s">
        <v>602</v>
      </c>
      <c r="M179" s="14">
        <f>INDEX(cennik!$C$2:$L$529,MATCH($L179,cennik!$B$2:$B$522,0),MATCH(M$27,cennik!$C$1:$L$1,0))</f>
        <v>858024</v>
      </c>
      <c r="N179" s="14" t="str">
        <f>INDEX(cennik!$C$2:$L$529,MATCH($L179,cennik!$B$2:$B$522,0),MATCH(N$27,cennik!$C$1:$L$1,0))</f>
        <v>szt.</v>
      </c>
      <c r="O179" s="14">
        <f>SUM(AL147:AL162)</f>
        <v>0</v>
      </c>
      <c r="P179" s="22">
        <f>INDEX(cennik!$C$2:$L$529,MATCH($L179,cennik!$B$2:$B$522,0),MATCH(P$27,cennik!$C$1:$L$1,0))</f>
        <v>37.4</v>
      </c>
      <c r="Q179" s="22">
        <f t="shared" si="141"/>
        <v>0</v>
      </c>
      <c r="R179" s="23">
        <f t="shared" si="139"/>
        <v>0</v>
      </c>
      <c r="S179" s="22">
        <f t="shared" si="138"/>
        <v>37.4</v>
      </c>
      <c r="T179" s="22">
        <f t="shared" si="140"/>
        <v>0</v>
      </c>
      <c r="U179" s="22">
        <f>INDEX(cennik!$C$2:$L$529,MATCH($L179,cennik!$B$2:$B$522,0),MATCH(U$27,cennik!$C$1:$L$1,0))*O179</f>
        <v>0</v>
      </c>
      <c r="DD179" s="20" t="s">
        <v>19</v>
      </c>
      <c r="DE179" s="20">
        <v>0</v>
      </c>
      <c r="DF179" s="20">
        <v>2</v>
      </c>
      <c r="DG179" s="20">
        <v>2</v>
      </c>
      <c r="DH179" s="20">
        <v>2</v>
      </c>
      <c r="DI179" s="20">
        <v>6</v>
      </c>
      <c r="DJ179" s="20">
        <v>6</v>
      </c>
      <c r="DK179" s="20">
        <v>6</v>
      </c>
      <c r="DL179" s="20">
        <v>10</v>
      </c>
      <c r="DM179" s="20">
        <v>10</v>
      </c>
      <c r="DN179" s="20">
        <v>10</v>
      </c>
      <c r="DO179" s="20">
        <v>14</v>
      </c>
      <c r="DP179" s="20">
        <v>14</v>
      </c>
      <c r="DQ179" s="20">
        <v>14</v>
      </c>
      <c r="DR179" s="20">
        <v>18</v>
      </c>
      <c r="DS179" s="20">
        <v>18</v>
      </c>
      <c r="DT179" s="20">
        <v>20</v>
      </c>
      <c r="DU179" s="20">
        <v>20</v>
      </c>
      <c r="DV179" s="20">
        <v>24</v>
      </c>
      <c r="DW179" s="20">
        <v>24</v>
      </c>
      <c r="DX179" s="20">
        <v>24</v>
      </c>
      <c r="DY179" s="20">
        <v>28</v>
      </c>
      <c r="LW179" s="20" t="s">
        <v>408</v>
      </c>
      <c r="LX179" s="20">
        <v>0</v>
      </c>
      <c r="LY179" s="20">
        <f t="shared" ref="LY179:MW179" si="142">((((SUM(LY171:LY178))/2)-1))*4</f>
        <v>0</v>
      </c>
      <c r="LZ179" s="20">
        <f t="shared" si="142"/>
        <v>4</v>
      </c>
      <c r="MA179" s="20">
        <f t="shared" si="142"/>
        <v>4</v>
      </c>
      <c r="MB179" s="20">
        <f t="shared" si="142"/>
        <v>8</v>
      </c>
      <c r="MC179" s="20">
        <f t="shared" si="142"/>
        <v>12</v>
      </c>
      <c r="MD179" s="20">
        <f t="shared" si="142"/>
        <v>12</v>
      </c>
      <c r="ME179" s="20">
        <f t="shared" si="142"/>
        <v>16</v>
      </c>
      <c r="MF179" s="20">
        <f t="shared" si="142"/>
        <v>20</v>
      </c>
      <c r="MG179" s="20">
        <f t="shared" si="142"/>
        <v>20</v>
      </c>
      <c r="MH179" s="20">
        <f t="shared" si="142"/>
        <v>24</v>
      </c>
      <c r="MI179" s="20">
        <f t="shared" si="142"/>
        <v>28</v>
      </c>
      <c r="MJ179" s="20">
        <f t="shared" si="142"/>
        <v>28</v>
      </c>
      <c r="MK179" s="20">
        <f t="shared" si="142"/>
        <v>32</v>
      </c>
      <c r="ML179" s="20">
        <f t="shared" si="142"/>
        <v>36</v>
      </c>
      <c r="MM179" s="20">
        <f t="shared" si="142"/>
        <v>36</v>
      </c>
      <c r="MN179" s="20">
        <f t="shared" si="142"/>
        <v>40</v>
      </c>
      <c r="MO179" s="20">
        <f t="shared" si="142"/>
        <v>40</v>
      </c>
      <c r="MP179" s="20">
        <f t="shared" si="142"/>
        <v>44</v>
      </c>
      <c r="MQ179" s="20">
        <f t="shared" si="142"/>
        <v>48</v>
      </c>
      <c r="MR179" s="20">
        <f t="shared" si="142"/>
        <v>48</v>
      </c>
      <c r="MS179" s="20">
        <f t="shared" si="142"/>
        <v>52</v>
      </c>
      <c r="MT179" s="20">
        <f t="shared" si="142"/>
        <v>56</v>
      </c>
      <c r="MU179" s="20">
        <f t="shared" si="142"/>
        <v>56</v>
      </c>
      <c r="MV179" s="20">
        <f t="shared" si="142"/>
        <v>60</v>
      </c>
      <c r="MW179" s="20">
        <f t="shared" si="142"/>
        <v>64</v>
      </c>
    </row>
    <row r="180" spans="1:361" x14ac:dyDescent="0.25">
      <c r="A180" s="8"/>
      <c r="B180" s="5" t="s">
        <v>116</v>
      </c>
      <c r="C180" s="8"/>
      <c r="D180" s="6" t="s">
        <v>515</v>
      </c>
      <c r="E180" s="8">
        <v>0</v>
      </c>
      <c r="F180" s="5"/>
      <c r="G180" s="5"/>
      <c r="H180" s="5"/>
      <c r="I180" s="5"/>
      <c r="J180" s="5" t="s">
        <v>509</v>
      </c>
      <c r="K180" s="4"/>
      <c r="L180" s="6" t="str">
        <f>INDEX((AC5:AD14),MATCH(I175,AB5:AB14,0),MATCH(E178,AC4:AD4,0))</f>
        <v>BUF35</v>
      </c>
      <c r="M180" s="14">
        <f>INDEX(cennik!$C$2:$L$529,MATCH($L180,cennik!$B$2:$B$522,0),MATCH(M$27,cennik!$C$1:$L$1,0))</f>
        <v>897335</v>
      </c>
      <c r="N180" s="14" t="str">
        <f>INDEX(cennik!$C$2:$L$529,MATCH($L180,cennik!$B$2:$B$522,0),MATCH(N$27,cennik!$C$1:$L$1,0))</f>
        <v>szt.</v>
      </c>
      <c r="O180" s="14">
        <f>SUM(IF(A174=0,0,IF((A174&gt;0),C174*4)),IF(A175=0,0,IF((A175&gt;0),C175*4)),IF(A176=0,0,IF((A176&gt;0),C176*4)),IF(A177=0,0,IF((A177&gt;0),C177*4)),IF(A178=0,0,IF((A178&gt;0),C178*4)),IF(A179=0,0,IF((A179&gt;0),C179*4)),IF(A180=0,0,IF((A180&gt;0),C180*4)),IF(A181=0,0,IF((A181&gt;0),C181*4)),IF(A182=0,0,IF((A182&gt;0),C182*4)),IF(A183=0,0,IF((A183&gt;0),C183*4)),IF(A184=0,0,IF((A184&gt;0),C184*4)),IF(A185=0,0,IF((A185&gt;0),C185*4)),IF(A186=0,0,IF((A186&gt;0),C186*4)),IF(A187=0,0,IF((A187&gt;0),C187*4)),IF(A188=0,0,IF((A188&gt;0),C188*4)),,IF(A189=0,0,IF((A189&gt;0),C189*4)))</f>
        <v>0</v>
      </c>
      <c r="P180" s="22">
        <f>INDEX(cennik!$C$2:$L$529,MATCH($L180,cennik!$B$2:$B$522,0),MATCH(P$27,cennik!$C$1:$L$1,0))</f>
        <v>1.92</v>
      </c>
      <c r="Q180" s="22">
        <f t="shared" si="141"/>
        <v>0</v>
      </c>
      <c r="R180" s="23">
        <f t="shared" si="139"/>
        <v>0</v>
      </c>
      <c r="S180" s="22">
        <f t="shared" si="138"/>
        <v>1.92</v>
      </c>
      <c r="T180" s="22">
        <f t="shared" si="140"/>
        <v>0</v>
      </c>
      <c r="U180" s="22">
        <f>INDEX(cennik!$C$2:$L$529,MATCH($L180,cennik!$B$2:$B$522,0),MATCH(U$27,cennik!$C$1:$L$1,0))*O180</f>
        <v>0</v>
      </c>
      <c r="DD180" s="20" t="s">
        <v>408</v>
      </c>
      <c r="DE180" s="20">
        <v>0</v>
      </c>
      <c r="DF180" s="20">
        <v>0</v>
      </c>
      <c r="DG180" s="20">
        <v>4</v>
      </c>
      <c r="DH180" s="20">
        <v>8</v>
      </c>
      <c r="DI180" s="20">
        <v>8</v>
      </c>
      <c r="DJ180" s="20">
        <v>12</v>
      </c>
      <c r="DK180" s="20">
        <v>16</v>
      </c>
      <c r="DL180" s="20">
        <v>16</v>
      </c>
      <c r="DM180" s="20">
        <v>20</v>
      </c>
      <c r="DN180" s="20">
        <v>24</v>
      </c>
      <c r="DO180" s="20">
        <v>24</v>
      </c>
      <c r="DP180" s="20">
        <v>28</v>
      </c>
      <c r="DQ180" s="20">
        <v>32</v>
      </c>
      <c r="DR180" s="20">
        <v>32</v>
      </c>
      <c r="DS180" s="20">
        <v>36</v>
      </c>
      <c r="DT180" s="20">
        <v>40</v>
      </c>
      <c r="DU180" s="20">
        <v>44</v>
      </c>
      <c r="DV180" s="20">
        <v>44</v>
      </c>
      <c r="DW180" s="20">
        <v>48</v>
      </c>
      <c r="DX180" s="20">
        <v>52</v>
      </c>
      <c r="DY180" s="20">
        <v>52</v>
      </c>
      <c r="LW180" s="26" t="s">
        <v>516</v>
      </c>
      <c r="LX180" s="20">
        <v>0</v>
      </c>
      <c r="LY180" s="20">
        <v>0</v>
      </c>
      <c r="LZ180" s="20">
        <v>0</v>
      </c>
      <c r="MA180" s="20">
        <v>0</v>
      </c>
      <c r="MB180" s="20">
        <v>0</v>
      </c>
      <c r="MC180" s="20">
        <v>0</v>
      </c>
      <c r="MD180" s="20">
        <v>0</v>
      </c>
      <c r="ME180" s="20">
        <v>0</v>
      </c>
      <c r="MF180" s="20">
        <v>0</v>
      </c>
      <c r="MG180" s="20">
        <v>0</v>
      </c>
      <c r="MH180" s="20">
        <v>0</v>
      </c>
      <c r="MI180" s="20">
        <v>0</v>
      </c>
      <c r="MJ180" s="20">
        <v>0</v>
      </c>
      <c r="MK180" s="20">
        <v>0</v>
      </c>
      <c r="ML180" s="20">
        <v>0</v>
      </c>
      <c r="MM180" s="20">
        <v>0</v>
      </c>
      <c r="MN180" s="20">
        <v>0</v>
      </c>
      <c r="MO180" s="20">
        <v>0</v>
      </c>
      <c r="MP180" s="20">
        <v>0</v>
      </c>
      <c r="MQ180" s="20">
        <v>0</v>
      </c>
      <c r="MR180" s="20">
        <v>0</v>
      </c>
      <c r="MS180" s="20">
        <v>0</v>
      </c>
      <c r="MT180" s="20">
        <v>0</v>
      </c>
      <c r="MU180" s="20">
        <v>0</v>
      </c>
      <c r="MV180" s="20">
        <v>0</v>
      </c>
      <c r="MW180" s="20">
        <v>0</v>
      </c>
    </row>
    <row r="181" spans="1:361" x14ac:dyDescent="0.25">
      <c r="A181" s="8"/>
      <c r="B181" s="5" t="s">
        <v>116</v>
      </c>
      <c r="C181" s="8"/>
      <c r="D181" s="6" t="s">
        <v>511</v>
      </c>
      <c r="E181" s="4"/>
      <c r="F181" s="359"/>
      <c r="G181" s="359"/>
      <c r="H181" s="359"/>
      <c r="I181" s="359"/>
      <c r="J181" s="4"/>
      <c r="K181" s="4"/>
      <c r="L181" s="6" t="str">
        <f>INDEX((AC15:AD15),MATCH(E178,AC4:AD4,0))</f>
        <v>PUF</v>
      </c>
      <c r="M181" s="14">
        <f>INDEX(cennik!$C$2:$L$529,MATCH($L181,cennik!$B$2:$B$522,0),MATCH(M$27,cennik!$C$1:$L$1,0))</f>
        <v>897300</v>
      </c>
      <c r="N181" s="14" t="str">
        <f>INDEX(cennik!$C$2:$L$529,MATCH($L181,cennik!$B$2:$B$522,0),MATCH(N$27,cennik!$C$1:$L$1,0))</f>
        <v>szt.</v>
      </c>
      <c r="O181" s="14">
        <f>SUM(IF(A174=0,0,IF(A174&gt;0,(A174-1)*2*C174)),IF(A175=0,0,IF(A175&gt;0,(A175-1)*2*C175)),IF(A176=0,0,IF(A176&gt;0,(A176-1)*2*C176)),IF(A177=0,0,IF(A177&gt;0,(A177-1)*2*C177)),IF(A178=0,0,IF(A178&gt;0,(A178-1)*2*C178)),IF(A179=0,0,IF(A179&gt;0,(A179-1)*2*C179)),IF(A180=0,0,IF(A180&gt;0,(A180-1)*2*C180)),IF(A181=0,0,IF(A181&gt;0,(A181-1)*2*C181)),IF(A182=0,0,IF(A182&gt;0,(A182-1)*2*C182)),IF(A183=0,0,IF(A183&gt;0,(A183-1)*2*C183)),IF(A184=0,0,IF(A184&gt;0,(A184-1)*2*C184)),IF(A185=0,0,IF(A185&gt;0,(A185-1)*2*C185)),IF(A186=0,0,IF(A186&gt;0,(A186-1)*2*C186)),IF(A187=0,0,IF(A187&gt;0,(A187-1)*2*C187)),IF(A188=0,0,IF(A188&gt;0,(A188-1)*2*C188)),IF(A189=0,0,IF(A189&gt;0,(A189-1)*2*C189)))</f>
        <v>0</v>
      </c>
      <c r="P181" s="22">
        <f>INDEX(cennik!$C$2:$L$529,MATCH($L181,cennik!$B$2:$B$522,0),MATCH(P$27,cennik!$C$1:$L$1,0))</f>
        <v>2.06</v>
      </c>
      <c r="Q181" s="22">
        <f t="shared" si="141"/>
        <v>0</v>
      </c>
      <c r="R181" s="23">
        <f>$E$179</f>
        <v>0</v>
      </c>
      <c r="S181" s="22">
        <f t="shared" si="138"/>
        <v>2.06</v>
      </c>
      <c r="T181" s="22">
        <f t="shared" si="140"/>
        <v>0</v>
      </c>
      <c r="U181" s="22">
        <f>INDEX(cennik!$C$2:$L$529,MATCH($L181,cennik!$B$2:$B$522,0),MATCH(U$27,cennik!$C$1:$L$1,0))*O181</f>
        <v>0</v>
      </c>
      <c r="DD181" s="20" t="s">
        <v>518</v>
      </c>
      <c r="DE181" s="20">
        <v>0</v>
      </c>
      <c r="DF181" s="20">
        <v>0</v>
      </c>
      <c r="DG181" s="20">
        <v>2</v>
      </c>
      <c r="DH181" s="20">
        <v>4</v>
      </c>
      <c r="DI181" s="20">
        <v>0</v>
      </c>
      <c r="DJ181" s="20">
        <v>2</v>
      </c>
      <c r="DK181" s="20">
        <v>4</v>
      </c>
      <c r="DL181" s="20">
        <v>0</v>
      </c>
      <c r="DM181" s="20">
        <v>2</v>
      </c>
      <c r="DN181" s="20">
        <v>4</v>
      </c>
      <c r="DO181" s="20">
        <v>0</v>
      </c>
      <c r="DP181" s="20">
        <v>2</v>
      </c>
      <c r="DQ181" s="20">
        <v>4</v>
      </c>
      <c r="DR181" s="20">
        <v>0</v>
      </c>
      <c r="DS181" s="20">
        <v>2</v>
      </c>
      <c r="DT181" s="20">
        <v>2</v>
      </c>
      <c r="DU181" s="20">
        <v>4</v>
      </c>
      <c r="DV181" s="20">
        <v>0</v>
      </c>
      <c r="DW181" s="20">
        <v>2</v>
      </c>
      <c r="DX181" s="20">
        <v>4</v>
      </c>
      <c r="DY181" s="20">
        <v>0</v>
      </c>
      <c r="LW181" s="26" t="s">
        <v>517</v>
      </c>
      <c r="LX181" s="20">
        <v>0</v>
      </c>
      <c r="LY181" s="20">
        <v>0</v>
      </c>
      <c r="LZ181" s="20">
        <v>2</v>
      </c>
      <c r="MA181" s="20">
        <v>4</v>
      </c>
      <c r="MB181" s="20">
        <v>0</v>
      </c>
      <c r="MC181" s="20">
        <v>2</v>
      </c>
      <c r="MD181" s="20">
        <v>4</v>
      </c>
      <c r="ME181" s="20">
        <v>0</v>
      </c>
      <c r="MF181" s="20">
        <v>0</v>
      </c>
      <c r="MG181" s="20">
        <v>0</v>
      </c>
      <c r="MH181" s="20">
        <v>0</v>
      </c>
      <c r="MI181" s="20">
        <v>0</v>
      </c>
      <c r="MJ181" s="20">
        <v>0</v>
      </c>
      <c r="MK181" s="20">
        <v>2</v>
      </c>
      <c r="ML181" s="20">
        <v>0</v>
      </c>
      <c r="MM181" s="20">
        <v>0</v>
      </c>
      <c r="MN181" s="20">
        <v>2</v>
      </c>
      <c r="MO181" s="20">
        <v>0</v>
      </c>
      <c r="MP181" s="20">
        <v>0</v>
      </c>
      <c r="MQ181" s="20">
        <v>0</v>
      </c>
      <c r="MR181" s="20">
        <v>0</v>
      </c>
      <c r="MS181" s="20">
        <v>0</v>
      </c>
      <c r="MT181" s="20">
        <v>0</v>
      </c>
      <c r="MU181" s="20">
        <v>0</v>
      </c>
      <c r="MV181" s="20">
        <v>0</v>
      </c>
      <c r="MW181" s="20">
        <v>0</v>
      </c>
    </row>
    <row r="182" spans="1:361" x14ac:dyDescent="0.25">
      <c r="A182" s="8"/>
      <c r="B182" s="5" t="s">
        <v>116</v>
      </c>
      <c r="C182" s="8"/>
      <c r="D182" s="40" t="s">
        <v>944</v>
      </c>
      <c r="E182" s="4"/>
      <c r="F182" s="359"/>
      <c r="G182" s="359"/>
      <c r="H182" s="359"/>
      <c r="I182" s="359"/>
      <c r="K182" s="4"/>
      <c r="L182" s="6" t="str">
        <f>INDEX((AE5:AE14),MATCH(I175,AB5:AB14,0))</f>
        <v>SAM8X30E</v>
      </c>
      <c r="M182" s="14">
        <f>INDEX(cennik!$C$2:$L$529,MATCH($L182,cennik!$B$2:$B$522,0),MATCH(M$27,cennik!$C$1:$L$1,0))</f>
        <v>898530</v>
      </c>
      <c r="N182" s="14" t="str">
        <f>INDEX(cennik!$C$2:$L$529,MATCH($L182,cennik!$B$2:$B$522,0),MATCH(N$27,cennik!$C$1:$L$1,0))</f>
        <v>szt.</v>
      </c>
      <c r="O182" s="14">
        <f>IF(L182="-------",0,SUM(O180:O181))</f>
        <v>0</v>
      </c>
      <c r="P182" s="22">
        <f>INDEX(cennik!$C$2:$L$529,MATCH($L182,cennik!$B$2:$B$522,0),MATCH(P$27,cennik!$C$1:$L$1,0))</f>
        <v>0.5</v>
      </c>
      <c r="Q182" s="22">
        <f t="shared" si="141"/>
        <v>0</v>
      </c>
      <c r="R182" s="23">
        <f t="shared" si="139"/>
        <v>0</v>
      </c>
      <c r="S182" s="22">
        <f t="shared" si="138"/>
        <v>0.5</v>
      </c>
      <c r="T182" s="22">
        <f t="shared" si="140"/>
        <v>0</v>
      </c>
      <c r="U182" s="22">
        <f>INDEX(cennik!$C$2:$L$529,MATCH($L182,cennik!$B$2:$B$522,0),MATCH(U$27,cennik!$C$1:$L$1,0))*O182</f>
        <v>0</v>
      </c>
      <c r="DD182" s="20" t="s">
        <v>520</v>
      </c>
      <c r="DE182" s="20">
        <v>0</v>
      </c>
      <c r="DF182" s="20">
        <v>2</v>
      </c>
      <c r="DG182" s="20">
        <v>2</v>
      </c>
      <c r="DH182" s="20">
        <v>2</v>
      </c>
      <c r="DI182" s="20">
        <v>6</v>
      </c>
      <c r="DJ182" s="20">
        <v>6</v>
      </c>
      <c r="DK182" s="20">
        <v>6</v>
      </c>
      <c r="DL182" s="20">
        <v>10</v>
      </c>
      <c r="DM182" s="20">
        <v>10</v>
      </c>
      <c r="DN182" s="20">
        <v>10</v>
      </c>
      <c r="DO182" s="20">
        <v>14</v>
      </c>
      <c r="DP182" s="20">
        <v>14</v>
      </c>
      <c r="DQ182" s="20">
        <v>14</v>
      </c>
      <c r="DR182" s="20">
        <v>18</v>
      </c>
      <c r="DS182" s="20">
        <v>18</v>
      </c>
      <c r="DT182" s="20">
        <v>20</v>
      </c>
      <c r="DU182" s="20">
        <v>20</v>
      </c>
      <c r="DV182" s="20">
        <v>24</v>
      </c>
      <c r="DW182" s="20">
        <v>24</v>
      </c>
      <c r="DX182" s="20">
        <v>24</v>
      </c>
      <c r="DY182" s="20">
        <v>28</v>
      </c>
      <c r="LW182" s="26" t="s">
        <v>518</v>
      </c>
      <c r="LX182" s="20">
        <v>0</v>
      </c>
      <c r="LY182" s="20">
        <v>0</v>
      </c>
      <c r="LZ182" s="20">
        <v>0</v>
      </c>
      <c r="MA182" s="20">
        <v>0</v>
      </c>
      <c r="MB182" s="20">
        <v>0</v>
      </c>
      <c r="MC182" s="20">
        <v>0</v>
      </c>
      <c r="MD182" s="20">
        <v>0</v>
      </c>
      <c r="ME182" s="20">
        <v>0</v>
      </c>
      <c r="MF182" s="20">
        <v>2</v>
      </c>
      <c r="MG182" s="20">
        <v>2</v>
      </c>
      <c r="MH182" s="20">
        <v>4</v>
      </c>
      <c r="MI182" s="20">
        <v>0</v>
      </c>
      <c r="MJ182" s="20">
        <v>2</v>
      </c>
      <c r="MK182" s="20">
        <v>0</v>
      </c>
      <c r="ML182" s="20">
        <v>0</v>
      </c>
      <c r="MM182" s="20">
        <v>2</v>
      </c>
      <c r="MN182" s="20">
        <v>0</v>
      </c>
      <c r="MO182" s="20">
        <v>0</v>
      </c>
      <c r="MP182" s="20">
        <v>0</v>
      </c>
      <c r="MQ182" s="20">
        <v>0</v>
      </c>
      <c r="MR182" s="20">
        <v>2</v>
      </c>
      <c r="MS182" s="20">
        <v>0</v>
      </c>
      <c r="MT182" s="20">
        <v>2</v>
      </c>
      <c r="MU182" s="20">
        <v>2</v>
      </c>
      <c r="MV182" s="20">
        <v>0</v>
      </c>
      <c r="MW182" s="20">
        <v>0</v>
      </c>
    </row>
    <row r="183" spans="1:361" x14ac:dyDescent="0.25">
      <c r="A183" s="8"/>
      <c r="B183" s="5" t="s">
        <v>116</v>
      </c>
      <c r="C183" s="8"/>
      <c r="D183" s="4"/>
      <c r="E183" s="4"/>
      <c r="F183" s="359"/>
      <c r="G183" s="359"/>
      <c r="H183" s="359"/>
      <c r="I183" s="359"/>
      <c r="J183" s="4"/>
      <c r="K183" s="4"/>
      <c r="L183" s="6" t="s">
        <v>321</v>
      </c>
      <c r="M183" s="14">
        <f>INDEX(cennik!$C$2:$L$529,MATCH($L183,cennik!$B$2:$B$522,0),MATCH(M$27,cennik!$C$1:$L$1,0))</f>
        <v>890101</v>
      </c>
      <c r="N183" s="14" t="str">
        <f>INDEX(cennik!$C$2:$L$529,MATCH($L183,cennik!$B$2:$B$522,0),MATCH(N$27,cennik!$C$1:$L$1,0))</f>
        <v>szt.</v>
      </c>
      <c r="O183" s="14">
        <f>IF(L183="-------",0,SUM(O180:O181))</f>
        <v>0</v>
      </c>
      <c r="P183" s="22">
        <f>INDEX(cennik!$C$2:$L$529,MATCH($L183,cennik!$B$2:$B$522,0),MATCH(P$27,cennik!$C$1:$L$1,0))</f>
        <v>1.99</v>
      </c>
      <c r="Q183" s="22">
        <f t="shared" si="141"/>
        <v>0</v>
      </c>
      <c r="R183" s="23">
        <f t="shared" si="139"/>
        <v>0</v>
      </c>
      <c r="S183" s="22">
        <f t="shared" si="138"/>
        <v>1.99</v>
      </c>
      <c r="T183" s="22">
        <f t="shared" si="140"/>
        <v>0</v>
      </c>
      <c r="U183" s="22">
        <f>INDEX(cennik!$C$2:$L$529,MATCH($L183,cennik!$B$2:$B$522,0),MATCH(U$27,cennik!$C$1:$L$1,0))*O183</f>
        <v>0</v>
      </c>
      <c r="DD183" s="20" t="s">
        <v>521</v>
      </c>
      <c r="DE183" s="20">
        <v>0</v>
      </c>
      <c r="DF183" s="20">
        <v>0</v>
      </c>
      <c r="DG183" s="20">
        <v>4</v>
      </c>
      <c r="DH183" s="20">
        <v>8</v>
      </c>
      <c r="DI183" s="20">
        <v>8</v>
      </c>
      <c r="DJ183" s="20">
        <v>12</v>
      </c>
      <c r="DK183" s="20">
        <v>16</v>
      </c>
      <c r="DL183" s="20">
        <v>16</v>
      </c>
      <c r="DM183" s="20">
        <v>20</v>
      </c>
      <c r="DN183" s="20">
        <v>24</v>
      </c>
      <c r="DO183" s="20">
        <v>24</v>
      </c>
      <c r="DP183" s="20">
        <v>28</v>
      </c>
      <c r="DQ183" s="20">
        <v>32</v>
      </c>
      <c r="DR183" s="20">
        <v>32</v>
      </c>
      <c r="DS183" s="20">
        <v>36</v>
      </c>
      <c r="DT183" s="20">
        <v>40</v>
      </c>
      <c r="DU183" s="20">
        <v>44</v>
      </c>
      <c r="DV183" s="20">
        <v>44</v>
      </c>
      <c r="DW183" s="20">
        <v>48</v>
      </c>
      <c r="DX183" s="20">
        <v>52</v>
      </c>
      <c r="DY183" s="20">
        <v>52</v>
      </c>
      <c r="LW183" s="26" t="s">
        <v>519</v>
      </c>
      <c r="LX183" s="20">
        <v>0</v>
      </c>
      <c r="LY183" s="20">
        <v>2</v>
      </c>
      <c r="LZ183" s="20">
        <v>2</v>
      </c>
      <c r="MA183" s="20">
        <v>2</v>
      </c>
      <c r="MB183" s="20">
        <v>6</v>
      </c>
      <c r="MC183" s="20">
        <v>4</v>
      </c>
      <c r="MD183" s="20">
        <v>0</v>
      </c>
      <c r="ME183" s="20">
        <v>2</v>
      </c>
      <c r="MF183" s="20">
        <v>0</v>
      </c>
      <c r="MG183" s="20">
        <v>12</v>
      </c>
      <c r="MH183" s="20">
        <v>10</v>
      </c>
      <c r="MI183" s="20">
        <v>8</v>
      </c>
      <c r="MJ183" s="20">
        <v>6</v>
      </c>
      <c r="MK183" s="20">
        <v>18</v>
      </c>
      <c r="ML183" s="20">
        <v>2</v>
      </c>
      <c r="MM183" s="20">
        <v>0</v>
      </c>
      <c r="MN183" s="20">
        <v>12</v>
      </c>
      <c r="MO183" s="20">
        <v>0</v>
      </c>
      <c r="MP183" s="20">
        <v>10</v>
      </c>
      <c r="MQ183" s="20">
        <v>22</v>
      </c>
      <c r="MR183" s="20">
        <v>20</v>
      </c>
      <c r="MS183" s="20">
        <v>4</v>
      </c>
      <c r="MT183" s="20">
        <v>8</v>
      </c>
      <c r="MU183" s="20">
        <v>14</v>
      </c>
      <c r="MV183" s="20">
        <v>0</v>
      </c>
      <c r="MW183" s="20">
        <v>10</v>
      </c>
    </row>
    <row r="184" spans="1:361" x14ac:dyDescent="0.25">
      <c r="A184" s="8"/>
      <c r="B184" s="5" t="s">
        <v>116</v>
      </c>
      <c r="C184" s="8"/>
      <c r="D184" s="4"/>
      <c r="E184" s="4"/>
      <c r="F184" s="359"/>
      <c r="G184" s="359"/>
      <c r="H184" s="359"/>
      <c r="I184" s="359"/>
      <c r="J184" s="4"/>
      <c r="K184" s="4"/>
      <c r="L184" s="6" t="s">
        <v>128</v>
      </c>
      <c r="M184" s="14">
        <f>INDEX(cennik!$C$2:$L$529,MATCH($L184,cennik!$B$2:$B$522,0),MATCH(M$27,cennik!$C$1:$L$1,0))</f>
        <v>897303</v>
      </c>
      <c r="N184" s="14" t="str">
        <f>INDEX(cennik!$C$2:$L$529,MATCH($L184,cennik!$B$2:$B$522,0),MATCH(N$27,cennik!$C$1:$L$1,0))</f>
        <v>szt.</v>
      </c>
      <c r="O184" s="14">
        <f>SUM((IF(MOD(A174,2)=0,A174/2,IF(MOD(A174,2)=1,FLOOR(A174/2,1)+1,0))*C174),(IF(MOD(A175,2)=0,A175/2,IF(MOD(A175,2)=1,FLOOR(A175/2,1)+1,0))*C175),(IF(MOD(A176,2)=0,A176/2,IF(MOD(A176,2)=1,FLOOR(A176/2,1)+1,0))*C176),(IF(MOD(A177,2)=0,A177/2,IF(MOD(A177,2)=1,FLOOR(A177/2,1)+1,0))*C177),(IF(MOD(A178,2)=0,A178/2,IF(MOD(A178,2)=1,FLOOR(A178/2,1)+1,0))*C178),(IF(MOD(A179,2)=0,A179/2,IF(MOD(A179,2)=1,FLOOR(A179/2,1)+1,0))*C179),(IF(MOD(A180,2)=0,A180/2,IF(MOD(A180,2)=1,FLOOR(A180/2,1)+1,0))*C180),(IF(MOD(A181,2)=0,A181/2,IF(MOD(A181,2)=1,FLOOR(A181/2,1)+1,0))*C181),(IF(MOD(A182,2)=0,A182/2,IF(MOD(A182,2)=1,FLOOR(A182/2,1)+1,0))*C182),(IF(MOD(A183,2)=0,A183/2,IF(MOD(A183,2)=1,FLOOR(A183/2,1)+1,0))*C183),(IF(MOD(A184,2)=0,A184/2,IF(MOD(A184,2)=1,FLOOR(A184/2,1)+1,0))*C184),(IF(MOD(A185,2)=0,A185/2,IF(MOD(A185,2)=1,FLOOR(A185/2,1)+1,0))*C185),(IF(MOD(A186,2)=0,A186/2,IF(MOD(A186,2)=1,FLOOR(A186/2,1)+1,0))*C186),(IF(MOD(A187,2)=0,A187/2,IF(MOD(A187,2)=1,FLOOR(A187/2,1)+1,0))*C187),(IF(MOD(A188,2)=0,A188/2,IF(MOD(A188,2)=1,FLOOR(A188/2,1)+1,0))*C188),(IF(MOD(A189,2)=0,A189/2,IF(MOD(A189,2)=1,FLOOR(A189/2,1)+1,0))*C189))</f>
        <v>0</v>
      </c>
      <c r="P184" s="22">
        <f>INDEX(cennik!$C$2:$L$529,MATCH($L184,cennik!$B$2:$B$522,0),MATCH(P$27,cennik!$C$1:$L$1,0))</f>
        <v>2.4</v>
      </c>
      <c r="Q184" s="22">
        <f t="shared" si="141"/>
        <v>0</v>
      </c>
      <c r="R184" s="23">
        <f t="shared" si="139"/>
        <v>0</v>
      </c>
      <c r="S184" s="22">
        <f t="shared" si="138"/>
        <v>2.4</v>
      </c>
      <c r="T184" s="22">
        <f t="shared" si="140"/>
        <v>0</v>
      </c>
      <c r="U184" s="22">
        <f>INDEX(cennik!$C$2:$L$529,MATCH($L184,cennik!$B$2:$B$522,0),MATCH(U$27,cennik!$C$1:$L$1,0))*O184</f>
        <v>0</v>
      </c>
      <c r="DD184" s="26" t="s">
        <v>710</v>
      </c>
      <c r="DE184" s="20">
        <v>0</v>
      </c>
      <c r="DF184" s="20"/>
      <c r="DG184" s="20"/>
      <c r="DH184" s="20"/>
      <c r="DI184" s="20"/>
      <c r="DJ184" s="20"/>
      <c r="DK184" s="20"/>
      <c r="DL184" s="20"/>
      <c r="DM184" s="20"/>
      <c r="DN184" s="20"/>
      <c r="DO184" s="20"/>
      <c r="DP184" s="20"/>
      <c r="DQ184" s="20"/>
      <c r="DR184" s="20"/>
      <c r="DS184" s="20"/>
      <c r="DT184" s="20"/>
      <c r="DU184" s="20"/>
      <c r="DV184" s="20"/>
      <c r="DW184" s="20"/>
      <c r="DX184" s="20"/>
      <c r="DY184" s="20"/>
      <c r="LW184" s="26" t="s">
        <v>520</v>
      </c>
      <c r="LX184" s="20">
        <v>0</v>
      </c>
      <c r="LY184" s="20">
        <v>0</v>
      </c>
      <c r="LZ184" s="20">
        <v>0</v>
      </c>
      <c r="MA184" s="20">
        <v>0</v>
      </c>
      <c r="MB184" s="20">
        <v>0</v>
      </c>
      <c r="MC184" s="20">
        <v>2</v>
      </c>
      <c r="MD184" s="20">
        <v>6</v>
      </c>
      <c r="ME184" s="20">
        <v>8</v>
      </c>
      <c r="MF184" s="20">
        <v>10</v>
      </c>
      <c r="MG184" s="20">
        <v>0</v>
      </c>
      <c r="MH184" s="20">
        <v>2</v>
      </c>
      <c r="MI184" s="20">
        <v>8</v>
      </c>
      <c r="MJ184" s="20">
        <v>10</v>
      </c>
      <c r="MK184" s="20">
        <v>0</v>
      </c>
      <c r="ML184" s="20">
        <v>18</v>
      </c>
      <c r="MM184" s="20">
        <v>20</v>
      </c>
      <c r="MN184" s="20">
        <v>10</v>
      </c>
      <c r="MO184" s="20">
        <v>24</v>
      </c>
      <c r="MP184" s="20">
        <v>16</v>
      </c>
      <c r="MQ184" s="20">
        <v>6</v>
      </c>
      <c r="MR184" s="20">
        <v>8</v>
      </c>
      <c r="MS184" s="20">
        <v>26</v>
      </c>
      <c r="MT184" s="20">
        <v>22</v>
      </c>
      <c r="MU184" s="20">
        <v>18</v>
      </c>
      <c r="MV184" s="20">
        <v>34</v>
      </c>
      <c r="MW184" s="20">
        <v>26</v>
      </c>
    </row>
    <row r="185" spans="1:361" x14ac:dyDescent="0.25">
      <c r="A185" s="8"/>
      <c r="B185" s="5" t="s">
        <v>116</v>
      </c>
      <c r="C185" s="8"/>
      <c r="D185" s="4"/>
      <c r="E185" s="4"/>
      <c r="F185" s="359"/>
      <c r="G185" s="359"/>
      <c r="H185" s="359"/>
      <c r="I185" s="359"/>
      <c r="J185" s="4"/>
      <c r="K185" s="4"/>
      <c r="L185" s="6" t="s">
        <v>407</v>
      </c>
      <c r="M185" s="14">
        <f>INDEX(cennik!$C$2:$L$529,MATCH($L185,cennik!$B$2:$B$522,0),MATCH(M$27,cennik!$C$1:$L$1,0))</f>
        <v>651643</v>
      </c>
      <c r="N185" s="14" t="str">
        <f>INDEX(cennik!$C$2:$L$529,MATCH($L185,cennik!$B$2:$B$522,0),MATCH(N$27,cennik!$C$1:$L$1,0))</f>
        <v>100 szt.</v>
      </c>
      <c r="O185" s="14">
        <f>ROUNDUP((O177*4+E180)/100,0)</f>
        <v>0</v>
      </c>
      <c r="P185" s="22">
        <f>INDEX(cennik!$C$2:$L$529,MATCH($L185,cennik!$B$2:$B$522,0),MATCH(P$27,cennik!$C$1:$L$1,0))</f>
        <v>144.19</v>
      </c>
      <c r="Q185" s="22">
        <f t="shared" si="141"/>
        <v>0</v>
      </c>
      <c r="R185" s="23">
        <f t="shared" si="139"/>
        <v>0</v>
      </c>
      <c r="S185" s="22">
        <f t="shared" si="138"/>
        <v>144.19</v>
      </c>
      <c r="T185" s="22">
        <f t="shared" ref="T185:T190" si="143">O185*S185</f>
        <v>0</v>
      </c>
      <c r="U185" s="22">
        <f>INDEX(cennik!$C$2:$L$529,MATCH($L185,cennik!$B$2:$B$522,0),MATCH(U$27,cennik!$C$1:$L$1,0))*O185</f>
        <v>0</v>
      </c>
      <c r="DD185" s="26" t="s">
        <v>711</v>
      </c>
      <c r="DE185" s="20">
        <v>0</v>
      </c>
      <c r="DF185" s="20"/>
      <c r="DG185" s="20"/>
      <c r="DH185" s="20"/>
      <c r="DI185" s="20"/>
      <c r="DJ185" s="20"/>
      <c r="DK185" s="20"/>
      <c r="DL185" s="20"/>
      <c r="DM185" s="20"/>
      <c r="DN185" s="20"/>
      <c r="DO185" s="20"/>
      <c r="DP185" s="20"/>
      <c r="DQ185" s="20"/>
      <c r="DR185" s="20"/>
      <c r="DS185" s="20"/>
      <c r="DT185" s="20"/>
      <c r="DU185" s="20"/>
      <c r="DV185" s="20"/>
      <c r="DW185" s="20"/>
      <c r="DX185" s="20"/>
      <c r="DY185" s="20"/>
      <c r="LW185" s="26" t="s">
        <v>521</v>
      </c>
      <c r="LX185" s="20">
        <v>0</v>
      </c>
      <c r="LY185" s="20">
        <v>0</v>
      </c>
      <c r="LZ185" s="20">
        <v>4</v>
      </c>
      <c r="MA185" s="20">
        <v>8</v>
      </c>
      <c r="MB185" s="20">
        <v>8</v>
      </c>
      <c r="MC185" s="20">
        <v>12</v>
      </c>
      <c r="MD185" s="20">
        <v>16</v>
      </c>
      <c r="ME185" s="20">
        <v>16</v>
      </c>
      <c r="MF185" s="20">
        <v>20</v>
      </c>
      <c r="MG185" s="20">
        <v>24</v>
      </c>
      <c r="MH185" s="20">
        <v>28</v>
      </c>
      <c r="MI185" s="20">
        <v>28</v>
      </c>
      <c r="MJ185" s="20">
        <v>32</v>
      </c>
      <c r="MK185" s="20">
        <v>36</v>
      </c>
      <c r="ML185" s="20">
        <v>36</v>
      </c>
      <c r="MM185" s="20">
        <v>40</v>
      </c>
      <c r="MN185" s="20">
        <v>44</v>
      </c>
      <c r="MO185" s="20">
        <v>44</v>
      </c>
      <c r="MP185" s="20">
        <v>48</v>
      </c>
      <c r="MQ185" s="20">
        <v>52</v>
      </c>
      <c r="MR185" s="20">
        <v>56</v>
      </c>
      <c r="MS185" s="20">
        <v>56</v>
      </c>
      <c r="MT185" s="20">
        <v>60</v>
      </c>
      <c r="MU185" s="20">
        <v>64</v>
      </c>
      <c r="MV185" s="20">
        <v>64</v>
      </c>
      <c r="MW185" s="20">
        <v>68</v>
      </c>
    </row>
    <row r="186" spans="1:361" x14ac:dyDescent="0.25">
      <c r="A186" s="8"/>
      <c r="B186" s="5" t="s">
        <v>116</v>
      </c>
      <c r="C186" s="8"/>
      <c r="D186" s="4"/>
      <c r="E186" s="4"/>
      <c r="F186" s="4"/>
      <c r="G186" s="4"/>
      <c r="H186" s="4"/>
      <c r="I186" s="4"/>
      <c r="J186" s="4"/>
      <c r="K186" s="4"/>
      <c r="L186" s="6" t="s">
        <v>1005</v>
      </c>
      <c r="M186" s="14">
        <f>INDEX(cennik!$C$2:$L$529,MATCH($L186,cennik!$B$2:$B$522,0),MATCH(M$27,cennik!$C$1:$L$1,0))</f>
        <v>760401</v>
      </c>
      <c r="N186" s="14" t="str">
        <f>INDEX(cennik!$C$2:$L$529,MATCH($L186,cennik!$B$2:$B$522,0),MATCH(N$27,cennik!$C$1:$L$1,0))</f>
        <v>szt.</v>
      </c>
      <c r="O186" s="14">
        <f>O178*2</f>
        <v>0</v>
      </c>
      <c r="P186" s="22">
        <f>INDEX(cennik!$C$2:$L$529,MATCH($L186,cennik!$B$2:$B$522,0),MATCH(P$27,cennik!$C$1:$L$1,0))</f>
        <v>1.97</v>
      </c>
      <c r="Q186" s="22">
        <f>O186*P186</f>
        <v>0</v>
      </c>
      <c r="R186" s="23">
        <f t="shared" si="139"/>
        <v>0</v>
      </c>
      <c r="S186" s="22">
        <f t="shared" si="138"/>
        <v>1.97</v>
      </c>
      <c r="T186" s="22">
        <f t="shared" si="143"/>
        <v>0</v>
      </c>
      <c r="U186" s="22">
        <f>INDEX(cennik!$C$2:$L$529,MATCH($L186,cennik!$B$2:$B$522,0),MATCH(U$27,cennik!$C$1:$L$1,0))*O186</f>
        <v>0</v>
      </c>
      <c r="DD186" s="26" t="s">
        <v>712</v>
      </c>
      <c r="DE186" s="20">
        <v>0</v>
      </c>
      <c r="DF186" s="20"/>
      <c r="DG186" s="20"/>
      <c r="DH186" s="20"/>
      <c r="DI186" s="20"/>
      <c r="DJ186" s="20"/>
      <c r="DK186" s="20"/>
      <c r="DL186" s="20"/>
      <c r="DM186" s="20"/>
      <c r="DN186" s="20"/>
      <c r="DO186" s="20"/>
      <c r="DP186" s="20"/>
      <c r="DQ186" s="20"/>
      <c r="DR186" s="20"/>
      <c r="DS186" s="20"/>
      <c r="DT186" s="20"/>
      <c r="DU186" s="20"/>
      <c r="DV186" s="20"/>
      <c r="DW186" s="20"/>
      <c r="DX186" s="20"/>
      <c r="DY186" s="20"/>
      <c r="LW186" s="26" t="s">
        <v>710</v>
      </c>
      <c r="LX186" s="20">
        <v>0</v>
      </c>
      <c r="LY186" s="20">
        <v>0</v>
      </c>
      <c r="LZ186" s="20">
        <v>2</v>
      </c>
      <c r="MA186" s="20">
        <v>4</v>
      </c>
      <c r="MB186" s="20">
        <v>0</v>
      </c>
      <c r="MC186" s="20">
        <v>2</v>
      </c>
      <c r="MD186" s="20">
        <v>4</v>
      </c>
      <c r="ME186" s="20">
        <v>0</v>
      </c>
      <c r="MF186" s="20">
        <v>2</v>
      </c>
      <c r="MG186" s="20">
        <v>2</v>
      </c>
      <c r="MH186" s="20">
        <v>4</v>
      </c>
      <c r="MI186" s="20">
        <v>0</v>
      </c>
      <c r="MJ186" s="20">
        <v>2</v>
      </c>
      <c r="MK186" s="20">
        <v>4</v>
      </c>
      <c r="ML186" s="20">
        <v>0</v>
      </c>
      <c r="MM186" s="20">
        <v>2</v>
      </c>
      <c r="MN186" s="20">
        <v>4</v>
      </c>
      <c r="MO186" s="20">
        <v>0</v>
      </c>
      <c r="MP186" s="20">
        <v>0</v>
      </c>
      <c r="MQ186" s="20">
        <v>2</v>
      </c>
      <c r="MR186" s="20">
        <v>4</v>
      </c>
      <c r="MS186" s="20">
        <v>0</v>
      </c>
      <c r="MT186" s="20">
        <v>2</v>
      </c>
      <c r="MU186" s="20">
        <v>4</v>
      </c>
      <c r="MV186" s="20">
        <v>0</v>
      </c>
      <c r="MW186" s="20">
        <v>2</v>
      </c>
    </row>
    <row r="187" spans="1:361" x14ac:dyDescent="0.25">
      <c r="A187" s="8"/>
      <c r="B187" s="5" t="s">
        <v>116</v>
      </c>
      <c r="C187" s="8"/>
      <c r="D187" s="4"/>
      <c r="E187" s="4"/>
      <c r="F187" s="4"/>
      <c r="G187" s="4"/>
      <c r="H187" s="4"/>
      <c r="I187" s="4"/>
      <c r="J187" s="4"/>
      <c r="K187" s="4"/>
      <c r="L187" s="6" t="s">
        <v>1019</v>
      </c>
      <c r="M187" s="14">
        <f>INDEX(cennik!$C$2:$L$529,MATCH($L187,cennik!$B$2:$B$522,0),MATCH(M$27,cennik!$C$1:$L$1,0))</f>
        <v>166794</v>
      </c>
      <c r="N187" s="14" t="str">
        <f>INDEX(cennik!$C$2:$L$529,MATCH($L187,cennik!$B$2:$B$522,0),MATCH(N$27,cennik!$C$1:$L$1,0))</f>
        <v>100 szt.</v>
      </c>
      <c r="O187" s="14">
        <f>ROUNDUP((O182/100),0)</f>
        <v>0</v>
      </c>
      <c r="P187" s="22">
        <f>INDEX(cennik!$C$2:$L$529,MATCH($L187,cennik!$B$2:$B$522,0),MATCH(P$27,cennik!$C$1:$L$1,0))</f>
        <v>3.95</v>
      </c>
      <c r="Q187" s="22">
        <f>O187*P187</f>
        <v>0</v>
      </c>
      <c r="R187" s="23">
        <f t="shared" si="139"/>
        <v>0</v>
      </c>
      <c r="S187" s="22">
        <f t="shared" si="138"/>
        <v>3.95</v>
      </c>
      <c r="T187" s="22">
        <f t="shared" si="143"/>
        <v>0</v>
      </c>
      <c r="U187" s="22">
        <f>INDEX(cennik!$C$2:$L$529,MATCH($L187,cennik!$B$2:$B$522,0),MATCH(U$27,cennik!$C$1:$L$1,0))*O187</f>
        <v>0</v>
      </c>
      <c r="DD187" s="20"/>
      <c r="DE187" s="20"/>
      <c r="DF187" s="20"/>
      <c r="DG187" s="20"/>
      <c r="DH187" s="20"/>
      <c r="DI187" s="20"/>
      <c r="DJ187" s="20"/>
      <c r="DK187" s="20"/>
      <c r="DL187" s="20"/>
      <c r="DM187" s="20"/>
      <c r="DN187" s="20"/>
      <c r="DO187" s="20"/>
      <c r="DP187" s="20"/>
      <c r="DQ187" s="20"/>
      <c r="DR187" s="20"/>
      <c r="DS187" s="20"/>
      <c r="DT187" s="20"/>
      <c r="DU187" s="20"/>
      <c r="DV187" s="20"/>
      <c r="DW187" s="20"/>
      <c r="DX187" s="20"/>
      <c r="DY187" s="20"/>
      <c r="LW187" s="26" t="s">
        <v>711</v>
      </c>
      <c r="LX187" s="20">
        <v>0</v>
      </c>
      <c r="LY187" s="20">
        <v>2</v>
      </c>
      <c r="LZ187" s="20">
        <v>2</v>
      </c>
      <c r="MA187" s="20">
        <v>2</v>
      </c>
      <c r="MB187" s="20">
        <v>6</v>
      </c>
      <c r="MC187" s="20">
        <v>6</v>
      </c>
      <c r="MD187" s="20">
        <v>6</v>
      </c>
      <c r="ME187" s="20">
        <v>10</v>
      </c>
      <c r="MF187" s="20">
        <v>10</v>
      </c>
      <c r="MG187" s="20">
        <v>12</v>
      </c>
      <c r="MH187" s="20">
        <v>12</v>
      </c>
      <c r="MI187" s="20">
        <v>16</v>
      </c>
      <c r="MJ187" s="20">
        <v>16</v>
      </c>
      <c r="MK187" s="20">
        <v>16</v>
      </c>
      <c r="ML187" s="20">
        <v>20</v>
      </c>
      <c r="MM187" s="20">
        <v>20</v>
      </c>
      <c r="MN187" s="20">
        <v>20</v>
      </c>
      <c r="MO187" s="20">
        <v>24</v>
      </c>
      <c r="MP187" s="20">
        <v>26</v>
      </c>
      <c r="MQ187" s="20">
        <v>26</v>
      </c>
      <c r="MR187" s="20">
        <v>26</v>
      </c>
      <c r="MS187" s="20">
        <v>30</v>
      </c>
      <c r="MT187" s="20">
        <v>30</v>
      </c>
      <c r="MU187" s="20">
        <v>30</v>
      </c>
      <c r="MV187" s="20">
        <v>34</v>
      </c>
      <c r="MW187" s="20">
        <v>34</v>
      </c>
    </row>
    <row r="188" spans="1:361" x14ac:dyDescent="0.25">
      <c r="A188" s="8"/>
      <c r="B188" s="5" t="s">
        <v>116</v>
      </c>
      <c r="C188" s="8"/>
      <c r="D188" s="4"/>
      <c r="E188" s="4"/>
      <c r="F188" s="4"/>
      <c r="G188" s="4"/>
      <c r="H188" s="4"/>
      <c r="I188" s="4"/>
      <c r="J188" s="4"/>
      <c r="K188" s="4"/>
      <c r="L188" s="6" t="s">
        <v>1473</v>
      </c>
      <c r="M188" s="14">
        <f>INDEX(cennik!$C$2:$L$529,MATCH($L188,cennik!$B$2:$B$522,0),MATCH(M$27,cennik!$C$1:$L$1,0))</f>
        <v>8901024</v>
      </c>
      <c r="N188" s="14" t="str">
        <f>INDEX(cennik!$C$2:$L$529,MATCH($L188,cennik!$B$2:$B$522,0),MATCH(N$27,cennik!$C$1:$L$1,0))</f>
        <v>szt.</v>
      </c>
      <c r="O188" s="14">
        <f>2*O178</f>
        <v>0</v>
      </c>
      <c r="P188" s="22">
        <f>INDEX(cennik!$C$2:$L$529,MATCH($L188,cennik!$B$2:$B$522,0),MATCH(P$27,cennik!$C$1:$L$1,0))</f>
        <v>3.55</v>
      </c>
      <c r="Q188" s="22">
        <f>O188*P188</f>
        <v>0</v>
      </c>
      <c r="R188" s="23">
        <f t="shared" si="139"/>
        <v>0</v>
      </c>
      <c r="S188" s="22">
        <f t="shared" si="138"/>
        <v>3.55</v>
      </c>
      <c r="T188" s="22">
        <f t="shared" si="143"/>
        <v>0</v>
      </c>
      <c r="U188" s="22">
        <f>INDEX(cennik!$C$2:$L$529,MATCH($L188,cennik!$B$2:$B$522,0),MATCH(U$27,cennik!$C$1:$L$1,0))*O188</f>
        <v>0</v>
      </c>
      <c r="DD188" s="20" t="s">
        <v>507</v>
      </c>
      <c r="DE188" s="20">
        <v>0</v>
      </c>
      <c r="DF188" s="20">
        <v>1</v>
      </c>
      <c r="DG188" s="20">
        <v>2</v>
      </c>
      <c r="DH188" s="20">
        <v>3</v>
      </c>
      <c r="DI188" s="20">
        <v>4</v>
      </c>
      <c r="DJ188" s="20">
        <v>5</v>
      </c>
      <c r="DK188" s="20">
        <v>6</v>
      </c>
      <c r="DL188" s="20">
        <v>7</v>
      </c>
      <c r="DM188" s="20">
        <v>8</v>
      </c>
      <c r="DN188" s="20">
        <v>9</v>
      </c>
      <c r="DO188" s="20">
        <v>10</v>
      </c>
      <c r="DP188" s="20">
        <v>11</v>
      </c>
      <c r="DQ188" s="20">
        <v>12</v>
      </c>
      <c r="DR188" s="20">
        <v>13</v>
      </c>
      <c r="DS188" s="20">
        <v>14</v>
      </c>
      <c r="DT188" s="20">
        <v>15</v>
      </c>
      <c r="DU188" s="20">
        <v>16</v>
      </c>
      <c r="DV188" s="20">
        <v>17</v>
      </c>
      <c r="DW188" s="20">
        <v>18</v>
      </c>
      <c r="DX188" s="20">
        <v>19</v>
      </c>
      <c r="DY188" s="20">
        <v>20</v>
      </c>
      <c r="LW188" s="26" t="s">
        <v>712</v>
      </c>
      <c r="LX188" s="20">
        <v>0</v>
      </c>
      <c r="LY188" s="20">
        <v>0</v>
      </c>
      <c r="LZ188" s="20">
        <v>2</v>
      </c>
      <c r="MA188" s="20">
        <v>4</v>
      </c>
      <c r="MB188" s="20">
        <v>4</v>
      </c>
      <c r="MC188" s="20">
        <v>6</v>
      </c>
      <c r="MD188" s="20">
        <v>8</v>
      </c>
      <c r="ME188" s="20">
        <v>8</v>
      </c>
      <c r="MF188" s="20">
        <v>10</v>
      </c>
      <c r="MG188" s="20">
        <v>12</v>
      </c>
      <c r="MH188" s="20">
        <v>14</v>
      </c>
      <c r="MI188" s="20">
        <v>14</v>
      </c>
      <c r="MJ188" s="20">
        <v>16</v>
      </c>
      <c r="MK188" s="20">
        <v>18</v>
      </c>
      <c r="ML188" s="20">
        <v>18</v>
      </c>
      <c r="MM188" s="20">
        <v>20</v>
      </c>
      <c r="MN188" s="20">
        <v>22</v>
      </c>
      <c r="MO188" s="20">
        <v>22</v>
      </c>
      <c r="MP188" s="20">
        <v>24</v>
      </c>
      <c r="MQ188" s="20">
        <v>26</v>
      </c>
      <c r="MR188" s="20">
        <v>28</v>
      </c>
      <c r="MS188" s="20">
        <v>28</v>
      </c>
      <c r="MT188" s="20">
        <v>30</v>
      </c>
      <c r="MU188" s="20">
        <v>32</v>
      </c>
      <c r="MV188" s="20">
        <v>32</v>
      </c>
      <c r="MW188" s="20">
        <v>34</v>
      </c>
    </row>
    <row r="189" spans="1:361" x14ac:dyDescent="0.25">
      <c r="A189" s="8"/>
      <c r="B189" s="5" t="s">
        <v>116</v>
      </c>
      <c r="C189" s="8"/>
      <c r="D189" s="4"/>
      <c r="E189" s="4"/>
      <c r="F189" s="4"/>
      <c r="G189" s="4"/>
      <c r="H189" s="4"/>
      <c r="I189" s="4"/>
      <c r="J189" s="4"/>
      <c r="K189" s="4"/>
      <c r="L189" s="6" t="s">
        <v>1474</v>
      </c>
      <c r="M189" s="14">
        <f>INDEX(cennik!$C$2:$L$529,MATCH($L189,cennik!$B$2:$B$522,0),MATCH(M$27,cennik!$C$1:$L$1,0))</f>
        <v>899080</v>
      </c>
      <c r="N189" s="14" t="str">
        <f>INDEX(cennik!$C$2:$L$529,MATCH($L189,cennik!$B$2:$B$522,0),MATCH(N$27,cennik!$C$1:$L$1,0))</f>
        <v>100 szt.</v>
      </c>
      <c r="O189" s="24">
        <f>ROUNDUP((O188/100),0)</f>
        <v>0</v>
      </c>
      <c r="P189" s="22">
        <f>INDEX(cennik!$C$2:$L$529,MATCH($L189,cennik!$B$2:$B$522,0),MATCH(P$27,cennik!$C$1:$L$1,0))</f>
        <v>34.15</v>
      </c>
      <c r="Q189" s="22">
        <f>O189*P189</f>
        <v>0</v>
      </c>
      <c r="R189" s="23">
        <f t="shared" si="139"/>
        <v>0</v>
      </c>
      <c r="S189" s="22">
        <f t="shared" si="138"/>
        <v>34.15</v>
      </c>
      <c r="T189" s="22">
        <f t="shared" si="143"/>
        <v>0</v>
      </c>
      <c r="U189" s="22">
        <f>INDEX(cennik!$C$2:$L$529,MATCH($L189,cennik!$B$2:$B$522,0),MATCH(U$27,cennik!$C$1:$L$1,0))*O189</f>
        <v>0</v>
      </c>
      <c r="DD189" s="20" t="s">
        <v>127</v>
      </c>
      <c r="DE189" s="20">
        <v>0</v>
      </c>
      <c r="DF189" s="20">
        <v>0</v>
      </c>
      <c r="DG189" s="20">
        <v>2</v>
      </c>
      <c r="DH189" s="20">
        <v>4</v>
      </c>
      <c r="DI189" s="20">
        <v>0</v>
      </c>
      <c r="DJ189" s="20">
        <v>2</v>
      </c>
      <c r="DK189" s="20">
        <v>4</v>
      </c>
      <c r="DL189" s="20">
        <v>0</v>
      </c>
      <c r="DM189" s="20">
        <v>2</v>
      </c>
      <c r="DN189" s="20">
        <v>2</v>
      </c>
      <c r="DO189" s="20">
        <v>4</v>
      </c>
      <c r="DP189" s="20">
        <v>0</v>
      </c>
      <c r="DQ189" s="20">
        <v>2</v>
      </c>
      <c r="DR189" s="20">
        <v>4</v>
      </c>
      <c r="DS189" s="20">
        <v>0</v>
      </c>
      <c r="DT189" s="20">
        <v>2</v>
      </c>
      <c r="DU189" s="20">
        <v>4</v>
      </c>
      <c r="DV189" s="20">
        <v>0</v>
      </c>
      <c r="DW189" s="20">
        <v>0</v>
      </c>
      <c r="DX189" s="20">
        <v>2</v>
      </c>
      <c r="DY189" s="20">
        <v>4</v>
      </c>
    </row>
    <row r="190" spans="1:361" x14ac:dyDescent="0.25">
      <c r="A190" s="4"/>
      <c r="B190" s="6"/>
      <c r="C190" s="4"/>
      <c r="D190" s="4"/>
      <c r="E190" s="4"/>
      <c r="F190" s="4"/>
      <c r="G190" s="4"/>
      <c r="H190" s="4"/>
      <c r="I190" s="4"/>
      <c r="J190" s="4"/>
      <c r="K190" s="4"/>
      <c r="L190" s="6" t="s">
        <v>947</v>
      </c>
      <c r="M190" s="14">
        <f>INDEX(cennik!$C$2:$L$529,MATCH($L190,cennik!$B$2:$B$522,0),MATCH(M$27,cennik!$C$1:$L$1,0))</f>
        <v>858434</v>
      </c>
      <c r="N190" s="14" t="str">
        <f>INDEX(cennik!$C$2:$L$529,MATCH($L190,cennik!$B$2:$B$522,0),MATCH(N$27,cennik!$C$1:$L$1,0))</f>
        <v>szt.</v>
      </c>
      <c r="O190" s="24">
        <f>O178*2</f>
        <v>0</v>
      </c>
      <c r="P190" s="22">
        <f>INDEX(cennik!$C$2:$L$529,MATCH($L190,cennik!$B$2:$B$522,0),MATCH(P$27,cennik!$C$1:$L$1,0))</f>
        <v>5.17</v>
      </c>
      <c r="Q190" s="22">
        <f>O190*P190</f>
        <v>0</v>
      </c>
      <c r="R190" s="23">
        <f t="shared" si="139"/>
        <v>0</v>
      </c>
      <c r="S190" s="22">
        <f t="shared" si="138"/>
        <v>5.17</v>
      </c>
      <c r="T190" s="22">
        <f t="shared" si="143"/>
        <v>0</v>
      </c>
      <c r="U190" s="22">
        <f>INDEX(cennik!$C$2:$L$529,MATCH($L190,cennik!$B$2:$B$522,0),MATCH(U$27,cennik!$C$1:$L$1,0))*O190</f>
        <v>0</v>
      </c>
      <c r="DD190" s="20" t="s">
        <v>19</v>
      </c>
      <c r="DE190" s="20">
        <v>0</v>
      </c>
      <c r="DF190" s="20">
        <v>2</v>
      </c>
      <c r="DG190" s="20">
        <v>2</v>
      </c>
      <c r="DH190" s="20">
        <v>2</v>
      </c>
      <c r="DI190" s="20">
        <v>6</v>
      </c>
      <c r="DJ190" s="20">
        <v>6</v>
      </c>
      <c r="DK190" s="20">
        <v>6</v>
      </c>
      <c r="DL190" s="20">
        <v>10</v>
      </c>
      <c r="DM190" s="20">
        <v>10</v>
      </c>
      <c r="DN190" s="20">
        <v>12</v>
      </c>
      <c r="DO190" s="20">
        <v>12</v>
      </c>
      <c r="DP190" s="20">
        <v>16</v>
      </c>
      <c r="DQ190" s="20">
        <v>16</v>
      </c>
      <c r="DR190" s="20">
        <v>16</v>
      </c>
      <c r="DS190" s="20">
        <v>20</v>
      </c>
      <c r="DT190" s="20">
        <v>20</v>
      </c>
      <c r="DU190" s="20">
        <v>20</v>
      </c>
      <c r="DV190" s="20">
        <v>24</v>
      </c>
      <c r="DW190" s="20">
        <v>26</v>
      </c>
      <c r="DX190" s="20">
        <v>26</v>
      </c>
      <c r="DY190" s="20">
        <v>26</v>
      </c>
    </row>
    <row r="191" spans="1:361" x14ac:dyDescent="0.25">
      <c r="A191" s="4"/>
      <c r="B191" s="6"/>
      <c r="C191" s="4"/>
      <c r="D191" s="4"/>
      <c r="E191" s="4"/>
      <c r="F191" s="4"/>
      <c r="G191" s="4"/>
      <c r="H191" s="4"/>
      <c r="I191" s="4"/>
      <c r="J191" s="4"/>
      <c r="K191" s="4"/>
      <c r="T191" s="22">
        <f>SUM(T175:T190)</f>
        <v>0</v>
      </c>
      <c r="U191" s="22">
        <f>SUM(U175:U190)</f>
        <v>0</v>
      </c>
      <c r="DD191" s="20" t="s">
        <v>408</v>
      </c>
      <c r="DE191" s="20">
        <v>0</v>
      </c>
      <c r="DF191" s="20">
        <v>0</v>
      </c>
      <c r="DG191" s="20">
        <v>4</v>
      </c>
      <c r="DH191" s="20">
        <v>8</v>
      </c>
      <c r="DI191" s="20">
        <v>8</v>
      </c>
      <c r="DJ191" s="20">
        <v>12</v>
      </c>
      <c r="DK191" s="20">
        <v>16</v>
      </c>
      <c r="DL191" s="20">
        <v>16</v>
      </c>
      <c r="DM191" s="20">
        <v>20</v>
      </c>
      <c r="DN191" s="20">
        <v>24</v>
      </c>
      <c r="DO191" s="20">
        <v>28</v>
      </c>
      <c r="DP191" s="20">
        <v>28</v>
      </c>
      <c r="DQ191" s="20">
        <v>32</v>
      </c>
      <c r="DR191" s="20">
        <v>36</v>
      </c>
      <c r="DS191" s="20">
        <v>36</v>
      </c>
      <c r="DT191" s="20">
        <v>40</v>
      </c>
      <c r="DU191" s="20">
        <v>44</v>
      </c>
      <c r="DV191" s="20">
        <v>44</v>
      </c>
      <c r="DW191" s="20">
        <v>48</v>
      </c>
      <c r="DX191" s="20">
        <v>52</v>
      </c>
      <c r="DY191" s="20">
        <v>56</v>
      </c>
    </row>
    <row r="192" spans="1:361" x14ac:dyDescent="0.25">
      <c r="A192" s="4"/>
      <c r="B192" s="6"/>
      <c r="C192" s="4"/>
      <c r="D192" s="2"/>
      <c r="E192" s="2"/>
      <c r="F192" s="4"/>
      <c r="G192" s="4"/>
      <c r="H192" s="4"/>
      <c r="I192" s="4"/>
      <c r="J192" s="4"/>
      <c r="K192" s="4"/>
      <c r="DD192" s="20" t="s">
        <v>518</v>
      </c>
      <c r="DE192" s="20">
        <v>0</v>
      </c>
      <c r="DF192" s="20">
        <v>0</v>
      </c>
      <c r="DG192" s="20">
        <v>2</v>
      </c>
      <c r="DH192" s="20">
        <v>4</v>
      </c>
      <c r="DI192" s="20">
        <v>0</v>
      </c>
      <c r="DJ192" s="20">
        <v>2</v>
      </c>
      <c r="DK192" s="20">
        <v>4</v>
      </c>
      <c r="DL192" s="20">
        <v>0</v>
      </c>
      <c r="DM192" s="20">
        <v>2</v>
      </c>
      <c r="DN192" s="20">
        <v>2</v>
      </c>
      <c r="DO192" s="20">
        <v>4</v>
      </c>
      <c r="DP192" s="20">
        <v>0</v>
      </c>
      <c r="DQ192" s="20">
        <v>2</v>
      </c>
      <c r="DR192" s="20">
        <v>4</v>
      </c>
      <c r="DS192" s="20">
        <v>0</v>
      </c>
      <c r="DT192" s="20">
        <v>2</v>
      </c>
      <c r="DU192" s="20">
        <v>4</v>
      </c>
      <c r="DV192" s="20">
        <v>0</v>
      </c>
      <c r="DW192" s="20">
        <v>0</v>
      </c>
      <c r="DX192" s="20">
        <v>2</v>
      </c>
      <c r="DY192" s="20">
        <v>4</v>
      </c>
    </row>
    <row r="193" spans="1:129" x14ac:dyDescent="0.25">
      <c r="A193" s="4"/>
      <c r="B193" s="6"/>
      <c r="C193" s="4"/>
      <c r="F193" s="4"/>
      <c r="G193" s="4"/>
      <c r="H193" s="4"/>
      <c r="I193" s="4"/>
      <c r="J193" s="4"/>
      <c r="K193" s="4"/>
      <c r="DD193" s="20" t="s">
        <v>520</v>
      </c>
      <c r="DE193" s="20">
        <v>0</v>
      </c>
      <c r="DF193" s="20">
        <v>2</v>
      </c>
      <c r="DG193" s="20">
        <v>2</v>
      </c>
      <c r="DH193" s="20">
        <v>2</v>
      </c>
      <c r="DI193" s="20">
        <v>6</v>
      </c>
      <c r="DJ193" s="20">
        <v>6</v>
      </c>
      <c r="DK193" s="20">
        <v>6</v>
      </c>
      <c r="DL193" s="20">
        <v>10</v>
      </c>
      <c r="DM193" s="20">
        <v>10</v>
      </c>
      <c r="DN193" s="20">
        <v>12</v>
      </c>
      <c r="DO193" s="20">
        <v>12</v>
      </c>
      <c r="DP193" s="20">
        <v>16</v>
      </c>
      <c r="DQ193" s="20">
        <v>16</v>
      </c>
      <c r="DR193" s="20">
        <v>16</v>
      </c>
      <c r="DS193" s="20">
        <v>20</v>
      </c>
      <c r="DT193" s="20">
        <v>20</v>
      </c>
      <c r="DU193" s="20">
        <v>20</v>
      </c>
      <c r="DV193" s="20">
        <v>24</v>
      </c>
      <c r="DW193" s="20">
        <v>26</v>
      </c>
      <c r="DX193" s="20">
        <v>26</v>
      </c>
      <c r="DY193" s="20">
        <v>26</v>
      </c>
    </row>
    <row r="194" spans="1:129" x14ac:dyDescent="0.25">
      <c r="A194" s="2"/>
      <c r="B194" s="19"/>
      <c r="C194" s="2"/>
      <c r="F194" s="2"/>
      <c r="G194" s="2"/>
      <c r="H194" s="2"/>
      <c r="I194" s="2"/>
      <c r="J194" s="2"/>
      <c r="K194" s="2"/>
      <c r="DD194" s="20" t="s">
        <v>521</v>
      </c>
      <c r="DE194" s="20">
        <v>0</v>
      </c>
      <c r="DF194" s="20">
        <v>0</v>
      </c>
      <c r="DG194" s="20">
        <v>4</v>
      </c>
      <c r="DH194" s="20">
        <v>8</v>
      </c>
      <c r="DI194" s="20">
        <v>8</v>
      </c>
      <c r="DJ194" s="20">
        <v>12</v>
      </c>
      <c r="DK194" s="20">
        <v>16</v>
      </c>
      <c r="DL194" s="20">
        <v>16</v>
      </c>
      <c r="DM194" s="20">
        <v>20</v>
      </c>
      <c r="DN194" s="20">
        <v>24</v>
      </c>
      <c r="DO194" s="20">
        <v>28</v>
      </c>
      <c r="DP194" s="20">
        <v>28</v>
      </c>
      <c r="DQ194" s="20">
        <v>32</v>
      </c>
      <c r="DR194" s="20">
        <v>36</v>
      </c>
      <c r="DS194" s="20">
        <v>36</v>
      </c>
      <c r="DT194" s="20">
        <v>40</v>
      </c>
      <c r="DU194" s="20">
        <v>44</v>
      </c>
      <c r="DV194" s="20">
        <v>44</v>
      </c>
      <c r="DW194" s="20">
        <v>48</v>
      </c>
      <c r="DX194" s="20">
        <v>52</v>
      </c>
      <c r="DY194" s="20">
        <v>56</v>
      </c>
    </row>
    <row r="195" spans="1:129" x14ac:dyDescent="0.25">
      <c r="DD195" s="26" t="s">
        <v>710</v>
      </c>
      <c r="DE195" s="20">
        <v>0</v>
      </c>
      <c r="DF195" s="20"/>
      <c r="DG195" s="20"/>
      <c r="DH195" s="20"/>
      <c r="DI195" s="20"/>
      <c r="DJ195" s="20"/>
      <c r="DK195" s="20"/>
      <c r="DL195" s="20"/>
      <c r="DM195" s="20"/>
      <c r="DN195" s="20"/>
      <c r="DO195" s="20"/>
      <c r="DP195" s="20"/>
      <c r="DQ195" s="20"/>
      <c r="DR195" s="20"/>
      <c r="DS195" s="20"/>
      <c r="DT195" s="20"/>
      <c r="DU195" s="20"/>
      <c r="DV195" s="20"/>
      <c r="DW195" s="20"/>
      <c r="DX195" s="20"/>
      <c r="DY195" s="20"/>
    </row>
    <row r="196" spans="1:129" x14ac:dyDescent="0.25">
      <c r="DD196" s="26" t="s">
        <v>711</v>
      </c>
      <c r="DE196" s="20">
        <v>0</v>
      </c>
      <c r="DF196" s="20"/>
      <c r="DG196" s="20"/>
      <c r="DH196" s="20"/>
      <c r="DI196" s="20"/>
      <c r="DJ196" s="20"/>
      <c r="DK196" s="20"/>
      <c r="DL196" s="20"/>
      <c r="DM196" s="20"/>
      <c r="DN196" s="20"/>
      <c r="DO196" s="20"/>
      <c r="DP196" s="20"/>
      <c r="DQ196" s="20"/>
      <c r="DR196" s="20"/>
      <c r="DS196" s="20"/>
      <c r="DT196" s="20"/>
      <c r="DU196" s="20"/>
      <c r="DV196" s="20"/>
      <c r="DW196" s="20"/>
      <c r="DX196" s="20"/>
      <c r="DY196" s="20"/>
    </row>
    <row r="197" spans="1:129" x14ac:dyDescent="0.25">
      <c r="DD197" s="26" t="s">
        <v>712</v>
      </c>
      <c r="DE197" s="20">
        <v>0</v>
      </c>
      <c r="DF197" s="20"/>
      <c r="DG197" s="20"/>
      <c r="DH197" s="20"/>
      <c r="DI197" s="20"/>
      <c r="DJ197" s="20"/>
      <c r="DK197" s="20"/>
      <c r="DL197" s="20"/>
      <c r="DM197" s="20"/>
      <c r="DN197" s="20"/>
      <c r="DO197" s="20"/>
      <c r="DP197" s="20"/>
      <c r="DQ197" s="20"/>
      <c r="DR197" s="20"/>
      <c r="DS197" s="20"/>
      <c r="DT197" s="20"/>
      <c r="DU197" s="20"/>
      <c r="DV197" s="20"/>
      <c r="DW197" s="20"/>
      <c r="DX197" s="20"/>
      <c r="DY197" s="20"/>
    </row>
    <row r="198" spans="1:129" x14ac:dyDescent="0.25"/>
  </sheetData>
  <sheetProtection algorithmName="SHA-512" hashValue="Hv6xTYSqoda2g6EODTziznbocqnlDGpokGTV4j1FR/1UML9CPXki8Q4RVZAZJu4PWuCK8KbtgR4IrX6rr79aRg==" saltValue="z/JeQFFHgikD9LLrYD8Dcg==" spinCount="100000" sheet="1" objects="1" scenarios="1"/>
  <mergeCells count="27">
    <mergeCell ref="JI1:JO1"/>
    <mergeCell ref="L173:U173"/>
    <mergeCell ref="F181:I185"/>
    <mergeCell ref="L148:U148"/>
    <mergeCell ref="Y124:AD124"/>
    <mergeCell ref="L1:U1"/>
    <mergeCell ref="L77:U77"/>
    <mergeCell ref="Y64:AD64"/>
    <mergeCell ref="L102:U102"/>
    <mergeCell ref="Y86:AD86"/>
    <mergeCell ref="L127:U127"/>
    <mergeCell ref="F61:I65"/>
    <mergeCell ref="F85:I89"/>
    <mergeCell ref="F111:I115"/>
    <mergeCell ref="F156:I160"/>
    <mergeCell ref="F10:I14"/>
    <mergeCell ref="F35:I39"/>
    <mergeCell ref="AM1:AR1"/>
    <mergeCell ref="L26:U26"/>
    <mergeCell ref="Y21:AD21"/>
    <mergeCell ref="L52:U52"/>
    <mergeCell ref="Y45:AD45"/>
    <mergeCell ref="JI21:JO21"/>
    <mergeCell ref="JI50:JO50"/>
    <mergeCell ref="JI76:JO76"/>
    <mergeCell ref="JI98:JO98"/>
    <mergeCell ref="JI143:JO143"/>
  </mergeCells>
  <phoneticPr fontId="40" type="noConversion"/>
  <conditionalFormatting sqref="F6">
    <cfRule type="expression" dxfId="36" priority="5">
      <formula>IF($E$6="klick",1)</formula>
    </cfRule>
  </conditionalFormatting>
  <conditionalFormatting sqref="F31">
    <cfRule type="expression" dxfId="35" priority="6">
      <formula>IF($E$31="klick",1)</formula>
    </cfRule>
  </conditionalFormatting>
  <conditionalFormatting sqref="F57">
    <cfRule type="expression" dxfId="34" priority="4">
      <formula>IF($E$57="klick",1)</formula>
    </cfRule>
  </conditionalFormatting>
  <conditionalFormatting sqref="F82">
    <cfRule type="expression" dxfId="33" priority="3">
      <formula>IF($E$82="klick",1)</formula>
    </cfRule>
  </conditionalFormatting>
  <conditionalFormatting sqref="F107">
    <cfRule type="expression" dxfId="32" priority="2">
      <formula>IF($E$107="klick",1)</formula>
    </cfRule>
  </conditionalFormatting>
  <conditionalFormatting sqref="F153">
    <cfRule type="expression" dxfId="31" priority="1">
      <formula>IF($E$153="klick",1)</formula>
    </cfRule>
  </conditionalFormatting>
  <dataValidations count="16">
    <dataValidation type="list" allowBlank="1" showInputMessage="1" showErrorMessage="1" sqref="I3 I28 I54 I79 I104 I129 I150 I175" xr:uid="{00000000-0002-0000-0200-000000000000}">
      <formula1>$DB$61:$DB$68</formula1>
    </dataValidation>
    <dataValidation type="list" allowBlank="1" showInputMessage="1" showErrorMessage="1" sqref="E60" xr:uid="{00000000-0002-0000-0200-000001000000}">
      <formula1>$AF$45:$AF$46</formula1>
    </dataValidation>
    <dataValidation type="list" allowBlank="1" showInputMessage="1" showErrorMessage="1" sqref="E111 E10 E85 E35 E61 E156" xr:uid="{00000000-0002-0000-0200-000002000000}">
      <formula1>$AK$22:$AK$24</formula1>
    </dataValidation>
    <dataValidation type="custom" showInputMessage="1" showErrorMessage="1" error="W pierwszej kolejności należy uzupełnić ilość modułów w rzędzie" sqref="C27:C42 C53:C68 C78:C93 C103:C118 C128:C143 C149:C164 C2:C17 C174:C189" xr:uid="{00000000-0002-0000-0200-000003000000}">
      <formula1>A2&gt;0</formula1>
    </dataValidation>
    <dataValidation type="list" allowBlank="1" showInputMessage="1" showErrorMessage="1" sqref="A2:A17 A27:A42 A53:A68 A78:A93 A103:A118 A128:A143 A149:A164 A174:A189" xr:uid="{00000000-0002-0000-0200-000004000000}">
      <formula1>$DB$2:$DB$26</formula1>
    </dataValidation>
    <dataValidation type="list" allowBlank="1" showInputMessage="1" showErrorMessage="1" sqref="E33" xr:uid="{00000000-0002-0000-0200-000005000000}">
      <formula1>$AF$22:$AF$25</formula1>
    </dataValidation>
    <dataValidation type="list" allowBlank="1" showInputMessage="1" showErrorMessage="1" sqref="E83 E58 E32 E108 E133 E154 E7 E178" xr:uid="{00000000-0002-0000-0200-000006000000}">
      <formula1>$AD$1:$AD$2</formula1>
    </dataValidation>
    <dataValidation type="list" allowBlank="1" showInputMessage="1" showErrorMessage="1" sqref="E8" xr:uid="{00000000-0002-0000-0200-000007000000}">
      <formula1>$Y$1:$Y$4</formula1>
    </dataValidation>
    <dataValidation type="list" allowBlank="1" showInputMessage="1" showErrorMessage="1" sqref="E132 E153 E107 E82 E57 E31 E6" xr:uid="{00000000-0002-0000-0200-000008000000}">
      <formula1>$AC$1:$AC$2</formula1>
    </dataValidation>
    <dataValidation type="list" allowBlank="1" showInputMessage="1" showErrorMessage="1" sqref="E5 E30 E56 E81 E106 E131 E152 E177" xr:uid="{00000000-0002-0000-0200-000009000000}">
      <formula1>$AB$1:$AB$2</formula1>
    </dataValidation>
    <dataValidation type="list" allowBlank="1" showInputMessage="1" showErrorMessage="1" sqref="G3 G28 G54 G79 G104 G129 G150 G175" xr:uid="{00000000-0002-0000-0200-00000A000000}">
      <formula1>$AH$22:$AH$29</formula1>
    </dataValidation>
    <dataValidation type="list" allowBlank="1" showInputMessage="1" showErrorMessage="1" sqref="E130" xr:uid="{00000000-0002-0000-0200-00000B000000}">
      <formula1>$Y$107:$Y$110</formula1>
    </dataValidation>
    <dataValidation type="list" allowBlank="1" showInputMessage="1" showErrorMessage="1" sqref="E3 E28 E54 E79 E104 E129 E150 E175" xr:uid="{00000000-0002-0000-0200-00000C000000}">
      <formula1>$AH$30:$AH$47</formula1>
    </dataValidation>
    <dataValidation type="list" allowBlank="1" showInputMessage="1" showErrorMessage="1" sqref="E110" xr:uid="{00000000-0002-0000-0200-00000D000000}">
      <formula1>$AD$106:$AD$109</formula1>
    </dataValidation>
    <dataValidation type="list" allowBlank="1" showInputMessage="1" showErrorMessage="1" sqref="OB17" xr:uid="{589DFCFC-7FB9-4F7F-A97A-06D4F6FCEF60}">
      <formula1>$OC$2:$PB$2</formula1>
    </dataValidation>
    <dataValidation type="list" allowBlank="1" showInputMessage="1" showErrorMessage="1" sqref="E13 E38 E64 E88 E114 E159" xr:uid="{642287FB-7AE7-48D9-84F9-3E3B6E4C29D0}">
      <formula1>$AT$2:$AT$3</formula1>
    </dataValidation>
  </dataValidations>
  <hyperlinks>
    <hyperlink ref="D15" r:id="rId1" xr:uid="{33D501F5-3DB0-424D-A7D6-968448AF78BA}"/>
    <hyperlink ref="D40" r:id="rId2" xr:uid="{B4C60DBD-1640-409F-A453-677571D98010}"/>
    <hyperlink ref="D66" r:id="rId3" xr:uid="{815AAB19-30E7-42A4-835B-838997B7D29F}"/>
    <hyperlink ref="D90" r:id="rId4" xr:uid="{A209A331-1293-46DA-B60C-1C993E750AE1}"/>
    <hyperlink ref="D116" r:id="rId5" xr:uid="{0BAFFC2C-ECCB-48EA-A5D7-ACD907D52658}"/>
    <hyperlink ref="D137" r:id="rId6" xr:uid="{A25A7CDB-1599-4949-9380-036F25C7A7F6}"/>
    <hyperlink ref="D161" r:id="rId7" xr:uid="{2B8E7F03-FB49-40B4-B6DA-394EC77E47FB}"/>
    <hyperlink ref="D182" r:id="rId8" xr:uid="{AD8C53B6-5C2F-409E-9334-5465E053E5B2}"/>
    <hyperlink ref="D138" r:id="rId9" xr:uid="{A316C72D-7BEF-4084-8F3B-901CB2A6EDC2}"/>
  </hyperlinks>
  <pageMargins left="0.7" right="0.7" top="0.75" bottom="0.75" header="0.3" footer="0.3"/>
  <pageSetup paperSize="9" orientation="portrait" r:id="rId10"/>
  <drawing r:id="rId11"/>
  <legacyDrawing r:id="rId1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Arkusz4"/>
  <dimension ref="A1:KN275"/>
  <sheetViews>
    <sheetView showGridLines="0" zoomScale="70" zoomScaleNormal="70" workbookViewId="0">
      <selection activeCell="K45" sqref="K45"/>
    </sheetView>
  </sheetViews>
  <sheetFormatPr defaultColWidth="0" defaultRowHeight="15" zeroHeight="1" x14ac:dyDescent="0.25"/>
  <cols>
    <col min="1" max="1" width="10.7109375" style="1" customWidth="1"/>
    <col min="2" max="2" width="1.85546875" style="1" bestFit="1" customWidth="1"/>
    <col min="3" max="3" width="10.140625" style="1" customWidth="1"/>
    <col min="4" max="4" width="26.7109375" style="1" bestFit="1" customWidth="1"/>
    <col min="5" max="5" width="23.5703125" style="1" bestFit="1" customWidth="1"/>
    <col min="6" max="6" width="2" style="1" bestFit="1" customWidth="1"/>
    <col min="7" max="7" width="10.140625" style="1" bestFit="1" customWidth="1"/>
    <col min="8" max="8" width="2" style="1" bestFit="1" customWidth="1"/>
    <col min="9" max="9" width="3.42578125" style="1" bestFit="1" customWidth="1"/>
    <col min="10" max="10" width="5.42578125" style="1" bestFit="1" customWidth="1"/>
    <col min="11" max="11" width="9.140625" style="1" customWidth="1"/>
    <col min="12" max="12" width="17.85546875" style="1" bestFit="1" customWidth="1"/>
    <col min="13" max="13" width="12.28515625" style="1" bestFit="1" customWidth="1"/>
    <col min="14" max="14" width="7.140625" style="1" bestFit="1" customWidth="1"/>
    <col min="15" max="15" width="9.140625" style="1" bestFit="1" customWidth="1"/>
    <col min="16" max="16" width="13" style="1" bestFit="1" customWidth="1"/>
    <col min="17" max="17" width="15.85546875" style="1" bestFit="1" customWidth="1"/>
    <col min="18" max="18" width="5.7109375" style="1" bestFit="1" customWidth="1"/>
    <col min="19" max="19" width="22.28515625" style="1" bestFit="1" customWidth="1"/>
    <col min="20" max="20" width="25.140625" style="1" bestFit="1" customWidth="1"/>
    <col min="21" max="21" width="13.5703125" style="1" bestFit="1" customWidth="1"/>
    <col min="22" max="23" width="9.140625" style="60" customWidth="1"/>
    <col min="24" max="24" width="10.140625" style="60" bestFit="1" customWidth="1"/>
    <col min="25" max="25" width="9.140625" style="60" customWidth="1"/>
    <col min="26" max="26" width="9.85546875" style="60" bestFit="1" customWidth="1"/>
    <col min="27" max="27" width="11.5703125" style="60" bestFit="1" customWidth="1"/>
    <col min="28" max="31" width="12.5703125" style="60" bestFit="1" customWidth="1"/>
    <col min="32" max="32" width="9.140625" style="60" customWidth="1"/>
    <col min="33" max="37" width="9.140625" style="60" hidden="1" customWidth="1"/>
    <col min="38" max="38" width="16.7109375" style="60" hidden="1" customWidth="1"/>
    <col min="39" max="40" width="3.7109375" style="60" hidden="1" customWidth="1"/>
    <col min="41" max="41" width="24.42578125" style="60" hidden="1" customWidth="1"/>
    <col min="42" max="45" width="3.7109375" style="60" hidden="1" customWidth="1"/>
    <col min="46" max="46" width="4.42578125" style="60" hidden="1" customWidth="1"/>
    <col min="47" max="59" width="3.7109375" style="60" hidden="1" customWidth="1"/>
    <col min="60" max="60" width="5" style="60" hidden="1" customWidth="1"/>
    <col min="61" max="69" width="3.7109375" style="60" hidden="1" customWidth="1"/>
    <col min="70" max="70" width="5.5703125" style="60" hidden="1" customWidth="1"/>
    <col min="71" max="89" width="3.7109375" style="60" hidden="1" customWidth="1"/>
    <col min="90" max="91" width="9.140625" style="60" hidden="1" customWidth="1"/>
    <col min="92" max="112" width="3.7109375" style="60" hidden="1" customWidth="1"/>
    <col min="113" max="142" width="3.28515625" style="60" hidden="1" customWidth="1"/>
    <col min="143" max="145" width="9.140625" style="60" hidden="1" customWidth="1"/>
    <col min="146" max="146" width="12.7109375" style="60" hidden="1" customWidth="1"/>
    <col min="147" max="152" width="9.140625" style="60" hidden="1" customWidth="1"/>
    <col min="153" max="182" width="4.28515625" style="60" hidden="1" customWidth="1"/>
    <col min="183" max="183" width="15.28515625" style="60" hidden="1" customWidth="1"/>
    <col min="184" max="203" width="4.28515625" style="60" hidden="1" customWidth="1"/>
    <col min="204" max="206" width="9.140625" style="60" hidden="1" customWidth="1"/>
    <col min="207" max="207" width="17.7109375" style="60" hidden="1" customWidth="1"/>
    <col min="208" max="208" width="8.42578125" style="60" hidden="1" customWidth="1"/>
    <col min="209" max="209" width="7.7109375" style="60" hidden="1" customWidth="1"/>
    <col min="210" max="210" width="7" style="60" hidden="1" customWidth="1"/>
    <col min="211" max="228" width="3.7109375" style="60" hidden="1" customWidth="1"/>
    <col min="229" max="229" width="9.140625" style="60" hidden="1" customWidth="1"/>
    <col min="230" max="230" width="17.28515625" style="141" hidden="1" customWidth="1"/>
    <col min="231" max="251" width="3.7109375" style="60" hidden="1" customWidth="1"/>
    <col min="252" max="252" width="9.140625" style="60" hidden="1" customWidth="1"/>
    <col min="253" max="253" width="17.7109375" style="60" hidden="1" customWidth="1"/>
    <col min="254" max="274" width="3.7109375" style="60" hidden="1" customWidth="1"/>
    <col min="275" max="300" width="0" style="60" hidden="1" customWidth="1"/>
    <col min="301" max="16384" width="9.140625" style="60" hidden="1"/>
  </cols>
  <sheetData>
    <row r="1" spans="1:69" ht="51.75" x14ac:dyDescent="0.25">
      <c r="A1" s="3" t="s">
        <v>120</v>
      </c>
      <c r="B1" s="3"/>
      <c r="C1" s="3" t="s">
        <v>121</v>
      </c>
      <c r="L1" s="360" t="str">
        <f>IF(E6=$AF$58,"KONSTRUKCJA DP-DTHBS",IF(E6=$AF$59,"KONSTRUKCJA DP-DTHKS",IF(E6=$AF$60,"KONSTRUKCJA DP-DTHWS",IF(E6=$AF$61,"KONSTRUKCJA DP-DTHKS"))))</f>
        <v>KONSTRUKCJA DP-DTHBS</v>
      </c>
      <c r="M1" s="360"/>
      <c r="N1" s="360"/>
      <c r="O1" s="360"/>
      <c r="P1" s="360"/>
      <c r="Q1" s="360"/>
      <c r="R1" s="360"/>
      <c r="S1" s="360"/>
      <c r="T1" s="360"/>
      <c r="U1" s="360"/>
      <c r="AF1" s="63" t="s">
        <v>1231</v>
      </c>
      <c r="AO1" s="63" t="s">
        <v>1205</v>
      </c>
      <c r="AP1" s="63" t="s">
        <v>1206</v>
      </c>
      <c r="AR1" s="63"/>
      <c r="AY1" s="63" t="s">
        <v>1203</v>
      </c>
      <c r="AZ1" s="63" t="s">
        <v>1204</v>
      </c>
      <c r="BH1" s="140" t="s">
        <v>1233</v>
      </c>
      <c r="BI1" s="140" t="s">
        <v>1234</v>
      </c>
      <c r="BP1" s="60" t="s">
        <v>869</v>
      </c>
      <c r="BQ1" s="60" t="s">
        <v>1289</v>
      </c>
    </row>
    <row r="2" spans="1:69" x14ac:dyDescent="0.25">
      <c r="A2" s="8">
        <v>4</v>
      </c>
      <c r="B2" s="5" t="s">
        <v>116</v>
      </c>
      <c r="C2" s="8">
        <v>1</v>
      </c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AF2" s="63" t="s">
        <v>1232</v>
      </c>
      <c r="AO2" s="141" t="s">
        <v>1215</v>
      </c>
      <c r="AP2" s="141" t="s">
        <v>1218</v>
      </c>
      <c r="AY2" s="63" t="s">
        <v>1209</v>
      </c>
      <c r="AZ2" s="63" t="s">
        <v>1207</v>
      </c>
      <c r="BH2" s="60">
        <f>IF(A2=0,0,IF(A2&gt;0,(A2+1)*C2))</f>
        <v>5</v>
      </c>
      <c r="BI2" s="60">
        <f>IF(A2=0,0,IF(A2&gt;0,(A2*2)*C2))</f>
        <v>8</v>
      </c>
      <c r="BN2" s="61" t="s">
        <v>111</v>
      </c>
      <c r="BO2" s="61" t="s">
        <v>1286</v>
      </c>
      <c r="BP2" s="60">
        <f>SUM((A2*C2),(A3*C3),(A4*C4),(A5*C5),(A6*C6),(A7*C7),(A8*C8),(A9*C9),(A10*C10),(A11*C11),(A12*C12),(A13*C13),(A14*C14),(A15*C15),(A16*C16),(A17*C17))</f>
        <v>4</v>
      </c>
      <c r="BQ2" s="60">
        <f>O3*3</f>
        <v>24</v>
      </c>
    </row>
    <row r="3" spans="1:69" x14ac:dyDescent="0.25">
      <c r="A3" s="8"/>
      <c r="B3" s="5" t="s">
        <v>116</v>
      </c>
      <c r="C3" s="8"/>
      <c r="D3" s="6" t="s">
        <v>118</v>
      </c>
      <c r="E3" s="8" t="s">
        <v>763</v>
      </c>
      <c r="F3" s="5" t="s">
        <v>116</v>
      </c>
      <c r="G3" s="8" t="s">
        <v>114</v>
      </c>
      <c r="H3" s="5" t="s">
        <v>116</v>
      </c>
      <c r="I3" s="8">
        <v>30</v>
      </c>
      <c r="J3" s="5" t="s">
        <v>119</v>
      </c>
      <c r="L3" s="5" t="s">
        <v>1281</v>
      </c>
      <c r="M3" s="11">
        <f>INDEX(cennik!$C$2:$L$529,MATCH($L3,cennik!$B$2:$B$522,0),MATCH(M$53,cennik!$C$1:$L$1,0))</f>
        <v>924200</v>
      </c>
      <c r="N3" s="11" t="str">
        <f>INDEX(cennik!$C$2:$L$529,MATCH($L3,cennik!$B$2:$B$522,0),MATCH(N$53,cennik!$C$1:$L$1,0))</f>
        <v>szt.</v>
      </c>
      <c r="O3" s="14">
        <f>IF(E4=AF2,SUM(BI2:BI17),IF(E4=AF1,SUM(BH2:BH17),0))</f>
        <v>8</v>
      </c>
      <c r="P3" s="11">
        <f>INDEX(cennik!$C$2:$L$529,MATCH($L3,cennik!$B$2:$B$522,0),MATCH(P$53,cennik!$C$1:$L$1,0))</f>
        <v>41.97</v>
      </c>
      <c r="Q3" s="14">
        <f>O3*P3</f>
        <v>335.76</v>
      </c>
      <c r="R3" s="14">
        <f>$E$10</f>
        <v>0</v>
      </c>
      <c r="S3" s="34">
        <f>P3*((100-$E$10)/100)</f>
        <v>41.97</v>
      </c>
      <c r="T3" s="14">
        <f>O3*S3</f>
        <v>335.76</v>
      </c>
      <c r="U3" s="34">
        <f>INDEX(cennik!$C$2:$L$529,MATCH($L3,cennik!$B$2:$B$522,0),MATCH(U$53,cennik!$C$1:$L$1,0))*O3</f>
        <v>12.96</v>
      </c>
      <c r="AO3" s="141" t="s">
        <v>1215</v>
      </c>
      <c r="AP3" s="141" t="s">
        <v>1219</v>
      </c>
      <c r="AY3" s="63" t="s">
        <v>1210</v>
      </c>
      <c r="AZ3" s="63" t="s">
        <v>1207</v>
      </c>
      <c r="BH3" s="60">
        <f>IF(A3=0,0,IF(A3&gt;0,(A3+1)*C3))</f>
        <v>0</v>
      </c>
      <c r="BI3" s="60">
        <f t="shared" ref="BI3:BI17" si="0">IF(A3=0,0,IF(A3&gt;0,(A3*2)*C3))</f>
        <v>0</v>
      </c>
      <c r="BN3" s="61" t="s">
        <v>112</v>
      </c>
      <c r="BO3" s="61" t="s">
        <v>1286</v>
      </c>
      <c r="BP3" s="60">
        <f>SUM((A2*C2),(A3*C3),(A4*C4),(A5*C5),(A6*C6),(A7*C7),(A8*C8),(A9*C9),(A10*C10),(A11*C11),(A12*C12),(A13*C13),(A14*C14),(A15*C15),(A16*C16),(A17*C17))</f>
        <v>4</v>
      </c>
      <c r="BQ3" s="60">
        <f>O3*3</f>
        <v>24</v>
      </c>
    </row>
    <row r="4" spans="1:69" x14ac:dyDescent="0.25">
      <c r="A4" s="8"/>
      <c r="B4" s="5" t="s">
        <v>116</v>
      </c>
      <c r="C4" s="8"/>
      <c r="D4" s="6" t="s">
        <v>1203</v>
      </c>
      <c r="E4" s="33" t="s">
        <v>1232</v>
      </c>
      <c r="L4" s="5" t="s">
        <v>1280</v>
      </c>
      <c r="M4" s="11">
        <f>INDEX(cennik!$C$2:$L$529,MATCH($L4,cennik!$B$2:$B$522,0),MATCH(M$53,cennik!$C$1:$L$1,0))</f>
        <v>954500</v>
      </c>
      <c r="N4" s="11" t="str">
        <f>INDEX(cennik!$C$2:$L$529,MATCH($L4,cennik!$B$2:$B$522,0),MATCH(N$53,cennik!$C$1:$L$1,0))</f>
        <v>szt.</v>
      </c>
      <c r="O4" s="14">
        <f>O3</f>
        <v>8</v>
      </c>
      <c r="P4" s="11">
        <f>INDEX(cennik!$C$2:$L$529,MATCH($L4,cennik!$B$2:$B$522,0),MATCH(P$53,cennik!$C$1:$L$1,0))</f>
        <v>44</v>
      </c>
      <c r="Q4" s="14">
        <f t="shared" ref="Q4:Q23" si="1">O4*P4</f>
        <v>352</v>
      </c>
      <c r="R4" s="14">
        <f t="shared" ref="R4:R24" si="2">$E$10</f>
        <v>0</v>
      </c>
      <c r="S4" s="34">
        <f t="shared" ref="S4:S23" si="3">P4*((100-$E$10)/100)</f>
        <v>44</v>
      </c>
      <c r="T4" s="14">
        <f t="shared" ref="T4:T23" si="4">O4*S4</f>
        <v>352</v>
      </c>
      <c r="U4" s="34">
        <f>INDEX(cennik!$C$2:$L$529,MATCH($L4,cennik!$B$2:$B$522,0),MATCH(U$53,cennik!$C$1:$L$1,0))*O4</f>
        <v>14.8</v>
      </c>
      <c r="AF4" s="63" t="s">
        <v>1207</v>
      </c>
      <c r="AO4" s="141" t="s">
        <v>1215</v>
      </c>
      <c r="AP4" s="141" t="s">
        <v>1220</v>
      </c>
      <c r="AY4" s="63" t="s">
        <v>1210</v>
      </c>
      <c r="AZ4" s="63" t="s">
        <v>1208</v>
      </c>
      <c r="BH4" s="60">
        <f t="shared" ref="BH4:BH17" si="5">IF(A4=0,0,IF(A4&gt;0,(A4+1)*C4))</f>
        <v>0</v>
      </c>
      <c r="BI4" s="60">
        <f t="shared" si="0"/>
        <v>0</v>
      </c>
      <c r="BN4" s="61" t="s">
        <v>132</v>
      </c>
      <c r="BO4" s="61" t="s">
        <v>1287</v>
      </c>
      <c r="BP4" s="60">
        <f>SUM((A2*C2),(A3*C3),(A4*C4),(A5*C5),(A6*C6),(A7*C7),(A8*C8),(A9*C9),(A10*C10),(A11*C11),(A12*C12),(A13*C13),(A14*C14),(A15*C15),(A16*C16),(A17*C17))</f>
        <v>4</v>
      </c>
      <c r="BQ4" s="60">
        <f>O3*3</f>
        <v>24</v>
      </c>
    </row>
    <row r="5" spans="1:69" x14ac:dyDescent="0.25">
      <c r="A5" s="8"/>
      <c r="B5" s="5" t="s">
        <v>116</v>
      </c>
      <c r="C5" s="8"/>
      <c r="D5" s="6" t="s">
        <v>1204</v>
      </c>
      <c r="E5" s="33" t="s">
        <v>1208</v>
      </c>
      <c r="F5" s="135" t="str">
        <f>IF(AND(E4=AF1,E5=AF5),"należy zmienić wartość na klemy",IF(AND(E4&lt;&gt;AF1,E5&lt;&gt;AP19),"",""))</f>
        <v/>
      </c>
      <c r="K5" s="1" t="s">
        <v>1290</v>
      </c>
      <c r="L5" s="52" t="s">
        <v>1127</v>
      </c>
      <c r="M5" s="11" t="e">
        <f>INDEX(cennik!$C$2:$L$529,MATCH($L5,cennik!$B$2:$B$522,0),MATCH(M$53,cennik!$C$1:$L$1,0))</f>
        <v>#N/A</v>
      </c>
      <c r="N5" s="11" t="e">
        <f>INDEX(cennik!$C$2:$L$529,MATCH($L5,cennik!$B$2:$B$522,0),MATCH(N$53,cennik!$C$1:$L$1,0))</f>
        <v>#N/A</v>
      </c>
      <c r="O5" s="14">
        <f>E9</f>
        <v>0</v>
      </c>
      <c r="P5" s="11" t="e">
        <f>INDEX(cennik!$C$2:$L$529,MATCH($L5,cennik!$B$2:$B$522,0),MATCH(P$53,cennik!$C$1:$L$1,0))</f>
        <v>#N/A</v>
      </c>
      <c r="Q5" s="14" t="e">
        <f t="shared" si="1"/>
        <v>#N/A</v>
      </c>
      <c r="R5" s="14">
        <f t="shared" si="2"/>
        <v>0</v>
      </c>
      <c r="S5" s="34" t="e">
        <f>P5*((100-$E$10)/100)</f>
        <v>#N/A</v>
      </c>
      <c r="T5" s="14" t="e">
        <f t="shared" si="4"/>
        <v>#N/A</v>
      </c>
      <c r="U5" s="34" t="e">
        <f>INDEX(cennik!$C$2:$L$529,MATCH($L5,cennik!$B$2:$B$522,0),MATCH(U$53,cennik!$C$1:$L$1,0))*O5</f>
        <v>#N/A</v>
      </c>
      <c r="AF5" s="63" t="s">
        <v>1208</v>
      </c>
      <c r="AO5" s="141" t="s">
        <v>1216</v>
      </c>
      <c r="AP5" s="60" t="s">
        <v>1221</v>
      </c>
      <c r="BH5" s="60">
        <f t="shared" si="5"/>
        <v>0</v>
      </c>
      <c r="BI5" s="60">
        <f t="shared" si="0"/>
        <v>0</v>
      </c>
      <c r="BN5" s="61" t="s">
        <v>470</v>
      </c>
      <c r="BO5" s="61" t="s">
        <v>1287</v>
      </c>
      <c r="BP5" s="60">
        <f>SUM((A2*C2),(A3*C3),(A4*C4),(A5*C5),(A6*C6),(A7*C7),(A8*C8),(A9*C9),(A10*C10),(A11*C11),(A12*C12),(A13*C13),(A14*C14),(A15*C15),(A16*C16),(A17*C17))</f>
        <v>4</v>
      </c>
      <c r="BQ5" s="60">
        <f>O3*3</f>
        <v>24</v>
      </c>
    </row>
    <row r="6" spans="1:69" x14ac:dyDescent="0.25">
      <c r="A6" s="8"/>
      <c r="B6" s="5" t="s">
        <v>116</v>
      </c>
      <c r="C6" s="8"/>
      <c r="D6" s="6" t="s">
        <v>307</v>
      </c>
      <c r="E6" s="33" t="s">
        <v>1211</v>
      </c>
      <c r="L6" s="52" t="str">
        <f>INDEX(($BO$2:$BO$19),MATCH($E$3,$BN$2:$BN$19,0),1,1)</f>
        <v>OWN20/2,12NMC</v>
      </c>
      <c r="M6" s="11">
        <f>INDEX(cennik!$C$2:$L$529,MATCH($L6,cennik!$B$2:$B$522,0),MATCH(M$53,cennik!$C$1:$L$1,0))</f>
        <v>8520215</v>
      </c>
      <c r="N6" s="11" t="str">
        <f>INDEX(cennik!$C$2:$L$529,MATCH($L6,cennik!$B$2:$B$522,0),MATCH(N$53,cennik!$C$1:$L$1,0))</f>
        <v>szt.</v>
      </c>
      <c r="O6" s="11">
        <f>INDEX(($BP$2:$BP$19),MATCH($E$3,$BN$2:$BN$19,0),1,1)</f>
        <v>5</v>
      </c>
      <c r="P6" s="11">
        <f>INDEX(cennik!$C$2:$L$529,MATCH($L6,cennik!$B$2:$B$522,0),MATCH(P$53,cennik!$C$1:$L$1,0))</f>
        <v>54.3</v>
      </c>
      <c r="Q6" s="14">
        <f t="shared" si="1"/>
        <v>271.5</v>
      </c>
      <c r="R6" s="14">
        <f t="shared" si="2"/>
        <v>0</v>
      </c>
      <c r="S6" s="34">
        <f t="shared" si="3"/>
        <v>54.3</v>
      </c>
      <c r="T6" s="14">
        <f t="shared" si="4"/>
        <v>271.5</v>
      </c>
      <c r="U6" s="34">
        <f>INDEX(cennik!$C$2:$L$529,MATCH($L6,cennik!$B$2:$B$522,0),MATCH(U$53,cennik!$C$1:$L$1,0))*O6</f>
        <v>18</v>
      </c>
      <c r="AF6" s="63"/>
      <c r="AO6" s="141" t="s">
        <v>1217</v>
      </c>
      <c r="AP6" s="141" t="s">
        <v>1218</v>
      </c>
      <c r="AY6" s="60" t="str" cm="1">
        <f t="array" aca="1" ref="AY6:AY7" ca="1">OFFSET(AZ1,MATCH(E4,AY2:AY4,0),0,COUNTIF(AY2:AY4,E4),1)</f>
        <v>klemy</v>
      </c>
      <c r="BH6" s="60">
        <f t="shared" si="5"/>
        <v>0</v>
      </c>
      <c r="BI6" s="60">
        <f t="shared" si="0"/>
        <v>0</v>
      </c>
      <c r="BN6" s="61" t="s">
        <v>472</v>
      </c>
      <c r="BO6" s="61" t="s">
        <v>1287</v>
      </c>
      <c r="BP6" s="60">
        <f>SUM((A2*C2),(A3*C3),(A4*C4),(A5*C5),(A6*C6),(A7*C7),(A8*C8),(A9*C9),(A10*C10),(A11*C11),(A12*C12),(A13*C13),(A14*C14),(A15*C15),(A16*C16),(A17*C17))</f>
        <v>4</v>
      </c>
      <c r="BQ6" s="60">
        <f>O3*3</f>
        <v>24</v>
      </c>
    </row>
    <row r="7" spans="1:69" x14ac:dyDescent="0.25">
      <c r="A7" s="8"/>
      <c r="B7" s="5" t="s">
        <v>116</v>
      </c>
      <c r="C7" s="8"/>
      <c r="D7" s="6" t="s">
        <v>1205</v>
      </c>
      <c r="E7" s="33" t="s">
        <v>1217</v>
      </c>
      <c r="F7" s="17" t="str">
        <f>IF(AND(E6=AF7,E7="-"),"należy wskazać typ balastu",IF(AND(E6&lt;&gt;AF7,E7&lt;&gt;AP19),"należy zmienić wartość na -",""))</f>
        <v/>
      </c>
      <c r="L7" s="5" t="s">
        <v>1223</v>
      </c>
      <c r="M7" s="11">
        <f>INDEX(cennik!$C$2:$L$529,MATCH($L7,cennik!$B$2:$B$522,0),MATCH(M$53,cennik!$C$1:$L$1,0))</f>
        <v>894819</v>
      </c>
      <c r="N7" s="11" t="str">
        <f>INDEX(cennik!$C$2:$L$529,MATCH($L7,cennik!$B$2:$B$522,0),MATCH(N$53,cennik!$C$1:$L$1,0))</f>
        <v>szt.</v>
      </c>
      <c r="O7" s="14">
        <f>INDEX(($BQ$2:$BQ$19),MATCH($E$3,$BN$2:$BN$19,0),1,1)</f>
        <v>36</v>
      </c>
      <c r="P7" s="11">
        <f>INDEX(cennik!$C$2:$L$529,MATCH($L7,cennik!$B$2:$B$522,0),MATCH(P$53,cennik!$C$1:$L$1,0))</f>
        <v>1.85</v>
      </c>
      <c r="Q7" s="14">
        <f t="shared" si="1"/>
        <v>66.600000000000009</v>
      </c>
      <c r="R7" s="14">
        <f t="shared" si="2"/>
        <v>0</v>
      </c>
      <c r="S7" s="34">
        <f t="shared" si="3"/>
        <v>1.85</v>
      </c>
      <c r="T7" s="14">
        <f t="shared" si="4"/>
        <v>66.600000000000009</v>
      </c>
      <c r="U7" s="34">
        <f>INDEX(cennik!$C$2:$L$529,MATCH($L7,cennik!$B$2:$B$522,0),MATCH(U$53,cennik!$C$1:$L$1,0))*O7</f>
        <v>0.36</v>
      </c>
      <c r="AF7" s="141" t="s">
        <v>1211</v>
      </c>
      <c r="AH7" s="141" t="s">
        <v>1215</v>
      </c>
      <c r="AK7" s="141" t="s">
        <v>1218</v>
      </c>
      <c r="AO7" s="141" t="s">
        <v>1217</v>
      </c>
      <c r="AP7" s="141" t="s">
        <v>1219</v>
      </c>
      <c r="AY7" s="60" t="str">
        <f ca="1"/>
        <v>śruby</v>
      </c>
      <c r="BH7" s="60">
        <f t="shared" si="5"/>
        <v>0</v>
      </c>
      <c r="BI7" s="60">
        <f t="shared" si="0"/>
        <v>0</v>
      </c>
      <c r="BN7" s="61" t="s">
        <v>471</v>
      </c>
      <c r="BO7" s="61" t="s">
        <v>1287</v>
      </c>
      <c r="BP7" s="60">
        <f>SUM((A2*C2),(A3*C3),(A4*C4),(A5*C5),(A6*C6),(A7*C7),(A8*C8),(A9*C9),(A10*C10),(A11*C11),(A12*C12),(A13*C13),(A14*C14),(A15*C15),(A16*C16),(A17*C17))</f>
        <v>4</v>
      </c>
      <c r="BQ7" s="60">
        <f>O3*3</f>
        <v>24</v>
      </c>
    </row>
    <row r="8" spans="1:69" x14ac:dyDescent="0.25">
      <c r="A8" s="8"/>
      <c r="B8" s="5" t="s">
        <v>116</v>
      </c>
      <c r="C8" s="8"/>
      <c r="D8" s="6" t="s">
        <v>1206</v>
      </c>
      <c r="E8" s="33" t="s">
        <v>1219</v>
      </c>
      <c r="F8" s="17" t="str">
        <f>IF(AND(E7&lt;&gt;AH8,E7&lt;&gt;AH10,E8="-"),"należy wskazać typ separatora",IF(AND(E7=AH8,E8&lt;&gt;AP19),"należy zmienić wartość na -",IF(AND(E7=AH10,E8&lt;&gt;AP19),"należy zmienić wartość na -","")))</f>
        <v/>
      </c>
      <c r="L8" s="5" t="str">
        <f>IF(E7=AH8,"SKRB95","PBK40MC")</f>
        <v>PBK40MC</v>
      </c>
      <c r="M8" s="11">
        <f>INDEX(cennik!$C$2:$L$529,MATCH($L8,cennik!$B$2:$B$522,0),MATCH(M$53,cennik!$C$1:$L$1,0))</f>
        <v>858440</v>
      </c>
      <c r="N8" s="11" t="str">
        <f>INDEX(cennik!$C$2:$L$529,MATCH($L8,cennik!$B$2:$B$522,0),MATCH(N$53,cennik!$C$1:$L$1,0))</f>
        <v>szt.</v>
      </c>
      <c r="O8" s="14">
        <f>IF(E7=$AH$8,O3*2,IF(E7=$AH$10,O3*2,0))</f>
        <v>0</v>
      </c>
      <c r="P8" s="11">
        <f>INDEX(cennik!$C$2:$L$529,MATCH($L8,cennik!$B$2:$B$522,0),MATCH(P$53,cennik!$C$1:$L$1,0))</f>
        <v>16.440000000000001</v>
      </c>
      <c r="Q8" s="14">
        <f t="shared" si="1"/>
        <v>0</v>
      </c>
      <c r="R8" s="14">
        <f t="shared" si="2"/>
        <v>0</v>
      </c>
      <c r="S8" s="34">
        <f t="shared" si="3"/>
        <v>16.440000000000001</v>
      </c>
      <c r="T8" s="14">
        <f t="shared" si="4"/>
        <v>0</v>
      </c>
      <c r="U8" s="34">
        <f>INDEX(cennik!$C$2:$L$529,MATCH($L8,cennik!$B$2:$B$522,0),MATCH(U$53,cennik!$C$1:$L$1,0))*O8</f>
        <v>0</v>
      </c>
      <c r="AF8" s="141" t="s">
        <v>1212</v>
      </c>
      <c r="AH8" s="141" t="s">
        <v>1216</v>
      </c>
      <c r="AK8" s="141" t="s">
        <v>1219</v>
      </c>
      <c r="AO8" s="141" t="s">
        <v>1217</v>
      </c>
      <c r="AP8" s="141" t="s">
        <v>1220</v>
      </c>
      <c r="BH8" s="60">
        <f t="shared" si="5"/>
        <v>0</v>
      </c>
      <c r="BI8" s="60">
        <f t="shared" si="0"/>
        <v>0</v>
      </c>
      <c r="BN8" s="61" t="s">
        <v>473</v>
      </c>
      <c r="BO8" s="61" t="s">
        <v>1287</v>
      </c>
      <c r="BP8" s="60">
        <f>SUM((A2*C2),(A3*C3),(A4*C4),(A5*C5),(A6*C6),(A7*C7),(A8*C8),(A9*C9),(A10*C10),(A11*C11),(A12*C12),(A13*C13),(A14*C14),(A15*C15),(A16*C16),(A17*C17))</f>
        <v>4</v>
      </c>
      <c r="BQ8" s="60">
        <f>O3*3</f>
        <v>24</v>
      </c>
    </row>
    <row r="9" spans="1:69" x14ac:dyDescent="0.25">
      <c r="A9" s="8"/>
      <c r="B9" s="5" t="s">
        <v>116</v>
      </c>
      <c r="C9" s="8"/>
      <c r="D9" s="6" t="s">
        <v>1235</v>
      </c>
      <c r="E9" s="33">
        <v>0</v>
      </c>
      <c r="L9" s="5" t="s">
        <v>1225</v>
      </c>
      <c r="M9" s="11" t="e">
        <f>INDEX(cennik!$C$2:$L$529,MATCH($L9,cennik!$B$2:$B$522,0),MATCH(M$53,cennik!$C$1:$L$1,0))</f>
        <v>#N/A</v>
      </c>
      <c r="N9" s="11" t="e">
        <f>INDEX(cennik!$C$2:$L$529,MATCH($L9,cennik!$B$2:$B$522,0),MATCH(N$53,cennik!$C$1:$L$1,0))</f>
        <v>#N/A</v>
      </c>
      <c r="O9" s="14">
        <f>IF(E8=$AK$9,O3*2,0)</f>
        <v>0</v>
      </c>
      <c r="P9" s="11" t="e">
        <f>INDEX(cennik!$C$2:$L$529,MATCH($L9,cennik!$B$2:$B$522,0),MATCH(P$53,cennik!$C$1:$L$1,0))</f>
        <v>#N/A</v>
      </c>
      <c r="Q9" s="14" t="e">
        <f t="shared" si="1"/>
        <v>#N/A</v>
      </c>
      <c r="R9" s="14">
        <f t="shared" si="2"/>
        <v>0</v>
      </c>
      <c r="S9" s="34" t="e">
        <f t="shared" si="3"/>
        <v>#N/A</v>
      </c>
      <c r="T9" s="14" t="e">
        <f t="shared" si="4"/>
        <v>#N/A</v>
      </c>
      <c r="U9" s="34" t="e">
        <f>INDEX(cennik!$C$2:$L$529,MATCH($L9,cennik!$B$2:$B$522,0),MATCH(U$53,cennik!$C$1:$L$1,0))*O9</f>
        <v>#N/A</v>
      </c>
      <c r="AF9" s="141" t="s">
        <v>1213</v>
      </c>
      <c r="AH9" s="141" t="s">
        <v>1217</v>
      </c>
      <c r="AK9" s="141" t="s">
        <v>1220</v>
      </c>
      <c r="AO9" s="141" t="s">
        <v>1285</v>
      </c>
      <c r="AP9" s="60" t="s">
        <v>1221</v>
      </c>
      <c r="BH9" s="60">
        <f t="shared" si="5"/>
        <v>0</v>
      </c>
      <c r="BI9" s="60">
        <f t="shared" si="0"/>
        <v>0</v>
      </c>
      <c r="BN9" s="61" t="s">
        <v>113</v>
      </c>
      <c r="BO9" s="61" t="s">
        <v>1287</v>
      </c>
      <c r="BP9" s="60">
        <f>SUM((A2*C2),(A3*C3),(A4*C4),(A5*C5),(A6*C6),(A7*C7),(A8*C8),(A9*C9),(A10*C10),(A11*C11),(A12*C12),(A13*C13),(A14*C14),(A15*C15),(A16*C16),(A17*C17))</f>
        <v>4</v>
      </c>
      <c r="BQ9" s="60">
        <f>O3*3</f>
        <v>24</v>
      </c>
    </row>
    <row r="10" spans="1:69" x14ac:dyDescent="0.25">
      <c r="A10" s="8"/>
      <c r="B10" s="5" t="s">
        <v>116</v>
      </c>
      <c r="C10" s="8"/>
      <c r="D10" s="6" t="s">
        <v>162</v>
      </c>
      <c r="E10" s="8">
        <v>0</v>
      </c>
      <c r="L10" s="5" t="str">
        <f>INDEX(($AE$201:$AF$201),1,MATCH(E11,$AE$190:$AF$190,0),1)</f>
        <v>PUFK</v>
      </c>
      <c r="M10" s="11">
        <f>INDEX(cennik!$C$2:$L$529,MATCH($L10,cennik!$B$2:$B$522,0),MATCH(M$53,cennik!$C$1:$L$1,0))</f>
        <v>890300</v>
      </c>
      <c r="N10" s="11" t="str">
        <f>INDEX(cennik!$C$2:$L$529,MATCH($L10,cennik!$B$2:$B$522,0),MATCH(N$53,cennik!$C$1:$L$1,0))</f>
        <v>szt.</v>
      </c>
      <c r="O10" s="14">
        <f>IF($E$4=$AF$2,AH15,IF($E$4=$AF$1,AH14,0))</f>
        <v>0</v>
      </c>
      <c r="P10" s="11">
        <f>INDEX(cennik!$C$2:$L$529,MATCH($L10,cennik!$B$2:$B$522,0),MATCH(P$53,cennik!$C$1:$L$1,0))</f>
        <v>7.31</v>
      </c>
      <c r="Q10" s="14">
        <f t="shared" si="1"/>
        <v>0</v>
      </c>
      <c r="R10" s="14">
        <f t="shared" si="2"/>
        <v>0</v>
      </c>
      <c r="S10" s="34">
        <f t="shared" si="3"/>
        <v>7.31</v>
      </c>
      <c r="T10" s="14">
        <f t="shared" si="4"/>
        <v>0</v>
      </c>
      <c r="U10" s="34">
        <f>INDEX(cennik!$C$2:$L$529,MATCH($L10,cennik!$B$2:$B$522,0),MATCH(U$53,cennik!$C$1:$L$1,0))*O10</f>
        <v>0</v>
      </c>
      <c r="AF10" s="141" t="s">
        <v>1214</v>
      </c>
      <c r="AH10" s="141" t="s">
        <v>1285</v>
      </c>
      <c r="AO10" s="60" t="str" cm="1">
        <f t="array" aca="1" ref="AO10:AO12" ca="1">OFFSET(AP1,MATCH(E7,AO2:AO9,0),0,COUNTIF(AO2:AO9,E7),1)</f>
        <v>guma SBV95x1100</v>
      </c>
      <c r="BH10" s="60">
        <f t="shared" si="5"/>
        <v>0</v>
      </c>
      <c r="BI10" s="60">
        <f t="shared" si="0"/>
        <v>0</v>
      </c>
      <c r="BN10" s="61" t="s">
        <v>137</v>
      </c>
      <c r="BO10" s="61" t="s">
        <v>1287</v>
      </c>
      <c r="BP10" s="60">
        <f>SUM((A2*C2),(A3*C3),(A4*C4),(A5*C5),(A6*C6),(A7*C7),(A8*C8),(A9*C9),(A10*C10),(A11*C11),(A12*C12),(A13*C13),(A14*C14),(A15*C15),(A16*C16),(A17*C17))</f>
        <v>4</v>
      </c>
      <c r="BQ10" s="60">
        <f>O3*3</f>
        <v>24</v>
      </c>
    </row>
    <row r="11" spans="1:69" x14ac:dyDescent="0.25">
      <c r="A11" s="8"/>
      <c r="B11" s="5" t="s">
        <v>116</v>
      </c>
      <c r="C11" s="8"/>
      <c r="D11" s="6" t="s">
        <v>124</v>
      </c>
      <c r="E11" s="8" t="s">
        <v>125</v>
      </c>
      <c r="L11" s="5" t="str">
        <f>INDEX(($AE$191:$AF$201),MATCH(I3,$AD$191:$AD$200,0),MATCH(E11,$AE$190:$AF$190,0),1)</f>
        <v>BUFK30</v>
      </c>
      <c r="M11" s="11">
        <f>INDEX(cennik!$C$2:$L$529,MATCH($L11,cennik!$B$2:$B$522,0),MATCH(M$53,cennik!$C$1:$L$1,0))</f>
        <v>897430</v>
      </c>
      <c r="N11" s="11" t="str">
        <f>INDEX(cennik!$C$2:$L$529,MATCH($L11,cennik!$B$2:$B$522,0),MATCH(N$53,cennik!$C$1:$L$1,0))</f>
        <v>szt.</v>
      </c>
      <c r="O11" s="14">
        <f>IF($E$55=$AF$53,AI15,IF($E$55=$AF$52,AI14,0))</f>
        <v>0</v>
      </c>
      <c r="P11" s="11">
        <f>INDEX(cennik!$C$2:$L$529,MATCH($L11,cennik!$B$2:$B$522,0),MATCH(P$53,cennik!$C$1:$L$1,0))</f>
        <v>5.87</v>
      </c>
      <c r="Q11" s="14">
        <f t="shared" si="1"/>
        <v>0</v>
      </c>
      <c r="R11" s="14">
        <f t="shared" si="2"/>
        <v>0</v>
      </c>
      <c r="S11" s="34">
        <f t="shared" si="3"/>
        <v>5.87</v>
      </c>
      <c r="T11" s="14">
        <f t="shared" si="4"/>
        <v>0</v>
      </c>
      <c r="U11" s="34">
        <f>INDEX(cennik!$C$2:$L$529,MATCH($L11,cennik!$B$2:$B$522,0),MATCH(U$53,cennik!$C$1:$L$1,0))*O11</f>
        <v>0</v>
      </c>
      <c r="AO11" s="60" t="str">
        <f ca="1"/>
        <v>podstawka PC100P</v>
      </c>
      <c r="BH11" s="60">
        <f t="shared" si="5"/>
        <v>0</v>
      </c>
      <c r="BI11" s="60">
        <f t="shared" si="0"/>
        <v>0</v>
      </c>
      <c r="BN11" s="61" t="s">
        <v>138</v>
      </c>
      <c r="BO11" s="61" t="s">
        <v>1288</v>
      </c>
      <c r="BP11" s="60">
        <f>SUM((A2*C2),(A3*C3),(A4*C4),(A5*C5),(A6*C6),(A7*C7),(A8*C8),(A9*C9),(A10*C10),(A11*C11),(A12*C12),(A13*C13),(A14*C14),(A15*C15),(A16*C16),(A17*C17))</f>
        <v>4</v>
      </c>
      <c r="BQ11" s="60">
        <f>O3*3</f>
        <v>24</v>
      </c>
    </row>
    <row r="12" spans="1:69" x14ac:dyDescent="0.25">
      <c r="A12" s="8"/>
      <c r="B12" s="5" t="s">
        <v>116</v>
      </c>
      <c r="C12" s="8"/>
      <c r="L12" s="5" t="s">
        <v>602</v>
      </c>
      <c r="M12" s="11">
        <f>INDEX(cennik!$C$2:$L$529,MATCH($L12,cennik!$B$2:$B$522,0),MATCH(M$53,cennik!$C$1:$L$1,0))</f>
        <v>858024</v>
      </c>
      <c r="N12" s="11" t="str">
        <f>INDEX(cennik!$C$2:$L$529,MATCH($L12,cennik!$B$2:$B$522,0),MATCH(N$53,cennik!$C$1:$L$1,0))</f>
        <v>szt.</v>
      </c>
      <c r="O12" s="14">
        <f>IF(E6=AF8,O3,0)</f>
        <v>0</v>
      </c>
      <c r="P12" s="11">
        <f>INDEX(cennik!$C$2:$L$529,MATCH($L12,cennik!$B$2:$B$522,0),MATCH(P$53,cennik!$C$1:$L$1,0))</f>
        <v>37.4</v>
      </c>
      <c r="Q12" s="14">
        <f t="shared" si="1"/>
        <v>0</v>
      </c>
      <c r="R12" s="14">
        <f t="shared" si="2"/>
        <v>0</v>
      </c>
      <c r="S12" s="34">
        <f t="shared" si="3"/>
        <v>37.4</v>
      </c>
      <c r="T12" s="14">
        <f t="shared" si="4"/>
        <v>0</v>
      </c>
      <c r="U12" s="34">
        <f>INDEX(cennik!$C$2:$L$529,MATCH($L12,cennik!$B$2:$B$522,0),MATCH(U$53,cennik!$C$1:$L$1,0))*O12</f>
        <v>0</v>
      </c>
      <c r="AO12" s="60" t="str">
        <f ca="1"/>
        <v>stopa regulowana SKR95</v>
      </c>
      <c r="BH12" s="60">
        <f t="shared" si="5"/>
        <v>0</v>
      </c>
      <c r="BI12" s="60">
        <f t="shared" si="0"/>
        <v>0</v>
      </c>
      <c r="BN12" s="61" t="s">
        <v>478</v>
      </c>
      <c r="BO12" s="61" t="s">
        <v>1288</v>
      </c>
      <c r="BP12" s="60">
        <f>SUM((A2*C2),(A3*C3),(A4*C4),(A5*C5),(A6*C6),(A7*C7),(A8*C8),(A9*C9),(A10*C10),(A11*C11),(A12*C12),(A13*C13),(A14*C14),(A15*C15),(A16*C16),(A17*C17))</f>
        <v>4</v>
      </c>
      <c r="BQ12" s="60">
        <f>O3*3</f>
        <v>24</v>
      </c>
    </row>
    <row r="13" spans="1:69" x14ac:dyDescent="0.25">
      <c r="A13" s="8"/>
      <c r="B13" s="5" t="s">
        <v>116</v>
      </c>
      <c r="C13" s="8"/>
      <c r="L13" s="5" t="s">
        <v>1226</v>
      </c>
      <c r="M13" s="11">
        <f>INDEX(cennik!$C$2:$L$529,MATCH($L13,cennik!$B$2:$B$522,0),MATCH(M$53,cennik!$C$1:$L$1,0))</f>
        <v>1618235</v>
      </c>
      <c r="N13" s="11" t="str">
        <f>INDEX(cennik!$C$2:$L$529,MATCH($L13,cennik!$B$2:$B$522,0),MATCH(N$53,cennik!$C$1:$L$1,0))</f>
        <v>mb.</v>
      </c>
      <c r="O13" s="14">
        <f>(ROUNDUP((IF(E7=AH7,(SUM((A2*C2),(A3*C3),(A4*C4),(A5*C5),(A6*C6),(A7*C7),(A8*C8),(A9*C9),(A10*C10),(A11*C11),(A12*C12),(A13*C13),(A14*C14),(A15*C15),(A16*C16),(A17*C17)))*(AF13/1000),0))/3,0))*3</f>
        <v>0</v>
      </c>
      <c r="P13" s="11">
        <f>INDEX(cennik!$C$2:$L$529,MATCH($L13,cennik!$B$2:$B$522,0),MATCH(P$53,cennik!$C$1:$L$1,0))</f>
        <v>42.28</v>
      </c>
      <c r="Q13" s="14">
        <f t="shared" si="1"/>
        <v>0</v>
      </c>
      <c r="R13" s="14">
        <f t="shared" si="2"/>
        <v>0</v>
      </c>
      <c r="S13" s="34">
        <f t="shared" si="3"/>
        <v>42.28</v>
      </c>
      <c r="T13" s="14">
        <f t="shared" si="4"/>
        <v>0</v>
      </c>
      <c r="U13" s="34">
        <f>INDEX(cennik!$C$2:$L$529,MATCH($L13,cennik!$B$2:$B$522,0),MATCH(U$53,cennik!$C$1:$L$1,0))*O13</f>
        <v>0</v>
      </c>
      <c r="AF13" s="60" cm="1">
        <f t="array" ref="AF13">INDEX(($Y$109:$Y$126),MATCH(E3,$X$109:$X$126,0),0)</f>
        <v>2350</v>
      </c>
      <c r="AH13" s="60" t="s">
        <v>1255</v>
      </c>
      <c r="AI13" s="60" t="s">
        <v>1256</v>
      </c>
      <c r="BH13" s="60">
        <f t="shared" si="5"/>
        <v>0</v>
      </c>
      <c r="BI13" s="60">
        <f t="shared" si="0"/>
        <v>0</v>
      </c>
      <c r="BN13" s="61" t="s">
        <v>479</v>
      </c>
      <c r="BO13" s="61" t="s">
        <v>1288</v>
      </c>
      <c r="BP13" s="60">
        <f>SUM((A2*C2),(A3*C3),(A4*C4),(A5*C5),(A6*C6),(A7*C7),(A8*C8),(A9*C9),(A10*C10),(A11*C11),(A12*C12),(A13*C13),(A14*C14),(A15*C15),(A16*C16),(A17*C17))</f>
        <v>4</v>
      </c>
      <c r="BQ13" s="60">
        <f>O3*3</f>
        <v>24</v>
      </c>
    </row>
    <row r="14" spans="1:69" x14ac:dyDescent="0.25">
      <c r="A14" s="8"/>
      <c r="B14" s="5" t="s">
        <v>116</v>
      </c>
      <c r="C14" s="8"/>
      <c r="L14" s="5" t="str">
        <f>IF(E8=AK7,"SBV95x1100",IF(E7=AH10,"SBV250X350","SBV95x1100"))</f>
        <v>SBV95x1100</v>
      </c>
      <c r="M14" s="11">
        <f>INDEX(cennik!$C$2:$L$529,MATCH($L14,cennik!$B$2:$B$522,0),MATCH(M$53,cennik!$C$1:$L$1,0))</f>
        <v>895511</v>
      </c>
      <c r="N14" s="11" t="str">
        <f>INDEX(cennik!$C$2:$L$529,MATCH($L14,cennik!$B$2:$B$522,0),MATCH(N$53,cennik!$C$1:$L$1,0))</f>
        <v>szt.</v>
      </c>
      <c r="O14" s="14">
        <f>IF(E8=$AP$2,O3*2,IF(E7=$AH$10,O8,0))</f>
        <v>0</v>
      </c>
      <c r="P14" s="11">
        <f>INDEX(cennik!$C$2:$L$529,MATCH($L14,cennik!$B$2:$B$522,0),MATCH(P$53,cennik!$C$1:$L$1,0))</f>
        <v>4.8</v>
      </c>
      <c r="Q14" s="14">
        <f t="shared" si="1"/>
        <v>0</v>
      </c>
      <c r="R14" s="14">
        <f t="shared" si="2"/>
        <v>0</v>
      </c>
      <c r="S14" s="34">
        <f t="shared" si="3"/>
        <v>4.8</v>
      </c>
      <c r="T14" s="14">
        <f t="shared" si="4"/>
        <v>0</v>
      </c>
      <c r="U14" s="34">
        <f>INDEX(cennik!$C$2:$L$529,MATCH($L14,cennik!$B$2:$B$522,0),MATCH(U$53,cennik!$C$1:$L$1,0))*O14</f>
        <v>0</v>
      </c>
      <c r="AG14" s="60" t="s">
        <v>1257</v>
      </c>
      <c r="AH14" s="60">
        <f>IF(E5=AF5,0,IF(E5=AF4,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))</f>
        <v>0</v>
      </c>
      <c r="AI14" s="60">
        <f>IF(E5=AF5,0,IF(E5=AF4,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))</f>
        <v>0</v>
      </c>
      <c r="AO14" s="63" t="s">
        <v>307</v>
      </c>
      <c r="AP14" s="63" t="s">
        <v>1205</v>
      </c>
      <c r="AQ14" s="63"/>
      <c r="BH14" s="60">
        <f t="shared" si="5"/>
        <v>0</v>
      </c>
      <c r="BI14" s="60">
        <f t="shared" si="0"/>
        <v>0</v>
      </c>
      <c r="BN14" s="61" t="s">
        <v>508</v>
      </c>
      <c r="BO14" s="61" t="s">
        <v>1288</v>
      </c>
      <c r="BP14" s="60">
        <f>SUM((A2*C2),(A3*C3),(A4*C4),(A5*C5),(A6*C6),(A7*C7),(A8*C8),(A9*C9),(A10*C10),(A11*C11),(A12*C12),(A13*C13),(A14*C14),(A15*C15),(A16*C16),(A17*C17))</f>
        <v>4</v>
      </c>
      <c r="BQ14" s="60">
        <f>O3*3</f>
        <v>24</v>
      </c>
    </row>
    <row r="15" spans="1:69" x14ac:dyDescent="0.25">
      <c r="A15" s="8"/>
      <c r="B15" s="5" t="s">
        <v>116</v>
      </c>
      <c r="C15" s="8"/>
      <c r="L15" s="5" t="s">
        <v>1228</v>
      </c>
      <c r="M15" s="11" t="e">
        <f>INDEX(cennik!$C$2:$L$529,MATCH($L15,cennik!$B$2:$B$522,0),MATCH(M$53,cennik!$C$1:$L$1,0))</f>
        <v>#N/A</v>
      </c>
      <c r="N15" s="11" t="e">
        <f>INDEX(cennik!$C$2:$L$529,MATCH($L15,cennik!$B$2:$B$522,0),MATCH(N$53,cennik!$C$1:$L$1,0))</f>
        <v>#N/A</v>
      </c>
      <c r="O15" s="11">
        <f>ROUNDUP(O17/100,0)</f>
        <v>0</v>
      </c>
      <c r="P15" s="11" t="e">
        <f>INDEX(cennik!$C$2:$L$529,MATCH($L15,cennik!$B$2:$B$522,0),MATCH(P$53,cennik!$C$1:$L$1,0))</f>
        <v>#N/A</v>
      </c>
      <c r="Q15" s="14" t="e">
        <f t="shared" si="1"/>
        <v>#N/A</v>
      </c>
      <c r="R15" s="14">
        <f t="shared" si="2"/>
        <v>0</v>
      </c>
      <c r="S15" s="34" t="e">
        <f t="shared" si="3"/>
        <v>#N/A</v>
      </c>
      <c r="T15" s="14" t="e">
        <f t="shared" si="4"/>
        <v>#N/A</v>
      </c>
      <c r="U15" s="34" t="e">
        <f>INDEX(cennik!$C$2:$L$529,MATCH($L15,cennik!$B$2:$B$522,0),MATCH(U$53,cennik!$C$1:$L$1,0))*O15</f>
        <v>#N/A</v>
      </c>
      <c r="AG15" s="60" t="s">
        <v>1258</v>
      </c>
      <c r="AH15" s="60">
        <v>0</v>
      </c>
      <c r="AI15" s="60">
        <f>IF(E5=AF4,(SUM((A2*4*C2),(A3*4*C3),(A4*4*C4),(A5*4*C5),(A6*4*C6),(A7*4*C7),(A8*4*C8),(A9*4*C9),(A10*4*C10),(A11*4*C11),(A12*4*C12),(A13*4*C13),(A14*4*C14),(A15*4*C15),(A16*4*C16),(A17*4*C17))),0)</f>
        <v>0</v>
      </c>
      <c r="AO15" s="141" t="s">
        <v>1211</v>
      </c>
      <c r="AP15" s="141" t="s">
        <v>1215</v>
      </c>
      <c r="BH15" s="60">
        <f t="shared" si="5"/>
        <v>0</v>
      </c>
      <c r="BI15" s="60">
        <f t="shared" si="0"/>
        <v>0</v>
      </c>
      <c r="BN15" s="61" t="s">
        <v>507</v>
      </c>
      <c r="BO15" s="61" t="s">
        <v>1288</v>
      </c>
      <c r="BP15" s="60">
        <f>SUM((A2*C2),(A3*C3),(A4*C4),(A5*C5),(A6*C6),(A7*C7),(A8*C8),(A9*C9),(A10*C10),(A11*C11),(A12*C12),(A13*C13),(A14*C14),(A15*C15),(A16*C16),(A17*C17))</f>
        <v>4</v>
      </c>
      <c r="BQ15" s="60">
        <f>O3*3</f>
        <v>24</v>
      </c>
    </row>
    <row r="16" spans="1:69" x14ac:dyDescent="0.25">
      <c r="A16" s="8"/>
      <c r="B16" s="5" t="s">
        <v>116</v>
      </c>
      <c r="C16" s="8"/>
      <c r="L16" s="5" t="s">
        <v>1229</v>
      </c>
      <c r="M16" s="11" t="e">
        <f>INDEX(cennik!$C$2:$L$529,MATCH($L16,cennik!$B$2:$B$522,0),MATCH(M$53,cennik!$C$1:$L$1,0))</f>
        <v>#N/A</v>
      </c>
      <c r="N16" s="11" t="e">
        <f>INDEX(cennik!$C$2:$L$529,MATCH($L16,cennik!$B$2:$B$522,0),MATCH(N$53,cennik!$C$1:$L$1,0))</f>
        <v>#N/A</v>
      </c>
      <c r="O16" s="14">
        <f>O15</f>
        <v>0</v>
      </c>
      <c r="P16" s="11" t="e">
        <f>INDEX(cennik!$C$2:$L$529,MATCH($L16,cennik!$B$2:$B$522,0),MATCH(P$53,cennik!$C$1:$L$1,0))</f>
        <v>#N/A</v>
      </c>
      <c r="Q16" s="14" t="e">
        <f t="shared" si="1"/>
        <v>#N/A</v>
      </c>
      <c r="R16" s="14">
        <f t="shared" si="2"/>
        <v>0</v>
      </c>
      <c r="S16" s="34" t="e">
        <f t="shared" si="3"/>
        <v>#N/A</v>
      </c>
      <c r="T16" s="14" t="e">
        <f t="shared" si="4"/>
        <v>#N/A</v>
      </c>
      <c r="U16" s="34" t="e">
        <f>INDEX(cennik!$C$2:$L$529,MATCH($L16,cennik!$B$2:$B$522,0),MATCH(U$53,cennik!$C$1:$L$1,0))*O16</f>
        <v>#N/A</v>
      </c>
      <c r="AO16" s="141" t="s">
        <v>1211</v>
      </c>
      <c r="AP16" s="141" t="s">
        <v>1216</v>
      </c>
      <c r="BH16" s="60">
        <f t="shared" si="5"/>
        <v>0</v>
      </c>
      <c r="BI16" s="60">
        <f t="shared" si="0"/>
        <v>0</v>
      </c>
      <c r="BN16" s="61" t="s">
        <v>763</v>
      </c>
      <c r="BO16" s="61" t="s">
        <v>1287</v>
      </c>
      <c r="BP16" s="60">
        <f>SUM(((A2+1)*C2),((A3+1)*C3),((A4+1)*C4),((A5+1)*C5),((A6+1)*C6),((A7+1)*C7),((A8+1)*C8),((A9+1)*C9),((A10+1)*C10),((A11+1)*C11),((A12+1)*C12),((A13+1)*C13),((A14+1)*C14),((A15+1)*C15),((A16+1)*C16),((A17+1)*C17))</f>
        <v>5</v>
      </c>
      <c r="BQ16" s="60">
        <f>O3*3+((BP16-1)*3)</f>
        <v>36</v>
      </c>
    </row>
    <row r="17" spans="1:69" x14ac:dyDescent="0.25">
      <c r="A17" s="8"/>
      <c r="B17" s="5" t="s">
        <v>116</v>
      </c>
      <c r="C17" s="8"/>
      <c r="E17" s="17"/>
      <c r="L17" s="5" t="s">
        <v>91</v>
      </c>
      <c r="M17" s="11">
        <f>INDEX(cennik!$C$2:$L$529,MATCH($L17,cennik!$B$2:$B$522,0),MATCH(M$53,cennik!$C$1:$L$1,0))</f>
        <v>890433</v>
      </c>
      <c r="N17" s="11" t="str">
        <f>INDEX(cennik!$C$2:$L$529,MATCH($L17,cennik!$B$2:$B$522,0),MATCH(N$53,cennik!$C$1:$L$1,0))</f>
        <v>szt.</v>
      </c>
      <c r="O17" s="14">
        <f>IF(E6=AF10,O3*2,0)</f>
        <v>0</v>
      </c>
      <c r="P17" s="11">
        <f>INDEX(cennik!$C$2:$L$529,MATCH($L17,cennik!$B$2:$B$522,0),MATCH(P$53,cennik!$C$1:$L$1,0))</f>
        <v>20.36</v>
      </c>
      <c r="Q17" s="14">
        <f t="shared" si="1"/>
        <v>0</v>
      </c>
      <c r="R17" s="14">
        <f t="shared" si="2"/>
        <v>0</v>
      </c>
      <c r="S17" s="34">
        <f t="shared" si="3"/>
        <v>20.36</v>
      </c>
      <c r="T17" s="14">
        <f t="shared" si="4"/>
        <v>0</v>
      </c>
      <c r="U17" s="34">
        <f>INDEX(cennik!$C$2:$L$529,MATCH($L17,cennik!$B$2:$B$522,0),MATCH(U$53,cennik!$C$1:$L$1,0))*O17</f>
        <v>0</v>
      </c>
      <c r="AO17" s="141" t="s">
        <v>1211</v>
      </c>
      <c r="AP17" s="141" t="s">
        <v>1217</v>
      </c>
      <c r="BH17" s="60">
        <f t="shared" si="5"/>
        <v>0</v>
      </c>
      <c r="BI17" s="60">
        <f t="shared" si="0"/>
        <v>0</v>
      </c>
      <c r="BN17" s="61" t="s">
        <v>764</v>
      </c>
      <c r="BO17" s="61" t="s">
        <v>1287</v>
      </c>
      <c r="BP17" s="60">
        <f>SUM(((A2+1)*C2),((A3+1)*C3),((A4+1)*C4),((A5+1)*C5),((A6+1)*C6),((A7+1)*C7),((A8+1)*C8),((A9+1)*C9),((A10+1)*C10),((A11+1)*C11),((A12+1)*C12),((A13+1)*C13),((A14+1)*C14),((A15+1)*C15),((A16+1)*C16),((A17+1)*C17))</f>
        <v>5</v>
      </c>
      <c r="BQ17" s="60">
        <f>O3*3+((BP17-1)*3)</f>
        <v>36</v>
      </c>
    </row>
    <row r="18" spans="1:69" x14ac:dyDescent="0.25">
      <c r="L18" s="5" t="s">
        <v>1230</v>
      </c>
      <c r="M18" s="11" t="e">
        <f>INDEX(cennik!$C$2:$L$529,MATCH($L18,cennik!$B$2:$B$522,0),MATCH(M$53,cennik!$C$1:$L$1,0))</f>
        <v>#N/A</v>
      </c>
      <c r="N18" s="11" t="e">
        <f>INDEX(cennik!$C$2:$L$529,MATCH($L18,cennik!$B$2:$B$522,0),MATCH(N$53,cennik!$C$1:$L$1,0))</f>
        <v>#N/A</v>
      </c>
      <c r="O18" s="14">
        <f>IF(E7=AH7,O3*2,0)</f>
        <v>0</v>
      </c>
      <c r="P18" s="11" t="e">
        <f>INDEX(cennik!$C$2:$L$529,MATCH($L18,cennik!$B$2:$B$522,0),MATCH(P$53,cennik!$C$1:$L$1,0))</f>
        <v>#N/A</v>
      </c>
      <c r="Q18" s="14" t="e">
        <f t="shared" si="1"/>
        <v>#N/A</v>
      </c>
      <c r="R18" s="14">
        <f t="shared" si="2"/>
        <v>0</v>
      </c>
      <c r="S18" s="34" t="e">
        <f t="shared" si="3"/>
        <v>#N/A</v>
      </c>
      <c r="T18" s="14" t="e">
        <f t="shared" si="4"/>
        <v>#N/A</v>
      </c>
      <c r="U18" s="34" t="e">
        <f>INDEX(cennik!$C$2:$L$529,MATCH($L18,cennik!$B$2:$B$522,0),MATCH(U$53,cennik!$C$1:$L$1,0))*O18</f>
        <v>#N/A</v>
      </c>
      <c r="AO18" s="141" t="s">
        <v>1211</v>
      </c>
      <c r="AP18" s="141" t="s">
        <v>1285</v>
      </c>
      <c r="BN18" s="61" t="s">
        <v>832</v>
      </c>
      <c r="BO18" s="61" t="s">
        <v>1287</v>
      </c>
      <c r="BP18" s="60">
        <f>SUM(((A2+1)*C2),((A3+1)*C3),((A4+1)*C4),((A5+1)*C5),((A6+1)*C6),((A7+1)*C7),((A8+1)*C8),((A9+1)*C9),((A10+1)*C10),((A11+1)*C11),((A12+1)*C12),((A13+1)*C13),((A14+1)*C14),((A15+1)*C15),((A16+1)*C16),((A17+1)*C17))</f>
        <v>5</v>
      </c>
      <c r="BQ18" s="60">
        <f>O3*3+((BP18-1)*3)</f>
        <v>36</v>
      </c>
    </row>
    <row r="19" spans="1:69" x14ac:dyDescent="0.25">
      <c r="L19" s="5" t="s">
        <v>948</v>
      </c>
      <c r="M19" s="11">
        <f>INDEX(cennik!$C$2:$L$529,MATCH($L19,cennik!$B$2:$B$522,0),MATCH(M$53,cennik!$C$1:$L$1,0))</f>
        <v>858432</v>
      </c>
      <c r="N19" s="11" t="str">
        <f>INDEX(cennik!$C$2:$L$529,MATCH($L19,cennik!$B$2:$B$522,0),MATCH(N$53,cennik!$C$1:$L$1,0))</f>
        <v>szt.</v>
      </c>
      <c r="O19" s="14">
        <f>IF(E8=AK8,O3*2,IF(E7=AH10,O3*2,0))</f>
        <v>16</v>
      </c>
      <c r="P19" s="11">
        <f>INDEX(cennik!$C$2:$L$529,MATCH($L19,cennik!$B$2:$B$522,0),MATCH(P$53,cennik!$C$1:$L$1,0))</f>
        <v>6.8</v>
      </c>
      <c r="Q19" s="14">
        <f>O19*P19</f>
        <v>108.8</v>
      </c>
      <c r="R19" s="14">
        <f t="shared" si="2"/>
        <v>0</v>
      </c>
      <c r="S19" s="34">
        <f t="shared" si="3"/>
        <v>6.8</v>
      </c>
      <c r="T19" s="14">
        <f t="shared" si="4"/>
        <v>108.8</v>
      </c>
      <c r="U19" s="34">
        <f>INDEX(cennik!$C$2:$L$529,MATCH($L19,cennik!$B$2:$B$522,0),MATCH(U$53,cennik!$C$1:$L$1,0))*O19</f>
        <v>2.56</v>
      </c>
      <c r="AO19" s="141" t="s">
        <v>1212</v>
      </c>
      <c r="AP19" s="60" t="s">
        <v>1221</v>
      </c>
      <c r="BN19" s="61" t="s">
        <v>833</v>
      </c>
      <c r="BO19" s="61" t="s">
        <v>1287</v>
      </c>
      <c r="BP19" s="60">
        <f>SUM(((A2+1)*C2),((A3+1)*C3),((A4+1)*C4),((A5+1)*C5),((A6+1)*C6),((A7+1)*C7),((A8+1)*C8),((A9+1)*C9),((A10+1)*C10),((A11+1)*C11),((A12+1)*C12),((A13+1)*C13),((A14+1)*C14),((A15+1)*C15),((A16+1)*C16),((A17+1)*C17))</f>
        <v>5</v>
      </c>
      <c r="BQ19" s="60">
        <f>O3*3+((BP19-1)*3)</f>
        <v>36</v>
      </c>
    </row>
    <row r="20" spans="1:69" x14ac:dyDescent="0.25">
      <c r="F20" s="17" t="str">
        <f>IF(E6=AF9,"PROPOZYCJA KOTEW- DO WERFIKACJI","")</f>
        <v/>
      </c>
      <c r="L20" s="5" t="s">
        <v>1006</v>
      </c>
      <c r="M20" s="11">
        <f>INDEX(cennik!$C$2:$L$529,MATCH($L20,cennik!$B$2:$B$522,0),MATCH(M$53,cennik!$C$1:$L$1,0))</f>
        <v>650093</v>
      </c>
      <c r="N20" s="11" t="str">
        <f>INDEX(cennik!$C$2:$L$529,MATCH($L20,cennik!$B$2:$B$522,0),MATCH(N$53,cennik!$C$1:$L$1,0))</f>
        <v>szt.</v>
      </c>
      <c r="O20" s="14">
        <f>IF(E6=AF9,O3*2,0)</f>
        <v>0</v>
      </c>
      <c r="P20" s="11">
        <f>INDEX(cennik!$C$2:$L$529,MATCH($L20,cennik!$B$2:$B$522,0),MATCH(P$53,cennik!$C$1:$L$1,0))</f>
        <v>3.29</v>
      </c>
      <c r="Q20" s="14">
        <f t="shared" si="1"/>
        <v>0</v>
      </c>
      <c r="R20" s="14">
        <f>$E$10</f>
        <v>0</v>
      </c>
      <c r="S20" s="34">
        <f t="shared" si="3"/>
        <v>3.29</v>
      </c>
      <c r="T20" s="14">
        <f t="shared" si="4"/>
        <v>0</v>
      </c>
      <c r="U20" s="34">
        <f>INDEX(cennik!$C$2:$L$529,MATCH($L20,cennik!$B$2:$B$522,0),MATCH(U$53,cennik!$C$1:$L$1,0))*O20</f>
        <v>0</v>
      </c>
      <c r="AO20" s="141" t="s">
        <v>1213</v>
      </c>
      <c r="AP20" s="60" t="s">
        <v>1221</v>
      </c>
    </row>
    <row r="21" spans="1:69" x14ac:dyDescent="0.25">
      <c r="L21" s="5" t="s">
        <v>297</v>
      </c>
      <c r="M21" s="11">
        <f>INDEX(cennik!$C$2:$L$529,MATCH($L21,cennik!$B$2:$B$522,0),MATCH(M$53,cennik!$C$1:$L$1,0))</f>
        <v>894824</v>
      </c>
      <c r="N21" s="11" t="str">
        <f>INDEX(cennik!$C$2:$L$529,MATCH($L21,cennik!$B$2:$B$522,0),MATCH(N$53,cennik!$C$1:$L$1,0))</f>
        <v>szt.</v>
      </c>
      <c r="O21" s="14">
        <f>O17*4</f>
        <v>0</v>
      </c>
      <c r="P21" s="11">
        <f>INDEX(cennik!$C$2:$L$529,MATCH($L21,cennik!$B$2:$B$522,0),MATCH(P$53,cennik!$C$1:$L$1,0))</f>
        <v>1.85</v>
      </c>
      <c r="Q21" s="14">
        <f t="shared" si="1"/>
        <v>0</v>
      </c>
      <c r="R21" s="14">
        <f>$E$10</f>
        <v>0</v>
      </c>
      <c r="S21" s="34">
        <f t="shared" si="3"/>
        <v>1.85</v>
      </c>
      <c r="T21" s="14">
        <f t="shared" si="4"/>
        <v>0</v>
      </c>
      <c r="U21" s="34">
        <f>INDEX(cennik!$C$2:$L$529,MATCH($L21,cennik!$B$2:$B$522,0),MATCH(U$53,cennik!$C$1:$L$1,0))*O21</f>
        <v>0</v>
      </c>
      <c r="AO21" s="141" t="s">
        <v>1214</v>
      </c>
      <c r="AP21" s="60" t="s">
        <v>1221</v>
      </c>
    </row>
    <row r="22" spans="1:69" x14ac:dyDescent="0.25">
      <c r="L22" s="5" t="s">
        <v>67</v>
      </c>
      <c r="M22" s="11">
        <f>INDEX(cennik!$C$2:$L$529,MATCH($L22,cennik!$B$2:$B$522,0),MATCH(M$53,cennik!$C$1:$L$1,0))</f>
        <v>890008</v>
      </c>
      <c r="N22" s="11" t="str">
        <f>INDEX(cennik!$C$2:$L$529,MATCH($L22,cennik!$B$2:$B$522,0),MATCH(N$53,cennik!$C$1:$L$1,0))</f>
        <v>100 szt.</v>
      </c>
      <c r="O22" s="14">
        <f>O15</f>
        <v>0</v>
      </c>
      <c r="P22" s="11">
        <f>INDEX(cennik!$C$2:$L$529,MATCH($L22,cennik!$B$2:$B$522,0),MATCH(P$53,cennik!$C$1:$L$1,0))</f>
        <v>28.15</v>
      </c>
      <c r="Q22" s="14">
        <f t="shared" si="1"/>
        <v>0</v>
      </c>
      <c r="R22" s="14">
        <f t="shared" si="2"/>
        <v>0</v>
      </c>
      <c r="S22" s="34">
        <f t="shared" si="3"/>
        <v>28.15</v>
      </c>
      <c r="T22" s="14">
        <f t="shared" si="4"/>
        <v>0</v>
      </c>
      <c r="U22" s="34">
        <f>INDEX(cennik!$C$2:$L$529,MATCH($L22,cennik!$B$2:$B$522,0),MATCH(U$53,cennik!$C$1:$L$1,0))*O22</f>
        <v>0</v>
      </c>
    </row>
    <row r="23" spans="1:69" x14ac:dyDescent="0.25">
      <c r="L23" s="94" t="s">
        <v>786</v>
      </c>
      <c r="M23" s="11">
        <f>INDEX(cennik!$C$2:$L$529,MATCH($L23,cennik!$B$2:$B$522,0),MATCH(M$53,cennik!$C$1:$L$1,0))</f>
        <v>651541</v>
      </c>
      <c r="N23" s="11" t="str">
        <f>INDEX(cennik!$C$2:$L$529,MATCH($L23,cennik!$B$2:$B$522,0),MATCH(N$53,cennik!$C$1:$L$1,0))</f>
        <v>100 szt.</v>
      </c>
      <c r="O23" s="14">
        <f>ROUNDUP(((IF(E5=AF5,(SUM((A2*C2),(A3*C3),(A4*C4),(A5*C5),(A6*C6),(A7*C7),(A8*C8),(A9*C9),(A10*C10),(A11*C11),(A12*C12),(A13*C13),(A14*C14),(A15*C15),(A16*C16),(A17*C17)))*4,0)+O5*6))/100,0)</f>
        <v>1</v>
      </c>
      <c r="P23" s="11">
        <f>INDEX(cennik!$C$2:$L$529,MATCH($L23,cennik!$B$2:$B$522,0),MATCH(P$53,cennik!$C$1:$L$1,0))</f>
        <v>78.89</v>
      </c>
      <c r="Q23" s="14">
        <f t="shared" si="1"/>
        <v>78.89</v>
      </c>
      <c r="R23" s="14">
        <f t="shared" si="2"/>
        <v>0</v>
      </c>
      <c r="S23" s="34">
        <f t="shared" si="3"/>
        <v>78.89</v>
      </c>
      <c r="T23" s="14">
        <f t="shared" si="4"/>
        <v>78.89</v>
      </c>
      <c r="U23" s="34">
        <f>INDEX(cennik!$C$2:$L$529,MATCH($L23,cennik!$B$2:$B$522,0),MATCH(U$53,cennik!$C$1:$L$1,0))*O23</f>
        <v>1.55</v>
      </c>
      <c r="AO23" s="60" t="str" cm="1">
        <f t="array" aca="1" ref="AO23:AO26" ca="1">OFFSET(AP14,MATCH(E6,AO15:AO21,0),0,COUNTIF(AO15:AO21,E6),1)</f>
        <v>koryto na bloczki</v>
      </c>
    </row>
    <row r="24" spans="1:69" x14ac:dyDescent="0.25">
      <c r="L24" s="5" t="s">
        <v>1284</v>
      </c>
      <c r="M24" s="11" t="e">
        <f>INDEX(cennik!$C$2:$L$529,MATCH($L24,cennik!$B$2:$B$522,0),MATCH(M$53,cennik!$C$1:$L$1,0))</f>
        <v>#N/A</v>
      </c>
      <c r="N24" s="11" t="e">
        <f>INDEX(cennik!$C$2:$L$529,MATCH($L24,cennik!$B$2:$B$522,0),MATCH(N$53,cennik!$C$1:$L$1,0))</f>
        <v>#N/A</v>
      </c>
      <c r="O24" s="14">
        <f>ROUNDUP((O3*2)/100,0)</f>
        <v>1</v>
      </c>
      <c r="P24" s="11" t="e">
        <f>INDEX(cennik!$C$2:$L$529,MATCH($L24,cennik!$B$2:$B$522,0),MATCH(P$53,cennik!$C$1:$L$1,0))</f>
        <v>#N/A</v>
      </c>
      <c r="Q24" s="14" t="e">
        <f>O24*P24</f>
        <v>#N/A</v>
      </c>
      <c r="R24" s="14">
        <f t="shared" si="2"/>
        <v>0</v>
      </c>
      <c r="S24" s="34" t="e">
        <f>P24*((100-$E$10)/100)</f>
        <v>#N/A</v>
      </c>
      <c r="T24" s="14" t="e">
        <f t="shared" ref="T24" si="6">O24*S24</f>
        <v>#N/A</v>
      </c>
      <c r="U24" s="34" t="e">
        <f>INDEX(cennik!$C$2:$L$529,MATCH($L24,cennik!$B$2:$B$522,0),MATCH(U$53,cennik!$C$1:$L$1,0))*O24</f>
        <v>#N/A</v>
      </c>
      <c r="AO24" s="60" t="str">
        <f ca="1"/>
        <v>stopy balastowe z regulacją</v>
      </c>
    </row>
    <row r="25" spans="1:69" x14ac:dyDescent="0.25">
      <c r="T25" s="4" t="e">
        <f>SUM(T3:T24)</f>
        <v>#N/A</v>
      </c>
      <c r="U25" s="134" t="e">
        <f>SUM(U3:U24)</f>
        <v>#N/A</v>
      </c>
      <c r="AO25" s="60" t="str">
        <f ca="1"/>
        <v>kostka w dolny profil</v>
      </c>
    </row>
    <row r="26" spans="1:69" x14ac:dyDescent="0.25">
      <c r="T26" s="4"/>
      <c r="U26" s="134"/>
      <c r="AO26" s="60" t="str">
        <f ca="1"/>
        <v>podstawa balastowa klick</v>
      </c>
    </row>
    <row r="27" spans="1:69" ht="51.75" x14ac:dyDescent="0.25">
      <c r="A27" s="3" t="s">
        <v>410</v>
      </c>
      <c r="B27" s="3"/>
      <c r="C27" s="3" t="s">
        <v>121</v>
      </c>
      <c r="L27" s="360" t="str">
        <f>IF(E32=$AF$58,"KONSTRUKCJA DP-DNHBF-WSCHÓD/ZACHÓD",IF(E32=$AF$59,"KONSTRUKCJA DP-DNHKF-WSCHÓD/ZACHÓD",IF(E32=$AF$60,"KONSTRUKCJA DP-DNHWF-WSCHÓD/ZACHÓD",IF(E32=$AF$61,"KONSTRUKCJA DP-DNHKSF-WSCHÓD/ZACHÓD"))))</f>
        <v>KONSTRUKCJA DP-DNHBF-WSCHÓD/ZACHÓD</v>
      </c>
      <c r="M27" s="360"/>
      <c r="N27" s="360"/>
      <c r="O27" s="360"/>
      <c r="P27" s="360"/>
      <c r="Q27" s="360"/>
      <c r="R27" s="360"/>
      <c r="S27" s="360"/>
      <c r="T27" s="360"/>
      <c r="U27" s="360"/>
      <c r="AF27" s="60" t="s">
        <v>1231</v>
      </c>
      <c r="BH27" s="140" t="s">
        <v>1233</v>
      </c>
      <c r="BI27" s="140" t="s">
        <v>1234</v>
      </c>
    </row>
    <row r="28" spans="1:69" x14ac:dyDescent="0.25">
      <c r="A28" s="8">
        <v>2</v>
      </c>
      <c r="B28" s="5" t="s">
        <v>116</v>
      </c>
      <c r="C28" s="8">
        <v>1</v>
      </c>
      <c r="L28" s="5" t="s">
        <v>103</v>
      </c>
      <c r="M28" s="5" t="s">
        <v>104</v>
      </c>
      <c r="N28" s="5" t="s">
        <v>107</v>
      </c>
      <c r="O28" s="5" t="s">
        <v>290</v>
      </c>
      <c r="P28" s="5" t="s">
        <v>446</v>
      </c>
      <c r="Q28" s="5" t="s">
        <v>448</v>
      </c>
      <c r="R28" s="5" t="s">
        <v>409</v>
      </c>
      <c r="S28" s="5" t="s">
        <v>447</v>
      </c>
      <c r="T28" s="5" t="s">
        <v>449</v>
      </c>
      <c r="U28" s="5" t="s">
        <v>106</v>
      </c>
      <c r="AF28" s="60" t="s">
        <v>1232</v>
      </c>
      <c r="BH28" s="60">
        <f>IF(A28=0,0,IF(A28&gt;0,(A28/2+1)*C28))</f>
        <v>2</v>
      </c>
      <c r="BI28" s="60">
        <f>IF(A28=0,0,IF(A28&gt;0,(A28/2*2)*C28))</f>
        <v>2</v>
      </c>
    </row>
    <row r="29" spans="1:69" x14ac:dyDescent="0.25">
      <c r="A29" s="8"/>
      <c r="B29" s="5" t="s">
        <v>116</v>
      </c>
      <c r="C29" s="8"/>
      <c r="D29" s="6" t="s">
        <v>118</v>
      </c>
      <c r="E29" s="8" t="s">
        <v>113</v>
      </c>
      <c r="F29" s="5" t="s">
        <v>116</v>
      </c>
      <c r="G29" s="8" t="s">
        <v>114</v>
      </c>
      <c r="H29" s="5" t="s">
        <v>116</v>
      </c>
      <c r="I29" s="8">
        <v>30</v>
      </c>
      <c r="J29" s="5" t="s">
        <v>119</v>
      </c>
      <c r="L29" s="5" t="s">
        <v>1282</v>
      </c>
      <c r="M29" s="11">
        <f>INDEX(cennik!$C$2:$L$529,MATCH($L29,cennik!$B$2:$B$522,0),MATCH(M$53,cennik!$C$1:$L$1,0))</f>
        <v>954300</v>
      </c>
      <c r="N29" s="11" t="str">
        <f>INDEX(cennik!$C$2:$L$529,MATCH($L29,cennik!$B$2:$B$522,0),MATCH(N$53,cennik!$C$1:$L$1,0))</f>
        <v>szt.</v>
      </c>
      <c r="O29" s="14">
        <f>IF(E30=AF28,SUM(BI28:BI43),IF(E30=AF27,SUM(BH28:BH43),0))</f>
        <v>2</v>
      </c>
      <c r="P29" s="11">
        <f>INDEX(cennik!$C$2:$L$529,MATCH($L29,cennik!$B$2:$B$522,0),MATCH(P$53,cennik!$C$1:$L$1,0))</f>
        <v>55</v>
      </c>
      <c r="Q29" s="14">
        <f>O29*P29</f>
        <v>110</v>
      </c>
      <c r="R29" s="14">
        <f>$E$37</f>
        <v>0</v>
      </c>
      <c r="S29" s="34">
        <f>P29*((100-$E$37)/100)</f>
        <v>55</v>
      </c>
      <c r="T29" s="14">
        <f>O29*S29</f>
        <v>110</v>
      </c>
      <c r="U29" s="34">
        <f>INDEX(cennik!$C$2:$L$529,MATCH($L29,cennik!$B$2:$B$522,0),MATCH(U$53,cennik!$C$1:$L$1,0))*O29</f>
        <v>4.5999999999999996</v>
      </c>
      <c r="BH29" s="60">
        <f t="shared" ref="BH29:BH42" si="7">IF(A29=0,0,IF(A29&gt;0,(A29+1)*C29))</f>
        <v>0</v>
      </c>
      <c r="BI29" s="60">
        <f t="shared" ref="BI29:BI43" si="8">IF(A29=0,0,IF(A29&gt;0,(A29*2)*C29))</f>
        <v>0</v>
      </c>
    </row>
    <row r="30" spans="1:69" x14ac:dyDescent="0.25">
      <c r="A30" s="8"/>
      <c r="B30" s="5" t="s">
        <v>116</v>
      </c>
      <c r="C30" s="8"/>
      <c r="D30" s="6" t="s">
        <v>1203</v>
      </c>
      <c r="E30" s="33" t="s">
        <v>1232</v>
      </c>
      <c r="L30" s="5" t="s">
        <v>1283</v>
      </c>
      <c r="M30" s="11">
        <f>INDEX(cennik!$C$2:$L$529,MATCH($L30,cennik!$B$2:$B$522,0),MATCH(M$53,cennik!$C$1:$L$1,0))</f>
        <v>954600</v>
      </c>
      <c r="N30" s="11" t="str">
        <f>INDEX(cennik!$C$2:$L$529,MATCH($L30,cennik!$B$2:$B$522,0),MATCH(N$53,cennik!$C$1:$L$1,0))</f>
        <v>szt.</v>
      </c>
      <c r="O30" s="14">
        <f>O29</f>
        <v>2</v>
      </c>
      <c r="P30" s="11">
        <f>INDEX(cennik!$C$2:$L$529,MATCH($L30,cennik!$B$2:$B$522,0),MATCH(P$53,cennik!$C$1:$L$1,0))</f>
        <v>64.5</v>
      </c>
      <c r="Q30" s="14">
        <f t="shared" ref="Q30:Q46" si="9">O30*P30</f>
        <v>129</v>
      </c>
      <c r="R30" s="14">
        <f t="shared" ref="R30:R48" si="10">$E$37</f>
        <v>0</v>
      </c>
      <c r="S30" s="34">
        <f>P30*((100-$E$37)/100)</f>
        <v>64.5</v>
      </c>
      <c r="T30" s="14">
        <f t="shared" ref="T30:T47" si="11">O30*S30</f>
        <v>129</v>
      </c>
      <c r="U30" s="34">
        <f>INDEX(cennik!$C$2:$L$529,MATCH($L30,cennik!$B$2:$B$522,0),MATCH(U$53,cennik!$C$1:$L$1,0))*O30</f>
        <v>7.62</v>
      </c>
      <c r="BH30" s="60">
        <f t="shared" si="7"/>
        <v>0</v>
      </c>
      <c r="BI30" s="60">
        <f t="shared" si="8"/>
        <v>0</v>
      </c>
    </row>
    <row r="31" spans="1:69" x14ac:dyDescent="0.25">
      <c r="A31" s="8"/>
      <c r="B31" s="5" t="s">
        <v>116</v>
      </c>
      <c r="C31" s="8"/>
      <c r="D31" s="6" t="s">
        <v>1204</v>
      </c>
      <c r="E31" s="33" t="s">
        <v>1207</v>
      </c>
      <c r="F31" s="135" t="str">
        <f>IF(AND(E30=AF1,E31=AF5),"należy zmienić wartość na klemy",IF(AND(E30&lt;&gt;AF1,E31&lt;&gt;AP44),"",""))</f>
        <v/>
      </c>
      <c r="L31" s="52" t="s">
        <v>1127</v>
      </c>
      <c r="M31" s="11" t="e">
        <f>INDEX(cennik!$C$2:$L$529,MATCH($L31,cennik!$B$2:$B$522,0),MATCH(M$53,cennik!$C$1:$L$1,0))</f>
        <v>#N/A</v>
      </c>
      <c r="N31" s="11" t="e">
        <f>INDEX(cennik!$C$2:$L$529,MATCH($L31,cennik!$B$2:$B$522,0),MATCH(N$53,cennik!$C$1:$L$1,0))</f>
        <v>#N/A</v>
      </c>
      <c r="O31" s="14">
        <f>E36</f>
        <v>0</v>
      </c>
      <c r="P31" s="11" t="e">
        <f>INDEX(cennik!$C$2:$L$529,MATCH($L31,cennik!$B$2:$B$522,0),MATCH(P$53,cennik!$C$1:$L$1,0))</f>
        <v>#N/A</v>
      </c>
      <c r="Q31" s="14" t="e">
        <f t="shared" si="9"/>
        <v>#N/A</v>
      </c>
      <c r="R31" s="14">
        <f t="shared" si="10"/>
        <v>0</v>
      </c>
      <c r="S31" s="34" t="e">
        <f t="shared" ref="S31:S48" si="12">P31*((100-$E$37)/100)</f>
        <v>#N/A</v>
      </c>
      <c r="T31" s="14" t="e">
        <f t="shared" si="11"/>
        <v>#N/A</v>
      </c>
      <c r="U31" s="34" t="e">
        <f>INDEX(cennik!$C$2:$L$529,MATCH($L31,cennik!$B$2:$B$522,0),MATCH(U$53,cennik!$C$1:$L$1,0))*O31</f>
        <v>#N/A</v>
      </c>
      <c r="BH31" s="60">
        <f t="shared" si="7"/>
        <v>0</v>
      </c>
      <c r="BI31" s="60">
        <f t="shared" si="8"/>
        <v>0</v>
      </c>
    </row>
    <row r="32" spans="1:69" x14ac:dyDescent="0.25">
      <c r="A32" s="8"/>
      <c r="B32" s="5" t="s">
        <v>116</v>
      </c>
      <c r="C32" s="8"/>
      <c r="D32" s="6" t="s">
        <v>307</v>
      </c>
      <c r="E32" s="33" t="s">
        <v>1211</v>
      </c>
      <c r="L32" s="5" t="str">
        <f>IF(E33=$AH$8,"SKRB95","PBK40MC")</f>
        <v>PBK40MC</v>
      </c>
      <c r="M32" s="11">
        <f>INDEX(cennik!$C$2:$L$529,MATCH($L32,cennik!$B$2:$B$522,0),MATCH(M$53,cennik!$C$1:$L$1,0))</f>
        <v>858440</v>
      </c>
      <c r="N32" s="11" t="str">
        <f>INDEX(cennik!$C$2:$L$529,MATCH($L32,cennik!$B$2:$B$522,0),MATCH(N$53,cennik!$C$1:$L$1,0))</f>
        <v>szt.</v>
      </c>
      <c r="O32" s="14">
        <f>IF(E33=$AH$8,O29*2,IF(E33=$AH$10,O29*2,0))</f>
        <v>4</v>
      </c>
      <c r="P32" s="11">
        <f>INDEX(cennik!$C$2:$L$529,MATCH($L32,cennik!$B$2:$B$522,0),MATCH(P$53,cennik!$C$1:$L$1,0))</f>
        <v>16.440000000000001</v>
      </c>
      <c r="Q32" s="14">
        <f t="shared" si="9"/>
        <v>65.760000000000005</v>
      </c>
      <c r="R32" s="14">
        <f t="shared" si="10"/>
        <v>0</v>
      </c>
      <c r="S32" s="34">
        <f t="shared" si="12"/>
        <v>16.440000000000001</v>
      </c>
      <c r="T32" s="14">
        <f t="shared" si="11"/>
        <v>65.760000000000005</v>
      </c>
      <c r="U32" s="34">
        <f>INDEX(cennik!$C$2:$L$529,MATCH($L32,cennik!$B$2:$B$522,0),MATCH(U$53,cennik!$C$1:$L$1,0))*O32</f>
        <v>3.12</v>
      </c>
      <c r="BH32" s="60">
        <f t="shared" si="7"/>
        <v>0</v>
      </c>
      <c r="BI32" s="60">
        <f t="shared" si="8"/>
        <v>0</v>
      </c>
    </row>
    <row r="33" spans="1:61" x14ac:dyDescent="0.25">
      <c r="A33" s="8"/>
      <c r="B33" s="5" t="s">
        <v>116</v>
      </c>
      <c r="C33" s="8"/>
      <c r="D33" s="6" t="s">
        <v>1205</v>
      </c>
      <c r="E33" s="33" t="s">
        <v>1285</v>
      </c>
      <c r="F33" s="17" t="str">
        <f>IF(AND(E32=AF7,E33="-"),"należy wskazać typ balastu",IF(AND(E32&lt;&gt;AF7,E34&lt;&gt;AP19),"należy zmienić wartość na -",""))</f>
        <v/>
      </c>
      <c r="L33" s="5" t="s">
        <v>1225</v>
      </c>
      <c r="M33" s="11" t="e">
        <f>INDEX(cennik!$C$2:$L$529,MATCH($L33,cennik!$B$2:$B$522,0),MATCH(M$53,cennik!$C$1:$L$1,0))</f>
        <v>#N/A</v>
      </c>
      <c r="N33" s="11" t="e">
        <f>INDEX(cennik!$C$2:$L$529,MATCH($L33,cennik!$B$2:$B$522,0),MATCH(N$53,cennik!$C$1:$L$1,0))</f>
        <v>#N/A</v>
      </c>
      <c r="O33" s="14">
        <f>IF(E34=$AK$60,O29*3,0)</f>
        <v>0</v>
      </c>
      <c r="P33" s="11" t="e">
        <f>INDEX(cennik!$C$2:$L$529,MATCH($L33,cennik!$B$2:$B$522,0),MATCH(P$53,cennik!$C$1:$L$1,0))</f>
        <v>#N/A</v>
      </c>
      <c r="Q33" s="14" t="e">
        <f t="shared" si="9"/>
        <v>#N/A</v>
      </c>
      <c r="R33" s="14">
        <f t="shared" si="10"/>
        <v>0</v>
      </c>
      <c r="S33" s="34" t="e">
        <f t="shared" si="12"/>
        <v>#N/A</v>
      </c>
      <c r="T33" s="14" t="e">
        <f t="shared" si="11"/>
        <v>#N/A</v>
      </c>
      <c r="U33" s="34" t="e">
        <f>INDEX(cennik!$C$2:$L$529,MATCH($L33,cennik!$B$2:$B$522,0),MATCH(U$53,cennik!$C$1:$L$1,0))*O33</f>
        <v>#N/A</v>
      </c>
      <c r="BH33" s="60">
        <f t="shared" si="7"/>
        <v>0</v>
      </c>
      <c r="BI33" s="60">
        <f t="shared" si="8"/>
        <v>0</v>
      </c>
    </row>
    <row r="34" spans="1:61" x14ac:dyDescent="0.25">
      <c r="A34" s="8"/>
      <c r="B34" s="5" t="s">
        <v>116</v>
      </c>
      <c r="C34" s="8"/>
      <c r="D34" s="6" t="s">
        <v>1206</v>
      </c>
      <c r="E34" s="33" t="s">
        <v>1221</v>
      </c>
      <c r="F34" s="17" t="str">
        <f>IF(AND(E33&lt;&gt;AH8,E33&lt;&gt;AH10,E34="-"),"należy wskazać typ separatora",IF(AND(E33=AH8,E34&lt;&gt;AP19),"należy zmienić wartość na -",IF(AND(E33=AH10,E34&lt;&gt;AP19),"należy zmienić wartość na -","")))</f>
        <v/>
      </c>
      <c r="L34" s="5" t="str">
        <f>INDEX(($AE$201:$AF$201),1,MATCH(E38,$AE$190:$AF$190,0),1)</f>
        <v>PUFK</v>
      </c>
      <c r="M34" s="11">
        <f>INDEX(cennik!$C$2:$L$529,MATCH($L34,cennik!$B$2:$B$522,0),MATCH(M$53,cennik!$C$1:$L$1,0))</f>
        <v>890300</v>
      </c>
      <c r="N34" s="11" t="str">
        <f>INDEX(cennik!$C$2:$L$529,MATCH($L34,cennik!$B$2:$B$522,0),MATCH(N$53,cennik!$C$1:$L$1,0))</f>
        <v>szt.</v>
      </c>
      <c r="O34" s="14">
        <f>IF($E$81=$AF$2,AH41,IF($E$81=$AF$1,AH40,0))</f>
        <v>0</v>
      </c>
      <c r="P34" s="11">
        <f>INDEX(cennik!$C$2:$L$529,MATCH($L34,cennik!$B$2:$B$522,0),MATCH(P$53,cennik!$C$1:$L$1,0))</f>
        <v>7.31</v>
      </c>
      <c r="Q34" s="14">
        <f t="shared" si="9"/>
        <v>0</v>
      </c>
      <c r="R34" s="14">
        <f t="shared" si="10"/>
        <v>0</v>
      </c>
      <c r="S34" s="34">
        <f t="shared" si="12"/>
        <v>7.31</v>
      </c>
      <c r="T34" s="14">
        <f t="shared" si="11"/>
        <v>0</v>
      </c>
      <c r="U34" s="34">
        <f>INDEX(cennik!$C$2:$L$529,MATCH($L34,cennik!$B$2:$B$522,0),MATCH(U$53,cennik!$C$1:$L$1,0))*O34</f>
        <v>0</v>
      </c>
      <c r="BH34" s="60">
        <f t="shared" si="7"/>
        <v>0</v>
      </c>
      <c r="BI34" s="60">
        <f t="shared" si="8"/>
        <v>0</v>
      </c>
    </row>
    <row r="35" spans="1:61" x14ac:dyDescent="0.25">
      <c r="A35" s="8"/>
      <c r="B35" s="5" t="s">
        <v>116</v>
      </c>
      <c r="C35" s="8"/>
      <c r="D35" s="6" t="s">
        <v>310</v>
      </c>
      <c r="E35" s="33">
        <v>15</v>
      </c>
      <c r="L35" s="5" t="str">
        <f>INDEX(($AE$191:$AF$201),MATCH(I29,$AD$191:$AD$200,0),MATCH(E38,$AE$190:$AF$190,0),1)</f>
        <v>BUFK30</v>
      </c>
      <c r="M35" s="11">
        <f>INDEX(cennik!$C$2:$L$529,MATCH($L35,cennik!$B$2:$B$522,0),MATCH(M$53,cennik!$C$1:$L$1,0))</f>
        <v>897430</v>
      </c>
      <c r="N35" s="11" t="str">
        <f>INDEX(cennik!$C$2:$L$529,MATCH($L35,cennik!$B$2:$B$522,0),MATCH(N$53,cennik!$C$1:$L$1,0))</f>
        <v>szt.</v>
      </c>
      <c r="O35" s="14">
        <f>IF($E$81=$AF$53,AI41,IF($E$81=$AF$52,AI40,0))</f>
        <v>8</v>
      </c>
      <c r="P35" s="11">
        <f>INDEX(cennik!$C$2:$L$529,MATCH($L35,cennik!$B$2:$B$522,0),MATCH(P$53,cennik!$C$1:$L$1,0))</f>
        <v>5.87</v>
      </c>
      <c r="Q35" s="14">
        <f t="shared" si="9"/>
        <v>46.96</v>
      </c>
      <c r="R35" s="14">
        <f t="shared" si="10"/>
        <v>0</v>
      </c>
      <c r="S35" s="34">
        <f t="shared" si="12"/>
        <v>5.87</v>
      </c>
      <c r="T35" s="14">
        <f t="shared" si="11"/>
        <v>46.96</v>
      </c>
      <c r="U35" s="34">
        <f>INDEX(cennik!$C$2:$L$529,MATCH($L35,cennik!$B$2:$B$522,0),MATCH(U$53,cennik!$C$1:$L$1,0))*O35</f>
        <v>0.32</v>
      </c>
      <c r="BH35" s="60">
        <f t="shared" si="7"/>
        <v>0</v>
      </c>
      <c r="BI35" s="60">
        <f t="shared" si="8"/>
        <v>0</v>
      </c>
    </row>
    <row r="36" spans="1:61" x14ac:dyDescent="0.25">
      <c r="A36" s="8"/>
      <c r="B36" s="5" t="s">
        <v>116</v>
      </c>
      <c r="C36" s="8"/>
      <c r="D36" s="6" t="s">
        <v>1235</v>
      </c>
      <c r="E36" s="33">
        <v>0</v>
      </c>
      <c r="L36" s="5" t="s">
        <v>601</v>
      </c>
      <c r="M36" s="11">
        <f>INDEX(cennik!$C$2:$L$529,MATCH($L36,cennik!$B$2:$B$522,0),MATCH(M$53,cennik!$C$1:$L$1,0))</f>
        <v>858023</v>
      </c>
      <c r="N36" s="11" t="str">
        <f>INDEX(cennik!$C$2:$L$529,MATCH($L36,cennik!$B$2:$B$522,0),MATCH(N$53,cennik!$C$1:$L$1,0))</f>
        <v>szt.</v>
      </c>
      <c r="O36" s="14">
        <f>IF(E32=AF8,O29*2,0)</f>
        <v>0</v>
      </c>
      <c r="P36" s="11">
        <f>INDEX(cennik!$C$2:$L$529,MATCH($L36,cennik!$B$2:$B$522,0),MATCH(P$53,cennik!$C$1:$L$1,0))</f>
        <v>20.399999999999999</v>
      </c>
      <c r="Q36" s="14">
        <f t="shared" si="9"/>
        <v>0</v>
      </c>
      <c r="R36" s="14">
        <f t="shared" si="10"/>
        <v>0</v>
      </c>
      <c r="S36" s="34">
        <f t="shared" si="12"/>
        <v>20.399999999999999</v>
      </c>
      <c r="T36" s="14">
        <f t="shared" si="11"/>
        <v>0</v>
      </c>
      <c r="U36" s="34">
        <f>INDEX(cennik!$C$2:$L$529,MATCH($L36,cennik!$B$2:$B$522,0),MATCH(U$53,cennik!$C$1:$L$1,0))*O36</f>
        <v>0</v>
      </c>
      <c r="BH36" s="60">
        <f t="shared" si="7"/>
        <v>0</v>
      </c>
      <c r="BI36" s="60">
        <f t="shared" si="8"/>
        <v>0</v>
      </c>
    </row>
    <row r="37" spans="1:61" x14ac:dyDescent="0.25">
      <c r="A37" s="8"/>
      <c r="B37" s="5" t="s">
        <v>116</v>
      </c>
      <c r="C37" s="8"/>
      <c r="D37" s="6" t="s">
        <v>162</v>
      </c>
      <c r="E37" s="8">
        <v>0</v>
      </c>
      <c r="L37" s="29" t="s">
        <v>1226</v>
      </c>
      <c r="M37" s="11">
        <f>INDEX(cennik!$C$2:$L$529,MATCH($L37,cennik!$B$2:$B$522,0),MATCH(M$53,cennik!$C$1:$L$1,0))</f>
        <v>1618235</v>
      </c>
      <c r="N37" s="11" t="str">
        <f>INDEX(cennik!$C$2:$L$529,MATCH($L37,cennik!$B$2:$B$522,0),MATCH(N$53,cennik!$C$1:$L$1,0))</f>
        <v>mb.</v>
      </c>
      <c r="O37" s="14">
        <f>(ROUNDUP((IF(E33=AH7,(SUM((A28*C28),(A29*C29),(A30*C30),(A31*C31),(A32*C32),(A33*C33),(A34*C34),(A35*C35),(A36*C36),(A37*C37),(A38*C38),(A39*C39),(A40*C40),(A41*C41),(A42*C42),(A43*C43)))*(AF39/1000),0))/3,0))*3</f>
        <v>0</v>
      </c>
      <c r="P37" s="11">
        <f>INDEX(cennik!$C$2:$L$529,MATCH($L37,cennik!$B$2:$B$522,0),MATCH(P$53,cennik!$C$1:$L$1,0))</f>
        <v>42.28</v>
      </c>
      <c r="Q37" s="14">
        <f t="shared" si="9"/>
        <v>0</v>
      </c>
      <c r="R37" s="14">
        <f t="shared" si="10"/>
        <v>0</v>
      </c>
      <c r="S37" s="34">
        <f t="shared" si="12"/>
        <v>42.28</v>
      </c>
      <c r="T37" s="14">
        <f t="shared" si="11"/>
        <v>0</v>
      </c>
      <c r="U37" s="34">
        <f>INDEX(cennik!$C$2:$L$529,MATCH($L37,cennik!$B$2:$B$522,0),MATCH(U$53,cennik!$C$1:$L$1,0))*O37</f>
        <v>0</v>
      </c>
      <c r="BH37" s="60">
        <f t="shared" si="7"/>
        <v>0</v>
      </c>
      <c r="BI37" s="60">
        <f t="shared" si="8"/>
        <v>0</v>
      </c>
    </row>
    <row r="38" spans="1:61" x14ac:dyDescent="0.25">
      <c r="A38" s="8"/>
      <c r="B38" s="5" t="s">
        <v>116</v>
      </c>
      <c r="C38" s="8"/>
      <c r="D38" s="6" t="s">
        <v>124</v>
      </c>
      <c r="E38" s="8" t="s">
        <v>125</v>
      </c>
      <c r="L38" s="5" t="str">
        <f>IF(E34=AK31,"SBV95x1100",IF(E33=AH34,"SBV250X350","SBV95x1100"))</f>
        <v>SBV95x1100</v>
      </c>
      <c r="M38" s="11">
        <f>INDEX(cennik!$C$2:$L$529,MATCH($L38,cennik!$B$2:$B$522,0),MATCH(M$53,cennik!$C$1:$L$1,0))</f>
        <v>895511</v>
      </c>
      <c r="N38" s="11" t="str">
        <f>INDEX(cennik!$C$2:$L$529,MATCH($L38,cennik!$B$2:$B$522,0),MATCH(N$53,cennik!$C$1:$L$1,0))</f>
        <v>szt.</v>
      </c>
      <c r="O38" s="14">
        <f>IF(E32=$AP$2,O27*3,IF(E31=$AH$10,O32,0))</f>
        <v>0</v>
      </c>
      <c r="P38" s="11">
        <f>INDEX(cennik!$C$2:$L$529,MATCH($L38,cennik!$B$2:$B$522,0),MATCH(P$53,cennik!$C$1:$L$1,0))</f>
        <v>4.8</v>
      </c>
      <c r="Q38" s="14">
        <f t="shared" si="9"/>
        <v>0</v>
      </c>
      <c r="R38" s="14">
        <f t="shared" si="10"/>
        <v>0</v>
      </c>
      <c r="S38" s="34">
        <f t="shared" si="12"/>
        <v>4.8</v>
      </c>
      <c r="T38" s="14">
        <f t="shared" si="11"/>
        <v>0</v>
      </c>
      <c r="U38" s="34">
        <f>INDEX(cennik!$C$2:$L$529,MATCH($L38,cennik!$B$2:$B$522,0),MATCH(U$53,cennik!$C$1:$L$1,0))*O38</f>
        <v>0</v>
      </c>
      <c r="BH38" s="60">
        <f t="shared" si="7"/>
        <v>0</v>
      </c>
      <c r="BI38" s="60">
        <f t="shared" si="8"/>
        <v>0</v>
      </c>
    </row>
    <row r="39" spans="1:61" x14ac:dyDescent="0.25">
      <c r="A39" s="8"/>
      <c r="B39" s="5" t="s">
        <v>116</v>
      </c>
      <c r="C39" s="8"/>
      <c r="L39" s="5" t="s">
        <v>1228</v>
      </c>
      <c r="M39" s="11" t="e">
        <f>INDEX(cennik!$C$2:$L$529,MATCH($L39,cennik!$B$2:$B$522,0),MATCH(M$53,cennik!$C$1:$L$1,0))</f>
        <v>#N/A</v>
      </c>
      <c r="N39" s="11" t="e">
        <f>INDEX(cennik!$C$2:$L$529,MATCH($L39,cennik!$B$2:$B$522,0),MATCH(N$53,cennik!$C$1:$L$1,0))</f>
        <v>#N/A</v>
      </c>
      <c r="O39" s="11">
        <f>ROUNDUP(O41/100,0)</f>
        <v>0</v>
      </c>
      <c r="P39" s="11" t="e">
        <f>INDEX(cennik!$C$2:$L$529,MATCH($L39,cennik!$B$2:$B$522,0),MATCH(P$53,cennik!$C$1:$L$1,0))</f>
        <v>#N/A</v>
      </c>
      <c r="Q39" s="14" t="e">
        <f t="shared" si="9"/>
        <v>#N/A</v>
      </c>
      <c r="R39" s="14">
        <f t="shared" si="10"/>
        <v>0</v>
      </c>
      <c r="S39" s="34" t="e">
        <f t="shared" si="12"/>
        <v>#N/A</v>
      </c>
      <c r="T39" s="14" t="e">
        <f t="shared" si="11"/>
        <v>#N/A</v>
      </c>
      <c r="U39" s="34" t="e">
        <f>INDEX(cennik!$C$2:$L$529,MATCH($L39,cennik!$B$2:$B$522,0),MATCH(U$53,cennik!$C$1:$L$1,0))*O39</f>
        <v>#N/A</v>
      </c>
      <c r="AF39" s="60" cm="1">
        <f t="array" ref="AF39">INDEX(($Y$109:$Y$126),MATCH(E29,$X$109:$X$126,0),0)</f>
        <v>2000</v>
      </c>
      <c r="AH39" s="60" t="s">
        <v>1255</v>
      </c>
      <c r="AI39" s="60" t="s">
        <v>1256</v>
      </c>
      <c r="BH39" s="60">
        <f t="shared" si="7"/>
        <v>0</v>
      </c>
      <c r="BI39" s="60">
        <f t="shared" si="8"/>
        <v>0</v>
      </c>
    </row>
    <row r="40" spans="1:61" x14ac:dyDescent="0.25">
      <c r="A40" s="8"/>
      <c r="B40" s="5" t="s">
        <v>116</v>
      </c>
      <c r="C40" s="8"/>
      <c r="L40" s="5" t="s">
        <v>1229</v>
      </c>
      <c r="M40" s="11" t="e">
        <f>INDEX(cennik!$C$2:$L$529,MATCH($L40,cennik!$B$2:$B$522,0),MATCH(M$53,cennik!$C$1:$L$1,0))</f>
        <v>#N/A</v>
      </c>
      <c r="N40" s="11" t="e">
        <f>INDEX(cennik!$C$2:$L$529,MATCH($L40,cennik!$B$2:$B$522,0),MATCH(N$53,cennik!$C$1:$L$1,0))</f>
        <v>#N/A</v>
      </c>
      <c r="O40" s="14">
        <f>O39</f>
        <v>0</v>
      </c>
      <c r="P40" s="11" t="e">
        <f>INDEX(cennik!$C$2:$L$529,MATCH($L40,cennik!$B$2:$B$522,0),MATCH(P$53,cennik!$C$1:$L$1,0))</f>
        <v>#N/A</v>
      </c>
      <c r="Q40" s="14" t="e">
        <f t="shared" si="9"/>
        <v>#N/A</v>
      </c>
      <c r="R40" s="14">
        <f t="shared" si="10"/>
        <v>0</v>
      </c>
      <c r="S40" s="34" t="e">
        <f t="shared" si="12"/>
        <v>#N/A</v>
      </c>
      <c r="T40" s="14" t="e">
        <f t="shared" si="11"/>
        <v>#N/A</v>
      </c>
      <c r="U40" s="34" t="e">
        <f>INDEX(cennik!$C$2:$L$529,MATCH($L40,cennik!$B$2:$B$522,0),MATCH(U$53,cennik!$C$1:$L$1,0))*O40</f>
        <v>#N/A</v>
      </c>
      <c r="AG40" s="60" t="s">
        <v>1257</v>
      </c>
      <c r="AH40" s="60">
        <f>IF(E31=AF5,0,IF(E31=AF4,SUM(IF(A28=0,0,IF(A28&gt;0,(A28/2-1)*4*C28)),IF(A29=0,0,IF(A29&gt;0,(A29/2-1)*4*C29)),IF(A30=0,0,IF(A30&gt;0,(A30/2-1)*4*C30)),IF(A31=0,0,IF(A31&gt;0,(A31/2-1)*4*C31)),IF(A32=0,0,IF(A32&gt;0,(A32/2-1)*4*C32)),IF(A33=0,0,IF(A33&gt;0,(A33/2-1)*4*C33)),IF(A34=0,0,IF(A34&gt;0,(A34/2-1)*4*C34)),IF(A35=0,0,IF(A35&gt;0,(A35/2-1)*4*C35)),IF(A36=0,0,IF(A36&gt;0,(A36/2-1)*4*C36)),IF(A37=0,0,IF(A37&gt;0,(A37/2-1)*4*C37)),IF(A38=0,0,IF(A38&gt;0,(A38/2-1)*4*C38)),IF(A39=0,0,IF(A39&gt;0,(A39/2-1)*4*C39)),IF(A40=0,0,IF(A40&gt;0,(A40/2-1)*4*C40)),IF(A41=0,0,IF(A41&gt;0,(A41/2-1)*4*C41)),IF(A42=0,0,IF(A42&gt;0,(A42/2-1)*4*C42)),IF(A43=0,0,IF(A43&gt;0,(A43/2-1)*4*C43)))))</f>
        <v>0</v>
      </c>
      <c r="AI40" s="60">
        <f>IF(E31=AF5,0,IF(E31=AF4,SUM(IF(A28=0,0,IF((A28&gt;0),C28*8)),IF(A29=0,0,IF((A29&gt;0),C29*8)),IF(A30=0,0,IF((A30&gt;0),C30*8)),IF(A31=0,0,IF((A31&gt;0),C31*8)),IF(A32=0,0,IF((A32&gt;0),C32*8)),IF(A33=0,0,IF((A33&gt;0),C33*8)),IF(A34=0,0,IF((A34&gt;0),C34*8)),IF(A35=0,0,IF((A35&gt;0),C35*8)),IF(A36=0,0,IF((A36&gt;0),C36*8)),IF(A37=0,0,IF((A37&gt;0),C37*8)),IF(A38=0,0,IF((A38&gt;0),C38*8)),IF(A39=0,0,IF((A39&gt;0),C39*8)),IF(A40=0,0,IF((A40&gt;0),C40*8)),IF(A41=0,0,IF((A41&gt;0),C41*8)),IF(A42=0,0,IF((A42&gt;0),C42*8)),,IF(A43=0,0,IF((A43&gt;0),C43*8)))))</f>
        <v>8</v>
      </c>
      <c r="BH40" s="60">
        <f t="shared" si="7"/>
        <v>0</v>
      </c>
      <c r="BI40" s="60">
        <f t="shared" si="8"/>
        <v>0</v>
      </c>
    </row>
    <row r="41" spans="1:61" x14ac:dyDescent="0.25">
      <c r="A41" s="8"/>
      <c r="B41" s="5" t="s">
        <v>116</v>
      </c>
      <c r="C41" s="8"/>
      <c r="L41" s="5" t="s">
        <v>91</v>
      </c>
      <c r="M41" s="11">
        <f>INDEX(cennik!$C$2:$L$529,MATCH($L41,cennik!$B$2:$B$522,0),MATCH(M$53,cennik!$C$1:$L$1,0))</f>
        <v>890433</v>
      </c>
      <c r="N41" s="11" t="str">
        <f>INDEX(cennik!$C$2:$L$529,MATCH($L41,cennik!$B$2:$B$522,0),MATCH(N$53,cennik!$C$1:$L$1,0))</f>
        <v>szt.</v>
      </c>
      <c r="O41" s="14">
        <f>IF(E32=AF10,O29*4,0)</f>
        <v>0</v>
      </c>
      <c r="P41" s="11">
        <f>INDEX(cennik!$C$2:$L$529,MATCH($L41,cennik!$B$2:$B$522,0),MATCH(P$53,cennik!$C$1:$L$1,0))</f>
        <v>20.36</v>
      </c>
      <c r="Q41" s="14">
        <f t="shared" si="9"/>
        <v>0</v>
      </c>
      <c r="R41" s="14">
        <f t="shared" si="10"/>
        <v>0</v>
      </c>
      <c r="S41" s="34">
        <f t="shared" si="12"/>
        <v>20.36</v>
      </c>
      <c r="T41" s="14">
        <f t="shared" si="11"/>
        <v>0</v>
      </c>
      <c r="U41" s="34">
        <f>INDEX(cennik!$C$2:$L$529,MATCH($L41,cennik!$B$2:$B$522,0),MATCH(U$53,cennik!$C$1:$L$1,0))*O41</f>
        <v>0</v>
      </c>
      <c r="AG41" s="60" t="s">
        <v>1258</v>
      </c>
      <c r="AH41" s="60">
        <v>0</v>
      </c>
      <c r="AI41" s="60">
        <f>IF(E31=AF4,(SUM((A28*4*C28),(A29*4*C29),(A30*4*C30),(A31*4*C31),(A32*4*C32),(A33*4*C33),(A34*4*C34),(A35*4*C35),(A36*4*C36),(A37*4*C37),(A38*4*C38),(A39*4*C39),(A40*4*C40),(A41*4*C41),(A42*4*C42),(A43*4*C43))),0)</f>
        <v>8</v>
      </c>
      <c r="BH41" s="60">
        <f t="shared" si="7"/>
        <v>0</v>
      </c>
      <c r="BI41" s="60">
        <f t="shared" si="8"/>
        <v>0</v>
      </c>
    </row>
    <row r="42" spans="1:61" x14ac:dyDescent="0.25">
      <c r="A42" s="8"/>
      <c r="B42" s="5" t="s">
        <v>116</v>
      </c>
      <c r="C42" s="8"/>
      <c r="L42" s="5" t="s">
        <v>1254</v>
      </c>
      <c r="M42" s="11">
        <f>INDEX(cennik!$C$2:$L$529,MATCH($L42,cennik!$B$2:$B$522,0),MATCH(M$53,cennik!$C$1:$L$1,0))</f>
        <v>856025</v>
      </c>
      <c r="N42" s="11" t="str">
        <f>INDEX(cennik!$C$2:$L$529,MATCH($L42,cennik!$B$2:$B$522,0),MATCH(N$53,cennik!$C$1:$L$1,0))</f>
        <v>szt.</v>
      </c>
      <c r="O42" s="14">
        <f>IF(E33=AH7,O29,0)*4</f>
        <v>0</v>
      </c>
      <c r="P42" s="11">
        <f>INDEX(cennik!$C$2:$L$529,MATCH($L42,cennik!$B$2:$B$522,0),MATCH(P$53,cennik!$C$1:$L$1,0))</f>
        <v>15.23</v>
      </c>
      <c r="Q42" s="14">
        <f t="shared" si="9"/>
        <v>0</v>
      </c>
      <c r="R42" s="14">
        <f t="shared" si="10"/>
        <v>0</v>
      </c>
      <c r="S42" s="34">
        <f t="shared" si="12"/>
        <v>15.23</v>
      </c>
      <c r="T42" s="14">
        <f t="shared" si="11"/>
        <v>0</v>
      </c>
      <c r="U42" s="34">
        <f>INDEX(cennik!$C$2:$L$529,MATCH($L42,cennik!$B$2:$B$522,0),MATCH(U$53,cennik!$C$1:$L$1,0))*O42</f>
        <v>0</v>
      </c>
      <c r="BH42" s="60">
        <f t="shared" si="7"/>
        <v>0</v>
      </c>
      <c r="BI42" s="60">
        <f t="shared" si="8"/>
        <v>0</v>
      </c>
    </row>
    <row r="43" spans="1:61" x14ac:dyDescent="0.25">
      <c r="A43" s="8"/>
      <c r="B43" s="5" t="s">
        <v>116</v>
      </c>
      <c r="C43" s="8"/>
      <c r="E43" s="17"/>
      <c r="L43" s="5" t="s">
        <v>948</v>
      </c>
      <c r="M43" s="11">
        <f>INDEX(cennik!$C$2:$L$529,MATCH($L43,cennik!$B$2:$B$522,0),MATCH(M$53,cennik!$C$1:$L$1,0))</f>
        <v>858432</v>
      </c>
      <c r="N43" s="11" t="str">
        <f>INDEX(cennik!$C$2:$L$529,MATCH($L43,cennik!$B$2:$B$522,0),MATCH(N$53,cennik!$C$1:$L$1,0))</f>
        <v>szt.</v>
      </c>
      <c r="O43" s="14">
        <f>IF(E34=AK8,O29*3,0)</f>
        <v>0</v>
      </c>
      <c r="P43" s="11">
        <f>INDEX(cennik!$C$2:$L$529,MATCH($L43,cennik!$B$2:$B$522,0),MATCH(P$53,cennik!$C$1:$L$1,0))</f>
        <v>6.8</v>
      </c>
      <c r="Q43" s="14">
        <f t="shared" si="9"/>
        <v>0</v>
      </c>
      <c r="R43" s="14">
        <f t="shared" si="10"/>
        <v>0</v>
      </c>
      <c r="S43" s="34">
        <f t="shared" si="12"/>
        <v>6.8</v>
      </c>
      <c r="T43" s="14">
        <f t="shared" si="11"/>
        <v>0</v>
      </c>
      <c r="U43" s="34">
        <f>INDEX(cennik!$C$2:$L$529,MATCH($L43,cennik!$B$2:$B$522,0),MATCH(U$53,cennik!$C$1:$L$1,0))*O43</f>
        <v>0</v>
      </c>
      <c r="BH43" s="60">
        <f>IF(A43=0,0,IF(A43&gt;0,(A43+1)*C43))</f>
        <v>0</v>
      </c>
      <c r="BI43" s="60">
        <f t="shared" si="8"/>
        <v>0</v>
      </c>
    </row>
    <row r="44" spans="1:61" x14ac:dyDescent="0.25">
      <c r="L44" s="5" t="s">
        <v>1006</v>
      </c>
      <c r="M44" s="11">
        <f>INDEX(cennik!$C$2:$L$529,MATCH($L44,cennik!$B$2:$B$522,0),MATCH(M$53,cennik!$C$1:$L$1,0))</f>
        <v>650093</v>
      </c>
      <c r="N44" s="11" t="str">
        <f>INDEX(cennik!$C$2:$L$529,MATCH($L44,cennik!$B$2:$B$522,0),MATCH(N$53,cennik!$C$1:$L$1,0))</f>
        <v>szt.</v>
      </c>
      <c r="O44" s="14">
        <f>IF(E32=AF9,O29*4,0)</f>
        <v>0</v>
      </c>
      <c r="P44" s="11">
        <f>INDEX(cennik!$C$2:$L$529,MATCH($L44,cennik!$B$2:$B$522,0),MATCH(P$53,cennik!$C$1:$L$1,0))</f>
        <v>3.29</v>
      </c>
      <c r="Q44" s="14">
        <f t="shared" si="9"/>
        <v>0</v>
      </c>
      <c r="R44" s="14">
        <f t="shared" si="10"/>
        <v>0</v>
      </c>
      <c r="S44" s="34">
        <f t="shared" si="12"/>
        <v>3.29</v>
      </c>
      <c r="T44" s="14">
        <f t="shared" si="11"/>
        <v>0</v>
      </c>
      <c r="U44" s="34">
        <f>INDEX(cennik!$C$2:$L$529,MATCH($L44,cennik!$B$2:$B$522,0),MATCH(U$53,cennik!$C$1:$L$1,0))*O44</f>
        <v>0</v>
      </c>
    </row>
    <row r="45" spans="1:61" x14ac:dyDescent="0.25">
      <c r="L45" s="5" t="s">
        <v>297</v>
      </c>
      <c r="M45" s="11">
        <f>INDEX(cennik!$C$2:$L$529,MATCH($L45,cennik!$B$2:$B$522,0),MATCH(M$53,cennik!$C$1:$L$1,0))</f>
        <v>894824</v>
      </c>
      <c r="N45" s="11" t="str">
        <f>INDEX(cennik!$C$2:$L$529,MATCH($L45,cennik!$B$2:$B$522,0),MATCH(N$53,cennik!$C$1:$L$1,0))</f>
        <v>szt.</v>
      </c>
      <c r="O45" s="14">
        <f>O41*4</f>
        <v>0</v>
      </c>
      <c r="P45" s="11">
        <f>INDEX(cennik!$C$2:$L$529,MATCH($L45,cennik!$B$2:$B$522,0),MATCH(P$53,cennik!$C$1:$L$1,0))</f>
        <v>1.85</v>
      </c>
      <c r="Q45" s="14">
        <f t="shared" si="9"/>
        <v>0</v>
      </c>
      <c r="R45" s="14">
        <f t="shared" si="10"/>
        <v>0</v>
      </c>
      <c r="S45" s="34">
        <f t="shared" si="12"/>
        <v>1.85</v>
      </c>
      <c r="T45" s="14">
        <f t="shared" si="11"/>
        <v>0</v>
      </c>
      <c r="U45" s="34">
        <f>INDEX(cennik!$C$2:$L$529,MATCH($L45,cennik!$B$2:$B$522,0),MATCH(U$53,cennik!$C$1:$L$1,0))*O45</f>
        <v>0</v>
      </c>
    </row>
    <row r="46" spans="1:61" x14ac:dyDescent="0.25">
      <c r="F46" s="17" t="str">
        <f>IF(E32=AF35,"PROPOZYCJA KOTEW- DO WERFIKACJI","")</f>
        <v/>
      </c>
      <c r="L46" s="5" t="s">
        <v>67</v>
      </c>
      <c r="M46" s="11">
        <f>INDEX(cennik!$C$2:$L$529,MATCH($L46,cennik!$B$2:$B$522,0),MATCH(M$53,cennik!$C$1:$L$1,0))</f>
        <v>890008</v>
      </c>
      <c r="N46" s="11" t="str">
        <f>INDEX(cennik!$C$2:$L$529,MATCH($L46,cennik!$B$2:$B$522,0),MATCH(N$53,cennik!$C$1:$L$1,0))</f>
        <v>100 szt.</v>
      </c>
      <c r="O46" s="14">
        <f>O39</f>
        <v>0</v>
      </c>
      <c r="P46" s="11">
        <f>INDEX(cennik!$C$2:$L$529,MATCH($L46,cennik!$B$2:$B$522,0),MATCH(P$53,cennik!$C$1:$L$1,0))</f>
        <v>28.15</v>
      </c>
      <c r="Q46" s="14">
        <f t="shared" si="9"/>
        <v>0</v>
      </c>
      <c r="R46" s="14">
        <f t="shared" si="10"/>
        <v>0</v>
      </c>
      <c r="S46" s="34">
        <f t="shared" si="12"/>
        <v>28.15</v>
      </c>
      <c r="T46" s="14">
        <f t="shared" si="11"/>
        <v>0</v>
      </c>
      <c r="U46" s="34">
        <f>INDEX(cennik!$C$2:$L$529,MATCH($L46,cennik!$B$2:$B$522,0),MATCH(U$53,cennik!$C$1:$L$1,0))*O46</f>
        <v>0</v>
      </c>
    </row>
    <row r="47" spans="1:61" x14ac:dyDescent="0.25">
      <c r="L47" s="94" t="s">
        <v>786</v>
      </c>
      <c r="M47" s="11">
        <f>INDEX(cennik!$C$2:$L$529,MATCH($L47,cennik!$B$2:$B$522,0),MATCH(M$53,cennik!$C$1:$L$1,0))</f>
        <v>651541</v>
      </c>
      <c r="N47" s="11" t="str">
        <f>INDEX(cennik!$C$2:$L$529,MATCH($L47,cennik!$B$2:$B$522,0),MATCH(N$53,cennik!$C$1:$L$1,0))</f>
        <v>100 szt.</v>
      </c>
      <c r="O47" s="14">
        <f>ROUNDUP((IF(E31=AF5,(SUM((A28*C28),(A29*C29),(A30*C30),(A31*C31),(A32*C32),(A33*C33),(A34*C34),(A35*C35),(A36*C36),(A37*C37),(A38*C38),(A39*C39),(A40*C40),(A41*C41),(A42*C42),(A43*C43)))*4,0)+O31*6)/100,0)</f>
        <v>0</v>
      </c>
      <c r="P47" s="11">
        <f>INDEX(cennik!$C$2:$L$529,MATCH($L47,cennik!$B$2:$B$522,0),MATCH(P$53,cennik!$C$1:$L$1,0))</f>
        <v>78.89</v>
      </c>
      <c r="Q47" s="14">
        <f>O47*P47</f>
        <v>0</v>
      </c>
      <c r="R47" s="14">
        <f t="shared" si="10"/>
        <v>0</v>
      </c>
      <c r="S47" s="34">
        <f t="shared" si="12"/>
        <v>78.89</v>
      </c>
      <c r="T47" s="14">
        <f t="shared" si="11"/>
        <v>0</v>
      </c>
      <c r="U47" s="34">
        <f>INDEX(cennik!$C$2:$L$529,MATCH($L47,cennik!$B$2:$B$522,0),MATCH(U$53,cennik!$C$1:$L$1,0))*O47</f>
        <v>0</v>
      </c>
    </row>
    <row r="48" spans="1:61" x14ac:dyDescent="0.25">
      <c r="L48" s="5" t="s">
        <v>1284</v>
      </c>
      <c r="M48" s="11" t="e">
        <f>INDEX(cennik!$C$2:$L$529,MATCH($L48,cennik!$B$2:$B$522,0),MATCH(M$53,cennik!$C$1:$L$1,0))</f>
        <v>#N/A</v>
      </c>
      <c r="N48" s="11" t="e">
        <f>INDEX(cennik!$C$2:$L$529,MATCH($L48,cennik!$B$2:$B$522,0),MATCH(N$53,cennik!$C$1:$L$1,0))</f>
        <v>#N/A</v>
      </c>
      <c r="O48" s="14">
        <f>ROUNDUP((O29*3)/100,0)</f>
        <v>1</v>
      </c>
      <c r="P48" s="11" t="e">
        <f>INDEX(cennik!$C$2:$L$529,MATCH($L48,cennik!$B$2:$B$522,0),MATCH(P$53,cennik!$C$1:$L$1,0))</f>
        <v>#N/A</v>
      </c>
      <c r="Q48" s="14" t="e">
        <f>O48*P48</f>
        <v>#N/A</v>
      </c>
      <c r="R48" s="14">
        <f t="shared" si="10"/>
        <v>0</v>
      </c>
      <c r="S48" s="34" t="e">
        <f t="shared" si="12"/>
        <v>#N/A</v>
      </c>
      <c r="T48" s="14" t="e">
        <f t="shared" ref="T48" si="13">O48*S48</f>
        <v>#N/A</v>
      </c>
      <c r="U48" s="34" t="e">
        <f>INDEX(cennik!$C$2:$L$529,MATCH($L48,cennik!$B$2:$B$522,0),MATCH(U$53,cennik!$C$1:$L$1,0))*O48</f>
        <v>#N/A</v>
      </c>
    </row>
    <row r="49" spans="1:61" x14ac:dyDescent="0.25">
      <c r="T49" s="134" t="e">
        <f>SUM(T29:T48)</f>
        <v>#N/A</v>
      </c>
      <c r="U49" s="134" t="e">
        <f>SUM(U29:U48)</f>
        <v>#N/A</v>
      </c>
    </row>
    <row r="50" spans="1:61" x14ac:dyDescent="0.25"/>
    <row r="51" spans="1:61" x14ac:dyDescent="0.25"/>
    <row r="52" spans="1:61" ht="51.75" x14ac:dyDescent="0.25">
      <c r="A52" s="3" t="s">
        <v>120</v>
      </c>
      <c r="B52" s="3"/>
      <c r="C52" s="3" t="s">
        <v>121</v>
      </c>
      <c r="L52" s="360" t="str">
        <f>IF(E57=$AF$58,"KONSTRUKCJA DP-DNHBF",IF(E57=$AF$59,"KONSTRUKCJA DP-DNHKF",IF(E57=$AF$60,"KONSTRUKCJA DP-DNHWF",IF(E57=$AF$61,"KONSTRUKCJA DP-DNHKSF"))))</f>
        <v>KONSTRUKCJA DP-DNHBF</v>
      </c>
      <c r="M52" s="360"/>
      <c r="N52" s="360"/>
      <c r="O52" s="360"/>
      <c r="P52" s="360"/>
      <c r="Q52" s="360"/>
      <c r="R52" s="360"/>
      <c r="S52" s="360"/>
      <c r="T52" s="360"/>
      <c r="U52" s="360"/>
      <c r="AF52" s="63" t="s">
        <v>1231</v>
      </c>
      <c r="AO52" s="63" t="s">
        <v>1205</v>
      </c>
      <c r="AP52" s="63" t="s">
        <v>1206</v>
      </c>
      <c r="AR52" s="63"/>
      <c r="AY52" s="63" t="s">
        <v>1203</v>
      </c>
      <c r="AZ52" s="63" t="s">
        <v>1204</v>
      </c>
      <c r="BH52" s="140" t="s">
        <v>1233</v>
      </c>
      <c r="BI52" s="140" t="s">
        <v>1234</v>
      </c>
    </row>
    <row r="53" spans="1:61" ht="15" customHeight="1" x14ac:dyDescent="0.25">
      <c r="A53" s="8">
        <v>4</v>
      </c>
      <c r="B53" s="5" t="s">
        <v>116</v>
      </c>
      <c r="C53" s="8">
        <v>1</v>
      </c>
      <c r="L53" s="5" t="s">
        <v>103</v>
      </c>
      <c r="M53" s="5" t="s">
        <v>104</v>
      </c>
      <c r="N53" s="5" t="s">
        <v>107</v>
      </c>
      <c r="O53" s="5" t="s">
        <v>290</v>
      </c>
      <c r="P53" s="5" t="s">
        <v>446</v>
      </c>
      <c r="Q53" s="5" t="s">
        <v>448</v>
      </c>
      <c r="R53" s="5" t="s">
        <v>409</v>
      </c>
      <c r="S53" s="5" t="s">
        <v>447</v>
      </c>
      <c r="T53" s="5" t="s">
        <v>449</v>
      </c>
      <c r="U53" s="5" t="s">
        <v>106</v>
      </c>
      <c r="AF53" s="63" t="s">
        <v>1232</v>
      </c>
      <c r="AO53" s="141" t="s">
        <v>1215</v>
      </c>
      <c r="AP53" s="141" t="s">
        <v>1218</v>
      </c>
      <c r="AY53" s="63" t="s">
        <v>1209</v>
      </c>
      <c r="AZ53" s="63" t="s">
        <v>1207</v>
      </c>
      <c r="BH53" s="60">
        <f>IF(A53=0,0,IF(A53&gt;0,(A53+1)*C53))</f>
        <v>5</v>
      </c>
      <c r="BI53" s="60">
        <f>IF(A53=0,0,IF(A53&gt;0,(A53*2)*C53))</f>
        <v>8</v>
      </c>
    </row>
    <row r="54" spans="1:61" ht="15" customHeight="1" x14ac:dyDescent="0.25">
      <c r="A54" s="8"/>
      <c r="B54" s="5" t="s">
        <v>116</v>
      </c>
      <c r="C54" s="8"/>
      <c r="D54" s="6" t="s">
        <v>118</v>
      </c>
      <c r="E54" s="8" t="s">
        <v>763</v>
      </c>
      <c r="F54" s="5" t="s">
        <v>116</v>
      </c>
      <c r="G54" s="8" t="s">
        <v>114</v>
      </c>
      <c r="H54" s="5" t="s">
        <v>116</v>
      </c>
      <c r="I54" s="8">
        <v>30</v>
      </c>
      <c r="J54" s="5" t="s">
        <v>119</v>
      </c>
      <c r="L54" s="5" t="s">
        <v>1125</v>
      </c>
      <c r="M54" s="11" t="e">
        <f>INDEX(cennik!$C$2:$L$529,MATCH($L54,cennik!$B$2:$B$522,0),MATCH(M$53,cennik!$C$1:$L$1,0))</f>
        <v>#N/A</v>
      </c>
      <c r="N54" s="11" t="e">
        <f>INDEX(cennik!$C$2:$L$529,MATCH($L54,cennik!$B$2:$B$522,0),MATCH(N$53,cennik!$C$1:$L$1,0))</f>
        <v>#N/A</v>
      </c>
      <c r="O54" s="14">
        <f>IF(E55=AF53,SUM(BI53:BI68),IF(E55=AF52,SUM(BH53:BH68),0))</f>
        <v>8</v>
      </c>
      <c r="P54" s="11" t="e">
        <f>INDEX(cennik!$C$2:$L$529,MATCH($L54,cennik!$B$2:$B$522,0),MATCH(P$53,cennik!$C$1:$L$1,0))</f>
        <v>#N/A</v>
      </c>
      <c r="Q54" s="14" t="e">
        <f>O54*P54</f>
        <v>#N/A</v>
      </c>
      <c r="R54" s="14">
        <f>$E$61</f>
        <v>0</v>
      </c>
      <c r="S54" s="34" t="e">
        <f>P54*((100-$E$61)/100)</f>
        <v>#N/A</v>
      </c>
      <c r="T54" s="14" t="e">
        <f>O54*S54</f>
        <v>#N/A</v>
      </c>
      <c r="U54" s="34" t="e">
        <f>INDEX(cennik!$C$2:$L$529,MATCH($L54,cennik!$B$2:$B$522,0),MATCH(U$53,cennik!$C$1:$L$1,0))*O54</f>
        <v>#N/A</v>
      </c>
      <c r="AO54" s="141" t="s">
        <v>1215</v>
      </c>
      <c r="AP54" s="141" t="s">
        <v>1219</v>
      </c>
      <c r="AY54" s="63" t="s">
        <v>1210</v>
      </c>
      <c r="AZ54" s="63" t="s">
        <v>1207</v>
      </c>
      <c r="BH54" s="60">
        <f>IF(A54=0,0,IF(A54&gt;0,(A54+1)*C54))</f>
        <v>0</v>
      </c>
      <c r="BI54" s="60">
        <f t="shared" ref="BI54:BI65" si="14">IF(A54=0,0,IF(A54&gt;0,(A54*2)*C54))</f>
        <v>0</v>
      </c>
    </row>
    <row r="55" spans="1:61" ht="15" customHeight="1" x14ac:dyDescent="0.25">
      <c r="A55" s="8"/>
      <c r="B55" s="5" t="s">
        <v>116</v>
      </c>
      <c r="C55" s="8"/>
      <c r="D55" s="6" t="s">
        <v>1203</v>
      </c>
      <c r="E55" s="33" t="s">
        <v>1232</v>
      </c>
      <c r="L55" s="5" t="s">
        <v>1126</v>
      </c>
      <c r="M55" s="11" t="e">
        <f>INDEX(cennik!$C$2:$L$529,MATCH($L55,cennik!$B$2:$B$522,0),MATCH(M$53,cennik!$C$1:$L$1,0))</f>
        <v>#N/A</v>
      </c>
      <c r="N55" s="11" t="e">
        <f>INDEX(cennik!$C$2:$L$529,MATCH($L55,cennik!$B$2:$B$522,0),MATCH(N$53,cennik!$C$1:$L$1,0))</f>
        <v>#N/A</v>
      </c>
      <c r="O55" s="14">
        <f>O54</f>
        <v>8</v>
      </c>
      <c r="P55" s="11" t="e">
        <f>INDEX(cennik!$C$2:$L$529,MATCH($L55,cennik!$B$2:$B$522,0),MATCH(P$53,cennik!$C$1:$L$1,0))</f>
        <v>#N/A</v>
      </c>
      <c r="Q55" s="14" t="e">
        <f t="shared" ref="Q55:Q74" si="15">O55*P55</f>
        <v>#N/A</v>
      </c>
      <c r="R55" s="14">
        <f t="shared" ref="R55:R73" si="16">$E$61</f>
        <v>0</v>
      </c>
      <c r="S55" s="34" t="e">
        <f>P55*((100-$E$61)/100)</f>
        <v>#N/A</v>
      </c>
      <c r="T55" s="14" t="e">
        <f t="shared" ref="T55:T74" si="17">O55*S55</f>
        <v>#N/A</v>
      </c>
      <c r="U55" s="34" t="e">
        <f>INDEX(cennik!$C$2:$L$529,MATCH($L55,cennik!$B$2:$B$522,0),MATCH(U$53,cennik!$C$1:$L$1,0))*O55</f>
        <v>#N/A</v>
      </c>
      <c r="AF55" s="63" t="s">
        <v>1207</v>
      </c>
      <c r="AO55" s="141" t="s">
        <v>1215</v>
      </c>
      <c r="AP55" s="141" t="s">
        <v>1220</v>
      </c>
      <c r="AY55" s="63" t="s">
        <v>1210</v>
      </c>
      <c r="AZ55" s="63" t="s">
        <v>1208</v>
      </c>
      <c r="BH55" s="60">
        <f t="shared" ref="BH55:BH65" si="18">IF(A55=0,0,IF(A55&gt;0,(A55+1)*C55))</f>
        <v>0</v>
      </c>
      <c r="BI55" s="60">
        <f t="shared" si="14"/>
        <v>0</v>
      </c>
    </row>
    <row r="56" spans="1:61" ht="15" customHeight="1" x14ac:dyDescent="0.25">
      <c r="A56" s="8"/>
      <c r="B56" s="5" t="s">
        <v>116</v>
      </c>
      <c r="C56" s="8"/>
      <c r="D56" s="6" t="s">
        <v>1204</v>
      </c>
      <c r="E56" s="33" t="s">
        <v>1208</v>
      </c>
      <c r="F56" s="135" t="str">
        <f>IF(AND(E55=AF52,E56=AF56),"należy zmienić wartość na klemy",IF(AND(E55&lt;&gt;AF52,E56&lt;&gt;AP69),"",""))</f>
        <v/>
      </c>
      <c r="L56" s="5" t="s">
        <v>1127</v>
      </c>
      <c r="M56" s="11" t="e">
        <f>INDEX(cennik!$C$2:$L$529,MATCH($L56,cennik!$B$2:$B$522,0),MATCH(M$53,cennik!$C$1:$L$1,0))</f>
        <v>#N/A</v>
      </c>
      <c r="N56" s="11" t="e">
        <f>INDEX(cennik!$C$2:$L$529,MATCH($L56,cennik!$B$2:$B$522,0),MATCH(N$53,cennik!$C$1:$L$1,0))</f>
        <v>#N/A</v>
      </c>
      <c r="O56" s="14">
        <f>E60</f>
        <v>0</v>
      </c>
      <c r="P56" s="11" t="e">
        <f>INDEX(cennik!$C$2:$L$529,MATCH($L56,cennik!$B$2:$B$522,0),MATCH(P$53,cennik!$C$1:$L$1,0))</f>
        <v>#N/A</v>
      </c>
      <c r="Q56" s="14" t="e">
        <f t="shared" si="15"/>
        <v>#N/A</v>
      </c>
      <c r="R56" s="14">
        <f t="shared" si="16"/>
        <v>0</v>
      </c>
      <c r="S56" s="34" t="e">
        <f>P56*((100-$E$61)/100)</f>
        <v>#N/A</v>
      </c>
      <c r="T56" s="14" t="e">
        <f t="shared" si="17"/>
        <v>#N/A</v>
      </c>
      <c r="U56" s="34" t="e">
        <f>INDEX(cennik!$C$2:$L$529,MATCH($L56,cennik!$B$2:$B$522,0),MATCH(U$53,cennik!$C$1:$L$1,0))*O56</f>
        <v>#N/A</v>
      </c>
      <c r="AF56" s="63" t="s">
        <v>1208</v>
      </c>
      <c r="AO56" s="141" t="s">
        <v>1216</v>
      </c>
      <c r="AP56" s="60" t="s">
        <v>1221</v>
      </c>
      <c r="BH56" s="60">
        <f t="shared" si="18"/>
        <v>0</v>
      </c>
      <c r="BI56" s="60">
        <f t="shared" si="14"/>
        <v>0</v>
      </c>
    </row>
    <row r="57" spans="1:61" ht="15" customHeight="1" x14ac:dyDescent="0.25">
      <c r="A57" s="8"/>
      <c r="B57" s="5" t="s">
        <v>116</v>
      </c>
      <c r="C57" s="8"/>
      <c r="D57" s="6" t="s">
        <v>307</v>
      </c>
      <c r="E57" s="33" t="s">
        <v>1211</v>
      </c>
      <c r="L57" s="52" t="s">
        <v>1222</v>
      </c>
      <c r="M57" s="11" t="e">
        <f>INDEX(cennik!$C$2:$L$529,MATCH($L57,cennik!$B$2:$B$522,0),MATCH(M$53,cennik!$C$1:$L$1,0))</f>
        <v>#N/A</v>
      </c>
      <c r="N57" s="11" t="e">
        <f>INDEX(cennik!$C$2:$L$529,MATCH($L57,cennik!$B$2:$B$522,0),MATCH(N$53,cennik!$C$1:$L$1,0))</f>
        <v>#N/A</v>
      </c>
      <c r="O57" s="11">
        <f>SUM((A53*C53),(A54*C54),(A55*C55),(A56*C56),(A57*C57),(A58*C58),(A59*C59),(A60*C60),(A61*C61),(A62*C62),(A63*C63),(A64*C64),(A65*C65),(A66*C66),(A67*C67),(A68*C68))</f>
        <v>4</v>
      </c>
      <c r="P57" s="11" t="e">
        <f>INDEX(cennik!$C$2:$L$529,MATCH($L57,cennik!$B$2:$B$522,0),MATCH(P$53,cennik!$C$1:$L$1,0))</f>
        <v>#N/A</v>
      </c>
      <c r="Q57" s="14" t="e">
        <f t="shared" si="15"/>
        <v>#N/A</v>
      </c>
      <c r="R57" s="14">
        <f t="shared" si="16"/>
        <v>0</v>
      </c>
      <c r="S57" s="34" t="e">
        <f>P57*((100-$E$61)/100)</f>
        <v>#N/A</v>
      </c>
      <c r="T57" s="14" t="e">
        <f t="shared" si="17"/>
        <v>#N/A</v>
      </c>
      <c r="U57" s="34" t="e">
        <f>INDEX(cennik!$C$2:$L$529,MATCH($L57,cennik!$B$2:$B$522,0),MATCH(U$53,cennik!$C$1:$L$1,0))*O57</f>
        <v>#N/A</v>
      </c>
      <c r="AF57" s="63"/>
      <c r="AO57" s="141" t="s">
        <v>1217</v>
      </c>
      <c r="AP57" s="141" t="s">
        <v>1218</v>
      </c>
      <c r="AY57" s="60" t="str" cm="1">
        <f t="array" aca="1" ref="AY57:AY58" ca="1">OFFSET(AZ52,MATCH(E55,AY53:AY55,0),0,COUNTIF(AY53:AY55,E55),1)</f>
        <v>klemy</v>
      </c>
      <c r="BH57" s="60">
        <f t="shared" si="18"/>
        <v>0</v>
      </c>
      <c r="BI57" s="60">
        <f t="shared" si="14"/>
        <v>0</v>
      </c>
    </row>
    <row r="58" spans="1:61" ht="15" customHeight="1" x14ac:dyDescent="0.25">
      <c r="A58" s="8"/>
      <c r="B58" s="5" t="s">
        <v>116</v>
      </c>
      <c r="C58" s="8"/>
      <c r="D58" s="6" t="s">
        <v>1205</v>
      </c>
      <c r="E58" s="33" t="s">
        <v>1216</v>
      </c>
      <c r="F58" s="17" t="str">
        <f>IF(AND(E57=AF58,E58="-"),"należy wskazać typ balastu",IF(AND(E57&lt;&gt;AF58,E58&lt;&gt;AP69),"należy zmienić wartość na -",""))</f>
        <v/>
      </c>
      <c r="L58" s="5" t="s">
        <v>1223</v>
      </c>
      <c r="M58" s="11">
        <f>INDEX(cennik!$C$2:$L$529,MATCH($L58,cennik!$B$2:$B$522,0),MATCH(M$53,cennik!$C$1:$L$1,0))</f>
        <v>894819</v>
      </c>
      <c r="N58" s="11" t="str">
        <f>INDEX(cennik!$C$2:$L$529,MATCH($L58,cennik!$B$2:$B$522,0),MATCH(N$53,cennik!$C$1:$L$1,0))</f>
        <v>szt.</v>
      </c>
      <c r="O58" s="14">
        <f>O54*3</f>
        <v>24</v>
      </c>
      <c r="P58" s="11">
        <f>INDEX(cennik!$C$2:$L$529,MATCH($L58,cennik!$B$2:$B$522,0),MATCH(P$53,cennik!$C$1:$L$1,0))</f>
        <v>1.85</v>
      </c>
      <c r="Q58" s="14">
        <f t="shared" si="15"/>
        <v>44.400000000000006</v>
      </c>
      <c r="R58" s="14">
        <f t="shared" si="16"/>
        <v>0</v>
      </c>
      <c r="S58" s="34">
        <f t="shared" ref="S58:S74" si="19">P58*((100-$E$61)/100)</f>
        <v>1.85</v>
      </c>
      <c r="T58" s="14">
        <f t="shared" si="17"/>
        <v>44.400000000000006</v>
      </c>
      <c r="U58" s="34">
        <f>INDEX(cennik!$C$2:$L$529,MATCH($L58,cennik!$B$2:$B$522,0),MATCH(U$53,cennik!$C$1:$L$1,0))*O58</f>
        <v>0.24</v>
      </c>
      <c r="AF58" s="141" t="s">
        <v>1211</v>
      </c>
      <c r="AH58" s="141" t="s">
        <v>1215</v>
      </c>
      <c r="AK58" s="141" t="s">
        <v>1218</v>
      </c>
      <c r="AO58" s="141" t="s">
        <v>1217</v>
      </c>
      <c r="AP58" s="141" t="s">
        <v>1219</v>
      </c>
      <c r="AY58" s="60" t="str">
        <f ca="1"/>
        <v>śruby</v>
      </c>
      <c r="BH58" s="60">
        <f t="shared" si="18"/>
        <v>0</v>
      </c>
      <c r="BI58" s="60">
        <f t="shared" si="14"/>
        <v>0</v>
      </c>
    </row>
    <row r="59" spans="1:61" ht="15" customHeight="1" x14ac:dyDescent="0.25">
      <c r="A59" s="8"/>
      <c r="B59" s="5" t="s">
        <v>116</v>
      </c>
      <c r="C59" s="8"/>
      <c r="D59" s="6" t="s">
        <v>1206</v>
      </c>
      <c r="E59" s="33" t="s">
        <v>1221</v>
      </c>
      <c r="F59" s="17" t="str">
        <f>IF(AND(E58&lt;&gt;AH59,E59="-"),"należy wskazać typ separatora",IF(AND(E58=AH59,E59&lt;&gt;AP69),"należy zmienić wartość na -",""))</f>
        <v/>
      </c>
      <c r="L59" s="5" t="s">
        <v>1224</v>
      </c>
      <c r="M59" s="11" t="e">
        <f>INDEX(cennik!$C$2:$L$529,MATCH($L59,cennik!$B$2:$B$522,0),MATCH(M$53,cennik!$C$1:$L$1,0))</f>
        <v>#N/A</v>
      </c>
      <c r="N59" s="11" t="e">
        <f>INDEX(cennik!$C$2:$L$529,MATCH($L59,cennik!$B$2:$B$522,0),MATCH(N$53,cennik!$C$1:$L$1,0))</f>
        <v>#N/A</v>
      </c>
      <c r="O59" s="14">
        <f>IF(E58=$AH$59,O54*2,0)</f>
        <v>16</v>
      </c>
      <c r="P59" s="11" t="e">
        <f>INDEX(cennik!$C$2:$L$529,MATCH($L59,cennik!$B$2:$B$522,0),MATCH(P$53,cennik!$C$1:$L$1,0))</f>
        <v>#N/A</v>
      </c>
      <c r="Q59" s="14" t="e">
        <f t="shared" si="15"/>
        <v>#N/A</v>
      </c>
      <c r="R59" s="14">
        <f t="shared" si="16"/>
        <v>0</v>
      </c>
      <c r="S59" s="34" t="e">
        <f t="shared" si="19"/>
        <v>#N/A</v>
      </c>
      <c r="T59" s="14" t="e">
        <f t="shared" si="17"/>
        <v>#N/A</v>
      </c>
      <c r="U59" s="34" t="e">
        <f>INDEX(cennik!$C$2:$L$529,MATCH($L59,cennik!$B$2:$B$522,0),MATCH(U$53,cennik!$C$1:$L$1,0))*O59</f>
        <v>#N/A</v>
      </c>
      <c r="AF59" s="141" t="s">
        <v>1212</v>
      </c>
      <c r="AH59" s="141" t="s">
        <v>1216</v>
      </c>
      <c r="AK59" s="141" t="s">
        <v>1219</v>
      </c>
      <c r="AO59" s="141" t="s">
        <v>1217</v>
      </c>
      <c r="AP59" s="141" t="s">
        <v>1220</v>
      </c>
      <c r="BH59" s="60">
        <f t="shared" si="18"/>
        <v>0</v>
      </c>
      <c r="BI59" s="60">
        <f t="shared" si="14"/>
        <v>0</v>
      </c>
    </row>
    <row r="60" spans="1:61" ht="15" customHeight="1" x14ac:dyDescent="0.25">
      <c r="A60" s="8"/>
      <c r="B60" s="5" t="s">
        <v>116</v>
      </c>
      <c r="C60" s="8"/>
      <c r="D60" s="6" t="s">
        <v>1235</v>
      </c>
      <c r="E60" s="33">
        <v>0</v>
      </c>
      <c r="L60" s="5" t="s">
        <v>1225</v>
      </c>
      <c r="M60" s="11" t="e">
        <f>INDEX(cennik!$C$2:$L$529,MATCH($L60,cennik!$B$2:$B$522,0),MATCH(M$53,cennik!$C$1:$L$1,0))</f>
        <v>#N/A</v>
      </c>
      <c r="N60" s="11" t="e">
        <f>INDEX(cennik!$C$2:$L$529,MATCH($L60,cennik!$B$2:$B$522,0),MATCH(N$53,cennik!$C$1:$L$1,0))</f>
        <v>#N/A</v>
      </c>
      <c r="O60" s="14">
        <f>IF(E59=$AK$60,O54*3,0)</f>
        <v>0</v>
      </c>
      <c r="P60" s="11" t="e">
        <f>INDEX(cennik!$C$2:$L$529,MATCH($L60,cennik!$B$2:$B$522,0),MATCH(P$53,cennik!$C$1:$L$1,0))</f>
        <v>#N/A</v>
      </c>
      <c r="Q60" s="14" t="e">
        <f t="shared" si="15"/>
        <v>#N/A</v>
      </c>
      <c r="R60" s="14">
        <f t="shared" si="16"/>
        <v>0</v>
      </c>
      <c r="S60" s="34" t="e">
        <f t="shared" si="19"/>
        <v>#N/A</v>
      </c>
      <c r="T60" s="14" t="e">
        <f t="shared" si="17"/>
        <v>#N/A</v>
      </c>
      <c r="U60" s="34" t="e">
        <f>INDEX(cennik!$C$2:$L$529,MATCH($L60,cennik!$B$2:$B$522,0),MATCH(U$53,cennik!$C$1:$L$1,0))*O60</f>
        <v>#N/A</v>
      </c>
      <c r="AF60" s="141" t="s">
        <v>1213</v>
      </c>
      <c r="AH60" s="141" t="s">
        <v>1217</v>
      </c>
      <c r="AK60" s="141" t="s">
        <v>1220</v>
      </c>
      <c r="AO60" s="60" t="str" cm="1">
        <f t="array" aca="1" ref="AO60" ca="1">OFFSET(AP52,MATCH(E58,AO53:AO59,0),0,COUNTIF(AO53:AO59,E58),1)</f>
        <v>-</v>
      </c>
      <c r="BH60" s="60">
        <f t="shared" si="18"/>
        <v>0</v>
      </c>
      <c r="BI60" s="60">
        <f t="shared" si="14"/>
        <v>0</v>
      </c>
    </row>
    <row r="61" spans="1:61" ht="15" customHeight="1" x14ac:dyDescent="0.25">
      <c r="A61" s="8"/>
      <c r="B61" s="5" t="s">
        <v>116</v>
      </c>
      <c r="C61" s="8"/>
      <c r="D61" s="6" t="s">
        <v>162</v>
      </c>
      <c r="E61" s="8">
        <v>0</v>
      </c>
      <c r="L61" s="5" t="str">
        <f>INDEX(($AE$201:$AF$201),1,MATCH(E62,$AE$190:$AF$190,0),1)</f>
        <v>PUFK</v>
      </c>
      <c r="M61" s="11">
        <f>INDEX(cennik!$C$2:$L$529,MATCH($L61,cennik!$B$2:$B$522,0),MATCH(M$53,cennik!$C$1:$L$1,0))</f>
        <v>890300</v>
      </c>
      <c r="N61" s="11" t="str">
        <f>INDEX(cennik!$C$2:$L$529,MATCH($L61,cennik!$B$2:$B$522,0),MATCH(N$53,cennik!$C$1:$L$1,0))</f>
        <v>szt.</v>
      </c>
      <c r="O61" s="14">
        <f>IF($E$55=$AF$53,AH66,IF($E$55=$AF$52,AH65,0))</f>
        <v>0</v>
      </c>
      <c r="P61" s="11">
        <f>INDEX(cennik!$C$2:$L$529,MATCH($L61,cennik!$B$2:$B$522,0),MATCH(P$53,cennik!$C$1:$L$1,0))</f>
        <v>7.31</v>
      </c>
      <c r="Q61" s="14">
        <f t="shared" si="15"/>
        <v>0</v>
      </c>
      <c r="R61" s="14">
        <f t="shared" si="16"/>
        <v>0</v>
      </c>
      <c r="S61" s="34">
        <f t="shared" si="19"/>
        <v>7.31</v>
      </c>
      <c r="T61" s="14">
        <f t="shared" si="17"/>
        <v>0</v>
      </c>
      <c r="U61" s="34">
        <f>INDEX(cennik!$C$2:$L$529,MATCH($L61,cennik!$B$2:$B$522,0),MATCH(U$53,cennik!$C$1:$L$1,0))*O61</f>
        <v>0</v>
      </c>
      <c r="AF61" s="141" t="s">
        <v>1214</v>
      </c>
      <c r="BH61" s="60">
        <f t="shared" si="18"/>
        <v>0</v>
      </c>
      <c r="BI61" s="60">
        <f t="shared" si="14"/>
        <v>0</v>
      </c>
    </row>
    <row r="62" spans="1:61" ht="15.75" customHeight="1" x14ac:dyDescent="0.25">
      <c r="A62" s="8"/>
      <c r="B62" s="5" t="s">
        <v>116</v>
      </c>
      <c r="C62" s="8"/>
      <c r="D62" s="6" t="s">
        <v>124</v>
      </c>
      <c r="E62" s="8" t="s">
        <v>125</v>
      </c>
      <c r="L62" s="5" t="str">
        <f>INDEX(($AE$191:$AF$201),MATCH(I54,$AD$191:$AD$200,0),MATCH(E62,$AE$190:$AF$190,0),1)</f>
        <v>BUFK30</v>
      </c>
      <c r="M62" s="11">
        <f>INDEX(cennik!$C$2:$L$529,MATCH($L62,cennik!$B$2:$B$522,0),MATCH(M$53,cennik!$C$1:$L$1,0))</f>
        <v>897430</v>
      </c>
      <c r="N62" s="11" t="str">
        <f>INDEX(cennik!$C$2:$L$529,MATCH($L62,cennik!$B$2:$B$522,0),MATCH(N$53,cennik!$C$1:$L$1,0))</f>
        <v>szt.</v>
      </c>
      <c r="O62" s="14">
        <f>IF($E$55=$AF$53,AI66,IF($E$55=$AF$52,AI65,0))</f>
        <v>0</v>
      </c>
      <c r="P62" s="11">
        <f>INDEX(cennik!$C$2:$L$529,MATCH($L62,cennik!$B$2:$B$522,0),MATCH(P$53,cennik!$C$1:$L$1,0))</f>
        <v>5.87</v>
      </c>
      <c r="Q62" s="14">
        <f t="shared" si="15"/>
        <v>0</v>
      </c>
      <c r="R62" s="14">
        <f t="shared" si="16"/>
        <v>0</v>
      </c>
      <c r="S62" s="34">
        <f t="shared" si="19"/>
        <v>5.87</v>
      </c>
      <c r="T62" s="14">
        <f t="shared" si="17"/>
        <v>0</v>
      </c>
      <c r="U62" s="34">
        <f>INDEX(cennik!$C$2:$L$529,MATCH($L62,cennik!$B$2:$B$522,0),MATCH(U$53,cennik!$C$1:$L$1,0))*O62</f>
        <v>0</v>
      </c>
      <c r="BH62" s="60">
        <f t="shared" si="18"/>
        <v>0</v>
      </c>
      <c r="BI62" s="60">
        <f t="shared" si="14"/>
        <v>0</v>
      </c>
    </row>
    <row r="63" spans="1:61" ht="15" customHeight="1" x14ac:dyDescent="0.25">
      <c r="A63" s="8"/>
      <c r="B63" s="5" t="s">
        <v>116</v>
      </c>
      <c r="C63" s="8"/>
      <c r="L63" s="5" t="s">
        <v>602</v>
      </c>
      <c r="M63" s="11">
        <f>INDEX(cennik!$C$2:$L$529,MATCH($L63,cennik!$B$2:$B$522,0),MATCH(M$53,cennik!$C$1:$L$1,0))</f>
        <v>858024</v>
      </c>
      <c r="N63" s="11" t="str">
        <f>INDEX(cennik!$C$2:$L$529,MATCH($L63,cennik!$B$2:$B$522,0),MATCH(N$53,cennik!$C$1:$L$1,0))</f>
        <v>szt.</v>
      </c>
      <c r="O63" s="14">
        <f>IF(E57=AF59,O54,0)</f>
        <v>0</v>
      </c>
      <c r="P63" s="11">
        <f>INDEX(cennik!$C$2:$L$529,MATCH($L63,cennik!$B$2:$B$522,0),MATCH(P$53,cennik!$C$1:$L$1,0))</f>
        <v>37.4</v>
      </c>
      <c r="Q63" s="14">
        <f t="shared" si="15"/>
        <v>0</v>
      </c>
      <c r="R63" s="14">
        <f t="shared" si="16"/>
        <v>0</v>
      </c>
      <c r="S63" s="34">
        <f t="shared" si="19"/>
        <v>37.4</v>
      </c>
      <c r="T63" s="14">
        <f t="shared" si="17"/>
        <v>0</v>
      </c>
      <c r="U63" s="34">
        <f>INDEX(cennik!$C$2:$L$529,MATCH($L63,cennik!$B$2:$B$522,0),MATCH(U$53,cennik!$C$1:$L$1,0))*O63</f>
        <v>0</v>
      </c>
      <c r="BH63" s="60">
        <f t="shared" si="18"/>
        <v>0</v>
      </c>
      <c r="BI63" s="60">
        <f t="shared" si="14"/>
        <v>0</v>
      </c>
    </row>
    <row r="64" spans="1:61" ht="15" customHeight="1" x14ac:dyDescent="0.25">
      <c r="A64" s="8"/>
      <c r="B64" s="5" t="s">
        <v>116</v>
      </c>
      <c r="C64" s="8"/>
      <c r="L64" s="5" t="s">
        <v>1226</v>
      </c>
      <c r="M64" s="11">
        <f>INDEX(cennik!$C$2:$L$529,MATCH($L64,cennik!$B$2:$B$522,0),MATCH(M$53,cennik!$C$1:$L$1,0))</f>
        <v>1618235</v>
      </c>
      <c r="N64" s="11" t="str">
        <f>INDEX(cennik!$C$2:$L$529,MATCH($L64,cennik!$B$2:$B$522,0),MATCH(N$53,cennik!$C$1:$L$1,0))</f>
        <v>mb.</v>
      </c>
      <c r="O64" s="14">
        <f>(ROUNDUP((IF(E58=AH58,(SUM((A53*C53),(A54*C54),(A55*C55),(A56*C56),(A57*C57),(A58*C58),(A59*C59),(A60*C60),(A61*C61),(A62*C62),(A63*C63),(A64*C64),(A65*C65),(A66*C66),(A67*C67),(A68*C68)))*(AF64/1000),0))/3,0))*3</f>
        <v>0</v>
      </c>
      <c r="P64" s="11">
        <f>INDEX(cennik!$C$2:$L$529,MATCH($L64,cennik!$B$2:$B$522,0),MATCH(P$53,cennik!$C$1:$L$1,0))</f>
        <v>42.28</v>
      </c>
      <c r="Q64" s="14">
        <f t="shared" si="15"/>
        <v>0</v>
      </c>
      <c r="R64" s="14">
        <f t="shared" si="16"/>
        <v>0</v>
      </c>
      <c r="S64" s="34">
        <f t="shared" si="19"/>
        <v>42.28</v>
      </c>
      <c r="T64" s="14">
        <f t="shared" si="17"/>
        <v>0</v>
      </c>
      <c r="U64" s="34">
        <f>INDEX(cennik!$C$2:$L$529,MATCH($L64,cennik!$B$2:$B$522,0),MATCH(U$53,cennik!$C$1:$L$1,0))*O64</f>
        <v>0</v>
      </c>
      <c r="AF64" s="60" cm="1">
        <f t="array" ref="AF64">INDEX(($Y$109:$Y$126),MATCH(E54,$X$109:$X$126,0),0)</f>
        <v>2350</v>
      </c>
      <c r="AH64" s="60" t="s">
        <v>1255</v>
      </c>
      <c r="AI64" s="60" t="s">
        <v>1256</v>
      </c>
      <c r="BH64" s="60">
        <f t="shared" si="18"/>
        <v>0</v>
      </c>
      <c r="BI64" s="60">
        <f t="shared" si="14"/>
        <v>0</v>
      </c>
    </row>
    <row r="65" spans="1:61" ht="15" customHeight="1" x14ac:dyDescent="0.25">
      <c r="A65" s="8"/>
      <c r="B65" s="5" t="s">
        <v>116</v>
      </c>
      <c r="C65" s="8"/>
      <c r="L65" s="5" t="s">
        <v>1227</v>
      </c>
      <c r="M65" s="11">
        <f>INDEX(cennik!$C$2:$L$529,MATCH($L65,cennik!$B$2:$B$522,0),MATCH(M$53,cennik!$C$1:$L$1,0))</f>
        <v>895511</v>
      </c>
      <c r="N65" s="11" t="str">
        <f>INDEX(cennik!$C$2:$L$529,MATCH($L65,cennik!$B$2:$B$522,0),MATCH(N$53,cennik!$C$1:$L$1,0))</f>
        <v>szt.</v>
      </c>
      <c r="O65" s="14">
        <f>IF(E59=AP53,O54*2,0)</f>
        <v>0</v>
      </c>
      <c r="P65" s="11">
        <f>INDEX(cennik!$C$2:$L$529,MATCH($L65,cennik!$B$2:$B$522,0),MATCH(P$53,cennik!$C$1:$L$1,0))</f>
        <v>4.8</v>
      </c>
      <c r="Q65" s="14">
        <f t="shared" si="15"/>
        <v>0</v>
      </c>
      <c r="R65" s="14">
        <f t="shared" si="16"/>
        <v>0</v>
      </c>
      <c r="S65" s="34">
        <f t="shared" si="19"/>
        <v>4.8</v>
      </c>
      <c r="T65" s="14">
        <f t="shared" si="17"/>
        <v>0</v>
      </c>
      <c r="U65" s="34">
        <f>INDEX(cennik!$C$2:$L$529,MATCH($L65,cennik!$B$2:$B$522,0),MATCH(U$53,cennik!$C$1:$L$1,0))*O65</f>
        <v>0</v>
      </c>
      <c r="AG65" s="60" t="s">
        <v>1257</v>
      </c>
      <c r="AH65" s="60">
        <f>IF(E56=AF56,0,IF(E56=AF55,SUM(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,IF(A65=0,0,IF(A65&gt;0,(A65-1)*2*C65)),IF(A66=0,0,IF(A66&gt;0,(A66-1)*2*C66)),IF(A67=0,0,IF(A67&gt;0,(A67-1)*2*C67)),IF(A68=0,0,IF(A68&gt;0,(A68-1)*2*C68)))))</f>
        <v>0</v>
      </c>
      <c r="AI65" s="60">
        <f>IF(E56=AF56,0,IF(E56=AF55,SUM(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IF(A64=0,0,IF((A64&gt;0),C64*4)),IF(A65=0,0,IF((A65&gt;0),C65*4)),IF(A66=0,0,IF((A66&gt;0),C66*4)),IF(A67=0,0,IF((A67&gt;0),C67*4)),,IF(A68=0,0,IF((A68&gt;0),C68*4)))))</f>
        <v>0</v>
      </c>
      <c r="AO65" s="63" t="s">
        <v>307</v>
      </c>
      <c r="AP65" s="63" t="s">
        <v>1205</v>
      </c>
      <c r="AQ65" s="63"/>
      <c r="BH65" s="60">
        <f t="shared" si="18"/>
        <v>0</v>
      </c>
      <c r="BI65" s="60">
        <f t="shared" si="14"/>
        <v>0</v>
      </c>
    </row>
    <row r="66" spans="1:61" ht="15" customHeight="1" x14ac:dyDescent="0.25">
      <c r="A66" s="8"/>
      <c r="B66" s="5" t="s">
        <v>116</v>
      </c>
      <c r="C66" s="8"/>
      <c r="L66" s="5" t="s">
        <v>1228</v>
      </c>
      <c r="M66" s="11" t="e">
        <f>INDEX(cennik!$C$2:$L$529,MATCH($L66,cennik!$B$2:$B$522,0),MATCH(M$53,cennik!$C$1:$L$1,0))</f>
        <v>#N/A</v>
      </c>
      <c r="N66" s="11" t="e">
        <f>INDEX(cennik!$C$2:$L$529,MATCH($L66,cennik!$B$2:$B$522,0),MATCH(N$53,cennik!$C$1:$L$1,0))</f>
        <v>#N/A</v>
      </c>
      <c r="O66" s="11">
        <f>ROUNDUP(O68/100,0)</f>
        <v>0</v>
      </c>
      <c r="P66" s="11" t="e">
        <f>INDEX(cennik!$C$2:$L$529,MATCH($L66,cennik!$B$2:$B$522,0),MATCH(P$53,cennik!$C$1:$L$1,0))</f>
        <v>#N/A</v>
      </c>
      <c r="Q66" s="14" t="e">
        <f t="shared" si="15"/>
        <v>#N/A</v>
      </c>
      <c r="R66" s="14">
        <f t="shared" si="16"/>
        <v>0</v>
      </c>
      <c r="S66" s="34" t="e">
        <f t="shared" si="19"/>
        <v>#N/A</v>
      </c>
      <c r="T66" s="14" t="e">
        <f t="shared" si="17"/>
        <v>#N/A</v>
      </c>
      <c r="U66" s="34" t="e">
        <f>INDEX(cennik!$C$2:$L$529,MATCH($L66,cennik!$B$2:$B$522,0),MATCH(U$53,cennik!$C$1:$L$1,0))*O66</f>
        <v>#N/A</v>
      </c>
      <c r="AG66" s="60" t="s">
        <v>1258</v>
      </c>
      <c r="AH66" s="60">
        <v>0</v>
      </c>
      <c r="AI66" s="60">
        <f>IF(E56=AF55,(SUM((A53*4*C53),(A54*4*C54),(A55*4*C55),(A56*4*C56),(A57*4*C57),(A58*4*C58),(A59*4*C59),(A60*4*C60),(A61*4*C61),(A62*4*C62),(A63*4*C63),(A64*4*C64),(A65*4*C65),(A66*4*C66),(A67*4*C67),(A68*4*C68))),0)</f>
        <v>0</v>
      </c>
      <c r="AO66" s="141" t="s">
        <v>1211</v>
      </c>
      <c r="AP66" s="141" t="s">
        <v>1215</v>
      </c>
      <c r="BH66" s="60">
        <f t="shared" ref="BH66:BH68" si="20">IF(A66=0,0,IF(A66&gt;0,(A66+1)*C66))</f>
        <v>0</v>
      </c>
      <c r="BI66" s="60">
        <f t="shared" ref="BI66:BI68" si="21">IF(A66=0,0,IF(A66&gt;0,(A66*2)*C66))</f>
        <v>0</v>
      </c>
    </row>
    <row r="67" spans="1:61" ht="15" customHeight="1" x14ac:dyDescent="0.25">
      <c r="A67" s="8"/>
      <c r="B67" s="5" t="s">
        <v>116</v>
      </c>
      <c r="C67" s="8"/>
      <c r="L67" s="5" t="s">
        <v>1229</v>
      </c>
      <c r="M67" s="11" t="e">
        <f>INDEX(cennik!$C$2:$L$529,MATCH($L67,cennik!$B$2:$B$522,0),MATCH(M$53,cennik!$C$1:$L$1,0))</f>
        <v>#N/A</v>
      </c>
      <c r="N67" s="11" t="e">
        <f>INDEX(cennik!$C$2:$L$529,MATCH($L67,cennik!$B$2:$B$522,0),MATCH(N$53,cennik!$C$1:$L$1,0))</f>
        <v>#N/A</v>
      </c>
      <c r="O67" s="14">
        <f>O66</f>
        <v>0</v>
      </c>
      <c r="P67" s="11" t="e">
        <f>INDEX(cennik!$C$2:$L$529,MATCH($L67,cennik!$B$2:$B$522,0),MATCH(P$53,cennik!$C$1:$L$1,0))</f>
        <v>#N/A</v>
      </c>
      <c r="Q67" s="14" t="e">
        <f t="shared" si="15"/>
        <v>#N/A</v>
      </c>
      <c r="R67" s="14">
        <f t="shared" si="16"/>
        <v>0</v>
      </c>
      <c r="S67" s="34" t="e">
        <f t="shared" si="19"/>
        <v>#N/A</v>
      </c>
      <c r="T67" s="14" t="e">
        <f t="shared" si="17"/>
        <v>#N/A</v>
      </c>
      <c r="U67" s="34" t="e">
        <f>INDEX(cennik!$C$2:$L$529,MATCH($L67,cennik!$B$2:$B$522,0),MATCH(U$53,cennik!$C$1:$L$1,0))*O67</f>
        <v>#N/A</v>
      </c>
      <c r="AO67" s="141" t="s">
        <v>1211</v>
      </c>
      <c r="AP67" s="141" t="s">
        <v>1216</v>
      </c>
      <c r="BH67" s="60">
        <f t="shared" si="20"/>
        <v>0</v>
      </c>
      <c r="BI67" s="60">
        <f t="shared" si="21"/>
        <v>0</v>
      </c>
    </row>
    <row r="68" spans="1:61" ht="15" customHeight="1" x14ac:dyDescent="0.25">
      <c r="A68" s="8"/>
      <c r="B68" s="5" t="s">
        <v>116</v>
      </c>
      <c r="C68" s="8"/>
      <c r="E68" s="17"/>
      <c r="L68" s="5" t="s">
        <v>91</v>
      </c>
      <c r="M68" s="11">
        <f>INDEX(cennik!$C$2:$L$529,MATCH($L68,cennik!$B$2:$B$522,0),MATCH(M$53,cennik!$C$1:$L$1,0))</f>
        <v>890433</v>
      </c>
      <c r="N68" s="11" t="str">
        <f>INDEX(cennik!$C$2:$L$529,MATCH($L68,cennik!$B$2:$B$522,0),MATCH(N$53,cennik!$C$1:$L$1,0))</f>
        <v>szt.</v>
      </c>
      <c r="O68" s="14">
        <f>IF(E57=AF61,O54*2,0)</f>
        <v>0</v>
      </c>
      <c r="P68" s="11">
        <f>INDEX(cennik!$C$2:$L$529,MATCH($L68,cennik!$B$2:$B$522,0),MATCH(P$53,cennik!$C$1:$L$1,0))</f>
        <v>20.36</v>
      </c>
      <c r="Q68" s="14">
        <f t="shared" si="15"/>
        <v>0</v>
      </c>
      <c r="R68" s="14">
        <f t="shared" si="16"/>
        <v>0</v>
      </c>
      <c r="S68" s="34">
        <f t="shared" si="19"/>
        <v>20.36</v>
      </c>
      <c r="T68" s="14">
        <f t="shared" si="17"/>
        <v>0</v>
      </c>
      <c r="U68" s="34">
        <f>INDEX(cennik!$C$2:$L$529,MATCH($L68,cennik!$B$2:$B$522,0),MATCH(U$53,cennik!$C$1:$L$1,0))*O68</f>
        <v>0</v>
      </c>
      <c r="AO68" s="141" t="s">
        <v>1211</v>
      </c>
      <c r="AP68" s="141" t="s">
        <v>1217</v>
      </c>
      <c r="BH68" s="60">
        <f t="shared" si="20"/>
        <v>0</v>
      </c>
      <c r="BI68" s="60">
        <f t="shared" si="21"/>
        <v>0</v>
      </c>
    </row>
    <row r="69" spans="1:61" ht="15" customHeight="1" x14ac:dyDescent="0.25">
      <c r="L69" s="5" t="s">
        <v>1230</v>
      </c>
      <c r="M69" s="11" t="e">
        <f>INDEX(cennik!$C$2:$L$529,MATCH($L69,cennik!$B$2:$B$522,0),MATCH(M$53,cennik!$C$1:$L$1,0))</f>
        <v>#N/A</v>
      </c>
      <c r="N69" s="11" t="e">
        <f>INDEX(cennik!$C$2:$L$529,MATCH($L69,cennik!$B$2:$B$522,0),MATCH(N$53,cennik!$C$1:$L$1,0))</f>
        <v>#N/A</v>
      </c>
      <c r="O69" s="14">
        <f>IF(E58=AH58,O54*2,0)</f>
        <v>0</v>
      </c>
      <c r="P69" s="11" t="e">
        <f>INDEX(cennik!$C$2:$L$529,MATCH($L69,cennik!$B$2:$B$522,0),MATCH(P$53,cennik!$C$1:$L$1,0))</f>
        <v>#N/A</v>
      </c>
      <c r="Q69" s="14" t="e">
        <f t="shared" si="15"/>
        <v>#N/A</v>
      </c>
      <c r="R69" s="14">
        <f t="shared" si="16"/>
        <v>0</v>
      </c>
      <c r="S69" s="34" t="e">
        <f t="shared" si="19"/>
        <v>#N/A</v>
      </c>
      <c r="T69" s="14" t="e">
        <f t="shared" si="17"/>
        <v>#N/A</v>
      </c>
      <c r="U69" s="34" t="e">
        <f>INDEX(cennik!$C$2:$L$529,MATCH($L69,cennik!$B$2:$B$522,0),MATCH(U$53,cennik!$C$1:$L$1,0))*O69</f>
        <v>#N/A</v>
      </c>
      <c r="AO69" s="141" t="s">
        <v>1212</v>
      </c>
      <c r="AP69" s="60" t="s">
        <v>1221</v>
      </c>
    </row>
    <row r="70" spans="1:61" ht="15" customHeight="1" x14ac:dyDescent="0.25">
      <c r="L70" s="5" t="s">
        <v>948</v>
      </c>
      <c r="M70" s="11">
        <f>INDEX(cennik!$C$2:$L$529,MATCH($L70,cennik!$B$2:$B$522,0),MATCH(M$53,cennik!$C$1:$L$1,0))</f>
        <v>858432</v>
      </c>
      <c r="N70" s="11" t="str">
        <f>INDEX(cennik!$C$2:$L$529,MATCH($L70,cennik!$B$2:$B$522,0),MATCH(N$53,cennik!$C$1:$L$1,0))</f>
        <v>szt.</v>
      </c>
      <c r="O70" s="14">
        <f>IF(E59=AK59,O54*2,0)</f>
        <v>0</v>
      </c>
      <c r="P70" s="11">
        <f>INDEX(cennik!$C$2:$L$529,MATCH($L70,cennik!$B$2:$B$522,0),MATCH(P$53,cennik!$C$1:$L$1,0))</f>
        <v>6.8</v>
      </c>
      <c r="Q70" s="14">
        <f t="shared" si="15"/>
        <v>0</v>
      </c>
      <c r="R70" s="14">
        <f t="shared" si="16"/>
        <v>0</v>
      </c>
      <c r="S70" s="34">
        <f t="shared" si="19"/>
        <v>6.8</v>
      </c>
      <c r="T70" s="14">
        <f t="shared" si="17"/>
        <v>0</v>
      </c>
      <c r="U70" s="34">
        <f>INDEX(cennik!$C$2:$L$529,MATCH($L70,cennik!$B$2:$B$522,0),MATCH(U$53,cennik!$C$1:$L$1,0))*O70</f>
        <v>0</v>
      </c>
      <c r="AO70" s="141" t="s">
        <v>1213</v>
      </c>
      <c r="AP70" s="60" t="s">
        <v>1221</v>
      </c>
    </row>
    <row r="71" spans="1:61" ht="15" customHeight="1" x14ac:dyDescent="0.25">
      <c r="F71" s="17" t="str">
        <f>IF(E57=AF60,"PROPOZYCJA KOTEW- DO WERFIKACJI","")</f>
        <v/>
      </c>
      <c r="L71" s="5" t="s">
        <v>1006</v>
      </c>
      <c r="M71" s="11">
        <f>INDEX(cennik!$C$2:$L$529,MATCH($L71,cennik!$B$2:$B$522,0),MATCH(M$53,cennik!$C$1:$L$1,0))</f>
        <v>650093</v>
      </c>
      <c r="N71" s="11" t="str">
        <f>INDEX(cennik!$C$2:$L$529,MATCH($L71,cennik!$B$2:$B$522,0),MATCH(N$53,cennik!$C$1:$L$1,0))</f>
        <v>szt.</v>
      </c>
      <c r="O71" s="14">
        <f>IF(E57=AF60,O54*2,0)</f>
        <v>0</v>
      </c>
      <c r="P71" s="11">
        <f>INDEX(cennik!$C$2:$L$529,MATCH($L71,cennik!$B$2:$B$522,0),MATCH(P$53,cennik!$C$1:$L$1,0))</f>
        <v>3.29</v>
      </c>
      <c r="Q71" s="14">
        <f t="shared" si="15"/>
        <v>0</v>
      </c>
      <c r="R71" s="14">
        <f t="shared" si="16"/>
        <v>0</v>
      </c>
      <c r="S71" s="34">
        <f t="shared" si="19"/>
        <v>3.29</v>
      </c>
      <c r="T71" s="14">
        <f t="shared" si="17"/>
        <v>0</v>
      </c>
      <c r="U71" s="34">
        <f>INDEX(cennik!$C$2:$L$529,MATCH($L71,cennik!$B$2:$B$522,0),MATCH(U$53,cennik!$C$1:$L$1,0))*O71</f>
        <v>0</v>
      </c>
      <c r="AO71" s="141" t="s">
        <v>1214</v>
      </c>
      <c r="AP71" s="60" t="s">
        <v>1221</v>
      </c>
    </row>
    <row r="72" spans="1:61" ht="15" customHeight="1" x14ac:dyDescent="0.25">
      <c r="L72" s="5" t="s">
        <v>297</v>
      </c>
      <c r="M72" s="11">
        <f>INDEX(cennik!$C$2:$L$529,MATCH($L72,cennik!$B$2:$B$522,0),MATCH(M$53,cennik!$C$1:$L$1,0))</f>
        <v>894824</v>
      </c>
      <c r="N72" s="11" t="str">
        <f>INDEX(cennik!$C$2:$L$529,MATCH($L72,cennik!$B$2:$B$522,0),MATCH(N$53,cennik!$C$1:$L$1,0))</f>
        <v>szt.</v>
      </c>
      <c r="O72" s="14">
        <f>O68*4</f>
        <v>0</v>
      </c>
      <c r="P72" s="11">
        <f>INDEX(cennik!$C$2:$L$529,MATCH($L72,cennik!$B$2:$B$522,0),MATCH(P$53,cennik!$C$1:$L$1,0))</f>
        <v>1.85</v>
      </c>
      <c r="Q72" s="14">
        <f t="shared" si="15"/>
        <v>0</v>
      </c>
      <c r="R72" s="14">
        <f t="shared" si="16"/>
        <v>0</v>
      </c>
      <c r="S72" s="34">
        <f t="shared" si="19"/>
        <v>1.85</v>
      </c>
      <c r="T72" s="14">
        <f t="shared" si="17"/>
        <v>0</v>
      </c>
      <c r="U72" s="34">
        <f>INDEX(cennik!$C$2:$L$529,MATCH($L72,cennik!$B$2:$B$522,0),MATCH(U$53,cennik!$C$1:$L$1,0))*O72</f>
        <v>0</v>
      </c>
    </row>
    <row r="73" spans="1:61" ht="15" customHeight="1" x14ac:dyDescent="0.25">
      <c r="L73" s="5" t="s">
        <v>67</v>
      </c>
      <c r="M73" s="11">
        <f>INDEX(cennik!$C$2:$L$529,MATCH($L73,cennik!$B$2:$B$522,0),MATCH(M$53,cennik!$C$1:$L$1,0))</f>
        <v>890008</v>
      </c>
      <c r="N73" s="11" t="str">
        <f>INDEX(cennik!$C$2:$L$529,MATCH($L73,cennik!$B$2:$B$522,0),MATCH(N$53,cennik!$C$1:$L$1,0))</f>
        <v>100 szt.</v>
      </c>
      <c r="O73" s="14">
        <f>O66</f>
        <v>0</v>
      </c>
      <c r="P73" s="11">
        <f>INDEX(cennik!$C$2:$L$529,MATCH($L73,cennik!$B$2:$B$522,0),MATCH(P$53,cennik!$C$1:$L$1,0))</f>
        <v>28.15</v>
      </c>
      <c r="Q73" s="14">
        <f t="shared" si="15"/>
        <v>0</v>
      </c>
      <c r="R73" s="14">
        <f t="shared" si="16"/>
        <v>0</v>
      </c>
      <c r="S73" s="34">
        <f t="shared" si="19"/>
        <v>28.15</v>
      </c>
      <c r="T73" s="14">
        <f t="shared" si="17"/>
        <v>0</v>
      </c>
      <c r="U73" s="34">
        <f>INDEX(cennik!$C$2:$L$529,MATCH($L73,cennik!$B$2:$B$522,0),MATCH(U$53,cennik!$C$1:$L$1,0))*O73</f>
        <v>0</v>
      </c>
      <c r="AO73" s="60" t="str" cm="1">
        <f t="array" aca="1" ref="AO73:AO75" ca="1">OFFSET(AP65,MATCH(E57,AO66:AO71,0),0,COUNTIF(AO66:AO71,E57),1)</f>
        <v>koryto na bloczki</v>
      </c>
    </row>
    <row r="74" spans="1:61" ht="15" customHeight="1" x14ac:dyDescent="0.25">
      <c r="L74" s="94" t="s">
        <v>786</v>
      </c>
      <c r="M74" s="11">
        <f>INDEX(cennik!$C$2:$L$529,MATCH($L74,cennik!$B$2:$B$522,0),MATCH(M$53,cennik!$C$1:$L$1,0))</f>
        <v>651541</v>
      </c>
      <c r="N74" s="11" t="str">
        <f>INDEX(cennik!$C$2:$L$529,MATCH($L74,cennik!$B$2:$B$522,0),MATCH(N$53,cennik!$C$1:$L$1,0))</f>
        <v>100 szt.</v>
      </c>
      <c r="O74" s="14">
        <f>IF(E56=AF56,(SUM((A53*C53),(A54*C54),(A55*C55),(A56*C56),(A57*C57),(A58*C58),(A59*C59),(A60*C60),(A61*C61),(A62*C62),(A63*C63),(A64*C64),(A65*C65),(A66*C66),(A67*C67),(A68*C68)))*4,0)</f>
        <v>16</v>
      </c>
      <c r="P74" s="11">
        <f>INDEX(cennik!$C$2:$L$529,MATCH($L74,cennik!$B$2:$B$522,0),MATCH(P$53,cennik!$C$1:$L$1,0))</f>
        <v>78.89</v>
      </c>
      <c r="Q74" s="14">
        <f t="shared" si="15"/>
        <v>1262.24</v>
      </c>
      <c r="R74" s="14">
        <f>$E$61</f>
        <v>0</v>
      </c>
      <c r="S74" s="34">
        <f t="shared" si="19"/>
        <v>78.89</v>
      </c>
      <c r="T74" s="14">
        <f t="shared" si="17"/>
        <v>1262.24</v>
      </c>
      <c r="U74" s="34">
        <f>INDEX(cennik!$C$2:$L$529,MATCH($L74,cennik!$B$2:$B$522,0),MATCH(U$53,cennik!$C$1:$L$1,0))*O74</f>
        <v>24.8</v>
      </c>
      <c r="AO74" s="60" t="str">
        <f ca="1"/>
        <v>stopy balastowe z regulacją</v>
      </c>
    </row>
    <row r="75" spans="1:61" ht="15" customHeight="1" x14ac:dyDescent="0.25">
      <c r="T75" s="4" t="e">
        <f>SUM(T54:T74)</f>
        <v>#N/A</v>
      </c>
      <c r="U75" s="134" t="e">
        <f>SUM(U54:U74)</f>
        <v>#N/A</v>
      </c>
      <c r="AO75" s="60" t="str">
        <f ca="1"/>
        <v>kostka w dolny profil</v>
      </c>
    </row>
    <row r="76" spans="1:61" ht="15" customHeight="1" x14ac:dyDescent="0.25">
      <c r="T76" s="4"/>
      <c r="U76" s="134"/>
    </row>
    <row r="77" spans="1:61" x14ac:dyDescent="0.25">
      <c r="T77" s="4"/>
      <c r="U77" s="134"/>
    </row>
    <row r="78" spans="1:61" ht="51.75" x14ac:dyDescent="0.25">
      <c r="A78" s="3" t="s">
        <v>410</v>
      </c>
      <c r="B78" s="3"/>
      <c r="C78" s="3" t="s">
        <v>121</v>
      </c>
      <c r="L78" s="360" t="str">
        <f>IF(E83=$AF$58,"KONSTRUKCJA DP-DNHBF-WSCHÓD/ZACHÓD",IF(E83=$AF$59,"KONSTRUKCJA DP-DNHKF-WSCHÓD/ZACHÓD",IF(E83=$AF$60,"KONSTRUKCJA DP-DNHWF-WSCHÓD/ZACHÓD",IF(E83=$AF$61,"KONSTRUKCJA DP-DNHKSF-WSCHÓD/ZACHÓD"))))</f>
        <v>KONSTRUKCJA DP-DNHBF-WSCHÓD/ZACHÓD</v>
      </c>
      <c r="M78" s="360"/>
      <c r="N78" s="360"/>
      <c r="O78" s="360"/>
      <c r="P78" s="360"/>
      <c r="Q78" s="360"/>
      <c r="R78" s="360"/>
      <c r="S78" s="360"/>
      <c r="T78" s="360"/>
      <c r="U78" s="360"/>
      <c r="AF78" s="60" t="s">
        <v>1231</v>
      </c>
      <c r="BH78" s="140" t="s">
        <v>1233</v>
      </c>
      <c r="BI78" s="140" t="s">
        <v>1234</v>
      </c>
    </row>
    <row r="79" spans="1:61" ht="15" customHeight="1" x14ac:dyDescent="0.25">
      <c r="A79" s="8">
        <v>10</v>
      </c>
      <c r="B79" s="5" t="s">
        <v>116</v>
      </c>
      <c r="C79" s="8">
        <v>1</v>
      </c>
      <c r="L79" s="5" t="s">
        <v>103</v>
      </c>
      <c r="M79" s="5" t="s">
        <v>104</v>
      </c>
      <c r="N79" s="5" t="s">
        <v>107</v>
      </c>
      <c r="O79" s="5" t="s">
        <v>290</v>
      </c>
      <c r="P79" s="5" t="s">
        <v>446</v>
      </c>
      <c r="Q79" s="5" t="s">
        <v>448</v>
      </c>
      <c r="R79" s="5" t="s">
        <v>409</v>
      </c>
      <c r="S79" s="5" t="s">
        <v>447</v>
      </c>
      <c r="T79" s="5" t="s">
        <v>449</v>
      </c>
      <c r="U79" s="5" t="s">
        <v>106</v>
      </c>
      <c r="AF79" s="60" t="s">
        <v>1232</v>
      </c>
      <c r="BH79" s="60">
        <f>IF(A79=0,0,IF(A79&gt;0,(A79/2+1)*C79))</f>
        <v>6</v>
      </c>
      <c r="BI79" s="60">
        <f>IF(A79=0,0,IF(A79&gt;0,(A79/2*2)*C79))</f>
        <v>10</v>
      </c>
    </row>
    <row r="80" spans="1:61" ht="15" customHeight="1" x14ac:dyDescent="0.25">
      <c r="A80" s="8"/>
      <c r="B80" s="5" t="s">
        <v>116</v>
      </c>
      <c r="C80" s="8"/>
      <c r="D80" s="6" t="s">
        <v>118</v>
      </c>
      <c r="E80" s="8" t="s">
        <v>113</v>
      </c>
      <c r="F80" s="5" t="s">
        <v>116</v>
      </c>
      <c r="G80" s="8" t="s">
        <v>114</v>
      </c>
      <c r="H80" s="5" t="s">
        <v>116</v>
      </c>
      <c r="I80" s="8">
        <v>30</v>
      </c>
      <c r="J80" s="5" t="s">
        <v>119</v>
      </c>
      <c r="L80" s="5" t="s">
        <v>1251</v>
      </c>
      <c r="M80" s="11" t="e">
        <f>INDEX(cennik!$C$2:$L$529,MATCH($L80,cennik!$B$2:$B$522,0),MATCH(M$53,cennik!$C$1:$L$1,0))</f>
        <v>#N/A</v>
      </c>
      <c r="N80" s="11" t="e">
        <f>INDEX(cennik!$C$2:$L$529,MATCH($L80,cennik!$B$2:$B$522,0),MATCH(N$53,cennik!$C$1:$L$1,0))</f>
        <v>#N/A</v>
      </c>
      <c r="O80" s="14">
        <f>IF(E81=AF79,SUM(BI79:BI94),IF(E81=AF78,SUM(BH79:BH94),0))</f>
        <v>6</v>
      </c>
      <c r="P80" s="11" t="e">
        <f>INDEX(cennik!$C$2:$L$529,MATCH($L80,cennik!$B$2:$B$522,0),MATCH(P$53,cennik!$C$1:$L$1,0))</f>
        <v>#N/A</v>
      </c>
      <c r="Q80" s="14" t="e">
        <f>O80*P80</f>
        <v>#N/A</v>
      </c>
      <c r="R80" s="14">
        <f>$E$88</f>
        <v>0</v>
      </c>
      <c r="S80" s="34" t="e">
        <f>P80*((100-$E$88)/100)</f>
        <v>#N/A</v>
      </c>
      <c r="T80" s="14" t="e">
        <f>O80*S80</f>
        <v>#N/A</v>
      </c>
      <c r="U80" s="34" t="e">
        <f>INDEX(cennik!$C$2:$L$529,MATCH($L80,cennik!$B$2:$B$522,0),MATCH(U$53,cennik!$C$1:$L$1,0))*O80</f>
        <v>#N/A</v>
      </c>
      <c r="BH80" s="60">
        <f t="shared" ref="BH80:BH93" si="22">IF(A80=0,0,IF(A80&gt;0,(A80+1)*C80))</f>
        <v>0</v>
      </c>
      <c r="BI80" s="60">
        <f t="shared" ref="BI80:BI94" si="23">IF(A80=0,0,IF(A80&gt;0,(A80*2)*C80))</f>
        <v>0</v>
      </c>
    </row>
    <row r="81" spans="1:61" ht="15" customHeight="1" x14ac:dyDescent="0.25">
      <c r="A81" s="8"/>
      <c r="B81" s="5" t="s">
        <v>116</v>
      </c>
      <c r="C81" s="8"/>
      <c r="D81" s="6" t="s">
        <v>1203</v>
      </c>
      <c r="E81" s="33" t="s">
        <v>1231</v>
      </c>
      <c r="L81" s="5" t="s">
        <v>1252</v>
      </c>
      <c r="M81" s="11" t="e">
        <f>INDEX(cennik!$C$2:$L$529,MATCH($L81,cennik!$B$2:$B$522,0),MATCH(M$53,cennik!$C$1:$L$1,0))</f>
        <v>#N/A</v>
      </c>
      <c r="N81" s="11" t="e">
        <f>INDEX(cennik!$C$2:$L$529,MATCH($L81,cennik!$B$2:$B$522,0),MATCH(N$53,cennik!$C$1:$L$1,0))</f>
        <v>#N/A</v>
      </c>
      <c r="O81" s="14">
        <f>O80</f>
        <v>6</v>
      </c>
      <c r="P81" s="11" t="e">
        <f>INDEX(cennik!$C$2:$L$529,MATCH($L81,cennik!$B$2:$B$522,0),MATCH(P$53,cennik!$C$1:$L$1,0))</f>
        <v>#N/A</v>
      </c>
      <c r="Q81" s="14" t="e">
        <f t="shared" ref="Q81:Q98" si="24">O81*P81</f>
        <v>#N/A</v>
      </c>
      <c r="R81" s="14">
        <f t="shared" ref="R81:R98" si="25">$E$88</f>
        <v>0</v>
      </c>
      <c r="S81" s="34" t="e">
        <f t="shared" ref="S81:S98" si="26">P81*((100-$E$88)/100)</f>
        <v>#N/A</v>
      </c>
      <c r="T81" s="14" t="e">
        <f t="shared" ref="T81:T99" si="27">O81*S81</f>
        <v>#N/A</v>
      </c>
      <c r="U81" s="34" t="e">
        <f>INDEX(cennik!$C$2:$L$529,MATCH($L81,cennik!$B$2:$B$522,0),MATCH(U$53,cennik!$C$1:$L$1,0))*O81</f>
        <v>#N/A</v>
      </c>
      <c r="BH81" s="60">
        <f t="shared" si="22"/>
        <v>0</v>
      </c>
      <c r="BI81" s="60">
        <f t="shared" si="23"/>
        <v>0</v>
      </c>
    </row>
    <row r="82" spans="1:61" ht="15" customHeight="1" x14ac:dyDescent="0.25">
      <c r="A82" s="8"/>
      <c r="B82" s="5" t="s">
        <v>116</v>
      </c>
      <c r="C82" s="8"/>
      <c r="D82" s="6" t="s">
        <v>1204</v>
      </c>
      <c r="E82" s="33" t="s">
        <v>1207</v>
      </c>
      <c r="F82" s="135" t="str">
        <f>IF(AND(E81=AF52,E82=AF56),"należy zmienić wartość na klemy",IF(AND(E81&lt;&gt;AF52,E82&lt;&gt;AP95),"",""))</f>
        <v/>
      </c>
      <c r="L82" s="5" t="s">
        <v>1253</v>
      </c>
      <c r="M82" s="11" t="e">
        <f>INDEX(cennik!$C$2:$L$529,MATCH($L82,cennik!$B$2:$B$522,0),MATCH(M$53,cennik!$C$1:$L$1,0))</f>
        <v>#N/A</v>
      </c>
      <c r="N82" s="11" t="e">
        <f>INDEX(cennik!$C$2:$L$529,MATCH($L82,cennik!$B$2:$B$522,0),MATCH(N$53,cennik!$C$1:$L$1,0))</f>
        <v>#N/A</v>
      </c>
      <c r="O82" s="14">
        <f>E87</f>
        <v>0</v>
      </c>
      <c r="P82" s="11" t="e">
        <f>INDEX(cennik!$C$2:$L$529,MATCH($L82,cennik!$B$2:$B$522,0),MATCH(P$53,cennik!$C$1:$L$1,0))</f>
        <v>#N/A</v>
      </c>
      <c r="Q82" s="14" t="e">
        <f t="shared" si="24"/>
        <v>#N/A</v>
      </c>
      <c r="R82" s="14">
        <f>$E$88</f>
        <v>0</v>
      </c>
      <c r="S82" s="34" t="e">
        <f t="shared" si="26"/>
        <v>#N/A</v>
      </c>
      <c r="T82" s="14" t="e">
        <f t="shared" si="27"/>
        <v>#N/A</v>
      </c>
      <c r="U82" s="34" t="e">
        <f>INDEX(cennik!$C$2:$L$529,MATCH($L82,cennik!$B$2:$B$522,0),MATCH(U$53,cennik!$C$1:$L$1,0))*O82</f>
        <v>#N/A</v>
      </c>
      <c r="BH82" s="60">
        <f t="shared" si="22"/>
        <v>0</v>
      </c>
      <c r="BI82" s="60">
        <f t="shared" si="23"/>
        <v>0</v>
      </c>
    </row>
    <row r="83" spans="1:61" ht="15" customHeight="1" x14ac:dyDescent="0.25">
      <c r="A83" s="8"/>
      <c r="B83" s="5" t="s">
        <v>116</v>
      </c>
      <c r="C83" s="8"/>
      <c r="D83" s="6" t="s">
        <v>307</v>
      </c>
      <c r="E83" s="33" t="s">
        <v>1211</v>
      </c>
      <c r="L83" s="5" t="str">
        <f>IF(E86=EB104,"LFT10MC",IF(E86=EB105,"LFT15MC",IF(E86=EB106,"LFT20MC",0)))</f>
        <v>LFT10MC</v>
      </c>
      <c r="M83" s="11" t="e">
        <f>INDEX(cennik!$C$2:$L$529,MATCH($L83,cennik!$B$2:$B$522,0),MATCH(M$53,cennik!$C$1:$L$1,0))</f>
        <v>#N/A</v>
      </c>
      <c r="N83" s="11" t="e">
        <f>INDEX(cennik!$C$2:$L$529,MATCH($L83,cennik!$B$2:$B$522,0),MATCH(N$53,cennik!$C$1:$L$1,0))</f>
        <v>#N/A</v>
      </c>
      <c r="O83" s="14">
        <f>O80</f>
        <v>6</v>
      </c>
      <c r="P83" s="11" t="e">
        <f>INDEX(cennik!$C$2:$L$529,MATCH($L83,cennik!$B$2:$B$522,0),MATCH(P$53,cennik!$C$1:$L$1,0))</f>
        <v>#N/A</v>
      </c>
      <c r="Q83" s="14" t="e">
        <f t="shared" si="24"/>
        <v>#N/A</v>
      </c>
      <c r="R83" s="14">
        <f t="shared" si="25"/>
        <v>0</v>
      </c>
      <c r="S83" s="34" t="e">
        <f t="shared" si="26"/>
        <v>#N/A</v>
      </c>
      <c r="T83" s="14" t="e">
        <f t="shared" si="27"/>
        <v>#N/A</v>
      </c>
      <c r="U83" s="34" t="e">
        <f>INDEX(cennik!$C$2:$L$529,MATCH($L83,cennik!$B$2:$B$522,0),MATCH(U$53,cennik!$C$1:$L$1,0))*O83</f>
        <v>#N/A</v>
      </c>
      <c r="BH83" s="60">
        <f t="shared" si="22"/>
        <v>0</v>
      </c>
      <c r="BI83" s="60">
        <f t="shared" si="23"/>
        <v>0</v>
      </c>
    </row>
    <row r="84" spans="1:61" ht="15" customHeight="1" x14ac:dyDescent="0.25">
      <c r="A84" s="8"/>
      <c r="B84" s="5" t="s">
        <v>116</v>
      </c>
      <c r="C84" s="8"/>
      <c r="D84" s="6" t="s">
        <v>1205</v>
      </c>
      <c r="E84" s="33" t="s">
        <v>1216</v>
      </c>
      <c r="F84" s="17" t="str">
        <f>IF(AND(E83=AF58,E84="-"),"należy wskazać typ balastu",IF(AND(E83&lt;&gt;AF58,E84&lt;&gt;AP69),"należy zmienić wartość na -",""))</f>
        <v/>
      </c>
      <c r="L84" s="5" t="s">
        <v>1224</v>
      </c>
      <c r="M84" s="11" t="e">
        <f>INDEX(cennik!$C$2:$L$529,MATCH($L84,cennik!$B$2:$B$522,0),MATCH(M$53,cennik!$C$1:$L$1,0))</f>
        <v>#N/A</v>
      </c>
      <c r="N84" s="11" t="e">
        <f>INDEX(cennik!$C$2:$L$529,MATCH($L84,cennik!$B$2:$B$522,0),MATCH(N$53,cennik!$C$1:$L$1,0))</f>
        <v>#N/A</v>
      </c>
      <c r="O84" s="14">
        <f>IF(E84=$AH$59,O80*2,0)</f>
        <v>12</v>
      </c>
      <c r="P84" s="11" t="e">
        <f>INDEX(cennik!$C$2:$L$529,MATCH($L84,cennik!$B$2:$B$522,0),MATCH(P$53,cennik!$C$1:$L$1,0))</f>
        <v>#N/A</v>
      </c>
      <c r="Q84" s="14" t="e">
        <f t="shared" si="24"/>
        <v>#N/A</v>
      </c>
      <c r="R84" s="14">
        <f t="shared" si="25"/>
        <v>0</v>
      </c>
      <c r="S84" s="34" t="e">
        <f t="shared" si="26"/>
        <v>#N/A</v>
      </c>
      <c r="T84" s="14" t="e">
        <f t="shared" si="27"/>
        <v>#N/A</v>
      </c>
      <c r="U84" s="34" t="e">
        <f>INDEX(cennik!$C$2:$L$529,MATCH($L84,cennik!$B$2:$B$522,0),MATCH(U$53,cennik!$C$1:$L$1,0))*O84</f>
        <v>#N/A</v>
      </c>
      <c r="BH84" s="60">
        <f t="shared" si="22"/>
        <v>0</v>
      </c>
      <c r="BI84" s="60">
        <f t="shared" si="23"/>
        <v>0</v>
      </c>
    </row>
    <row r="85" spans="1:61" ht="15" customHeight="1" x14ac:dyDescent="0.25">
      <c r="A85" s="8"/>
      <c r="B85" s="5" t="s">
        <v>116</v>
      </c>
      <c r="C85" s="8"/>
      <c r="D85" s="6" t="s">
        <v>1206</v>
      </c>
      <c r="E85" s="33" t="s">
        <v>1221</v>
      </c>
      <c r="F85" s="17" t="str">
        <f>IF(AND(E84&lt;&gt;AH59,E85="-"),"należy wskazać typ separatora",IF(AND(E84=AH59,E85&lt;&gt;AP69),"należy zmienić wartość na -",""))</f>
        <v/>
      </c>
      <c r="L85" s="5" t="s">
        <v>1225</v>
      </c>
      <c r="M85" s="11" t="e">
        <f>INDEX(cennik!$C$2:$L$529,MATCH($L85,cennik!$B$2:$B$522,0),MATCH(M$53,cennik!$C$1:$L$1,0))</f>
        <v>#N/A</v>
      </c>
      <c r="N85" s="11" t="e">
        <f>INDEX(cennik!$C$2:$L$529,MATCH($L85,cennik!$B$2:$B$522,0),MATCH(N$53,cennik!$C$1:$L$1,0))</f>
        <v>#N/A</v>
      </c>
      <c r="O85" s="14">
        <f>IF(E85=$AK$60,O80*2,0)</f>
        <v>0</v>
      </c>
      <c r="P85" s="11" t="e">
        <f>INDEX(cennik!$C$2:$L$529,MATCH($L85,cennik!$B$2:$B$522,0),MATCH(P$53,cennik!$C$1:$L$1,0))</f>
        <v>#N/A</v>
      </c>
      <c r="Q85" s="14" t="e">
        <f t="shared" si="24"/>
        <v>#N/A</v>
      </c>
      <c r="R85" s="14">
        <f t="shared" si="25"/>
        <v>0</v>
      </c>
      <c r="S85" s="34" t="e">
        <f>P85*((100-$E$88)/100)</f>
        <v>#N/A</v>
      </c>
      <c r="T85" s="14" t="e">
        <f t="shared" si="27"/>
        <v>#N/A</v>
      </c>
      <c r="U85" s="34" t="e">
        <f>INDEX(cennik!$C$2:$L$529,MATCH($L85,cennik!$B$2:$B$522,0),MATCH(U$53,cennik!$C$1:$L$1,0))*O85</f>
        <v>#N/A</v>
      </c>
      <c r="BH85" s="60">
        <f t="shared" si="22"/>
        <v>0</v>
      </c>
      <c r="BI85" s="60">
        <f t="shared" si="23"/>
        <v>0</v>
      </c>
    </row>
    <row r="86" spans="1:61" ht="15" customHeight="1" x14ac:dyDescent="0.25">
      <c r="A86" s="8"/>
      <c r="B86" s="5" t="s">
        <v>116</v>
      </c>
      <c r="C86" s="8"/>
      <c r="D86" s="6" t="s">
        <v>310</v>
      </c>
      <c r="E86" s="33">
        <v>10</v>
      </c>
      <c r="L86" s="5" t="str">
        <f>INDEX(($AE$201:$AF$201),1,MATCH(E89,$AE$190:$AF$190,0),1)</f>
        <v>PUFK</v>
      </c>
      <c r="M86" s="11">
        <f>INDEX(cennik!$C$2:$L$529,MATCH($L86,cennik!$B$2:$B$522,0),MATCH(M$53,cennik!$C$1:$L$1,0))</f>
        <v>890300</v>
      </c>
      <c r="N86" s="11" t="str">
        <f>INDEX(cennik!$C$2:$L$529,MATCH($L86,cennik!$B$2:$B$522,0),MATCH(N$53,cennik!$C$1:$L$1,0))</f>
        <v>szt.</v>
      </c>
      <c r="O86" s="14">
        <f>IF($E$81=$AF$53,AH92,IF($E$81=$AF$52,AH91,0))</f>
        <v>16</v>
      </c>
      <c r="P86" s="11">
        <f>INDEX(cennik!$C$2:$L$529,MATCH($L86,cennik!$B$2:$B$522,0),MATCH(P$53,cennik!$C$1:$L$1,0))</f>
        <v>7.31</v>
      </c>
      <c r="Q86" s="14">
        <f t="shared" si="24"/>
        <v>116.96</v>
      </c>
      <c r="R86" s="14">
        <f>$E$88</f>
        <v>0</v>
      </c>
      <c r="S86" s="34">
        <f t="shared" si="26"/>
        <v>7.31</v>
      </c>
      <c r="T86" s="14">
        <f t="shared" si="27"/>
        <v>116.96</v>
      </c>
      <c r="U86" s="34">
        <f>INDEX(cennik!$C$2:$L$529,MATCH($L86,cennik!$B$2:$B$522,0),MATCH(U$53,cennik!$C$1:$L$1,0))*O86</f>
        <v>0.64</v>
      </c>
      <c r="BH86" s="60">
        <f t="shared" si="22"/>
        <v>0</v>
      </c>
      <c r="BI86" s="60">
        <f t="shared" si="23"/>
        <v>0</v>
      </c>
    </row>
    <row r="87" spans="1:61" ht="15" customHeight="1" x14ac:dyDescent="0.25">
      <c r="A87" s="8"/>
      <c r="B87" s="5" t="s">
        <v>116</v>
      </c>
      <c r="C87" s="8"/>
      <c r="D87" s="6" t="s">
        <v>1235</v>
      </c>
      <c r="E87" s="33">
        <v>0</v>
      </c>
      <c r="L87" s="5" t="str">
        <f>INDEX(($AE$191:$AF$201),MATCH(I80,$AD$191:$AD$200,0),MATCH(E89,$AE$190:$AF$190,0),1)</f>
        <v>BUFK30</v>
      </c>
      <c r="M87" s="11">
        <f>INDEX(cennik!$C$2:$L$529,MATCH($L87,cennik!$B$2:$B$522,0),MATCH(M$53,cennik!$C$1:$L$1,0))</f>
        <v>897430</v>
      </c>
      <c r="N87" s="11" t="str">
        <f>INDEX(cennik!$C$2:$L$529,MATCH($L87,cennik!$B$2:$B$522,0),MATCH(N$53,cennik!$C$1:$L$1,0))</f>
        <v>szt.</v>
      </c>
      <c r="O87" s="14">
        <f>IF($E$81=$AF$53,AI92,IF($E$81=$AF$52,AI91,0))</f>
        <v>8</v>
      </c>
      <c r="P87" s="11">
        <f>INDEX(cennik!$C$2:$L$529,MATCH($L87,cennik!$B$2:$B$522,0),MATCH(P$53,cennik!$C$1:$L$1,0))</f>
        <v>5.87</v>
      </c>
      <c r="Q87" s="14">
        <f t="shared" si="24"/>
        <v>46.96</v>
      </c>
      <c r="R87" s="14">
        <f t="shared" si="25"/>
        <v>0</v>
      </c>
      <c r="S87" s="34">
        <f t="shared" si="26"/>
        <v>5.87</v>
      </c>
      <c r="T87" s="14">
        <f t="shared" si="27"/>
        <v>46.96</v>
      </c>
      <c r="U87" s="34">
        <f>INDEX(cennik!$C$2:$L$529,MATCH($L87,cennik!$B$2:$B$522,0),MATCH(U$53,cennik!$C$1:$L$1,0))*O87</f>
        <v>0.32</v>
      </c>
      <c r="BH87" s="60">
        <f t="shared" si="22"/>
        <v>0</v>
      </c>
      <c r="BI87" s="60">
        <f t="shared" si="23"/>
        <v>0</v>
      </c>
    </row>
    <row r="88" spans="1:61" ht="15" customHeight="1" x14ac:dyDescent="0.25">
      <c r="A88" s="8"/>
      <c r="B88" s="5" t="s">
        <v>116</v>
      </c>
      <c r="C88" s="8"/>
      <c r="D88" s="6" t="s">
        <v>162</v>
      </c>
      <c r="E88" s="8">
        <v>0</v>
      </c>
      <c r="L88" s="5" t="s">
        <v>602</v>
      </c>
      <c r="M88" s="11">
        <f>INDEX(cennik!$C$2:$L$529,MATCH($L88,cennik!$B$2:$B$522,0),MATCH(M$53,cennik!$C$1:$L$1,0))</f>
        <v>858024</v>
      </c>
      <c r="N88" s="11" t="str">
        <f>INDEX(cennik!$C$2:$L$529,MATCH($L88,cennik!$B$2:$B$522,0),MATCH(N$53,cennik!$C$1:$L$1,0))</f>
        <v>szt.</v>
      </c>
      <c r="O88" s="14">
        <f>IF(E83=AF59,O80*2,0)</f>
        <v>0</v>
      </c>
      <c r="P88" s="11">
        <f>INDEX(cennik!$C$2:$L$529,MATCH($L88,cennik!$B$2:$B$522,0),MATCH(P$53,cennik!$C$1:$L$1,0))</f>
        <v>37.4</v>
      </c>
      <c r="Q88" s="14">
        <f t="shared" si="24"/>
        <v>0</v>
      </c>
      <c r="R88" s="14">
        <f t="shared" si="25"/>
        <v>0</v>
      </c>
      <c r="S88" s="34">
        <f t="shared" si="26"/>
        <v>37.4</v>
      </c>
      <c r="T88" s="14">
        <f t="shared" si="27"/>
        <v>0</v>
      </c>
      <c r="U88" s="34">
        <f>INDEX(cennik!$C$2:$L$529,MATCH($L88,cennik!$B$2:$B$522,0),MATCH(U$53,cennik!$C$1:$L$1,0))*O88</f>
        <v>0</v>
      </c>
      <c r="BH88" s="60">
        <f t="shared" si="22"/>
        <v>0</v>
      </c>
      <c r="BI88" s="60">
        <f t="shared" si="23"/>
        <v>0</v>
      </c>
    </row>
    <row r="89" spans="1:61" ht="15" customHeight="1" x14ac:dyDescent="0.25">
      <c r="A89" s="8"/>
      <c r="B89" s="5" t="s">
        <v>116</v>
      </c>
      <c r="C89" s="8"/>
      <c r="D89" s="6" t="s">
        <v>124</v>
      </c>
      <c r="E89" s="8" t="s">
        <v>125</v>
      </c>
      <c r="L89" s="29" t="s">
        <v>1226</v>
      </c>
      <c r="M89" s="11">
        <f>INDEX(cennik!$C$2:$L$529,MATCH($L89,cennik!$B$2:$B$522,0),MATCH(M$53,cennik!$C$1:$L$1,0))</f>
        <v>1618235</v>
      </c>
      <c r="N89" s="11" t="str">
        <f>INDEX(cennik!$C$2:$L$529,MATCH($L89,cennik!$B$2:$B$522,0),MATCH(N$53,cennik!$C$1:$L$1,0))</f>
        <v>mb.</v>
      </c>
      <c r="O89" s="14">
        <f>(ROUNDUP((IF(E84=AH58,(SUM((A79*C79),(A80*C80),(A81*C81),(A82*C82),(A83*C83),(A84*C84),(A85*C85),(A86*C86),(A87*C87),(A88*C88),(A89*C89),(A90*C90),(A91*C91),(A92*C92),(A93*C93),(A94*C94)))*(AF90/1000),0))/3,0))*3</f>
        <v>0</v>
      </c>
      <c r="P89" s="11">
        <f>INDEX(cennik!$C$2:$L$529,MATCH($L89,cennik!$B$2:$B$522,0),MATCH(P$53,cennik!$C$1:$L$1,0))</f>
        <v>42.28</v>
      </c>
      <c r="Q89" s="14">
        <f t="shared" si="24"/>
        <v>0</v>
      </c>
      <c r="R89" s="14">
        <f t="shared" si="25"/>
        <v>0</v>
      </c>
      <c r="S89" s="34">
        <f t="shared" si="26"/>
        <v>42.28</v>
      </c>
      <c r="T89" s="14">
        <f t="shared" si="27"/>
        <v>0</v>
      </c>
      <c r="U89" s="34">
        <f>INDEX(cennik!$C$2:$L$529,MATCH($L89,cennik!$B$2:$B$522,0),MATCH(U$53,cennik!$C$1:$L$1,0))*O89</f>
        <v>0</v>
      </c>
      <c r="BH89" s="60">
        <f t="shared" si="22"/>
        <v>0</v>
      </c>
      <c r="BI89" s="60">
        <f t="shared" si="23"/>
        <v>0</v>
      </c>
    </row>
    <row r="90" spans="1:61" ht="15" customHeight="1" x14ac:dyDescent="0.25">
      <c r="A90" s="8"/>
      <c r="B90" s="5" t="s">
        <v>116</v>
      </c>
      <c r="C90" s="8"/>
      <c r="L90" s="5" t="s">
        <v>1227</v>
      </c>
      <c r="M90" s="11">
        <f>INDEX(cennik!$C$2:$L$529,MATCH($L90,cennik!$B$2:$B$522,0),MATCH(M$53,cennik!$C$1:$L$1,0))</f>
        <v>895511</v>
      </c>
      <c r="N90" s="11" t="str">
        <f>INDEX(cennik!$C$2:$L$529,MATCH($L90,cennik!$B$2:$B$522,0),MATCH(N$53,cennik!$C$1:$L$1,0))</f>
        <v>szt.</v>
      </c>
      <c r="O90" s="14">
        <f>IF(E85=AP57,O80*3,0)</f>
        <v>0</v>
      </c>
      <c r="P90" s="11">
        <f>INDEX(cennik!$C$2:$L$529,MATCH($L90,cennik!$B$2:$B$522,0),MATCH(P$53,cennik!$C$1:$L$1,0))</f>
        <v>4.8</v>
      </c>
      <c r="Q90" s="14">
        <f t="shared" si="24"/>
        <v>0</v>
      </c>
      <c r="R90" s="14">
        <f t="shared" si="25"/>
        <v>0</v>
      </c>
      <c r="S90" s="34">
        <f t="shared" si="26"/>
        <v>4.8</v>
      </c>
      <c r="T90" s="14">
        <f t="shared" si="27"/>
        <v>0</v>
      </c>
      <c r="U90" s="34">
        <f>INDEX(cennik!$C$2:$L$529,MATCH($L90,cennik!$B$2:$B$522,0),MATCH(U$53,cennik!$C$1:$L$1,0))*O90</f>
        <v>0</v>
      </c>
      <c r="AF90" s="60" cm="1">
        <f t="array" ref="AF90">INDEX(($Y$109:$Y$126),MATCH(E80,$X$109:$X$126,0),0)</f>
        <v>2000</v>
      </c>
      <c r="AH90" s="60" t="s">
        <v>1255</v>
      </c>
      <c r="AI90" s="60" t="s">
        <v>1256</v>
      </c>
      <c r="BH90" s="60">
        <f t="shared" si="22"/>
        <v>0</v>
      </c>
      <c r="BI90" s="60">
        <f t="shared" si="23"/>
        <v>0</v>
      </c>
    </row>
    <row r="91" spans="1:61" ht="15" customHeight="1" x14ac:dyDescent="0.25">
      <c r="A91" s="8"/>
      <c r="B91" s="5" t="s">
        <v>116</v>
      </c>
      <c r="C91" s="8"/>
      <c r="L91" s="5" t="s">
        <v>1228</v>
      </c>
      <c r="M91" s="11" t="e">
        <f>INDEX(cennik!$C$2:$L$529,MATCH($L91,cennik!$B$2:$B$522,0),MATCH(M$53,cennik!$C$1:$L$1,0))</f>
        <v>#N/A</v>
      </c>
      <c r="N91" s="11" t="e">
        <f>INDEX(cennik!$C$2:$L$529,MATCH($L91,cennik!$B$2:$B$522,0),MATCH(N$53,cennik!$C$1:$L$1,0))</f>
        <v>#N/A</v>
      </c>
      <c r="O91" s="11">
        <f>ROUNDUP(O93/100,0)</f>
        <v>0</v>
      </c>
      <c r="P91" s="11" t="e">
        <f>INDEX(cennik!$C$2:$L$529,MATCH($L91,cennik!$B$2:$B$522,0),MATCH(P$53,cennik!$C$1:$L$1,0))</f>
        <v>#N/A</v>
      </c>
      <c r="Q91" s="14" t="e">
        <f t="shared" si="24"/>
        <v>#N/A</v>
      </c>
      <c r="R91" s="14">
        <f>$E$88</f>
        <v>0</v>
      </c>
      <c r="S91" s="34" t="e">
        <f t="shared" si="26"/>
        <v>#N/A</v>
      </c>
      <c r="T91" s="14" t="e">
        <f t="shared" si="27"/>
        <v>#N/A</v>
      </c>
      <c r="U91" s="34" t="e">
        <f>INDEX(cennik!$C$2:$L$529,MATCH($L91,cennik!$B$2:$B$522,0),MATCH(U$53,cennik!$C$1:$L$1,0))*O91</f>
        <v>#N/A</v>
      </c>
      <c r="AG91" s="60" t="s">
        <v>1257</v>
      </c>
      <c r="AH91" s="60">
        <f>IF(E82=AF56,0,IF(E82=AF55,SUM(IF(A79=0,0,IF(A79&gt;0,(A79/2-1)*4*C79)),IF(A80=0,0,IF(A80&gt;0,(A80/2-1)*4*C80)),IF(A81=0,0,IF(A81&gt;0,(A81/2-1)*4*C81)),IF(A82=0,0,IF(A82&gt;0,(A82/2-1)*4*C82)),IF(A83=0,0,IF(A83&gt;0,(A83/2-1)*4*C83)),IF(A84=0,0,IF(A84&gt;0,(A84/2-1)*4*C84)),IF(A85=0,0,IF(A85&gt;0,(A85/2-1)*4*C85)),IF(A86=0,0,IF(A86&gt;0,(A86/2-1)*4*C86)),IF(A87=0,0,IF(A87&gt;0,(A87/2-1)*4*C87)),IF(A88=0,0,IF(A88&gt;0,(A88/2-1)*4*C88)),IF(A89=0,0,IF(A89&gt;0,(A89/2-1)*4*C89)),IF(A90=0,0,IF(A90&gt;0,(A90/2-1)*4*C90)),IF(A91=0,0,IF(A91&gt;0,(A91/2-1)*4*C91)),IF(A92=0,0,IF(A92&gt;0,(A92/2-1)*4*C92)),IF(A93=0,0,IF(A93&gt;0,(A93/2-1)*4*C93)),IF(A94=0,0,IF(A94&gt;0,(A94/2-1)*4*C94)))))</f>
        <v>16</v>
      </c>
      <c r="AI91" s="60">
        <f>IF(E82=AF56,0,IF(E82=AF55,SUM(IF(A79=0,0,IF((A79&gt;0),C79*8)),IF(A80=0,0,IF((A80&gt;0),C80*8)),IF(A81=0,0,IF((A81&gt;0),C81*8)),IF(A82=0,0,IF((A82&gt;0),C82*8)),IF(A83=0,0,IF((A83&gt;0),C83*8)),IF(A84=0,0,IF((A84&gt;0),C84*8)),IF(A85=0,0,IF((A85&gt;0),C85*8)),IF(A86=0,0,IF((A86&gt;0),C86*8)),IF(A87=0,0,IF((A87&gt;0),C87*8)),IF(A88=0,0,IF((A88&gt;0),C88*8)),IF(A89=0,0,IF((A89&gt;0),C89*8)),IF(A90=0,0,IF((A90&gt;0),C90*8)),IF(A91=0,0,IF((A91&gt;0),C91*8)),IF(A92=0,0,IF((A92&gt;0),C92*8)),IF(A93=0,0,IF((A93&gt;0),C93*8)),,IF(A94=0,0,IF((A94&gt;0),C94*8)))))</f>
        <v>8</v>
      </c>
      <c r="BH91" s="60">
        <f t="shared" si="22"/>
        <v>0</v>
      </c>
      <c r="BI91" s="60">
        <f t="shared" si="23"/>
        <v>0</v>
      </c>
    </row>
    <row r="92" spans="1:61" ht="15" customHeight="1" x14ac:dyDescent="0.25">
      <c r="A92" s="8"/>
      <c r="B92" s="5" t="s">
        <v>116</v>
      </c>
      <c r="C92" s="8"/>
      <c r="L92" s="5" t="s">
        <v>1229</v>
      </c>
      <c r="M92" s="11" t="e">
        <f>INDEX(cennik!$C$2:$L$529,MATCH($L92,cennik!$B$2:$B$522,0),MATCH(M$53,cennik!$C$1:$L$1,0))</f>
        <v>#N/A</v>
      </c>
      <c r="N92" s="11" t="e">
        <f>INDEX(cennik!$C$2:$L$529,MATCH($L92,cennik!$B$2:$B$522,0),MATCH(N$53,cennik!$C$1:$L$1,0))</f>
        <v>#N/A</v>
      </c>
      <c r="O92" s="14">
        <f>O91</f>
        <v>0</v>
      </c>
      <c r="P92" s="11" t="e">
        <f>INDEX(cennik!$C$2:$L$529,MATCH($L92,cennik!$B$2:$B$522,0),MATCH(P$53,cennik!$C$1:$L$1,0))</f>
        <v>#N/A</v>
      </c>
      <c r="Q92" s="14" t="e">
        <f t="shared" si="24"/>
        <v>#N/A</v>
      </c>
      <c r="R92" s="14">
        <f t="shared" si="25"/>
        <v>0</v>
      </c>
      <c r="S92" s="34" t="e">
        <f t="shared" si="26"/>
        <v>#N/A</v>
      </c>
      <c r="T92" s="14" t="e">
        <f t="shared" si="27"/>
        <v>#N/A</v>
      </c>
      <c r="U92" s="34" t="e">
        <f>INDEX(cennik!$C$2:$L$529,MATCH($L92,cennik!$B$2:$B$522,0),MATCH(U$53,cennik!$C$1:$L$1,0))*O92</f>
        <v>#N/A</v>
      </c>
      <c r="AG92" s="60" t="s">
        <v>1258</v>
      </c>
      <c r="AH92" s="60">
        <v>0</v>
      </c>
      <c r="AI92" s="60">
        <f>IF(E82=AF55,(SUM((A79*4*C79),(A80*4*C80),(A81*4*C81),(A82*4*C82),(A83*4*C83),(A84*4*C84),(A85*4*C85),(A86*4*C86),(A87*4*C87),(A88*4*C88),(A89*4*C89),(A90*4*C90),(A91*4*C91),(A92*4*C92),(A93*4*C93),(A94*4*C94))),0)</f>
        <v>40</v>
      </c>
      <c r="BH92" s="60">
        <f t="shared" si="22"/>
        <v>0</v>
      </c>
      <c r="BI92" s="60">
        <f t="shared" si="23"/>
        <v>0</v>
      </c>
    </row>
    <row r="93" spans="1:61" ht="15" customHeight="1" x14ac:dyDescent="0.25">
      <c r="A93" s="8"/>
      <c r="B93" s="5" t="s">
        <v>116</v>
      </c>
      <c r="C93" s="8"/>
      <c r="L93" s="5" t="s">
        <v>91</v>
      </c>
      <c r="M93" s="11">
        <f>INDEX(cennik!$C$2:$L$529,MATCH($L93,cennik!$B$2:$B$522,0),MATCH(M$53,cennik!$C$1:$L$1,0))</f>
        <v>890433</v>
      </c>
      <c r="N93" s="11" t="str">
        <f>INDEX(cennik!$C$2:$L$529,MATCH($L93,cennik!$B$2:$B$522,0),MATCH(N$53,cennik!$C$1:$L$1,0))</f>
        <v>szt.</v>
      </c>
      <c r="O93" s="14">
        <f>IF(E83=AF61,O80*4,0)</f>
        <v>0</v>
      </c>
      <c r="P93" s="11">
        <f>INDEX(cennik!$C$2:$L$529,MATCH($L93,cennik!$B$2:$B$522,0),MATCH(P$53,cennik!$C$1:$L$1,0))</f>
        <v>20.36</v>
      </c>
      <c r="Q93" s="14">
        <f t="shared" si="24"/>
        <v>0</v>
      </c>
      <c r="R93" s="14">
        <f t="shared" si="25"/>
        <v>0</v>
      </c>
      <c r="S93" s="34">
        <f t="shared" si="26"/>
        <v>20.36</v>
      </c>
      <c r="T93" s="14">
        <f t="shared" si="27"/>
        <v>0</v>
      </c>
      <c r="U93" s="34">
        <f>INDEX(cennik!$C$2:$L$529,MATCH($L93,cennik!$B$2:$B$522,0),MATCH(U$53,cennik!$C$1:$L$1,0))*O93</f>
        <v>0</v>
      </c>
      <c r="BH93" s="60">
        <f t="shared" si="22"/>
        <v>0</v>
      </c>
      <c r="BI93" s="60">
        <f t="shared" si="23"/>
        <v>0</v>
      </c>
    </row>
    <row r="94" spans="1:61" ht="15" customHeight="1" x14ac:dyDescent="0.25">
      <c r="A94" s="8"/>
      <c r="B94" s="5" t="s">
        <v>116</v>
      </c>
      <c r="C94" s="8"/>
      <c r="E94" s="17"/>
      <c r="L94" s="5" t="s">
        <v>1254</v>
      </c>
      <c r="M94" s="11">
        <f>INDEX(cennik!$C$2:$L$529,MATCH($L94,cennik!$B$2:$B$522,0),MATCH(M$53,cennik!$C$1:$L$1,0))</f>
        <v>856025</v>
      </c>
      <c r="N94" s="11" t="str">
        <f>INDEX(cennik!$C$2:$L$529,MATCH($L94,cennik!$B$2:$B$522,0),MATCH(N$53,cennik!$C$1:$L$1,0))</f>
        <v>szt.</v>
      </c>
      <c r="O94" s="14">
        <f>IF(E84=AH58,O80,0)*4</f>
        <v>0</v>
      </c>
      <c r="P94" s="11">
        <f>INDEX(cennik!$C$2:$L$529,MATCH($L94,cennik!$B$2:$B$522,0),MATCH(P$53,cennik!$C$1:$L$1,0))</f>
        <v>15.23</v>
      </c>
      <c r="Q94" s="14">
        <f t="shared" si="24"/>
        <v>0</v>
      </c>
      <c r="R94" s="14">
        <f t="shared" si="25"/>
        <v>0</v>
      </c>
      <c r="S94" s="34">
        <f t="shared" si="26"/>
        <v>15.23</v>
      </c>
      <c r="T94" s="14">
        <f t="shared" si="27"/>
        <v>0</v>
      </c>
      <c r="U94" s="34">
        <f>INDEX(cennik!$C$2:$L$529,MATCH($L94,cennik!$B$2:$B$522,0),MATCH(U$53,cennik!$C$1:$L$1,0))*O94</f>
        <v>0</v>
      </c>
      <c r="BH94" s="60">
        <f>IF(A94=0,0,IF(A94&gt;0,(A94+1)*C94))</f>
        <v>0</v>
      </c>
      <c r="BI94" s="60">
        <f t="shared" si="23"/>
        <v>0</v>
      </c>
    </row>
    <row r="95" spans="1:61" ht="15" customHeight="1" x14ac:dyDescent="0.25">
      <c r="L95" s="5" t="s">
        <v>948</v>
      </c>
      <c r="M95" s="11">
        <f>INDEX(cennik!$C$2:$L$529,MATCH($L95,cennik!$B$2:$B$522,0),MATCH(M$53,cennik!$C$1:$L$1,0))</f>
        <v>858432</v>
      </c>
      <c r="N95" s="11" t="str">
        <f>INDEX(cennik!$C$2:$L$529,MATCH($L95,cennik!$B$2:$B$522,0),MATCH(N$53,cennik!$C$1:$L$1,0))</f>
        <v>szt.</v>
      </c>
      <c r="O95" s="14">
        <f>IF(E85=AK59,O80*3,0)</f>
        <v>0</v>
      </c>
      <c r="P95" s="11">
        <f>INDEX(cennik!$C$2:$L$529,MATCH($L95,cennik!$B$2:$B$522,0),MATCH(P$53,cennik!$C$1:$L$1,0))</f>
        <v>6.8</v>
      </c>
      <c r="Q95" s="14">
        <f t="shared" si="24"/>
        <v>0</v>
      </c>
      <c r="R95" s="14">
        <f t="shared" si="25"/>
        <v>0</v>
      </c>
      <c r="S95" s="34">
        <f t="shared" si="26"/>
        <v>6.8</v>
      </c>
      <c r="T95" s="14">
        <f t="shared" si="27"/>
        <v>0</v>
      </c>
      <c r="U95" s="34">
        <f>INDEX(cennik!$C$2:$L$529,MATCH($L95,cennik!$B$2:$B$522,0),MATCH(U$53,cennik!$C$1:$L$1,0))*O95</f>
        <v>0</v>
      </c>
    </row>
    <row r="96" spans="1:61" ht="15" customHeight="1" x14ac:dyDescent="0.25">
      <c r="L96" s="5" t="s">
        <v>1006</v>
      </c>
      <c r="M96" s="11">
        <f>INDEX(cennik!$C$2:$L$529,MATCH($L96,cennik!$B$2:$B$522,0),MATCH(M$53,cennik!$C$1:$L$1,0))</f>
        <v>650093</v>
      </c>
      <c r="N96" s="11" t="str">
        <f>INDEX(cennik!$C$2:$L$529,MATCH($L96,cennik!$B$2:$B$522,0),MATCH(N$53,cennik!$C$1:$L$1,0))</f>
        <v>szt.</v>
      </c>
      <c r="O96" s="14">
        <f>IF(E83=AF60,O80*4,0)</f>
        <v>0</v>
      </c>
      <c r="P96" s="11">
        <f>INDEX(cennik!$C$2:$L$529,MATCH($L96,cennik!$B$2:$B$522,0),MATCH(P$53,cennik!$C$1:$L$1,0))</f>
        <v>3.29</v>
      </c>
      <c r="Q96" s="14">
        <f t="shared" si="24"/>
        <v>0</v>
      </c>
      <c r="R96" s="14">
        <f t="shared" si="25"/>
        <v>0</v>
      </c>
      <c r="S96" s="34">
        <f t="shared" si="26"/>
        <v>3.29</v>
      </c>
      <c r="T96" s="14">
        <f t="shared" si="27"/>
        <v>0</v>
      </c>
      <c r="U96" s="34">
        <f>INDEX(cennik!$C$2:$L$529,MATCH($L96,cennik!$B$2:$B$522,0),MATCH(U$53,cennik!$C$1:$L$1,0))*O96</f>
        <v>0</v>
      </c>
    </row>
    <row r="97" spans="1:300" ht="15" customHeight="1" x14ac:dyDescent="0.25">
      <c r="F97" s="17" t="str">
        <f>IF(E83=AF86,"PROPOZYCJA KOTEW- DO WERFIKACJI","")</f>
        <v/>
      </c>
      <c r="L97" s="5" t="s">
        <v>297</v>
      </c>
      <c r="M97" s="11">
        <f>INDEX(cennik!$C$2:$L$529,MATCH($L97,cennik!$B$2:$B$522,0),MATCH(M$53,cennik!$C$1:$L$1,0))</f>
        <v>894824</v>
      </c>
      <c r="N97" s="11" t="str">
        <f>INDEX(cennik!$C$2:$L$529,MATCH($L97,cennik!$B$2:$B$522,0),MATCH(N$53,cennik!$C$1:$L$1,0))</f>
        <v>szt.</v>
      </c>
      <c r="O97" s="14">
        <f>O93*4</f>
        <v>0</v>
      </c>
      <c r="P97" s="11">
        <f>INDEX(cennik!$C$2:$L$529,MATCH($L97,cennik!$B$2:$B$522,0),MATCH(P$53,cennik!$C$1:$L$1,0))</f>
        <v>1.85</v>
      </c>
      <c r="Q97" s="14">
        <f t="shared" si="24"/>
        <v>0</v>
      </c>
      <c r="R97" s="14">
        <f t="shared" si="25"/>
        <v>0</v>
      </c>
      <c r="S97" s="34">
        <f t="shared" si="26"/>
        <v>1.85</v>
      </c>
      <c r="T97" s="14">
        <f t="shared" si="27"/>
        <v>0</v>
      </c>
      <c r="U97" s="34">
        <f>INDEX(cennik!$C$2:$L$529,MATCH($L97,cennik!$B$2:$B$522,0),MATCH(U$53,cennik!$C$1:$L$1,0))*O97</f>
        <v>0</v>
      </c>
    </row>
    <row r="98" spans="1:300" ht="15" customHeight="1" x14ac:dyDescent="0.25">
      <c r="L98" s="5" t="s">
        <v>67</v>
      </c>
      <c r="M98" s="11">
        <f>INDEX(cennik!$C$2:$L$529,MATCH($L98,cennik!$B$2:$B$522,0),MATCH(M$53,cennik!$C$1:$L$1,0))</f>
        <v>890008</v>
      </c>
      <c r="N98" s="11" t="str">
        <f>INDEX(cennik!$C$2:$L$529,MATCH($L98,cennik!$B$2:$B$522,0),MATCH(N$53,cennik!$C$1:$L$1,0))</f>
        <v>100 szt.</v>
      </c>
      <c r="O98" s="14">
        <f>O91</f>
        <v>0</v>
      </c>
      <c r="P98" s="11">
        <f>INDEX(cennik!$C$2:$L$529,MATCH($L98,cennik!$B$2:$B$522,0),MATCH(P$53,cennik!$C$1:$L$1,0))</f>
        <v>28.15</v>
      </c>
      <c r="Q98" s="14">
        <f t="shared" si="24"/>
        <v>0</v>
      </c>
      <c r="R98" s="14">
        <f t="shared" si="25"/>
        <v>0</v>
      </c>
      <c r="S98" s="34">
        <f t="shared" si="26"/>
        <v>28.15</v>
      </c>
      <c r="T98" s="14">
        <f t="shared" si="27"/>
        <v>0</v>
      </c>
      <c r="U98" s="34">
        <f>INDEX(cennik!$C$2:$L$529,MATCH($L98,cennik!$B$2:$B$522,0),MATCH(U$53,cennik!$C$1:$L$1,0))*O98</f>
        <v>0</v>
      </c>
    </row>
    <row r="99" spans="1:300" ht="15" customHeight="1" x14ac:dyDescent="0.25">
      <c r="L99" s="94" t="s">
        <v>786</v>
      </c>
      <c r="M99" s="11">
        <f>INDEX(cennik!$C$2:$L$529,MATCH($L99,cennik!$B$2:$B$522,0),MATCH(M$53,cennik!$C$1:$L$1,0))</f>
        <v>651541</v>
      </c>
      <c r="N99" s="11" t="str">
        <f>INDEX(cennik!$C$2:$L$529,MATCH($L99,cennik!$B$2:$B$522,0),MATCH(N$53,cennik!$C$1:$L$1,0))</f>
        <v>100 szt.</v>
      </c>
      <c r="O99" s="14">
        <f>IF(E82=AF56,(SUM((A79*C79),(A80*C80),(A81*C81),(A82*C82),(A83*C83),(A84*C84),(A85*C85),(A86*C86),(A87*C87),(A88*C88),(A89*C89),(A90*C90),(A91*C91),(A92*C92),(A93*C93),(A94*C94)))*4,0)</f>
        <v>0</v>
      </c>
      <c r="P99" s="11">
        <f>INDEX(cennik!$C$2:$L$529,MATCH($L99,cennik!$B$2:$B$522,0),MATCH(P$53,cennik!$C$1:$L$1,0))</f>
        <v>78.89</v>
      </c>
      <c r="Q99" s="14">
        <f>O99*P99</f>
        <v>0</v>
      </c>
      <c r="R99" s="14">
        <f>$E$88</f>
        <v>0</v>
      </c>
      <c r="S99" s="34">
        <f>P99*((100-$E$88)/100)</f>
        <v>78.89</v>
      </c>
      <c r="T99" s="14">
        <f t="shared" si="27"/>
        <v>0</v>
      </c>
      <c r="U99" s="34">
        <f>INDEX(cennik!$C$2:$L$529,MATCH($L99,cennik!$B$2:$B$522,0),MATCH(U$53,cennik!$C$1:$L$1,0))*O99</f>
        <v>0</v>
      </c>
    </row>
    <row r="100" spans="1:300" ht="15" customHeight="1" x14ac:dyDescent="0.25">
      <c r="T100" s="14" t="e" cm="1" vm="1">
        <f t="array" aca="1" ref="T100" ca="1">T80:T99</f>
        <v>#VALUE!</v>
      </c>
      <c r="U100" s="134" t="e">
        <f>SUM(U80:U99)</f>
        <v>#N/A</v>
      </c>
    </row>
    <row r="101" spans="1:300" ht="15" customHeight="1" x14ac:dyDescent="0.25">
      <c r="T101" s="4"/>
      <c r="U101" s="134"/>
    </row>
    <row r="102" spans="1:300" ht="15" customHeight="1" x14ac:dyDescent="0.25">
      <c r="T102" s="4"/>
      <c r="U102" s="134"/>
    </row>
    <row r="103" spans="1:300" ht="51.75" customHeight="1" x14ac:dyDescent="0.25">
      <c r="A103" s="3" t="s">
        <v>120</v>
      </c>
      <c r="B103" s="3"/>
      <c r="C103" s="3" t="s">
        <v>121</v>
      </c>
      <c r="D103" s="9"/>
      <c r="E103" s="9"/>
      <c r="F103" s="9"/>
      <c r="G103" s="9"/>
      <c r="H103" s="9"/>
      <c r="I103" s="9"/>
      <c r="J103" s="9"/>
      <c r="K103" s="9"/>
      <c r="L103" s="360" t="str">
        <f>IF(E108=$Z$104,"KONSTRUKCJA DP-DNHBE",IF(E108=$Z$105,"KONSTRUKCJA DP-DNHKE",IF(E108=$Z$106,"KONSTRUKCJA DP-DNHWE",IF(E108=$Z$107,"KONSTRUKCJA DP-DNHKSE"))))</f>
        <v>KONSTRUKCJA DP-DNHKE</v>
      </c>
      <c r="M103" s="360"/>
      <c r="N103" s="360"/>
      <c r="O103" s="360"/>
      <c r="P103" s="360"/>
      <c r="Q103" s="360"/>
      <c r="R103" s="360"/>
      <c r="S103" s="360"/>
      <c r="T103" s="360"/>
      <c r="U103" s="360"/>
      <c r="V103" s="61"/>
      <c r="W103" s="140" t="s">
        <v>311</v>
      </c>
      <c r="X103" s="142" t="s">
        <v>114</v>
      </c>
      <c r="Y103" s="61"/>
      <c r="Z103" s="61"/>
      <c r="AA103" s="61"/>
      <c r="AB103" s="61"/>
      <c r="AC103" s="61"/>
      <c r="AD103" s="61"/>
      <c r="AE103" s="61"/>
      <c r="AF103" s="61"/>
      <c r="AG103" s="61"/>
      <c r="AH103" s="61"/>
      <c r="AI103" s="61"/>
      <c r="AJ103" s="61"/>
      <c r="AK103" s="61"/>
      <c r="AL103" s="61"/>
      <c r="AM103" s="61"/>
      <c r="AN103" s="61"/>
      <c r="AO103" s="61"/>
      <c r="AP103" s="61"/>
      <c r="AQ103" s="61"/>
      <c r="AR103" s="61"/>
      <c r="AS103" s="61"/>
      <c r="AT103" s="61"/>
      <c r="AU103" s="61"/>
      <c r="AV103" s="61"/>
      <c r="AW103" s="61"/>
      <c r="AX103" s="61"/>
      <c r="AY103" s="61"/>
      <c r="AZ103" s="61"/>
      <c r="BA103" s="61"/>
      <c r="BB103" s="61"/>
      <c r="BC103" s="61"/>
      <c r="BD103" s="61"/>
      <c r="BE103" s="61"/>
      <c r="BF103" s="61"/>
      <c r="BG103" s="61"/>
      <c r="BH103" s="61"/>
      <c r="BI103" s="61"/>
      <c r="BJ103" s="61"/>
      <c r="BK103" s="61"/>
      <c r="BL103" s="61"/>
      <c r="BM103" s="61"/>
      <c r="BN103" s="61"/>
      <c r="BO103" s="61"/>
      <c r="BP103" s="61"/>
      <c r="BQ103" s="61"/>
      <c r="BR103" s="61"/>
      <c r="BS103" s="61"/>
      <c r="BT103" s="61"/>
      <c r="BU103" s="61"/>
      <c r="BV103" s="61"/>
      <c r="BW103" s="61"/>
      <c r="BX103" s="61"/>
      <c r="BY103" s="61"/>
      <c r="BZ103" s="61"/>
      <c r="CA103" s="61"/>
      <c r="CB103" s="61"/>
      <c r="CC103" s="61"/>
      <c r="CD103" s="61"/>
      <c r="CE103" s="61"/>
      <c r="CF103" s="61"/>
      <c r="CG103" s="61"/>
      <c r="CH103" s="61"/>
      <c r="CI103" s="61"/>
      <c r="CJ103" s="61"/>
      <c r="CK103" s="61"/>
      <c r="CL103" s="61"/>
      <c r="CM103" s="61"/>
      <c r="CN103" s="61"/>
      <c r="CO103" s="61"/>
      <c r="CP103" s="61"/>
      <c r="CQ103" s="61"/>
      <c r="CR103" s="61"/>
      <c r="CS103" s="61"/>
      <c r="CT103" s="61"/>
      <c r="CU103" s="61"/>
      <c r="CV103" s="61"/>
      <c r="CW103" s="61"/>
      <c r="CX103" s="61"/>
      <c r="CY103" s="61"/>
      <c r="CZ103" s="61"/>
      <c r="DA103" s="61"/>
      <c r="DB103" s="61"/>
      <c r="DC103" s="61"/>
      <c r="DD103" s="61"/>
      <c r="DE103" s="61"/>
      <c r="DF103" s="61"/>
      <c r="DG103" s="61"/>
      <c r="DH103" s="61"/>
      <c r="DI103" s="61"/>
      <c r="DJ103" s="61"/>
      <c r="DK103" s="61"/>
      <c r="DL103" s="61"/>
      <c r="DM103" s="61"/>
      <c r="DN103" s="61"/>
      <c r="DO103" s="61"/>
      <c r="DP103" s="61"/>
      <c r="DQ103" s="61"/>
      <c r="DR103" s="61"/>
      <c r="DS103" s="61"/>
      <c r="DT103" s="61"/>
      <c r="DU103" s="61"/>
      <c r="DV103" s="61"/>
      <c r="DW103" s="61"/>
      <c r="DX103" s="61"/>
      <c r="DY103" s="61"/>
      <c r="DZ103" s="61">
        <v>0</v>
      </c>
      <c r="EA103" s="61">
        <v>0</v>
      </c>
      <c r="EB103" s="61"/>
      <c r="EC103" s="61"/>
      <c r="ED103" s="61"/>
      <c r="EE103" s="61"/>
      <c r="EF103" s="61"/>
      <c r="EG103" s="61"/>
      <c r="EH103" s="61"/>
      <c r="EI103" s="61"/>
      <c r="EJ103" s="61"/>
      <c r="EK103" s="61"/>
      <c r="EL103" s="61"/>
      <c r="EM103" s="61"/>
      <c r="EN103" s="61"/>
      <c r="EO103" s="61"/>
      <c r="EP103" s="61"/>
      <c r="EQ103" s="61"/>
      <c r="ER103" s="61"/>
      <c r="ES103" s="61"/>
      <c r="ET103" s="61"/>
      <c r="EU103" s="61"/>
      <c r="EV103" s="61"/>
      <c r="EW103" s="61"/>
      <c r="EX103" s="61"/>
      <c r="EY103" s="61"/>
      <c r="EZ103" s="61"/>
      <c r="FA103" s="61"/>
      <c r="FB103" s="61"/>
      <c r="FC103" s="61"/>
      <c r="FD103" s="61"/>
      <c r="FE103" s="61"/>
      <c r="FF103" s="61"/>
      <c r="FG103" s="61"/>
      <c r="FH103" s="61"/>
      <c r="FI103" s="61"/>
      <c r="FJ103" s="61"/>
      <c r="FK103" s="61"/>
      <c r="FL103" s="61"/>
      <c r="FM103" s="61"/>
      <c r="FN103" s="61"/>
      <c r="FO103" s="61"/>
      <c r="FP103" s="61"/>
      <c r="FQ103" s="61"/>
      <c r="FR103" s="61"/>
      <c r="FS103" s="61"/>
      <c r="FT103" s="61"/>
      <c r="FU103" s="61"/>
      <c r="FV103" s="61"/>
      <c r="FW103" s="61"/>
      <c r="FX103" s="61"/>
      <c r="FY103" s="61"/>
      <c r="FZ103" s="61"/>
      <c r="GA103" s="61"/>
      <c r="GB103" s="61"/>
      <c r="GC103" s="61"/>
      <c r="GD103" s="61"/>
      <c r="GE103" s="61"/>
      <c r="GF103" s="61"/>
      <c r="GG103" s="61"/>
      <c r="GH103" s="61"/>
      <c r="GI103" s="61"/>
      <c r="GJ103" s="61"/>
      <c r="GK103" s="61"/>
      <c r="GL103" s="61"/>
      <c r="GM103" s="61"/>
      <c r="GN103" s="61"/>
      <c r="GO103" s="61"/>
      <c r="GP103" s="61"/>
      <c r="GQ103" s="61"/>
      <c r="GR103" s="61"/>
      <c r="GS103" s="61"/>
      <c r="GT103" s="61"/>
      <c r="GU103" s="61"/>
      <c r="GV103" s="61"/>
      <c r="GW103" s="61"/>
      <c r="GX103" s="61"/>
    </row>
    <row r="104" spans="1:300" x14ac:dyDescent="0.25">
      <c r="A104" s="8"/>
      <c r="B104" s="5" t="s">
        <v>116</v>
      </c>
      <c r="C104" s="8"/>
      <c r="D104" s="9"/>
      <c r="E104" s="9"/>
      <c r="F104" s="9"/>
      <c r="G104" s="9"/>
      <c r="H104" s="9"/>
      <c r="I104" s="9"/>
      <c r="J104" s="9"/>
      <c r="K104" s="9"/>
      <c r="L104" s="5" t="s">
        <v>103</v>
      </c>
      <c r="M104" s="5" t="s">
        <v>104</v>
      </c>
      <c r="N104" s="5" t="s">
        <v>107</v>
      </c>
      <c r="O104" s="5" t="s">
        <v>290</v>
      </c>
      <c r="P104" s="5" t="s">
        <v>446</v>
      </c>
      <c r="Q104" s="5" t="s">
        <v>448</v>
      </c>
      <c r="R104" s="5" t="s">
        <v>409</v>
      </c>
      <c r="S104" s="5" t="s">
        <v>447</v>
      </c>
      <c r="T104" s="5" t="s">
        <v>449</v>
      </c>
      <c r="U104" s="5" t="s">
        <v>106</v>
      </c>
      <c r="V104" s="61"/>
      <c r="W104" s="142">
        <f>IF(A104=0,0,IF(A104&gt;0,(A104+1)*C104))</f>
        <v>0</v>
      </c>
      <c r="X104" s="142" t="s">
        <v>115</v>
      </c>
      <c r="Y104" s="61"/>
      <c r="Z104" s="142" t="s">
        <v>308</v>
      </c>
      <c r="AA104" s="61"/>
      <c r="AB104" s="61"/>
      <c r="AC104" s="61"/>
      <c r="AD104" s="61"/>
      <c r="AE104" s="61"/>
      <c r="AF104" s="61"/>
      <c r="AG104" s="61"/>
      <c r="AH104" s="61"/>
      <c r="AI104" s="61"/>
      <c r="AJ104" s="61"/>
      <c r="AK104" s="61"/>
      <c r="AL104" s="61" t="s">
        <v>114</v>
      </c>
      <c r="AM104" s="61"/>
      <c r="AN104" s="61"/>
      <c r="AO104" s="61"/>
      <c r="AP104" s="61"/>
      <c r="AQ104" s="61"/>
      <c r="AR104" s="61"/>
      <c r="AS104" s="61"/>
      <c r="AT104" s="61"/>
      <c r="AU104" s="61"/>
      <c r="AV104" s="61"/>
      <c r="AW104" s="61"/>
      <c r="AX104" s="61"/>
      <c r="AY104" s="61"/>
      <c r="AZ104" s="61"/>
      <c r="BA104" s="61"/>
      <c r="BB104" s="61"/>
      <c r="BC104" s="61"/>
      <c r="BD104" s="61"/>
      <c r="BE104" s="61"/>
      <c r="BF104" s="61"/>
      <c r="BG104" s="61"/>
      <c r="BH104" s="61"/>
      <c r="BI104" s="61"/>
      <c r="BJ104" s="61"/>
      <c r="BK104" s="61"/>
      <c r="BL104" s="61"/>
      <c r="BM104" s="61"/>
      <c r="BN104" s="61"/>
      <c r="BO104" s="61"/>
      <c r="BP104" s="61"/>
      <c r="BQ104" s="61"/>
      <c r="BR104" s="61"/>
      <c r="BS104" s="61"/>
      <c r="BT104" s="61"/>
      <c r="BU104" s="61"/>
      <c r="BV104" s="61"/>
      <c r="BW104" s="61"/>
      <c r="BX104" s="61"/>
      <c r="BY104" s="61"/>
      <c r="BZ104" s="61"/>
      <c r="CA104" s="61"/>
      <c r="CB104" s="61"/>
      <c r="CC104" s="61"/>
      <c r="CD104" s="61"/>
      <c r="CE104" s="61"/>
      <c r="CF104" s="61"/>
      <c r="CG104" s="61"/>
      <c r="CH104" s="61"/>
      <c r="CI104" s="61"/>
      <c r="CJ104" s="61"/>
      <c r="CK104" s="61"/>
      <c r="CL104" s="61"/>
      <c r="CM104" s="61"/>
      <c r="CN104" s="61"/>
      <c r="CO104" s="61"/>
      <c r="CP104" s="61"/>
      <c r="CQ104" s="61"/>
      <c r="CR104" s="61"/>
      <c r="CS104" s="61"/>
      <c r="CT104" s="61"/>
      <c r="CU104" s="61"/>
      <c r="CV104" s="61"/>
      <c r="CW104" s="61"/>
      <c r="CX104" s="61"/>
      <c r="CY104" s="61"/>
      <c r="CZ104" s="61"/>
      <c r="DA104" s="61"/>
      <c r="DB104" s="61"/>
      <c r="DC104" s="61"/>
      <c r="DD104" s="61"/>
      <c r="DE104" s="61"/>
      <c r="DF104" s="61"/>
      <c r="DG104" s="61"/>
      <c r="DH104" s="61"/>
      <c r="DI104" s="61"/>
      <c r="DJ104" s="61"/>
      <c r="DK104" s="61"/>
      <c r="DL104" s="61"/>
      <c r="DM104" s="61"/>
      <c r="DN104" s="61"/>
      <c r="DO104" s="61"/>
      <c r="DP104" s="61"/>
      <c r="DQ104" s="61"/>
      <c r="DR104" s="61"/>
      <c r="DS104" s="61"/>
      <c r="DT104" s="61"/>
      <c r="DU104" s="61"/>
      <c r="DV104" s="61"/>
      <c r="DW104" s="61"/>
      <c r="DX104" s="61"/>
      <c r="DY104" s="61"/>
      <c r="DZ104" s="61">
        <v>1</v>
      </c>
      <c r="EA104" s="61">
        <v>2</v>
      </c>
      <c r="EB104" s="61">
        <v>10</v>
      </c>
      <c r="EC104" s="61"/>
      <c r="ED104" s="61"/>
      <c r="EE104" s="61"/>
      <c r="EF104" s="61"/>
      <c r="EG104" s="61"/>
      <c r="EH104" s="61"/>
      <c r="EI104" s="61"/>
      <c r="EJ104" s="61"/>
      <c r="EK104" s="61"/>
      <c r="EL104" s="61"/>
      <c r="EM104" s="61"/>
      <c r="EN104" s="61"/>
      <c r="EO104" s="61"/>
      <c r="EP104" s="61"/>
      <c r="EQ104" s="61"/>
      <c r="ER104" s="61"/>
      <c r="ES104" s="61"/>
      <c r="ET104" s="61"/>
      <c r="EU104" s="61"/>
      <c r="EV104" s="61"/>
      <c r="EW104" s="61"/>
      <c r="EX104" s="61"/>
      <c r="EY104" s="61"/>
      <c r="EZ104" s="61"/>
      <c r="FA104" s="61"/>
      <c r="FB104" s="61"/>
      <c r="FC104" s="61"/>
      <c r="FD104" s="61"/>
      <c r="FE104" s="61"/>
      <c r="FF104" s="61"/>
      <c r="FG104" s="61"/>
      <c r="FH104" s="61"/>
      <c r="FI104" s="61"/>
      <c r="FJ104" s="61"/>
      <c r="FK104" s="61"/>
      <c r="FL104" s="61"/>
      <c r="FM104" s="61"/>
      <c r="FN104" s="61"/>
      <c r="FO104" s="61"/>
      <c r="FP104" s="61"/>
      <c r="FQ104" s="61"/>
      <c r="FR104" s="61"/>
      <c r="FS104" s="61"/>
      <c r="FT104" s="61"/>
      <c r="FU104" s="61"/>
      <c r="FV104" s="61"/>
      <c r="FW104" s="61"/>
      <c r="FX104" s="61"/>
      <c r="FY104" s="61"/>
      <c r="FZ104" s="61"/>
      <c r="GA104" s="61"/>
      <c r="GB104" s="61"/>
      <c r="GC104" s="61"/>
      <c r="GD104" s="61"/>
      <c r="GE104" s="61"/>
      <c r="GF104" s="61"/>
      <c r="GG104" s="61"/>
      <c r="GH104" s="61"/>
      <c r="GI104" s="61"/>
      <c r="GJ104" s="61"/>
      <c r="GK104" s="61"/>
      <c r="GL104" s="61"/>
      <c r="GM104" s="61"/>
      <c r="GN104" s="61"/>
      <c r="GO104" s="61"/>
      <c r="GP104" s="61"/>
      <c r="GQ104" s="61"/>
      <c r="GR104" s="61"/>
      <c r="GS104" s="61"/>
      <c r="GT104" s="61"/>
      <c r="GU104" s="61"/>
      <c r="GV104" s="61"/>
      <c r="GW104" s="61"/>
      <c r="GX104" s="61"/>
    </row>
    <row r="105" spans="1:300" x14ac:dyDescent="0.25">
      <c r="A105" s="8"/>
      <c r="B105" s="5" t="s">
        <v>116</v>
      </c>
      <c r="C105" s="8"/>
      <c r="D105" s="6" t="s">
        <v>118</v>
      </c>
      <c r="E105" s="8" t="s">
        <v>138</v>
      </c>
      <c r="F105" s="5" t="s">
        <v>116</v>
      </c>
      <c r="G105" s="8" t="s">
        <v>114</v>
      </c>
      <c r="H105" s="5" t="s">
        <v>116</v>
      </c>
      <c r="I105" s="8">
        <v>30</v>
      </c>
      <c r="J105" s="5" t="s">
        <v>119</v>
      </c>
      <c r="K105" s="9"/>
      <c r="L105" s="6" t="str">
        <f>IF(G105=X128,"CMP41H41/1,2MC",IF(G105=X129,"CMP41H41/1,2MC",IF(G105=X130,"CMP41H41/1,2MC",IF(G105=X131,"CMP41H41/1,5MC"))))</f>
        <v>CMP41H41/1,2MC</v>
      </c>
      <c r="M105" s="11">
        <f>INDEX(cennik!$C$2:$L$529,MATCH($L105,cennik!$B$2:$B$522,0),MATCH(M$104,cennik!$C$1:$L$1,0))</f>
        <v>856211</v>
      </c>
      <c r="N105" s="11" t="str">
        <f>INDEX(cennik!$C$2:$L$529,MATCH($L105,cennik!$B$2:$B$522,0),MATCH(N$104,cennik!$C$1:$L$1,0))</f>
        <v>szt.</v>
      </c>
      <c r="O105" s="11">
        <f>SUM(W104:W119)</f>
        <v>0</v>
      </c>
      <c r="P105" s="34">
        <f>INDEX(cennik!$C$2:$L$529,MATCH($L105,cennik!$B$2:$B$522,0),MATCH(P$104,cennik!$C$1:$L$1,0))</f>
        <v>25.2</v>
      </c>
      <c r="Q105" s="34">
        <f>O105*P105</f>
        <v>0</v>
      </c>
      <c r="R105" s="35">
        <f t="shared" ref="R105:R124" si="28">$E$110</f>
        <v>0</v>
      </c>
      <c r="S105" s="34">
        <f t="shared" ref="S105:S124" si="29">P105*((100-$E$110)/100)</f>
        <v>25.2</v>
      </c>
      <c r="T105" s="34">
        <f>O105*S105</f>
        <v>0</v>
      </c>
      <c r="U105" s="34">
        <f>INDEX(cennik!$C$2:$L$529,MATCH($L105,cennik!$B$2:$B$522,0),MATCH(U$104,cennik!$C$1:$L$1,0))*O105</f>
        <v>0</v>
      </c>
      <c r="V105" s="61"/>
      <c r="W105" s="142">
        <f t="shared" ref="W105:W119" si="30">IF(A105=0,0,IF(A105&gt;0,(A105+1)*C105))</f>
        <v>0</v>
      </c>
      <c r="X105" s="61" t="s">
        <v>474</v>
      </c>
      <c r="Y105" s="61"/>
      <c r="Z105" s="142" t="s">
        <v>309</v>
      </c>
      <c r="AA105" s="61"/>
      <c r="AB105" s="61"/>
      <c r="AC105" s="61"/>
      <c r="AD105" s="61"/>
      <c r="AE105" s="61"/>
      <c r="AF105" s="61"/>
      <c r="AG105" s="61"/>
      <c r="AH105" s="61"/>
      <c r="AI105" s="61"/>
      <c r="AJ105" s="61"/>
      <c r="AK105" s="61"/>
      <c r="AL105" s="61"/>
      <c r="AM105" s="61">
        <v>0</v>
      </c>
      <c r="AN105" s="61">
        <v>1</v>
      </c>
      <c r="AO105" s="61">
        <v>2</v>
      </c>
      <c r="AP105" s="61">
        <v>3</v>
      </c>
      <c r="AQ105" s="61">
        <v>4</v>
      </c>
      <c r="AR105" s="61">
        <v>5</v>
      </c>
      <c r="AS105" s="61">
        <v>6</v>
      </c>
      <c r="AT105" s="61">
        <v>7</v>
      </c>
      <c r="AU105" s="61">
        <v>8</v>
      </c>
      <c r="AV105" s="61">
        <v>9</v>
      </c>
      <c r="AW105" s="61">
        <v>10</v>
      </c>
      <c r="AX105" s="61">
        <v>11</v>
      </c>
      <c r="AY105" s="61">
        <v>12</v>
      </c>
      <c r="AZ105" s="61">
        <v>13</v>
      </c>
      <c r="BA105" s="61">
        <v>14</v>
      </c>
      <c r="BB105" s="61">
        <v>15</v>
      </c>
      <c r="BC105" s="61">
        <v>16</v>
      </c>
      <c r="BD105" s="61">
        <v>17</v>
      </c>
      <c r="BE105" s="61">
        <v>18</v>
      </c>
      <c r="BF105" s="61">
        <v>19</v>
      </c>
      <c r="BG105" s="61">
        <v>20</v>
      </c>
      <c r="BH105" s="61">
        <v>21</v>
      </c>
      <c r="BI105" s="61">
        <v>22</v>
      </c>
      <c r="BJ105" s="61">
        <v>23</v>
      </c>
      <c r="BK105" s="61">
        <v>24</v>
      </c>
      <c r="BL105" s="61">
        <v>25</v>
      </c>
      <c r="BM105" s="61">
        <v>26</v>
      </c>
      <c r="BN105" s="61">
        <v>27</v>
      </c>
      <c r="BO105" s="61">
        <v>28</v>
      </c>
      <c r="BP105" s="61">
        <v>29</v>
      </c>
      <c r="BQ105" s="61">
        <v>30</v>
      </c>
      <c r="BR105" s="61">
        <v>31</v>
      </c>
      <c r="BS105" s="61">
        <v>32</v>
      </c>
      <c r="BT105" s="61">
        <v>33</v>
      </c>
      <c r="BU105" s="61">
        <v>34</v>
      </c>
      <c r="BV105" s="61">
        <v>35</v>
      </c>
      <c r="BW105" s="61">
        <v>36</v>
      </c>
      <c r="BX105" s="61">
        <v>37</v>
      </c>
      <c r="BY105" s="61">
        <v>38</v>
      </c>
      <c r="BZ105" s="61">
        <v>39</v>
      </c>
      <c r="CA105" s="61">
        <v>40</v>
      </c>
      <c r="CB105" s="61">
        <v>41</v>
      </c>
      <c r="CC105" s="61">
        <v>42</v>
      </c>
      <c r="CD105" s="61">
        <v>43</v>
      </c>
      <c r="CE105" s="61">
        <v>44</v>
      </c>
      <c r="CF105" s="61">
        <v>45</v>
      </c>
      <c r="CG105" s="61">
        <v>46</v>
      </c>
      <c r="CH105" s="61">
        <v>47</v>
      </c>
      <c r="CI105" s="61">
        <v>48</v>
      </c>
      <c r="CJ105" s="61">
        <v>49</v>
      </c>
      <c r="CK105" s="61">
        <v>50</v>
      </c>
      <c r="CL105" s="61"/>
      <c r="CM105" s="61"/>
      <c r="CN105" s="61"/>
      <c r="CO105" s="61"/>
      <c r="CP105" s="61"/>
      <c r="CQ105" s="61"/>
      <c r="CR105" s="61"/>
      <c r="CS105" s="61"/>
      <c r="CT105" s="61"/>
      <c r="CU105" s="61"/>
      <c r="CV105" s="61"/>
      <c r="CW105" s="61"/>
      <c r="CX105" s="61"/>
      <c r="CY105" s="61"/>
      <c r="CZ105" s="61"/>
      <c r="DA105" s="61"/>
      <c r="DB105" s="61"/>
      <c r="DC105" s="61"/>
      <c r="DD105" s="61"/>
      <c r="DE105" s="61"/>
      <c r="DF105" s="61"/>
      <c r="DG105" s="61"/>
      <c r="DH105" s="61"/>
      <c r="DI105" s="61"/>
      <c r="DJ105" s="61"/>
      <c r="DK105" s="61"/>
      <c r="DL105" s="61"/>
      <c r="DM105" s="61"/>
      <c r="DN105" s="61"/>
      <c r="DO105" s="61"/>
      <c r="DP105" s="61"/>
      <c r="DQ105" s="61"/>
      <c r="DR105" s="61"/>
      <c r="DS105" s="61"/>
      <c r="DT105" s="61"/>
      <c r="DU105" s="61"/>
      <c r="DV105" s="61"/>
      <c r="DW105" s="61"/>
      <c r="DX105" s="61"/>
      <c r="DY105" s="61"/>
      <c r="DZ105" s="61">
        <v>2</v>
      </c>
      <c r="EA105" s="61">
        <v>4</v>
      </c>
      <c r="EB105" s="61">
        <v>15</v>
      </c>
      <c r="EC105" s="61"/>
      <c r="ED105" s="61"/>
      <c r="EE105" s="61"/>
      <c r="EF105" s="61"/>
      <c r="EG105" s="61"/>
      <c r="EH105" s="61"/>
      <c r="EI105" s="61"/>
      <c r="EJ105" s="61"/>
      <c r="EK105" s="61"/>
      <c r="EL105" s="61"/>
      <c r="EM105" s="61"/>
      <c r="EN105" s="61"/>
      <c r="EO105" s="61"/>
      <c r="EP105" s="61"/>
      <c r="EQ105" s="61"/>
      <c r="ER105" s="61"/>
      <c r="ES105" s="61"/>
      <c r="ET105" s="61"/>
      <c r="EU105" s="61"/>
      <c r="EV105" s="61" t="s">
        <v>114</v>
      </c>
      <c r="EW105" s="61"/>
      <c r="EX105" s="61"/>
      <c r="EY105" s="61"/>
      <c r="EZ105" s="61"/>
      <c r="FA105" s="61"/>
      <c r="FB105" s="61"/>
      <c r="FC105" s="61"/>
      <c r="FD105" s="61"/>
      <c r="FE105" s="61"/>
      <c r="FF105" s="61"/>
      <c r="FG105" s="61"/>
      <c r="FH105" s="61"/>
      <c r="FI105" s="61"/>
      <c r="FJ105" s="61"/>
      <c r="FK105" s="61"/>
      <c r="FL105" s="61"/>
      <c r="FM105" s="61"/>
      <c r="FN105" s="61"/>
      <c r="FO105" s="61"/>
      <c r="FP105" s="61"/>
      <c r="FQ105" s="61"/>
      <c r="FR105" s="61"/>
      <c r="FS105" s="61"/>
      <c r="FT105" s="61"/>
      <c r="FU105" s="61"/>
      <c r="FV105" s="61"/>
      <c r="FW105" s="61"/>
      <c r="FX105" s="61"/>
      <c r="FY105" s="61"/>
      <c r="FZ105" s="61"/>
      <c r="GA105" s="61"/>
      <c r="GB105" s="61"/>
      <c r="GC105" s="61"/>
      <c r="GD105" s="61"/>
      <c r="GE105" s="61"/>
      <c r="GF105" s="61"/>
      <c r="GG105" s="61"/>
      <c r="GH105" s="61"/>
      <c r="GI105" s="61"/>
      <c r="GJ105" s="61"/>
      <c r="GK105" s="61"/>
      <c r="GL105" s="61"/>
      <c r="GM105" s="61"/>
      <c r="GN105" s="61"/>
      <c r="GO105" s="61"/>
      <c r="GP105" s="61"/>
      <c r="GQ105" s="61"/>
      <c r="GR105" s="61"/>
      <c r="GS105" s="61"/>
      <c r="GT105" s="61"/>
      <c r="GU105" s="61"/>
      <c r="GV105" s="61"/>
      <c r="GW105" s="61"/>
      <c r="GX105" s="61"/>
      <c r="GY105" s="60" t="s">
        <v>114</v>
      </c>
      <c r="HU105" s="143"/>
      <c r="HV105" s="141" t="s">
        <v>111</v>
      </c>
      <c r="HW105" s="61"/>
      <c r="HX105" s="61"/>
      <c r="HY105" s="61"/>
      <c r="HZ105" s="61"/>
      <c r="IA105" s="61"/>
      <c r="IB105" s="61"/>
      <c r="IC105" s="61"/>
      <c r="ID105" s="61"/>
      <c r="IE105" s="61"/>
      <c r="IF105" s="61"/>
      <c r="IG105" s="61"/>
      <c r="IH105" s="61"/>
      <c r="II105" s="61"/>
      <c r="IJ105" s="61"/>
      <c r="IK105" s="61"/>
      <c r="IL105" s="61"/>
      <c r="IM105" s="61"/>
      <c r="IN105" s="61"/>
      <c r="IO105" s="61"/>
      <c r="IP105" s="61"/>
      <c r="IQ105" s="61"/>
      <c r="IS105" s="60" t="s">
        <v>111</v>
      </c>
    </row>
    <row r="106" spans="1:300" x14ac:dyDescent="0.25">
      <c r="A106" s="8"/>
      <c r="B106" s="5" t="s">
        <v>116</v>
      </c>
      <c r="C106" s="8"/>
      <c r="D106" s="6" t="s">
        <v>129</v>
      </c>
      <c r="E106" s="8" t="s">
        <v>140</v>
      </c>
      <c r="F106" s="5"/>
      <c r="G106" s="5"/>
      <c r="H106" s="5"/>
      <c r="I106" s="5"/>
      <c r="J106" s="5"/>
      <c r="K106" s="9"/>
      <c r="L106" s="6" t="s">
        <v>924</v>
      </c>
      <c r="M106" s="11">
        <f>INDEX(cennik!$C$2:$L$529,MATCH($L106,cennik!$B$2:$B$522,0),MATCH(M$104,cennik!$C$1:$L$1,0))</f>
        <v>857016</v>
      </c>
      <c r="N106" s="11" t="str">
        <f>INDEX(cennik!$C$2:$L$529,MATCH($L106,cennik!$B$2:$B$522,0),MATCH(N$104,cennik!$C$1:$L$1,0))</f>
        <v>szt.</v>
      </c>
      <c r="O106" s="11">
        <f>O105</f>
        <v>0</v>
      </c>
      <c r="P106" s="34">
        <f>INDEX(cennik!$C$2:$L$529,MATCH($L106,cennik!$B$2:$B$522,0),MATCH(P$104,cennik!$C$1:$L$1,0))</f>
        <v>19.309999999999999</v>
      </c>
      <c r="Q106" s="34">
        <f t="shared" ref="Q106:Q108" si="31">O106*P106</f>
        <v>0</v>
      </c>
      <c r="R106" s="35">
        <f t="shared" si="28"/>
        <v>0</v>
      </c>
      <c r="S106" s="34">
        <f t="shared" si="29"/>
        <v>19.309999999999999</v>
      </c>
      <c r="T106" s="34">
        <f t="shared" ref="T106:T108" si="32">O106*S106</f>
        <v>0</v>
      </c>
      <c r="U106" s="34">
        <f>INDEX(cennik!$C$2:$L$529,MATCH($L106,cennik!$B$2:$B$522,0),MATCH(U$104,cennik!$C$1:$L$1,0))*O106</f>
        <v>0</v>
      </c>
      <c r="V106" s="61"/>
      <c r="W106" s="142">
        <f t="shared" si="30"/>
        <v>0</v>
      </c>
      <c r="X106" s="142" t="s">
        <v>125</v>
      </c>
      <c r="Y106" s="142" t="s">
        <v>130</v>
      </c>
      <c r="Z106" s="142" t="s">
        <v>562</v>
      </c>
      <c r="AA106" s="61"/>
      <c r="AB106" s="61"/>
      <c r="AC106" s="61"/>
      <c r="AD106" s="61"/>
      <c r="AE106" s="61"/>
      <c r="AF106" s="61"/>
      <c r="AG106" s="61"/>
      <c r="AH106" s="61"/>
      <c r="AI106" s="61"/>
      <c r="AJ106" s="61"/>
      <c r="AK106" s="61"/>
      <c r="AL106" s="61" t="s">
        <v>126</v>
      </c>
      <c r="AM106" s="61">
        <v>0</v>
      </c>
      <c r="AN106" s="61">
        <v>2</v>
      </c>
      <c r="AO106" s="61">
        <v>0</v>
      </c>
      <c r="AP106" s="61">
        <v>0</v>
      </c>
      <c r="AQ106" s="61">
        <v>0</v>
      </c>
      <c r="AR106" s="61">
        <v>0</v>
      </c>
      <c r="AS106" s="61">
        <v>0</v>
      </c>
      <c r="AT106" s="61">
        <v>0</v>
      </c>
      <c r="AU106" s="61">
        <v>0</v>
      </c>
      <c r="AV106" s="61">
        <v>0</v>
      </c>
      <c r="AW106" s="61">
        <v>0</v>
      </c>
      <c r="AX106" s="61">
        <v>0</v>
      </c>
      <c r="AY106" s="61">
        <v>0</v>
      </c>
      <c r="AZ106" s="61">
        <v>0</v>
      </c>
      <c r="BA106" s="61">
        <v>0</v>
      </c>
      <c r="BB106" s="61">
        <v>0</v>
      </c>
      <c r="BC106" s="61">
        <v>0</v>
      </c>
      <c r="BD106" s="61">
        <v>0</v>
      </c>
      <c r="BE106" s="61">
        <v>0</v>
      </c>
      <c r="BF106" s="61">
        <v>0</v>
      </c>
      <c r="BG106" s="61">
        <v>0</v>
      </c>
      <c r="BH106" s="61">
        <v>0</v>
      </c>
      <c r="BI106" s="61">
        <v>0</v>
      </c>
      <c r="BJ106" s="61">
        <v>0</v>
      </c>
      <c r="BK106" s="61">
        <v>0</v>
      </c>
      <c r="BL106" s="61">
        <v>0</v>
      </c>
      <c r="BM106" s="61">
        <v>0</v>
      </c>
      <c r="BN106" s="61">
        <v>0</v>
      </c>
      <c r="BO106" s="61">
        <v>0</v>
      </c>
      <c r="BP106" s="61">
        <v>0</v>
      </c>
      <c r="BQ106" s="61">
        <v>0</v>
      </c>
      <c r="BR106" s="61">
        <v>0</v>
      </c>
      <c r="BS106" s="61">
        <v>0</v>
      </c>
      <c r="BT106" s="61">
        <v>0</v>
      </c>
      <c r="BU106" s="61">
        <v>0</v>
      </c>
      <c r="BV106" s="61">
        <v>0</v>
      </c>
      <c r="BW106" s="61">
        <v>0</v>
      </c>
      <c r="BX106" s="61">
        <v>0</v>
      </c>
      <c r="BY106" s="61">
        <v>0</v>
      </c>
      <c r="BZ106" s="61">
        <v>0</v>
      </c>
      <c r="CA106" s="61">
        <v>0</v>
      </c>
      <c r="CB106" s="61">
        <v>0</v>
      </c>
      <c r="CC106" s="61">
        <v>0</v>
      </c>
      <c r="CD106" s="61">
        <v>0</v>
      </c>
      <c r="CE106" s="61">
        <v>0</v>
      </c>
      <c r="CF106" s="61">
        <v>0</v>
      </c>
      <c r="CG106" s="61">
        <v>0</v>
      </c>
      <c r="CH106" s="61">
        <v>0</v>
      </c>
      <c r="CI106" s="61">
        <v>0</v>
      </c>
      <c r="CJ106" s="61">
        <v>0</v>
      </c>
      <c r="CK106" s="61">
        <v>0</v>
      </c>
      <c r="CL106" s="61"/>
      <c r="CM106" s="61"/>
      <c r="CN106" s="61"/>
      <c r="CO106" s="61"/>
      <c r="CP106" s="61"/>
      <c r="CQ106" s="61"/>
      <c r="CR106" s="61"/>
      <c r="CS106" s="61"/>
      <c r="CT106" s="61"/>
      <c r="CU106" s="61"/>
      <c r="CV106" s="61"/>
      <c r="CW106" s="61"/>
      <c r="CX106" s="61"/>
      <c r="CY106" s="61"/>
      <c r="CZ106" s="61"/>
      <c r="DA106" s="61"/>
      <c r="DB106" s="61"/>
      <c r="DC106" s="61"/>
      <c r="DD106" s="61"/>
      <c r="DE106" s="61"/>
      <c r="DF106" s="61"/>
      <c r="DG106" s="61"/>
      <c r="DH106" s="61"/>
      <c r="DI106" s="61"/>
      <c r="DJ106" s="61"/>
      <c r="DK106" s="61"/>
      <c r="DL106" s="61"/>
      <c r="DM106" s="61"/>
      <c r="DN106" s="61"/>
      <c r="DO106" s="61"/>
      <c r="DP106" s="61"/>
      <c r="DQ106" s="61"/>
      <c r="DR106" s="61"/>
      <c r="DS106" s="61"/>
      <c r="DT106" s="61"/>
      <c r="DU106" s="61"/>
      <c r="DV106" s="61"/>
      <c r="DW106" s="61"/>
      <c r="DX106" s="61"/>
      <c r="DY106" s="61"/>
      <c r="DZ106" s="61">
        <v>3</v>
      </c>
      <c r="EA106" s="61">
        <v>6</v>
      </c>
      <c r="EB106" s="61">
        <v>20</v>
      </c>
      <c r="EC106" s="61"/>
      <c r="ED106" s="61"/>
      <c r="EE106" s="61"/>
      <c r="EF106" s="61"/>
      <c r="EG106" s="61"/>
      <c r="EH106" s="61"/>
      <c r="EI106" s="61"/>
      <c r="EJ106" s="61"/>
      <c r="EK106" s="61"/>
      <c r="EL106" s="61"/>
      <c r="EM106" s="61"/>
      <c r="EN106" s="61"/>
      <c r="EO106" s="61"/>
      <c r="EP106" s="61"/>
      <c r="EQ106" s="61"/>
      <c r="ER106" s="61"/>
      <c r="ES106" s="61"/>
      <c r="ET106" s="61"/>
      <c r="EU106" s="61"/>
      <c r="EV106" s="61"/>
      <c r="EW106" s="61">
        <v>0</v>
      </c>
      <c r="EX106" s="61">
        <v>1</v>
      </c>
      <c r="EY106" s="61">
        <v>2</v>
      </c>
      <c r="EZ106" s="61">
        <v>3</v>
      </c>
      <c r="FA106" s="61">
        <v>4</v>
      </c>
      <c r="FB106" s="61">
        <v>5</v>
      </c>
      <c r="FC106" s="61">
        <v>6</v>
      </c>
      <c r="FD106" s="61">
        <v>7</v>
      </c>
      <c r="FE106" s="61">
        <v>8</v>
      </c>
      <c r="FF106" s="61">
        <v>9</v>
      </c>
      <c r="FG106" s="61">
        <v>10</v>
      </c>
      <c r="FH106" s="61">
        <v>11</v>
      </c>
      <c r="FI106" s="61">
        <v>12</v>
      </c>
      <c r="FJ106" s="61">
        <v>13</v>
      </c>
      <c r="FK106" s="61">
        <v>14</v>
      </c>
      <c r="FL106" s="61">
        <v>15</v>
      </c>
      <c r="FM106" s="61">
        <v>16</v>
      </c>
      <c r="FN106" s="61">
        <v>17</v>
      </c>
      <c r="FO106" s="61">
        <v>18</v>
      </c>
      <c r="FP106" s="61">
        <v>19</v>
      </c>
      <c r="FQ106" s="61">
        <v>20</v>
      </c>
      <c r="FR106" s="61">
        <v>21</v>
      </c>
      <c r="FS106" s="61">
        <v>22</v>
      </c>
      <c r="FT106" s="61">
        <v>23</v>
      </c>
      <c r="FU106" s="61">
        <v>24</v>
      </c>
      <c r="FV106" s="61">
        <v>25</v>
      </c>
      <c r="FW106" s="61">
        <v>26</v>
      </c>
      <c r="FX106" s="61">
        <v>27</v>
      </c>
      <c r="FY106" s="61">
        <v>28</v>
      </c>
      <c r="FZ106" s="61">
        <v>29</v>
      </c>
      <c r="GA106" s="61">
        <v>30</v>
      </c>
      <c r="GB106" s="61">
        <v>31</v>
      </c>
      <c r="GC106" s="61">
        <v>32</v>
      </c>
      <c r="GD106" s="61">
        <v>33</v>
      </c>
      <c r="GE106" s="61">
        <v>34</v>
      </c>
      <c r="GF106" s="61">
        <v>35</v>
      </c>
      <c r="GG106" s="61">
        <v>36</v>
      </c>
      <c r="GH106" s="61">
        <v>37</v>
      </c>
      <c r="GI106" s="61">
        <v>38</v>
      </c>
      <c r="GJ106" s="61">
        <v>39</v>
      </c>
      <c r="GK106" s="61">
        <v>40</v>
      </c>
      <c r="GL106" s="61">
        <v>41</v>
      </c>
      <c r="GM106" s="61">
        <v>42</v>
      </c>
      <c r="GN106" s="61">
        <v>43</v>
      </c>
      <c r="GO106" s="61">
        <v>44</v>
      </c>
      <c r="GP106" s="61">
        <v>45</v>
      </c>
      <c r="GQ106" s="61">
        <v>46</v>
      </c>
      <c r="GR106" s="61">
        <v>47</v>
      </c>
      <c r="GS106" s="61">
        <v>48</v>
      </c>
      <c r="GT106" s="61">
        <v>49</v>
      </c>
      <c r="GU106" s="61">
        <v>50</v>
      </c>
      <c r="GV106" s="61"/>
      <c r="GW106" s="61"/>
      <c r="GX106" s="61"/>
      <c r="GZ106" s="60">
        <v>0</v>
      </c>
      <c r="HA106" s="60">
        <v>1</v>
      </c>
      <c r="HB106" s="60">
        <v>2</v>
      </c>
      <c r="HC106" s="60">
        <v>3</v>
      </c>
      <c r="HD106" s="60">
        <v>4</v>
      </c>
      <c r="HE106" s="60">
        <v>5</v>
      </c>
      <c r="HF106" s="60">
        <v>6</v>
      </c>
      <c r="HG106" s="60">
        <v>7</v>
      </c>
      <c r="HH106" s="60">
        <v>8</v>
      </c>
      <c r="HI106" s="60">
        <v>9</v>
      </c>
      <c r="HJ106" s="60">
        <v>10</v>
      </c>
      <c r="HK106" s="60">
        <v>11</v>
      </c>
      <c r="HL106" s="60">
        <v>12</v>
      </c>
      <c r="HM106" s="60">
        <v>13</v>
      </c>
      <c r="HN106" s="60">
        <v>14</v>
      </c>
      <c r="HO106" s="60">
        <v>15</v>
      </c>
      <c r="HP106" s="60">
        <v>16</v>
      </c>
      <c r="HQ106" s="60">
        <v>17</v>
      </c>
      <c r="HR106" s="60">
        <v>18</v>
      </c>
      <c r="HS106" s="60">
        <v>19</v>
      </c>
      <c r="HT106" s="60">
        <v>20</v>
      </c>
      <c r="HW106" s="61">
        <v>0</v>
      </c>
      <c r="HX106" s="61">
        <v>1</v>
      </c>
      <c r="HY106" s="61">
        <v>2</v>
      </c>
      <c r="HZ106" s="61">
        <v>3</v>
      </c>
      <c r="IA106" s="61">
        <v>4</v>
      </c>
      <c r="IB106" s="61">
        <v>5</v>
      </c>
      <c r="IC106" s="61">
        <v>6</v>
      </c>
      <c r="ID106" s="61">
        <v>7</v>
      </c>
      <c r="IE106" s="61">
        <v>8</v>
      </c>
      <c r="IF106" s="61">
        <v>9</v>
      </c>
      <c r="IG106" s="61">
        <v>10</v>
      </c>
      <c r="IH106" s="61">
        <v>11</v>
      </c>
      <c r="II106" s="61">
        <v>12</v>
      </c>
      <c r="IJ106" s="61">
        <v>13</v>
      </c>
      <c r="IK106" s="61">
        <v>14</v>
      </c>
      <c r="IL106" s="61">
        <v>15</v>
      </c>
      <c r="IM106" s="61">
        <v>16</v>
      </c>
      <c r="IN106" s="61">
        <v>17</v>
      </c>
      <c r="IO106" s="61">
        <v>18</v>
      </c>
      <c r="IP106" s="61">
        <v>19</v>
      </c>
      <c r="IQ106" s="61">
        <v>20</v>
      </c>
      <c r="IT106" s="60">
        <f>HW106*2</f>
        <v>0</v>
      </c>
      <c r="IU106" s="60">
        <f t="shared" ref="IU106:JB106" si="33">HX106*2</f>
        <v>2</v>
      </c>
      <c r="IV106" s="60">
        <f t="shared" si="33"/>
        <v>4</v>
      </c>
      <c r="IW106" s="60">
        <f t="shared" si="33"/>
        <v>6</v>
      </c>
      <c r="IX106" s="60">
        <f t="shared" si="33"/>
        <v>8</v>
      </c>
      <c r="IY106" s="60">
        <f t="shared" si="33"/>
        <v>10</v>
      </c>
      <c r="IZ106" s="60">
        <f t="shared" si="33"/>
        <v>12</v>
      </c>
      <c r="JA106" s="60">
        <f t="shared" si="33"/>
        <v>14</v>
      </c>
      <c r="JB106" s="60">
        <f t="shared" si="33"/>
        <v>16</v>
      </c>
      <c r="JC106" s="60">
        <f t="shared" ref="JC106" si="34">IF106*2</f>
        <v>18</v>
      </c>
      <c r="JD106" s="60">
        <f t="shared" ref="JD106" si="35">IG106*2</f>
        <v>20</v>
      </c>
      <c r="JE106" s="60">
        <f t="shared" ref="JE106" si="36">IH106*2</f>
        <v>22</v>
      </c>
      <c r="JF106" s="60">
        <f t="shared" ref="JF106" si="37">II106*2</f>
        <v>24</v>
      </c>
      <c r="JG106" s="60">
        <f t="shared" ref="JG106" si="38">IJ106*2</f>
        <v>26</v>
      </c>
      <c r="JH106" s="60">
        <f t="shared" ref="JH106" si="39">IK106*2</f>
        <v>28</v>
      </c>
      <c r="JI106" s="60">
        <f t="shared" ref="JI106:JJ106" si="40">IL106*2</f>
        <v>30</v>
      </c>
      <c r="JJ106" s="60">
        <f t="shared" si="40"/>
        <v>32</v>
      </c>
      <c r="JK106" s="60">
        <f t="shared" ref="JK106" si="41">IN106*2</f>
        <v>34</v>
      </c>
      <c r="JL106" s="60">
        <f t="shared" ref="JL106" si="42">IO106*2</f>
        <v>36</v>
      </c>
      <c r="JM106" s="60">
        <f t="shared" ref="JM106" si="43">IP106*2</f>
        <v>38</v>
      </c>
      <c r="JN106" s="60">
        <f t="shared" ref="JN106" si="44">IQ106*2</f>
        <v>40</v>
      </c>
      <c r="JR106" s="61"/>
      <c r="JS106" s="61"/>
      <c r="JT106" s="61"/>
      <c r="JU106" s="61"/>
      <c r="JV106" s="61"/>
      <c r="JW106" s="61"/>
      <c r="JX106" s="61"/>
      <c r="JY106" s="61"/>
      <c r="JZ106" s="61"/>
      <c r="KA106" s="61"/>
      <c r="KB106" s="61"/>
      <c r="KC106" s="61"/>
      <c r="KD106" s="61"/>
      <c r="KE106" s="61"/>
      <c r="KF106" s="61"/>
      <c r="KG106" s="61"/>
      <c r="KH106" s="61"/>
      <c r="KI106" s="61"/>
      <c r="KJ106" s="61"/>
      <c r="KK106" s="61"/>
      <c r="KL106" s="61"/>
      <c r="KM106" s="61"/>
      <c r="KN106" s="61"/>
    </row>
    <row r="107" spans="1:300" x14ac:dyDescent="0.25">
      <c r="A107" s="8"/>
      <c r="B107" s="5" t="s">
        <v>116</v>
      </c>
      <c r="C107" s="8"/>
      <c r="D107" s="6" t="s">
        <v>124</v>
      </c>
      <c r="E107" s="8" t="s">
        <v>125</v>
      </c>
      <c r="F107" s="5"/>
      <c r="G107" s="5"/>
      <c r="H107" s="5"/>
      <c r="I107" s="5"/>
      <c r="J107" s="5"/>
      <c r="K107" s="9"/>
      <c r="L107" s="6" t="str">
        <f>IF(E109=10,"UPG10MC",IF(E109=15,"UPG15MC",IF(E109=20,"UPG20MC",0)))</f>
        <v>UPG15MC</v>
      </c>
      <c r="M107" s="11">
        <f>INDEX(cennik!$C$2:$L$529,MATCH($L107,cennik!$B$2:$B$522,0),MATCH(M$104,cennik!$C$1:$L$1,0))</f>
        <v>878115</v>
      </c>
      <c r="N107" s="11" t="str">
        <f>INDEX(cennik!$C$2:$L$529,MATCH($L107,cennik!$B$2:$B$522,0),MATCH(N$104,cennik!$C$1:$L$1,0))</f>
        <v>szt.</v>
      </c>
      <c r="O107" s="11">
        <f>O105</f>
        <v>0</v>
      </c>
      <c r="P107" s="34">
        <f>INDEX(cennik!$C$2:$L$529,MATCH($L107,cennik!$B$2:$B$522,0),MATCH(P$104,cennik!$C$1:$L$1,0))</f>
        <v>27.34</v>
      </c>
      <c r="Q107" s="34">
        <f t="shared" si="31"/>
        <v>0</v>
      </c>
      <c r="R107" s="35">
        <f t="shared" si="28"/>
        <v>0</v>
      </c>
      <c r="S107" s="34">
        <f t="shared" si="29"/>
        <v>27.34</v>
      </c>
      <c r="T107" s="34">
        <f t="shared" si="32"/>
        <v>0</v>
      </c>
      <c r="U107" s="34">
        <f>INDEX(cennik!$C$2:$L$529,MATCH($L107,cennik!$B$2:$B$522,0),MATCH(U$104,cennik!$C$1:$L$1,0))*O107</f>
        <v>0</v>
      </c>
      <c r="V107" s="61"/>
      <c r="W107" s="142">
        <f t="shared" si="30"/>
        <v>0</v>
      </c>
      <c r="X107" s="142" t="s">
        <v>144</v>
      </c>
      <c r="Y107" s="142" t="s">
        <v>140</v>
      </c>
      <c r="Z107" s="142" t="s">
        <v>848</v>
      </c>
      <c r="AA107" s="61"/>
      <c r="AB107" s="61"/>
      <c r="AC107" s="61"/>
      <c r="AD107" s="61"/>
      <c r="AE107" s="61"/>
      <c r="AF107" s="61"/>
      <c r="AG107" s="61"/>
      <c r="AH107" s="61"/>
      <c r="AI107" s="61"/>
      <c r="AJ107" s="61"/>
      <c r="AK107" s="61"/>
      <c r="AL107" s="61" t="s">
        <v>12</v>
      </c>
      <c r="AM107" s="61">
        <v>0</v>
      </c>
      <c r="AN107" s="61">
        <v>0</v>
      </c>
      <c r="AO107" s="61">
        <v>2</v>
      </c>
      <c r="AP107" s="61">
        <v>0</v>
      </c>
      <c r="AQ107" s="61">
        <v>4</v>
      </c>
      <c r="AR107" s="61">
        <v>2</v>
      </c>
      <c r="AS107" s="61">
        <v>0</v>
      </c>
      <c r="AT107" s="61">
        <v>4</v>
      </c>
      <c r="AU107" s="61">
        <v>2</v>
      </c>
      <c r="AV107" s="61">
        <v>0</v>
      </c>
      <c r="AW107" s="61">
        <v>4</v>
      </c>
      <c r="AX107" s="61">
        <v>2</v>
      </c>
      <c r="AY107" s="61">
        <v>0</v>
      </c>
      <c r="AZ107" s="61">
        <v>4</v>
      </c>
      <c r="BA107" s="61">
        <v>2</v>
      </c>
      <c r="BB107" s="61">
        <v>0</v>
      </c>
      <c r="BC107" s="61">
        <v>0</v>
      </c>
      <c r="BD107" s="61">
        <v>0</v>
      </c>
      <c r="BE107" s="61">
        <v>2</v>
      </c>
      <c r="BF107" s="61">
        <v>0</v>
      </c>
      <c r="BG107" s="61">
        <v>2</v>
      </c>
      <c r="BH107" s="61">
        <v>0</v>
      </c>
      <c r="BI107" s="61">
        <v>0</v>
      </c>
      <c r="BJ107" s="61">
        <v>0</v>
      </c>
      <c r="BK107" s="61">
        <v>0</v>
      </c>
      <c r="BL107" s="61">
        <v>0</v>
      </c>
      <c r="BM107" s="61">
        <v>0</v>
      </c>
      <c r="BN107" s="61">
        <v>0</v>
      </c>
      <c r="BO107" s="61">
        <v>0</v>
      </c>
      <c r="BP107" s="61">
        <v>0</v>
      </c>
      <c r="BQ107" s="61">
        <v>2</v>
      </c>
      <c r="BR107" s="61">
        <v>0</v>
      </c>
      <c r="BS107" s="61">
        <v>0</v>
      </c>
      <c r="BT107" s="61">
        <v>2</v>
      </c>
      <c r="BU107" s="61">
        <v>0</v>
      </c>
      <c r="BV107" s="61">
        <v>0</v>
      </c>
      <c r="BW107" s="61">
        <v>0</v>
      </c>
      <c r="BX107" s="61">
        <v>0</v>
      </c>
      <c r="BY107" s="61">
        <v>0</v>
      </c>
      <c r="BZ107" s="61">
        <v>0</v>
      </c>
      <c r="CA107" s="61">
        <v>0</v>
      </c>
      <c r="CB107" s="61">
        <v>0</v>
      </c>
      <c r="CC107" s="61">
        <v>2</v>
      </c>
      <c r="CD107" s="61">
        <v>0</v>
      </c>
      <c r="CE107" s="61">
        <v>0</v>
      </c>
      <c r="CF107" s="61">
        <v>0</v>
      </c>
      <c r="CG107" s="61">
        <v>0</v>
      </c>
      <c r="CH107" s="61">
        <v>0</v>
      </c>
      <c r="CI107" s="61">
        <v>0</v>
      </c>
      <c r="CJ107" s="61">
        <v>0</v>
      </c>
      <c r="CK107" s="61">
        <v>0</v>
      </c>
      <c r="CL107" s="61"/>
      <c r="CM107" s="61"/>
      <c r="CN107" s="61"/>
      <c r="CO107" s="61"/>
      <c r="CP107" s="61"/>
      <c r="CQ107" s="61"/>
      <c r="CR107" s="61"/>
      <c r="CS107" s="61"/>
      <c r="CT107" s="61"/>
      <c r="CU107" s="61"/>
      <c r="CV107" s="61"/>
      <c r="CW107" s="61"/>
      <c r="CX107" s="61"/>
      <c r="CY107" s="61"/>
      <c r="CZ107" s="61"/>
      <c r="DA107" s="61"/>
      <c r="DB107" s="61"/>
      <c r="DC107" s="61"/>
      <c r="DD107" s="61"/>
      <c r="DE107" s="61"/>
      <c r="DF107" s="61"/>
      <c r="DG107" s="61"/>
      <c r="DH107" s="61"/>
      <c r="DI107" s="61"/>
      <c r="DJ107" s="61"/>
      <c r="DK107" s="61"/>
      <c r="DL107" s="61"/>
      <c r="DM107" s="61"/>
      <c r="DN107" s="61"/>
      <c r="DO107" s="61"/>
      <c r="DP107" s="61"/>
      <c r="DQ107" s="61"/>
      <c r="DR107" s="61"/>
      <c r="DS107" s="61"/>
      <c r="DT107" s="61"/>
      <c r="DU107" s="61"/>
      <c r="DV107" s="61"/>
      <c r="DW107" s="61"/>
      <c r="DX107" s="61"/>
      <c r="DY107" s="61"/>
      <c r="DZ107" s="61">
        <v>4</v>
      </c>
      <c r="EA107" s="61">
        <v>8</v>
      </c>
      <c r="EB107" s="61">
        <v>25</v>
      </c>
      <c r="EC107" s="61"/>
      <c r="ED107" s="61"/>
      <c r="EE107" s="61"/>
      <c r="EF107" s="61"/>
      <c r="EG107" s="61"/>
      <c r="EH107" s="61"/>
      <c r="EI107" s="61"/>
      <c r="EJ107" s="61"/>
      <c r="EK107" s="61"/>
      <c r="EL107" s="61"/>
      <c r="EM107" s="61"/>
      <c r="EN107" s="61"/>
      <c r="EO107" s="61"/>
      <c r="EP107" s="61"/>
      <c r="EQ107" s="61"/>
      <c r="ER107" s="61"/>
      <c r="ES107" s="61"/>
      <c r="ET107" s="61"/>
      <c r="EU107" s="61"/>
      <c r="EV107" s="61" t="s">
        <v>210</v>
      </c>
      <c r="EW107" s="61">
        <v>0</v>
      </c>
      <c r="EX107" s="61">
        <v>0</v>
      </c>
      <c r="EY107" s="61">
        <v>0</v>
      </c>
      <c r="EZ107" s="61">
        <v>0</v>
      </c>
      <c r="FA107" s="61">
        <v>0</v>
      </c>
      <c r="FB107" s="61">
        <v>0</v>
      </c>
      <c r="FC107" s="61">
        <v>0</v>
      </c>
      <c r="FD107" s="61">
        <v>0</v>
      </c>
      <c r="FE107" s="61">
        <v>2</v>
      </c>
      <c r="FF107" s="61">
        <v>0</v>
      </c>
      <c r="FG107" s="61">
        <v>0</v>
      </c>
      <c r="FH107" s="61">
        <v>2</v>
      </c>
      <c r="FI107" s="61">
        <v>0</v>
      </c>
      <c r="FJ107" s="61">
        <v>0</v>
      </c>
      <c r="FK107" s="61">
        <v>0</v>
      </c>
      <c r="FL107" s="61">
        <v>0</v>
      </c>
      <c r="FM107" s="61">
        <v>0</v>
      </c>
      <c r="FN107" s="61">
        <v>0</v>
      </c>
      <c r="FO107" s="61">
        <v>0</v>
      </c>
      <c r="FP107" s="61">
        <v>0</v>
      </c>
      <c r="FQ107" s="61">
        <v>0</v>
      </c>
      <c r="FR107" s="61">
        <v>0</v>
      </c>
      <c r="FS107" s="61">
        <v>0</v>
      </c>
      <c r="FT107" s="61">
        <v>0</v>
      </c>
      <c r="FU107" s="61">
        <v>0</v>
      </c>
      <c r="FV107" s="61">
        <v>0</v>
      </c>
      <c r="FW107" s="61">
        <v>0</v>
      </c>
      <c r="FX107" s="61">
        <v>0</v>
      </c>
      <c r="FY107" s="61">
        <v>0</v>
      </c>
      <c r="FZ107" s="61">
        <v>0</v>
      </c>
      <c r="GA107" s="61">
        <v>0</v>
      </c>
      <c r="GB107" s="61">
        <v>0</v>
      </c>
      <c r="GC107" s="61">
        <v>0</v>
      </c>
      <c r="GD107" s="61">
        <v>0</v>
      </c>
      <c r="GE107" s="61">
        <v>0</v>
      </c>
      <c r="GF107" s="61">
        <v>0</v>
      </c>
      <c r="GG107" s="61">
        <v>0</v>
      </c>
      <c r="GH107" s="61">
        <v>0</v>
      </c>
      <c r="GI107" s="61">
        <v>0</v>
      </c>
      <c r="GJ107" s="61">
        <v>0</v>
      </c>
      <c r="GK107" s="61">
        <v>0</v>
      </c>
      <c r="GL107" s="61">
        <v>0</v>
      </c>
      <c r="GM107" s="61">
        <v>0</v>
      </c>
      <c r="GN107" s="61">
        <v>0</v>
      </c>
      <c r="GO107" s="61">
        <v>0</v>
      </c>
      <c r="GP107" s="61">
        <v>0</v>
      </c>
      <c r="GQ107" s="61">
        <v>0</v>
      </c>
      <c r="GR107" s="61">
        <v>0</v>
      </c>
      <c r="GS107" s="61">
        <v>0</v>
      </c>
      <c r="GT107" s="61">
        <v>0</v>
      </c>
      <c r="GU107" s="61">
        <v>0</v>
      </c>
      <c r="GV107" s="61"/>
      <c r="GW107" s="61"/>
      <c r="GX107" s="61"/>
      <c r="GY107" s="60" t="s">
        <v>826</v>
      </c>
      <c r="GZ107" s="60">
        <v>0</v>
      </c>
      <c r="HA107" s="60">
        <v>2</v>
      </c>
      <c r="HB107" s="60">
        <v>2</v>
      </c>
      <c r="HC107" s="60">
        <v>0</v>
      </c>
      <c r="HD107" s="60">
        <v>4</v>
      </c>
      <c r="HE107" s="60">
        <v>2</v>
      </c>
      <c r="HF107" s="60">
        <v>0</v>
      </c>
      <c r="HG107" s="60">
        <v>4</v>
      </c>
      <c r="HH107" s="60">
        <v>2</v>
      </c>
      <c r="HI107" s="60">
        <v>0</v>
      </c>
      <c r="HJ107" s="60">
        <v>4</v>
      </c>
      <c r="HK107" s="60">
        <v>2</v>
      </c>
      <c r="HL107" s="60">
        <v>0</v>
      </c>
      <c r="HM107" s="60">
        <v>4</v>
      </c>
      <c r="HN107" s="60">
        <v>2</v>
      </c>
      <c r="HO107" s="60">
        <v>2</v>
      </c>
      <c r="HP107" s="60">
        <v>0</v>
      </c>
      <c r="HQ107" s="60">
        <v>4</v>
      </c>
      <c r="HR107" s="60">
        <v>2</v>
      </c>
      <c r="HS107" s="60">
        <v>4</v>
      </c>
      <c r="HT107" s="60">
        <v>4</v>
      </c>
      <c r="HV107" s="60" t="s">
        <v>826</v>
      </c>
      <c r="HW107" s="61">
        <v>0</v>
      </c>
      <c r="HX107" s="61">
        <v>2</v>
      </c>
      <c r="HY107" s="61">
        <v>0</v>
      </c>
      <c r="HZ107" s="61">
        <v>2</v>
      </c>
      <c r="IA107" s="61">
        <v>0</v>
      </c>
      <c r="IB107" s="61">
        <v>2</v>
      </c>
      <c r="IC107" s="61">
        <v>0</v>
      </c>
      <c r="ID107" s="61">
        <v>2</v>
      </c>
      <c r="IE107" s="61">
        <v>0</v>
      </c>
      <c r="IF107" s="61">
        <v>2</v>
      </c>
      <c r="IG107" s="61">
        <v>0</v>
      </c>
      <c r="IH107" s="61">
        <v>2</v>
      </c>
      <c r="II107" s="61">
        <v>0</v>
      </c>
      <c r="IJ107" s="61">
        <v>2</v>
      </c>
      <c r="IK107" s="61">
        <v>0</v>
      </c>
      <c r="IL107" s="61">
        <v>2</v>
      </c>
      <c r="IM107" s="61">
        <v>0</v>
      </c>
      <c r="IN107" s="61">
        <v>2</v>
      </c>
      <c r="IO107" s="61">
        <v>0</v>
      </c>
      <c r="IP107" s="61">
        <v>2</v>
      </c>
      <c r="IQ107" s="61">
        <v>0</v>
      </c>
      <c r="IS107" s="60" t="s">
        <v>826</v>
      </c>
      <c r="IT107" s="60">
        <f t="shared" ref="IT107:IT109" si="45">HW107*2</f>
        <v>0</v>
      </c>
      <c r="IU107" s="60">
        <f t="shared" ref="IU107:IU109" si="46">HX107*2</f>
        <v>4</v>
      </c>
      <c r="IV107" s="60">
        <f t="shared" ref="IV107:IV109" si="47">HY107*2</f>
        <v>0</v>
      </c>
      <c r="IW107" s="60">
        <f t="shared" ref="IW107:IW109" si="48">HZ107*2</f>
        <v>4</v>
      </c>
      <c r="IX107" s="60">
        <f t="shared" ref="IX107:IX109" si="49">IA107*2</f>
        <v>0</v>
      </c>
      <c r="IY107" s="60">
        <f t="shared" ref="IY107:IY109" si="50">IB107*2</f>
        <v>4</v>
      </c>
      <c r="IZ107" s="60">
        <f t="shared" ref="IZ107:IZ109" si="51">IC107*2</f>
        <v>0</v>
      </c>
      <c r="JA107" s="60">
        <f t="shared" ref="JA107:JA109" si="52">ID107*2</f>
        <v>4</v>
      </c>
      <c r="JB107" s="60">
        <f t="shared" ref="JB107:JB108" si="53">IE107*2</f>
        <v>0</v>
      </c>
      <c r="JC107" s="60">
        <f t="shared" ref="JC107:JC109" si="54">IF107*2</f>
        <v>4</v>
      </c>
      <c r="JD107" s="60">
        <f t="shared" ref="JD107:JD109" si="55">IG107*2</f>
        <v>0</v>
      </c>
      <c r="JE107" s="60">
        <f t="shared" ref="JE107:JE109" si="56">IH107*2</f>
        <v>4</v>
      </c>
      <c r="JF107" s="60">
        <f t="shared" ref="JF107:JF109" si="57">II107*2</f>
        <v>0</v>
      </c>
      <c r="JG107" s="60">
        <f t="shared" ref="JG107:JG109" si="58">IJ107*2</f>
        <v>4</v>
      </c>
      <c r="JH107" s="60">
        <f t="shared" ref="JH107:JH109" si="59">IK107*2</f>
        <v>0</v>
      </c>
      <c r="JI107" s="60">
        <f t="shared" ref="JI107:JI109" si="60">IL107*2</f>
        <v>4</v>
      </c>
      <c r="JJ107" s="60">
        <f t="shared" ref="JJ107:JJ109" si="61">IM107*2</f>
        <v>0</v>
      </c>
      <c r="JK107" s="60">
        <f t="shared" ref="JK107:JK109" si="62">IN107*2</f>
        <v>4</v>
      </c>
      <c r="JL107" s="60">
        <f t="shared" ref="JL107:JL109" si="63">IO107*2</f>
        <v>0</v>
      </c>
      <c r="JM107" s="60">
        <f t="shared" ref="JM107:JM109" si="64">IP107*2</f>
        <v>4</v>
      </c>
      <c r="JN107" s="60">
        <f t="shared" ref="JN107:JN109" si="65">IQ107*2</f>
        <v>0</v>
      </c>
    </row>
    <row r="108" spans="1:300" x14ac:dyDescent="0.25">
      <c r="A108" s="8"/>
      <c r="B108" s="5" t="s">
        <v>116</v>
      </c>
      <c r="C108" s="8"/>
      <c r="D108" s="6" t="s">
        <v>307</v>
      </c>
      <c r="E108" s="8" t="s">
        <v>309</v>
      </c>
      <c r="F108" s="36" t="str">
        <f>IF(E108="balastowa","wartość balastu określa konstruktor","")</f>
        <v/>
      </c>
      <c r="G108" s="6"/>
      <c r="H108" s="6"/>
      <c r="I108" s="6"/>
      <c r="J108" s="6"/>
      <c r="K108" s="9"/>
      <c r="L108" s="6" t="str">
        <f>INDEX((EP121:ER130),MATCH(E105,EO121:EO130,0),MATCH(E109,EP120:ER120,0),1)</f>
        <v>OWN15/2,4MC</v>
      </c>
      <c r="M108" s="11" t="e">
        <f>INDEX(cennik!$C$2:$L$529,MATCH($L108,cennik!$B$2:$B$522,0),MATCH(M$104,cennik!$C$1:$L$1,0))</f>
        <v>#N/A</v>
      </c>
      <c r="N108" s="11" t="e">
        <f>INDEX(cennik!$C$2:$L$529,MATCH($L108,cennik!$B$2:$B$522,0),MATCH(N$104,cennik!$C$1:$L$1,0))</f>
        <v>#N/A</v>
      </c>
      <c r="O108" s="11">
        <f>SUM((A104*C104),(A105*C105),(A106*C106),(A107*C107),(A108*C108),(A109*C109),(A110*C110),(A111*C111),(A112*C112),(A113*C113),(A114*C114),(A115*C115),(A116*C116),(A117*C117),(A118*C118),(A119*C119))</f>
        <v>0</v>
      </c>
      <c r="P108" s="34" t="e">
        <f>INDEX(cennik!$C$2:$L$529,MATCH($L108,cennik!$B$2:$B$522,0),MATCH(P$104,cennik!$C$1:$L$1,0))</f>
        <v>#N/A</v>
      </c>
      <c r="Q108" s="34" t="e">
        <f t="shared" si="31"/>
        <v>#N/A</v>
      </c>
      <c r="R108" s="35">
        <f t="shared" si="28"/>
        <v>0</v>
      </c>
      <c r="S108" s="34" t="e">
        <f t="shared" si="29"/>
        <v>#N/A</v>
      </c>
      <c r="T108" s="34" t="e">
        <f t="shared" si="32"/>
        <v>#N/A</v>
      </c>
      <c r="U108" s="34" t="e">
        <f>INDEX(cennik!$C$2:$L$529,MATCH($L108,cennik!$B$2:$B$522,0),MATCH(U$104,cennik!$C$1:$L$1,0))*O108</f>
        <v>#N/A</v>
      </c>
      <c r="V108" s="61"/>
      <c r="W108" s="142">
        <f t="shared" si="30"/>
        <v>0</v>
      </c>
      <c r="X108" s="61"/>
      <c r="Y108" s="61"/>
      <c r="Z108" s="61"/>
      <c r="AA108" s="61"/>
      <c r="AB108" s="61"/>
      <c r="AC108" s="61"/>
      <c r="AD108" s="61"/>
      <c r="AE108" s="61"/>
      <c r="AF108" s="61"/>
      <c r="AG108" s="61"/>
      <c r="AH108" s="61"/>
      <c r="AI108" s="61"/>
      <c r="AJ108" s="61"/>
      <c r="AK108" s="61"/>
      <c r="AL108" s="61" t="s">
        <v>127</v>
      </c>
      <c r="AM108" s="61">
        <v>0</v>
      </c>
      <c r="AN108" s="61">
        <v>0</v>
      </c>
      <c r="AO108" s="61">
        <v>0</v>
      </c>
      <c r="AP108" s="61">
        <v>0</v>
      </c>
      <c r="AQ108" s="61">
        <v>0</v>
      </c>
      <c r="AR108" s="61">
        <v>0</v>
      </c>
      <c r="AS108" s="61">
        <v>0</v>
      </c>
      <c r="AT108" s="61">
        <v>0</v>
      </c>
      <c r="AU108" s="61">
        <v>0</v>
      </c>
      <c r="AV108" s="61">
        <v>0</v>
      </c>
      <c r="AW108" s="61">
        <v>0</v>
      </c>
      <c r="AX108" s="61">
        <v>0</v>
      </c>
      <c r="AY108" s="61">
        <v>0</v>
      </c>
      <c r="AZ108" s="61">
        <v>0</v>
      </c>
      <c r="BA108" s="61">
        <v>0</v>
      </c>
      <c r="BB108" s="61">
        <v>2</v>
      </c>
      <c r="BC108" s="61">
        <v>0</v>
      </c>
      <c r="BD108" s="61">
        <v>4</v>
      </c>
      <c r="BE108" s="61">
        <v>0</v>
      </c>
      <c r="BF108" s="61">
        <v>0</v>
      </c>
      <c r="BG108" s="61">
        <v>2</v>
      </c>
      <c r="BH108" s="61">
        <v>2</v>
      </c>
      <c r="BI108" s="61">
        <v>0</v>
      </c>
      <c r="BJ108" s="61">
        <v>4</v>
      </c>
      <c r="BK108" s="61">
        <v>4</v>
      </c>
      <c r="BL108" s="61">
        <v>0</v>
      </c>
      <c r="BM108" s="61">
        <v>4</v>
      </c>
      <c r="BN108" s="61">
        <v>2</v>
      </c>
      <c r="BO108" s="61">
        <v>0</v>
      </c>
      <c r="BP108" s="61">
        <v>0</v>
      </c>
      <c r="BQ108" s="61">
        <v>0</v>
      </c>
      <c r="BR108" s="61">
        <v>0</v>
      </c>
      <c r="BS108" s="61">
        <v>0</v>
      </c>
      <c r="BT108" s="61">
        <v>0</v>
      </c>
      <c r="BU108" s="61">
        <v>0</v>
      </c>
      <c r="BV108" s="61">
        <v>0</v>
      </c>
      <c r="BW108" s="61">
        <v>4</v>
      </c>
      <c r="BX108" s="61">
        <v>2</v>
      </c>
      <c r="BY108" s="61">
        <v>0</v>
      </c>
      <c r="BZ108" s="61">
        <v>4</v>
      </c>
      <c r="CA108" s="61">
        <v>0</v>
      </c>
      <c r="CB108" s="61">
        <v>0</v>
      </c>
      <c r="CC108" s="61">
        <v>0</v>
      </c>
      <c r="CD108" s="61">
        <v>2</v>
      </c>
      <c r="CE108" s="61">
        <v>0</v>
      </c>
      <c r="CF108" s="61">
        <v>0</v>
      </c>
      <c r="CG108" s="61">
        <v>4</v>
      </c>
      <c r="CH108" s="61">
        <v>0</v>
      </c>
      <c r="CI108" s="61">
        <v>0</v>
      </c>
      <c r="CJ108" s="61">
        <v>0</v>
      </c>
      <c r="CK108" s="61">
        <v>2</v>
      </c>
      <c r="CL108" s="61"/>
      <c r="CM108" s="61"/>
      <c r="CN108" s="61"/>
      <c r="CO108" s="61"/>
      <c r="CP108" s="61"/>
      <c r="CQ108" s="61"/>
      <c r="CR108" s="61"/>
      <c r="CS108" s="61"/>
      <c r="CT108" s="61"/>
      <c r="CU108" s="61"/>
      <c r="CV108" s="61"/>
      <c r="CW108" s="61"/>
      <c r="CX108" s="61"/>
      <c r="CY108" s="61"/>
      <c r="CZ108" s="61"/>
      <c r="DA108" s="61"/>
      <c r="DB108" s="61"/>
      <c r="DC108" s="61"/>
      <c r="DD108" s="61"/>
      <c r="DE108" s="61"/>
      <c r="DF108" s="61"/>
      <c r="DG108" s="61"/>
      <c r="DH108" s="61"/>
      <c r="DI108" s="61"/>
      <c r="DJ108" s="61"/>
      <c r="DK108" s="61"/>
      <c r="DL108" s="61"/>
      <c r="DM108" s="61"/>
      <c r="DN108" s="61"/>
      <c r="DO108" s="61"/>
      <c r="DP108" s="61"/>
      <c r="DQ108" s="61"/>
      <c r="DR108" s="61"/>
      <c r="DS108" s="61"/>
      <c r="DT108" s="61"/>
      <c r="DU108" s="61"/>
      <c r="DV108" s="61"/>
      <c r="DW108" s="61"/>
      <c r="DX108" s="61"/>
      <c r="DY108" s="61"/>
      <c r="DZ108" s="61">
        <v>5</v>
      </c>
      <c r="EA108" s="61">
        <v>10</v>
      </c>
      <c r="EB108" s="61">
        <v>30</v>
      </c>
      <c r="EC108" s="61"/>
      <c r="ED108" s="61"/>
      <c r="EE108" s="61"/>
      <c r="EF108" s="61"/>
      <c r="EG108" s="61"/>
      <c r="EH108" s="61"/>
      <c r="EI108" s="61"/>
      <c r="EJ108" s="61"/>
      <c r="EK108" s="61"/>
      <c r="EL108" s="61"/>
      <c r="EM108" s="61"/>
      <c r="EN108" s="61"/>
      <c r="EO108" s="61"/>
      <c r="EP108" s="61"/>
      <c r="EQ108" s="61"/>
      <c r="ER108" s="61"/>
      <c r="ES108" s="61"/>
      <c r="ET108" s="61"/>
      <c r="EU108" s="61"/>
      <c r="EV108" s="61" t="s">
        <v>9</v>
      </c>
      <c r="EW108" s="61">
        <v>0</v>
      </c>
      <c r="EX108" s="61">
        <v>2</v>
      </c>
      <c r="EY108" s="61">
        <v>0</v>
      </c>
      <c r="EZ108" s="61">
        <v>0</v>
      </c>
      <c r="FA108" s="61">
        <v>2</v>
      </c>
      <c r="FB108" s="61">
        <v>0</v>
      </c>
      <c r="FC108" s="61">
        <v>0</v>
      </c>
      <c r="FD108" s="61">
        <v>0</v>
      </c>
      <c r="FE108" s="61">
        <v>0</v>
      </c>
      <c r="FF108" s="61">
        <v>0</v>
      </c>
      <c r="FG108" s="61">
        <v>0</v>
      </c>
      <c r="FH108" s="61">
        <v>0</v>
      </c>
      <c r="FI108" s="61">
        <v>2</v>
      </c>
      <c r="FJ108" s="61">
        <v>0</v>
      </c>
      <c r="FK108" s="61">
        <v>0</v>
      </c>
      <c r="FL108" s="61">
        <v>0</v>
      </c>
      <c r="FM108" s="61">
        <v>0</v>
      </c>
      <c r="FN108" s="61">
        <v>0</v>
      </c>
      <c r="FO108" s="61">
        <v>0</v>
      </c>
      <c r="FP108" s="61">
        <v>0</v>
      </c>
      <c r="FQ108" s="61">
        <v>0</v>
      </c>
      <c r="FR108" s="61">
        <v>0</v>
      </c>
      <c r="FS108" s="61">
        <v>0</v>
      </c>
      <c r="FT108" s="61">
        <v>0</v>
      </c>
      <c r="FU108" s="61">
        <v>0</v>
      </c>
      <c r="FV108" s="61">
        <v>0</v>
      </c>
      <c r="FW108" s="61">
        <v>0</v>
      </c>
      <c r="FX108" s="61">
        <v>0</v>
      </c>
      <c r="FY108" s="61">
        <v>0</v>
      </c>
      <c r="FZ108" s="61">
        <v>0</v>
      </c>
      <c r="GA108" s="61">
        <v>0</v>
      </c>
      <c r="GB108" s="61">
        <v>0</v>
      </c>
      <c r="GC108" s="61">
        <v>0</v>
      </c>
      <c r="GD108" s="61">
        <v>0</v>
      </c>
      <c r="GE108" s="61">
        <v>0</v>
      </c>
      <c r="GF108" s="61">
        <v>0</v>
      </c>
      <c r="GG108" s="61">
        <v>0</v>
      </c>
      <c r="GH108" s="61">
        <v>0</v>
      </c>
      <c r="GI108" s="61">
        <v>0</v>
      </c>
      <c r="GJ108" s="61">
        <v>0</v>
      </c>
      <c r="GK108" s="61">
        <v>0</v>
      </c>
      <c r="GL108" s="61">
        <v>0</v>
      </c>
      <c r="GM108" s="61">
        <v>0</v>
      </c>
      <c r="GN108" s="61">
        <v>0</v>
      </c>
      <c r="GO108" s="61">
        <v>0</v>
      </c>
      <c r="GP108" s="61">
        <v>0</v>
      </c>
      <c r="GQ108" s="61">
        <v>0</v>
      </c>
      <c r="GR108" s="61">
        <v>0</v>
      </c>
      <c r="GS108" s="61">
        <v>0</v>
      </c>
      <c r="GT108" s="61">
        <v>0</v>
      </c>
      <c r="GU108" s="61">
        <v>0</v>
      </c>
      <c r="GV108" s="61"/>
      <c r="GW108" s="61"/>
      <c r="GX108" s="61"/>
      <c r="GY108" s="60" t="s">
        <v>825</v>
      </c>
      <c r="GZ108" s="60">
        <v>0</v>
      </c>
      <c r="HA108" s="60">
        <v>0</v>
      </c>
      <c r="HB108" s="60">
        <v>0</v>
      </c>
      <c r="HC108" s="60">
        <v>2</v>
      </c>
      <c r="HD108" s="60">
        <v>0</v>
      </c>
      <c r="HE108" s="60">
        <v>2</v>
      </c>
      <c r="HF108" s="60">
        <v>4</v>
      </c>
      <c r="HG108" s="60">
        <v>2</v>
      </c>
      <c r="HH108" s="60">
        <v>4</v>
      </c>
      <c r="HI108" s="60">
        <v>6</v>
      </c>
      <c r="HJ108" s="60">
        <v>4</v>
      </c>
      <c r="HK108" s="60">
        <v>6</v>
      </c>
      <c r="HL108" s="60">
        <v>8</v>
      </c>
      <c r="HM108" s="60">
        <v>6</v>
      </c>
      <c r="HN108" s="60">
        <v>8</v>
      </c>
      <c r="HO108" s="60">
        <v>8</v>
      </c>
      <c r="HP108" s="60">
        <v>10</v>
      </c>
      <c r="HQ108" s="60">
        <v>8</v>
      </c>
      <c r="HR108" s="60">
        <v>10</v>
      </c>
      <c r="HS108" s="60">
        <v>16</v>
      </c>
      <c r="HT108" s="60">
        <v>10</v>
      </c>
      <c r="HV108" s="60" t="s">
        <v>825</v>
      </c>
      <c r="HW108" s="61">
        <v>0</v>
      </c>
      <c r="HX108" s="61">
        <v>0</v>
      </c>
      <c r="HY108" s="61">
        <v>2</v>
      </c>
      <c r="HZ108" s="61">
        <v>2</v>
      </c>
      <c r="IA108" s="61">
        <v>4</v>
      </c>
      <c r="IB108" s="61">
        <v>4</v>
      </c>
      <c r="IC108" s="61">
        <v>6</v>
      </c>
      <c r="ID108" s="61">
        <v>6</v>
      </c>
      <c r="IE108" s="61">
        <v>8</v>
      </c>
      <c r="IF108" s="61">
        <v>8</v>
      </c>
      <c r="IG108" s="61">
        <v>10</v>
      </c>
      <c r="IH108" s="61">
        <v>10</v>
      </c>
      <c r="II108" s="61">
        <v>12</v>
      </c>
      <c r="IJ108" s="61">
        <v>12</v>
      </c>
      <c r="IK108" s="61">
        <v>14</v>
      </c>
      <c r="IL108" s="61">
        <v>14</v>
      </c>
      <c r="IM108" s="61">
        <v>16</v>
      </c>
      <c r="IN108" s="61">
        <v>16</v>
      </c>
      <c r="IO108" s="61">
        <v>18</v>
      </c>
      <c r="IP108" s="61">
        <v>18</v>
      </c>
      <c r="IQ108" s="61">
        <v>20</v>
      </c>
      <c r="IS108" s="60" t="s">
        <v>825</v>
      </c>
      <c r="IT108" s="60">
        <f t="shared" si="45"/>
        <v>0</v>
      </c>
      <c r="IU108" s="60">
        <f t="shared" si="46"/>
        <v>0</v>
      </c>
      <c r="IV108" s="60">
        <f t="shared" si="47"/>
        <v>4</v>
      </c>
      <c r="IW108" s="60">
        <f t="shared" si="48"/>
        <v>4</v>
      </c>
      <c r="IX108" s="60">
        <f t="shared" si="49"/>
        <v>8</v>
      </c>
      <c r="IY108" s="60">
        <f t="shared" si="50"/>
        <v>8</v>
      </c>
      <c r="IZ108" s="60">
        <f t="shared" si="51"/>
        <v>12</v>
      </c>
      <c r="JA108" s="60">
        <f t="shared" si="52"/>
        <v>12</v>
      </c>
      <c r="JB108" s="60">
        <f t="shared" si="53"/>
        <v>16</v>
      </c>
      <c r="JC108" s="60">
        <f t="shared" si="54"/>
        <v>16</v>
      </c>
      <c r="JD108" s="60">
        <f t="shared" si="55"/>
        <v>20</v>
      </c>
      <c r="JE108" s="60">
        <f t="shared" si="56"/>
        <v>20</v>
      </c>
      <c r="JF108" s="60">
        <f t="shared" si="57"/>
        <v>24</v>
      </c>
      <c r="JG108" s="60">
        <f t="shared" si="58"/>
        <v>24</v>
      </c>
      <c r="JH108" s="60">
        <f t="shared" si="59"/>
        <v>28</v>
      </c>
      <c r="JI108" s="60">
        <f t="shared" si="60"/>
        <v>28</v>
      </c>
      <c r="JJ108" s="60">
        <f t="shared" si="61"/>
        <v>32</v>
      </c>
      <c r="JK108" s="60">
        <f t="shared" si="62"/>
        <v>32</v>
      </c>
      <c r="JL108" s="60">
        <f t="shared" si="63"/>
        <v>36</v>
      </c>
      <c r="JM108" s="60">
        <f t="shared" si="64"/>
        <v>36</v>
      </c>
      <c r="JN108" s="60">
        <f t="shared" si="65"/>
        <v>40</v>
      </c>
      <c r="JQ108" s="63"/>
    </row>
    <row r="109" spans="1:300" x14ac:dyDescent="0.25">
      <c r="A109" s="8"/>
      <c r="B109" s="5" t="s">
        <v>116</v>
      </c>
      <c r="C109" s="8"/>
      <c r="D109" s="6" t="s">
        <v>310</v>
      </c>
      <c r="E109" s="8">
        <v>15</v>
      </c>
      <c r="F109" s="5"/>
      <c r="G109" s="5"/>
      <c r="H109" s="5"/>
      <c r="I109" s="5"/>
      <c r="J109" s="5" t="s">
        <v>411</v>
      </c>
      <c r="K109" s="9"/>
      <c r="L109" s="6" t="str">
        <f>INDEX(($Z$191:$AA$201,$AE$191:$AF$201),MATCH(I105,$Y$191:$Y$200,0),MATCH(E107,$Z$190:$AA$190,0),MATCH(E106,$Y$106:$Y$107,0))</f>
        <v>BUFK30</v>
      </c>
      <c r="M109" s="11">
        <f>INDEX(cennik!$C$2:$L$529,MATCH($L109,cennik!$B$2:$B$522,0),MATCH(M$104,cennik!$C$1:$L$1,0))</f>
        <v>897430</v>
      </c>
      <c r="N109" s="11" t="str">
        <f>INDEX(cennik!$C$2:$L$529,MATCH($L109,cennik!$B$2:$B$522,0),MATCH(N$104,cennik!$C$1:$L$1,0))</f>
        <v>szt.</v>
      </c>
      <c r="O109" s="11">
        <f>SUM(IF(A104=0,0,IF((A104&gt;0),C104*4)),IF(A105=0,0,IF((A105&gt;0),C105*4)),IF(A106=0,0,IF((A106&gt;0),C106*4)),IF(A107=0,0,IF((A107&gt;0),C107*4)),IF(A108=0,0,IF((A108&gt;0),C108*4)),IF(A109=0,0,IF((A109&gt;0),C109*4)),IF(A110=0,0,IF((A110&gt;0),C110*4)),IF(A111=0,0,IF((A111&gt;0),C111*4)),IF(A112=0,0,IF((A112&gt;0),C112*4)),IF(A113=0,0,IF((A113&gt;0),C113*4)),IF(A114=0,0,IF((A114&gt;0),C114*4)),IF(A115=0,0,IF((A115&gt;0),C115*4)),IF(A116=0,0,IF((A116&gt;0),C116*4)),IF(A117=0,0,IF((A117&gt;0),C117*4)),IF(A118=0,0,IF((A118&gt;0),C118*4)),,IF(A119=0,0,IF((A119&gt;0),C119*4)))</f>
        <v>0</v>
      </c>
      <c r="P109" s="34">
        <f>INDEX(cennik!$C$2:$L$529,MATCH($L109,cennik!$B$2:$B$522,0),MATCH(P$104,cennik!$C$1:$L$1,0))</f>
        <v>5.87</v>
      </c>
      <c r="Q109" s="34">
        <f t="shared" ref="Q109:Q117" si="66">O109*P109</f>
        <v>0</v>
      </c>
      <c r="R109" s="35">
        <f t="shared" si="28"/>
        <v>0</v>
      </c>
      <c r="S109" s="34">
        <f t="shared" si="29"/>
        <v>5.87</v>
      </c>
      <c r="T109" s="34">
        <f t="shared" ref="T109:T117" si="67">O109*S109</f>
        <v>0</v>
      </c>
      <c r="U109" s="34">
        <f>INDEX(cennik!$C$2:$L$529,MATCH($L109,cennik!$B$2:$B$522,0),MATCH(U$104,cennik!$C$1:$L$1,0))*O109</f>
        <v>0</v>
      </c>
      <c r="V109" s="61"/>
      <c r="W109" s="142">
        <f t="shared" si="30"/>
        <v>0</v>
      </c>
      <c r="X109" s="61" t="s">
        <v>111</v>
      </c>
      <c r="Y109" s="61">
        <v>1650</v>
      </c>
      <c r="Z109" s="61" t="s">
        <v>303</v>
      </c>
      <c r="AA109" s="61">
        <v>1663</v>
      </c>
      <c r="AB109" s="61"/>
      <c r="AC109" s="61"/>
      <c r="AD109" s="61"/>
      <c r="AE109" s="61"/>
      <c r="AF109" s="61"/>
      <c r="AG109" s="61"/>
      <c r="AH109" s="61"/>
      <c r="AI109" s="61"/>
      <c r="AJ109" s="61"/>
      <c r="AK109" s="61"/>
      <c r="AL109" s="61" t="s">
        <v>15</v>
      </c>
      <c r="AM109" s="61">
        <v>0</v>
      </c>
      <c r="AN109" s="61">
        <v>0</v>
      </c>
      <c r="AO109" s="61">
        <v>0</v>
      </c>
      <c r="AP109" s="61">
        <v>2</v>
      </c>
      <c r="AQ109" s="61">
        <v>0</v>
      </c>
      <c r="AR109" s="61">
        <v>2</v>
      </c>
      <c r="AS109" s="61">
        <v>4</v>
      </c>
      <c r="AT109" s="61">
        <v>2</v>
      </c>
      <c r="AU109" s="61">
        <v>4</v>
      </c>
      <c r="AV109" s="61">
        <v>6</v>
      </c>
      <c r="AW109" s="61">
        <v>4</v>
      </c>
      <c r="AX109" s="61">
        <v>6</v>
      </c>
      <c r="AY109" s="61">
        <v>8</v>
      </c>
      <c r="AZ109" s="61">
        <v>6</v>
      </c>
      <c r="BA109" s="61">
        <v>8</v>
      </c>
      <c r="BB109" s="61">
        <v>0</v>
      </c>
      <c r="BC109" s="61">
        <v>0</v>
      </c>
      <c r="BD109" s="61">
        <v>0</v>
      </c>
      <c r="BE109" s="61">
        <v>0</v>
      </c>
      <c r="BF109" s="61">
        <v>2</v>
      </c>
      <c r="BG109" s="61">
        <v>2</v>
      </c>
      <c r="BH109" s="61">
        <v>4</v>
      </c>
      <c r="BI109" s="61">
        <v>6</v>
      </c>
      <c r="BJ109" s="61">
        <v>6</v>
      </c>
      <c r="BK109" s="61">
        <v>6</v>
      </c>
      <c r="BL109" s="61">
        <v>8</v>
      </c>
      <c r="BM109" s="61">
        <v>12</v>
      </c>
      <c r="BN109" s="61">
        <v>10</v>
      </c>
      <c r="BO109" s="61">
        <v>12</v>
      </c>
      <c r="BP109" s="61">
        <v>0</v>
      </c>
      <c r="BQ109" s="61">
        <v>12</v>
      </c>
      <c r="BR109" s="61">
        <v>14</v>
      </c>
      <c r="BS109" s="61">
        <v>0</v>
      </c>
      <c r="BT109" s="61">
        <v>14</v>
      </c>
      <c r="BU109" s="61">
        <v>16</v>
      </c>
      <c r="BV109" s="61">
        <v>4</v>
      </c>
      <c r="BW109" s="61">
        <v>8</v>
      </c>
      <c r="BX109" s="61">
        <v>4</v>
      </c>
      <c r="BY109" s="61">
        <v>6</v>
      </c>
      <c r="BZ109" s="61">
        <v>6</v>
      </c>
      <c r="CA109" s="61">
        <v>22</v>
      </c>
      <c r="CB109" s="61">
        <v>8</v>
      </c>
      <c r="CC109" s="61">
        <v>22</v>
      </c>
      <c r="CD109" s="61">
        <v>10</v>
      </c>
      <c r="CE109" s="61">
        <v>12</v>
      </c>
      <c r="CF109" s="61">
        <v>0</v>
      </c>
      <c r="CG109" s="61">
        <v>4</v>
      </c>
      <c r="CH109" s="61">
        <v>14</v>
      </c>
      <c r="CI109" s="61">
        <v>0</v>
      </c>
      <c r="CJ109" s="61">
        <v>30</v>
      </c>
      <c r="CK109" s="61">
        <v>2</v>
      </c>
      <c r="CL109" s="61"/>
      <c r="CM109" s="61"/>
      <c r="CN109" s="61"/>
      <c r="CO109" s="61"/>
      <c r="CP109" s="61"/>
      <c r="CQ109" s="61"/>
      <c r="CR109" s="61"/>
      <c r="CS109" s="61"/>
      <c r="CT109" s="61"/>
      <c r="CU109" s="61"/>
      <c r="CV109" s="61"/>
      <c r="CW109" s="61"/>
      <c r="CX109" s="61"/>
      <c r="CY109" s="61"/>
      <c r="CZ109" s="61"/>
      <c r="DA109" s="61"/>
      <c r="DB109" s="61"/>
      <c r="DC109" s="61"/>
      <c r="DD109" s="61"/>
      <c r="DE109" s="61"/>
      <c r="DF109" s="61"/>
      <c r="DG109" s="61"/>
      <c r="DH109" s="61"/>
      <c r="DI109" s="61"/>
      <c r="DJ109" s="61"/>
      <c r="DK109" s="61"/>
      <c r="DL109" s="61"/>
      <c r="DM109" s="61"/>
      <c r="DN109" s="61"/>
      <c r="DO109" s="61"/>
      <c r="DP109" s="61"/>
      <c r="DQ109" s="61"/>
      <c r="DR109" s="61"/>
      <c r="DS109" s="61"/>
      <c r="DT109" s="61"/>
      <c r="DU109" s="61"/>
      <c r="DV109" s="61"/>
      <c r="DW109" s="61"/>
      <c r="DX109" s="61"/>
      <c r="DY109" s="61"/>
      <c r="DZ109" s="61">
        <v>6</v>
      </c>
      <c r="EA109" s="61">
        <v>12</v>
      </c>
      <c r="EB109" s="61">
        <v>35</v>
      </c>
      <c r="EC109" s="61"/>
      <c r="ED109" s="61"/>
      <c r="EE109" s="61"/>
      <c r="EF109" s="61"/>
      <c r="EG109" s="61"/>
      <c r="EH109" s="61"/>
      <c r="EI109" s="61"/>
      <c r="EJ109" s="61"/>
      <c r="EK109" s="61"/>
      <c r="EL109" s="61"/>
      <c r="EM109" s="61"/>
      <c r="EN109" s="61"/>
      <c r="EO109" s="61"/>
      <c r="EP109" s="61"/>
      <c r="EQ109" s="61"/>
      <c r="ER109" s="61"/>
      <c r="ES109" s="61"/>
      <c r="ET109" s="61"/>
      <c r="EU109" s="61"/>
      <c r="EV109" s="61" t="s">
        <v>208</v>
      </c>
      <c r="EW109" s="61">
        <v>0</v>
      </c>
      <c r="EX109" s="61">
        <v>0</v>
      </c>
      <c r="EY109" s="61">
        <v>0</v>
      </c>
      <c r="EZ109" s="61">
        <v>0</v>
      </c>
      <c r="FA109" s="61">
        <v>0</v>
      </c>
      <c r="FB109" s="61">
        <v>2</v>
      </c>
      <c r="FC109" s="61">
        <v>0</v>
      </c>
      <c r="FD109" s="61">
        <v>0</v>
      </c>
      <c r="FE109" s="61">
        <v>0</v>
      </c>
      <c r="FF109" s="61">
        <v>0</v>
      </c>
      <c r="FG109" s="61">
        <v>0</v>
      </c>
      <c r="FH109" s="61">
        <v>0</v>
      </c>
      <c r="FI109" s="61">
        <v>0</v>
      </c>
      <c r="FJ109" s="61">
        <v>0</v>
      </c>
      <c r="FK109" s="61">
        <v>0</v>
      </c>
      <c r="FL109" s="61">
        <v>0</v>
      </c>
      <c r="FM109" s="61">
        <v>0</v>
      </c>
      <c r="FN109" s="61">
        <v>0</v>
      </c>
      <c r="FO109" s="61">
        <v>0</v>
      </c>
      <c r="FP109" s="61">
        <v>0</v>
      </c>
      <c r="FQ109" s="61">
        <v>0</v>
      </c>
      <c r="FR109" s="61">
        <v>0</v>
      </c>
      <c r="FS109" s="61">
        <v>0</v>
      </c>
      <c r="FT109" s="61">
        <v>0</v>
      </c>
      <c r="FU109" s="61">
        <v>0</v>
      </c>
      <c r="FV109" s="61">
        <v>0</v>
      </c>
      <c r="FW109" s="61">
        <v>0</v>
      </c>
      <c r="FX109" s="61">
        <v>0</v>
      </c>
      <c r="FY109" s="61">
        <v>0</v>
      </c>
      <c r="FZ109" s="61">
        <v>0</v>
      </c>
      <c r="GA109" s="61">
        <v>0</v>
      </c>
      <c r="GB109" s="61">
        <v>0</v>
      </c>
      <c r="GC109" s="61">
        <v>0</v>
      </c>
      <c r="GD109" s="61">
        <v>0</v>
      </c>
      <c r="GE109" s="61">
        <v>0</v>
      </c>
      <c r="GF109" s="61">
        <v>0</v>
      </c>
      <c r="GG109" s="61">
        <v>0</v>
      </c>
      <c r="GH109" s="61">
        <v>0</v>
      </c>
      <c r="GI109" s="61">
        <v>0</v>
      </c>
      <c r="GJ109" s="61">
        <v>0</v>
      </c>
      <c r="GK109" s="61">
        <v>0</v>
      </c>
      <c r="GL109" s="61">
        <v>0</v>
      </c>
      <c r="GM109" s="61">
        <v>0</v>
      </c>
      <c r="GN109" s="61">
        <v>0</v>
      </c>
      <c r="GO109" s="61">
        <v>0</v>
      </c>
      <c r="GP109" s="61">
        <v>0</v>
      </c>
      <c r="GQ109" s="61">
        <v>0</v>
      </c>
      <c r="GR109" s="61">
        <v>0</v>
      </c>
      <c r="GS109" s="61">
        <v>0</v>
      </c>
      <c r="GT109" s="61">
        <v>0</v>
      </c>
      <c r="GU109" s="61">
        <v>0</v>
      </c>
      <c r="GV109" s="61"/>
      <c r="GW109" s="61"/>
      <c r="GX109" s="61"/>
      <c r="GY109" s="60" t="s">
        <v>712</v>
      </c>
      <c r="GZ109" s="60">
        <v>0</v>
      </c>
      <c r="HA109" s="60">
        <v>0</v>
      </c>
      <c r="HB109" s="60">
        <v>0</v>
      </c>
      <c r="HC109" s="60">
        <v>0</v>
      </c>
      <c r="HD109" s="60">
        <v>2</v>
      </c>
      <c r="HE109" s="60">
        <v>2</v>
      </c>
      <c r="HF109" s="60">
        <v>2</v>
      </c>
      <c r="HG109" s="60">
        <v>4</v>
      </c>
      <c r="HH109" s="60">
        <v>4</v>
      </c>
      <c r="HI109" s="60">
        <v>4</v>
      </c>
      <c r="HJ109" s="60">
        <v>6</v>
      </c>
      <c r="HK109" s="60">
        <v>6</v>
      </c>
      <c r="HL109" s="60">
        <v>6</v>
      </c>
      <c r="HM109" s="60">
        <v>8</v>
      </c>
      <c r="HN109" s="60">
        <v>8</v>
      </c>
      <c r="HO109" s="60">
        <v>8</v>
      </c>
      <c r="HP109" s="60">
        <v>8</v>
      </c>
      <c r="HQ109" s="60">
        <v>10</v>
      </c>
      <c r="HR109" s="60">
        <v>10</v>
      </c>
      <c r="HS109" s="60">
        <v>8</v>
      </c>
      <c r="HT109" s="60">
        <v>12</v>
      </c>
      <c r="HV109" s="60" t="s">
        <v>853</v>
      </c>
      <c r="HW109" s="61">
        <v>0</v>
      </c>
      <c r="HX109" s="61">
        <v>0</v>
      </c>
      <c r="HY109" s="61">
        <v>0</v>
      </c>
      <c r="HZ109" s="61">
        <v>2</v>
      </c>
      <c r="IA109" s="61">
        <v>2</v>
      </c>
      <c r="IB109" s="61">
        <v>4</v>
      </c>
      <c r="IC109" s="61">
        <v>4</v>
      </c>
      <c r="ID109" s="61">
        <v>6</v>
      </c>
      <c r="IE109" s="61">
        <v>6</v>
      </c>
      <c r="IF109" s="61">
        <v>8</v>
      </c>
      <c r="IG109" s="61">
        <v>8</v>
      </c>
      <c r="IH109" s="61">
        <v>10</v>
      </c>
      <c r="II109" s="61">
        <v>10</v>
      </c>
      <c r="IJ109" s="61">
        <v>12</v>
      </c>
      <c r="IK109" s="61">
        <v>12</v>
      </c>
      <c r="IL109" s="61">
        <v>14</v>
      </c>
      <c r="IM109" s="61">
        <v>14</v>
      </c>
      <c r="IN109" s="61">
        <v>16</v>
      </c>
      <c r="IO109" s="61">
        <v>16</v>
      </c>
      <c r="IP109" s="61">
        <v>18</v>
      </c>
      <c r="IQ109" s="61">
        <v>18</v>
      </c>
      <c r="IS109" s="60" t="s">
        <v>853</v>
      </c>
      <c r="IT109" s="60">
        <f t="shared" si="45"/>
        <v>0</v>
      </c>
      <c r="IU109" s="60">
        <f t="shared" si="46"/>
        <v>0</v>
      </c>
      <c r="IV109" s="60">
        <f t="shared" si="47"/>
        <v>0</v>
      </c>
      <c r="IW109" s="60">
        <f t="shared" si="48"/>
        <v>4</v>
      </c>
      <c r="IX109" s="60">
        <f t="shared" si="49"/>
        <v>4</v>
      </c>
      <c r="IY109" s="60">
        <f t="shared" si="50"/>
        <v>8</v>
      </c>
      <c r="IZ109" s="60">
        <f t="shared" si="51"/>
        <v>8</v>
      </c>
      <c r="JA109" s="60">
        <f t="shared" si="52"/>
        <v>12</v>
      </c>
      <c r="JB109" s="60">
        <f>IE109*2</f>
        <v>12</v>
      </c>
      <c r="JC109" s="60">
        <f t="shared" si="54"/>
        <v>16</v>
      </c>
      <c r="JD109" s="60">
        <f t="shared" si="55"/>
        <v>16</v>
      </c>
      <c r="JE109" s="60">
        <f t="shared" si="56"/>
        <v>20</v>
      </c>
      <c r="JF109" s="60">
        <f t="shared" si="57"/>
        <v>20</v>
      </c>
      <c r="JG109" s="60">
        <f t="shared" si="58"/>
        <v>24</v>
      </c>
      <c r="JH109" s="60">
        <f t="shared" si="59"/>
        <v>24</v>
      </c>
      <c r="JI109" s="60">
        <f t="shared" si="60"/>
        <v>28</v>
      </c>
      <c r="JJ109" s="60">
        <f t="shared" si="61"/>
        <v>28</v>
      </c>
      <c r="JK109" s="60">
        <f t="shared" si="62"/>
        <v>32</v>
      </c>
      <c r="JL109" s="60">
        <f t="shared" si="63"/>
        <v>32</v>
      </c>
      <c r="JM109" s="60">
        <f t="shared" si="64"/>
        <v>36</v>
      </c>
      <c r="JN109" s="60">
        <f t="shared" si="65"/>
        <v>36</v>
      </c>
      <c r="JQ109" s="63"/>
      <c r="KG109" s="63"/>
      <c r="KI109" s="61"/>
    </row>
    <row r="110" spans="1:300" x14ac:dyDescent="0.25">
      <c r="A110" s="8"/>
      <c r="B110" s="5" t="s">
        <v>116</v>
      </c>
      <c r="C110" s="8"/>
      <c r="D110" s="6" t="s">
        <v>162</v>
      </c>
      <c r="E110" s="8">
        <v>0</v>
      </c>
      <c r="F110" s="5"/>
      <c r="G110" s="5"/>
      <c r="H110" s="5"/>
      <c r="I110" s="5"/>
      <c r="J110" s="5" t="s">
        <v>163</v>
      </c>
      <c r="K110" s="9"/>
      <c r="L110" s="6" t="str">
        <f>INDEX(($Z$201:$AA$201,$AE$201:$AF$201),1,MATCH(E107,$Z$190:$AA$190,0),MATCH(E106,$Y$106:$Y$107,0))</f>
        <v>PUFK</v>
      </c>
      <c r="M110" s="11">
        <f>INDEX(cennik!$C$2:$L$529,MATCH($L110,cennik!$B$2:$B$522,0),MATCH(M$104,cennik!$C$1:$L$1,0))</f>
        <v>890300</v>
      </c>
      <c r="N110" s="11" t="str">
        <f>INDEX(cennik!$C$2:$L$529,MATCH($L110,cennik!$B$2:$B$522,0),MATCH(N$104,cennik!$C$1:$L$1,0))</f>
        <v>szt.</v>
      </c>
      <c r="O110" s="11">
        <f>SUM(IF(A104=0,0,IF(A104&gt;0,(A104-1)*2*C104)),IF(A105=0,0,IF(A105&gt;0,(A105-1)*2*C105)),IF(A106=0,0,IF(A106&gt;0,(A106-1)*2*C106)),IF(A107=0,0,IF(A107&gt;0,(A107-1)*2*C107)),IF(A108=0,0,IF(A108&gt;0,(A108-1)*2*C108)),IF(A109=0,0,IF(A109&gt;0,(A109-1)*2*C109)),IF(A110=0,0,IF(A110&gt;0,(A110-1)*2*C110)),IF(A111=0,0,IF(A111&gt;0,(A111-1)*2*C111)),IF(A112=0,0,IF(A112&gt;0,(A112-1)*2*C112)),IF(A113=0,0,IF(A113&gt;0,(A113-1)*2*C113)),IF(A114=0,0,IF(A114&gt;0,(A114-1)*2*C114)),IF(A115=0,0,IF(A115&gt;0,(A115-1)*2*C115)),IF(A116=0,0,IF(A116&gt;0,(A116-1)*2*C116)),IF(A117=0,0,IF(A117&gt;0,(A117-1)*2*C117)),IF(A118=0,0,IF(A118&gt;0,(A118-1)*2*C118)),IF(A119=0,0,IF(A119&gt;0,(A119-1)*2*C119)))</f>
        <v>0</v>
      </c>
      <c r="P110" s="34">
        <f>INDEX(cennik!$C$2:$L$529,MATCH($L110,cennik!$B$2:$B$522,0),MATCH(P$104,cennik!$C$1:$L$1,0))</f>
        <v>7.31</v>
      </c>
      <c r="Q110" s="34">
        <f t="shared" si="66"/>
        <v>0</v>
      </c>
      <c r="R110" s="35">
        <f t="shared" si="28"/>
        <v>0</v>
      </c>
      <c r="S110" s="34">
        <f t="shared" si="29"/>
        <v>7.31</v>
      </c>
      <c r="T110" s="34">
        <f t="shared" si="67"/>
        <v>0</v>
      </c>
      <c r="U110" s="34">
        <f>INDEX(cennik!$C$2:$L$529,MATCH($L110,cennik!$B$2:$B$522,0),MATCH(U$104,cennik!$C$1:$L$1,0))*O110</f>
        <v>0</v>
      </c>
      <c r="V110" s="61"/>
      <c r="W110" s="142">
        <f t="shared" si="30"/>
        <v>0</v>
      </c>
      <c r="X110" s="61" t="s">
        <v>112</v>
      </c>
      <c r="Y110" s="61">
        <v>1700</v>
      </c>
      <c r="Z110" s="61" t="s">
        <v>304</v>
      </c>
      <c r="AA110" s="61">
        <v>1700</v>
      </c>
      <c r="AB110" s="61"/>
      <c r="AC110" s="61"/>
      <c r="AD110" s="61"/>
      <c r="AE110" s="61"/>
      <c r="AF110" s="61"/>
      <c r="AG110" s="61"/>
      <c r="AH110" s="61"/>
      <c r="AI110" s="61"/>
      <c r="AJ110" s="61"/>
      <c r="AK110" s="61"/>
      <c r="AL110" s="61" t="s">
        <v>19</v>
      </c>
      <c r="AM110" s="61">
        <v>0</v>
      </c>
      <c r="AN110" s="61">
        <v>0</v>
      </c>
      <c r="AO110" s="61">
        <v>0</v>
      </c>
      <c r="AP110" s="61">
        <v>0</v>
      </c>
      <c r="AQ110" s="61">
        <v>0</v>
      </c>
      <c r="AR110" s="61">
        <v>0</v>
      </c>
      <c r="AS110" s="61">
        <v>0</v>
      </c>
      <c r="AT110" s="61">
        <v>0</v>
      </c>
      <c r="AU110" s="61">
        <v>0</v>
      </c>
      <c r="AV110" s="61">
        <v>0</v>
      </c>
      <c r="AW110" s="61">
        <v>0</v>
      </c>
      <c r="AX110" s="61">
        <v>0</v>
      </c>
      <c r="AY110" s="61">
        <v>0</v>
      </c>
      <c r="AZ110" s="61">
        <v>0</v>
      </c>
      <c r="BA110" s="61">
        <v>0</v>
      </c>
      <c r="BB110" s="61">
        <v>8</v>
      </c>
      <c r="BC110" s="61">
        <v>10</v>
      </c>
      <c r="BD110" s="61">
        <v>8</v>
      </c>
      <c r="BE110" s="61">
        <v>10</v>
      </c>
      <c r="BF110" s="61">
        <v>10</v>
      </c>
      <c r="BG110" s="61">
        <v>8</v>
      </c>
      <c r="BH110" s="61">
        <v>8</v>
      </c>
      <c r="BI110" s="61">
        <v>8</v>
      </c>
      <c r="BJ110" s="61">
        <v>6</v>
      </c>
      <c r="BK110" s="61">
        <v>6</v>
      </c>
      <c r="BL110" s="61">
        <v>8</v>
      </c>
      <c r="BM110" s="61">
        <v>2</v>
      </c>
      <c r="BN110" s="61">
        <v>6</v>
      </c>
      <c r="BO110" s="61">
        <v>6</v>
      </c>
      <c r="BP110" s="61">
        <v>18</v>
      </c>
      <c r="BQ110" s="61">
        <v>6</v>
      </c>
      <c r="BR110" s="61">
        <v>6</v>
      </c>
      <c r="BS110" s="61">
        <v>20</v>
      </c>
      <c r="BT110" s="61">
        <v>6</v>
      </c>
      <c r="BU110" s="61">
        <v>6</v>
      </c>
      <c r="BV110" s="61">
        <v>18</v>
      </c>
      <c r="BW110" s="61">
        <v>12</v>
      </c>
      <c r="BX110" s="61">
        <v>18</v>
      </c>
      <c r="BY110" s="61">
        <v>18</v>
      </c>
      <c r="BZ110" s="61">
        <v>16</v>
      </c>
      <c r="CA110" s="61">
        <v>4</v>
      </c>
      <c r="CB110" s="61">
        <v>18</v>
      </c>
      <c r="CC110" s="61">
        <v>4</v>
      </c>
      <c r="CD110" s="61">
        <v>16</v>
      </c>
      <c r="CE110" s="61">
        <v>16</v>
      </c>
      <c r="CF110" s="61">
        <v>28</v>
      </c>
      <c r="CG110" s="61">
        <v>22</v>
      </c>
      <c r="CH110" s="61">
        <v>16</v>
      </c>
      <c r="CI110" s="61">
        <v>30</v>
      </c>
      <c r="CJ110" s="61">
        <v>2</v>
      </c>
      <c r="CK110" s="61">
        <v>28</v>
      </c>
      <c r="CL110" s="61"/>
      <c r="CM110" s="61"/>
      <c r="CN110" s="61"/>
      <c r="CO110" s="61"/>
      <c r="CP110" s="61"/>
      <c r="CQ110" s="61"/>
      <c r="CR110" s="61"/>
      <c r="CS110" s="61"/>
      <c r="CT110" s="61"/>
      <c r="CU110" s="61"/>
      <c r="CV110" s="61"/>
      <c r="CW110" s="61"/>
      <c r="CX110" s="61"/>
      <c r="CY110" s="61"/>
      <c r="CZ110" s="61"/>
      <c r="DA110" s="61"/>
      <c r="DB110" s="61"/>
      <c r="DC110" s="61"/>
      <c r="DD110" s="61"/>
      <c r="DE110" s="61"/>
      <c r="DF110" s="61"/>
      <c r="DG110" s="61"/>
      <c r="DH110" s="61"/>
      <c r="DI110" s="61"/>
      <c r="DJ110" s="61"/>
      <c r="DK110" s="61"/>
      <c r="DL110" s="61"/>
      <c r="DM110" s="61"/>
      <c r="DN110" s="61"/>
      <c r="DO110" s="61"/>
      <c r="DP110" s="61"/>
      <c r="DQ110" s="61"/>
      <c r="DR110" s="61"/>
      <c r="DS110" s="61"/>
      <c r="DT110" s="61"/>
      <c r="DU110" s="61"/>
      <c r="DV110" s="61"/>
      <c r="DW110" s="61"/>
      <c r="DX110" s="61"/>
      <c r="DY110" s="61"/>
      <c r="DZ110" s="61">
        <v>7</v>
      </c>
      <c r="EA110" s="61">
        <v>14</v>
      </c>
      <c r="EB110" s="61"/>
      <c r="EC110" s="61"/>
      <c r="ED110" s="61"/>
      <c r="EE110" s="61"/>
      <c r="EF110" s="61"/>
      <c r="EG110" s="61"/>
      <c r="EH110" s="61"/>
      <c r="EI110" s="61"/>
      <c r="EJ110" s="61"/>
      <c r="EK110" s="61"/>
      <c r="EL110" s="61"/>
      <c r="EM110" s="61"/>
      <c r="EN110" s="61"/>
      <c r="EO110" s="61"/>
      <c r="EP110" s="61"/>
      <c r="EQ110" s="61"/>
      <c r="ER110" s="61"/>
      <c r="ES110" s="61"/>
      <c r="ET110" s="61"/>
      <c r="EU110" s="61"/>
      <c r="EV110" s="61" t="s">
        <v>211</v>
      </c>
      <c r="EW110" s="61">
        <v>0</v>
      </c>
      <c r="EX110" s="61">
        <v>0</v>
      </c>
      <c r="EY110" s="61">
        <v>0</v>
      </c>
      <c r="EZ110" s="61">
        <v>0</v>
      </c>
      <c r="FA110" s="61">
        <v>0</v>
      </c>
      <c r="FB110" s="61">
        <v>0</v>
      </c>
      <c r="FC110" s="61">
        <v>0</v>
      </c>
      <c r="FD110" s="61">
        <v>0</v>
      </c>
      <c r="FE110" s="61">
        <v>0</v>
      </c>
      <c r="FF110" s="61">
        <v>2</v>
      </c>
      <c r="FG110" s="61">
        <v>0</v>
      </c>
      <c r="FH110" s="61">
        <v>0</v>
      </c>
      <c r="FI110" s="61">
        <v>0</v>
      </c>
      <c r="FJ110" s="61">
        <v>0</v>
      </c>
      <c r="FK110" s="61">
        <v>0</v>
      </c>
      <c r="FL110" s="61">
        <v>0</v>
      </c>
      <c r="FM110" s="61">
        <v>0</v>
      </c>
      <c r="FN110" s="61">
        <v>0</v>
      </c>
      <c r="FO110" s="61">
        <v>0</v>
      </c>
      <c r="FP110" s="61">
        <v>0</v>
      </c>
      <c r="FQ110" s="61">
        <v>0</v>
      </c>
      <c r="FR110" s="61">
        <v>0</v>
      </c>
      <c r="FS110" s="61">
        <v>0</v>
      </c>
      <c r="FT110" s="61">
        <v>0</v>
      </c>
      <c r="FU110" s="61">
        <v>0</v>
      </c>
      <c r="FV110" s="61">
        <v>0</v>
      </c>
      <c r="FW110" s="61">
        <v>0</v>
      </c>
      <c r="FX110" s="61">
        <v>0</v>
      </c>
      <c r="FY110" s="61">
        <v>0</v>
      </c>
      <c r="FZ110" s="61">
        <v>0</v>
      </c>
      <c r="GA110" s="61">
        <v>0</v>
      </c>
      <c r="GB110" s="61">
        <v>0</v>
      </c>
      <c r="GC110" s="61">
        <v>0</v>
      </c>
      <c r="GD110" s="61">
        <v>0</v>
      </c>
      <c r="GE110" s="61">
        <v>0</v>
      </c>
      <c r="GF110" s="61">
        <v>0</v>
      </c>
      <c r="GG110" s="61">
        <v>0</v>
      </c>
      <c r="GH110" s="61">
        <v>0</v>
      </c>
      <c r="GI110" s="61">
        <v>0</v>
      </c>
      <c r="GJ110" s="61">
        <v>0</v>
      </c>
      <c r="GK110" s="61">
        <v>0</v>
      </c>
      <c r="GL110" s="61">
        <v>0</v>
      </c>
      <c r="GM110" s="61">
        <v>0</v>
      </c>
      <c r="GN110" s="61">
        <v>0</v>
      </c>
      <c r="GO110" s="61">
        <v>0</v>
      </c>
      <c r="GP110" s="61">
        <v>0</v>
      </c>
      <c r="GQ110" s="61">
        <v>0</v>
      </c>
      <c r="GR110" s="61">
        <v>0</v>
      </c>
      <c r="GS110" s="61">
        <v>0</v>
      </c>
      <c r="GT110" s="61">
        <v>0</v>
      </c>
      <c r="GU110" s="61">
        <v>0</v>
      </c>
      <c r="GV110" s="61"/>
      <c r="GW110" s="61"/>
      <c r="GX110" s="61"/>
      <c r="HW110" s="61"/>
      <c r="HX110" s="61"/>
      <c r="HY110" s="61"/>
      <c r="HZ110" s="61"/>
      <c r="IA110" s="61"/>
      <c r="IB110" s="61"/>
      <c r="IC110" s="61"/>
      <c r="ID110" s="61"/>
      <c r="IE110" s="61"/>
      <c r="IF110" s="61"/>
      <c r="IG110" s="61"/>
      <c r="IH110" s="61"/>
      <c r="II110" s="61"/>
      <c r="IJ110" s="61"/>
      <c r="IK110" s="61"/>
      <c r="IL110" s="61"/>
      <c r="IM110" s="61"/>
      <c r="IN110" s="61"/>
      <c r="IO110" s="61"/>
      <c r="IP110" s="61"/>
      <c r="IQ110" s="61"/>
      <c r="JQ110" s="63"/>
      <c r="KG110" s="63"/>
      <c r="KI110" s="61"/>
    </row>
    <row r="111" spans="1:300" x14ac:dyDescent="0.25">
      <c r="A111" s="8"/>
      <c r="B111" s="5" t="s">
        <v>116</v>
      </c>
      <c r="C111" s="8"/>
      <c r="D111" s="6" t="s">
        <v>510</v>
      </c>
      <c r="E111" s="8">
        <v>0</v>
      </c>
      <c r="F111" s="6"/>
      <c r="G111" s="6"/>
      <c r="H111" s="6"/>
      <c r="I111" s="6"/>
      <c r="J111" s="5" t="s">
        <v>412</v>
      </c>
      <c r="K111" s="9"/>
      <c r="L111" s="6" t="str">
        <f>INDEX(($AB$191:$AB$200,$AG$191:$AG$200),MATCH(I105,$Y$191:$Y$200,0),1,MATCH(E106,$Y$106:$Y$107,0))</f>
        <v>SAM8X25E</v>
      </c>
      <c r="M111" s="11">
        <f>INDEX(cennik!$C$2:$L$529,MATCH($L111,cennik!$B$2:$B$522,0),MATCH(M$104,cennik!$C$1:$L$1,0))</f>
        <v>898525</v>
      </c>
      <c r="N111" s="11" t="str">
        <f>INDEX(cennik!$C$2:$L$529,MATCH($L111,cennik!$B$2:$B$522,0),MATCH(N$104,cennik!$C$1:$L$1,0))</f>
        <v>szt.</v>
      </c>
      <c r="O111" s="11">
        <f>IF(AE133="suma",SUM(O109:O110),IF(AE133="tylko buf",O109,IF(AE133=0,0,0)))</f>
        <v>0</v>
      </c>
      <c r="P111" s="34">
        <f>INDEX(cennik!$C$2:$L$529,MATCH($L111,cennik!$B$2:$B$522,0),MATCH(P$104,cennik!$C$1:$L$1,0))</f>
        <v>0.45</v>
      </c>
      <c r="Q111" s="34">
        <f t="shared" si="66"/>
        <v>0</v>
      </c>
      <c r="R111" s="35">
        <f t="shared" si="28"/>
        <v>0</v>
      </c>
      <c r="S111" s="34">
        <f t="shared" si="29"/>
        <v>0.45</v>
      </c>
      <c r="T111" s="34">
        <f t="shared" si="67"/>
        <v>0</v>
      </c>
      <c r="U111" s="34">
        <f>INDEX(cennik!$C$2:$L$529,MATCH($L111,cennik!$B$2:$B$522,0),MATCH(U$104,cennik!$C$1:$L$1,0))*O111</f>
        <v>0</v>
      </c>
      <c r="V111" s="61"/>
      <c r="W111" s="142">
        <f t="shared" si="30"/>
        <v>0</v>
      </c>
      <c r="X111" s="61" t="s">
        <v>132</v>
      </c>
      <c r="Y111" s="61">
        <v>1750</v>
      </c>
      <c r="Z111" s="61" t="s">
        <v>481</v>
      </c>
      <c r="AA111" s="61">
        <v>1721</v>
      </c>
      <c r="AB111" s="61"/>
      <c r="AC111" s="61"/>
      <c r="AD111" s="61"/>
      <c r="AE111" s="61"/>
      <c r="AF111" s="61"/>
      <c r="AG111" s="61"/>
      <c r="AH111" s="61"/>
      <c r="AI111" s="61"/>
      <c r="AJ111" s="61"/>
      <c r="AK111" s="61"/>
      <c r="AL111" s="61" t="s">
        <v>408</v>
      </c>
      <c r="AM111" s="61">
        <v>0</v>
      </c>
      <c r="AN111" s="61">
        <f>((((SUM(AN106:AN110))/2)-1))*4</f>
        <v>0</v>
      </c>
      <c r="AO111" s="61">
        <f t="shared" ref="AO111:CK111" si="68">((((SUM(AO106:AO110))/2)-1))*4</f>
        <v>0</v>
      </c>
      <c r="AP111" s="61">
        <f t="shared" si="68"/>
        <v>0</v>
      </c>
      <c r="AQ111" s="61">
        <f t="shared" si="68"/>
        <v>4</v>
      </c>
      <c r="AR111" s="61">
        <f t="shared" si="68"/>
        <v>4</v>
      </c>
      <c r="AS111" s="61">
        <f t="shared" si="68"/>
        <v>4</v>
      </c>
      <c r="AT111" s="61">
        <f t="shared" si="68"/>
        <v>8</v>
      </c>
      <c r="AU111" s="61">
        <f t="shared" si="68"/>
        <v>8</v>
      </c>
      <c r="AV111" s="61">
        <f t="shared" si="68"/>
        <v>8</v>
      </c>
      <c r="AW111" s="61">
        <f t="shared" si="68"/>
        <v>12</v>
      </c>
      <c r="AX111" s="61">
        <f t="shared" si="68"/>
        <v>12</v>
      </c>
      <c r="AY111" s="61">
        <f t="shared" si="68"/>
        <v>12</v>
      </c>
      <c r="AZ111" s="61">
        <f t="shared" si="68"/>
        <v>16</v>
      </c>
      <c r="BA111" s="61">
        <f t="shared" si="68"/>
        <v>16</v>
      </c>
      <c r="BB111" s="61">
        <f t="shared" si="68"/>
        <v>16</v>
      </c>
      <c r="BC111" s="61">
        <f t="shared" si="68"/>
        <v>16</v>
      </c>
      <c r="BD111" s="61">
        <f t="shared" si="68"/>
        <v>20</v>
      </c>
      <c r="BE111" s="61">
        <f t="shared" si="68"/>
        <v>20</v>
      </c>
      <c r="BF111" s="61">
        <f t="shared" si="68"/>
        <v>20</v>
      </c>
      <c r="BG111" s="61">
        <f t="shared" si="68"/>
        <v>24</v>
      </c>
      <c r="BH111" s="61">
        <f t="shared" si="68"/>
        <v>24</v>
      </c>
      <c r="BI111" s="61">
        <f t="shared" si="68"/>
        <v>24</v>
      </c>
      <c r="BJ111" s="61">
        <f t="shared" si="68"/>
        <v>28</v>
      </c>
      <c r="BK111" s="61">
        <f t="shared" si="68"/>
        <v>28</v>
      </c>
      <c r="BL111" s="61">
        <f t="shared" si="68"/>
        <v>28</v>
      </c>
      <c r="BM111" s="61">
        <f t="shared" si="68"/>
        <v>32</v>
      </c>
      <c r="BN111" s="61">
        <f t="shared" si="68"/>
        <v>32</v>
      </c>
      <c r="BO111" s="61">
        <f t="shared" si="68"/>
        <v>32</v>
      </c>
      <c r="BP111" s="61">
        <f t="shared" si="68"/>
        <v>32</v>
      </c>
      <c r="BQ111" s="61">
        <f t="shared" si="68"/>
        <v>36</v>
      </c>
      <c r="BR111" s="61">
        <f t="shared" si="68"/>
        <v>36</v>
      </c>
      <c r="BS111" s="61">
        <f t="shared" si="68"/>
        <v>36</v>
      </c>
      <c r="BT111" s="61">
        <f t="shared" si="68"/>
        <v>40</v>
      </c>
      <c r="BU111" s="61">
        <f t="shared" si="68"/>
        <v>40</v>
      </c>
      <c r="BV111" s="61">
        <f t="shared" si="68"/>
        <v>40</v>
      </c>
      <c r="BW111" s="61">
        <f t="shared" si="68"/>
        <v>44</v>
      </c>
      <c r="BX111" s="61">
        <f t="shared" si="68"/>
        <v>44</v>
      </c>
      <c r="BY111" s="61">
        <f t="shared" si="68"/>
        <v>44</v>
      </c>
      <c r="BZ111" s="61">
        <f t="shared" si="68"/>
        <v>48</v>
      </c>
      <c r="CA111" s="61">
        <f t="shared" si="68"/>
        <v>48</v>
      </c>
      <c r="CB111" s="61">
        <f t="shared" si="68"/>
        <v>48</v>
      </c>
      <c r="CC111" s="61">
        <f t="shared" si="68"/>
        <v>52</v>
      </c>
      <c r="CD111" s="61">
        <f t="shared" si="68"/>
        <v>52</v>
      </c>
      <c r="CE111" s="61">
        <f t="shared" si="68"/>
        <v>52</v>
      </c>
      <c r="CF111" s="61">
        <f t="shared" si="68"/>
        <v>52</v>
      </c>
      <c r="CG111" s="61">
        <f t="shared" si="68"/>
        <v>56</v>
      </c>
      <c r="CH111" s="61">
        <f t="shared" si="68"/>
        <v>56</v>
      </c>
      <c r="CI111" s="61">
        <f t="shared" si="68"/>
        <v>56</v>
      </c>
      <c r="CJ111" s="61">
        <f t="shared" si="68"/>
        <v>60</v>
      </c>
      <c r="CK111" s="61">
        <f t="shared" si="68"/>
        <v>60</v>
      </c>
      <c r="CL111" s="61"/>
      <c r="CM111" s="61"/>
      <c r="CN111" s="61"/>
      <c r="CO111" s="61"/>
      <c r="CP111" s="61"/>
      <c r="CQ111" s="61"/>
      <c r="CR111" s="61"/>
      <c r="CS111" s="61"/>
      <c r="CT111" s="61"/>
      <c r="CU111" s="61"/>
      <c r="CV111" s="61"/>
      <c r="CW111" s="61"/>
      <c r="CX111" s="61"/>
      <c r="CY111" s="61"/>
      <c r="CZ111" s="61"/>
      <c r="DA111" s="61"/>
      <c r="DB111" s="61"/>
      <c r="DC111" s="61"/>
      <c r="DD111" s="61"/>
      <c r="DE111" s="61"/>
      <c r="DF111" s="61"/>
      <c r="DG111" s="61"/>
      <c r="DH111" s="61"/>
      <c r="DI111" s="61"/>
      <c r="DJ111" s="61"/>
      <c r="DK111" s="61"/>
      <c r="DL111" s="61"/>
      <c r="DM111" s="61"/>
      <c r="DN111" s="61"/>
      <c r="DO111" s="61"/>
      <c r="DP111" s="61"/>
      <c r="DQ111" s="61"/>
      <c r="DR111" s="61"/>
      <c r="DS111" s="61"/>
      <c r="DT111" s="61"/>
      <c r="DU111" s="61"/>
      <c r="DV111" s="61"/>
      <c r="DW111" s="61"/>
      <c r="DX111" s="61"/>
      <c r="DY111" s="61"/>
      <c r="DZ111" s="61">
        <v>8</v>
      </c>
      <c r="EA111" s="61">
        <v>16</v>
      </c>
      <c r="EB111" s="61"/>
      <c r="EC111" s="61"/>
      <c r="ED111" s="61"/>
      <c r="EE111" s="61"/>
      <c r="EF111" s="61"/>
      <c r="EG111" s="61"/>
      <c r="EH111" s="61"/>
      <c r="EI111" s="61"/>
      <c r="EJ111" s="61"/>
      <c r="EK111" s="61"/>
      <c r="EL111" s="61"/>
      <c r="EM111" s="61"/>
      <c r="EN111" s="61"/>
      <c r="EO111" s="61"/>
      <c r="EP111" s="61"/>
      <c r="EQ111" s="61"/>
      <c r="ER111" s="61"/>
      <c r="ES111" s="61"/>
      <c r="ET111" s="61"/>
      <c r="EU111" s="61"/>
      <c r="EV111" s="61" t="s">
        <v>293</v>
      </c>
      <c r="EW111" s="61">
        <v>0</v>
      </c>
      <c r="EX111" s="61">
        <v>0</v>
      </c>
      <c r="EY111" s="61">
        <v>2</v>
      </c>
      <c r="EZ111" s="61">
        <v>0</v>
      </c>
      <c r="FA111" s="61">
        <v>0</v>
      </c>
      <c r="FB111" s="61">
        <v>0</v>
      </c>
      <c r="FC111" s="61">
        <v>0</v>
      </c>
      <c r="FD111" s="61">
        <v>0</v>
      </c>
      <c r="FE111" s="61">
        <v>0</v>
      </c>
      <c r="FF111" s="61">
        <v>0</v>
      </c>
      <c r="FG111" s="61">
        <v>0</v>
      </c>
      <c r="FH111" s="61">
        <v>0</v>
      </c>
      <c r="FI111" s="61">
        <v>0</v>
      </c>
      <c r="FJ111" s="61">
        <v>0</v>
      </c>
      <c r="FK111" s="61">
        <v>0</v>
      </c>
      <c r="FL111" s="61">
        <v>0</v>
      </c>
      <c r="FM111" s="61">
        <v>0</v>
      </c>
      <c r="FN111" s="61">
        <v>0</v>
      </c>
      <c r="FO111" s="61">
        <v>0</v>
      </c>
      <c r="FP111" s="61">
        <v>0</v>
      </c>
      <c r="FQ111" s="61">
        <v>0</v>
      </c>
      <c r="FR111" s="61">
        <v>0</v>
      </c>
      <c r="FS111" s="61">
        <v>0</v>
      </c>
      <c r="FT111" s="61">
        <v>0</v>
      </c>
      <c r="FU111" s="61">
        <v>0</v>
      </c>
      <c r="FV111" s="61">
        <v>0</v>
      </c>
      <c r="FW111" s="61">
        <v>0</v>
      </c>
      <c r="FX111" s="61">
        <v>0</v>
      </c>
      <c r="FY111" s="61">
        <v>0</v>
      </c>
      <c r="FZ111" s="61">
        <v>0</v>
      </c>
      <c r="GA111" s="61">
        <v>0</v>
      </c>
      <c r="GB111" s="61">
        <v>0</v>
      </c>
      <c r="GC111" s="61">
        <v>0</v>
      </c>
      <c r="GD111" s="61">
        <v>0</v>
      </c>
      <c r="GE111" s="61">
        <v>0</v>
      </c>
      <c r="GF111" s="61">
        <v>0</v>
      </c>
      <c r="GG111" s="61">
        <v>0</v>
      </c>
      <c r="GH111" s="61">
        <v>2</v>
      </c>
      <c r="GI111" s="61">
        <v>0</v>
      </c>
      <c r="GJ111" s="61">
        <v>0</v>
      </c>
      <c r="GK111" s="61">
        <v>0</v>
      </c>
      <c r="GL111" s="61">
        <v>0</v>
      </c>
      <c r="GM111" s="61">
        <v>2</v>
      </c>
      <c r="GN111" s="61">
        <v>0</v>
      </c>
      <c r="GO111" s="61">
        <v>0</v>
      </c>
      <c r="GP111" s="61">
        <v>0</v>
      </c>
      <c r="GQ111" s="61">
        <v>0</v>
      </c>
      <c r="GR111" s="61">
        <v>0</v>
      </c>
      <c r="GS111" s="61">
        <v>0</v>
      </c>
      <c r="GT111" s="61">
        <v>0</v>
      </c>
      <c r="GU111" s="61">
        <v>0</v>
      </c>
      <c r="GV111" s="61"/>
      <c r="GW111" s="61"/>
      <c r="GX111" s="61"/>
      <c r="GY111" s="60" t="s">
        <v>115</v>
      </c>
      <c r="HU111" s="143"/>
      <c r="HV111" s="141" t="s">
        <v>112</v>
      </c>
      <c r="HW111" s="61"/>
      <c r="HX111" s="61"/>
      <c r="HY111" s="61"/>
      <c r="HZ111" s="61"/>
      <c r="IA111" s="61"/>
      <c r="IB111" s="61"/>
      <c r="IC111" s="61"/>
      <c r="ID111" s="61"/>
      <c r="IE111" s="61"/>
      <c r="IF111" s="61"/>
      <c r="IG111" s="61"/>
      <c r="IH111" s="61"/>
      <c r="II111" s="61"/>
      <c r="IJ111" s="61"/>
      <c r="IK111" s="61"/>
      <c r="IL111" s="61"/>
      <c r="IM111" s="61"/>
      <c r="IN111" s="61"/>
      <c r="IO111" s="61"/>
      <c r="IP111" s="61"/>
      <c r="IQ111" s="61"/>
      <c r="IS111" s="60" t="s">
        <v>112</v>
      </c>
      <c r="KG111" s="63"/>
      <c r="KI111" s="61"/>
    </row>
    <row r="112" spans="1:300" x14ac:dyDescent="0.25">
      <c r="A112" s="8"/>
      <c r="B112" s="5" t="s">
        <v>116</v>
      </c>
      <c r="C112" s="8"/>
      <c r="D112" s="6" t="s">
        <v>511</v>
      </c>
      <c r="E112" s="9"/>
      <c r="F112" s="9"/>
      <c r="G112" s="9"/>
      <c r="H112" s="9"/>
      <c r="I112" s="9"/>
      <c r="J112" s="9"/>
      <c r="K112" s="9"/>
      <c r="L112" s="6" t="str">
        <f>INDEX(($AC$191:$AC$200,$AH$191:$AH$200),MATCH(I105,$Y$191:$Y$200,0),1,MATCH(E106,$Y$106:$Y$107,0))</f>
        <v>NKZM8E A2</v>
      </c>
      <c r="M112" s="11">
        <f>INDEX(cennik!$C$2:$L$529,MATCH($L112,cennik!$B$2:$B$522,0),MATCH(M$104,cennik!$C$1:$L$1,0))</f>
        <v>890008</v>
      </c>
      <c r="N112" s="11" t="str">
        <f>INDEX(cennik!$C$2:$L$529,MATCH($L112,cennik!$B$2:$B$522,0),MATCH(N$104,cennik!$C$1:$L$1,0))</f>
        <v>100 szt.</v>
      </c>
      <c r="O112" s="11">
        <f>ROUNDUP(((O111)+IF(L115="SMA40/033",O115,0))/100,0)</f>
        <v>0</v>
      </c>
      <c r="P112" s="34">
        <f>INDEX(cennik!$C$2:$L$529,MATCH($L112,cennik!$B$2:$B$522,0),MATCH(P$104,cennik!$C$1:$L$1,0))</f>
        <v>28.15</v>
      </c>
      <c r="Q112" s="34">
        <f t="shared" si="66"/>
        <v>0</v>
      </c>
      <c r="R112" s="35">
        <f t="shared" si="28"/>
        <v>0</v>
      </c>
      <c r="S112" s="34">
        <f t="shared" si="29"/>
        <v>28.15</v>
      </c>
      <c r="T112" s="34">
        <f t="shared" si="67"/>
        <v>0</v>
      </c>
      <c r="U112" s="34">
        <f>INDEX(cennik!$C$2:$L$529,MATCH($L112,cennik!$B$2:$B$522,0),MATCH(U$104,cennik!$C$1:$L$1,0))*O112</f>
        <v>0</v>
      </c>
      <c r="V112" s="61"/>
      <c r="W112" s="142">
        <f t="shared" si="30"/>
        <v>0</v>
      </c>
      <c r="X112" s="61" t="s">
        <v>470</v>
      </c>
      <c r="Y112" s="61">
        <v>1800</v>
      </c>
      <c r="Z112" s="61" t="s">
        <v>450</v>
      </c>
      <c r="AA112" s="61">
        <v>1758</v>
      </c>
      <c r="AB112" s="61"/>
      <c r="AC112" s="61"/>
      <c r="AD112" s="61"/>
      <c r="AE112" s="61"/>
      <c r="AF112" s="61"/>
      <c r="AG112" s="61"/>
      <c r="AH112" s="61"/>
      <c r="AI112" s="61"/>
      <c r="AJ112" s="61"/>
      <c r="AK112" s="61"/>
      <c r="AL112" s="61"/>
      <c r="AM112" s="61"/>
      <c r="AN112" s="61"/>
      <c r="AO112" s="61"/>
      <c r="AP112" s="61"/>
      <c r="AQ112" s="61"/>
      <c r="AR112" s="61"/>
      <c r="AS112" s="61"/>
      <c r="AT112" s="61"/>
      <c r="AU112" s="61"/>
      <c r="AV112" s="61"/>
      <c r="AW112" s="61"/>
      <c r="AX112" s="61"/>
      <c r="AY112" s="61"/>
      <c r="AZ112" s="61"/>
      <c r="BA112" s="61"/>
      <c r="BB112" s="61"/>
      <c r="BC112" s="61"/>
      <c r="BD112" s="61"/>
      <c r="BE112" s="61"/>
      <c r="BF112" s="61"/>
      <c r="BG112" s="61"/>
      <c r="BH112" s="61"/>
      <c r="BI112" s="61"/>
      <c r="BJ112" s="61"/>
      <c r="BK112" s="61"/>
      <c r="BL112" s="61"/>
      <c r="BM112" s="61"/>
      <c r="BN112" s="61"/>
      <c r="BO112" s="61"/>
      <c r="BP112" s="61"/>
      <c r="BQ112" s="61"/>
      <c r="BR112" s="61"/>
      <c r="BS112" s="61"/>
      <c r="BT112" s="61"/>
      <c r="BU112" s="61"/>
      <c r="BV112" s="61"/>
      <c r="BW112" s="61"/>
      <c r="BX112" s="61"/>
      <c r="BY112" s="61"/>
      <c r="BZ112" s="61"/>
      <c r="CA112" s="61"/>
      <c r="CB112" s="61"/>
      <c r="CC112" s="61"/>
      <c r="CD112" s="61"/>
      <c r="CE112" s="61"/>
      <c r="CF112" s="61"/>
      <c r="CG112" s="61"/>
      <c r="CH112" s="61"/>
      <c r="CI112" s="61"/>
      <c r="CJ112" s="61"/>
      <c r="CK112" s="61"/>
      <c r="CL112" s="61"/>
      <c r="CM112" s="61"/>
      <c r="CN112" s="61"/>
      <c r="CO112" s="61"/>
      <c r="CP112" s="61"/>
      <c r="CQ112" s="61"/>
      <c r="CR112" s="61"/>
      <c r="CS112" s="61"/>
      <c r="CT112" s="61"/>
      <c r="CU112" s="61"/>
      <c r="CV112" s="61"/>
      <c r="CW112" s="61"/>
      <c r="CX112" s="61"/>
      <c r="CY112" s="61"/>
      <c r="CZ112" s="61"/>
      <c r="DA112" s="61"/>
      <c r="DB112" s="61"/>
      <c r="DC112" s="61"/>
      <c r="DD112" s="61"/>
      <c r="DE112" s="61"/>
      <c r="DF112" s="61"/>
      <c r="DG112" s="61"/>
      <c r="DH112" s="61"/>
      <c r="DI112" s="61"/>
      <c r="DJ112" s="61"/>
      <c r="DK112" s="61"/>
      <c r="DL112" s="61"/>
      <c r="DM112" s="61"/>
      <c r="DN112" s="61"/>
      <c r="DO112" s="61"/>
      <c r="DP112" s="61"/>
      <c r="DQ112" s="61"/>
      <c r="DR112" s="61"/>
      <c r="DS112" s="61"/>
      <c r="DT112" s="61"/>
      <c r="DU112" s="61"/>
      <c r="DV112" s="61"/>
      <c r="DW112" s="61"/>
      <c r="DX112" s="61"/>
      <c r="DY112" s="61"/>
      <c r="DZ112" s="61">
        <v>9</v>
      </c>
      <c r="EA112" s="61">
        <v>18</v>
      </c>
      <c r="EB112" s="61"/>
      <c r="EC112" s="61"/>
      <c r="ED112" s="61"/>
      <c r="EE112" s="61"/>
      <c r="EF112" s="61"/>
      <c r="EG112" s="61"/>
      <c r="EH112" s="61"/>
      <c r="EI112" s="61"/>
      <c r="EJ112" s="61"/>
      <c r="EK112" s="61"/>
      <c r="EL112" s="61"/>
      <c r="EM112" s="61"/>
      <c r="EN112" s="61"/>
      <c r="EO112" s="61"/>
      <c r="EP112" s="61"/>
      <c r="EQ112" s="61"/>
      <c r="ER112" s="61"/>
      <c r="ES112" s="61"/>
      <c r="ET112" s="61"/>
      <c r="EU112" s="61"/>
      <c r="EV112" s="61" t="s">
        <v>10</v>
      </c>
      <c r="EW112" s="61">
        <v>0</v>
      </c>
      <c r="EX112" s="61">
        <v>0</v>
      </c>
      <c r="EY112" s="61">
        <v>0</v>
      </c>
      <c r="EZ112" s="61">
        <v>0</v>
      </c>
      <c r="FA112" s="61">
        <v>2</v>
      </c>
      <c r="FB112" s="61">
        <v>0</v>
      </c>
      <c r="FC112" s="61">
        <v>2</v>
      </c>
      <c r="FD112" s="61">
        <v>0</v>
      </c>
      <c r="FE112" s="61">
        <v>0</v>
      </c>
      <c r="FF112" s="61">
        <v>0</v>
      </c>
      <c r="FG112" s="61">
        <v>2</v>
      </c>
      <c r="FH112" s="61">
        <v>2</v>
      </c>
      <c r="FI112" s="61">
        <v>0</v>
      </c>
      <c r="FJ112" s="61">
        <v>4</v>
      </c>
      <c r="FK112" s="61">
        <v>0</v>
      </c>
      <c r="FL112" s="61">
        <v>8</v>
      </c>
      <c r="FM112" s="61">
        <v>4</v>
      </c>
      <c r="FN112" s="61">
        <v>2</v>
      </c>
      <c r="FO112" s="61">
        <v>0</v>
      </c>
      <c r="FP112" s="61">
        <v>6</v>
      </c>
      <c r="FQ112" s="61">
        <v>4</v>
      </c>
      <c r="FR112" s="61">
        <v>0</v>
      </c>
      <c r="FS112" s="61">
        <v>8</v>
      </c>
      <c r="FT112" s="61">
        <v>4</v>
      </c>
      <c r="FU112" s="61">
        <v>0</v>
      </c>
      <c r="FV112" s="61">
        <v>0</v>
      </c>
      <c r="FW112" s="61">
        <v>8</v>
      </c>
      <c r="FX112" s="61">
        <v>4</v>
      </c>
      <c r="FY112" s="61">
        <v>2</v>
      </c>
      <c r="FZ112" s="61">
        <v>8</v>
      </c>
      <c r="GA112" s="61">
        <v>4</v>
      </c>
      <c r="GB112" s="61">
        <v>2</v>
      </c>
      <c r="GC112" s="61">
        <v>0</v>
      </c>
      <c r="GD112" s="61">
        <v>4</v>
      </c>
      <c r="GE112" s="61">
        <v>4</v>
      </c>
      <c r="GF112" s="61">
        <v>2</v>
      </c>
      <c r="GG112" s="61">
        <v>0</v>
      </c>
      <c r="GH112" s="61">
        <v>4</v>
      </c>
      <c r="GI112" s="61">
        <v>2</v>
      </c>
      <c r="GJ112" s="61">
        <v>0</v>
      </c>
      <c r="GK112" s="61">
        <v>8</v>
      </c>
      <c r="GL112" s="61">
        <v>6</v>
      </c>
      <c r="GM112" s="61">
        <v>0</v>
      </c>
      <c r="GN112" s="61">
        <v>0</v>
      </c>
      <c r="GO112" s="61">
        <v>8</v>
      </c>
      <c r="GP112" s="61">
        <v>2</v>
      </c>
      <c r="GQ112" s="61">
        <v>2</v>
      </c>
      <c r="GR112" s="61">
        <v>0</v>
      </c>
      <c r="GS112" s="61">
        <v>6</v>
      </c>
      <c r="GT112" s="61">
        <v>2</v>
      </c>
      <c r="GU112" s="61">
        <v>0</v>
      </c>
      <c r="GV112" s="61"/>
      <c r="GW112" s="61"/>
      <c r="GX112" s="61"/>
      <c r="GZ112" s="60">
        <v>0</v>
      </c>
      <c r="HA112" s="60">
        <v>1</v>
      </c>
      <c r="HB112" s="60">
        <v>2</v>
      </c>
      <c r="HC112" s="60">
        <v>3</v>
      </c>
      <c r="HD112" s="60">
        <v>4</v>
      </c>
      <c r="HE112" s="60">
        <v>5</v>
      </c>
      <c r="HF112" s="60">
        <v>6</v>
      </c>
      <c r="HG112" s="60">
        <v>7</v>
      </c>
      <c r="HH112" s="60">
        <v>8</v>
      </c>
      <c r="HI112" s="60">
        <v>9</v>
      </c>
      <c r="HJ112" s="60">
        <v>10</v>
      </c>
      <c r="HK112" s="60">
        <v>11</v>
      </c>
      <c r="HL112" s="60">
        <v>12</v>
      </c>
      <c r="HM112" s="60">
        <v>13</v>
      </c>
      <c r="HN112" s="60">
        <v>14</v>
      </c>
      <c r="HO112" s="60">
        <v>15</v>
      </c>
      <c r="HP112" s="60">
        <v>16</v>
      </c>
      <c r="HQ112" s="60">
        <v>17</v>
      </c>
      <c r="HR112" s="60">
        <v>18</v>
      </c>
      <c r="HS112" s="60">
        <v>19</v>
      </c>
      <c r="HT112" s="60">
        <v>20</v>
      </c>
      <c r="HW112" s="61">
        <v>0</v>
      </c>
      <c r="HX112" s="61">
        <v>1</v>
      </c>
      <c r="HY112" s="61">
        <v>2</v>
      </c>
      <c r="HZ112" s="61">
        <v>3</v>
      </c>
      <c r="IA112" s="61">
        <v>4</v>
      </c>
      <c r="IB112" s="61">
        <v>5</v>
      </c>
      <c r="IC112" s="61">
        <v>6</v>
      </c>
      <c r="ID112" s="61">
        <v>7</v>
      </c>
      <c r="IE112" s="61">
        <v>8</v>
      </c>
      <c r="IF112" s="61">
        <v>9</v>
      </c>
      <c r="IG112" s="61">
        <v>10</v>
      </c>
      <c r="IH112" s="61">
        <v>11</v>
      </c>
      <c r="II112" s="61">
        <v>12</v>
      </c>
      <c r="IJ112" s="61">
        <v>13</v>
      </c>
      <c r="IK112" s="61">
        <v>14</v>
      </c>
      <c r="IL112" s="61">
        <v>15</v>
      </c>
      <c r="IM112" s="61">
        <v>16</v>
      </c>
      <c r="IN112" s="61">
        <v>17</v>
      </c>
      <c r="IO112" s="61">
        <v>18</v>
      </c>
      <c r="IP112" s="61">
        <v>19</v>
      </c>
      <c r="IQ112" s="61">
        <v>20</v>
      </c>
      <c r="IT112" s="60">
        <f t="shared" ref="IT112:IT174" si="69">HW112*2</f>
        <v>0</v>
      </c>
      <c r="IU112" s="60">
        <f t="shared" ref="IU112:IU174" si="70">HX112*2</f>
        <v>2</v>
      </c>
      <c r="IV112" s="60">
        <f t="shared" ref="IV112:IV174" si="71">HY112*2</f>
        <v>4</v>
      </c>
      <c r="IW112" s="60">
        <f t="shared" ref="IW112:IW174" si="72">HZ112*2</f>
        <v>6</v>
      </c>
      <c r="IX112" s="60">
        <f t="shared" ref="IX112:IX174" si="73">IA112*2</f>
        <v>8</v>
      </c>
      <c r="IY112" s="60">
        <f t="shared" ref="IY112:IY174" si="74">IB112*2</f>
        <v>10</v>
      </c>
      <c r="IZ112" s="60">
        <f t="shared" ref="IZ112:IZ174" si="75">IC112*2</f>
        <v>12</v>
      </c>
      <c r="JA112" s="60">
        <f t="shared" ref="JA112:JA174" si="76">ID112*2</f>
        <v>14</v>
      </c>
      <c r="JB112" s="60">
        <f t="shared" ref="JB112:JB173" si="77">IE112*2</f>
        <v>16</v>
      </c>
      <c r="JC112" s="60">
        <f t="shared" ref="JC112:JC174" si="78">IF112*2</f>
        <v>18</v>
      </c>
      <c r="JD112" s="60">
        <f t="shared" ref="JD112:JD174" si="79">IG112*2</f>
        <v>20</v>
      </c>
      <c r="JE112" s="60">
        <f t="shared" ref="JE112:JE174" si="80">IH112*2</f>
        <v>22</v>
      </c>
      <c r="JF112" s="60">
        <f t="shared" ref="JF112:JF174" si="81">II112*2</f>
        <v>24</v>
      </c>
      <c r="JG112" s="60">
        <f t="shared" ref="JG112:JG174" si="82">IJ112*2</f>
        <v>26</v>
      </c>
      <c r="JH112" s="60">
        <f t="shared" ref="JH112:JH174" si="83">IK112*2</f>
        <v>28</v>
      </c>
      <c r="JI112" s="60">
        <f t="shared" ref="JI112:JI174" si="84">IL112*2</f>
        <v>30</v>
      </c>
      <c r="JJ112" s="60">
        <f t="shared" ref="JJ112:JJ174" si="85">IM112*2</f>
        <v>32</v>
      </c>
      <c r="JK112" s="60">
        <f t="shared" ref="JK112:JK174" si="86">IN112*2</f>
        <v>34</v>
      </c>
      <c r="JL112" s="60">
        <f t="shared" ref="JL112:JL174" si="87">IO112*2</f>
        <v>36</v>
      </c>
      <c r="JM112" s="60">
        <f t="shared" ref="JM112:JM174" si="88">IP112*2</f>
        <v>38</v>
      </c>
      <c r="JN112" s="60">
        <f t="shared" ref="JN112:JN174" si="89">IQ112*2</f>
        <v>40</v>
      </c>
    </row>
    <row r="113" spans="1:293" x14ac:dyDescent="0.25">
      <c r="A113" s="8"/>
      <c r="B113" s="5" t="s">
        <v>116</v>
      </c>
      <c r="C113" s="8"/>
      <c r="D113" s="40" t="s">
        <v>941</v>
      </c>
      <c r="E113" s="9"/>
      <c r="F113" s="9"/>
      <c r="G113" s="9"/>
      <c r="H113" s="9"/>
      <c r="I113" s="9"/>
      <c r="J113" s="9"/>
      <c r="K113" s="9"/>
      <c r="L113" s="6" t="s">
        <v>883</v>
      </c>
      <c r="M113" s="11">
        <f>INDEX(cennik!$C$2:$L$529,MATCH($L113,cennik!$B$2:$B$522,0),MATCH(M$104,cennik!$C$1:$L$1,0))</f>
        <v>6505414</v>
      </c>
      <c r="N113" s="11" t="str">
        <f>INDEX(cennik!$C$2:$L$529,MATCH($L113,cennik!$B$2:$B$522,0),MATCH(N$104,cennik!$C$1:$L$1,0))</f>
        <v>100 szt.</v>
      </c>
      <c r="O113" s="11">
        <f>ROUNDUP((SUM(AK131:AK146))/100,0)</f>
        <v>0</v>
      </c>
      <c r="P113" s="34">
        <f>INDEX(cennik!$C$2:$L$529,MATCH($L113,cennik!$B$2:$B$522,0),MATCH(P$104,cennik!$C$1:$L$1,0))</f>
        <v>60.87</v>
      </c>
      <c r="Q113" s="34">
        <f t="shared" si="66"/>
        <v>0</v>
      </c>
      <c r="R113" s="35">
        <f t="shared" si="28"/>
        <v>0</v>
      </c>
      <c r="S113" s="34">
        <f t="shared" si="29"/>
        <v>60.87</v>
      </c>
      <c r="T113" s="34">
        <f t="shared" si="67"/>
        <v>0</v>
      </c>
      <c r="U113" s="34">
        <f>INDEX(cennik!$C$2:$L$529,MATCH($L113,cennik!$B$2:$B$522,0),MATCH(U$104,cennik!$C$1:$L$1,0))*O113</f>
        <v>0</v>
      </c>
      <c r="V113" s="61"/>
      <c r="W113" s="142">
        <f t="shared" si="30"/>
        <v>0</v>
      </c>
      <c r="X113" s="61" t="s">
        <v>472</v>
      </c>
      <c r="Y113" s="61">
        <v>1850</v>
      </c>
      <c r="Z113" s="61" t="s">
        <v>482</v>
      </c>
      <c r="AA113" s="61">
        <v>1796</v>
      </c>
      <c r="AC113" s="61" t="s">
        <v>866</v>
      </c>
      <c r="AD113" s="61" t="s">
        <v>867</v>
      </c>
      <c r="AE113" s="61" t="s">
        <v>868</v>
      </c>
      <c r="AF113" s="60" t="s">
        <v>866</v>
      </c>
      <c r="AG113" s="60" t="s">
        <v>867</v>
      </c>
      <c r="AH113" s="60" t="s">
        <v>868</v>
      </c>
      <c r="AO113" s="61"/>
      <c r="AP113" s="61"/>
      <c r="AQ113" s="61"/>
      <c r="AR113" s="61"/>
      <c r="AS113" s="61"/>
      <c r="AT113" s="61"/>
      <c r="AU113" s="61"/>
      <c r="AV113" s="61"/>
      <c r="AW113" s="61"/>
      <c r="AX113" s="61"/>
      <c r="AY113" s="61"/>
      <c r="AZ113" s="61"/>
      <c r="BA113" s="61"/>
      <c r="BB113" s="61"/>
      <c r="BC113" s="61"/>
      <c r="BD113" s="61"/>
      <c r="BE113" s="61"/>
      <c r="BF113" s="61"/>
      <c r="BG113" s="61"/>
      <c r="BH113" s="61"/>
      <c r="BI113" s="61"/>
      <c r="BJ113" s="61"/>
      <c r="BK113" s="61"/>
      <c r="BL113" s="61"/>
      <c r="BM113" s="61"/>
      <c r="BN113" s="61"/>
      <c r="BO113" s="61"/>
      <c r="BP113" s="61"/>
      <c r="BQ113" s="61"/>
      <c r="BR113" s="61"/>
      <c r="BS113" s="61"/>
      <c r="BT113" s="61"/>
      <c r="BU113" s="61"/>
      <c r="BV113" s="61"/>
      <c r="BW113" s="61"/>
      <c r="BX113" s="61"/>
      <c r="BY113" s="61"/>
      <c r="BZ113" s="61"/>
      <c r="CA113" s="61"/>
      <c r="CB113" s="61"/>
      <c r="CC113" s="61"/>
      <c r="CD113" s="61"/>
      <c r="CE113" s="61"/>
      <c r="CF113" s="61"/>
      <c r="CG113" s="61"/>
      <c r="CH113" s="61"/>
      <c r="CI113" s="61"/>
      <c r="CJ113" s="61"/>
      <c r="CK113" s="61"/>
      <c r="CL113" s="61"/>
      <c r="CM113" s="61"/>
      <c r="CN113" s="61"/>
      <c r="CO113" s="61"/>
      <c r="CP113" s="61"/>
      <c r="CQ113" s="61"/>
      <c r="CR113" s="61"/>
      <c r="CS113" s="61"/>
      <c r="CT113" s="61"/>
      <c r="CU113" s="61"/>
      <c r="CV113" s="61"/>
      <c r="CW113" s="61"/>
      <c r="CX113" s="61"/>
      <c r="CY113" s="61"/>
      <c r="CZ113" s="61"/>
      <c r="DA113" s="61"/>
      <c r="DB113" s="61"/>
      <c r="DC113" s="61"/>
      <c r="DD113" s="61"/>
      <c r="DE113" s="61"/>
      <c r="DF113" s="61"/>
      <c r="DG113" s="61"/>
      <c r="DH113" s="61"/>
      <c r="DI113" s="61"/>
      <c r="DJ113" s="61"/>
      <c r="DK113" s="61"/>
      <c r="DL113" s="61"/>
      <c r="DM113" s="61"/>
      <c r="DN113" s="61"/>
      <c r="DO113" s="61"/>
      <c r="DP113" s="61"/>
      <c r="DQ113" s="61"/>
      <c r="DR113" s="61"/>
      <c r="DS113" s="61"/>
      <c r="DT113" s="61"/>
      <c r="DU113" s="61"/>
      <c r="DV113" s="61"/>
      <c r="DW113" s="61"/>
      <c r="DX113" s="61"/>
      <c r="DY113" s="61"/>
      <c r="DZ113" s="61">
        <v>10</v>
      </c>
      <c r="EA113" s="61">
        <v>20</v>
      </c>
      <c r="EB113" s="61"/>
      <c r="EC113" s="61"/>
      <c r="ED113" s="61"/>
      <c r="EE113" s="61"/>
      <c r="EF113" s="61"/>
      <c r="EG113" s="61"/>
      <c r="EH113" s="61"/>
      <c r="EI113" s="61"/>
      <c r="EJ113" s="61"/>
      <c r="EK113" s="61"/>
      <c r="EL113" s="61"/>
      <c r="EM113" s="61"/>
      <c r="EN113" s="61"/>
      <c r="EO113" s="61"/>
      <c r="EP113" s="61"/>
      <c r="EQ113" s="61"/>
      <c r="ER113" s="61"/>
      <c r="ES113" s="61"/>
      <c r="ET113" s="61"/>
      <c r="EU113" s="61"/>
      <c r="EV113" s="61" t="s">
        <v>212</v>
      </c>
      <c r="EW113" s="61">
        <v>0</v>
      </c>
      <c r="EX113" s="61">
        <v>0</v>
      </c>
      <c r="EY113" s="61">
        <v>0</v>
      </c>
      <c r="EZ113" s="61">
        <v>2</v>
      </c>
      <c r="FA113" s="61">
        <v>0</v>
      </c>
      <c r="FB113" s="61">
        <v>2</v>
      </c>
      <c r="FC113" s="61">
        <v>2</v>
      </c>
      <c r="FD113" s="61">
        <v>2</v>
      </c>
      <c r="FE113" s="61">
        <v>0</v>
      </c>
      <c r="FF113" s="61">
        <v>0</v>
      </c>
      <c r="FG113" s="61">
        <v>0</v>
      </c>
      <c r="FH113" s="61">
        <v>0</v>
      </c>
      <c r="FI113" s="61">
        <v>0</v>
      </c>
      <c r="FJ113" s="61">
        <v>0</v>
      </c>
      <c r="FK113" s="61">
        <v>4</v>
      </c>
      <c r="FL113" s="61">
        <v>2</v>
      </c>
      <c r="FM113" s="61">
        <v>6</v>
      </c>
      <c r="FN113" s="61">
        <v>4</v>
      </c>
      <c r="FO113" s="61">
        <v>0</v>
      </c>
      <c r="FP113" s="61">
        <v>6</v>
      </c>
      <c r="FQ113" s="61">
        <v>2</v>
      </c>
      <c r="FR113" s="61">
        <v>6</v>
      </c>
      <c r="FS113" s="61">
        <v>6</v>
      </c>
      <c r="FT113" s="61">
        <v>8</v>
      </c>
      <c r="FU113" s="61">
        <v>12</v>
      </c>
      <c r="FV113" s="61">
        <v>2</v>
      </c>
      <c r="FW113" s="61">
        <v>0</v>
      </c>
      <c r="FX113" s="61">
        <v>6</v>
      </c>
      <c r="FY113" s="61">
        <v>0</v>
      </c>
      <c r="FZ113" s="61">
        <v>6</v>
      </c>
      <c r="GA113" s="61">
        <v>10</v>
      </c>
      <c r="GB113" s="61">
        <v>6</v>
      </c>
      <c r="GC113" s="61">
        <v>6</v>
      </c>
      <c r="GD113" s="61">
        <v>16</v>
      </c>
      <c r="GE113" s="61">
        <v>6</v>
      </c>
      <c r="GF113" s="61">
        <v>2</v>
      </c>
      <c r="GG113" s="61">
        <v>0</v>
      </c>
      <c r="GH113" s="61">
        <v>0</v>
      </c>
      <c r="GI113" s="61">
        <v>8</v>
      </c>
      <c r="GJ113" s="61">
        <v>6</v>
      </c>
      <c r="GK113" s="61">
        <v>4</v>
      </c>
      <c r="GL113" s="61">
        <v>0</v>
      </c>
      <c r="GM113" s="61">
        <v>0</v>
      </c>
      <c r="GN113" s="61">
        <v>2</v>
      </c>
      <c r="GO113" s="61">
        <v>0</v>
      </c>
      <c r="GP113" s="61">
        <v>10</v>
      </c>
      <c r="GQ113" s="61">
        <v>0</v>
      </c>
      <c r="GR113" s="61">
        <v>0</v>
      </c>
      <c r="GS113" s="61">
        <v>2</v>
      </c>
      <c r="GT113" s="61">
        <v>6</v>
      </c>
      <c r="GU113" s="61">
        <v>4</v>
      </c>
      <c r="GV113" s="61"/>
      <c r="GW113" s="61"/>
      <c r="GX113" s="61"/>
      <c r="GY113" s="60" t="s">
        <v>710</v>
      </c>
      <c r="GZ113" s="60">
        <v>0</v>
      </c>
      <c r="HA113" s="60">
        <v>2</v>
      </c>
      <c r="HB113" s="60">
        <v>2</v>
      </c>
      <c r="HC113" s="60">
        <v>0</v>
      </c>
      <c r="HD113" s="60">
        <v>4</v>
      </c>
      <c r="HE113" s="60">
        <v>2</v>
      </c>
      <c r="HF113" s="60">
        <v>0</v>
      </c>
      <c r="HG113" s="60">
        <v>4</v>
      </c>
      <c r="HH113" s="60">
        <v>2</v>
      </c>
      <c r="HI113" s="60">
        <v>0</v>
      </c>
      <c r="HJ113" s="60">
        <v>4</v>
      </c>
      <c r="HK113" s="60">
        <v>2</v>
      </c>
      <c r="HL113" s="60">
        <v>0</v>
      </c>
      <c r="HM113" s="60">
        <v>4</v>
      </c>
      <c r="HN113" s="60">
        <v>2</v>
      </c>
      <c r="HO113" s="60">
        <v>0</v>
      </c>
      <c r="HP113" s="60">
        <v>4</v>
      </c>
      <c r="HQ113" s="60">
        <v>2</v>
      </c>
      <c r="HR113" s="60">
        <v>0</v>
      </c>
      <c r="HS113" s="60">
        <v>4</v>
      </c>
      <c r="HT113" s="60">
        <v>2</v>
      </c>
      <c r="HV113" s="60" t="s">
        <v>826</v>
      </c>
      <c r="HW113" s="61">
        <v>0</v>
      </c>
      <c r="HX113" s="61">
        <v>2</v>
      </c>
      <c r="HY113" s="61">
        <v>0</v>
      </c>
      <c r="HZ113" s="61">
        <v>2</v>
      </c>
      <c r="IA113" s="61">
        <v>0</v>
      </c>
      <c r="IB113" s="61">
        <v>2</v>
      </c>
      <c r="IC113" s="61">
        <v>0</v>
      </c>
      <c r="ID113" s="61">
        <v>2</v>
      </c>
      <c r="IE113" s="61">
        <v>4</v>
      </c>
      <c r="IF113" s="61">
        <v>2</v>
      </c>
      <c r="IG113" s="61">
        <v>4</v>
      </c>
      <c r="IH113" s="61">
        <v>2</v>
      </c>
      <c r="II113" s="61">
        <v>4</v>
      </c>
      <c r="IJ113" s="61">
        <v>2</v>
      </c>
      <c r="IK113" s="61">
        <v>4</v>
      </c>
      <c r="IL113" s="61">
        <v>2</v>
      </c>
      <c r="IM113" s="61">
        <v>4</v>
      </c>
      <c r="IN113" s="61">
        <v>0</v>
      </c>
      <c r="IO113" s="61">
        <v>4</v>
      </c>
      <c r="IP113" s="61">
        <v>0</v>
      </c>
      <c r="IQ113" s="61">
        <v>4</v>
      </c>
      <c r="IS113" s="60" t="s">
        <v>826</v>
      </c>
      <c r="IT113" s="60">
        <f t="shared" si="69"/>
        <v>0</v>
      </c>
      <c r="IU113" s="60">
        <f t="shared" si="70"/>
        <v>4</v>
      </c>
      <c r="IV113" s="60">
        <f t="shared" si="71"/>
        <v>0</v>
      </c>
      <c r="IW113" s="60">
        <f t="shared" si="72"/>
        <v>4</v>
      </c>
      <c r="IX113" s="60">
        <f t="shared" si="73"/>
        <v>0</v>
      </c>
      <c r="IY113" s="60">
        <f t="shared" si="74"/>
        <v>4</v>
      </c>
      <c r="IZ113" s="60">
        <f t="shared" si="75"/>
        <v>0</v>
      </c>
      <c r="JA113" s="60">
        <f t="shared" si="76"/>
        <v>4</v>
      </c>
      <c r="JB113" s="60">
        <f t="shared" si="77"/>
        <v>8</v>
      </c>
      <c r="JC113" s="60">
        <f t="shared" si="78"/>
        <v>4</v>
      </c>
      <c r="JD113" s="60">
        <f t="shared" si="79"/>
        <v>8</v>
      </c>
      <c r="JE113" s="60">
        <f t="shared" si="80"/>
        <v>4</v>
      </c>
      <c r="JF113" s="60">
        <f t="shared" si="81"/>
        <v>8</v>
      </c>
      <c r="JG113" s="60">
        <f t="shared" si="82"/>
        <v>4</v>
      </c>
      <c r="JH113" s="60">
        <f t="shared" si="83"/>
        <v>8</v>
      </c>
      <c r="JI113" s="60">
        <f t="shared" si="84"/>
        <v>4</v>
      </c>
      <c r="JJ113" s="60">
        <f t="shared" si="85"/>
        <v>8</v>
      </c>
      <c r="JK113" s="60">
        <f t="shared" si="86"/>
        <v>0</v>
      </c>
      <c r="JL113" s="60">
        <f t="shared" si="87"/>
        <v>8</v>
      </c>
      <c r="JM113" s="60">
        <f t="shared" si="88"/>
        <v>0</v>
      </c>
      <c r="JN113" s="60">
        <f t="shared" si="89"/>
        <v>8</v>
      </c>
    </row>
    <row r="114" spans="1:293" x14ac:dyDescent="0.25">
      <c r="A114" s="8"/>
      <c r="B114" s="5" t="s">
        <v>116</v>
      </c>
      <c r="C114" s="8"/>
      <c r="D114" s="40" t="s">
        <v>797</v>
      </c>
      <c r="E114" s="9"/>
      <c r="F114" s="9"/>
      <c r="G114" s="9"/>
      <c r="H114" s="9"/>
      <c r="I114" s="9"/>
      <c r="J114" s="9"/>
      <c r="K114" s="9"/>
      <c r="L114" s="6" t="str">
        <f>IF(E108=$Z$104,"SBV250X350",IF(E108=$Z$105,"SBV50X500",IF(E108=$Z$106,"-------",IF(E108=$Z$107,"-------",0))))</f>
        <v>SBV50X500</v>
      </c>
      <c r="M114" s="11">
        <f>INDEX(cennik!$C$2:$L$529,MATCH($L114,cennik!$B$2:$B$522,0),MATCH(M$104,cennik!$C$1:$L$1,0))</f>
        <v>895501</v>
      </c>
      <c r="N114" s="11" t="str">
        <f>INDEX(cennik!$C$2:$L$529,MATCH($L114,cennik!$B$2:$B$522,0),MATCH(N$104,cennik!$C$1:$L$1,0))</f>
        <v>szt.</v>
      </c>
      <c r="O114" s="11">
        <f>IF(E108=$Z$104,O105*2,IF(E108=$Z$105,O105,IF(E108=$Z$106,0,IF(E108=$Z$107,,0))))</f>
        <v>0</v>
      </c>
      <c r="P114" s="34">
        <f>INDEX(cennik!$C$2:$L$529,MATCH($L114,cennik!$B$2:$B$522,0),MATCH(P$104,cennik!$C$1:$L$1,0))</f>
        <v>1.24</v>
      </c>
      <c r="Q114" s="34">
        <f t="shared" si="66"/>
        <v>0</v>
      </c>
      <c r="R114" s="35">
        <f t="shared" si="28"/>
        <v>0</v>
      </c>
      <c r="S114" s="34">
        <f t="shared" si="29"/>
        <v>1.24</v>
      </c>
      <c r="T114" s="34">
        <f t="shared" si="67"/>
        <v>0</v>
      </c>
      <c r="U114" s="34">
        <f>INDEX(cennik!$C$2:$L$529,MATCH($L114,cennik!$B$2:$B$522,0),MATCH(U$104,cennik!$C$1:$L$1,0))*O114</f>
        <v>0</v>
      </c>
      <c r="V114" s="61"/>
      <c r="W114" s="142">
        <f t="shared" si="30"/>
        <v>0</v>
      </c>
      <c r="X114" s="61" t="s">
        <v>471</v>
      </c>
      <c r="Y114" s="61">
        <v>1900</v>
      </c>
      <c r="Z114" s="61" t="s">
        <v>483</v>
      </c>
      <c r="AA114" s="61">
        <v>1834</v>
      </c>
      <c r="AB114" s="61"/>
      <c r="AC1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</f>
        <v>0</v>
      </c>
      <c r="AD1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</f>
        <v>0</v>
      </c>
      <c r="AE1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</f>
        <v>0</v>
      </c>
      <c r="AF1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)*C104</f>
        <v>0</v>
      </c>
      <c r="AG1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)*C104</f>
        <v>0</v>
      </c>
      <c r="AH1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)*C104</f>
        <v>0</v>
      </c>
      <c r="AI114" s="61">
        <f>SUM(AC114:AE114)</f>
        <v>0</v>
      </c>
      <c r="AJ114" s="61">
        <f>IF(AI114&lt;=1,0,IF(AI114&gt;1,(AI114*4-4),0))</f>
        <v>0</v>
      </c>
      <c r="AK114" s="61">
        <f>AJ114*C104</f>
        <v>0</v>
      </c>
      <c r="AL114" s="61"/>
      <c r="AM114" s="61">
        <v>0</v>
      </c>
      <c r="AN114" s="61">
        <v>1</v>
      </c>
      <c r="AO114" s="61">
        <v>2</v>
      </c>
      <c r="AP114" s="61">
        <v>3</v>
      </c>
      <c r="AQ114" s="61">
        <v>4</v>
      </c>
      <c r="AR114" s="61">
        <v>5</v>
      </c>
      <c r="AS114" s="61">
        <v>6</v>
      </c>
      <c r="AT114" s="61">
        <v>7</v>
      </c>
      <c r="AU114" s="61">
        <v>8</v>
      </c>
      <c r="AV114" s="61">
        <v>9</v>
      </c>
      <c r="AW114" s="61">
        <v>10</v>
      </c>
      <c r="AX114" s="61">
        <v>11</v>
      </c>
      <c r="AY114" s="61">
        <v>12</v>
      </c>
      <c r="AZ114" s="61">
        <v>13</v>
      </c>
      <c r="BA114" s="61">
        <v>14</v>
      </c>
      <c r="BB114" s="61">
        <v>15</v>
      </c>
      <c r="BC114" s="61">
        <v>16</v>
      </c>
      <c r="BD114" s="61">
        <v>17</v>
      </c>
      <c r="BE114" s="61">
        <v>18</v>
      </c>
      <c r="BF114" s="61">
        <v>19</v>
      </c>
      <c r="BG114" s="61">
        <v>20</v>
      </c>
      <c r="BH114" s="61">
        <v>21</v>
      </c>
      <c r="BI114" s="61">
        <v>22</v>
      </c>
      <c r="BJ114" s="61">
        <v>23</v>
      </c>
      <c r="BK114" s="61">
        <v>24</v>
      </c>
      <c r="BL114" s="61">
        <v>25</v>
      </c>
      <c r="BM114" s="61">
        <v>26</v>
      </c>
      <c r="BN114" s="61">
        <v>27</v>
      </c>
      <c r="BO114" s="61">
        <v>28</v>
      </c>
      <c r="BP114" s="61">
        <v>29</v>
      </c>
      <c r="BQ114" s="61">
        <v>30</v>
      </c>
      <c r="BR114" s="61">
        <v>31</v>
      </c>
      <c r="BS114" s="61">
        <v>32</v>
      </c>
      <c r="BT114" s="61">
        <v>33</v>
      </c>
      <c r="BU114" s="61">
        <v>34</v>
      </c>
      <c r="BV114" s="61">
        <v>35</v>
      </c>
      <c r="BW114" s="61">
        <v>36</v>
      </c>
      <c r="BX114" s="61">
        <v>37</v>
      </c>
      <c r="BY114" s="61">
        <v>38</v>
      </c>
      <c r="BZ114" s="61">
        <v>39</v>
      </c>
      <c r="CA114" s="61">
        <v>40</v>
      </c>
      <c r="CB114" s="61">
        <v>41</v>
      </c>
      <c r="CC114" s="61">
        <v>42</v>
      </c>
      <c r="CD114" s="61">
        <v>43</v>
      </c>
      <c r="CE114" s="61">
        <v>44</v>
      </c>
      <c r="CF114" s="61">
        <v>45</v>
      </c>
      <c r="CG114" s="61">
        <v>46</v>
      </c>
      <c r="CH114" s="61">
        <v>47</v>
      </c>
      <c r="CI114" s="61">
        <v>48</v>
      </c>
      <c r="CJ114" s="61">
        <v>49</v>
      </c>
      <c r="CK114" s="61">
        <v>50</v>
      </c>
      <c r="CL114" s="61"/>
      <c r="CM114" s="61"/>
      <c r="CN114" s="61">
        <v>39.08</v>
      </c>
      <c r="CO114" s="61">
        <v>43.4</v>
      </c>
      <c r="CP114" s="142">
        <v>44.1</v>
      </c>
      <c r="CQ114" s="61">
        <v>44.7</v>
      </c>
      <c r="CR114" s="142">
        <v>45.22</v>
      </c>
      <c r="CS114" s="142">
        <v>46.36</v>
      </c>
      <c r="CT114" s="142">
        <v>47.44</v>
      </c>
      <c r="CU114" s="142">
        <v>48.59</v>
      </c>
      <c r="CV114" s="142">
        <v>49.61</v>
      </c>
      <c r="CW114" s="61">
        <v>50.35</v>
      </c>
      <c r="CX114" s="61">
        <v>52.51</v>
      </c>
      <c r="CY114" s="61"/>
      <c r="CZ114" s="61"/>
      <c r="DA114" s="61"/>
      <c r="DB114" s="61"/>
      <c r="DC114" s="61"/>
      <c r="DD114" s="61"/>
      <c r="DE114" s="61"/>
      <c r="DF114" s="61"/>
      <c r="DG114" s="61"/>
      <c r="DH114" s="61"/>
      <c r="DI114" s="61"/>
      <c r="DJ114" s="61"/>
      <c r="DK114" s="61"/>
      <c r="DL114" s="61"/>
      <c r="DM114" s="61"/>
      <c r="DN114" s="61"/>
      <c r="DO114" s="61"/>
      <c r="DP114" s="61"/>
      <c r="DQ114" s="61"/>
      <c r="DR114" s="61"/>
      <c r="DS114" s="61"/>
      <c r="DT114" s="61"/>
      <c r="DU114" s="61"/>
      <c r="DV114" s="61"/>
      <c r="DW114" s="61"/>
      <c r="DX114" s="61"/>
      <c r="DY114" s="61"/>
      <c r="DZ114" s="61">
        <v>11</v>
      </c>
      <c r="EA114" s="61">
        <v>22</v>
      </c>
      <c r="EB114" s="61"/>
      <c r="EC114" s="61"/>
      <c r="ED114" s="61"/>
      <c r="EE114" s="61"/>
      <c r="EF114" s="61"/>
      <c r="EG114" s="61"/>
      <c r="EH114" s="61"/>
      <c r="EI114" s="61"/>
      <c r="EJ114" s="61"/>
      <c r="EK114" s="61"/>
      <c r="EL114" s="61"/>
      <c r="EM114" s="61"/>
      <c r="EN114" s="61"/>
      <c r="EO114" s="61"/>
      <c r="EP114" s="61"/>
      <c r="EQ114" s="61"/>
      <c r="ER114" s="61"/>
      <c r="ES114" s="61"/>
      <c r="ET114" s="61"/>
      <c r="EU114" s="61"/>
      <c r="EV114" s="61" t="s">
        <v>214</v>
      </c>
      <c r="EW114" s="61">
        <v>0</v>
      </c>
      <c r="EX114" s="61">
        <v>0</v>
      </c>
      <c r="EY114" s="61">
        <v>0</v>
      </c>
      <c r="EZ114" s="61">
        <v>0</v>
      </c>
      <c r="FA114" s="61">
        <v>0</v>
      </c>
      <c r="FB114" s="61">
        <v>0</v>
      </c>
      <c r="FC114" s="61">
        <v>0</v>
      </c>
      <c r="FD114" s="61">
        <v>2</v>
      </c>
      <c r="FE114" s="61">
        <v>4</v>
      </c>
      <c r="FF114" s="61">
        <v>4</v>
      </c>
      <c r="FG114" s="61">
        <v>4</v>
      </c>
      <c r="FH114" s="61">
        <v>4</v>
      </c>
      <c r="FI114" s="61">
        <v>6</v>
      </c>
      <c r="FJ114" s="61">
        <v>4</v>
      </c>
      <c r="FK114" s="61">
        <v>4</v>
      </c>
      <c r="FL114" s="61">
        <v>0</v>
      </c>
      <c r="FM114" s="61">
        <v>0</v>
      </c>
      <c r="FN114" s="61">
        <v>4</v>
      </c>
      <c r="FO114" s="61">
        <v>10</v>
      </c>
      <c r="FP114" s="61">
        <v>0</v>
      </c>
      <c r="FQ114" s="61">
        <v>6</v>
      </c>
      <c r="FR114" s="61">
        <v>6</v>
      </c>
      <c r="FS114" s="61">
        <v>0</v>
      </c>
      <c r="FT114" s="61">
        <v>2</v>
      </c>
      <c r="FU114" s="61">
        <v>2</v>
      </c>
      <c r="FV114" s="61">
        <v>12</v>
      </c>
      <c r="FW114" s="61">
        <v>8</v>
      </c>
      <c r="FX114" s="61">
        <v>6</v>
      </c>
      <c r="FY114" s="61">
        <v>14</v>
      </c>
      <c r="FZ114" s="61">
        <v>4</v>
      </c>
      <c r="GA114" s="61">
        <v>4</v>
      </c>
      <c r="GB114" s="61">
        <v>10</v>
      </c>
      <c r="GC114" s="61">
        <v>12</v>
      </c>
      <c r="GD114" s="61">
        <v>0</v>
      </c>
      <c r="GE114" s="61">
        <v>10</v>
      </c>
      <c r="GF114" s="61">
        <v>16</v>
      </c>
      <c r="GG114" s="61">
        <v>20</v>
      </c>
      <c r="GH114" s="61">
        <v>16</v>
      </c>
      <c r="GI114" s="61">
        <v>12</v>
      </c>
      <c r="GJ114" s="61">
        <v>16</v>
      </c>
      <c r="GK114" s="61">
        <v>12</v>
      </c>
      <c r="GL114" s="61">
        <v>18</v>
      </c>
      <c r="GM114" s="61">
        <v>22</v>
      </c>
      <c r="GN114" s="61">
        <v>22</v>
      </c>
      <c r="GO114" s="61">
        <v>18</v>
      </c>
      <c r="GP114" s="61">
        <v>14</v>
      </c>
      <c r="GQ114" s="61">
        <v>24</v>
      </c>
      <c r="GR114" s="61">
        <v>26</v>
      </c>
      <c r="GS114" s="61">
        <v>20</v>
      </c>
      <c r="GT114" s="61">
        <v>20</v>
      </c>
      <c r="GU114" s="61">
        <v>24</v>
      </c>
      <c r="GV114" s="61"/>
      <c r="GW114" s="61"/>
      <c r="GX114" s="61"/>
      <c r="GY114" s="60" t="s">
        <v>711</v>
      </c>
      <c r="GZ114" s="60">
        <v>0</v>
      </c>
      <c r="HA114" s="60">
        <v>0</v>
      </c>
      <c r="HB114" s="60">
        <v>0</v>
      </c>
      <c r="HC114" s="60">
        <v>2</v>
      </c>
      <c r="HD114" s="60">
        <v>0</v>
      </c>
      <c r="HE114" s="60">
        <v>2</v>
      </c>
      <c r="HF114" s="60">
        <v>4</v>
      </c>
      <c r="HG114" s="60">
        <v>2</v>
      </c>
      <c r="HH114" s="60">
        <v>4</v>
      </c>
      <c r="HI114" s="60">
        <v>6</v>
      </c>
      <c r="HJ114" s="60">
        <v>4</v>
      </c>
      <c r="HK114" s="60">
        <v>6</v>
      </c>
      <c r="HL114" s="60">
        <v>8</v>
      </c>
      <c r="HM114" s="60">
        <v>6</v>
      </c>
      <c r="HN114" s="60">
        <v>8</v>
      </c>
      <c r="HO114" s="60">
        <v>10</v>
      </c>
      <c r="HP114" s="60">
        <v>8</v>
      </c>
      <c r="HQ114" s="60">
        <v>10</v>
      </c>
      <c r="HR114" s="60">
        <v>12</v>
      </c>
      <c r="HS114" s="60">
        <v>10</v>
      </c>
      <c r="HT114" s="60">
        <v>12</v>
      </c>
      <c r="HV114" s="60" t="s">
        <v>825</v>
      </c>
      <c r="HW114" s="61">
        <v>0</v>
      </c>
      <c r="HX114" s="61">
        <v>0</v>
      </c>
      <c r="HY114" s="61">
        <v>2</v>
      </c>
      <c r="HZ114" s="61">
        <v>2</v>
      </c>
      <c r="IA114" s="61">
        <v>4</v>
      </c>
      <c r="IB114" s="61">
        <v>4</v>
      </c>
      <c r="IC114" s="61">
        <v>6</v>
      </c>
      <c r="ID114" s="61">
        <v>6</v>
      </c>
      <c r="IE114" s="61">
        <v>6</v>
      </c>
      <c r="IF114" s="61">
        <v>8</v>
      </c>
      <c r="IG114" s="61">
        <v>8</v>
      </c>
      <c r="IH114" s="61">
        <v>10</v>
      </c>
      <c r="II114" s="61">
        <v>10</v>
      </c>
      <c r="IJ114" s="61">
        <v>12</v>
      </c>
      <c r="IK114" s="61">
        <v>12</v>
      </c>
      <c r="IL114" s="61">
        <v>14</v>
      </c>
      <c r="IM114" s="61">
        <v>14</v>
      </c>
      <c r="IN114" s="61">
        <v>18</v>
      </c>
      <c r="IO114" s="61">
        <v>16</v>
      </c>
      <c r="IP114" s="61">
        <v>20</v>
      </c>
      <c r="IQ114" s="61">
        <v>18</v>
      </c>
      <c r="IS114" s="60" t="s">
        <v>825</v>
      </c>
      <c r="IT114" s="60">
        <f t="shared" si="69"/>
        <v>0</v>
      </c>
      <c r="IU114" s="60">
        <f t="shared" si="70"/>
        <v>0</v>
      </c>
      <c r="IV114" s="60">
        <f t="shared" si="71"/>
        <v>4</v>
      </c>
      <c r="IW114" s="60">
        <f t="shared" si="72"/>
        <v>4</v>
      </c>
      <c r="IX114" s="60">
        <f t="shared" si="73"/>
        <v>8</v>
      </c>
      <c r="IY114" s="60">
        <f t="shared" si="74"/>
        <v>8</v>
      </c>
      <c r="IZ114" s="60">
        <f t="shared" si="75"/>
        <v>12</v>
      </c>
      <c r="JA114" s="60">
        <f t="shared" si="76"/>
        <v>12</v>
      </c>
      <c r="JB114" s="60">
        <f t="shared" si="77"/>
        <v>12</v>
      </c>
      <c r="JC114" s="60">
        <f t="shared" si="78"/>
        <v>16</v>
      </c>
      <c r="JD114" s="60">
        <f t="shared" si="79"/>
        <v>16</v>
      </c>
      <c r="JE114" s="60">
        <f t="shared" si="80"/>
        <v>20</v>
      </c>
      <c r="JF114" s="60">
        <f t="shared" si="81"/>
        <v>20</v>
      </c>
      <c r="JG114" s="60">
        <f t="shared" si="82"/>
        <v>24</v>
      </c>
      <c r="JH114" s="60">
        <f t="shared" si="83"/>
        <v>24</v>
      </c>
      <c r="JI114" s="60">
        <f t="shared" si="84"/>
        <v>28</v>
      </c>
      <c r="JJ114" s="60">
        <f t="shared" si="85"/>
        <v>28</v>
      </c>
      <c r="JK114" s="60">
        <f t="shared" si="86"/>
        <v>36</v>
      </c>
      <c r="JL114" s="60">
        <f t="shared" si="87"/>
        <v>32</v>
      </c>
      <c r="JM114" s="60">
        <f t="shared" si="88"/>
        <v>40</v>
      </c>
      <c r="JN114" s="60">
        <f t="shared" si="89"/>
        <v>36</v>
      </c>
      <c r="JQ114" s="63"/>
    </row>
    <row r="115" spans="1:293" x14ac:dyDescent="0.25">
      <c r="A115" s="8"/>
      <c r="B115" s="5" t="s">
        <v>116</v>
      </c>
      <c r="C115" s="8"/>
      <c r="D115" s="40" t="s">
        <v>942</v>
      </c>
      <c r="E115" s="9"/>
      <c r="F115" s="9"/>
      <c r="G115" s="9"/>
      <c r="H115" s="9"/>
      <c r="I115" s="9"/>
      <c r="J115" s="9"/>
      <c r="K115" s="9"/>
      <c r="L115" s="6" t="str">
        <f>IF(E108=$Z$104,"PBK40MC",IF(E108=$Z$105,"-------",IF(E108=$Z$106,"SPM2",IF(E108=$Z$107,"SMA40/033",0))))</f>
        <v>-------</v>
      </c>
      <c r="M115" s="11" t="str">
        <f>INDEX(cennik!$C$2:$L$529,MATCH($L115,cennik!$B$2:$B$522,0),MATCH(M$104,cennik!$C$1:$L$1,0))</f>
        <v>-------</v>
      </c>
      <c r="N115" s="11">
        <f>INDEX(cennik!$C$2:$L$529,MATCH($L115,cennik!$B$2:$B$522,0),MATCH(N$104,cennik!$C$1:$L$1,0))</f>
        <v>0</v>
      </c>
      <c r="O115" s="11">
        <f>IF(E108=$Z$104,O105*2,IF(E108=$Z$105,0,IF(E108=$Z$106,O105,IF(E108=$Z$107,O105*2,0))))</f>
        <v>0</v>
      </c>
      <c r="P115" s="34">
        <f>INDEX(cennik!$C$2:$L$529,MATCH($L115,cennik!$B$2:$B$522,0),MATCH(P$104,cennik!$C$1:$L$1,0))</f>
        <v>0</v>
      </c>
      <c r="Q115" s="34">
        <f t="shared" si="66"/>
        <v>0</v>
      </c>
      <c r="R115" s="35">
        <f t="shared" si="28"/>
        <v>0</v>
      </c>
      <c r="S115" s="34">
        <f t="shared" si="29"/>
        <v>0</v>
      </c>
      <c r="T115" s="34">
        <f t="shared" si="67"/>
        <v>0</v>
      </c>
      <c r="U115" s="34">
        <f>INDEX(cennik!$C$2:$L$529,MATCH($L115,cennik!$B$2:$B$522,0),MATCH(U$104,cennik!$C$1:$L$1,0))*O115</f>
        <v>0</v>
      </c>
      <c r="V115" s="61"/>
      <c r="W115" s="142">
        <f t="shared" si="30"/>
        <v>0</v>
      </c>
      <c r="X115" s="61" t="s">
        <v>473</v>
      </c>
      <c r="Y115" s="61">
        <v>1950</v>
      </c>
      <c r="Z115" s="61" t="s">
        <v>484</v>
      </c>
      <c r="AA115" s="61">
        <v>1872</v>
      </c>
      <c r="AB115" s="61"/>
      <c r="AC1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</f>
        <v>0</v>
      </c>
      <c r="AD1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</f>
        <v>0</v>
      </c>
      <c r="AE1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</f>
        <v>0</v>
      </c>
      <c r="AF1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)*C105</f>
        <v>0</v>
      </c>
      <c r="AG1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)*C105</f>
        <v>0</v>
      </c>
      <c r="AH1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)*C105</f>
        <v>0</v>
      </c>
      <c r="AI115" s="61">
        <f t="shared" ref="AI115:AI128" si="90">SUM(AC115:AE115)</f>
        <v>0</v>
      </c>
      <c r="AJ115" s="61">
        <f t="shared" ref="AJ115:AJ129" si="91">IF(AI115&lt;=1,0,IF(AI115&gt;1,(AI115*4-4),0))</f>
        <v>0</v>
      </c>
      <c r="AK115" s="61">
        <f t="shared" ref="AK115:AK129" si="92">AJ115*C105</f>
        <v>0</v>
      </c>
      <c r="AL115" s="61" t="s">
        <v>126</v>
      </c>
      <c r="AM115" s="61">
        <v>0</v>
      </c>
      <c r="AN115" s="61">
        <v>2</v>
      </c>
      <c r="AO115" s="61">
        <v>0</v>
      </c>
      <c r="AP115" s="61">
        <v>0</v>
      </c>
      <c r="AQ115" s="61">
        <v>0</v>
      </c>
      <c r="AR115" s="61">
        <v>0</v>
      </c>
      <c r="AS115" s="61">
        <v>0</v>
      </c>
      <c r="AT115" s="61">
        <v>0</v>
      </c>
      <c r="AU115" s="61">
        <v>0</v>
      </c>
      <c r="AV115" s="61">
        <v>0</v>
      </c>
      <c r="AW115" s="61">
        <v>0</v>
      </c>
      <c r="AX115" s="61">
        <v>0</v>
      </c>
      <c r="AY115" s="61">
        <v>0</v>
      </c>
      <c r="AZ115" s="61">
        <v>0</v>
      </c>
      <c r="BA115" s="61">
        <v>0</v>
      </c>
      <c r="BB115" s="61">
        <v>0</v>
      </c>
      <c r="BC115" s="61">
        <v>0</v>
      </c>
      <c r="BD115" s="61">
        <v>0</v>
      </c>
      <c r="BE115" s="61">
        <v>0</v>
      </c>
      <c r="BF115" s="61">
        <v>0</v>
      </c>
      <c r="BG115" s="61">
        <v>0</v>
      </c>
      <c r="BH115" s="61">
        <v>0</v>
      </c>
      <c r="BI115" s="61">
        <v>0</v>
      </c>
      <c r="BJ115" s="61">
        <v>0</v>
      </c>
      <c r="BK115" s="61">
        <v>0</v>
      </c>
      <c r="BL115" s="61">
        <v>0</v>
      </c>
      <c r="BM115" s="61">
        <v>0</v>
      </c>
      <c r="BN115" s="61">
        <v>0</v>
      </c>
      <c r="BO115" s="61">
        <v>0</v>
      </c>
      <c r="BP115" s="61">
        <v>0</v>
      </c>
      <c r="BQ115" s="61">
        <v>0</v>
      </c>
      <c r="BR115" s="61">
        <v>0</v>
      </c>
      <c r="BS115" s="61">
        <v>0</v>
      </c>
      <c r="BT115" s="61">
        <v>0</v>
      </c>
      <c r="BU115" s="61">
        <v>0</v>
      </c>
      <c r="BV115" s="61">
        <v>0</v>
      </c>
      <c r="BW115" s="61">
        <v>0</v>
      </c>
      <c r="BX115" s="61">
        <v>2</v>
      </c>
      <c r="BY115" s="61">
        <v>0</v>
      </c>
      <c r="BZ115" s="61">
        <v>0</v>
      </c>
      <c r="CA115" s="61">
        <v>0</v>
      </c>
      <c r="CB115" s="61">
        <v>0</v>
      </c>
      <c r="CC115" s="61">
        <v>0</v>
      </c>
      <c r="CD115" s="61">
        <v>0</v>
      </c>
      <c r="CE115" s="61">
        <v>0</v>
      </c>
      <c r="CF115" s="61">
        <v>0</v>
      </c>
      <c r="CG115" s="61">
        <v>0</v>
      </c>
      <c r="CH115" s="61">
        <v>2</v>
      </c>
      <c r="CI115" s="61">
        <v>0</v>
      </c>
      <c r="CJ115" s="61">
        <v>0</v>
      </c>
      <c r="CK115" s="61">
        <v>0</v>
      </c>
      <c r="CL115" s="61"/>
      <c r="CM115" s="61"/>
      <c r="CN115" s="61">
        <v>46.6</v>
      </c>
      <c r="CO115" s="61">
        <v>52.08</v>
      </c>
      <c r="CP115" s="142">
        <v>52.4</v>
      </c>
      <c r="CQ115" s="61">
        <v>52.64</v>
      </c>
      <c r="CR115" s="142">
        <v>53.25</v>
      </c>
      <c r="CS115" s="142">
        <v>55.31</v>
      </c>
      <c r="CT115" s="142">
        <v>56.4</v>
      </c>
      <c r="CU115" s="142">
        <v>58.6</v>
      </c>
      <c r="CV115" s="142">
        <v>59.24</v>
      </c>
      <c r="CW115" s="61">
        <v>60.45</v>
      </c>
      <c r="CX115" s="61">
        <v>61.32</v>
      </c>
      <c r="CY115" s="61"/>
      <c r="CZ115" s="61"/>
      <c r="DA115" s="61"/>
      <c r="DB115" s="61"/>
      <c r="DC115" s="61"/>
      <c r="DD115" s="61"/>
      <c r="DE115" s="61"/>
      <c r="DF115" s="61"/>
      <c r="DG115" s="61"/>
      <c r="DH115" s="61"/>
      <c r="DI115" s="61"/>
      <c r="DJ115" s="61"/>
      <c r="DK115" s="61"/>
      <c r="DL115" s="61"/>
      <c r="DM115" s="61"/>
      <c r="DN115" s="61"/>
      <c r="DO115" s="61"/>
      <c r="DP115" s="61"/>
      <c r="DQ115" s="61"/>
      <c r="DR115" s="61"/>
      <c r="DS115" s="61"/>
      <c r="DT115" s="61"/>
      <c r="DU115" s="61"/>
      <c r="DV115" s="61"/>
      <c r="DW115" s="61"/>
      <c r="DX115" s="61"/>
      <c r="DY115" s="61"/>
      <c r="DZ115" s="61">
        <v>12</v>
      </c>
      <c r="EA115" s="61">
        <v>24</v>
      </c>
      <c r="EB115" s="61"/>
      <c r="EC115" s="61"/>
      <c r="ED115" s="61"/>
      <c r="EE115" s="61"/>
      <c r="EF115" s="61"/>
      <c r="EG115" s="61"/>
      <c r="EH115" s="61"/>
      <c r="EI115" s="61"/>
      <c r="EJ115" s="61"/>
      <c r="EK115" s="61"/>
      <c r="EL115" s="61"/>
      <c r="EM115" s="61"/>
      <c r="EN115" s="61"/>
      <c r="EO115" s="61"/>
      <c r="EP115" s="61"/>
      <c r="EQ115" s="61"/>
      <c r="ER115" s="61"/>
      <c r="ES115" s="61"/>
      <c r="ET115" s="61"/>
      <c r="EU115" s="61"/>
      <c r="EV115" s="61" t="s">
        <v>11</v>
      </c>
      <c r="EW115" s="61">
        <v>0</v>
      </c>
      <c r="EX115" s="61">
        <v>0</v>
      </c>
      <c r="EY115" s="61">
        <v>0</v>
      </c>
      <c r="EZ115" s="61">
        <v>0</v>
      </c>
      <c r="FA115" s="61">
        <v>2</v>
      </c>
      <c r="FB115" s="61">
        <v>2</v>
      </c>
      <c r="FC115" s="61">
        <v>2</v>
      </c>
      <c r="FD115" s="61">
        <v>2</v>
      </c>
      <c r="FE115" s="61">
        <v>4</v>
      </c>
      <c r="FF115" s="61">
        <v>4</v>
      </c>
      <c r="FG115" s="61">
        <v>4</v>
      </c>
      <c r="FH115" s="61">
        <v>6</v>
      </c>
      <c r="FI115" s="61">
        <v>6</v>
      </c>
      <c r="FJ115" s="61">
        <v>6</v>
      </c>
      <c r="FK115" s="61">
        <v>6</v>
      </c>
      <c r="FL115" s="61">
        <v>8</v>
      </c>
      <c r="FM115" s="61">
        <v>8</v>
      </c>
      <c r="FN115" s="61">
        <v>8</v>
      </c>
      <c r="FO115" s="61">
        <v>8</v>
      </c>
      <c r="FP115" s="61">
        <v>10</v>
      </c>
      <c r="FQ115" s="61">
        <v>10</v>
      </c>
      <c r="FR115" s="61">
        <v>10</v>
      </c>
      <c r="FS115" s="61">
        <v>12</v>
      </c>
      <c r="FT115" s="61">
        <v>12</v>
      </c>
      <c r="FU115" s="61">
        <v>12</v>
      </c>
      <c r="FV115" s="61">
        <v>12</v>
      </c>
      <c r="FW115" s="61">
        <v>14</v>
      </c>
      <c r="FX115" s="61">
        <v>14</v>
      </c>
      <c r="FY115" s="61">
        <v>14</v>
      </c>
      <c r="FZ115" s="61">
        <v>16</v>
      </c>
      <c r="GA115" s="61">
        <v>16</v>
      </c>
      <c r="GB115" s="61">
        <v>16</v>
      </c>
      <c r="GC115" s="61">
        <v>16</v>
      </c>
      <c r="GD115" s="61">
        <v>18</v>
      </c>
      <c r="GE115" s="61">
        <v>18</v>
      </c>
      <c r="GF115" s="61">
        <v>18</v>
      </c>
      <c r="GG115" s="61">
        <v>18</v>
      </c>
      <c r="GH115" s="61">
        <v>20</v>
      </c>
      <c r="GI115" s="61">
        <v>20</v>
      </c>
      <c r="GJ115" s="61">
        <v>20</v>
      </c>
      <c r="GK115" s="61">
        <v>22</v>
      </c>
      <c r="GL115" s="61">
        <v>22</v>
      </c>
      <c r="GM115" s="61">
        <v>22</v>
      </c>
      <c r="GN115" s="61">
        <v>22</v>
      </c>
      <c r="GO115" s="61">
        <v>24</v>
      </c>
      <c r="GP115" s="61">
        <v>24</v>
      </c>
      <c r="GQ115" s="61">
        <v>24</v>
      </c>
      <c r="GR115" s="61">
        <v>24</v>
      </c>
      <c r="GS115" s="61">
        <v>26</v>
      </c>
      <c r="GT115" s="61">
        <v>26</v>
      </c>
      <c r="GU115" s="61">
        <v>26</v>
      </c>
      <c r="GV115" s="61"/>
      <c r="GW115" s="61"/>
      <c r="GX115" s="61"/>
      <c r="GY115" s="60" t="s">
        <v>712</v>
      </c>
      <c r="GZ115" s="60">
        <v>0</v>
      </c>
      <c r="HA115" s="60">
        <v>0</v>
      </c>
      <c r="HB115" s="60">
        <v>0</v>
      </c>
      <c r="HC115" s="60">
        <v>0</v>
      </c>
      <c r="HD115" s="60">
        <v>2</v>
      </c>
      <c r="HE115" s="60">
        <v>2</v>
      </c>
      <c r="HF115" s="60">
        <v>2</v>
      </c>
      <c r="HG115" s="60">
        <v>4</v>
      </c>
      <c r="HH115" s="60">
        <v>4</v>
      </c>
      <c r="HI115" s="60">
        <v>4</v>
      </c>
      <c r="HJ115" s="60">
        <v>6</v>
      </c>
      <c r="HK115" s="60">
        <v>6</v>
      </c>
      <c r="HL115" s="60">
        <v>6</v>
      </c>
      <c r="HM115" s="60">
        <v>8</v>
      </c>
      <c r="HN115" s="60">
        <v>8</v>
      </c>
      <c r="HO115" s="60">
        <v>8</v>
      </c>
      <c r="HP115" s="60">
        <v>10</v>
      </c>
      <c r="HQ115" s="60">
        <v>10</v>
      </c>
      <c r="HR115" s="60">
        <v>10</v>
      </c>
      <c r="HS115" s="60">
        <v>12</v>
      </c>
      <c r="HT115" s="60">
        <v>12</v>
      </c>
      <c r="HV115" s="60" t="s">
        <v>853</v>
      </c>
      <c r="HW115" s="61">
        <v>0</v>
      </c>
      <c r="HX115" s="61">
        <v>0</v>
      </c>
      <c r="HY115" s="61">
        <v>0</v>
      </c>
      <c r="HZ115" s="61">
        <v>2</v>
      </c>
      <c r="IA115" s="61">
        <v>2</v>
      </c>
      <c r="IB115" s="61">
        <v>4</v>
      </c>
      <c r="IC115" s="61">
        <v>4</v>
      </c>
      <c r="ID115" s="61">
        <v>6</v>
      </c>
      <c r="IE115" s="61">
        <v>8</v>
      </c>
      <c r="IF115" s="61">
        <v>8</v>
      </c>
      <c r="IG115" s="61">
        <v>10</v>
      </c>
      <c r="IH115" s="61">
        <v>10</v>
      </c>
      <c r="II115" s="61">
        <v>12</v>
      </c>
      <c r="IJ115" s="61">
        <v>12</v>
      </c>
      <c r="IK115" s="61">
        <v>14</v>
      </c>
      <c r="IL115" s="61">
        <v>14</v>
      </c>
      <c r="IM115" s="61">
        <v>16</v>
      </c>
      <c r="IN115" s="61">
        <v>16</v>
      </c>
      <c r="IO115" s="61">
        <v>18</v>
      </c>
      <c r="IP115" s="61">
        <v>18</v>
      </c>
      <c r="IQ115" s="61">
        <v>20</v>
      </c>
      <c r="IS115" s="60" t="s">
        <v>853</v>
      </c>
      <c r="IT115" s="60">
        <f t="shared" si="69"/>
        <v>0</v>
      </c>
      <c r="IU115" s="60">
        <f t="shared" si="70"/>
        <v>0</v>
      </c>
      <c r="IV115" s="60">
        <f t="shared" si="71"/>
        <v>0</v>
      </c>
      <c r="IW115" s="60">
        <f t="shared" si="72"/>
        <v>4</v>
      </c>
      <c r="IX115" s="60">
        <f t="shared" si="73"/>
        <v>4</v>
      </c>
      <c r="IY115" s="60">
        <f t="shared" si="74"/>
        <v>8</v>
      </c>
      <c r="IZ115" s="60">
        <f t="shared" si="75"/>
        <v>8</v>
      </c>
      <c r="JA115" s="60">
        <f t="shared" si="76"/>
        <v>12</v>
      </c>
      <c r="JB115" s="60">
        <f t="shared" si="77"/>
        <v>16</v>
      </c>
      <c r="JC115" s="60">
        <f t="shared" si="78"/>
        <v>16</v>
      </c>
      <c r="JD115" s="60">
        <f t="shared" si="79"/>
        <v>20</v>
      </c>
      <c r="JE115" s="60">
        <f t="shared" si="80"/>
        <v>20</v>
      </c>
      <c r="JF115" s="60">
        <f t="shared" si="81"/>
        <v>24</v>
      </c>
      <c r="JG115" s="60">
        <f t="shared" si="82"/>
        <v>24</v>
      </c>
      <c r="JH115" s="60">
        <f t="shared" si="83"/>
        <v>28</v>
      </c>
      <c r="JI115" s="60">
        <f t="shared" si="84"/>
        <v>28</v>
      </c>
      <c r="JJ115" s="60">
        <f t="shared" si="85"/>
        <v>32</v>
      </c>
      <c r="JK115" s="60">
        <f t="shared" si="86"/>
        <v>32</v>
      </c>
      <c r="JL115" s="60">
        <f t="shared" si="87"/>
        <v>36</v>
      </c>
      <c r="JM115" s="60">
        <f t="shared" si="88"/>
        <v>36</v>
      </c>
      <c r="JN115" s="60">
        <f t="shared" si="89"/>
        <v>40</v>
      </c>
      <c r="JQ115" s="63"/>
      <c r="KG115" s="63"/>
    </row>
    <row r="116" spans="1:293" x14ac:dyDescent="0.25">
      <c r="A116" s="8"/>
      <c r="B116" s="5" t="s">
        <v>116</v>
      </c>
      <c r="C116" s="8"/>
      <c r="D116" s="40" t="s">
        <v>943</v>
      </c>
      <c r="E116" s="9"/>
      <c r="F116" s="9"/>
      <c r="G116" s="9"/>
      <c r="H116" s="9"/>
      <c r="I116" s="9"/>
      <c r="J116" s="9"/>
      <c r="K116" s="9"/>
      <c r="L116" s="6" t="str">
        <f>IF(E108=$Z$104,"SGKFM10X20PV",IF(E108=$Z$105,"-------",IF(E108=$Z$106,"-------",IF(E108=$Z$107,"SMDP6,0X25E",0))))</f>
        <v>-------</v>
      </c>
      <c r="M116" s="11" t="str">
        <f>INDEX(cennik!$C$2:$L$529,MATCH($L116,cennik!$B$2:$B$522,0),MATCH(M$104,cennik!$C$1:$L$1,0))</f>
        <v>-------</v>
      </c>
      <c r="N116" s="11">
        <f>INDEX(cennik!$C$2:$L$529,MATCH($L116,cennik!$B$2:$B$522,0),MATCH(N$104,cennik!$C$1:$L$1,0))</f>
        <v>0</v>
      </c>
      <c r="O116" s="11">
        <f>IF(E108=$Z$104,ROUNDUP((O105*0)/100,0),IF(E108=$Z$105,0,IF(E108=$Z$106,0,IF(E108=$Z$107,O115*4,0))))</f>
        <v>0</v>
      </c>
      <c r="P116" s="34">
        <f>INDEX(cennik!$C$2:$L$529,MATCH($L116,cennik!$B$2:$B$522,0),MATCH(P$104,cennik!$C$1:$L$1,0))</f>
        <v>0</v>
      </c>
      <c r="Q116" s="34">
        <f t="shared" si="66"/>
        <v>0</v>
      </c>
      <c r="R116" s="35">
        <f t="shared" si="28"/>
        <v>0</v>
      </c>
      <c r="S116" s="34">
        <f t="shared" si="29"/>
        <v>0</v>
      </c>
      <c r="T116" s="34">
        <f t="shared" si="67"/>
        <v>0</v>
      </c>
      <c r="U116" s="34">
        <f>INDEX(cennik!$C$2:$L$529,MATCH($L116,cennik!$B$2:$B$522,0),MATCH(U$104,cennik!$C$1:$L$1,0))*O116</f>
        <v>0</v>
      </c>
      <c r="V116" s="61"/>
      <c r="W116" s="142">
        <f t="shared" si="30"/>
        <v>0</v>
      </c>
      <c r="X116" s="61" t="s">
        <v>113</v>
      </c>
      <c r="Y116" s="61">
        <v>2000</v>
      </c>
      <c r="Z116" s="61" t="s">
        <v>485</v>
      </c>
      <c r="AA116" s="61">
        <v>1910</v>
      </c>
      <c r="AB116" s="61"/>
      <c r="AC1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</f>
        <v>0</v>
      </c>
      <c r="AD1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</f>
        <v>0</v>
      </c>
      <c r="AE1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</f>
        <v>0</v>
      </c>
      <c r="AF1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)*C106</f>
        <v>0</v>
      </c>
      <c r="AG1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)*C106</f>
        <v>0</v>
      </c>
      <c r="AH1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)*C106</f>
        <v>0</v>
      </c>
      <c r="AI116" s="61">
        <f t="shared" si="90"/>
        <v>0</v>
      </c>
      <c r="AJ116" s="61">
        <f t="shared" si="91"/>
        <v>0</v>
      </c>
      <c r="AK116" s="61">
        <f t="shared" si="92"/>
        <v>0</v>
      </c>
      <c r="AL116" s="61" t="s">
        <v>12</v>
      </c>
      <c r="AM116" s="61">
        <v>0</v>
      </c>
      <c r="AN116" s="61">
        <v>0</v>
      </c>
      <c r="AO116" s="61">
        <v>0</v>
      </c>
      <c r="AP116" s="61">
        <v>0</v>
      </c>
      <c r="AQ116" s="61">
        <v>0</v>
      </c>
      <c r="AR116" s="61">
        <v>0</v>
      </c>
      <c r="AS116" s="61">
        <v>0</v>
      </c>
      <c r="AT116" s="61">
        <v>0</v>
      </c>
      <c r="AU116" s="61">
        <v>2</v>
      </c>
      <c r="AV116" s="61">
        <v>0</v>
      </c>
      <c r="AW116" s="61">
        <v>0</v>
      </c>
      <c r="AX116" s="61">
        <v>0</v>
      </c>
      <c r="AY116" s="61">
        <v>0</v>
      </c>
      <c r="AZ116" s="61">
        <v>4</v>
      </c>
      <c r="BA116" s="61">
        <v>2</v>
      </c>
      <c r="BB116" s="61">
        <v>0</v>
      </c>
      <c r="BC116" s="61">
        <v>2</v>
      </c>
      <c r="BD116" s="61">
        <v>0</v>
      </c>
      <c r="BE116" s="61">
        <v>0</v>
      </c>
      <c r="BF116" s="61">
        <v>4</v>
      </c>
      <c r="BG116" s="61">
        <v>2</v>
      </c>
      <c r="BH116" s="61">
        <v>0</v>
      </c>
      <c r="BI116" s="61">
        <v>0</v>
      </c>
      <c r="BJ116" s="61">
        <v>2</v>
      </c>
      <c r="BK116" s="61">
        <v>0</v>
      </c>
      <c r="BL116" s="61">
        <v>0</v>
      </c>
      <c r="BM116" s="61">
        <v>0</v>
      </c>
      <c r="BN116" s="61">
        <v>0</v>
      </c>
      <c r="BO116" s="61">
        <v>4</v>
      </c>
      <c r="BP116" s="61">
        <v>2</v>
      </c>
      <c r="BQ116" s="61">
        <v>0</v>
      </c>
      <c r="BR116" s="61">
        <v>2</v>
      </c>
      <c r="BS116" s="61">
        <v>0</v>
      </c>
      <c r="BT116" s="61">
        <v>0</v>
      </c>
      <c r="BU116" s="61">
        <v>2</v>
      </c>
      <c r="BV116" s="61">
        <v>0</v>
      </c>
      <c r="BW116" s="61">
        <v>0</v>
      </c>
      <c r="BX116" s="61">
        <v>0</v>
      </c>
      <c r="BY116" s="61">
        <v>0</v>
      </c>
      <c r="BZ116" s="61">
        <v>0</v>
      </c>
      <c r="CA116" s="61">
        <v>0</v>
      </c>
      <c r="CB116" s="61">
        <v>0</v>
      </c>
      <c r="CC116" s="61">
        <v>0</v>
      </c>
      <c r="CD116" s="61">
        <v>0</v>
      </c>
      <c r="CE116" s="61">
        <v>0</v>
      </c>
      <c r="CF116" s="61">
        <v>0</v>
      </c>
      <c r="CG116" s="61">
        <v>0</v>
      </c>
      <c r="CH116" s="61">
        <v>0</v>
      </c>
      <c r="CI116" s="61">
        <v>0</v>
      </c>
      <c r="CJ116" s="61">
        <v>0</v>
      </c>
      <c r="CK116" s="61">
        <v>0</v>
      </c>
      <c r="CL116" s="61"/>
      <c r="CM116" s="61"/>
      <c r="CN116" s="61">
        <v>57.19</v>
      </c>
      <c r="CO116" s="61">
        <v>62.51</v>
      </c>
      <c r="CP116" s="142">
        <v>63.3</v>
      </c>
      <c r="CQ116" s="61">
        <v>64.38</v>
      </c>
      <c r="CR116" s="142">
        <v>65.8</v>
      </c>
      <c r="CS116" s="142">
        <v>67.22</v>
      </c>
      <c r="CT116" s="142">
        <v>68.349999999999994</v>
      </c>
      <c r="CU116" s="142">
        <v>69.900000000000006</v>
      </c>
      <c r="CV116" s="142">
        <v>71.8</v>
      </c>
      <c r="CW116" s="61">
        <v>72.52</v>
      </c>
      <c r="CX116" s="61">
        <v>73.2</v>
      </c>
      <c r="CY116" s="61"/>
      <c r="CZ116" s="61"/>
      <c r="DA116" s="61"/>
      <c r="DB116" s="61"/>
      <c r="DC116" s="61"/>
      <c r="DD116" s="61"/>
      <c r="DE116" s="61"/>
      <c r="DF116" s="61"/>
      <c r="DG116" s="61"/>
      <c r="DH116" s="61"/>
      <c r="DI116" s="61"/>
      <c r="DJ116" s="61"/>
      <c r="DK116" s="61"/>
      <c r="DL116" s="61"/>
      <c r="DM116" s="61"/>
      <c r="DN116" s="61"/>
      <c r="DO116" s="61"/>
      <c r="DP116" s="61"/>
      <c r="DQ116" s="61"/>
      <c r="DR116" s="61"/>
      <c r="DS116" s="61"/>
      <c r="DT116" s="61"/>
      <c r="DU116" s="61"/>
      <c r="DV116" s="61"/>
      <c r="DW116" s="61"/>
      <c r="DX116" s="61"/>
      <c r="DY116" s="61"/>
      <c r="DZ116" s="61">
        <v>13</v>
      </c>
      <c r="EA116" s="61">
        <v>26</v>
      </c>
      <c r="EB116" s="61"/>
      <c r="EC116" s="61"/>
      <c r="ED116" s="61"/>
      <c r="EE116" s="61"/>
      <c r="EF116" s="61"/>
      <c r="EG116" s="61"/>
      <c r="EH116" s="61"/>
      <c r="EI116" s="61"/>
      <c r="EJ116" s="61"/>
      <c r="EK116" s="61"/>
      <c r="EL116" s="61"/>
      <c r="EM116" s="61"/>
      <c r="EN116" s="61"/>
      <c r="EO116" s="140" t="s">
        <v>303</v>
      </c>
      <c r="EP116" s="140" t="s">
        <v>304</v>
      </c>
      <c r="EQ116" s="140" t="s">
        <v>450</v>
      </c>
      <c r="ER116" s="140" t="s">
        <v>305</v>
      </c>
      <c r="ES116" s="63" t="s">
        <v>306</v>
      </c>
      <c r="ET116" s="63"/>
      <c r="EU116" s="63"/>
      <c r="EV116" s="61"/>
      <c r="EW116" s="61"/>
      <c r="EX116" s="61"/>
      <c r="EY116" s="61"/>
      <c r="EZ116" s="61"/>
      <c r="FA116" s="61"/>
      <c r="FB116" s="61"/>
      <c r="FC116" s="61"/>
      <c r="FD116" s="61"/>
      <c r="FE116" s="61"/>
      <c r="FF116" s="61"/>
      <c r="FG116" s="61"/>
      <c r="FH116" s="61"/>
      <c r="FI116" s="61"/>
      <c r="FJ116" s="61"/>
      <c r="FK116" s="61"/>
      <c r="FL116" s="61"/>
      <c r="FM116" s="61"/>
      <c r="FN116" s="61"/>
      <c r="FO116" s="61"/>
      <c r="FP116" s="61"/>
      <c r="FQ116" s="61"/>
      <c r="FR116" s="61"/>
      <c r="FS116" s="61"/>
      <c r="FT116" s="61"/>
      <c r="FU116" s="61"/>
      <c r="FV116" s="61"/>
      <c r="FW116" s="61"/>
      <c r="FX116" s="61"/>
      <c r="FY116" s="61"/>
      <c r="FZ116" s="61"/>
      <c r="GA116" s="61"/>
      <c r="GB116" s="61"/>
      <c r="GC116" s="61"/>
      <c r="GD116" s="61"/>
      <c r="GE116" s="61"/>
      <c r="GF116" s="61"/>
      <c r="GG116" s="61"/>
      <c r="GH116" s="61"/>
      <c r="GI116" s="61"/>
      <c r="GJ116" s="61"/>
      <c r="GK116" s="61"/>
      <c r="GL116" s="61"/>
      <c r="GM116" s="61"/>
      <c r="GN116" s="61"/>
      <c r="GO116" s="61"/>
      <c r="GP116" s="61"/>
      <c r="GQ116" s="61"/>
      <c r="GR116" s="61"/>
      <c r="GS116" s="61"/>
      <c r="GT116" s="61"/>
      <c r="GU116" s="61"/>
      <c r="GV116" s="61"/>
      <c r="GW116" s="61"/>
      <c r="GX116" s="61"/>
      <c r="HW116" s="61"/>
      <c r="HX116" s="61"/>
      <c r="HY116" s="61"/>
      <c r="HZ116" s="61"/>
      <c r="IA116" s="61"/>
      <c r="IB116" s="61"/>
      <c r="IC116" s="61"/>
      <c r="ID116" s="61"/>
      <c r="IE116" s="61"/>
      <c r="IF116" s="61"/>
      <c r="IG116" s="61"/>
      <c r="IH116" s="61"/>
      <c r="II116" s="61"/>
      <c r="IJ116" s="61"/>
      <c r="IK116" s="61"/>
      <c r="IL116" s="61"/>
      <c r="IM116" s="61"/>
      <c r="IN116" s="61"/>
      <c r="IO116" s="61"/>
      <c r="IP116" s="61"/>
      <c r="IQ116" s="61"/>
      <c r="JQ116" s="63"/>
      <c r="KG116" s="63"/>
    </row>
    <row r="117" spans="1:293" x14ac:dyDescent="0.25">
      <c r="A117" s="8"/>
      <c r="B117" s="5" t="s">
        <v>116</v>
      </c>
      <c r="C117" s="8"/>
      <c r="D117" s="9"/>
      <c r="E117" s="9"/>
      <c r="F117" s="9"/>
      <c r="G117" s="9"/>
      <c r="H117" s="9"/>
      <c r="I117" s="9"/>
      <c r="J117" s="9"/>
      <c r="K117" s="9"/>
      <c r="L117" s="6" t="s">
        <v>20</v>
      </c>
      <c r="M117" s="11">
        <f>INDEX(cennik!$C$2:$L$529,MATCH($L117,cennik!$B$2:$B$522,0),MATCH(M$104,cennik!$C$1:$L$1,0))</f>
        <v>6506513</v>
      </c>
      <c r="N117" s="11" t="str">
        <f>INDEX(cennik!$C$2:$L$529,MATCH($L117,cennik!$B$2:$B$522,0),MATCH(N$104,cennik!$C$1:$L$1,0))</f>
        <v>szt.</v>
      </c>
      <c r="O117" s="11">
        <f>SUM(O106:O107)+E111</f>
        <v>0</v>
      </c>
      <c r="P117" s="34">
        <f>INDEX(cennik!$C$2:$L$529,MATCH($L117,cennik!$B$2:$B$522,0),MATCH(P$104,cennik!$C$1:$L$1,0))</f>
        <v>4.1900000000000004</v>
      </c>
      <c r="Q117" s="34">
        <f t="shared" si="66"/>
        <v>0</v>
      </c>
      <c r="R117" s="35">
        <f t="shared" si="28"/>
        <v>0</v>
      </c>
      <c r="S117" s="34">
        <f t="shared" si="29"/>
        <v>4.1900000000000004</v>
      </c>
      <c r="T117" s="34">
        <f t="shared" si="67"/>
        <v>0</v>
      </c>
      <c r="U117" s="34">
        <f>INDEX(cennik!$C$2:$L$529,MATCH($L117,cennik!$B$2:$B$522,0),MATCH(U$104,cennik!$C$1:$L$1,0))*O117</f>
        <v>0</v>
      </c>
      <c r="V117" s="61"/>
      <c r="W117" s="142">
        <f t="shared" si="30"/>
        <v>0</v>
      </c>
      <c r="X117" s="61" t="s">
        <v>137</v>
      </c>
      <c r="Y117" s="61">
        <v>2050</v>
      </c>
      <c r="Z117" s="61" t="s">
        <v>486</v>
      </c>
      <c r="AA117" s="60">
        <v>1942</v>
      </c>
      <c r="AB117" s="60">
        <f>IF($E$105=$Z$109,$AA$109,IF($E$105=$Z$110,$AA$110,IF($E$105=$Z$111,$AA$111,IF($E$105=$Z$112,$AA$112,IF($E$105=$Z$113,$AA$113,IF($E$105=$Z$114,$AA$114,IF($E$105=$Z$115,$AA$115,IF($E$105=$Z$116,$AA$116,IF($E$105=$Z$117,$AA$117,IF($E$105=$Z$118,$AA$118,IF($E$105=$Z$119,$AA$119,IF($E$105=$Z$120,$AA$120,IF($E$105=$Z$121,$AA$121,0)))))))))))))</f>
        <v>0</v>
      </c>
      <c r="AC1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</f>
        <v>0</v>
      </c>
      <c r="AD1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</f>
        <v>0</v>
      </c>
      <c r="AE1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</f>
        <v>0</v>
      </c>
      <c r="AF1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)*C107</f>
        <v>0</v>
      </c>
      <c r="AG1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)*C107</f>
        <v>0</v>
      </c>
      <c r="AH1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)*C107</f>
        <v>0</v>
      </c>
      <c r="AI117" s="61">
        <f t="shared" si="90"/>
        <v>0</v>
      </c>
      <c r="AJ117" s="61">
        <f t="shared" si="91"/>
        <v>0</v>
      </c>
      <c r="AK117" s="61">
        <f t="shared" si="92"/>
        <v>0</v>
      </c>
      <c r="AL117" s="61" t="s">
        <v>127</v>
      </c>
      <c r="AM117" s="61">
        <v>0</v>
      </c>
      <c r="AN117" s="61">
        <v>0</v>
      </c>
      <c r="AO117" s="61">
        <v>2</v>
      </c>
      <c r="AP117" s="61">
        <v>0</v>
      </c>
      <c r="AQ117" s="61">
        <v>4</v>
      </c>
      <c r="AR117" s="61">
        <v>2</v>
      </c>
      <c r="AS117" s="61">
        <v>0</v>
      </c>
      <c r="AT117" s="61">
        <v>4</v>
      </c>
      <c r="AU117" s="61">
        <v>0</v>
      </c>
      <c r="AV117" s="61">
        <v>0</v>
      </c>
      <c r="AW117" s="61">
        <v>4</v>
      </c>
      <c r="AX117" s="61">
        <v>2</v>
      </c>
      <c r="AY117" s="61">
        <v>0</v>
      </c>
      <c r="AZ117" s="61">
        <v>0</v>
      </c>
      <c r="BA117" s="61">
        <v>0</v>
      </c>
      <c r="BB117" s="61">
        <v>0</v>
      </c>
      <c r="BC117" s="61">
        <v>2</v>
      </c>
      <c r="BD117" s="61">
        <v>2</v>
      </c>
      <c r="BE117" s="61">
        <v>0</v>
      </c>
      <c r="BF117" s="61">
        <v>0</v>
      </c>
      <c r="BG117" s="61">
        <v>0</v>
      </c>
      <c r="BH117" s="61">
        <v>0</v>
      </c>
      <c r="BI117" s="61">
        <v>4</v>
      </c>
      <c r="BJ117" s="61">
        <v>0</v>
      </c>
      <c r="BK117" s="61">
        <v>0</v>
      </c>
      <c r="BL117" s="61">
        <v>4</v>
      </c>
      <c r="BM117" s="61">
        <v>2</v>
      </c>
      <c r="BN117" s="61">
        <v>0</v>
      </c>
      <c r="BO117" s="61">
        <v>0</v>
      </c>
      <c r="BP117" s="61">
        <v>0</v>
      </c>
      <c r="BQ117" s="61">
        <v>0</v>
      </c>
      <c r="BR117" s="61">
        <v>2</v>
      </c>
      <c r="BS117" s="61">
        <v>2</v>
      </c>
      <c r="BT117" s="61">
        <v>0</v>
      </c>
      <c r="BU117" s="61">
        <v>0</v>
      </c>
      <c r="BV117" s="61">
        <v>0</v>
      </c>
      <c r="BW117" s="61">
        <v>0</v>
      </c>
      <c r="BX117" s="61">
        <v>2</v>
      </c>
      <c r="BY117" s="61">
        <v>0</v>
      </c>
      <c r="BZ117" s="61">
        <v>0</v>
      </c>
      <c r="CA117" s="61">
        <v>0</v>
      </c>
      <c r="CB117" s="61">
        <v>2</v>
      </c>
      <c r="CC117" s="61">
        <v>0</v>
      </c>
      <c r="CD117" s="61">
        <v>0</v>
      </c>
      <c r="CE117" s="61">
        <v>0</v>
      </c>
      <c r="CF117" s="61">
        <v>0</v>
      </c>
      <c r="CG117" s="61">
        <v>0</v>
      </c>
      <c r="CH117" s="61">
        <v>0</v>
      </c>
      <c r="CI117" s="61">
        <v>0</v>
      </c>
      <c r="CJ117" s="61">
        <v>0</v>
      </c>
      <c r="CK117" s="61">
        <v>2</v>
      </c>
      <c r="CL117" s="61"/>
      <c r="CM117" s="61"/>
      <c r="CN117" s="140" t="s">
        <v>303</v>
      </c>
      <c r="CO117" s="140" t="s">
        <v>304</v>
      </c>
      <c r="CP117" s="140" t="s">
        <v>481</v>
      </c>
      <c r="CQ117" s="140" t="s">
        <v>450</v>
      </c>
      <c r="CR117" s="63" t="s">
        <v>482</v>
      </c>
      <c r="CS117" s="63" t="s">
        <v>483</v>
      </c>
      <c r="CT117" s="63" t="s">
        <v>484</v>
      </c>
      <c r="CU117" s="63" t="s">
        <v>485</v>
      </c>
      <c r="CV117" s="63" t="s">
        <v>486</v>
      </c>
      <c r="CW117" s="140" t="s">
        <v>305</v>
      </c>
      <c r="CX117" s="140" t="s">
        <v>306</v>
      </c>
      <c r="CY117" s="63" t="s">
        <v>530</v>
      </c>
      <c r="CZ117" s="63" t="s">
        <v>531</v>
      </c>
      <c r="DA117" s="63" t="s">
        <v>532</v>
      </c>
      <c r="DB117" s="63" t="s">
        <v>533</v>
      </c>
      <c r="DC117" s="63" t="s">
        <v>534</v>
      </c>
      <c r="DD117" s="63" t="s">
        <v>535</v>
      </c>
      <c r="DE117" s="63" t="s">
        <v>536</v>
      </c>
      <c r="DF117" s="63" t="s">
        <v>537</v>
      </c>
      <c r="DG117" s="61"/>
      <c r="DH117" s="61"/>
      <c r="DI117" s="61"/>
      <c r="DJ117" s="61"/>
      <c r="DK117" s="61"/>
      <c r="DL117" s="61"/>
      <c r="DM117" s="61"/>
      <c r="DN117" s="61"/>
      <c r="DO117" s="61"/>
      <c r="DP117" s="61"/>
      <c r="DQ117" s="61"/>
      <c r="DR117" s="61"/>
      <c r="DS117" s="61"/>
      <c r="DT117" s="61"/>
      <c r="DU117" s="61"/>
      <c r="DV117" s="61"/>
      <c r="DW117" s="61"/>
      <c r="DX117" s="61"/>
      <c r="DY117" s="61"/>
      <c r="DZ117" s="61">
        <v>14</v>
      </c>
      <c r="EA117" s="61">
        <v>28</v>
      </c>
      <c r="EB117" s="61"/>
      <c r="EC117" s="61"/>
      <c r="ED117" s="61"/>
      <c r="EE117" s="61"/>
      <c r="EF117" s="61"/>
      <c r="EG117" s="61"/>
      <c r="EH117" s="61"/>
      <c r="EI117" s="61"/>
      <c r="EJ117" s="61"/>
      <c r="EK117" s="61"/>
      <c r="EL117" s="61"/>
      <c r="EM117" s="61"/>
      <c r="EN117" s="61"/>
      <c r="EO117" s="61"/>
      <c r="EP117" s="61"/>
      <c r="EQ117" s="61"/>
      <c r="ER117" s="61"/>
      <c r="ES117" s="61"/>
      <c r="ET117" s="61"/>
      <c r="EU117" s="61"/>
      <c r="EV117" s="61" t="s">
        <v>115</v>
      </c>
      <c r="EW117" s="61"/>
      <c r="EX117" s="61"/>
      <c r="EY117" s="61"/>
      <c r="EZ117" s="61"/>
      <c r="FA117" s="61"/>
      <c r="FB117" s="61"/>
      <c r="FC117" s="61"/>
      <c r="FD117" s="61"/>
      <c r="FE117" s="61"/>
      <c r="FF117" s="61"/>
      <c r="FG117" s="61"/>
      <c r="FH117" s="61"/>
      <c r="FI117" s="61"/>
      <c r="FJ117" s="61"/>
      <c r="FK117" s="61"/>
      <c r="FL117" s="61"/>
      <c r="FM117" s="61"/>
      <c r="FN117" s="61"/>
      <c r="FO117" s="61"/>
      <c r="FP117" s="61"/>
      <c r="FQ117" s="61"/>
      <c r="FR117" s="61"/>
      <c r="FS117" s="61"/>
      <c r="FT117" s="61"/>
      <c r="FU117" s="61"/>
      <c r="FV117" s="61"/>
      <c r="FW117" s="61"/>
      <c r="FX117" s="61"/>
      <c r="FY117" s="61"/>
      <c r="FZ117" s="61"/>
      <c r="GA117" s="61"/>
      <c r="GB117" s="61"/>
      <c r="GC117" s="61"/>
      <c r="GD117" s="61"/>
      <c r="GE117" s="61"/>
      <c r="GF117" s="61"/>
      <c r="GG117" s="61"/>
      <c r="GH117" s="61"/>
      <c r="GI117" s="61"/>
      <c r="GJ117" s="61"/>
      <c r="GK117" s="61"/>
      <c r="GL117" s="61"/>
      <c r="GM117" s="61"/>
      <c r="GN117" s="61"/>
      <c r="GO117" s="61"/>
      <c r="GP117" s="61"/>
      <c r="GQ117" s="61"/>
      <c r="GR117" s="61"/>
      <c r="GS117" s="61"/>
      <c r="GT117" s="61"/>
      <c r="GU117" s="61"/>
      <c r="GV117" s="61"/>
      <c r="GW117" s="61"/>
      <c r="GX117" s="61"/>
      <c r="GY117" s="60" t="s">
        <v>474</v>
      </c>
      <c r="HU117" s="143"/>
      <c r="HV117" s="141" t="s">
        <v>132</v>
      </c>
      <c r="HW117" s="61"/>
      <c r="HX117" s="61"/>
      <c r="HY117" s="61"/>
      <c r="HZ117" s="61"/>
      <c r="IA117" s="61"/>
      <c r="IB117" s="61"/>
      <c r="IC117" s="61"/>
      <c r="ID117" s="61"/>
      <c r="IE117" s="61"/>
      <c r="IF117" s="61"/>
      <c r="IG117" s="61"/>
      <c r="IH117" s="61"/>
      <c r="II117" s="61"/>
      <c r="IJ117" s="61"/>
      <c r="IK117" s="61"/>
      <c r="IL117" s="61"/>
      <c r="IM117" s="61"/>
      <c r="IN117" s="61"/>
      <c r="IO117" s="61"/>
      <c r="IP117" s="61"/>
      <c r="IQ117" s="61"/>
      <c r="IS117" s="60" t="s">
        <v>132</v>
      </c>
      <c r="KG117" s="63"/>
    </row>
    <row r="118" spans="1:293" x14ac:dyDescent="0.25">
      <c r="A118" s="8"/>
      <c r="B118" s="5" t="s">
        <v>116</v>
      </c>
      <c r="C118" s="8"/>
      <c r="D118" s="9"/>
      <c r="E118" s="9"/>
      <c r="F118" s="9"/>
      <c r="G118" s="9"/>
      <c r="H118" s="9"/>
      <c r="I118" s="9"/>
      <c r="J118" s="9"/>
      <c r="K118" s="9"/>
      <c r="L118" s="6" t="str">
        <f>IF(E106="standard","PUP",IF(E106="klick","PUPK",0))</f>
        <v>PUPK</v>
      </c>
      <c r="M118" s="11">
        <f>INDEX(cennik!$C$2:$L$529,MATCH($L118,cennik!$B$2:$B$522,0),MATCH(M$104,cennik!$C$1:$L$1,0))</f>
        <v>897304</v>
      </c>
      <c r="N118" s="11" t="str">
        <f>INDEX(cennik!$C$2:$L$529,MATCH($L118,cennik!$B$2:$B$522,0),MATCH(N$104,cennik!$C$1:$L$1,0))</f>
        <v>szt.</v>
      </c>
      <c r="O118" s="11">
        <f>SUM((IF(MOD(A104,2)=0,A104/2,IF(MOD(A104,2)=1,FLOOR(A104/2,1)+1,0))*C104),(IF(MOD(A105,2)=0,A105/2,IF(MOD(A105,2)=1,FLOOR(A105/2,1)+1,0))*C105),(IF(MOD(A106,2)=0,A106/2,IF(MOD(A106,2)=1,FLOOR(A106/2,1)+1,0))*C106),(IF(MOD(A107,2)=0,A107/2,IF(MOD(A107,2)=1,FLOOR(A107/2,1)+1,0))*C107),(IF(MOD(A108,2)=0,A108/2,IF(MOD(A108,2)=1,FLOOR(A108/2,1)+1,0))*C108),(IF(MOD(A109,2)=0,A109/2,IF(MOD(A109,2)=1,FLOOR(A109/2,1)+1,0))*C109),(IF(MOD(A110,2)=0,A110/2,IF(MOD(A110,2)=1,FLOOR(A110/2,1)+1,0))*C110),(IF(MOD(A111,2)=0,A111/2,IF(MOD(A111,2)=1,FLOOR(A111/2,1)+1,0))*C111),(IF(MOD(A112,2)=0,A112/2,IF(MOD(A112,2)=1,FLOOR(A112/2,1)+1,0))*C112),(IF(MOD(A113,2)=0,A113/2,IF(MOD(A113,2)=1,FLOOR(A113/2,1)+1,0))*C113),(IF(MOD(A114,2)=0,A114/2,IF(MOD(A114,2)=1,FLOOR(A114/2,1)+1,0))*C114),(IF(MOD(A115,2)=0,A115/2,IF(MOD(A115,2)=1,FLOOR(A115/2,1)+1,0))*C115),(IF(MOD(A116,2)=0,A116/2,IF(MOD(A116,2)=1,FLOOR(A116/2,1)+1,0))*C116),(IF(MOD(A117,2)=0,A117/2,IF(MOD(A117,2)=1,FLOOR(A117/2,1)+1,0))*C117),(IF(MOD(A118,2)=0,A118/2,IF(MOD(A118,2)=1,FLOOR(A118/2,1)+1,0))*C118),(IF(MOD(A119,2)=0,A119/2,IF(MOD(A119,2)=1,FLOOR(A119/2,1)+1,0))*C119))</f>
        <v>0</v>
      </c>
      <c r="P118" s="34">
        <f>INDEX(cennik!$C$2:$L$529,MATCH($L118,cennik!$B$2:$B$522,0),MATCH(P$104,cennik!$C$1:$L$1,0))</f>
        <v>2.4</v>
      </c>
      <c r="Q118" s="34">
        <f t="shared" ref="Q118:Q123" si="93">O118*P118</f>
        <v>0</v>
      </c>
      <c r="R118" s="35">
        <f t="shared" si="28"/>
        <v>0</v>
      </c>
      <c r="S118" s="34">
        <f t="shared" si="29"/>
        <v>2.4</v>
      </c>
      <c r="T118" s="34">
        <f t="shared" ref="T118:T123" si="94">O118*S118</f>
        <v>0</v>
      </c>
      <c r="U118" s="34">
        <f>INDEX(cennik!$C$2:$L$529,MATCH($L118,cennik!$B$2:$B$522,0),MATCH(U$104,cennik!$C$1:$L$1,0))*O118</f>
        <v>0</v>
      </c>
      <c r="V118" s="61"/>
      <c r="W118" s="142">
        <f t="shared" si="30"/>
        <v>0</v>
      </c>
      <c r="X118" s="61" t="s">
        <v>138</v>
      </c>
      <c r="Y118" s="61">
        <v>2100</v>
      </c>
      <c r="Z118" s="61" t="s">
        <v>305</v>
      </c>
      <c r="AA118" s="61">
        <v>1980</v>
      </c>
      <c r="AB118" s="61"/>
      <c r="AC1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</f>
        <v>0</v>
      </c>
      <c r="AD1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</f>
        <v>0</v>
      </c>
      <c r="AE1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</f>
        <v>0</v>
      </c>
      <c r="AF1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)*C108</f>
        <v>0</v>
      </c>
      <c r="AG1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)*C108</f>
        <v>0</v>
      </c>
      <c r="AH1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)*C108</f>
        <v>0</v>
      </c>
      <c r="AI118" s="61">
        <f t="shared" si="90"/>
        <v>0</v>
      </c>
      <c r="AJ118" s="61">
        <f t="shared" si="91"/>
        <v>0</v>
      </c>
      <c r="AK118" s="61">
        <f t="shared" si="92"/>
        <v>0</v>
      </c>
      <c r="AL118" s="61" t="s">
        <v>15</v>
      </c>
      <c r="AM118" s="61">
        <v>0</v>
      </c>
      <c r="AN118" s="61">
        <v>0</v>
      </c>
      <c r="AO118" s="61">
        <v>0</v>
      </c>
      <c r="AP118" s="61">
        <v>0</v>
      </c>
      <c r="AQ118" s="61">
        <v>0</v>
      </c>
      <c r="AR118" s="61">
        <v>0</v>
      </c>
      <c r="AS118" s="61">
        <v>0</v>
      </c>
      <c r="AT118" s="61">
        <v>2</v>
      </c>
      <c r="AU118" s="61">
        <v>0</v>
      </c>
      <c r="AV118" s="61">
        <v>2</v>
      </c>
      <c r="AW118" s="61">
        <v>2</v>
      </c>
      <c r="AX118" s="61">
        <v>2</v>
      </c>
      <c r="AY118" s="61">
        <v>4</v>
      </c>
      <c r="AZ118" s="61">
        <v>0</v>
      </c>
      <c r="BA118" s="61">
        <v>2</v>
      </c>
      <c r="BB118" s="61">
        <v>4</v>
      </c>
      <c r="BC118" s="61">
        <v>2</v>
      </c>
      <c r="BD118" s="61">
        <v>6</v>
      </c>
      <c r="BE118" s="61">
        <v>4</v>
      </c>
      <c r="BF118" s="61">
        <v>2</v>
      </c>
      <c r="BG118" s="61">
        <v>4</v>
      </c>
      <c r="BH118" s="61">
        <v>6</v>
      </c>
      <c r="BI118" s="61">
        <v>8</v>
      </c>
      <c r="BJ118" s="61">
        <v>4</v>
      </c>
      <c r="BK118" s="61">
        <v>6</v>
      </c>
      <c r="BL118" s="61">
        <v>6</v>
      </c>
      <c r="BM118" s="61">
        <v>6</v>
      </c>
      <c r="BN118" s="61">
        <v>6</v>
      </c>
      <c r="BO118" s="61">
        <v>4</v>
      </c>
      <c r="BP118" s="61">
        <v>6</v>
      </c>
      <c r="BQ118" s="61">
        <v>8</v>
      </c>
      <c r="BR118" s="61">
        <v>6</v>
      </c>
      <c r="BS118" s="61">
        <v>12</v>
      </c>
      <c r="BT118" s="61">
        <v>8</v>
      </c>
      <c r="BU118" s="61">
        <v>22</v>
      </c>
      <c r="BV118" s="61">
        <v>24</v>
      </c>
      <c r="BW118" s="61">
        <v>10</v>
      </c>
      <c r="BX118" s="61">
        <v>0</v>
      </c>
      <c r="BY118" s="61">
        <v>24</v>
      </c>
      <c r="BZ118" s="61">
        <v>10</v>
      </c>
      <c r="CA118" s="61">
        <v>0</v>
      </c>
      <c r="CB118" s="61">
        <v>10</v>
      </c>
      <c r="CC118" s="61">
        <v>10</v>
      </c>
      <c r="CD118" s="61">
        <v>0</v>
      </c>
      <c r="CE118" s="61">
        <v>26</v>
      </c>
      <c r="CF118" s="61">
        <v>12</v>
      </c>
      <c r="CG118" s="61">
        <v>0</v>
      </c>
      <c r="CH118" s="61">
        <v>4</v>
      </c>
      <c r="CI118" s="61">
        <v>12</v>
      </c>
      <c r="CJ118" s="61">
        <v>0</v>
      </c>
      <c r="CK118" s="61">
        <v>12</v>
      </c>
      <c r="CL118" s="61"/>
      <c r="CM118" s="63">
        <v>10</v>
      </c>
      <c r="CN118" s="61" t="s">
        <v>341</v>
      </c>
      <c r="CO118" s="61" t="s">
        <v>329</v>
      </c>
      <c r="CP118" s="61" t="s">
        <v>487</v>
      </c>
      <c r="CQ118" s="61" t="s">
        <v>338</v>
      </c>
      <c r="CR118" s="61" t="s">
        <v>488</v>
      </c>
      <c r="CS118" s="61" t="s">
        <v>489</v>
      </c>
      <c r="CT118" s="61" t="s">
        <v>490</v>
      </c>
      <c r="CU118" s="61" t="s">
        <v>491</v>
      </c>
      <c r="CV118" s="61" t="s">
        <v>492</v>
      </c>
      <c r="CW118" s="61" t="s">
        <v>332</v>
      </c>
      <c r="CX118" s="61" t="s">
        <v>335</v>
      </c>
      <c r="CY118" s="61" t="s">
        <v>538</v>
      </c>
      <c r="CZ118" s="61" t="s">
        <v>541</v>
      </c>
      <c r="DA118" s="61" t="s">
        <v>544</v>
      </c>
      <c r="DB118" s="61" t="s">
        <v>547</v>
      </c>
      <c r="DC118" s="61" t="s">
        <v>550</v>
      </c>
      <c r="DD118" s="61" t="s">
        <v>553</v>
      </c>
      <c r="DE118" s="61" t="s">
        <v>556</v>
      </c>
      <c r="DF118" s="61" t="s">
        <v>559</v>
      </c>
      <c r="DG118" s="61"/>
      <c r="DH118" s="61"/>
      <c r="DI118" s="61"/>
      <c r="DJ118" s="61"/>
      <c r="DK118" s="61"/>
      <c r="DL118" s="61"/>
      <c r="DM118" s="61"/>
      <c r="DN118" s="61"/>
      <c r="DO118" s="61"/>
      <c r="DP118" s="61"/>
      <c r="DQ118" s="61"/>
      <c r="DR118" s="61"/>
      <c r="DS118" s="61"/>
      <c r="DT118" s="61"/>
      <c r="DU118" s="61"/>
      <c r="DV118" s="61"/>
      <c r="DW118" s="61"/>
      <c r="DX118" s="61"/>
      <c r="DY118" s="61"/>
      <c r="DZ118" s="61">
        <v>15</v>
      </c>
      <c r="EA118" s="61">
        <v>30</v>
      </c>
      <c r="EB118" s="61"/>
      <c r="EC118" s="61"/>
      <c r="ED118" s="61"/>
      <c r="EE118" s="61"/>
      <c r="EF118" s="61"/>
      <c r="EG118" s="61"/>
      <c r="EH118" s="61"/>
      <c r="EI118" s="61"/>
      <c r="EJ118" s="61"/>
      <c r="EK118" s="61"/>
      <c r="EL118" s="61"/>
      <c r="EM118" s="61"/>
      <c r="EN118" s="61"/>
      <c r="EO118" s="61"/>
      <c r="EP118" s="61"/>
      <c r="EQ118" s="61"/>
      <c r="ER118" s="61"/>
      <c r="ES118" s="61"/>
      <c r="ET118" s="61"/>
      <c r="EU118" s="61"/>
      <c r="EV118" s="61"/>
      <c r="EW118" s="61">
        <v>0</v>
      </c>
      <c r="EX118" s="61">
        <v>1</v>
      </c>
      <c r="EY118" s="61">
        <v>2</v>
      </c>
      <c r="EZ118" s="61">
        <v>3</v>
      </c>
      <c r="FA118" s="61">
        <v>4</v>
      </c>
      <c r="FB118" s="61">
        <v>5</v>
      </c>
      <c r="FC118" s="61">
        <v>6</v>
      </c>
      <c r="FD118" s="61">
        <v>7</v>
      </c>
      <c r="FE118" s="61">
        <v>8</v>
      </c>
      <c r="FF118" s="61">
        <v>9</v>
      </c>
      <c r="FG118" s="61">
        <v>10</v>
      </c>
      <c r="FH118" s="61">
        <v>11</v>
      </c>
      <c r="FI118" s="61">
        <v>12</v>
      </c>
      <c r="FJ118" s="61">
        <v>13</v>
      </c>
      <c r="FK118" s="61">
        <v>14</v>
      </c>
      <c r="FL118" s="61">
        <v>15</v>
      </c>
      <c r="FM118" s="61">
        <v>16</v>
      </c>
      <c r="FN118" s="61">
        <v>17</v>
      </c>
      <c r="FO118" s="61">
        <v>18</v>
      </c>
      <c r="FP118" s="61">
        <v>19</v>
      </c>
      <c r="FQ118" s="61">
        <v>20</v>
      </c>
      <c r="FR118" s="61">
        <v>21</v>
      </c>
      <c r="FS118" s="61">
        <v>22</v>
      </c>
      <c r="FT118" s="61">
        <v>23</v>
      </c>
      <c r="FU118" s="61">
        <v>24</v>
      </c>
      <c r="FV118" s="61">
        <v>25</v>
      </c>
      <c r="FW118" s="61">
        <v>26</v>
      </c>
      <c r="FX118" s="61">
        <v>27</v>
      </c>
      <c r="FY118" s="61">
        <v>28</v>
      </c>
      <c r="FZ118" s="61">
        <v>29</v>
      </c>
      <c r="GA118" s="61">
        <v>30</v>
      </c>
      <c r="GB118" s="61">
        <v>31</v>
      </c>
      <c r="GC118" s="61">
        <v>32</v>
      </c>
      <c r="GD118" s="61">
        <v>33</v>
      </c>
      <c r="GE118" s="61">
        <v>34</v>
      </c>
      <c r="GF118" s="61">
        <v>35</v>
      </c>
      <c r="GG118" s="61">
        <v>36</v>
      </c>
      <c r="GH118" s="61">
        <v>37</v>
      </c>
      <c r="GI118" s="61">
        <v>38</v>
      </c>
      <c r="GJ118" s="61">
        <v>39</v>
      </c>
      <c r="GK118" s="61">
        <v>40</v>
      </c>
      <c r="GL118" s="61">
        <v>41</v>
      </c>
      <c r="GM118" s="61">
        <v>42</v>
      </c>
      <c r="GN118" s="61">
        <v>43</v>
      </c>
      <c r="GO118" s="61">
        <v>44</v>
      </c>
      <c r="GP118" s="61">
        <v>45</v>
      </c>
      <c r="GQ118" s="61">
        <v>46</v>
      </c>
      <c r="GR118" s="61">
        <v>47</v>
      </c>
      <c r="GS118" s="61">
        <v>48</v>
      </c>
      <c r="GT118" s="61">
        <v>49</v>
      </c>
      <c r="GU118" s="61">
        <v>50</v>
      </c>
      <c r="GV118" s="61"/>
      <c r="GW118" s="61"/>
      <c r="GX118" s="61"/>
      <c r="GZ118" s="60">
        <v>0</v>
      </c>
      <c r="HA118" s="60">
        <v>1</v>
      </c>
      <c r="HB118" s="60">
        <v>2</v>
      </c>
      <c r="HC118" s="60">
        <v>3</v>
      </c>
      <c r="HD118" s="60">
        <v>4</v>
      </c>
      <c r="HE118" s="60">
        <v>5</v>
      </c>
      <c r="HF118" s="60">
        <v>6</v>
      </c>
      <c r="HG118" s="60">
        <v>7</v>
      </c>
      <c r="HH118" s="60">
        <v>8</v>
      </c>
      <c r="HI118" s="60">
        <v>9</v>
      </c>
      <c r="HJ118" s="60">
        <v>10</v>
      </c>
      <c r="HK118" s="60">
        <v>11</v>
      </c>
      <c r="HL118" s="60">
        <v>12</v>
      </c>
      <c r="HM118" s="60">
        <v>13</v>
      </c>
      <c r="HN118" s="60">
        <v>14</v>
      </c>
      <c r="HO118" s="60">
        <v>15</v>
      </c>
      <c r="HP118" s="60">
        <v>16</v>
      </c>
      <c r="HQ118" s="60">
        <v>17</v>
      </c>
      <c r="HR118" s="60">
        <v>18</v>
      </c>
      <c r="HS118" s="60">
        <v>19</v>
      </c>
      <c r="HT118" s="60">
        <v>20</v>
      </c>
      <c r="HW118" s="61">
        <v>0</v>
      </c>
      <c r="HX118" s="61">
        <v>1</v>
      </c>
      <c r="HY118" s="61">
        <v>2</v>
      </c>
      <c r="HZ118" s="61">
        <v>3</v>
      </c>
      <c r="IA118" s="61">
        <v>4</v>
      </c>
      <c r="IB118" s="61">
        <v>5</v>
      </c>
      <c r="IC118" s="61">
        <v>6</v>
      </c>
      <c r="ID118" s="61">
        <v>7</v>
      </c>
      <c r="IE118" s="61">
        <v>8</v>
      </c>
      <c r="IF118" s="61">
        <v>9</v>
      </c>
      <c r="IG118" s="61">
        <v>10</v>
      </c>
      <c r="IH118" s="61">
        <v>11</v>
      </c>
      <c r="II118" s="61">
        <v>12</v>
      </c>
      <c r="IJ118" s="61">
        <v>13</v>
      </c>
      <c r="IK118" s="61">
        <v>14</v>
      </c>
      <c r="IL118" s="61">
        <v>15</v>
      </c>
      <c r="IM118" s="61">
        <v>16</v>
      </c>
      <c r="IN118" s="61">
        <v>17</v>
      </c>
      <c r="IO118" s="61">
        <v>18</v>
      </c>
      <c r="IP118" s="61">
        <v>19</v>
      </c>
      <c r="IQ118" s="61">
        <v>20</v>
      </c>
      <c r="IT118" s="60">
        <f t="shared" si="69"/>
        <v>0</v>
      </c>
      <c r="IU118" s="60">
        <f t="shared" si="70"/>
        <v>2</v>
      </c>
      <c r="IV118" s="60">
        <f t="shared" si="71"/>
        <v>4</v>
      </c>
      <c r="IW118" s="60">
        <f t="shared" si="72"/>
        <v>6</v>
      </c>
      <c r="IX118" s="60">
        <f t="shared" si="73"/>
        <v>8</v>
      </c>
      <c r="IY118" s="60">
        <f t="shared" si="74"/>
        <v>10</v>
      </c>
      <c r="IZ118" s="60">
        <f t="shared" si="75"/>
        <v>12</v>
      </c>
      <c r="JA118" s="60">
        <f t="shared" si="76"/>
        <v>14</v>
      </c>
      <c r="JB118" s="60">
        <f t="shared" si="77"/>
        <v>16</v>
      </c>
      <c r="JC118" s="60">
        <f t="shared" si="78"/>
        <v>18</v>
      </c>
      <c r="JD118" s="60">
        <f t="shared" si="79"/>
        <v>20</v>
      </c>
      <c r="JE118" s="60">
        <f t="shared" si="80"/>
        <v>22</v>
      </c>
      <c r="JF118" s="60">
        <f t="shared" si="81"/>
        <v>24</v>
      </c>
      <c r="JG118" s="60">
        <f t="shared" si="82"/>
        <v>26</v>
      </c>
      <c r="JH118" s="60">
        <f t="shared" si="83"/>
        <v>28</v>
      </c>
      <c r="JI118" s="60">
        <f t="shared" si="84"/>
        <v>30</v>
      </c>
      <c r="JJ118" s="60">
        <f t="shared" si="85"/>
        <v>32</v>
      </c>
      <c r="JK118" s="60">
        <f t="shared" si="86"/>
        <v>34</v>
      </c>
      <c r="JL118" s="60">
        <f t="shared" si="87"/>
        <v>36</v>
      </c>
      <c r="JM118" s="60">
        <f t="shared" si="88"/>
        <v>38</v>
      </c>
      <c r="JN118" s="60">
        <f t="shared" si="89"/>
        <v>40</v>
      </c>
    </row>
    <row r="119" spans="1:293" x14ac:dyDescent="0.25">
      <c r="A119" s="8"/>
      <c r="B119" s="5" t="s">
        <v>116</v>
      </c>
      <c r="C119" s="8"/>
      <c r="D119" s="9"/>
      <c r="E119" s="9"/>
      <c r="F119" s="17" t="str">
        <f>IF(L119="PSRM10X90F","PROPOZYCJA KOTEW- DO WERFIKACJI",IF(L119="-------","",""))</f>
        <v>PROPOZYCJA KOTEW- DO WERFIKACJI</v>
      </c>
      <c r="G119" s="9"/>
      <c r="H119" s="9"/>
      <c r="I119" s="9"/>
      <c r="J119" s="9"/>
      <c r="K119" s="9"/>
      <c r="L119" s="6" t="str">
        <f>IF(E108=$Z$104,"-------",IF(E108=$Z$105,"PSRM10X90F",IF(E108=$Z$106,"-------",IF(E108=$Z$107,"SSZ8X30E A2",0))))</f>
        <v>PSRM10X90F</v>
      </c>
      <c r="M119" s="11">
        <f>INDEX(cennik!$C$2:$L$529,MATCH($L119,cennik!$B$2:$B$522,0),MATCH(M$104,cennik!$C$1:$L$1,0))</f>
        <v>650093</v>
      </c>
      <c r="N119" s="11" t="str">
        <f>INDEX(cennik!$C$2:$L$529,MATCH($L119,cennik!$B$2:$B$522,0),MATCH(N$104,cennik!$C$1:$L$1,0))</f>
        <v>szt.</v>
      </c>
      <c r="O119" s="11">
        <f>IF(E108=$Z$104,0,IF(E108=$Z$105,O105*4,IF(E108=$Z$106,0,IF(E108=$Z$107,ROUNDUP((O105*2)/100,0),0))))</f>
        <v>0</v>
      </c>
      <c r="P119" s="34">
        <f>INDEX(cennik!$C$2:$L$529,MATCH($L119,cennik!$B$2:$B$522,0),MATCH(P$104,cennik!$C$1:$L$1,0))</f>
        <v>3.29</v>
      </c>
      <c r="Q119" s="34">
        <f t="shared" si="93"/>
        <v>0</v>
      </c>
      <c r="R119" s="35">
        <f t="shared" si="28"/>
        <v>0</v>
      </c>
      <c r="S119" s="34">
        <f t="shared" si="29"/>
        <v>3.29</v>
      </c>
      <c r="T119" s="34">
        <f t="shared" si="94"/>
        <v>0</v>
      </c>
      <c r="U119" s="34">
        <f>INDEX(cennik!$C$2:$L$529,MATCH($L119,cennik!$B$2:$B$522,0),MATCH(U$104,cennik!$C$1:$L$1,0))*O119</f>
        <v>0</v>
      </c>
      <c r="V119" s="61"/>
      <c r="W119" s="142">
        <f t="shared" si="30"/>
        <v>0</v>
      </c>
      <c r="X119" s="61" t="s">
        <v>478</v>
      </c>
      <c r="Y119" s="61">
        <v>2150</v>
      </c>
      <c r="Z119" s="61" t="s">
        <v>306</v>
      </c>
      <c r="AA119" s="61">
        <v>2018</v>
      </c>
      <c r="AB119" s="61" t="s">
        <v>838</v>
      </c>
      <c r="AC1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</f>
        <v>0</v>
      </c>
      <c r="AD1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</f>
        <v>0</v>
      </c>
      <c r="AE1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</f>
        <v>0</v>
      </c>
      <c r="AF1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)*C109</f>
        <v>0</v>
      </c>
      <c r="AG1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)*C109</f>
        <v>0</v>
      </c>
      <c r="AH1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)*C109</f>
        <v>0</v>
      </c>
      <c r="AI119" s="61">
        <f t="shared" si="90"/>
        <v>0</v>
      </c>
      <c r="AJ119" s="61">
        <f t="shared" si="91"/>
        <v>0</v>
      </c>
      <c r="AK119" s="61">
        <f t="shared" si="92"/>
        <v>0</v>
      </c>
      <c r="AL119" s="61" t="s">
        <v>19</v>
      </c>
      <c r="AM119" s="61">
        <v>0</v>
      </c>
      <c r="AN119" s="61">
        <v>0</v>
      </c>
      <c r="AO119" s="61">
        <v>0</v>
      </c>
      <c r="AP119" s="61">
        <v>2</v>
      </c>
      <c r="AQ119" s="61">
        <v>0</v>
      </c>
      <c r="AR119" s="61">
        <v>2</v>
      </c>
      <c r="AS119" s="61">
        <v>4</v>
      </c>
      <c r="AT119" s="61">
        <v>0</v>
      </c>
      <c r="AU119" s="61">
        <v>4</v>
      </c>
      <c r="AV119" s="61">
        <v>4</v>
      </c>
      <c r="AW119" s="61">
        <v>2</v>
      </c>
      <c r="AX119" s="61">
        <v>4</v>
      </c>
      <c r="AY119" s="61">
        <v>4</v>
      </c>
      <c r="AZ119" s="61">
        <v>6</v>
      </c>
      <c r="BA119" s="61">
        <v>6</v>
      </c>
      <c r="BB119" s="61">
        <v>6</v>
      </c>
      <c r="BC119" s="61">
        <v>6</v>
      </c>
      <c r="BD119" s="61">
        <v>4</v>
      </c>
      <c r="BE119" s="61">
        <v>8</v>
      </c>
      <c r="BF119" s="61">
        <v>8</v>
      </c>
      <c r="BG119" s="61">
        <v>8</v>
      </c>
      <c r="BH119" s="61">
        <v>8</v>
      </c>
      <c r="BI119" s="61">
        <v>4</v>
      </c>
      <c r="BJ119" s="61">
        <v>10</v>
      </c>
      <c r="BK119" s="61">
        <v>10</v>
      </c>
      <c r="BL119" s="61">
        <v>8</v>
      </c>
      <c r="BM119" s="61">
        <v>10</v>
      </c>
      <c r="BN119" s="61">
        <v>12</v>
      </c>
      <c r="BO119" s="61">
        <v>12</v>
      </c>
      <c r="BP119" s="61">
        <v>12</v>
      </c>
      <c r="BQ119" s="61">
        <v>12</v>
      </c>
      <c r="BR119" s="61">
        <v>12</v>
      </c>
      <c r="BS119" s="61">
        <v>8</v>
      </c>
      <c r="BT119" s="61">
        <v>14</v>
      </c>
      <c r="BU119" s="61">
        <v>0</v>
      </c>
      <c r="BV119" s="61">
        <v>0</v>
      </c>
      <c r="BW119" s="61">
        <v>14</v>
      </c>
      <c r="BX119" s="61">
        <v>22</v>
      </c>
      <c r="BY119" s="61">
        <v>2</v>
      </c>
      <c r="BZ119" s="61">
        <v>16</v>
      </c>
      <c r="CA119" s="61">
        <v>26</v>
      </c>
      <c r="CB119" s="61">
        <v>16</v>
      </c>
      <c r="CC119" s="61">
        <v>18</v>
      </c>
      <c r="CD119" s="61">
        <v>28</v>
      </c>
      <c r="CE119" s="61">
        <v>4</v>
      </c>
      <c r="CF119" s="61">
        <v>18</v>
      </c>
      <c r="CG119" s="61">
        <v>30</v>
      </c>
      <c r="CH119" s="61">
        <v>26</v>
      </c>
      <c r="CI119" s="61">
        <v>20</v>
      </c>
      <c r="CJ119" s="61">
        <v>32</v>
      </c>
      <c r="CK119" s="61">
        <v>20</v>
      </c>
      <c r="CL119" s="61"/>
      <c r="CM119" s="63">
        <v>15</v>
      </c>
      <c r="CN119" s="61" t="s">
        <v>342</v>
      </c>
      <c r="CO119" s="61" t="s">
        <v>330</v>
      </c>
      <c r="CP119" s="61" t="s">
        <v>493</v>
      </c>
      <c r="CQ119" s="61" t="s">
        <v>339</v>
      </c>
      <c r="CR119" s="61" t="s">
        <v>494</v>
      </c>
      <c r="CS119" s="61" t="s">
        <v>495</v>
      </c>
      <c r="CT119" s="61" t="s">
        <v>496</v>
      </c>
      <c r="CU119" s="61" t="s">
        <v>497</v>
      </c>
      <c r="CV119" s="61" t="s">
        <v>498</v>
      </c>
      <c r="CW119" s="61" t="s">
        <v>333</v>
      </c>
      <c r="CX119" s="61" t="s">
        <v>336</v>
      </c>
      <c r="CY119" s="61" t="s">
        <v>539</v>
      </c>
      <c r="CZ119" s="61" t="s">
        <v>542</v>
      </c>
      <c r="DA119" s="61" t="s">
        <v>545</v>
      </c>
      <c r="DB119" s="61" t="s">
        <v>548</v>
      </c>
      <c r="DC119" s="61" t="s">
        <v>551</v>
      </c>
      <c r="DD119" s="61" t="s">
        <v>554</v>
      </c>
      <c r="DE119" s="61" t="s">
        <v>557</v>
      </c>
      <c r="DF119" s="61" t="s">
        <v>560</v>
      </c>
      <c r="DG119" s="61"/>
      <c r="DH119" s="61"/>
      <c r="DI119" s="61"/>
      <c r="DJ119" s="61"/>
      <c r="DK119" s="61"/>
      <c r="DL119" s="61"/>
      <c r="DM119" s="61"/>
      <c r="DN119" s="61"/>
      <c r="DO119" s="61"/>
      <c r="DP119" s="61"/>
      <c r="DQ119" s="61"/>
      <c r="DR119" s="61"/>
      <c r="DS119" s="61"/>
      <c r="DT119" s="61"/>
      <c r="DU119" s="61"/>
      <c r="DV119" s="61"/>
      <c r="DW119" s="61"/>
      <c r="DX119" s="61"/>
      <c r="DY119" s="61"/>
      <c r="DZ119" s="61">
        <v>16</v>
      </c>
      <c r="EA119" s="61">
        <v>32</v>
      </c>
      <c r="EB119" s="61"/>
      <c r="EC119" s="61"/>
      <c r="ED119" s="61"/>
      <c r="EE119" s="61"/>
      <c r="EF119" s="61"/>
      <c r="EG119" s="61"/>
      <c r="EH119" s="61"/>
      <c r="EI119" s="61"/>
      <c r="EJ119" s="61"/>
      <c r="EK119" s="61"/>
      <c r="EL119" s="61"/>
      <c r="EM119" s="61"/>
      <c r="EN119" s="61"/>
      <c r="EO119" s="61"/>
      <c r="EP119" s="61"/>
      <c r="EQ119" s="61"/>
      <c r="ER119" s="61"/>
      <c r="ES119" s="61"/>
      <c r="ET119" s="61"/>
      <c r="EU119" s="61"/>
      <c r="EV119" s="61" t="s">
        <v>210</v>
      </c>
      <c r="EW119" s="61">
        <v>0</v>
      </c>
      <c r="EX119" s="61">
        <v>0</v>
      </c>
      <c r="EY119" s="61">
        <v>0</v>
      </c>
      <c r="EZ119" s="61">
        <v>0</v>
      </c>
      <c r="FA119" s="61">
        <v>2</v>
      </c>
      <c r="FB119" s="61">
        <v>0</v>
      </c>
      <c r="FC119" s="61">
        <v>0</v>
      </c>
      <c r="FD119" s="61">
        <v>2</v>
      </c>
      <c r="FE119" s="61">
        <v>0</v>
      </c>
      <c r="FF119" s="61">
        <v>0</v>
      </c>
      <c r="FG119" s="61">
        <v>0</v>
      </c>
      <c r="FH119" s="61">
        <v>2</v>
      </c>
      <c r="FI119" s="61">
        <v>0</v>
      </c>
      <c r="FJ119" s="61">
        <v>0</v>
      </c>
      <c r="FK119" s="61">
        <v>2</v>
      </c>
      <c r="FL119" s="61">
        <v>0</v>
      </c>
      <c r="FM119" s="61">
        <v>0</v>
      </c>
      <c r="FN119" s="61">
        <v>0</v>
      </c>
      <c r="FO119" s="61">
        <v>0</v>
      </c>
      <c r="FP119" s="61">
        <v>0</v>
      </c>
      <c r="FQ119" s="61">
        <v>0</v>
      </c>
      <c r="FR119" s="61">
        <v>0</v>
      </c>
      <c r="FS119" s="61">
        <v>0</v>
      </c>
      <c r="FT119" s="61">
        <v>0</v>
      </c>
      <c r="FU119" s="61">
        <v>0</v>
      </c>
      <c r="FV119" s="61">
        <v>0</v>
      </c>
      <c r="FW119" s="61">
        <v>0</v>
      </c>
      <c r="FX119" s="61">
        <v>0</v>
      </c>
      <c r="FY119" s="61">
        <v>0</v>
      </c>
      <c r="FZ119" s="61">
        <v>0</v>
      </c>
      <c r="GA119" s="61">
        <v>0</v>
      </c>
      <c r="GB119" s="61">
        <v>0</v>
      </c>
      <c r="GC119" s="61">
        <v>0</v>
      </c>
      <c r="GD119" s="61">
        <v>0</v>
      </c>
      <c r="GE119" s="61">
        <v>0</v>
      </c>
      <c r="GF119" s="61">
        <v>0</v>
      </c>
      <c r="GG119" s="61">
        <v>0</v>
      </c>
      <c r="GH119" s="61">
        <v>0</v>
      </c>
      <c r="GI119" s="61">
        <v>0</v>
      </c>
      <c r="GJ119" s="61">
        <v>0</v>
      </c>
      <c r="GK119" s="61">
        <v>0</v>
      </c>
      <c r="GL119" s="61">
        <v>0</v>
      </c>
      <c r="GM119" s="61">
        <v>0</v>
      </c>
      <c r="GN119" s="61">
        <v>0</v>
      </c>
      <c r="GO119" s="61">
        <v>0</v>
      </c>
      <c r="GP119" s="61">
        <v>0</v>
      </c>
      <c r="GQ119" s="61">
        <v>0</v>
      </c>
      <c r="GR119" s="61">
        <v>0</v>
      </c>
      <c r="GS119" s="61">
        <v>0</v>
      </c>
      <c r="GT119" s="61">
        <v>0</v>
      </c>
      <c r="GU119" s="61">
        <v>0</v>
      </c>
      <c r="GV119" s="61"/>
      <c r="GW119" s="61"/>
      <c r="GX119" s="61"/>
      <c r="GY119" s="60" t="s">
        <v>710</v>
      </c>
      <c r="GZ119" s="60">
        <v>0</v>
      </c>
      <c r="HA119" s="60">
        <v>2</v>
      </c>
      <c r="HB119" s="60">
        <v>0</v>
      </c>
      <c r="HC119" s="60">
        <v>4</v>
      </c>
      <c r="HD119" s="60">
        <v>2</v>
      </c>
      <c r="HE119" s="60">
        <v>0</v>
      </c>
      <c r="HF119" s="60">
        <v>4</v>
      </c>
      <c r="HG119" s="60">
        <v>2</v>
      </c>
      <c r="HH119" s="60">
        <v>0</v>
      </c>
      <c r="HI119" s="60">
        <v>4</v>
      </c>
      <c r="HJ119" s="60">
        <v>2</v>
      </c>
      <c r="HK119" s="60">
        <v>0</v>
      </c>
      <c r="HL119" s="60">
        <v>4</v>
      </c>
      <c r="HM119" s="60">
        <v>2</v>
      </c>
      <c r="HN119" s="60">
        <v>0</v>
      </c>
      <c r="HO119" s="60">
        <v>4</v>
      </c>
      <c r="HP119" s="60">
        <v>2</v>
      </c>
      <c r="HQ119" s="60">
        <v>0</v>
      </c>
      <c r="HR119" s="60">
        <v>4</v>
      </c>
      <c r="HS119" s="60">
        <v>2</v>
      </c>
      <c r="HT119" s="60">
        <v>0</v>
      </c>
      <c r="HV119" s="60" t="s">
        <v>826</v>
      </c>
      <c r="HW119" s="61">
        <v>0</v>
      </c>
      <c r="HX119" s="61">
        <v>2</v>
      </c>
      <c r="HY119" s="61">
        <v>0</v>
      </c>
      <c r="HZ119" s="61">
        <v>2</v>
      </c>
      <c r="IA119" s="61">
        <v>0</v>
      </c>
      <c r="IB119" s="61">
        <v>2</v>
      </c>
      <c r="IC119" s="61">
        <v>4</v>
      </c>
      <c r="ID119" s="61">
        <v>2</v>
      </c>
      <c r="IE119" s="61">
        <v>4</v>
      </c>
      <c r="IF119" s="61">
        <v>0</v>
      </c>
      <c r="IG119" s="61">
        <v>4</v>
      </c>
      <c r="IH119" s="61">
        <v>0</v>
      </c>
      <c r="II119" s="61">
        <v>4</v>
      </c>
      <c r="IJ119" s="61">
        <v>0</v>
      </c>
      <c r="IK119" s="61">
        <v>2</v>
      </c>
      <c r="IL119" s="61">
        <v>0</v>
      </c>
      <c r="IM119" s="61">
        <v>2</v>
      </c>
      <c r="IN119" s="61">
        <v>0</v>
      </c>
      <c r="IO119" s="61">
        <v>2</v>
      </c>
      <c r="IP119" s="61">
        <v>4</v>
      </c>
      <c r="IQ119" s="61">
        <v>2</v>
      </c>
      <c r="IS119" s="60" t="s">
        <v>826</v>
      </c>
      <c r="IT119" s="60">
        <f t="shared" si="69"/>
        <v>0</v>
      </c>
      <c r="IU119" s="60">
        <f t="shared" si="70"/>
        <v>4</v>
      </c>
      <c r="IV119" s="60">
        <f t="shared" si="71"/>
        <v>0</v>
      </c>
      <c r="IW119" s="60">
        <f t="shared" si="72"/>
        <v>4</v>
      </c>
      <c r="IX119" s="60">
        <f t="shared" si="73"/>
        <v>0</v>
      </c>
      <c r="IY119" s="60">
        <f t="shared" si="74"/>
        <v>4</v>
      </c>
      <c r="IZ119" s="60">
        <f t="shared" si="75"/>
        <v>8</v>
      </c>
      <c r="JA119" s="60">
        <f t="shared" si="76"/>
        <v>4</v>
      </c>
      <c r="JB119" s="60">
        <f t="shared" si="77"/>
        <v>8</v>
      </c>
      <c r="JC119" s="60">
        <f t="shared" si="78"/>
        <v>0</v>
      </c>
      <c r="JD119" s="60">
        <f t="shared" si="79"/>
        <v>8</v>
      </c>
      <c r="JE119" s="60">
        <f t="shared" si="80"/>
        <v>0</v>
      </c>
      <c r="JF119" s="60">
        <f t="shared" si="81"/>
        <v>8</v>
      </c>
      <c r="JG119" s="60">
        <f t="shared" si="82"/>
        <v>0</v>
      </c>
      <c r="JH119" s="60">
        <f t="shared" si="83"/>
        <v>4</v>
      </c>
      <c r="JI119" s="60">
        <f t="shared" si="84"/>
        <v>0</v>
      </c>
      <c r="JJ119" s="60">
        <f t="shared" si="85"/>
        <v>4</v>
      </c>
      <c r="JK119" s="60">
        <f t="shared" si="86"/>
        <v>0</v>
      </c>
      <c r="JL119" s="60">
        <f t="shared" si="87"/>
        <v>4</v>
      </c>
      <c r="JM119" s="60">
        <f t="shared" si="88"/>
        <v>8</v>
      </c>
      <c r="JN119" s="60">
        <f t="shared" si="89"/>
        <v>4</v>
      </c>
    </row>
    <row r="120" spans="1:293" x14ac:dyDescent="0.25">
      <c r="A120" s="9"/>
      <c r="B120" s="6"/>
      <c r="C120" s="9"/>
      <c r="D120" s="9"/>
      <c r="E120" s="9"/>
      <c r="F120" s="9"/>
      <c r="G120" s="9"/>
      <c r="H120" s="9"/>
      <c r="I120" s="9"/>
      <c r="J120" s="9"/>
      <c r="K120" s="9"/>
      <c r="L120" s="6" t="str">
        <f>IF(E108=$Z$104,"PW8E A2",IF(E108=$Z$105,"PW8E A2",IF(E108=$Z$106,"PW8E A2",IF(E108=$Z$107,"PW8E A2",0))))</f>
        <v>PW8E A2</v>
      </c>
      <c r="M120" s="11">
        <f>INDEX(cennik!$C$2:$L$529,MATCH($L120,cennik!$B$2:$B$522,0),MATCH(M$104,cennik!$C$1:$L$1,0))</f>
        <v>660944</v>
      </c>
      <c r="N120" s="11" t="str">
        <f>INDEX(cennik!$C$2:$L$529,MATCH($L120,cennik!$B$2:$B$522,0),MATCH(N$104,cennik!$C$1:$L$1,0))</f>
        <v>100 szt.</v>
      </c>
      <c r="O120" s="11">
        <f>ROUNDUP(((IF(E108=$Z$104,(O107*2)+((SUM(AK131:AK146)*2)),IF(E108=$Z$105,(O107*2)+((SUM(AK131:AK146)*2)),IF(E108=$Z$106,(O107*2)+((SUM(AK131:AK146)*2)),IF(E108=$Z$107,(O105*2)+(O107*2)+((SUM(AK131:AK146)*2)),0))))))/100,0)</f>
        <v>0</v>
      </c>
      <c r="P120" s="34">
        <f>INDEX(cennik!$C$2:$L$529,MATCH($L120,cennik!$B$2:$B$522,0),MATCH(P$104,cennik!$C$1:$L$1,0))</f>
        <v>21.26</v>
      </c>
      <c r="Q120" s="34">
        <f t="shared" si="93"/>
        <v>0</v>
      </c>
      <c r="R120" s="35">
        <f t="shared" si="28"/>
        <v>0</v>
      </c>
      <c r="S120" s="34">
        <f t="shared" si="29"/>
        <v>21.26</v>
      </c>
      <c r="T120" s="34">
        <f t="shared" si="94"/>
        <v>0</v>
      </c>
      <c r="U120" s="34">
        <f>INDEX(cennik!$C$2:$L$529,MATCH($L120,cennik!$B$2:$B$522,0),MATCH(U$104,cennik!$C$1:$L$1,0))*O120</f>
        <v>0</v>
      </c>
      <c r="V120" s="61"/>
      <c r="W120" s="61"/>
      <c r="X120" s="61" t="s">
        <v>479</v>
      </c>
      <c r="Y120" s="61">
        <v>2200</v>
      </c>
      <c r="Z120" s="61" t="s">
        <v>530</v>
      </c>
      <c r="AA120" s="61">
        <v>2056</v>
      </c>
      <c r="AB120" s="61">
        <f t="shared" ref="AB120:AB135" si="95">ROUNDUP((((IF(((INT((((A104*$AB$117)+((A104-1)*20))/2000))*2000)+200)&gt;=(((A104*$AB$117)+((A104-1)*20))),(INT((((A104*$AB$117)+((A104-1)*20))/2000))),IF(((INT((((A104*$AB$117)+((A104-1)*20))/2000))*2000)+200)&lt;(((A104*$AB$117)+((A104-1)*20))),(INT((((A104*$AB$117)+((A104-1)*20))/2000))+1),0)))*C104)/2),0)</f>
        <v>0</v>
      </c>
      <c r="AC1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</f>
        <v>0</v>
      </c>
      <c r="AD1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</f>
        <v>0</v>
      </c>
      <c r="AE1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</f>
        <v>0</v>
      </c>
      <c r="AF1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)*C110</f>
        <v>0</v>
      </c>
      <c r="AG1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)*C110</f>
        <v>0</v>
      </c>
      <c r="AH1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)*C110</f>
        <v>0</v>
      </c>
      <c r="AI120" s="61">
        <f t="shared" si="90"/>
        <v>0</v>
      </c>
      <c r="AJ120" s="61">
        <f t="shared" si="91"/>
        <v>0</v>
      </c>
      <c r="AK120" s="61">
        <f t="shared" si="92"/>
        <v>0</v>
      </c>
      <c r="AL120" s="61" t="s">
        <v>408</v>
      </c>
      <c r="AM120" s="61">
        <v>0</v>
      </c>
      <c r="AN120" s="61">
        <f>((((SUM(AN115:AN119))/2)-1))*4</f>
        <v>0</v>
      </c>
      <c r="AO120" s="61">
        <f>((((SUM(AO115:AO119))/2)-1))*4</f>
        <v>0</v>
      </c>
      <c r="AP120" s="61">
        <f t="shared" ref="AP120:CK120" si="96">((((SUM(AP115:AP119))/2)-1))*4</f>
        <v>0</v>
      </c>
      <c r="AQ120" s="61">
        <f t="shared" si="96"/>
        <v>4</v>
      </c>
      <c r="AR120" s="61">
        <f t="shared" si="96"/>
        <v>4</v>
      </c>
      <c r="AS120" s="61">
        <f t="shared" si="96"/>
        <v>4</v>
      </c>
      <c r="AT120" s="61">
        <f t="shared" si="96"/>
        <v>8</v>
      </c>
      <c r="AU120" s="61">
        <f t="shared" si="96"/>
        <v>8</v>
      </c>
      <c r="AV120" s="61">
        <f t="shared" si="96"/>
        <v>8</v>
      </c>
      <c r="AW120" s="61">
        <f t="shared" si="96"/>
        <v>12</v>
      </c>
      <c r="AX120" s="61">
        <f t="shared" si="96"/>
        <v>12</v>
      </c>
      <c r="AY120" s="61">
        <f t="shared" si="96"/>
        <v>12</v>
      </c>
      <c r="AZ120" s="61">
        <f t="shared" si="96"/>
        <v>16</v>
      </c>
      <c r="BA120" s="61">
        <f t="shared" si="96"/>
        <v>16</v>
      </c>
      <c r="BB120" s="61">
        <f t="shared" si="96"/>
        <v>16</v>
      </c>
      <c r="BC120" s="61">
        <f t="shared" si="96"/>
        <v>20</v>
      </c>
      <c r="BD120" s="61">
        <f t="shared" si="96"/>
        <v>20</v>
      </c>
      <c r="BE120" s="61">
        <f t="shared" si="96"/>
        <v>20</v>
      </c>
      <c r="BF120" s="61">
        <f t="shared" si="96"/>
        <v>24</v>
      </c>
      <c r="BG120" s="61">
        <f t="shared" si="96"/>
        <v>24</v>
      </c>
      <c r="BH120" s="61">
        <f t="shared" si="96"/>
        <v>24</v>
      </c>
      <c r="BI120" s="61">
        <f t="shared" si="96"/>
        <v>28</v>
      </c>
      <c r="BJ120" s="61">
        <f t="shared" si="96"/>
        <v>28</v>
      </c>
      <c r="BK120" s="61">
        <f t="shared" si="96"/>
        <v>28</v>
      </c>
      <c r="BL120" s="61">
        <f t="shared" si="96"/>
        <v>32</v>
      </c>
      <c r="BM120" s="61">
        <f t="shared" si="96"/>
        <v>32</v>
      </c>
      <c r="BN120" s="61">
        <f t="shared" si="96"/>
        <v>32</v>
      </c>
      <c r="BO120" s="61">
        <f t="shared" si="96"/>
        <v>36</v>
      </c>
      <c r="BP120" s="61">
        <f t="shared" si="96"/>
        <v>36</v>
      </c>
      <c r="BQ120" s="61">
        <f t="shared" si="96"/>
        <v>36</v>
      </c>
      <c r="BR120" s="61">
        <f t="shared" si="96"/>
        <v>40</v>
      </c>
      <c r="BS120" s="61">
        <f t="shared" si="96"/>
        <v>40</v>
      </c>
      <c r="BT120" s="61">
        <f t="shared" si="96"/>
        <v>40</v>
      </c>
      <c r="BU120" s="61">
        <f t="shared" si="96"/>
        <v>44</v>
      </c>
      <c r="BV120" s="61">
        <f t="shared" si="96"/>
        <v>44</v>
      </c>
      <c r="BW120" s="61">
        <f t="shared" si="96"/>
        <v>44</v>
      </c>
      <c r="BX120" s="61">
        <f t="shared" si="96"/>
        <v>48</v>
      </c>
      <c r="BY120" s="61">
        <f t="shared" si="96"/>
        <v>48</v>
      </c>
      <c r="BZ120" s="61">
        <f t="shared" si="96"/>
        <v>48</v>
      </c>
      <c r="CA120" s="61">
        <f t="shared" si="96"/>
        <v>48</v>
      </c>
      <c r="CB120" s="61">
        <f t="shared" si="96"/>
        <v>52</v>
      </c>
      <c r="CC120" s="61">
        <f t="shared" si="96"/>
        <v>52</v>
      </c>
      <c r="CD120" s="61">
        <f t="shared" si="96"/>
        <v>52</v>
      </c>
      <c r="CE120" s="61">
        <f t="shared" si="96"/>
        <v>56</v>
      </c>
      <c r="CF120" s="61">
        <f t="shared" si="96"/>
        <v>56</v>
      </c>
      <c r="CG120" s="61">
        <f t="shared" si="96"/>
        <v>56</v>
      </c>
      <c r="CH120" s="61">
        <f t="shared" si="96"/>
        <v>60</v>
      </c>
      <c r="CI120" s="61">
        <f t="shared" si="96"/>
        <v>60</v>
      </c>
      <c r="CJ120" s="61">
        <f t="shared" si="96"/>
        <v>60</v>
      </c>
      <c r="CK120" s="61">
        <f t="shared" si="96"/>
        <v>64</v>
      </c>
      <c r="CL120" s="61"/>
      <c r="CM120" s="63">
        <v>20</v>
      </c>
      <c r="CN120" s="61" t="s">
        <v>343</v>
      </c>
      <c r="CO120" s="61" t="s">
        <v>331</v>
      </c>
      <c r="CP120" s="61" t="s">
        <v>499</v>
      </c>
      <c r="CQ120" s="61" t="s">
        <v>340</v>
      </c>
      <c r="CR120" s="61" t="s">
        <v>500</v>
      </c>
      <c r="CS120" s="61" t="s">
        <v>501</v>
      </c>
      <c r="CT120" s="61" t="s">
        <v>502</v>
      </c>
      <c r="CU120" s="61" t="s">
        <v>503</v>
      </c>
      <c r="CV120" s="61" t="s">
        <v>504</v>
      </c>
      <c r="CW120" s="61" t="s">
        <v>334</v>
      </c>
      <c r="CX120" s="61" t="s">
        <v>337</v>
      </c>
      <c r="CY120" s="61" t="s">
        <v>540</v>
      </c>
      <c r="CZ120" s="61" t="s">
        <v>543</v>
      </c>
      <c r="DA120" s="61" t="s">
        <v>546</v>
      </c>
      <c r="DB120" s="61" t="s">
        <v>549</v>
      </c>
      <c r="DC120" s="61" t="s">
        <v>552</v>
      </c>
      <c r="DD120" s="61" t="s">
        <v>555</v>
      </c>
      <c r="DE120" s="61" t="s">
        <v>558</v>
      </c>
      <c r="DF120" s="61" t="s">
        <v>561</v>
      </c>
      <c r="DG120" s="61"/>
      <c r="DH120" s="61"/>
      <c r="DI120" s="61"/>
      <c r="DJ120" s="61"/>
      <c r="DK120" s="61"/>
      <c r="DL120" s="61"/>
      <c r="DM120" s="61"/>
      <c r="DN120" s="61"/>
      <c r="DO120" s="61"/>
      <c r="DP120" s="61"/>
      <c r="DQ120" s="61"/>
      <c r="DR120" s="61"/>
      <c r="DS120" s="61"/>
      <c r="DT120" s="61"/>
      <c r="DU120" s="61"/>
      <c r="DV120" s="61"/>
      <c r="DW120" s="61"/>
      <c r="DX120" s="61"/>
      <c r="DY120" s="61"/>
      <c r="DZ120" s="61">
        <v>17</v>
      </c>
      <c r="EA120" s="61">
        <v>34</v>
      </c>
      <c r="EB120" s="61"/>
      <c r="EC120" s="61"/>
      <c r="ED120" s="61"/>
      <c r="EE120" s="61"/>
      <c r="EF120" s="61"/>
      <c r="EG120" s="61"/>
      <c r="EH120" s="61"/>
      <c r="EI120" s="61"/>
      <c r="EJ120" s="61"/>
      <c r="EK120" s="61"/>
      <c r="EL120" s="61"/>
      <c r="EM120" s="61"/>
      <c r="EN120" s="61"/>
      <c r="EO120" s="61"/>
      <c r="EP120" s="61">
        <v>10</v>
      </c>
      <c r="EQ120" s="61">
        <v>15</v>
      </c>
      <c r="ER120" s="61">
        <v>20</v>
      </c>
      <c r="ES120" s="61"/>
      <c r="ET120" s="61"/>
      <c r="EU120" s="61"/>
      <c r="EV120" s="61" t="s">
        <v>9</v>
      </c>
      <c r="EW120" s="61">
        <v>0</v>
      </c>
      <c r="EX120" s="61">
        <v>2</v>
      </c>
      <c r="EY120" s="61">
        <v>0</v>
      </c>
      <c r="EZ120" s="61">
        <v>0</v>
      </c>
      <c r="FA120" s="61">
        <v>0</v>
      </c>
      <c r="FB120" s="61">
        <v>0</v>
      </c>
      <c r="FC120" s="61">
        <v>0</v>
      </c>
      <c r="FD120" s="61">
        <v>0</v>
      </c>
      <c r="FE120" s="61">
        <v>0</v>
      </c>
      <c r="FF120" s="61">
        <v>0</v>
      </c>
      <c r="FG120" s="61">
        <v>0</v>
      </c>
      <c r="FH120" s="61">
        <v>0</v>
      </c>
      <c r="FI120" s="61">
        <v>0</v>
      </c>
      <c r="FJ120" s="61">
        <v>0</v>
      </c>
      <c r="FK120" s="61">
        <v>0</v>
      </c>
      <c r="FL120" s="61">
        <v>0</v>
      </c>
      <c r="FM120" s="61">
        <v>0</v>
      </c>
      <c r="FN120" s="61">
        <v>0</v>
      </c>
      <c r="FO120" s="61">
        <v>0</v>
      </c>
      <c r="FP120" s="61">
        <v>0</v>
      </c>
      <c r="FQ120" s="61">
        <v>0</v>
      </c>
      <c r="FR120" s="61">
        <v>0</v>
      </c>
      <c r="FS120" s="61">
        <v>0</v>
      </c>
      <c r="FT120" s="61">
        <v>0</v>
      </c>
      <c r="FU120" s="61">
        <v>0</v>
      </c>
      <c r="FV120" s="61">
        <v>0</v>
      </c>
      <c r="FW120" s="61">
        <v>0</v>
      </c>
      <c r="FX120" s="61">
        <v>0</v>
      </c>
      <c r="FY120" s="61">
        <v>0</v>
      </c>
      <c r="FZ120" s="61">
        <v>0</v>
      </c>
      <c r="GA120" s="61">
        <v>0</v>
      </c>
      <c r="GB120" s="61">
        <v>0</v>
      </c>
      <c r="GC120" s="61">
        <v>0</v>
      </c>
      <c r="GD120" s="61">
        <v>0</v>
      </c>
      <c r="GE120" s="61">
        <v>0</v>
      </c>
      <c r="GF120" s="61">
        <v>0</v>
      </c>
      <c r="GG120" s="61">
        <v>0</v>
      </c>
      <c r="GH120" s="61">
        <v>0</v>
      </c>
      <c r="GI120" s="61">
        <v>0</v>
      </c>
      <c r="GJ120" s="61">
        <v>0</v>
      </c>
      <c r="GK120" s="61">
        <v>0</v>
      </c>
      <c r="GL120" s="61">
        <v>0</v>
      </c>
      <c r="GM120" s="61">
        <v>0</v>
      </c>
      <c r="GN120" s="61">
        <v>0</v>
      </c>
      <c r="GO120" s="61">
        <v>0</v>
      </c>
      <c r="GP120" s="61">
        <v>0</v>
      </c>
      <c r="GQ120" s="61">
        <v>0</v>
      </c>
      <c r="GR120" s="61">
        <v>0</v>
      </c>
      <c r="GS120" s="61">
        <v>0</v>
      </c>
      <c r="GT120" s="61">
        <v>0</v>
      </c>
      <c r="GU120" s="61">
        <v>0</v>
      </c>
      <c r="GV120" s="61"/>
      <c r="GW120" s="61"/>
      <c r="GX120" s="61"/>
      <c r="GY120" s="60" t="s">
        <v>711</v>
      </c>
      <c r="GZ120" s="60">
        <v>0</v>
      </c>
      <c r="HA120" s="60">
        <v>0</v>
      </c>
      <c r="HB120" s="60">
        <v>2</v>
      </c>
      <c r="HC120" s="60">
        <v>0</v>
      </c>
      <c r="HD120" s="60">
        <v>2</v>
      </c>
      <c r="HE120" s="60">
        <v>4</v>
      </c>
      <c r="HF120" s="60">
        <v>2</v>
      </c>
      <c r="HG120" s="60">
        <v>4</v>
      </c>
      <c r="HH120" s="60">
        <v>6</v>
      </c>
      <c r="HI120" s="60">
        <v>4</v>
      </c>
      <c r="HJ120" s="60">
        <v>6</v>
      </c>
      <c r="HK120" s="60">
        <v>8</v>
      </c>
      <c r="HL120" s="60">
        <v>6</v>
      </c>
      <c r="HM120" s="60">
        <v>8</v>
      </c>
      <c r="HN120" s="60">
        <v>10</v>
      </c>
      <c r="HO120" s="60">
        <v>8</v>
      </c>
      <c r="HP120" s="60">
        <v>10</v>
      </c>
      <c r="HQ120" s="60">
        <v>12</v>
      </c>
      <c r="HR120" s="60">
        <v>10</v>
      </c>
      <c r="HS120" s="60">
        <v>12</v>
      </c>
      <c r="HT120" s="60">
        <v>14</v>
      </c>
      <c r="HV120" s="60" t="s">
        <v>825</v>
      </c>
      <c r="HW120" s="61">
        <v>0</v>
      </c>
      <c r="HX120" s="61">
        <v>0</v>
      </c>
      <c r="HY120" s="61">
        <v>2</v>
      </c>
      <c r="HZ120" s="61">
        <v>2</v>
      </c>
      <c r="IA120" s="61">
        <v>4</v>
      </c>
      <c r="IB120" s="61">
        <v>4</v>
      </c>
      <c r="IC120" s="61">
        <v>4</v>
      </c>
      <c r="ID120" s="61">
        <v>6</v>
      </c>
      <c r="IE120" s="61">
        <v>6</v>
      </c>
      <c r="IF120" s="61">
        <v>10</v>
      </c>
      <c r="IG120" s="61">
        <v>8</v>
      </c>
      <c r="IH120" s="61">
        <v>12</v>
      </c>
      <c r="II120" s="61">
        <v>10</v>
      </c>
      <c r="IJ120" s="61">
        <v>14</v>
      </c>
      <c r="IK120" s="61">
        <v>14</v>
      </c>
      <c r="IL120" s="61">
        <v>16</v>
      </c>
      <c r="IM120" s="61">
        <v>16</v>
      </c>
      <c r="IN120" s="61">
        <v>18</v>
      </c>
      <c r="IO120" s="61">
        <v>18</v>
      </c>
      <c r="IP120" s="61">
        <v>18</v>
      </c>
      <c r="IQ120" s="61">
        <v>20</v>
      </c>
      <c r="IS120" s="60" t="s">
        <v>825</v>
      </c>
      <c r="IT120" s="60">
        <f t="shared" si="69"/>
        <v>0</v>
      </c>
      <c r="IU120" s="60">
        <f t="shared" si="70"/>
        <v>0</v>
      </c>
      <c r="IV120" s="60">
        <f t="shared" si="71"/>
        <v>4</v>
      </c>
      <c r="IW120" s="60">
        <f t="shared" si="72"/>
        <v>4</v>
      </c>
      <c r="IX120" s="60">
        <f t="shared" si="73"/>
        <v>8</v>
      </c>
      <c r="IY120" s="60">
        <f t="shared" si="74"/>
        <v>8</v>
      </c>
      <c r="IZ120" s="60">
        <f t="shared" si="75"/>
        <v>8</v>
      </c>
      <c r="JA120" s="60">
        <f t="shared" si="76"/>
        <v>12</v>
      </c>
      <c r="JB120" s="60">
        <f t="shared" si="77"/>
        <v>12</v>
      </c>
      <c r="JC120" s="60">
        <f t="shared" si="78"/>
        <v>20</v>
      </c>
      <c r="JD120" s="60">
        <f t="shared" si="79"/>
        <v>16</v>
      </c>
      <c r="JE120" s="60">
        <f t="shared" si="80"/>
        <v>24</v>
      </c>
      <c r="JF120" s="60">
        <f t="shared" si="81"/>
        <v>20</v>
      </c>
      <c r="JG120" s="60">
        <f t="shared" si="82"/>
        <v>28</v>
      </c>
      <c r="JH120" s="60">
        <f t="shared" si="83"/>
        <v>28</v>
      </c>
      <c r="JI120" s="60">
        <f t="shared" si="84"/>
        <v>32</v>
      </c>
      <c r="JJ120" s="60">
        <f t="shared" si="85"/>
        <v>32</v>
      </c>
      <c r="JK120" s="60">
        <f t="shared" si="86"/>
        <v>36</v>
      </c>
      <c r="JL120" s="60">
        <f t="shared" si="87"/>
        <v>36</v>
      </c>
      <c r="JM120" s="60">
        <f t="shared" si="88"/>
        <v>36</v>
      </c>
      <c r="JN120" s="60">
        <f t="shared" si="89"/>
        <v>40</v>
      </c>
      <c r="JQ120" s="63"/>
    </row>
    <row r="121" spans="1:293" x14ac:dyDescent="0.25">
      <c r="A121" s="9"/>
      <c r="B121" s="6"/>
      <c r="C121" s="9"/>
      <c r="D121" s="9"/>
      <c r="E121" s="9"/>
      <c r="G121" s="9"/>
      <c r="H121" s="9"/>
      <c r="I121" s="9"/>
      <c r="J121" s="9"/>
      <c r="K121" s="9"/>
      <c r="L121" s="6" t="str">
        <f>IF(E108=$Z$104,"PC50P",IF(E108=$Z$105,"PC50P",IF(E108=$Z$106,"PC50P",IF(E108=$Z$107,"-------",0))))</f>
        <v>PC50P</v>
      </c>
      <c r="M121" s="11">
        <f>INDEX(cennik!$C$2:$L$529,MATCH($L121,cennik!$B$2:$B$522,0),MATCH(M$104,cennik!$C$1:$L$1,0))</f>
        <v>858434</v>
      </c>
      <c r="N121" s="11" t="str">
        <f>INDEX(cennik!$C$2:$L$529,MATCH($L121,cennik!$B$2:$B$522,0),MATCH(N$104,cennik!$C$1:$L$1,0))</f>
        <v>szt.</v>
      </c>
      <c r="O121" s="11">
        <f>IF(E108=$Z$104,O105*2,IF(E108=$Z$105,O105*2,IF(E108=$Z$106,O105*2,IF(E108=$Z$107,0,0))))</f>
        <v>0</v>
      </c>
      <c r="P121" s="34">
        <f>INDEX(cennik!$C$2:$L$529,MATCH($L121,cennik!$B$2:$B$522,0),MATCH(P$104,cennik!$C$1:$L$1,0))</f>
        <v>5.17</v>
      </c>
      <c r="Q121" s="34">
        <f t="shared" si="93"/>
        <v>0</v>
      </c>
      <c r="R121" s="35">
        <f t="shared" si="28"/>
        <v>0</v>
      </c>
      <c r="S121" s="34">
        <f t="shared" si="29"/>
        <v>5.17</v>
      </c>
      <c r="T121" s="34">
        <f t="shared" si="94"/>
        <v>0</v>
      </c>
      <c r="U121" s="34">
        <f>INDEX(cennik!$C$2:$L$529,MATCH($L121,cennik!$B$2:$B$522,0),MATCH(U$104,cennik!$C$1:$L$1,0))*O121</f>
        <v>0</v>
      </c>
      <c r="V121" s="61"/>
      <c r="W121" s="61"/>
      <c r="X121" s="61" t="s">
        <v>508</v>
      </c>
      <c r="Y121" s="61">
        <v>2250</v>
      </c>
      <c r="Z121" s="61" t="s">
        <v>531</v>
      </c>
      <c r="AA121" s="61">
        <v>2094</v>
      </c>
      <c r="AB121" s="61">
        <f t="shared" si="95"/>
        <v>0</v>
      </c>
      <c r="AC1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</f>
        <v>0</v>
      </c>
      <c r="AD1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</f>
        <v>0</v>
      </c>
      <c r="AE1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</f>
        <v>0</v>
      </c>
      <c r="AF1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)*C111</f>
        <v>0</v>
      </c>
      <c r="AG1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)*C111</f>
        <v>0</v>
      </c>
      <c r="AH1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)*C111</f>
        <v>0</v>
      </c>
      <c r="AI121" s="61">
        <f t="shared" si="90"/>
        <v>0</v>
      </c>
      <c r="AJ121" s="61">
        <f t="shared" si="91"/>
        <v>0</v>
      </c>
      <c r="AK121" s="61">
        <f t="shared" si="92"/>
        <v>0</v>
      </c>
      <c r="AL121" s="61"/>
      <c r="AM121" s="61"/>
      <c r="AN121" s="61"/>
      <c r="AO121" s="61"/>
      <c r="AP121" s="61"/>
      <c r="AQ121" s="61"/>
      <c r="AR121" s="61"/>
      <c r="AS121" s="61"/>
      <c r="AT121" s="61"/>
      <c r="AU121" s="61"/>
      <c r="AV121" s="61"/>
      <c r="AW121" s="61"/>
      <c r="AX121" s="61"/>
      <c r="AY121" s="61"/>
      <c r="AZ121" s="61"/>
      <c r="BA121" s="61"/>
      <c r="BB121" s="61"/>
      <c r="BC121" s="61"/>
      <c r="BD121" s="61"/>
      <c r="BE121" s="61"/>
      <c r="BF121" s="61"/>
      <c r="BG121" s="61"/>
      <c r="BH121" s="61"/>
      <c r="BI121" s="61"/>
      <c r="BJ121" s="61"/>
      <c r="BK121" s="61"/>
      <c r="BL121" s="61"/>
      <c r="BM121" s="61"/>
      <c r="BN121" s="61"/>
      <c r="BO121" s="61"/>
      <c r="BP121" s="61"/>
      <c r="BQ121" s="61"/>
      <c r="BR121" s="61"/>
      <c r="BS121" s="61"/>
      <c r="BT121" s="61"/>
      <c r="BU121" s="61"/>
      <c r="BV121" s="61"/>
      <c r="BW121" s="61"/>
      <c r="BX121" s="61"/>
      <c r="BY121" s="61"/>
      <c r="BZ121" s="61"/>
      <c r="CA121" s="61"/>
      <c r="CB121" s="61"/>
      <c r="CC121" s="61"/>
      <c r="CD121" s="61"/>
      <c r="CE121" s="61"/>
      <c r="CF121" s="61"/>
      <c r="CG121" s="61"/>
      <c r="CH121" s="61"/>
      <c r="CI121" s="61"/>
      <c r="CJ121" s="61"/>
      <c r="CK121" s="61"/>
      <c r="CL121" s="61"/>
      <c r="CM121" s="63"/>
      <c r="CN121" s="61"/>
      <c r="CO121" s="61"/>
      <c r="CP121" s="61"/>
      <c r="CQ121" s="61"/>
      <c r="CR121" s="61"/>
      <c r="CS121" s="61"/>
      <c r="CT121" s="61"/>
      <c r="CU121" s="61"/>
      <c r="CV121" s="61"/>
      <c r="CW121" s="61"/>
      <c r="CX121" s="61"/>
      <c r="CY121" s="61"/>
      <c r="CZ121" s="61"/>
      <c r="DA121" s="61"/>
      <c r="DB121" s="61"/>
      <c r="DC121" s="61"/>
      <c r="DD121" s="61"/>
      <c r="DE121" s="61"/>
      <c r="DF121" s="61"/>
      <c r="DG121" s="61"/>
      <c r="DH121" s="61"/>
      <c r="DI121" s="61"/>
      <c r="DJ121" s="61"/>
      <c r="DK121" s="61"/>
      <c r="DL121" s="61"/>
      <c r="DM121" s="61"/>
      <c r="DN121" s="61"/>
      <c r="DO121" s="61"/>
      <c r="DP121" s="61"/>
      <c r="DQ121" s="61"/>
      <c r="DR121" s="61"/>
      <c r="DS121" s="61"/>
      <c r="DT121" s="61"/>
      <c r="DU121" s="61"/>
      <c r="DV121" s="61"/>
      <c r="DW121" s="61"/>
      <c r="DX121" s="61"/>
      <c r="DY121" s="61"/>
      <c r="DZ121" s="61">
        <v>18</v>
      </c>
      <c r="EA121" s="61">
        <v>36</v>
      </c>
      <c r="EB121" s="61"/>
      <c r="EC121" s="61"/>
      <c r="ED121" s="61"/>
      <c r="EE121" s="61"/>
      <c r="EF121" s="61"/>
      <c r="EG121" s="61"/>
      <c r="EH121" s="61"/>
      <c r="EI121" s="61"/>
      <c r="EJ121" s="61" t="str">
        <f>INDEX((EP121:ER130),MATCH(E105,EO121:EO130,0),MATCH(E109,EP120:ER120,0),1)</f>
        <v>OWN15/2,4MC</v>
      </c>
      <c r="EK121" s="61"/>
      <c r="EL121" s="61"/>
      <c r="EM121" s="61"/>
      <c r="EN121" s="61"/>
      <c r="EO121" s="61" t="s">
        <v>111</v>
      </c>
      <c r="EP121" s="61" t="s">
        <v>866</v>
      </c>
      <c r="EQ121" s="61" t="s">
        <v>872</v>
      </c>
      <c r="ER121" s="61" t="s">
        <v>873</v>
      </c>
      <c r="ES121" s="61"/>
      <c r="ET121" s="61"/>
      <c r="EU121" s="61"/>
      <c r="EV121" s="61" t="s">
        <v>208</v>
      </c>
      <c r="EW121" s="61">
        <v>0</v>
      </c>
      <c r="EX121" s="61">
        <v>0</v>
      </c>
      <c r="EY121" s="61">
        <v>0</v>
      </c>
      <c r="EZ121" s="61">
        <v>0</v>
      </c>
      <c r="FA121" s="61">
        <v>0</v>
      </c>
      <c r="FB121" s="61">
        <v>0</v>
      </c>
      <c r="FC121" s="61">
        <v>0</v>
      </c>
      <c r="FD121" s="61">
        <v>0</v>
      </c>
      <c r="FE121" s="61">
        <v>2</v>
      </c>
      <c r="FF121" s="61">
        <v>0</v>
      </c>
      <c r="FG121" s="61">
        <v>0</v>
      </c>
      <c r="FH121" s="61">
        <v>0</v>
      </c>
      <c r="FI121" s="61">
        <v>0</v>
      </c>
      <c r="FJ121" s="61">
        <v>0</v>
      </c>
      <c r="FK121" s="61">
        <v>0</v>
      </c>
      <c r="FL121" s="61">
        <v>0</v>
      </c>
      <c r="FM121" s="61">
        <v>0</v>
      </c>
      <c r="FN121" s="61">
        <v>0</v>
      </c>
      <c r="FO121" s="61">
        <v>0</v>
      </c>
      <c r="FP121" s="61">
        <v>0</v>
      </c>
      <c r="FQ121" s="61">
        <v>0</v>
      </c>
      <c r="FR121" s="61">
        <v>0</v>
      </c>
      <c r="FS121" s="61">
        <v>0</v>
      </c>
      <c r="FT121" s="61">
        <v>0</v>
      </c>
      <c r="FU121" s="61">
        <v>0</v>
      </c>
      <c r="FV121" s="61">
        <v>0</v>
      </c>
      <c r="FW121" s="61">
        <v>0</v>
      </c>
      <c r="FX121" s="61">
        <v>0</v>
      </c>
      <c r="FY121" s="61">
        <v>0</v>
      </c>
      <c r="FZ121" s="61">
        <v>0</v>
      </c>
      <c r="GA121" s="61">
        <v>0</v>
      </c>
      <c r="GB121" s="61">
        <v>0</v>
      </c>
      <c r="GC121" s="61">
        <v>0</v>
      </c>
      <c r="GD121" s="61">
        <v>0</v>
      </c>
      <c r="GE121" s="61">
        <v>0</v>
      </c>
      <c r="GF121" s="61">
        <v>0</v>
      </c>
      <c r="GG121" s="61">
        <v>0</v>
      </c>
      <c r="GH121" s="61">
        <v>0</v>
      </c>
      <c r="GI121" s="61">
        <v>0</v>
      </c>
      <c r="GJ121" s="61">
        <v>0</v>
      </c>
      <c r="GK121" s="61">
        <v>0</v>
      </c>
      <c r="GL121" s="61">
        <v>0</v>
      </c>
      <c r="GM121" s="61">
        <v>0</v>
      </c>
      <c r="GN121" s="61">
        <v>0</v>
      </c>
      <c r="GO121" s="61">
        <v>0</v>
      </c>
      <c r="GP121" s="61">
        <v>0</v>
      </c>
      <c r="GQ121" s="61">
        <v>0</v>
      </c>
      <c r="GR121" s="61">
        <v>0</v>
      </c>
      <c r="GS121" s="61">
        <v>0</v>
      </c>
      <c r="GT121" s="61">
        <v>0</v>
      </c>
      <c r="GU121" s="61">
        <v>0</v>
      </c>
      <c r="GV121" s="61"/>
      <c r="GW121" s="61"/>
      <c r="GX121" s="61"/>
      <c r="GY121" s="60" t="s">
        <v>712</v>
      </c>
      <c r="GZ121" s="60">
        <v>0</v>
      </c>
      <c r="HA121" s="60">
        <v>0</v>
      </c>
      <c r="HB121" s="60">
        <v>0</v>
      </c>
      <c r="HC121" s="60">
        <v>2</v>
      </c>
      <c r="HD121" s="60">
        <v>2</v>
      </c>
      <c r="HE121" s="60">
        <v>2</v>
      </c>
      <c r="HF121" s="60">
        <v>4</v>
      </c>
      <c r="HG121" s="60">
        <v>4</v>
      </c>
      <c r="HH121" s="60">
        <v>4</v>
      </c>
      <c r="HI121" s="60">
        <v>6</v>
      </c>
      <c r="HJ121" s="60">
        <v>6</v>
      </c>
      <c r="HK121" s="60">
        <v>6</v>
      </c>
      <c r="HL121" s="60">
        <v>8</v>
      </c>
      <c r="HM121" s="60">
        <v>8</v>
      </c>
      <c r="HN121" s="60">
        <v>8</v>
      </c>
      <c r="HO121" s="60">
        <v>10</v>
      </c>
      <c r="HP121" s="60">
        <v>10</v>
      </c>
      <c r="HQ121" s="60">
        <v>10</v>
      </c>
      <c r="HR121" s="60">
        <v>12</v>
      </c>
      <c r="HS121" s="60">
        <v>12</v>
      </c>
      <c r="HT121" s="60">
        <v>12</v>
      </c>
      <c r="HV121" s="60" t="s">
        <v>853</v>
      </c>
      <c r="HW121" s="61">
        <v>0</v>
      </c>
      <c r="HX121" s="61">
        <v>0</v>
      </c>
      <c r="HY121" s="61">
        <v>0</v>
      </c>
      <c r="HZ121" s="61">
        <v>2</v>
      </c>
      <c r="IA121" s="61">
        <v>2</v>
      </c>
      <c r="IB121" s="61">
        <v>4</v>
      </c>
      <c r="IC121" s="61">
        <v>6</v>
      </c>
      <c r="ID121" s="61">
        <v>6</v>
      </c>
      <c r="IE121" s="61">
        <v>8</v>
      </c>
      <c r="IF121" s="61">
        <v>8</v>
      </c>
      <c r="IG121" s="61">
        <v>10</v>
      </c>
      <c r="IH121" s="61">
        <v>10</v>
      </c>
      <c r="II121" s="61">
        <v>12</v>
      </c>
      <c r="IJ121" s="61">
        <v>12</v>
      </c>
      <c r="IK121" s="61">
        <v>14</v>
      </c>
      <c r="IL121" s="61">
        <v>14</v>
      </c>
      <c r="IM121" s="61">
        <v>16</v>
      </c>
      <c r="IN121" s="61">
        <v>16</v>
      </c>
      <c r="IO121" s="61">
        <v>18</v>
      </c>
      <c r="IP121" s="61">
        <v>20</v>
      </c>
      <c r="IQ121" s="61">
        <v>20</v>
      </c>
      <c r="IS121" s="60" t="s">
        <v>853</v>
      </c>
      <c r="IT121" s="60">
        <f t="shared" si="69"/>
        <v>0</v>
      </c>
      <c r="IU121" s="60">
        <f t="shared" si="70"/>
        <v>0</v>
      </c>
      <c r="IV121" s="60">
        <f t="shared" si="71"/>
        <v>0</v>
      </c>
      <c r="IW121" s="60">
        <f t="shared" si="72"/>
        <v>4</v>
      </c>
      <c r="IX121" s="60">
        <f t="shared" si="73"/>
        <v>4</v>
      </c>
      <c r="IY121" s="60">
        <f t="shared" si="74"/>
        <v>8</v>
      </c>
      <c r="IZ121" s="60">
        <f t="shared" si="75"/>
        <v>12</v>
      </c>
      <c r="JA121" s="60">
        <f t="shared" si="76"/>
        <v>12</v>
      </c>
      <c r="JB121" s="60">
        <f t="shared" si="77"/>
        <v>16</v>
      </c>
      <c r="JC121" s="60">
        <f t="shared" si="78"/>
        <v>16</v>
      </c>
      <c r="JD121" s="60">
        <f t="shared" si="79"/>
        <v>20</v>
      </c>
      <c r="JE121" s="60">
        <f t="shared" si="80"/>
        <v>20</v>
      </c>
      <c r="JF121" s="60">
        <f t="shared" si="81"/>
        <v>24</v>
      </c>
      <c r="JG121" s="60">
        <f t="shared" si="82"/>
        <v>24</v>
      </c>
      <c r="JH121" s="60">
        <f t="shared" si="83"/>
        <v>28</v>
      </c>
      <c r="JI121" s="60">
        <f t="shared" si="84"/>
        <v>28</v>
      </c>
      <c r="JJ121" s="60">
        <f t="shared" si="85"/>
        <v>32</v>
      </c>
      <c r="JK121" s="60">
        <f t="shared" si="86"/>
        <v>32</v>
      </c>
      <c r="JL121" s="60">
        <f t="shared" si="87"/>
        <v>36</v>
      </c>
      <c r="JM121" s="60">
        <f t="shared" si="88"/>
        <v>40</v>
      </c>
      <c r="JN121" s="60">
        <f t="shared" si="89"/>
        <v>40</v>
      </c>
      <c r="JQ121" s="63"/>
      <c r="KG121" s="63"/>
    </row>
    <row r="122" spans="1:293" x14ac:dyDescent="0.25">
      <c r="A122" s="9"/>
      <c r="B122" s="9"/>
      <c r="C122" s="9"/>
      <c r="D122" s="9"/>
      <c r="E122" s="9"/>
      <c r="F122" s="9"/>
      <c r="G122" s="11"/>
      <c r="H122" s="9"/>
      <c r="I122" s="9"/>
      <c r="J122" s="9"/>
      <c r="K122" s="9"/>
      <c r="L122" s="6" t="s">
        <v>1005</v>
      </c>
      <c r="M122" s="11">
        <f>INDEX(cennik!$C$2:$L$529,MATCH($L122,cennik!$B$2:$B$522,0),MATCH(M$104,cennik!$C$1:$L$1,0))</f>
        <v>760401</v>
      </c>
      <c r="N122" s="11" t="str">
        <f>INDEX(cennik!$C$2:$L$529,MATCH($L122,cennik!$B$2:$B$522,0),MATCH(N$104,cennik!$C$1:$L$1,0))</f>
        <v>szt.</v>
      </c>
      <c r="O122" s="11">
        <f>O105*2</f>
        <v>0</v>
      </c>
      <c r="P122" s="34">
        <f>INDEX(cennik!$C$2:$L$529,MATCH($L122,cennik!$B$2:$B$522,0),MATCH(P$104,cennik!$C$1:$L$1,0))</f>
        <v>1.97</v>
      </c>
      <c r="Q122" s="34">
        <f t="shared" si="93"/>
        <v>0</v>
      </c>
      <c r="R122" s="35">
        <f t="shared" si="28"/>
        <v>0</v>
      </c>
      <c r="S122" s="34">
        <f t="shared" si="29"/>
        <v>1.97</v>
      </c>
      <c r="T122" s="34">
        <f t="shared" si="94"/>
        <v>0</v>
      </c>
      <c r="U122" s="34">
        <f>INDEX(cennik!$C$2:$L$529,MATCH($L122,cennik!$B$2:$B$522,0),MATCH(U$104,cennik!$C$1:$L$1,0))*O122</f>
        <v>0</v>
      </c>
      <c r="V122" s="61"/>
      <c r="W122" s="61"/>
      <c r="X122" s="61" t="s">
        <v>507</v>
      </c>
      <c r="Y122" s="61">
        <v>2300</v>
      </c>
      <c r="Z122" s="61"/>
      <c r="AA122" s="61"/>
      <c r="AB122" s="61">
        <f t="shared" si="95"/>
        <v>0</v>
      </c>
      <c r="AC1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</f>
        <v>0</v>
      </c>
      <c r="AD1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</f>
        <v>0</v>
      </c>
      <c r="AE1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</f>
        <v>0</v>
      </c>
      <c r="AF1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)*C112</f>
        <v>0</v>
      </c>
      <c r="AG1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)*C112</f>
        <v>0</v>
      </c>
      <c r="AH1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)*C112</f>
        <v>0</v>
      </c>
      <c r="AI122" s="61">
        <f t="shared" si="90"/>
        <v>0</v>
      </c>
      <c r="AJ122" s="61">
        <f t="shared" si="91"/>
        <v>0</v>
      </c>
      <c r="AK122" s="61">
        <f t="shared" si="92"/>
        <v>0</v>
      </c>
      <c r="AL122" s="61" t="s">
        <v>115</v>
      </c>
      <c r="AM122" s="61"/>
      <c r="AN122" s="61"/>
      <c r="AO122" s="61"/>
      <c r="AP122" s="61"/>
      <c r="AQ122" s="61"/>
      <c r="AR122" s="61"/>
      <c r="AS122" s="61"/>
      <c r="AT122" s="61"/>
      <c r="AU122" s="61"/>
      <c r="AV122" s="61"/>
      <c r="AW122" s="61"/>
      <c r="AX122" s="61"/>
      <c r="AY122" s="61"/>
      <c r="AZ122" s="61"/>
      <c r="BA122" s="61"/>
      <c r="BB122" s="61"/>
      <c r="BC122" s="61"/>
      <c r="BD122" s="61"/>
      <c r="BE122" s="61"/>
      <c r="BF122" s="61"/>
      <c r="BG122" s="61"/>
      <c r="BH122" s="61"/>
      <c r="BI122" s="61"/>
      <c r="BJ122" s="61"/>
      <c r="BK122" s="61"/>
      <c r="BL122" s="61"/>
      <c r="BM122" s="61"/>
      <c r="BN122" s="61"/>
      <c r="BO122" s="61"/>
      <c r="BP122" s="61"/>
      <c r="BQ122" s="61"/>
      <c r="BR122" s="61"/>
      <c r="BS122" s="61"/>
      <c r="BT122" s="61"/>
      <c r="BU122" s="61"/>
      <c r="BV122" s="61"/>
      <c r="BW122" s="61"/>
      <c r="BX122" s="61"/>
      <c r="BY122" s="61"/>
      <c r="BZ122" s="61"/>
      <c r="CA122" s="61"/>
      <c r="CB122" s="61"/>
      <c r="CC122" s="61"/>
      <c r="CD122" s="61"/>
      <c r="CE122" s="61"/>
      <c r="CF122" s="61"/>
      <c r="CG122" s="61"/>
      <c r="CH122" s="61"/>
      <c r="CI122" s="61"/>
      <c r="CJ122" s="61"/>
      <c r="CK122" s="61"/>
      <c r="CL122" s="61"/>
      <c r="CM122" s="61"/>
      <c r="CN122" s="61"/>
      <c r="CO122" s="61"/>
      <c r="CP122" s="61"/>
      <c r="CQ122" s="61"/>
      <c r="CR122" s="61"/>
      <c r="CS122" s="61"/>
      <c r="CT122" s="61"/>
      <c r="CU122" s="61"/>
      <c r="CV122" s="61"/>
      <c r="CW122" s="61"/>
      <c r="CX122" s="61"/>
      <c r="CY122" s="61"/>
      <c r="CZ122" s="61"/>
      <c r="DA122" s="61"/>
      <c r="DB122" s="61"/>
      <c r="DC122" s="61"/>
      <c r="DD122" s="61"/>
      <c r="DE122" s="61"/>
      <c r="DF122" s="61"/>
      <c r="DG122" s="61"/>
      <c r="DH122" s="61"/>
      <c r="DI122" s="61"/>
      <c r="DJ122" s="61"/>
      <c r="DK122" s="61"/>
      <c r="DL122" s="61"/>
      <c r="DM122" s="61"/>
      <c r="DN122" s="61"/>
      <c r="DO122" s="61"/>
      <c r="DP122" s="61"/>
      <c r="DQ122" s="61"/>
      <c r="DR122" s="61"/>
      <c r="DS122" s="61"/>
      <c r="DT122" s="61"/>
      <c r="DU122" s="61"/>
      <c r="DV122" s="61"/>
      <c r="DW122" s="61"/>
      <c r="DX122" s="61"/>
      <c r="DY122" s="61"/>
      <c r="DZ122" s="61">
        <v>19</v>
      </c>
      <c r="EA122" s="61">
        <v>38</v>
      </c>
      <c r="EB122" s="61"/>
      <c r="EC122" s="61"/>
      <c r="ED122" s="61"/>
      <c r="EE122" s="61"/>
      <c r="EF122" s="61"/>
      <c r="EG122" s="61"/>
      <c r="EH122" s="61"/>
      <c r="EI122" s="61"/>
      <c r="EJ122" s="61"/>
      <c r="EK122" s="61"/>
      <c r="EL122" s="61"/>
      <c r="EM122" s="61"/>
      <c r="EN122" s="61"/>
      <c r="EO122" s="61" t="s">
        <v>112</v>
      </c>
      <c r="EP122" s="61" t="s">
        <v>866</v>
      </c>
      <c r="EQ122" s="61" t="s">
        <v>872</v>
      </c>
      <c r="ER122" s="61" t="s">
        <v>873</v>
      </c>
      <c r="ES122" s="61"/>
      <c r="ET122" s="61"/>
      <c r="EU122" s="61"/>
      <c r="EV122" s="61" t="s">
        <v>211</v>
      </c>
      <c r="EW122" s="61">
        <v>0</v>
      </c>
      <c r="EX122" s="61">
        <v>0</v>
      </c>
      <c r="EY122" s="61">
        <v>0</v>
      </c>
      <c r="EZ122" s="61">
        <v>0</v>
      </c>
      <c r="FA122" s="61">
        <v>0</v>
      </c>
      <c r="FB122" s="61">
        <v>2</v>
      </c>
      <c r="FC122" s="61">
        <v>0</v>
      </c>
      <c r="FD122" s="61">
        <v>0</v>
      </c>
      <c r="FE122" s="61">
        <v>0</v>
      </c>
      <c r="FF122" s="61">
        <v>0</v>
      </c>
      <c r="FG122" s="61">
        <v>0</v>
      </c>
      <c r="FH122" s="61">
        <v>0</v>
      </c>
      <c r="FI122" s="61">
        <v>0</v>
      </c>
      <c r="FJ122" s="61">
        <v>0</v>
      </c>
      <c r="FK122" s="61">
        <v>0</v>
      </c>
      <c r="FL122" s="61">
        <v>0</v>
      </c>
      <c r="FM122" s="61">
        <v>0</v>
      </c>
      <c r="FN122" s="61">
        <v>0</v>
      </c>
      <c r="FO122" s="61">
        <v>0</v>
      </c>
      <c r="FP122" s="61">
        <v>0</v>
      </c>
      <c r="FQ122" s="61">
        <v>0</v>
      </c>
      <c r="FR122" s="61">
        <v>0</v>
      </c>
      <c r="FS122" s="61">
        <v>0</v>
      </c>
      <c r="FT122" s="61">
        <v>0</v>
      </c>
      <c r="FU122" s="61">
        <v>0</v>
      </c>
      <c r="FV122" s="61">
        <v>0</v>
      </c>
      <c r="FW122" s="61">
        <v>0</v>
      </c>
      <c r="FX122" s="61">
        <v>0</v>
      </c>
      <c r="FY122" s="61">
        <v>0</v>
      </c>
      <c r="FZ122" s="61">
        <v>0</v>
      </c>
      <c r="GA122" s="61">
        <v>0</v>
      </c>
      <c r="GB122" s="61">
        <v>0</v>
      </c>
      <c r="GC122" s="61">
        <v>0</v>
      </c>
      <c r="GD122" s="61">
        <v>0</v>
      </c>
      <c r="GE122" s="61">
        <v>0</v>
      </c>
      <c r="GF122" s="61">
        <v>0</v>
      </c>
      <c r="GG122" s="61">
        <v>0</v>
      </c>
      <c r="GH122" s="61">
        <v>0</v>
      </c>
      <c r="GI122" s="61">
        <v>0</v>
      </c>
      <c r="GJ122" s="61">
        <v>0</v>
      </c>
      <c r="GK122" s="61">
        <v>0</v>
      </c>
      <c r="GL122" s="61">
        <v>0</v>
      </c>
      <c r="GM122" s="61">
        <v>0</v>
      </c>
      <c r="GN122" s="61">
        <v>0</v>
      </c>
      <c r="GO122" s="61">
        <v>0</v>
      </c>
      <c r="GP122" s="61">
        <v>0</v>
      </c>
      <c r="GQ122" s="61">
        <v>0</v>
      </c>
      <c r="GR122" s="61">
        <v>0</v>
      </c>
      <c r="GS122" s="61">
        <v>0</v>
      </c>
      <c r="GT122" s="61">
        <v>0</v>
      </c>
      <c r="GU122" s="61">
        <v>0</v>
      </c>
      <c r="GV122" s="61"/>
      <c r="GW122" s="61"/>
      <c r="GX122" s="61"/>
      <c r="HW122" s="61"/>
      <c r="HX122" s="61"/>
      <c r="HY122" s="61"/>
      <c r="HZ122" s="61"/>
      <c r="IA122" s="61"/>
      <c r="IB122" s="61"/>
      <c r="IC122" s="61"/>
      <c r="ID122" s="61"/>
      <c r="IE122" s="61"/>
      <c r="IF122" s="61"/>
      <c r="IG122" s="61"/>
      <c r="IH122" s="61"/>
      <c r="II122" s="61"/>
      <c r="IJ122" s="61"/>
      <c r="IK122" s="61"/>
      <c r="IL122" s="61"/>
      <c r="IM122" s="61"/>
      <c r="IN122" s="61"/>
      <c r="IO122" s="61"/>
      <c r="IP122" s="61"/>
      <c r="IQ122" s="61"/>
      <c r="JQ122" s="63"/>
      <c r="KG122" s="63"/>
    </row>
    <row r="123" spans="1:293" x14ac:dyDescent="0.25">
      <c r="A123" s="9"/>
      <c r="B123" s="9"/>
      <c r="C123" s="9"/>
      <c r="D123" s="9"/>
      <c r="E123" s="9"/>
      <c r="F123" s="9"/>
      <c r="G123" s="9"/>
      <c r="H123" s="9"/>
      <c r="I123" s="9"/>
      <c r="J123" s="9"/>
      <c r="K123" s="9"/>
      <c r="L123" s="6" t="s">
        <v>1017</v>
      </c>
      <c r="M123" s="11">
        <f>INDEX(cennik!$C$2:$L$529,MATCH($L123,cennik!$B$2:$B$522,0),MATCH(M$104,cennik!$C$1:$L$1,0))</f>
        <v>998121</v>
      </c>
      <c r="N123" s="11" t="str">
        <f>INDEX(cennik!$C$2:$L$529,MATCH($L123,cennik!$B$2:$B$522,0),MATCH(N$104,cennik!$C$1:$L$1,0))</f>
        <v>100 szt.</v>
      </c>
      <c r="O123" s="11">
        <f>ROUNDUP(O107*2/100,0)</f>
        <v>0</v>
      </c>
      <c r="P123" s="34">
        <f>INDEX(cennik!$C$2:$L$529,MATCH($L123,cennik!$B$2:$B$522,0),MATCH(P$104,cennik!$C$1:$L$1,0))</f>
        <v>24.99</v>
      </c>
      <c r="Q123" s="34">
        <f t="shared" si="93"/>
        <v>0</v>
      </c>
      <c r="R123" s="35">
        <f t="shared" si="28"/>
        <v>0</v>
      </c>
      <c r="S123" s="34">
        <f t="shared" si="29"/>
        <v>24.99</v>
      </c>
      <c r="T123" s="34">
        <f t="shared" si="94"/>
        <v>0</v>
      </c>
      <c r="U123" s="34">
        <f>INDEX(cennik!$C$2:$L$529,MATCH($L123,cennik!$B$2:$B$522,0),MATCH(U$104,cennik!$C$1:$L$1,0))*O123</f>
        <v>0</v>
      </c>
      <c r="V123" s="61"/>
      <c r="W123" s="140" t="s">
        <v>311</v>
      </c>
      <c r="X123" s="61" t="s">
        <v>763</v>
      </c>
      <c r="Y123" s="61">
        <v>2350</v>
      </c>
      <c r="Z123" s="61"/>
      <c r="AA123" s="61"/>
      <c r="AB123" s="61">
        <f t="shared" si="95"/>
        <v>0</v>
      </c>
      <c r="AC12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</f>
        <v>0</v>
      </c>
      <c r="AD12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</f>
        <v>0</v>
      </c>
      <c r="AE12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</f>
        <v>0</v>
      </c>
      <c r="AF12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)*C113</f>
        <v>0</v>
      </c>
      <c r="AG12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)*C113</f>
        <v>0</v>
      </c>
      <c r="AH12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)*C113</f>
        <v>0</v>
      </c>
      <c r="AI123" s="61">
        <f t="shared" si="90"/>
        <v>0</v>
      </c>
      <c r="AJ123" s="61">
        <f t="shared" si="91"/>
        <v>0</v>
      </c>
      <c r="AK123" s="61">
        <f t="shared" si="92"/>
        <v>0</v>
      </c>
      <c r="AL123" s="61"/>
      <c r="AM123" s="61">
        <v>0</v>
      </c>
      <c r="AN123" s="61">
        <v>1</v>
      </c>
      <c r="AO123" s="61">
        <v>2</v>
      </c>
      <c r="AP123" s="61">
        <v>3</v>
      </c>
      <c r="AQ123" s="61">
        <v>4</v>
      </c>
      <c r="AR123" s="61">
        <v>5</v>
      </c>
      <c r="AS123" s="61">
        <v>6</v>
      </c>
      <c r="AT123" s="61">
        <v>7</v>
      </c>
      <c r="AU123" s="61">
        <v>8</v>
      </c>
      <c r="AV123" s="61">
        <v>9</v>
      </c>
      <c r="AW123" s="61">
        <v>10</v>
      </c>
      <c r="AX123" s="61">
        <v>11</v>
      </c>
      <c r="AY123" s="61">
        <v>12</v>
      </c>
      <c r="AZ123" s="61">
        <v>13</v>
      </c>
      <c r="BA123" s="61">
        <v>14</v>
      </c>
      <c r="BB123" s="61">
        <v>15</v>
      </c>
      <c r="BC123" s="61">
        <v>16</v>
      </c>
      <c r="BD123" s="61">
        <v>17</v>
      </c>
      <c r="BE123" s="61">
        <v>18</v>
      </c>
      <c r="BF123" s="61">
        <v>19</v>
      </c>
      <c r="BG123" s="61">
        <v>20</v>
      </c>
      <c r="BH123" s="61">
        <v>21</v>
      </c>
      <c r="BI123" s="61">
        <v>22</v>
      </c>
      <c r="BJ123" s="61">
        <v>23</v>
      </c>
      <c r="BK123" s="61">
        <v>24</v>
      </c>
      <c r="BL123" s="61">
        <v>25</v>
      </c>
      <c r="BM123" s="61">
        <v>26</v>
      </c>
      <c r="BN123" s="61">
        <v>27</v>
      </c>
      <c r="BO123" s="61">
        <v>28</v>
      </c>
      <c r="BP123" s="61">
        <v>29</v>
      </c>
      <c r="BQ123" s="61">
        <v>30</v>
      </c>
      <c r="BR123" s="61">
        <v>31</v>
      </c>
      <c r="BS123" s="61">
        <v>32</v>
      </c>
      <c r="BT123" s="61">
        <v>33</v>
      </c>
      <c r="BU123" s="61">
        <v>34</v>
      </c>
      <c r="BV123" s="61">
        <v>35</v>
      </c>
      <c r="BW123" s="61">
        <v>36</v>
      </c>
      <c r="BX123" s="61">
        <v>37</v>
      </c>
      <c r="BY123" s="61">
        <v>38</v>
      </c>
      <c r="BZ123" s="61">
        <v>39</v>
      </c>
      <c r="CA123" s="61">
        <v>40</v>
      </c>
      <c r="CB123" s="61">
        <v>41</v>
      </c>
      <c r="CC123" s="61">
        <v>42</v>
      </c>
      <c r="CD123" s="61">
        <v>43</v>
      </c>
      <c r="CE123" s="61">
        <v>44</v>
      </c>
      <c r="CF123" s="61">
        <v>45</v>
      </c>
      <c r="CG123" s="61">
        <v>46</v>
      </c>
      <c r="CH123" s="61">
        <v>47</v>
      </c>
      <c r="CI123" s="61">
        <v>48</v>
      </c>
      <c r="CJ123" s="61">
        <v>49</v>
      </c>
      <c r="CK123" s="61">
        <v>50</v>
      </c>
      <c r="CL123" s="61"/>
      <c r="CM123" s="61"/>
      <c r="CN123" s="140" t="s">
        <v>303</v>
      </c>
      <c r="CO123" s="140" t="s">
        <v>304</v>
      </c>
      <c r="CP123" s="140" t="s">
        <v>481</v>
      </c>
      <c r="CQ123" s="140" t="s">
        <v>450</v>
      </c>
      <c r="CR123" s="63" t="s">
        <v>482</v>
      </c>
      <c r="CS123" s="63" t="s">
        <v>483</v>
      </c>
      <c r="CT123" s="63" t="s">
        <v>484</v>
      </c>
      <c r="CU123" s="63" t="s">
        <v>485</v>
      </c>
      <c r="CV123" s="63" t="s">
        <v>486</v>
      </c>
      <c r="CW123" s="140" t="s">
        <v>305</v>
      </c>
      <c r="CX123" s="140" t="s">
        <v>306</v>
      </c>
      <c r="CY123" s="63" t="s">
        <v>530</v>
      </c>
      <c r="CZ123" s="63" t="s">
        <v>531</v>
      </c>
      <c r="DA123" s="63" t="s">
        <v>532</v>
      </c>
      <c r="DB123" s="63" t="s">
        <v>533</v>
      </c>
      <c r="DC123" s="63" t="s">
        <v>534</v>
      </c>
      <c r="DD123" s="63" t="s">
        <v>535</v>
      </c>
      <c r="DE123" s="63" t="s">
        <v>536</v>
      </c>
      <c r="DF123" s="63" t="s">
        <v>537</v>
      </c>
      <c r="DG123" s="61"/>
      <c r="DH123" s="61"/>
      <c r="DI123" s="61"/>
      <c r="DJ123" s="61"/>
      <c r="DK123" s="61"/>
      <c r="DL123" s="61"/>
      <c r="DM123" s="61"/>
      <c r="DN123" s="61"/>
      <c r="DO123" s="61"/>
      <c r="DP123" s="61"/>
      <c r="DQ123" s="61"/>
      <c r="DR123" s="61"/>
      <c r="DS123" s="61"/>
      <c r="DT123" s="61"/>
      <c r="DU123" s="61"/>
      <c r="DV123" s="61"/>
      <c r="DW123" s="61"/>
      <c r="DX123" s="61"/>
      <c r="DY123" s="61"/>
      <c r="DZ123" s="61">
        <v>20</v>
      </c>
      <c r="EA123" s="61">
        <v>40</v>
      </c>
      <c r="EB123" s="61"/>
      <c r="EC123" s="61"/>
      <c r="ED123" s="61"/>
      <c r="EE123" s="61"/>
      <c r="EF123" s="61"/>
      <c r="EG123" s="61"/>
      <c r="EH123" s="61"/>
      <c r="EI123" s="61"/>
      <c r="EJ123" s="61"/>
      <c r="EK123" s="61"/>
      <c r="EL123" s="61"/>
      <c r="EM123" s="61"/>
      <c r="EN123" s="61"/>
      <c r="EO123" s="61" t="s">
        <v>132</v>
      </c>
      <c r="EP123" s="61" t="s">
        <v>867</v>
      </c>
      <c r="EQ123" s="61" t="s">
        <v>874</v>
      </c>
      <c r="ER123" s="61" t="s">
        <v>875</v>
      </c>
      <c r="ES123" s="61"/>
      <c r="ET123" s="61"/>
      <c r="EU123" s="61"/>
      <c r="EV123" s="61" t="s">
        <v>293</v>
      </c>
      <c r="EW123" s="61">
        <v>0</v>
      </c>
      <c r="EX123" s="61">
        <v>0</v>
      </c>
      <c r="EY123" s="61">
        <v>2</v>
      </c>
      <c r="EZ123" s="61">
        <v>0</v>
      </c>
      <c r="FA123" s="61">
        <v>0</v>
      </c>
      <c r="FB123" s="61">
        <v>0</v>
      </c>
      <c r="FC123" s="61">
        <v>0</v>
      </c>
      <c r="FD123" s="61">
        <v>0</v>
      </c>
      <c r="FE123" s="61">
        <v>0</v>
      </c>
      <c r="FF123" s="61">
        <v>0</v>
      </c>
      <c r="FG123" s="61">
        <v>0</v>
      </c>
      <c r="FH123" s="61">
        <v>0</v>
      </c>
      <c r="FI123" s="61">
        <v>2</v>
      </c>
      <c r="FJ123" s="61">
        <v>0</v>
      </c>
      <c r="FK123" s="61">
        <v>0</v>
      </c>
      <c r="FL123" s="61">
        <v>0</v>
      </c>
      <c r="FM123" s="61">
        <v>0</v>
      </c>
      <c r="FN123" s="61">
        <v>0</v>
      </c>
      <c r="FO123" s="61">
        <v>0</v>
      </c>
      <c r="FP123" s="61">
        <v>0</v>
      </c>
      <c r="FQ123" s="61">
        <v>0</v>
      </c>
      <c r="FR123" s="61">
        <v>0</v>
      </c>
      <c r="FS123" s="61">
        <v>2</v>
      </c>
      <c r="FT123" s="61">
        <v>0</v>
      </c>
      <c r="FU123" s="61">
        <v>0</v>
      </c>
      <c r="FV123" s="61">
        <v>0</v>
      </c>
      <c r="FW123" s="61">
        <v>0</v>
      </c>
      <c r="FX123" s="61">
        <v>0</v>
      </c>
      <c r="FY123" s="61">
        <v>0</v>
      </c>
      <c r="FZ123" s="61">
        <v>0</v>
      </c>
      <c r="GA123" s="61">
        <v>0</v>
      </c>
      <c r="GB123" s="61">
        <v>0</v>
      </c>
      <c r="GC123" s="61">
        <v>2</v>
      </c>
      <c r="GD123" s="61">
        <v>0</v>
      </c>
      <c r="GE123" s="61">
        <v>0</v>
      </c>
      <c r="GF123" s="61">
        <v>0</v>
      </c>
      <c r="GG123" s="61">
        <v>0</v>
      </c>
      <c r="GH123" s="61">
        <v>0</v>
      </c>
      <c r="GI123" s="61">
        <v>0</v>
      </c>
      <c r="GJ123" s="61">
        <v>0</v>
      </c>
      <c r="GK123" s="61">
        <v>0</v>
      </c>
      <c r="GL123" s="61">
        <v>0</v>
      </c>
      <c r="GM123" s="61">
        <v>2</v>
      </c>
      <c r="GN123" s="61">
        <v>0</v>
      </c>
      <c r="GO123" s="61">
        <v>0</v>
      </c>
      <c r="GP123" s="61">
        <v>0</v>
      </c>
      <c r="GQ123" s="61">
        <v>0</v>
      </c>
      <c r="GR123" s="61">
        <v>0</v>
      </c>
      <c r="GS123" s="61">
        <v>0</v>
      </c>
      <c r="GT123" s="61">
        <v>0</v>
      </c>
      <c r="GU123" s="61">
        <v>0</v>
      </c>
      <c r="GV123" s="61"/>
      <c r="GW123" s="61"/>
      <c r="GX123" s="61"/>
      <c r="GY123" s="60" t="s">
        <v>480</v>
      </c>
      <c r="HU123" s="143"/>
      <c r="HV123" s="141" t="s">
        <v>470</v>
      </c>
      <c r="HW123" s="61"/>
      <c r="HX123" s="61"/>
      <c r="HY123" s="61"/>
      <c r="HZ123" s="61"/>
      <c r="IA123" s="61"/>
      <c r="IB123" s="61"/>
      <c r="IC123" s="61"/>
      <c r="ID123" s="61"/>
      <c r="IE123" s="61"/>
      <c r="IF123" s="61"/>
      <c r="IG123" s="61"/>
      <c r="IH123" s="61"/>
      <c r="II123" s="61"/>
      <c r="IJ123" s="61"/>
      <c r="IK123" s="61"/>
      <c r="IL123" s="61"/>
      <c r="IM123" s="61"/>
      <c r="IN123" s="61"/>
      <c r="IO123" s="61"/>
      <c r="IP123" s="61"/>
      <c r="IQ123" s="61"/>
      <c r="IS123" s="60" t="s">
        <v>470</v>
      </c>
      <c r="KG123" s="63"/>
    </row>
    <row r="124" spans="1:293" x14ac:dyDescent="0.25">
      <c r="A124" s="9"/>
      <c r="B124" s="9"/>
      <c r="C124" s="9"/>
      <c r="D124" s="9"/>
      <c r="E124" s="9"/>
      <c r="F124" s="9"/>
      <c r="G124" s="9"/>
      <c r="H124" s="9"/>
      <c r="I124" s="9"/>
      <c r="J124" s="9"/>
      <c r="K124" s="9"/>
      <c r="L124" s="6" t="s">
        <v>1019</v>
      </c>
      <c r="M124" s="11">
        <f>INDEX(cennik!$C$2:$L$529,MATCH($L124,cennik!$B$2:$B$522,0),MATCH(M$104,cennik!$C$1:$L$1,0))</f>
        <v>166794</v>
      </c>
      <c r="N124" s="11" t="str">
        <f>INDEX(cennik!$C$2:$L$529,MATCH($L124,cennik!$B$2:$B$522,0),MATCH(N$104,cennik!$C$1:$L$1,0))</f>
        <v>100 szt.</v>
      </c>
      <c r="O124" s="11">
        <f>ROUNDUP((O111+(O107*2))/100,0)</f>
        <v>0</v>
      </c>
      <c r="P124" s="34">
        <f>INDEX(cennik!$C$2:$L$529,MATCH($L124,cennik!$B$2:$B$522,0),MATCH(P$104,cennik!$C$1:$L$1,0))</f>
        <v>3.95</v>
      </c>
      <c r="Q124" s="34">
        <f t="shared" ref="Q124" si="97">O124*P124</f>
        <v>0</v>
      </c>
      <c r="R124" s="35">
        <f t="shared" si="28"/>
        <v>0</v>
      </c>
      <c r="S124" s="34">
        <f t="shared" si="29"/>
        <v>3.95</v>
      </c>
      <c r="T124" s="34">
        <f t="shared" ref="T124" si="98">O124*S124</f>
        <v>0</v>
      </c>
      <c r="U124" s="34">
        <f>INDEX(cennik!$C$2:$L$529,MATCH($L124,cennik!$B$2:$B$522,0),MATCH(U$104,cennik!$C$1:$L$1,0))*O124</f>
        <v>0</v>
      </c>
      <c r="V124" s="61"/>
      <c r="W124" s="142">
        <f t="shared" ref="W124:W139" si="99">IF(A129=0,0,IF(A129&gt;0,((A129/2)+1)*C129))</f>
        <v>0</v>
      </c>
      <c r="X124" s="61" t="s">
        <v>764</v>
      </c>
      <c r="Y124" s="61">
        <v>2400</v>
      </c>
      <c r="Z124" s="61"/>
      <c r="AA124" s="61"/>
      <c r="AB124" s="61">
        <f t="shared" si="95"/>
        <v>0</v>
      </c>
      <c r="AC12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</f>
        <v>0</v>
      </c>
      <c r="AD12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</f>
        <v>0</v>
      </c>
      <c r="AE12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</f>
        <v>0</v>
      </c>
      <c r="AF12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)*C114</f>
        <v>0</v>
      </c>
      <c r="AG12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)*C114</f>
        <v>0</v>
      </c>
      <c r="AH12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)*C114</f>
        <v>0</v>
      </c>
      <c r="AI124" s="61">
        <f t="shared" si="90"/>
        <v>0</v>
      </c>
      <c r="AJ124" s="61">
        <f t="shared" si="91"/>
        <v>0</v>
      </c>
      <c r="AK124" s="61">
        <f t="shared" si="92"/>
        <v>0</v>
      </c>
      <c r="AL124" s="61" t="s">
        <v>126</v>
      </c>
      <c r="AM124" s="61">
        <v>0</v>
      </c>
      <c r="AN124" s="61">
        <v>2</v>
      </c>
      <c r="AO124" s="61">
        <v>0</v>
      </c>
      <c r="AP124" s="61">
        <v>0</v>
      </c>
      <c r="AQ124" s="61">
        <v>0</v>
      </c>
      <c r="AR124" s="61">
        <v>0</v>
      </c>
      <c r="AS124" s="61">
        <v>0</v>
      </c>
      <c r="AT124" s="61">
        <v>0</v>
      </c>
      <c r="AU124" s="61">
        <v>0</v>
      </c>
      <c r="AV124" s="61">
        <v>0</v>
      </c>
      <c r="AW124" s="61">
        <v>0</v>
      </c>
      <c r="AX124" s="61">
        <v>0</v>
      </c>
      <c r="AY124" s="61">
        <v>0</v>
      </c>
      <c r="AZ124" s="61">
        <v>0</v>
      </c>
      <c r="BA124" s="61">
        <v>0</v>
      </c>
      <c r="BB124" s="61">
        <v>0</v>
      </c>
      <c r="BC124" s="61">
        <v>0</v>
      </c>
      <c r="BD124" s="61">
        <v>0</v>
      </c>
      <c r="BE124" s="61">
        <v>0</v>
      </c>
      <c r="BF124" s="61">
        <v>0</v>
      </c>
      <c r="BG124" s="61">
        <v>0</v>
      </c>
      <c r="BH124" s="61">
        <v>0</v>
      </c>
      <c r="BI124" s="61">
        <v>0</v>
      </c>
      <c r="BJ124" s="61">
        <v>0</v>
      </c>
      <c r="BK124" s="61">
        <v>0</v>
      </c>
      <c r="BL124" s="61">
        <v>0</v>
      </c>
      <c r="BM124" s="61">
        <v>0</v>
      </c>
      <c r="BN124" s="61">
        <v>0</v>
      </c>
      <c r="BO124" s="61">
        <v>0</v>
      </c>
      <c r="BP124" s="61">
        <v>0</v>
      </c>
      <c r="BQ124" s="61">
        <v>0</v>
      </c>
      <c r="BR124" s="61">
        <v>0</v>
      </c>
      <c r="BS124" s="61">
        <v>0</v>
      </c>
      <c r="BT124" s="61">
        <v>0</v>
      </c>
      <c r="BU124" s="61">
        <v>0</v>
      </c>
      <c r="BV124" s="61">
        <v>0</v>
      </c>
      <c r="BW124" s="61">
        <v>0</v>
      </c>
      <c r="BX124" s="61">
        <v>2</v>
      </c>
      <c r="BY124" s="61">
        <v>0</v>
      </c>
      <c r="BZ124" s="61">
        <v>0</v>
      </c>
      <c r="CA124" s="61">
        <v>0</v>
      </c>
      <c r="CB124" s="61">
        <v>0</v>
      </c>
      <c r="CC124" s="61">
        <v>0</v>
      </c>
      <c r="CD124" s="61">
        <v>0</v>
      </c>
      <c r="CE124" s="61">
        <v>0</v>
      </c>
      <c r="CF124" s="61">
        <v>0</v>
      </c>
      <c r="CG124" s="61">
        <v>0</v>
      </c>
      <c r="CH124" s="61">
        <v>2</v>
      </c>
      <c r="CI124" s="61">
        <v>0</v>
      </c>
      <c r="CJ124" s="61">
        <v>0</v>
      </c>
      <c r="CK124" s="61">
        <v>0</v>
      </c>
      <c r="CL124" s="61"/>
      <c r="CM124" s="63">
        <v>10</v>
      </c>
      <c r="CN124" s="61" t="s">
        <v>608</v>
      </c>
      <c r="CO124" s="61" t="s">
        <v>608</v>
      </c>
      <c r="CP124" s="61" t="s">
        <v>608</v>
      </c>
      <c r="CQ124" s="61" t="s">
        <v>608</v>
      </c>
      <c r="CR124" s="61" t="s">
        <v>608</v>
      </c>
      <c r="CS124" s="61" t="s">
        <v>608</v>
      </c>
      <c r="CT124" s="61" t="s">
        <v>608</v>
      </c>
      <c r="CU124" s="61" t="s">
        <v>608</v>
      </c>
      <c r="CV124" s="61" t="s">
        <v>608</v>
      </c>
      <c r="CW124" s="61" t="s">
        <v>608</v>
      </c>
      <c r="CX124" s="61" t="s">
        <v>608</v>
      </c>
      <c r="CY124" s="61" t="s">
        <v>608</v>
      </c>
      <c r="CZ124" s="61" t="s">
        <v>608</v>
      </c>
      <c r="DA124" s="61" t="s">
        <v>608</v>
      </c>
      <c r="DB124" s="61" t="s">
        <v>547</v>
      </c>
      <c r="DC124" s="61" t="s">
        <v>550</v>
      </c>
      <c r="DD124" s="61" t="s">
        <v>553</v>
      </c>
      <c r="DE124" s="61" t="s">
        <v>556</v>
      </c>
      <c r="DF124" s="61" t="s">
        <v>559</v>
      </c>
      <c r="DG124" s="61"/>
      <c r="DH124" s="61"/>
      <c r="DI124" s="61"/>
      <c r="DJ124" s="61"/>
      <c r="DK124" s="61"/>
      <c r="DL124" s="61"/>
      <c r="DM124" s="61"/>
      <c r="DN124" s="61"/>
      <c r="DO124" s="61"/>
      <c r="DP124" s="61"/>
      <c r="DQ124" s="61"/>
      <c r="DR124" s="61"/>
      <c r="DS124" s="61"/>
      <c r="DT124" s="61"/>
      <c r="DU124" s="61"/>
      <c r="DV124" s="61"/>
      <c r="DW124" s="61"/>
      <c r="DX124" s="61"/>
      <c r="DY124" s="61"/>
      <c r="DZ124" s="61">
        <v>21</v>
      </c>
      <c r="EA124" s="61">
        <v>42</v>
      </c>
      <c r="EB124" s="61"/>
      <c r="EC124" s="61"/>
      <c r="ED124" s="61"/>
      <c r="EE124" s="61"/>
      <c r="EF124" s="61"/>
      <c r="EG124" s="61"/>
      <c r="EH124" s="61"/>
      <c r="EI124" s="61"/>
      <c r="EJ124" s="61"/>
      <c r="EK124" s="61"/>
      <c r="EL124" s="61"/>
      <c r="EM124" s="61"/>
      <c r="EN124" s="61"/>
      <c r="EO124" s="61" t="s">
        <v>470</v>
      </c>
      <c r="EP124" s="61" t="s">
        <v>867</v>
      </c>
      <c r="EQ124" s="61" t="s">
        <v>874</v>
      </c>
      <c r="ER124" s="61" t="s">
        <v>875</v>
      </c>
      <c r="ES124" s="61"/>
      <c r="ET124" s="61"/>
      <c r="EU124" s="61"/>
      <c r="EV124" s="61" t="s">
        <v>10</v>
      </c>
      <c r="EW124" s="61">
        <v>0</v>
      </c>
      <c r="EX124" s="61">
        <v>0</v>
      </c>
      <c r="EY124" s="61">
        <v>0</v>
      </c>
      <c r="EZ124" s="61">
        <v>0</v>
      </c>
      <c r="FA124" s="61">
        <v>0</v>
      </c>
      <c r="FB124" s="61">
        <v>0</v>
      </c>
      <c r="FC124" s="61">
        <v>2</v>
      </c>
      <c r="FD124" s="61">
        <v>2</v>
      </c>
      <c r="FE124" s="61">
        <v>0</v>
      </c>
      <c r="FF124" s="61">
        <v>4</v>
      </c>
      <c r="FG124" s="61">
        <v>0</v>
      </c>
      <c r="FH124" s="61">
        <v>0</v>
      </c>
      <c r="FI124" s="61">
        <v>0</v>
      </c>
      <c r="FJ124" s="61">
        <v>2</v>
      </c>
      <c r="FK124" s="61">
        <v>2</v>
      </c>
      <c r="FL124" s="61">
        <v>6</v>
      </c>
      <c r="FM124" s="61">
        <v>2</v>
      </c>
      <c r="FN124" s="61">
        <v>0</v>
      </c>
      <c r="FO124" s="61">
        <v>6</v>
      </c>
      <c r="FP124" s="61">
        <v>2</v>
      </c>
      <c r="FQ124" s="61">
        <v>0</v>
      </c>
      <c r="FR124" s="61">
        <v>8</v>
      </c>
      <c r="FS124" s="61">
        <v>0</v>
      </c>
      <c r="FT124" s="61">
        <v>0</v>
      </c>
      <c r="FU124" s="61">
        <v>0</v>
      </c>
      <c r="FV124" s="61">
        <v>4</v>
      </c>
      <c r="FW124" s="61">
        <v>2</v>
      </c>
      <c r="FX124" s="61">
        <v>0</v>
      </c>
      <c r="FY124" s="61">
        <v>8</v>
      </c>
      <c r="FZ124" s="61">
        <v>2</v>
      </c>
      <c r="GA124" s="61">
        <v>2</v>
      </c>
      <c r="GB124" s="61">
        <v>0</v>
      </c>
      <c r="GC124" s="61">
        <v>0</v>
      </c>
      <c r="GD124" s="61">
        <v>2</v>
      </c>
      <c r="GE124" s="61">
        <v>0</v>
      </c>
      <c r="GF124" s="61">
        <v>6</v>
      </c>
      <c r="GG124" s="61">
        <v>4</v>
      </c>
      <c r="GH124" s="61">
        <v>2</v>
      </c>
      <c r="GI124" s="61">
        <v>6</v>
      </c>
      <c r="GJ124" s="61">
        <v>4</v>
      </c>
      <c r="GK124" s="61">
        <v>0</v>
      </c>
      <c r="GL124" s="61">
        <v>0</v>
      </c>
      <c r="GM124" s="61">
        <v>0</v>
      </c>
      <c r="GN124" s="61">
        <v>4</v>
      </c>
      <c r="GO124" s="61">
        <v>0</v>
      </c>
      <c r="GP124" s="61">
        <v>8</v>
      </c>
      <c r="GQ124" s="61">
        <v>6</v>
      </c>
      <c r="GR124" s="61">
        <v>0</v>
      </c>
      <c r="GS124" s="61">
        <v>0</v>
      </c>
      <c r="GT124" s="61">
        <v>6</v>
      </c>
      <c r="GU124" s="61">
        <v>4</v>
      </c>
      <c r="GV124" s="61"/>
      <c r="GW124" s="61"/>
      <c r="GX124" s="61"/>
      <c r="GZ124" s="60">
        <v>0</v>
      </c>
      <c r="HA124" s="60">
        <v>1</v>
      </c>
      <c r="HB124" s="60">
        <v>2</v>
      </c>
      <c r="HC124" s="60">
        <v>3</v>
      </c>
      <c r="HD124" s="60">
        <v>4</v>
      </c>
      <c r="HE124" s="60">
        <v>5</v>
      </c>
      <c r="HF124" s="60">
        <v>6</v>
      </c>
      <c r="HG124" s="60">
        <v>7</v>
      </c>
      <c r="HH124" s="60">
        <v>8</v>
      </c>
      <c r="HI124" s="60">
        <v>9</v>
      </c>
      <c r="HJ124" s="60">
        <v>10</v>
      </c>
      <c r="HK124" s="60">
        <v>11</v>
      </c>
      <c r="HL124" s="60">
        <v>12</v>
      </c>
      <c r="HM124" s="60">
        <v>13</v>
      </c>
      <c r="HN124" s="60">
        <v>14</v>
      </c>
      <c r="HO124" s="60">
        <v>15</v>
      </c>
      <c r="HP124" s="60">
        <v>16</v>
      </c>
      <c r="HQ124" s="60">
        <v>17</v>
      </c>
      <c r="HR124" s="60">
        <v>18</v>
      </c>
      <c r="HS124" s="60">
        <v>19</v>
      </c>
      <c r="HT124" s="60">
        <v>20</v>
      </c>
      <c r="HW124" s="61">
        <v>0</v>
      </c>
      <c r="HX124" s="61">
        <v>1</v>
      </c>
      <c r="HY124" s="61">
        <v>2</v>
      </c>
      <c r="HZ124" s="61">
        <v>3</v>
      </c>
      <c r="IA124" s="61">
        <v>4</v>
      </c>
      <c r="IB124" s="61">
        <v>5</v>
      </c>
      <c r="IC124" s="61">
        <v>6</v>
      </c>
      <c r="ID124" s="61">
        <v>7</v>
      </c>
      <c r="IE124" s="61">
        <v>8</v>
      </c>
      <c r="IF124" s="61">
        <v>9</v>
      </c>
      <c r="IG124" s="61">
        <v>10</v>
      </c>
      <c r="IH124" s="61">
        <v>11</v>
      </c>
      <c r="II124" s="61">
        <v>12</v>
      </c>
      <c r="IJ124" s="61">
        <v>13</v>
      </c>
      <c r="IK124" s="61">
        <v>14</v>
      </c>
      <c r="IL124" s="61">
        <v>15</v>
      </c>
      <c r="IM124" s="61">
        <v>16</v>
      </c>
      <c r="IN124" s="61">
        <v>17</v>
      </c>
      <c r="IO124" s="61">
        <v>18</v>
      </c>
      <c r="IP124" s="61">
        <v>19</v>
      </c>
      <c r="IQ124" s="61">
        <v>20</v>
      </c>
      <c r="IT124" s="60">
        <f t="shared" si="69"/>
        <v>0</v>
      </c>
      <c r="IU124" s="60">
        <f t="shared" si="70"/>
        <v>2</v>
      </c>
      <c r="IV124" s="60">
        <f t="shared" si="71"/>
        <v>4</v>
      </c>
      <c r="IW124" s="60">
        <f t="shared" si="72"/>
        <v>6</v>
      </c>
      <c r="IX124" s="60">
        <f t="shared" si="73"/>
        <v>8</v>
      </c>
      <c r="IY124" s="60">
        <f t="shared" si="74"/>
        <v>10</v>
      </c>
      <c r="IZ124" s="60">
        <f t="shared" si="75"/>
        <v>12</v>
      </c>
      <c r="JA124" s="60">
        <f t="shared" si="76"/>
        <v>14</v>
      </c>
      <c r="JB124" s="60">
        <f t="shared" si="77"/>
        <v>16</v>
      </c>
      <c r="JC124" s="60">
        <f t="shared" si="78"/>
        <v>18</v>
      </c>
      <c r="JD124" s="60">
        <f t="shared" si="79"/>
        <v>20</v>
      </c>
      <c r="JE124" s="60">
        <f t="shared" si="80"/>
        <v>22</v>
      </c>
      <c r="JF124" s="60">
        <f t="shared" si="81"/>
        <v>24</v>
      </c>
      <c r="JG124" s="60">
        <f t="shared" si="82"/>
        <v>26</v>
      </c>
      <c r="JH124" s="60">
        <f t="shared" si="83"/>
        <v>28</v>
      </c>
      <c r="JI124" s="60">
        <f t="shared" si="84"/>
        <v>30</v>
      </c>
      <c r="JJ124" s="60">
        <f t="shared" si="85"/>
        <v>32</v>
      </c>
      <c r="JK124" s="60">
        <f t="shared" si="86"/>
        <v>34</v>
      </c>
      <c r="JL124" s="60">
        <f t="shared" si="87"/>
        <v>36</v>
      </c>
      <c r="JM124" s="60">
        <f t="shared" si="88"/>
        <v>38</v>
      </c>
      <c r="JN124" s="60">
        <f t="shared" si="89"/>
        <v>40</v>
      </c>
    </row>
    <row r="125" spans="1:293" x14ac:dyDescent="0.25">
      <c r="A125" s="9"/>
      <c r="B125" s="9"/>
      <c r="C125" s="9"/>
      <c r="D125" s="9"/>
      <c r="E125" s="9"/>
      <c r="F125" s="9"/>
      <c r="G125" s="9"/>
      <c r="H125" s="9"/>
      <c r="I125" s="9"/>
      <c r="J125" s="9"/>
      <c r="K125" s="9"/>
      <c r="L125" s="6"/>
      <c r="M125" s="11"/>
      <c r="N125" s="11"/>
      <c r="O125" s="62"/>
      <c r="P125" s="34"/>
      <c r="Q125" s="34"/>
      <c r="R125" s="35"/>
      <c r="S125" s="34"/>
      <c r="T125" s="34" t="e">
        <f>SUM(T105:T124)</f>
        <v>#N/A</v>
      </c>
      <c r="U125" s="34" t="e">
        <f>SUM(U105:U124)</f>
        <v>#N/A</v>
      </c>
      <c r="V125" s="61"/>
      <c r="W125" s="142">
        <f t="shared" si="99"/>
        <v>0</v>
      </c>
      <c r="X125" s="61" t="s">
        <v>832</v>
      </c>
      <c r="Y125" s="61">
        <v>2450</v>
      </c>
      <c r="Z125" s="61"/>
      <c r="AA125" s="61"/>
      <c r="AB125" s="61">
        <f t="shared" si="95"/>
        <v>0</v>
      </c>
      <c r="AC12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</f>
        <v>0</v>
      </c>
      <c r="AD12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</f>
        <v>0</v>
      </c>
      <c r="AE12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</f>
        <v>0</v>
      </c>
      <c r="AF12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)*C115</f>
        <v>0</v>
      </c>
      <c r="AG12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)*C115</f>
        <v>0</v>
      </c>
      <c r="AH12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)*C115</f>
        <v>0</v>
      </c>
      <c r="AI125" s="61">
        <f t="shared" si="90"/>
        <v>0</v>
      </c>
      <c r="AJ125" s="61">
        <f t="shared" si="91"/>
        <v>0</v>
      </c>
      <c r="AK125" s="61">
        <f t="shared" si="92"/>
        <v>0</v>
      </c>
      <c r="AL125" s="61" t="s">
        <v>12</v>
      </c>
      <c r="AM125" s="61">
        <v>0</v>
      </c>
      <c r="AN125" s="61">
        <v>0</v>
      </c>
      <c r="AO125" s="61">
        <v>0</v>
      </c>
      <c r="AP125" s="61">
        <v>0</v>
      </c>
      <c r="AQ125" s="61">
        <v>0</v>
      </c>
      <c r="AR125" s="61">
        <v>0</v>
      </c>
      <c r="AS125" s="61">
        <v>0</v>
      </c>
      <c r="AT125" s="61">
        <v>0</v>
      </c>
      <c r="AU125" s="61">
        <v>2</v>
      </c>
      <c r="AV125" s="61">
        <v>0</v>
      </c>
      <c r="AW125" s="61">
        <v>0</v>
      </c>
      <c r="AX125" s="61">
        <v>0</v>
      </c>
      <c r="AY125" s="61">
        <v>0</v>
      </c>
      <c r="AZ125" s="61">
        <v>4</v>
      </c>
      <c r="BA125" s="61">
        <v>2</v>
      </c>
      <c r="BB125" s="61">
        <v>0</v>
      </c>
      <c r="BC125" s="61">
        <v>2</v>
      </c>
      <c r="BD125" s="61">
        <v>0</v>
      </c>
      <c r="BE125" s="61">
        <v>0</v>
      </c>
      <c r="BF125" s="61">
        <v>4</v>
      </c>
      <c r="BG125" s="61">
        <v>2</v>
      </c>
      <c r="BH125" s="61">
        <v>0</v>
      </c>
      <c r="BI125" s="61">
        <v>0</v>
      </c>
      <c r="BJ125" s="61">
        <v>2</v>
      </c>
      <c r="BK125" s="61">
        <v>0</v>
      </c>
      <c r="BL125" s="61">
        <v>0</v>
      </c>
      <c r="BM125" s="61">
        <v>0</v>
      </c>
      <c r="BN125" s="61">
        <v>0</v>
      </c>
      <c r="BO125" s="61">
        <v>4</v>
      </c>
      <c r="BP125" s="61">
        <v>2</v>
      </c>
      <c r="BQ125" s="61">
        <v>0</v>
      </c>
      <c r="BR125" s="61">
        <v>2</v>
      </c>
      <c r="BS125" s="61">
        <v>0</v>
      </c>
      <c r="BT125" s="61">
        <v>0</v>
      </c>
      <c r="BU125" s="61">
        <v>2</v>
      </c>
      <c r="BV125" s="61">
        <v>0</v>
      </c>
      <c r="BW125" s="61">
        <v>0</v>
      </c>
      <c r="BX125" s="61">
        <v>0</v>
      </c>
      <c r="BY125" s="61">
        <v>0</v>
      </c>
      <c r="BZ125" s="61">
        <v>0</v>
      </c>
      <c r="CA125" s="61">
        <v>0</v>
      </c>
      <c r="CB125" s="61">
        <v>0</v>
      </c>
      <c r="CC125" s="61">
        <v>0</v>
      </c>
      <c r="CD125" s="61">
        <v>0</v>
      </c>
      <c r="CE125" s="61">
        <v>0</v>
      </c>
      <c r="CF125" s="61">
        <v>0</v>
      </c>
      <c r="CG125" s="61">
        <v>0</v>
      </c>
      <c r="CH125" s="61">
        <v>0</v>
      </c>
      <c r="CI125" s="61">
        <v>0</v>
      </c>
      <c r="CJ125" s="61">
        <v>0</v>
      </c>
      <c r="CK125" s="61">
        <v>0</v>
      </c>
      <c r="CL125" s="61"/>
      <c r="CM125" s="63">
        <v>15</v>
      </c>
      <c r="CN125" s="61" t="s">
        <v>609</v>
      </c>
      <c r="CO125" s="61" t="s">
        <v>609</v>
      </c>
      <c r="CP125" s="61" t="s">
        <v>609</v>
      </c>
      <c r="CQ125" s="61" t="s">
        <v>609</v>
      </c>
      <c r="CR125" s="61" t="s">
        <v>609</v>
      </c>
      <c r="CS125" s="61" t="s">
        <v>609</v>
      </c>
      <c r="CT125" s="61" t="s">
        <v>609</v>
      </c>
      <c r="CU125" s="61" t="s">
        <v>609</v>
      </c>
      <c r="CV125" s="61" t="s">
        <v>609</v>
      </c>
      <c r="CW125" s="61" t="s">
        <v>609</v>
      </c>
      <c r="CX125" s="61" t="s">
        <v>609</v>
      </c>
      <c r="CY125" s="61" t="s">
        <v>609</v>
      </c>
      <c r="CZ125" s="61" t="s">
        <v>609</v>
      </c>
      <c r="DA125" s="61" t="s">
        <v>609</v>
      </c>
      <c r="DB125" s="61" t="s">
        <v>548</v>
      </c>
      <c r="DC125" s="61" t="s">
        <v>551</v>
      </c>
      <c r="DD125" s="61" t="s">
        <v>554</v>
      </c>
      <c r="DE125" s="61" t="s">
        <v>557</v>
      </c>
      <c r="DF125" s="61" t="s">
        <v>560</v>
      </c>
      <c r="DG125" s="61"/>
      <c r="DH125" s="61"/>
      <c r="DI125" s="61"/>
      <c r="DJ125" s="61"/>
      <c r="DK125" s="61"/>
      <c r="DL125" s="61"/>
      <c r="DM125" s="61"/>
      <c r="DN125" s="61"/>
      <c r="DO125" s="61"/>
      <c r="DP125" s="61"/>
      <c r="DQ125" s="61"/>
      <c r="DR125" s="61"/>
      <c r="DS125" s="61"/>
      <c r="DT125" s="61"/>
      <c r="DU125" s="61"/>
      <c r="DV125" s="61"/>
      <c r="DW125" s="61"/>
      <c r="DX125" s="61"/>
      <c r="DY125" s="61"/>
      <c r="DZ125" s="61">
        <v>22</v>
      </c>
      <c r="EA125" s="61">
        <v>44</v>
      </c>
      <c r="EB125" s="61"/>
      <c r="EC125" s="61"/>
      <c r="ED125" s="61"/>
      <c r="EE125" s="61"/>
      <c r="EF125" s="61"/>
      <c r="EG125" s="61"/>
      <c r="EH125" s="61"/>
      <c r="EI125" s="61"/>
      <c r="EJ125" s="61"/>
      <c r="EK125" s="61"/>
      <c r="EL125" s="61"/>
      <c r="EM125" s="61"/>
      <c r="EN125" s="61"/>
      <c r="EO125" s="61" t="s">
        <v>472</v>
      </c>
      <c r="EP125" s="61" t="s">
        <v>867</v>
      </c>
      <c r="EQ125" s="61" t="s">
        <v>874</v>
      </c>
      <c r="ER125" s="61" t="s">
        <v>875</v>
      </c>
      <c r="ES125" s="61"/>
      <c r="ET125" s="61"/>
      <c r="EU125" s="61"/>
      <c r="EV125" s="61" t="s">
        <v>212</v>
      </c>
      <c r="EW125" s="61">
        <v>0</v>
      </c>
      <c r="EX125" s="61">
        <v>0</v>
      </c>
      <c r="EY125" s="61">
        <v>0</v>
      </c>
      <c r="EZ125" s="61">
        <v>2</v>
      </c>
      <c r="FA125" s="61">
        <v>2</v>
      </c>
      <c r="FB125" s="61">
        <v>2</v>
      </c>
      <c r="FC125" s="61">
        <v>2</v>
      </c>
      <c r="FD125" s="61">
        <v>0</v>
      </c>
      <c r="FE125" s="61">
        <v>4</v>
      </c>
      <c r="FF125" s="61">
        <v>0</v>
      </c>
      <c r="FG125" s="61">
        <v>2</v>
      </c>
      <c r="FH125" s="61">
        <v>2</v>
      </c>
      <c r="FI125" s="61">
        <v>4</v>
      </c>
      <c r="FJ125" s="61">
        <v>0</v>
      </c>
      <c r="FK125" s="61">
        <v>0</v>
      </c>
      <c r="FL125" s="61">
        <v>2</v>
      </c>
      <c r="FM125" s="61">
        <v>6</v>
      </c>
      <c r="FN125" s="61">
        <v>2</v>
      </c>
      <c r="FO125" s="61">
        <v>6</v>
      </c>
      <c r="FP125" s="61">
        <v>10</v>
      </c>
      <c r="FQ125" s="61">
        <v>6</v>
      </c>
      <c r="FR125" s="61">
        <v>4</v>
      </c>
      <c r="FS125" s="61">
        <v>8</v>
      </c>
      <c r="FT125" s="61">
        <v>10</v>
      </c>
      <c r="FU125" s="61">
        <v>0</v>
      </c>
      <c r="FV125" s="61">
        <v>12</v>
      </c>
      <c r="FW125" s="61">
        <v>8</v>
      </c>
      <c r="FX125" s="61">
        <v>4</v>
      </c>
      <c r="FY125" s="61">
        <v>2</v>
      </c>
      <c r="FZ125" s="61">
        <v>12</v>
      </c>
      <c r="GA125" s="61">
        <v>2</v>
      </c>
      <c r="GB125" s="61">
        <v>0</v>
      </c>
      <c r="GC125" s="61">
        <v>12</v>
      </c>
      <c r="GD125" s="61">
        <v>6</v>
      </c>
      <c r="GE125" s="61">
        <v>2</v>
      </c>
      <c r="GF125" s="61">
        <v>8</v>
      </c>
      <c r="GG125" s="61">
        <v>4</v>
      </c>
      <c r="GH125" s="61">
        <v>0</v>
      </c>
      <c r="GI125" s="61">
        <v>12</v>
      </c>
      <c r="GJ125" s="61">
        <v>8</v>
      </c>
      <c r="GK125" s="61">
        <v>12</v>
      </c>
      <c r="GL125" s="61">
        <v>2</v>
      </c>
      <c r="GM125" s="61">
        <v>16</v>
      </c>
      <c r="GN125" s="61">
        <v>2</v>
      </c>
      <c r="GO125" s="61">
        <v>6</v>
      </c>
      <c r="GP125" s="61">
        <v>4</v>
      </c>
      <c r="GQ125" s="61">
        <v>0</v>
      </c>
      <c r="GR125" s="61">
        <v>10</v>
      </c>
      <c r="GS125" s="61">
        <v>0</v>
      </c>
      <c r="GT125" s="61">
        <v>4</v>
      </c>
      <c r="GU125" s="61">
        <v>0</v>
      </c>
      <c r="GV125" s="61"/>
      <c r="GW125" s="61"/>
      <c r="GX125" s="61"/>
      <c r="GY125" s="60" t="s">
        <v>710</v>
      </c>
      <c r="GZ125" s="60">
        <v>0</v>
      </c>
      <c r="HA125" s="60">
        <v>2</v>
      </c>
      <c r="HB125" s="60">
        <v>0</v>
      </c>
      <c r="HC125" s="60">
        <v>4</v>
      </c>
      <c r="HD125" s="60">
        <v>2</v>
      </c>
      <c r="HE125" s="60">
        <v>0</v>
      </c>
      <c r="HF125" s="60">
        <v>4</v>
      </c>
      <c r="HG125" s="60">
        <v>2</v>
      </c>
      <c r="HH125" s="60">
        <v>0</v>
      </c>
      <c r="HI125" s="60">
        <v>4</v>
      </c>
      <c r="HJ125" s="60">
        <v>2</v>
      </c>
      <c r="HK125" s="60">
        <v>0</v>
      </c>
      <c r="HL125" s="60">
        <v>4</v>
      </c>
      <c r="HM125" s="60">
        <v>2</v>
      </c>
      <c r="HN125" s="60">
        <v>0</v>
      </c>
      <c r="HO125" s="60">
        <v>2</v>
      </c>
      <c r="HP125" s="60">
        <v>0</v>
      </c>
      <c r="HQ125" s="60">
        <v>4</v>
      </c>
      <c r="HR125" s="60">
        <v>2</v>
      </c>
      <c r="HS125" s="60">
        <v>0</v>
      </c>
      <c r="HT125" s="60">
        <v>4</v>
      </c>
      <c r="HV125" s="60" t="s">
        <v>826</v>
      </c>
      <c r="HW125" s="61">
        <v>0</v>
      </c>
      <c r="HX125" s="61">
        <v>2</v>
      </c>
      <c r="HY125" s="61">
        <v>0</v>
      </c>
      <c r="HZ125" s="61">
        <v>2</v>
      </c>
      <c r="IA125" s="61">
        <v>4</v>
      </c>
      <c r="IB125" s="61">
        <v>2</v>
      </c>
      <c r="IC125" s="61">
        <v>4</v>
      </c>
      <c r="ID125" s="61">
        <v>0</v>
      </c>
      <c r="IE125" s="61">
        <v>4</v>
      </c>
      <c r="IF125" s="61">
        <v>0</v>
      </c>
      <c r="IG125" s="61">
        <v>2</v>
      </c>
      <c r="IH125" s="61">
        <v>0</v>
      </c>
      <c r="II125" s="61">
        <v>2</v>
      </c>
      <c r="IJ125" s="61">
        <v>4</v>
      </c>
      <c r="IK125" s="61">
        <v>2</v>
      </c>
      <c r="IL125" s="61">
        <v>4</v>
      </c>
      <c r="IM125" s="61">
        <v>2</v>
      </c>
      <c r="IN125" s="61">
        <v>4</v>
      </c>
      <c r="IO125" s="61">
        <v>0</v>
      </c>
      <c r="IP125" s="61">
        <v>4</v>
      </c>
      <c r="IQ125" s="61">
        <v>0</v>
      </c>
      <c r="IS125" s="60" t="s">
        <v>826</v>
      </c>
      <c r="IT125" s="60">
        <f t="shared" si="69"/>
        <v>0</v>
      </c>
      <c r="IU125" s="60">
        <f t="shared" si="70"/>
        <v>4</v>
      </c>
      <c r="IV125" s="60">
        <f t="shared" si="71"/>
        <v>0</v>
      </c>
      <c r="IW125" s="60">
        <f t="shared" si="72"/>
        <v>4</v>
      </c>
      <c r="IX125" s="60">
        <f t="shared" si="73"/>
        <v>8</v>
      </c>
      <c r="IY125" s="60">
        <f t="shared" si="74"/>
        <v>4</v>
      </c>
      <c r="IZ125" s="60">
        <f t="shared" si="75"/>
        <v>8</v>
      </c>
      <c r="JA125" s="60">
        <f t="shared" si="76"/>
        <v>0</v>
      </c>
      <c r="JB125" s="60">
        <f t="shared" si="77"/>
        <v>8</v>
      </c>
      <c r="JC125" s="60">
        <f t="shared" si="78"/>
        <v>0</v>
      </c>
      <c r="JD125" s="60">
        <f t="shared" si="79"/>
        <v>4</v>
      </c>
      <c r="JE125" s="60">
        <f t="shared" si="80"/>
        <v>0</v>
      </c>
      <c r="JF125" s="60">
        <f t="shared" si="81"/>
        <v>4</v>
      </c>
      <c r="JG125" s="60">
        <f t="shared" si="82"/>
        <v>8</v>
      </c>
      <c r="JH125" s="60">
        <f t="shared" si="83"/>
        <v>4</v>
      </c>
      <c r="JI125" s="60">
        <f t="shared" si="84"/>
        <v>8</v>
      </c>
      <c r="JJ125" s="60">
        <f t="shared" si="85"/>
        <v>4</v>
      </c>
      <c r="JK125" s="60">
        <f t="shared" si="86"/>
        <v>8</v>
      </c>
      <c r="JL125" s="60">
        <f t="shared" si="87"/>
        <v>0</v>
      </c>
      <c r="JM125" s="60">
        <f t="shared" si="88"/>
        <v>8</v>
      </c>
      <c r="JN125" s="60">
        <f t="shared" si="89"/>
        <v>0</v>
      </c>
    </row>
    <row r="126" spans="1:293" x14ac:dyDescent="0.25">
      <c r="A126" s="9"/>
      <c r="B126" s="9"/>
      <c r="C126" s="9"/>
      <c r="D126" s="9"/>
      <c r="E126" s="9"/>
      <c r="F126" s="9"/>
      <c r="G126" s="9"/>
      <c r="H126" s="9"/>
      <c r="I126" s="9"/>
      <c r="J126" s="9"/>
      <c r="K126" s="9"/>
      <c r="V126" s="61"/>
      <c r="W126" s="142">
        <f t="shared" si="99"/>
        <v>0</v>
      </c>
      <c r="X126" s="61" t="s">
        <v>833</v>
      </c>
      <c r="Y126" s="61">
        <v>2500</v>
      </c>
      <c r="Z126" s="61"/>
      <c r="AA126" s="61"/>
      <c r="AB126" s="61">
        <f t="shared" si="95"/>
        <v>0</v>
      </c>
      <c r="AC12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</f>
        <v>0</v>
      </c>
      <c r="AD12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</f>
        <v>0</v>
      </c>
      <c r="AE12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</f>
        <v>0</v>
      </c>
      <c r="AF12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)*C116</f>
        <v>0</v>
      </c>
      <c r="AG12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)*C116</f>
        <v>0</v>
      </c>
      <c r="AH12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)*C116</f>
        <v>0</v>
      </c>
      <c r="AI126" s="61">
        <f t="shared" si="90"/>
        <v>0</v>
      </c>
      <c r="AJ126" s="61">
        <f t="shared" si="91"/>
        <v>0</v>
      </c>
      <c r="AK126" s="61">
        <f t="shared" si="92"/>
        <v>0</v>
      </c>
      <c r="AL126" s="61" t="s">
        <v>127</v>
      </c>
      <c r="AM126" s="61">
        <v>0</v>
      </c>
      <c r="AN126" s="61">
        <v>0</v>
      </c>
      <c r="AO126" s="61">
        <v>2</v>
      </c>
      <c r="AP126" s="61">
        <v>0</v>
      </c>
      <c r="AQ126" s="61">
        <v>4</v>
      </c>
      <c r="AR126" s="61">
        <v>2</v>
      </c>
      <c r="AS126" s="61">
        <v>0</v>
      </c>
      <c r="AT126" s="61">
        <v>4</v>
      </c>
      <c r="AU126" s="61">
        <v>0</v>
      </c>
      <c r="AV126" s="61">
        <v>0</v>
      </c>
      <c r="AW126" s="61">
        <v>4</v>
      </c>
      <c r="AX126" s="61">
        <v>2</v>
      </c>
      <c r="AY126" s="61">
        <v>0</v>
      </c>
      <c r="AZ126" s="61">
        <v>0</v>
      </c>
      <c r="BA126" s="61">
        <v>0</v>
      </c>
      <c r="BB126" s="61">
        <v>0</v>
      </c>
      <c r="BC126" s="61">
        <v>2</v>
      </c>
      <c r="BD126" s="61">
        <v>2</v>
      </c>
      <c r="BE126" s="61">
        <v>0</v>
      </c>
      <c r="BF126" s="61">
        <v>0</v>
      </c>
      <c r="BG126" s="61">
        <v>0</v>
      </c>
      <c r="BH126" s="61">
        <v>0</v>
      </c>
      <c r="BI126" s="61">
        <v>4</v>
      </c>
      <c r="BJ126" s="61">
        <v>0</v>
      </c>
      <c r="BK126" s="61">
        <v>0</v>
      </c>
      <c r="BL126" s="61">
        <v>4</v>
      </c>
      <c r="BM126" s="61">
        <v>2</v>
      </c>
      <c r="BN126" s="61">
        <v>0</v>
      </c>
      <c r="BO126" s="61">
        <v>0</v>
      </c>
      <c r="BP126" s="61">
        <v>0</v>
      </c>
      <c r="BQ126" s="61">
        <v>0</v>
      </c>
      <c r="BR126" s="61">
        <v>2</v>
      </c>
      <c r="BS126" s="61">
        <v>2</v>
      </c>
      <c r="BT126" s="61">
        <v>0</v>
      </c>
      <c r="BU126" s="61">
        <v>0</v>
      </c>
      <c r="BV126" s="61">
        <v>0</v>
      </c>
      <c r="BW126" s="61">
        <v>0</v>
      </c>
      <c r="BX126" s="61">
        <v>2</v>
      </c>
      <c r="BY126" s="61">
        <v>0</v>
      </c>
      <c r="BZ126" s="61">
        <v>0</v>
      </c>
      <c r="CA126" s="61">
        <v>0</v>
      </c>
      <c r="CB126" s="61">
        <v>2</v>
      </c>
      <c r="CC126" s="61">
        <v>0</v>
      </c>
      <c r="CD126" s="61">
        <v>0</v>
      </c>
      <c r="CE126" s="61">
        <v>0</v>
      </c>
      <c r="CF126" s="61">
        <v>0</v>
      </c>
      <c r="CG126" s="61">
        <v>0</v>
      </c>
      <c r="CH126" s="61">
        <v>0</v>
      </c>
      <c r="CI126" s="61">
        <v>0</v>
      </c>
      <c r="CJ126" s="61">
        <v>0</v>
      </c>
      <c r="CK126" s="61">
        <v>2</v>
      </c>
      <c r="CL126" s="61"/>
      <c r="CM126" s="63">
        <v>20</v>
      </c>
      <c r="CN126" s="61" t="s">
        <v>610</v>
      </c>
      <c r="CO126" s="61" t="s">
        <v>610</v>
      </c>
      <c r="CP126" s="61" t="s">
        <v>610</v>
      </c>
      <c r="CQ126" s="61" t="s">
        <v>610</v>
      </c>
      <c r="CR126" s="61" t="s">
        <v>610</v>
      </c>
      <c r="CS126" s="61" t="s">
        <v>610</v>
      </c>
      <c r="CT126" s="61" t="s">
        <v>610</v>
      </c>
      <c r="CU126" s="61" t="s">
        <v>610</v>
      </c>
      <c r="CV126" s="61" t="s">
        <v>610</v>
      </c>
      <c r="CW126" s="61" t="s">
        <v>610</v>
      </c>
      <c r="CX126" s="61" t="s">
        <v>610</v>
      </c>
      <c r="CY126" s="61" t="s">
        <v>610</v>
      </c>
      <c r="CZ126" s="61" t="s">
        <v>610</v>
      </c>
      <c r="DA126" s="61" t="s">
        <v>610</v>
      </c>
      <c r="DB126" s="61" t="s">
        <v>549</v>
      </c>
      <c r="DC126" s="61" t="s">
        <v>552</v>
      </c>
      <c r="DD126" s="61" t="s">
        <v>555</v>
      </c>
      <c r="DE126" s="61" t="s">
        <v>558</v>
      </c>
      <c r="DF126" s="61" t="s">
        <v>561</v>
      </c>
      <c r="DG126" s="61"/>
      <c r="DH126" s="61"/>
      <c r="DI126" s="61"/>
      <c r="DJ126" s="61"/>
      <c r="DK126" s="61"/>
      <c r="DL126" s="61"/>
      <c r="DM126" s="61"/>
      <c r="DN126" s="61"/>
      <c r="DO126" s="61"/>
      <c r="DP126" s="61"/>
      <c r="DQ126" s="61"/>
      <c r="DR126" s="61"/>
      <c r="DS126" s="61"/>
      <c r="DT126" s="61"/>
      <c r="DU126" s="61"/>
      <c r="DV126" s="61"/>
      <c r="DW126" s="61"/>
      <c r="DX126" s="61"/>
      <c r="DY126" s="61"/>
      <c r="DZ126" s="61">
        <v>23</v>
      </c>
      <c r="EA126" s="61">
        <v>46</v>
      </c>
      <c r="EB126" s="61"/>
      <c r="EC126" s="61"/>
      <c r="ED126" s="61"/>
      <c r="EE126" s="61"/>
      <c r="EF126" s="61"/>
      <c r="EG126" s="61"/>
      <c r="EH126" s="61"/>
      <c r="EI126" s="61"/>
      <c r="EJ126" s="61"/>
      <c r="EK126" s="61"/>
      <c r="EL126" s="61"/>
      <c r="EM126" s="61"/>
      <c r="EN126" s="61"/>
      <c r="EO126" s="61" t="s">
        <v>471</v>
      </c>
      <c r="EP126" s="61" t="s">
        <v>867</v>
      </c>
      <c r="EQ126" s="61" t="s">
        <v>874</v>
      </c>
      <c r="ER126" s="61" t="s">
        <v>875</v>
      </c>
      <c r="ES126" s="61"/>
      <c r="ET126" s="61"/>
      <c r="EU126" s="61"/>
      <c r="EV126" s="61" t="s">
        <v>214</v>
      </c>
      <c r="EW126" s="61">
        <v>0</v>
      </c>
      <c r="EX126" s="61">
        <v>0</v>
      </c>
      <c r="EY126" s="61">
        <v>0</v>
      </c>
      <c r="EZ126" s="61">
        <v>0</v>
      </c>
      <c r="FA126" s="61">
        <v>0</v>
      </c>
      <c r="FB126" s="61">
        <v>0</v>
      </c>
      <c r="FC126" s="61">
        <v>0</v>
      </c>
      <c r="FD126" s="61">
        <v>2</v>
      </c>
      <c r="FE126" s="61">
        <v>0</v>
      </c>
      <c r="FF126" s="61">
        <v>2</v>
      </c>
      <c r="FG126" s="61">
        <v>4</v>
      </c>
      <c r="FH126" s="61">
        <v>4</v>
      </c>
      <c r="FI126" s="61">
        <v>2</v>
      </c>
      <c r="FJ126" s="61">
        <v>6</v>
      </c>
      <c r="FK126" s="61">
        <v>6</v>
      </c>
      <c r="FL126" s="61">
        <v>2</v>
      </c>
      <c r="FM126" s="61">
        <v>2</v>
      </c>
      <c r="FN126" s="61">
        <v>8</v>
      </c>
      <c r="FO126" s="61">
        <v>0</v>
      </c>
      <c r="FP126" s="61">
        <v>0</v>
      </c>
      <c r="FQ126" s="61">
        <v>6</v>
      </c>
      <c r="FR126" s="61">
        <v>2</v>
      </c>
      <c r="FS126" s="61">
        <v>4</v>
      </c>
      <c r="FT126" s="61">
        <v>4</v>
      </c>
      <c r="FU126" s="61">
        <v>14</v>
      </c>
      <c r="FV126" s="61">
        <v>0</v>
      </c>
      <c r="FW126" s="61">
        <v>6</v>
      </c>
      <c r="FX126" s="61">
        <v>12</v>
      </c>
      <c r="FY126" s="61">
        <v>8</v>
      </c>
      <c r="FZ126" s="61">
        <v>4</v>
      </c>
      <c r="GA126" s="61">
        <v>14</v>
      </c>
      <c r="GB126" s="61">
        <v>18</v>
      </c>
      <c r="GC126" s="61">
        <v>6</v>
      </c>
      <c r="GD126" s="61">
        <v>12</v>
      </c>
      <c r="GE126" s="61">
        <v>18</v>
      </c>
      <c r="GF126" s="61">
        <v>8</v>
      </c>
      <c r="GG126" s="61">
        <v>14</v>
      </c>
      <c r="GH126" s="61">
        <v>20</v>
      </c>
      <c r="GI126" s="61">
        <v>6</v>
      </c>
      <c r="GJ126" s="61">
        <v>12</v>
      </c>
      <c r="GK126" s="61">
        <v>12</v>
      </c>
      <c r="GL126" s="61">
        <v>22</v>
      </c>
      <c r="GM126" s="61">
        <v>8</v>
      </c>
      <c r="GN126" s="61">
        <v>20</v>
      </c>
      <c r="GO126" s="61">
        <v>20</v>
      </c>
      <c r="GP126" s="61">
        <v>16</v>
      </c>
      <c r="GQ126" s="61">
        <v>22</v>
      </c>
      <c r="GR126" s="61">
        <v>18</v>
      </c>
      <c r="GS126" s="61">
        <v>28</v>
      </c>
      <c r="GT126" s="61">
        <v>20</v>
      </c>
      <c r="GU126" s="61">
        <v>26</v>
      </c>
      <c r="GV126" s="61"/>
      <c r="GW126" s="61"/>
      <c r="GX126" s="61"/>
      <c r="GY126" s="60" t="s">
        <v>711</v>
      </c>
      <c r="GZ126" s="60">
        <v>0</v>
      </c>
      <c r="HA126" s="60">
        <v>0</v>
      </c>
      <c r="HB126" s="60">
        <v>2</v>
      </c>
      <c r="HC126" s="60">
        <v>0</v>
      </c>
      <c r="HD126" s="60">
        <v>2</v>
      </c>
      <c r="HE126" s="60">
        <v>4</v>
      </c>
      <c r="HF126" s="60">
        <v>2</v>
      </c>
      <c r="HG126" s="60">
        <v>4</v>
      </c>
      <c r="HH126" s="60">
        <v>6</v>
      </c>
      <c r="HI126" s="60">
        <v>4</v>
      </c>
      <c r="HJ126" s="60">
        <v>6</v>
      </c>
      <c r="HK126" s="60">
        <v>8</v>
      </c>
      <c r="HL126" s="60">
        <v>6</v>
      </c>
      <c r="HM126" s="60">
        <v>8</v>
      </c>
      <c r="HN126" s="60">
        <v>10</v>
      </c>
      <c r="HO126" s="60">
        <v>10</v>
      </c>
      <c r="HP126" s="60">
        <v>12</v>
      </c>
      <c r="HQ126" s="60">
        <v>10</v>
      </c>
      <c r="HR126" s="60">
        <v>12</v>
      </c>
      <c r="HS126" s="60">
        <v>14</v>
      </c>
      <c r="HT126" s="60">
        <v>12</v>
      </c>
      <c r="HV126" s="60" t="s">
        <v>825</v>
      </c>
      <c r="HW126" s="61">
        <v>0</v>
      </c>
      <c r="HX126" s="61">
        <v>0</v>
      </c>
      <c r="HY126" s="61">
        <v>2</v>
      </c>
      <c r="HZ126" s="61">
        <v>2</v>
      </c>
      <c r="IA126" s="61">
        <v>2</v>
      </c>
      <c r="IB126" s="61">
        <v>4</v>
      </c>
      <c r="IC126" s="61">
        <v>4</v>
      </c>
      <c r="ID126" s="61">
        <v>8</v>
      </c>
      <c r="IE126" s="61">
        <v>6</v>
      </c>
      <c r="IF126" s="61">
        <v>10</v>
      </c>
      <c r="IG126" s="61">
        <v>10</v>
      </c>
      <c r="IH126" s="61">
        <v>12</v>
      </c>
      <c r="II126" s="61">
        <v>12</v>
      </c>
      <c r="IJ126" s="61">
        <v>12</v>
      </c>
      <c r="IK126" s="61">
        <v>14</v>
      </c>
      <c r="IL126" s="61">
        <v>14</v>
      </c>
      <c r="IM126" s="61">
        <v>16</v>
      </c>
      <c r="IN126" s="61">
        <v>16</v>
      </c>
      <c r="IO126" s="61">
        <v>20</v>
      </c>
      <c r="IP126" s="61">
        <v>18</v>
      </c>
      <c r="IQ126" s="61">
        <v>22</v>
      </c>
      <c r="IS126" s="60" t="s">
        <v>825</v>
      </c>
      <c r="IT126" s="60">
        <f t="shared" si="69"/>
        <v>0</v>
      </c>
      <c r="IU126" s="60">
        <f t="shared" si="70"/>
        <v>0</v>
      </c>
      <c r="IV126" s="60">
        <f t="shared" si="71"/>
        <v>4</v>
      </c>
      <c r="IW126" s="60">
        <f t="shared" si="72"/>
        <v>4</v>
      </c>
      <c r="IX126" s="60">
        <f t="shared" si="73"/>
        <v>4</v>
      </c>
      <c r="IY126" s="60">
        <f t="shared" si="74"/>
        <v>8</v>
      </c>
      <c r="IZ126" s="60">
        <f t="shared" si="75"/>
        <v>8</v>
      </c>
      <c r="JA126" s="60">
        <f t="shared" si="76"/>
        <v>16</v>
      </c>
      <c r="JB126" s="60">
        <f t="shared" si="77"/>
        <v>12</v>
      </c>
      <c r="JC126" s="60">
        <f t="shared" si="78"/>
        <v>20</v>
      </c>
      <c r="JD126" s="60">
        <f t="shared" si="79"/>
        <v>20</v>
      </c>
      <c r="JE126" s="60">
        <f t="shared" si="80"/>
        <v>24</v>
      </c>
      <c r="JF126" s="60">
        <f t="shared" si="81"/>
        <v>24</v>
      </c>
      <c r="JG126" s="60">
        <f t="shared" si="82"/>
        <v>24</v>
      </c>
      <c r="JH126" s="60">
        <f t="shared" si="83"/>
        <v>28</v>
      </c>
      <c r="JI126" s="60">
        <f t="shared" si="84"/>
        <v>28</v>
      </c>
      <c r="JJ126" s="60">
        <f t="shared" si="85"/>
        <v>32</v>
      </c>
      <c r="JK126" s="60">
        <f t="shared" si="86"/>
        <v>32</v>
      </c>
      <c r="JL126" s="60">
        <f t="shared" si="87"/>
        <v>40</v>
      </c>
      <c r="JM126" s="60">
        <f t="shared" si="88"/>
        <v>36</v>
      </c>
      <c r="JN126" s="60">
        <f t="shared" si="89"/>
        <v>44</v>
      </c>
      <c r="JQ126" s="63"/>
    </row>
    <row r="127" spans="1:293" x14ac:dyDescent="0.25">
      <c r="A127" s="9"/>
      <c r="B127" s="9"/>
      <c r="C127" s="9"/>
      <c r="D127" s="9"/>
      <c r="E127" s="9"/>
      <c r="T127" s="34"/>
      <c r="U127" s="34"/>
      <c r="V127" s="61"/>
      <c r="W127" s="142">
        <f t="shared" si="99"/>
        <v>0</v>
      </c>
      <c r="Z127" s="61"/>
      <c r="AA127" s="61"/>
      <c r="AB127" s="61">
        <f t="shared" si="95"/>
        <v>0</v>
      </c>
      <c r="AC12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</f>
        <v>0</v>
      </c>
      <c r="AD12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</f>
        <v>0</v>
      </c>
      <c r="AE12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</f>
        <v>0</v>
      </c>
      <c r="AF12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)*C117</f>
        <v>0</v>
      </c>
      <c r="AG12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)*C117</f>
        <v>0</v>
      </c>
      <c r="AH12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)*C117</f>
        <v>0</v>
      </c>
      <c r="AI127" s="61">
        <f t="shared" si="90"/>
        <v>0</v>
      </c>
      <c r="AJ127" s="61">
        <f t="shared" si="91"/>
        <v>0</v>
      </c>
      <c r="AK127" s="61">
        <f>AJ127*C117</f>
        <v>0</v>
      </c>
      <c r="AL127" s="61" t="s">
        <v>15</v>
      </c>
      <c r="AM127" s="61">
        <v>0</v>
      </c>
      <c r="AN127" s="61">
        <v>0</v>
      </c>
      <c r="AO127" s="61">
        <v>0</v>
      </c>
      <c r="AP127" s="61">
        <v>0</v>
      </c>
      <c r="AQ127" s="61">
        <v>0</v>
      </c>
      <c r="AR127" s="61">
        <v>0</v>
      </c>
      <c r="AS127" s="61">
        <v>0</v>
      </c>
      <c r="AT127" s="61">
        <v>2</v>
      </c>
      <c r="AU127" s="61">
        <v>0</v>
      </c>
      <c r="AV127" s="61">
        <v>2</v>
      </c>
      <c r="AW127" s="61">
        <v>2</v>
      </c>
      <c r="AX127" s="61">
        <v>2</v>
      </c>
      <c r="AY127" s="61">
        <v>4</v>
      </c>
      <c r="AZ127" s="61">
        <v>0</v>
      </c>
      <c r="BA127" s="61">
        <v>2</v>
      </c>
      <c r="BB127" s="61">
        <v>4</v>
      </c>
      <c r="BC127" s="61">
        <v>2</v>
      </c>
      <c r="BD127" s="61">
        <v>6</v>
      </c>
      <c r="BE127" s="61">
        <v>4</v>
      </c>
      <c r="BF127" s="61">
        <v>2</v>
      </c>
      <c r="BG127" s="61">
        <v>4</v>
      </c>
      <c r="BH127" s="61">
        <v>6</v>
      </c>
      <c r="BI127" s="61">
        <v>8</v>
      </c>
      <c r="BJ127" s="61">
        <v>4</v>
      </c>
      <c r="BK127" s="61">
        <v>6</v>
      </c>
      <c r="BL127" s="61">
        <v>6</v>
      </c>
      <c r="BM127" s="61">
        <v>6</v>
      </c>
      <c r="BN127" s="61">
        <v>6</v>
      </c>
      <c r="BO127" s="61">
        <v>4</v>
      </c>
      <c r="BP127" s="61">
        <v>6</v>
      </c>
      <c r="BQ127" s="61">
        <v>8</v>
      </c>
      <c r="BR127" s="61">
        <v>6</v>
      </c>
      <c r="BS127" s="61">
        <v>12</v>
      </c>
      <c r="BT127" s="61">
        <v>8</v>
      </c>
      <c r="BU127" s="61">
        <v>22</v>
      </c>
      <c r="BV127" s="61">
        <v>24</v>
      </c>
      <c r="BW127" s="61">
        <v>10</v>
      </c>
      <c r="BX127" s="61">
        <v>0</v>
      </c>
      <c r="BY127" s="61">
        <v>24</v>
      </c>
      <c r="BZ127" s="61">
        <v>10</v>
      </c>
      <c r="CA127" s="61">
        <v>0</v>
      </c>
      <c r="CB127" s="61">
        <v>10</v>
      </c>
      <c r="CC127" s="61">
        <v>10</v>
      </c>
      <c r="CD127" s="61">
        <v>0</v>
      </c>
      <c r="CE127" s="61">
        <v>26</v>
      </c>
      <c r="CF127" s="61">
        <v>12</v>
      </c>
      <c r="CG127" s="61">
        <v>0</v>
      </c>
      <c r="CH127" s="61">
        <v>4</v>
      </c>
      <c r="CI127" s="61">
        <v>12</v>
      </c>
      <c r="CJ127" s="61">
        <v>0</v>
      </c>
      <c r="CK127" s="61">
        <v>12</v>
      </c>
      <c r="CL127" s="61"/>
      <c r="CM127" s="61"/>
      <c r="CN127" s="61"/>
      <c r="CO127" s="61"/>
      <c r="CP127" s="61"/>
      <c r="CQ127" s="61"/>
      <c r="CR127" s="61"/>
      <c r="CS127" s="61"/>
      <c r="CT127" s="61"/>
      <c r="CU127" s="61"/>
      <c r="CV127" s="61"/>
      <c r="CW127" s="61"/>
      <c r="CX127" s="61"/>
      <c r="CY127" s="61"/>
      <c r="CZ127" s="61"/>
      <c r="DA127" s="61"/>
      <c r="DB127" s="61"/>
      <c r="DC127" s="61"/>
      <c r="DD127" s="61"/>
      <c r="DE127" s="61"/>
      <c r="DF127" s="61"/>
      <c r="DG127" s="61"/>
      <c r="DH127" s="61"/>
      <c r="DI127" s="61"/>
      <c r="DJ127" s="61"/>
      <c r="DK127" s="61"/>
      <c r="DL127" s="61"/>
      <c r="DM127" s="61"/>
      <c r="DN127" s="61"/>
      <c r="DO127" s="61"/>
      <c r="DP127" s="61"/>
      <c r="DQ127" s="61"/>
      <c r="DR127" s="61"/>
      <c r="DS127" s="61"/>
      <c r="DT127" s="61"/>
      <c r="DU127" s="61"/>
      <c r="DV127" s="61"/>
      <c r="DW127" s="61"/>
      <c r="DX127" s="61"/>
      <c r="DY127" s="61"/>
      <c r="DZ127" s="61">
        <v>24</v>
      </c>
      <c r="EA127" s="61">
        <v>48</v>
      </c>
      <c r="EB127" s="61"/>
      <c r="EC127" s="61"/>
      <c r="ED127" s="61"/>
      <c r="EE127" s="61"/>
      <c r="EF127" s="61"/>
      <c r="EG127" s="61"/>
      <c r="EH127" s="61"/>
      <c r="EI127" s="61"/>
      <c r="EJ127" s="61"/>
      <c r="EK127" s="61"/>
      <c r="EL127" s="61"/>
      <c r="EM127" s="61"/>
      <c r="EN127" s="61"/>
      <c r="EO127" s="61" t="s">
        <v>473</v>
      </c>
      <c r="EP127" s="61" t="s">
        <v>867</v>
      </c>
      <c r="EQ127" s="61" t="s">
        <v>874</v>
      </c>
      <c r="ER127" s="61" t="s">
        <v>875</v>
      </c>
      <c r="ES127" s="61"/>
      <c r="ET127" s="61"/>
      <c r="EU127" s="61"/>
      <c r="EV127" s="61" t="s">
        <v>11</v>
      </c>
      <c r="EW127" s="61">
        <v>0</v>
      </c>
      <c r="EX127" s="61">
        <v>0</v>
      </c>
      <c r="EY127" s="61">
        <v>0</v>
      </c>
      <c r="EZ127" s="61">
        <v>0</v>
      </c>
      <c r="FA127" s="61">
        <v>2</v>
      </c>
      <c r="FB127" s="61">
        <v>2</v>
      </c>
      <c r="FC127" s="61">
        <v>2</v>
      </c>
      <c r="FD127" s="61">
        <v>4</v>
      </c>
      <c r="FE127" s="61">
        <v>4</v>
      </c>
      <c r="FF127" s="61">
        <v>4</v>
      </c>
      <c r="FG127" s="61">
        <v>4</v>
      </c>
      <c r="FH127" s="61">
        <v>6</v>
      </c>
      <c r="FI127" s="61">
        <v>6</v>
      </c>
      <c r="FJ127" s="61">
        <v>6</v>
      </c>
      <c r="FK127" s="61">
        <v>8</v>
      </c>
      <c r="FL127" s="61">
        <v>8</v>
      </c>
      <c r="FM127" s="61">
        <v>8</v>
      </c>
      <c r="FN127" s="61">
        <v>8</v>
      </c>
      <c r="FO127" s="61">
        <v>10</v>
      </c>
      <c r="FP127" s="61">
        <v>10</v>
      </c>
      <c r="FQ127" s="61">
        <v>10</v>
      </c>
      <c r="FR127" s="61">
        <v>12</v>
      </c>
      <c r="FS127" s="61">
        <v>12</v>
      </c>
      <c r="FT127" s="61">
        <v>12</v>
      </c>
      <c r="FU127" s="61">
        <v>12</v>
      </c>
      <c r="FV127" s="61">
        <v>14</v>
      </c>
      <c r="FW127" s="61">
        <v>14</v>
      </c>
      <c r="FX127" s="61">
        <v>14</v>
      </c>
      <c r="FY127" s="61">
        <v>16</v>
      </c>
      <c r="FZ127" s="61">
        <v>16</v>
      </c>
      <c r="GA127" s="61">
        <v>16</v>
      </c>
      <c r="GB127" s="61">
        <v>16</v>
      </c>
      <c r="GC127" s="61">
        <v>18</v>
      </c>
      <c r="GD127" s="61">
        <v>18</v>
      </c>
      <c r="GE127" s="61">
        <v>18</v>
      </c>
      <c r="GF127" s="61">
        <v>20</v>
      </c>
      <c r="GG127" s="61">
        <v>20</v>
      </c>
      <c r="GH127" s="61">
        <v>20</v>
      </c>
      <c r="GI127" s="61">
        <v>22</v>
      </c>
      <c r="GJ127" s="61">
        <v>22</v>
      </c>
      <c r="GK127" s="61">
        <v>22</v>
      </c>
      <c r="GL127" s="61">
        <v>22</v>
      </c>
      <c r="GM127" s="61">
        <v>24</v>
      </c>
      <c r="GN127" s="61">
        <v>24</v>
      </c>
      <c r="GO127" s="61">
        <v>24</v>
      </c>
      <c r="GP127" s="61">
        <v>26</v>
      </c>
      <c r="GQ127" s="61">
        <v>26</v>
      </c>
      <c r="GR127" s="61">
        <v>26</v>
      </c>
      <c r="GS127" s="61">
        <v>26</v>
      </c>
      <c r="GT127" s="61">
        <v>28</v>
      </c>
      <c r="GU127" s="61">
        <v>28</v>
      </c>
      <c r="GV127" s="61"/>
      <c r="GW127" s="61"/>
      <c r="GX127" s="61"/>
      <c r="GY127" s="60" t="s">
        <v>712</v>
      </c>
      <c r="GZ127" s="60">
        <v>0</v>
      </c>
      <c r="HA127" s="60">
        <v>0</v>
      </c>
      <c r="HB127" s="60">
        <v>0</v>
      </c>
      <c r="HC127" s="60">
        <v>2</v>
      </c>
      <c r="HD127" s="60">
        <v>2</v>
      </c>
      <c r="HE127" s="60">
        <v>2</v>
      </c>
      <c r="HF127" s="60">
        <v>4</v>
      </c>
      <c r="HG127" s="60">
        <v>4</v>
      </c>
      <c r="HH127" s="60">
        <v>4</v>
      </c>
      <c r="HI127" s="60">
        <v>6</v>
      </c>
      <c r="HJ127" s="60">
        <v>6</v>
      </c>
      <c r="HK127" s="60">
        <v>6</v>
      </c>
      <c r="HL127" s="60">
        <v>8</v>
      </c>
      <c r="HM127" s="60">
        <v>8</v>
      </c>
      <c r="HN127" s="60">
        <v>8</v>
      </c>
      <c r="HO127" s="60">
        <v>10</v>
      </c>
      <c r="HP127" s="60">
        <v>10</v>
      </c>
      <c r="HQ127" s="60">
        <v>12</v>
      </c>
      <c r="HR127" s="60">
        <v>12</v>
      </c>
      <c r="HS127" s="60">
        <v>12</v>
      </c>
      <c r="HT127" s="60">
        <v>14</v>
      </c>
      <c r="HV127" s="60" t="s">
        <v>853</v>
      </c>
      <c r="HW127" s="61">
        <v>0</v>
      </c>
      <c r="HX127" s="61">
        <v>0</v>
      </c>
      <c r="HY127" s="61">
        <v>0</v>
      </c>
      <c r="HZ127" s="61">
        <v>2</v>
      </c>
      <c r="IA127" s="61">
        <v>4</v>
      </c>
      <c r="IB127" s="61">
        <v>4</v>
      </c>
      <c r="IC127" s="61">
        <v>6</v>
      </c>
      <c r="ID127" s="61">
        <v>6</v>
      </c>
      <c r="IE127" s="61">
        <v>8</v>
      </c>
      <c r="IF127" s="61">
        <v>8</v>
      </c>
      <c r="IG127" s="61">
        <v>10</v>
      </c>
      <c r="IH127" s="61">
        <v>10</v>
      </c>
      <c r="II127" s="61">
        <v>12</v>
      </c>
      <c r="IJ127" s="61">
        <v>14</v>
      </c>
      <c r="IK127" s="61">
        <v>14</v>
      </c>
      <c r="IL127" s="61">
        <v>16</v>
      </c>
      <c r="IM127" s="61">
        <v>16</v>
      </c>
      <c r="IN127" s="61">
        <v>18</v>
      </c>
      <c r="IO127" s="61">
        <v>18</v>
      </c>
      <c r="IP127" s="61">
        <v>20</v>
      </c>
      <c r="IQ127" s="61">
        <v>20</v>
      </c>
      <c r="IS127" s="60" t="s">
        <v>853</v>
      </c>
      <c r="IT127" s="60">
        <f t="shared" si="69"/>
        <v>0</v>
      </c>
      <c r="IU127" s="60">
        <f t="shared" si="70"/>
        <v>0</v>
      </c>
      <c r="IV127" s="60">
        <f t="shared" si="71"/>
        <v>0</v>
      </c>
      <c r="IW127" s="60">
        <f t="shared" si="72"/>
        <v>4</v>
      </c>
      <c r="IX127" s="60">
        <f t="shared" si="73"/>
        <v>8</v>
      </c>
      <c r="IY127" s="60">
        <f t="shared" si="74"/>
        <v>8</v>
      </c>
      <c r="IZ127" s="60">
        <f t="shared" si="75"/>
        <v>12</v>
      </c>
      <c r="JA127" s="60">
        <f t="shared" si="76"/>
        <v>12</v>
      </c>
      <c r="JB127" s="60">
        <f t="shared" si="77"/>
        <v>16</v>
      </c>
      <c r="JC127" s="60">
        <f t="shared" si="78"/>
        <v>16</v>
      </c>
      <c r="JD127" s="60">
        <f t="shared" si="79"/>
        <v>20</v>
      </c>
      <c r="JE127" s="60">
        <f t="shared" si="80"/>
        <v>20</v>
      </c>
      <c r="JF127" s="60">
        <f t="shared" si="81"/>
        <v>24</v>
      </c>
      <c r="JG127" s="60">
        <f t="shared" si="82"/>
        <v>28</v>
      </c>
      <c r="JH127" s="60">
        <f t="shared" si="83"/>
        <v>28</v>
      </c>
      <c r="JI127" s="60">
        <f t="shared" si="84"/>
        <v>32</v>
      </c>
      <c r="JJ127" s="60">
        <f t="shared" si="85"/>
        <v>32</v>
      </c>
      <c r="JK127" s="60">
        <f t="shared" si="86"/>
        <v>36</v>
      </c>
      <c r="JL127" s="60">
        <f t="shared" si="87"/>
        <v>36</v>
      </c>
      <c r="JM127" s="60">
        <f t="shared" si="88"/>
        <v>40</v>
      </c>
      <c r="JN127" s="60">
        <f t="shared" si="89"/>
        <v>40</v>
      </c>
      <c r="JQ127" s="63"/>
      <c r="KG127" s="63"/>
    </row>
    <row r="128" spans="1:293" ht="51.75" x14ac:dyDescent="0.25">
      <c r="A128" s="3" t="s">
        <v>410</v>
      </c>
      <c r="B128" s="3"/>
      <c r="C128" s="3" t="s">
        <v>121</v>
      </c>
      <c r="D128" s="9"/>
      <c r="E128" s="9"/>
      <c r="F128" s="9"/>
      <c r="G128" s="9"/>
      <c r="H128" s="9"/>
      <c r="I128" s="9"/>
      <c r="J128" s="9"/>
      <c r="K128" s="9"/>
      <c r="L128" s="360" t="str">
        <f>IF(E132=Z104,"KONSTRUKCJA DP-DNHBE-WSCHÓD/ZACHÓD",IF(E132=Z105,"KONSTRUKCJA DP-DNHKE-WSCHÓD/ZACHÓD",IF(E132=Z106,"KONSTRUKCJA DP-DNHWE-WSCHÓD/ZACHÓD",IF(E132=Z107,"KONSTRUKCJA DP-DNHKSE-WSCHÓD/ZACHÓD"))))</f>
        <v>KONSTRUKCJA DP-DNHKE-WSCHÓD/ZACHÓD</v>
      </c>
      <c r="M128" s="360"/>
      <c r="N128" s="360"/>
      <c r="O128" s="360"/>
      <c r="P128" s="360"/>
      <c r="Q128" s="360"/>
      <c r="R128" s="360"/>
      <c r="S128" s="360"/>
      <c r="T128" s="360"/>
      <c r="U128" s="360"/>
      <c r="V128" s="61"/>
      <c r="W128" s="142">
        <f t="shared" si="99"/>
        <v>0</v>
      </c>
      <c r="X128" s="61" t="s">
        <v>114</v>
      </c>
      <c r="Y128" s="61">
        <v>1000</v>
      </c>
      <c r="Z128" s="61"/>
      <c r="AA128" s="61"/>
      <c r="AB128" s="61">
        <f t="shared" si="95"/>
        <v>0</v>
      </c>
      <c r="AC12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</f>
        <v>0</v>
      </c>
      <c r="AD12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</f>
        <v>0</v>
      </c>
      <c r="AE12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</f>
        <v>0</v>
      </c>
      <c r="AF12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)*C118</f>
        <v>0</v>
      </c>
      <c r="AG12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)*C118</f>
        <v>0</v>
      </c>
      <c r="AH12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)*C118</f>
        <v>0</v>
      </c>
      <c r="AI128" s="61">
        <f t="shared" si="90"/>
        <v>0</v>
      </c>
      <c r="AJ128" s="61">
        <f t="shared" si="91"/>
        <v>0</v>
      </c>
      <c r="AK128" s="61">
        <f t="shared" si="92"/>
        <v>0</v>
      </c>
      <c r="AL128" s="61" t="s">
        <v>19</v>
      </c>
      <c r="AM128" s="61">
        <v>0</v>
      </c>
      <c r="AN128" s="61">
        <v>0</v>
      </c>
      <c r="AO128" s="61">
        <v>0</v>
      </c>
      <c r="AP128" s="61">
        <v>2</v>
      </c>
      <c r="AQ128" s="61">
        <v>0</v>
      </c>
      <c r="AR128" s="61">
        <v>2</v>
      </c>
      <c r="AS128" s="61">
        <v>4</v>
      </c>
      <c r="AT128" s="61">
        <v>0</v>
      </c>
      <c r="AU128" s="61">
        <v>4</v>
      </c>
      <c r="AV128" s="61">
        <v>4</v>
      </c>
      <c r="AW128" s="61">
        <v>2</v>
      </c>
      <c r="AX128" s="61">
        <v>4</v>
      </c>
      <c r="AY128" s="61">
        <v>4</v>
      </c>
      <c r="AZ128" s="61">
        <v>6</v>
      </c>
      <c r="BA128" s="61">
        <v>6</v>
      </c>
      <c r="BB128" s="61">
        <v>6</v>
      </c>
      <c r="BC128" s="61">
        <v>6</v>
      </c>
      <c r="BD128" s="61">
        <v>4</v>
      </c>
      <c r="BE128" s="61">
        <v>8</v>
      </c>
      <c r="BF128" s="61">
        <v>8</v>
      </c>
      <c r="BG128" s="61">
        <v>8</v>
      </c>
      <c r="BH128" s="61">
        <v>8</v>
      </c>
      <c r="BI128" s="61">
        <v>4</v>
      </c>
      <c r="BJ128" s="61">
        <v>10</v>
      </c>
      <c r="BK128" s="61">
        <v>10</v>
      </c>
      <c r="BL128" s="61">
        <v>8</v>
      </c>
      <c r="BM128" s="61">
        <v>10</v>
      </c>
      <c r="BN128" s="61">
        <v>12</v>
      </c>
      <c r="BO128" s="61">
        <v>12</v>
      </c>
      <c r="BP128" s="61">
        <v>12</v>
      </c>
      <c r="BQ128" s="61">
        <v>12</v>
      </c>
      <c r="BR128" s="61">
        <v>12</v>
      </c>
      <c r="BS128" s="61">
        <v>8</v>
      </c>
      <c r="BT128" s="61">
        <v>14</v>
      </c>
      <c r="BU128" s="61">
        <v>0</v>
      </c>
      <c r="BV128" s="61">
        <v>0</v>
      </c>
      <c r="BW128" s="61">
        <v>14</v>
      </c>
      <c r="BX128" s="61">
        <v>22</v>
      </c>
      <c r="BY128" s="61">
        <v>2</v>
      </c>
      <c r="BZ128" s="61">
        <v>16</v>
      </c>
      <c r="CA128" s="61">
        <v>26</v>
      </c>
      <c r="CB128" s="61">
        <v>16</v>
      </c>
      <c r="CC128" s="61">
        <v>18</v>
      </c>
      <c r="CD128" s="61">
        <v>28</v>
      </c>
      <c r="CE128" s="61">
        <v>4</v>
      </c>
      <c r="CF128" s="61">
        <v>18</v>
      </c>
      <c r="CG128" s="61">
        <v>30</v>
      </c>
      <c r="CH128" s="61">
        <v>26</v>
      </c>
      <c r="CI128" s="61">
        <v>20</v>
      </c>
      <c r="CJ128" s="61">
        <v>32</v>
      </c>
      <c r="CK128" s="61">
        <v>20</v>
      </c>
      <c r="CL128" s="61"/>
      <c r="CM128" s="61"/>
      <c r="CN128" s="61"/>
      <c r="CO128" s="61"/>
      <c r="CP128" s="61"/>
      <c r="CQ128" s="61"/>
      <c r="CR128" s="61"/>
      <c r="CS128" s="61"/>
      <c r="CT128" s="61"/>
      <c r="CU128" s="61"/>
      <c r="CV128" s="61"/>
      <c r="CW128" s="61"/>
      <c r="CX128" s="61"/>
      <c r="CY128" s="61"/>
      <c r="CZ128" s="61"/>
      <c r="DA128" s="61"/>
      <c r="DB128" s="61"/>
      <c r="DC128" s="61"/>
      <c r="DD128" s="61"/>
      <c r="DE128" s="61"/>
      <c r="DF128" s="61"/>
      <c r="DG128" s="61"/>
      <c r="DH128" s="61"/>
      <c r="DI128" s="61"/>
      <c r="DJ128" s="61"/>
      <c r="DK128" s="61"/>
      <c r="DL128" s="61"/>
      <c r="DM128" s="61"/>
      <c r="DN128" s="61"/>
      <c r="DO128" s="61"/>
      <c r="DP128" s="61"/>
      <c r="DQ128" s="61"/>
      <c r="DR128" s="61"/>
      <c r="DS128" s="61"/>
      <c r="DT128" s="61"/>
      <c r="DU128" s="61"/>
      <c r="DV128" s="61"/>
      <c r="DW128" s="61"/>
      <c r="DX128" s="61"/>
      <c r="DY128" s="61"/>
      <c r="DZ128" s="61">
        <v>25</v>
      </c>
      <c r="EA128" s="61">
        <v>50</v>
      </c>
      <c r="EB128" s="61"/>
      <c r="EC128" s="61"/>
      <c r="ED128" s="61"/>
      <c r="EE128" s="61"/>
      <c r="EF128" s="61"/>
      <c r="EG128" s="61"/>
      <c r="EH128" s="61"/>
      <c r="EI128" s="61"/>
      <c r="EJ128" s="61"/>
      <c r="EK128" s="61"/>
      <c r="EL128" s="61"/>
      <c r="EM128" s="61"/>
      <c r="EN128" s="61"/>
      <c r="EO128" s="61" t="s">
        <v>113</v>
      </c>
      <c r="EP128" s="61" t="s">
        <v>867</v>
      </c>
      <c r="EQ128" s="61" t="s">
        <v>874</v>
      </c>
      <c r="ER128" s="61" t="s">
        <v>875</v>
      </c>
      <c r="ES128" s="61"/>
      <c r="ET128" s="61"/>
      <c r="EU128" s="61"/>
      <c r="EV128" s="61"/>
      <c r="EW128" s="61"/>
      <c r="EX128" s="61"/>
      <c r="EY128" s="61"/>
      <c r="EZ128" s="61"/>
      <c r="FA128" s="61"/>
      <c r="FB128" s="61"/>
      <c r="FC128" s="61"/>
      <c r="FD128" s="61"/>
      <c r="FE128" s="61"/>
      <c r="FF128" s="61"/>
      <c r="FG128" s="61"/>
      <c r="FH128" s="61"/>
      <c r="FI128" s="61"/>
      <c r="FJ128" s="61"/>
      <c r="FK128" s="61"/>
      <c r="FL128" s="61"/>
      <c r="FM128" s="61"/>
      <c r="FN128" s="61"/>
      <c r="FO128" s="61"/>
      <c r="FP128" s="61"/>
      <c r="FQ128" s="61"/>
      <c r="FR128" s="61"/>
      <c r="FS128" s="61"/>
      <c r="FT128" s="61"/>
      <c r="FU128" s="61"/>
      <c r="FV128" s="61"/>
      <c r="FW128" s="61"/>
      <c r="FX128" s="61"/>
      <c r="FY128" s="61"/>
      <c r="FZ128" s="61"/>
      <c r="GA128" s="61"/>
      <c r="GB128" s="61"/>
      <c r="GC128" s="61"/>
      <c r="GD128" s="61"/>
      <c r="GE128" s="61"/>
      <c r="GF128" s="61"/>
      <c r="GG128" s="61"/>
      <c r="GH128" s="61"/>
      <c r="GI128" s="61"/>
      <c r="GJ128" s="61"/>
      <c r="GK128" s="61"/>
      <c r="GL128" s="61"/>
      <c r="GM128" s="61"/>
      <c r="GN128" s="61"/>
      <c r="GO128" s="61"/>
      <c r="GP128" s="61"/>
      <c r="GQ128" s="61"/>
      <c r="GR128" s="61"/>
      <c r="GS128" s="61"/>
      <c r="GT128" s="61"/>
      <c r="GU128" s="61"/>
      <c r="GV128" s="61"/>
      <c r="GW128" s="61"/>
      <c r="GX128" s="61"/>
      <c r="HV128" s="60"/>
      <c r="HW128" s="61"/>
      <c r="HX128" s="61"/>
      <c r="HY128" s="61"/>
      <c r="HZ128" s="61"/>
      <c r="IA128" s="61"/>
      <c r="IB128" s="61"/>
      <c r="IC128" s="61"/>
      <c r="ID128" s="61"/>
      <c r="IE128" s="61"/>
      <c r="IF128" s="61"/>
      <c r="IG128" s="61"/>
      <c r="IH128" s="61"/>
      <c r="II128" s="61"/>
      <c r="IJ128" s="61"/>
      <c r="IK128" s="61"/>
      <c r="IL128" s="61"/>
      <c r="IM128" s="61"/>
      <c r="IN128" s="61"/>
      <c r="IO128" s="61"/>
      <c r="IP128" s="61"/>
      <c r="IQ128" s="61"/>
      <c r="JQ128" s="63"/>
      <c r="KG128" s="63"/>
    </row>
    <row r="129" spans="1:295" x14ac:dyDescent="0.25">
      <c r="A129" s="8"/>
      <c r="B129" s="5" t="s">
        <v>116</v>
      </c>
      <c r="C129" s="8"/>
      <c r="D129" s="9"/>
      <c r="E129" s="9"/>
      <c r="F129" s="9"/>
      <c r="G129" s="9"/>
      <c r="H129" s="9"/>
      <c r="I129" s="9"/>
      <c r="J129" s="9"/>
      <c r="K129" s="9"/>
      <c r="L129" s="5" t="s">
        <v>103</v>
      </c>
      <c r="M129" s="5" t="s">
        <v>104</v>
      </c>
      <c r="N129" s="5" t="s">
        <v>107</v>
      </c>
      <c r="O129" s="5" t="s">
        <v>290</v>
      </c>
      <c r="P129" s="5" t="s">
        <v>446</v>
      </c>
      <c r="Q129" s="5" t="s">
        <v>448</v>
      </c>
      <c r="R129" s="5" t="s">
        <v>409</v>
      </c>
      <c r="S129" s="5" t="s">
        <v>447</v>
      </c>
      <c r="T129" s="5" t="s">
        <v>449</v>
      </c>
      <c r="U129" s="5" t="s">
        <v>106</v>
      </c>
      <c r="V129" s="61"/>
      <c r="W129" s="142">
        <f t="shared" si="99"/>
        <v>0</v>
      </c>
      <c r="X129" s="61" t="s">
        <v>115</v>
      </c>
      <c r="Y129" s="61">
        <v>1050</v>
      </c>
      <c r="Z129" s="61"/>
      <c r="AA129" s="61"/>
      <c r="AB129" s="61">
        <f t="shared" si="95"/>
        <v>0</v>
      </c>
      <c r="AC12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</f>
        <v>0</v>
      </c>
      <c r="AD12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</f>
        <v>0</v>
      </c>
      <c r="AE12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</f>
        <v>0</v>
      </c>
      <c r="AF12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)*C119</f>
        <v>0</v>
      </c>
      <c r="AG12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)*C119</f>
        <v>0</v>
      </c>
      <c r="AH12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)*C119</f>
        <v>0</v>
      </c>
      <c r="AI129" s="61">
        <f>SUM(AC129:AE129)</f>
        <v>0</v>
      </c>
      <c r="AJ129" s="61">
        <f t="shared" si="91"/>
        <v>0</v>
      </c>
      <c r="AK129" s="61">
        <f t="shared" si="92"/>
        <v>0</v>
      </c>
      <c r="AL129" s="61" t="s">
        <v>408</v>
      </c>
      <c r="AM129" s="61">
        <v>0</v>
      </c>
      <c r="AN129" s="61">
        <v>0</v>
      </c>
      <c r="AO129" s="61">
        <v>0</v>
      </c>
      <c r="AP129" s="61">
        <v>0</v>
      </c>
      <c r="AQ129" s="61">
        <v>4</v>
      </c>
      <c r="AR129" s="61">
        <v>4</v>
      </c>
      <c r="AS129" s="61">
        <v>4</v>
      </c>
      <c r="AT129" s="61">
        <v>8</v>
      </c>
      <c r="AU129" s="61">
        <v>8</v>
      </c>
      <c r="AV129" s="61">
        <v>8</v>
      </c>
      <c r="AW129" s="61">
        <v>12</v>
      </c>
      <c r="AX129" s="61">
        <v>12</v>
      </c>
      <c r="AY129" s="61">
        <v>12</v>
      </c>
      <c r="AZ129" s="61">
        <v>16</v>
      </c>
      <c r="BA129" s="61">
        <v>16</v>
      </c>
      <c r="BB129" s="61">
        <v>16</v>
      </c>
      <c r="BC129" s="61">
        <v>20</v>
      </c>
      <c r="BD129" s="61">
        <v>20</v>
      </c>
      <c r="BE129" s="61">
        <v>20</v>
      </c>
      <c r="BF129" s="61">
        <v>24</v>
      </c>
      <c r="BG129" s="61">
        <v>24</v>
      </c>
      <c r="BH129" s="61">
        <v>24</v>
      </c>
      <c r="BI129" s="61">
        <v>28</v>
      </c>
      <c r="BJ129" s="61">
        <v>28</v>
      </c>
      <c r="BK129" s="61">
        <v>28</v>
      </c>
      <c r="BL129" s="61">
        <v>32</v>
      </c>
      <c r="BM129" s="61">
        <v>32</v>
      </c>
      <c r="BN129" s="61">
        <v>32</v>
      </c>
      <c r="BO129" s="61">
        <v>36</v>
      </c>
      <c r="BP129" s="61">
        <v>36</v>
      </c>
      <c r="BQ129" s="61">
        <v>36</v>
      </c>
      <c r="BR129" s="61">
        <v>40</v>
      </c>
      <c r="BS129" s="61">
        <v>40</v>
      </c>
      <c r="BT129" s="61">
        <v>40</v>
      </c>
      <c r="BU129" s="61">
        <v>44</v>
      </c>
      <c r="BV129" s="61">
        <v>44</v>
      </c>
      <c r="BW129" s="61">
        <v>44</v>
      </c>
      <c r="BX129" s="61">
        <v>48</v>
      </c>
      <c r="BY129" s="61">
        <v>48</v>
      </c>
      <c r="BZ129" s="61">
        <v>48</v>
      </c>
      <c r="CA129" s="61">
        <v>48</v>
      </c>
      <c r="CB129" s="61">
        <v>52</v>
      </c>
      <c r="CC129" s="61">
        <v>52</v>
      </c>
      <c r="CD129" s="61">
        <v>52</v>
      </c>
      <c r="CE129" s="61">
        <v>56</v>
      </c>
      <c r="CF129" s="61">
        <v>56</v>
      </c>
      <c r="CG129" s="61">
        <v>56</v>
      </c>
      <c r="CH129" s="61">
        <v>60</v>
      </c>
      <c r="CI129" s="61">
        <v>60</v>
      </c>
      <c r="CJ129" s="61">
        <v>60</v>
      </c>
      <c r="CK129" s="61">
        <v>64</v>
      </c>
      <c r="CL129" s="61"/>
      <c r="CM129" s="61"/>
      <c r="CN129" s="61"/>
      <c r="CO129" s="61"/>
      <c r="CP129" s="61"/>
      <c r="CQ129" s="61"/>
      <c r="CR129" s="61"/>
      <c r="CS129" s="61"/>
      <c r="CT129" s="61"/>
      <c r="CU129" s="61"/>
      <c r="CV129" s="61"/>
      <c r="CW129" s="61"/>
      <c r="CX129" s="61"/>
      <c r="CY129" s="61"/>
      <c r="CZ129" s="61"/>
      <c r="DA129" s="61"/>
      <c r="DB129" s="61"/>
      <c r="DC129" s="61"/>
      <c r="DD129" s="61"/>
      <c r="DE129" s="61"/>
      <c r="DF129" s="61"/>
      <c r="DG129" s="61"/>
      <c r="DH129" s="61"/>
      <c r="DI129" s="61"/>
      <c r="DJ129" s="61"/>
      <c r="DK129" s="61"/>
      <c r="DL129" s="61"/>
      <c r="DM129" s="61"/>
      <c r="DN129" s="61"/>
      <c r="DO129" s="61"/>
      <c r="DP129" s="61"/>
      <c r="DQ129" s="61"/>
      <c r="DR129" s="61"/>
      <c r="DS129" s="61"/>
      <c r="DT129" s="61"/>
      <c r="DU129" s="61"/>
      <c r="DV129" s="61"/>
      <c r="DW129" s="61"/>
      <c r="DX129" s="61"/>
      <c r="DY129" s="61"/>
      <c r="DZ129" s="61">
        <v>26</v>
      </c>
      <c r="EA129" s="61"/>
      <c r="EB129" s="61"/>
      <c r="EC129" s="61"/>
      <c r="ED129" s="61"/>
      <c r="EE129" s="61"/>
      <c r="EF129" s="61"/>
      <c r="EG129" s="61"/>
      <c r="EH129" s="61"/>
      <c r="EI129" s="61"/>
      <c r="EJ129" s="61"/>
      <c r="EK129" s="61"/>
      <c r="EL129" s="61"/>
      <c r="EM129" s="61"/>
      <c r="EN129" s="61"/>
      <c r="EO129" s="61" t="s">
        <v>137</v>
      </c>
      <c r="EP129" s="61" t="s">
        <v>867</v>
      </c>
      <c r="EQ129" s="61" t="s">
        <v>874</v>
      </c>
      <c r="ER129" s="61" t="s">
        <v>875</v>
      </c>
      <c r="ES129" s="61"/>
      <c r="ET129" s="61"/>
      <c r="EU129" s="61"/>
      <c r="EV129" s="61"/>
      <c r="EW129" s="61"/>
      <c r="EX129" s="61"/>
      <c r="EY129" s="61"/>
      <c r="EZ129" s="61"/>
      <c r="FA129" s="61"/>
      <c r="FB129" s="61"/>
      <c r="FC129" s="61"/>
      <c r="FD129" s="61"/>
      <c r="FE129" s="61"/>
      <c r="FF129" s="61"/>
      <c r="FG129" s="61"/>
      <c r="FH129" s="61"/>
      <c r="FI129" s="61"/>
      <c r="FJ129" s="61"/>
      <c r="FK129" s="61"/>
      <c r="FL129" s="61"/>
      <c r="FM129" s="61"/>
      <c r="FN129" s="61"/>
      <c r="FO129" s="61"/>
      <c r="FP129" s="61"/>
      <c r="FQ129" s="61"/>
      <c r="FR129" s="61"/>
      <c r="FS129" s="61"/>
      <c r="FT129" s="61"/>
      <c r="FU129" s="61"/>
      <c r="FV129" s="61"/>
      <c r="FW129" s="61"/>
      <c r="FX129" s="61"/>
      <c r="FY129" s="61"/>
      <c r="FZ129" s="61"/>
      <c r="GA129" s="61"/>
      <c r="GB129" s="61"/>
      <c r="GC129" s="61"/>
      <c r="GD129" s="61"/>
      <c r="GE129" s="61"/>
      <c r="GF129" s="61"/>
      <c r="GG129" s="61"/>
      <c r="GH129" s="61"/>
      <c r="GI129" s="61"/>
      <c r="GJ129" s="61"/>
      <c r="GK129" s="61"/>
      <c r="GL129" s="61"/>
      <c r="GM129" s="61"/>
      <c r="GN129" s="61"/>
      <c r="GO129" s="61"/>
      <c r="GP129" s="61"/>
      <c r="GQ129" s="61"/>
      <c r="GR129" s="61"/>
      <c r="GS129" s="61"/>
      <c r="GT129" s="61"/>
      <c r="GU129" s="61"/>
      <c r="GV129" s="61"/>
      <c r="GW129" s="61"/>
      <c r="GX129" s="61"/>
      <c r="GY129" s="60" t="s">
        <v>713</v>
      </c>
      <c r="HU129" s="143"/>
      <c r="HV129" s="141" t="s">
        <v>472</v>
      </c>
      <c r="HW129" s="61"/>
      <c r="HX129" s="61"/>
      <c r="HY129" s="61"/>
      <c r="HZ129" s="61"/>
      <c r="IA129" s="61"/>
      <c r="IB129" s="61"/>
      <c r="IC129" s="61"/>
      <c r="ID129" s="61"/>
      <c r="IE129" s="61"/>
      <c r="IF129" s="61"/>
      <c r="IG129" s="61"/>
      <c r="IH129" s="61"/>
      <c r="II129" s="61"/>
      <c r="IJ129" s="61"/>
      <c r="IK129" s="61"/>
      <c r="IL129" s="61"/>
      <c r="IM129" s="61"/>
      <c r="IN129" s="61"/>
      <c r="IO129" s="61"/>
      <c r="IP129" s="61"/>
      <c r="IQ129" s="61"/>
      <c r="IS129" s="60" t="s">
        <v>472</v>
      </c>
      <c r="KG129" s="63"/>
    </row>
    <row r="130" spans="1:295" x14ac:dyDescent="0.25">
      <c r="A130" s="8"/>
      <c r="B130" s="5" t="s">
        <v>116</v>
      </c>
      <c r="C130" s="8"/>
      <c r="D130" s="6" t="s">
        <v>118</v>
      </c>
      <c r="E130" s="8" t="s">
        <v>138</v>
      </c>
      <c r="F130" s="5" t="s">
        <v>116</v>
      </c>
      <c r="G130" s="8" t="s">
        <v>480</v>
      </c>
      <c r="H130" s="5" t="s">
        <v>116</v>
      </c>
      <c r="I130" s="8">
        <v>30</v>
      </c>
      <c r="J130" s="5" t="s">
        <v>119</v>
      </c>
      <c r="K130" s="9"/>
      <c r="L130" s="6" t="str">
        <f>IF(G130=X128,"CMP41H41/2,2MC",IF(G130=X129,"CMP41H41/2,2MC",IF(G130=X130,"CMP41H41/2,5MC",IF(G130=X131,"CMP41H41/2,5MC",0))))</f>
        <v>CMP41H41/2,5MC</v>
      </c>
      <c r="M130" s="11">
        <f>INDEX(cennik!$C$2:$L$529,MATCH($L130,cennik!$B$2:$B$522,0),MATCH(M$104,cennik!$C$1:$L$1,0))</f>
        <v>851125</v>
      </c>
      <c r="N130" s="11" t="str">
        <f>INDEX(cennik!$C$2:$L$529,MATCH($L130,cennik!$B$2:$B$522,0),MATCH(N$104,cennik!$C$1:$L$1,0))</f>
        <v>szt.</v>
      </c>
      <c r="O130" s="11">
        <f>SUM(W124:W139)</f>
        <v>0</v>
      </c>
      <c r="P130" s="34">
        <f>INDEX(cennik!$C$2:$L$529,MATCH($L130,cennik!$B$2:$B$522,0),MATCH(P$104,cennik!$C$1:$L$1,0))</f>
        <v>52.5</v>
      </c>
      <c r="Q130" s="34">
        <f>O130*P130</f>
        <v>0</v>
      </c>
      <c r="R130" s="35">
        <f t="shared" ref="R130:R146" si="100">$E$134</f>
        <v>0</v>
      </c>
      <c r="S130" s="34">
        <f t="shared" ref="S130:S141" si="101">P130*((100-$E$134)/100)</f>
        <v>52.5</v>
      </c>
      <c r="T130" s="34">
        <f>O130*S130</f>
        <v>0</v>
      </c>
      <c r="U130" s="34">
        <f>INDEX(cennik!$C$2:$L$529,MATCH($L130,cennik!$B$2:$B$522,0),MATCH(U$104,cennik!$C$1:$L$1,0))*O130</f>
        <v>0</v>
      </c>
      <c r="V130" s="61"/>
      <c r="W130" s="142">
        <f t="shared" si="99"/>
        <v>0</v>
      </c>
      <c r="X130" s="61" t="s">
        <v>474</v>
      </c>
      <c r="Y130" s="61">
        <v>1100</v>
      </c>
      <c r="Z130" s="61"/>
      <c r="AA130" s="61"/>
      <c r="AB130" s="61">
        <f t="shared" si="95"/>
        <v>0</v>
      </c>
      <c r="AC130" s="61"/>
      <c r="AD130" s="61"/>
      <c r="AE130" s="61"/>
      <c r="AF130" s="61"/>
      <c r="AG130" s="61"/>
      <c r="AH130" s="61"/>
      <c r="AI130" s="61"/>
      <c r="AJ130" s="61"/>
      <c r="AK130" s="61" t="s">
        <v>884</v>
      </c>
      <c r="AL130" s="61"/>
      <c r="AM130" s="61"/>
      <c r="AN130" s="61"/>
      <c r="AO130" s="61"/>
      <c r="AP130" s="61"/>
      <c r="AQ130" s="61"/>
      <c r="AR130" s="61"/>
      <c r="AS130" s="61"/>
      <c r="AT130" s="61"/>
      <c r="AU130" s="61"/>
      <c r="AV130" s="61"/>
      <c r="AW130" s="61"/>
      <c r="AX130" s="61"/>
      <c r="AY130" s="61"/>
      <c r="AZ130" s="61"/>
      <c r="BA130" s="61"/>
      <c r="BB130" s="61"/>
      <c r="BC130" s="61"/>
      <c r="BD130" s="61"/>
      <c r="BE130" s="61"/>
      <c r="BF130" s="61"/>
      <c r="BG130" s="61"/>
      <c r="BH130" s="61"/>
      <c r="BI130" s="61"/>
      <c r="BJ130" s="61"/>
      <c r="BK130" s="61"/>
      <c r="BL130" s="61"/>
      <c r="BM130" s="61"/>
      <c r="BN130" s="61"/>
      <c r="BO130" s="61"/>
      <c r="BP130" s="61"/>
      <c r="BQ130" s="61"/>
      <c r="BR130" s="61"/>
      <c r="BS130" s="61"/>
      <c r="BT130" s="61"/>
      <c r="BU130" s="61"/>
      <c r="BV130" s="61"/>
      <c r="BW130" s="61"/>
      <c r="BX130" s="61"/>
      <c r="BY130" s="61"/>
      <c r="BZ130" s="61"/>
      <c r="CA130" s="61"/>
      <c r="CB130" s="61"/>
      <c r="CC130" s="61"/>
      <c r="CD130" s="61"/>
      <c r="CE130" s="61"/>
      <c r="CF130" s="61"/>
      <c r="CG130" s="61"/>
      <c r="CH130" s="61"/>
      <c r="CI130" s="61"/>
      <c r="CJ130" s="61"/>
      <c r="CK130" s="61"/>
      <c r="CL130" s="61"/>
      <c r="CM130" s="61"/>
      <c r="CN130" s="61"/>
      <c r="CO130" s="61"/>
      <c r="CP130" s="61"/>
      <c r="CQ130" s="61"/>
      <c r="CR130" s="61"/>
      <c r="CS130" s="61"/>
      <c r="CT130" s="61"/>
      <c r="CU130" s="61"/>
      <c r="CV130" s="61"/>
      <c r="CW130" s="61"/>
      <c r="CX130" s="61"/>
      <c r="CY130" s="61"/>
      <c r="CZ130" s="61"/>
      <c r="DA130" s="61"/>
      <c r="DB130" s="61"/>
      <c r="DC130" s="61"/>
      <c r="DD130" s="61"/>
      <c r="DE130" s="61"/>
      <c r="DF130" s="61"/>
      <c r="DG130" s="61"/>
      <c r="DH130" s="61"/>
      <c r="DI130" s="61"/>
      <c r="DJ130" s="61"/>
      <c r="DK130" s="61"/>
      <c r="DL130" s="61"/>
      <c r="DM130" s="61"/>
      <c r="DN130" s="61"/>
      <c r="DO130" s="61"/>
      <c r="DP130" s="61"/>
      <c r="DQ130" s="61"/>
      <c r="DR130" s="61"/>
      <c r="DS130" s="61"/>
      <c r="DT130" s="61"/>
      <c r="DU130" s="61"/>
      <c r="DV130" s="61"/>
      <c r="DW130" s="61"/>
      <c r="DX130" s="61"/>
      <c r="DY130" s="61"/>
      <c r="DZ130" s="61">
        <v>27</v>
      </c>
      <c r="EA130" s="61"/>
      <c r="EB130" s="61"/>
      <c r="EC130" s="61"/>
      <c r="ED130" s="61"/>
      <c r="EE130" s="61"/>
      <c r="EF130" s="61"/>
      <c r="EG130" s="61"/>
      <c r="EH130" s="61"/>
      <c r="EI130" s="61"/>
      <c r="EJ130" s="61"/>
      <c r="EK130" s="61"/>
      <c r="EL130" s="61"/>
      <c r="EM130" s="61"/>
      <c r="EN130" s="61"/>
      <c r="EO130" s="61" t="s">
        <v>138</v>
      </c>
      <c r="EP130" s="61" t="s">
        <v>868</v>
      </c>
      <c r="EQ130" s="61" t="s">
        <v>876</v>
      </c>
      <c r="ER130" s="61" t="s">
        <v>877</v>
      </c>
      <c r="ES130" s="61"/>
      <c r="ET130" s="61"/>
      <c r="EU130" s="61"/>
      <c r="EV130" s="61" t="s">
        <v>474</v>
      </c>
      <c r="EW130" s="61"/>
      <c r="EX130" s="61"/>
      <c r="EY130" s="61"/>
      <c r="EZ130" s="61"/>
      <c r="FA130" s="61"/>
      <c r="FB130" s="61"/>
      <c r="FC130" s="61"/>
      <c r="FD130" s="61"/>
      <c r="FE130" s="61"/>
      <c r="FF130" s="61"/>
      <c r="FG130" s="61"/>
      <c r="FH130" s="61"/>
      <c r="FI130" s="61"/>
      <c r="FJ130" s="61"/>
      <c r="FK130" s="61"/>
      <c r="FL130" s="61"/>
      <c r="FM130" s="61"/>
      <c r="FN130" s="61"/>
      <c r="FO130" s="61"/>
      <c r="FP130" s="61"/>
      <c r="FQ130" s="61"/>
      <c r="FR130" s="61"/>
      <c r="FS130" s="61"/>
      <c r="FT130" s="61"/>
      <c r="FU130" s="61"/>
      <c r="FV130" s="61"/>
      <c r="FW130" s="61"/>
      <c r="FX130" s="61"/>
      <c r="FY130" s="61"/>
      <c r="FZ130" s="61"/>
      <c r="GA130" s="61"/>
      <c r="GB130" s="61"/>
      <c r="GC130" s="61"/>
      <c r="GD130" s="61"/>
      <c r="GE130" s="61"/>
      <c r="GF130" s="61"/>
      <c r="GG130" s="61"/>
      <c r="GH130" s="61"/>
      <c r="GI130" s="61"/>
      <c r="GJ130" s="61"/>
      <c r="GK130" s="61"/>
      <c r="GL130" s="61"/>
      <c r="GM130" s="61"/>
      <c r="GN130" s="61"/>
      <c r="GO130" s="61"/>
      <c r="GP130" s="61"/>
      <c r="GQ130" s="61"/>
      <c r="GR130" s="61"/>
      <c r="GS130" s="61"/>
      <c r="GT130" s="61"/>
      <c r="GU130" s="61"/>
      <c r="GV130" s="61"/>
      <c r="GW130" s="61"/>
      <c r="GX130" s="61"/>
      <c r="GZ130" s="60">
        <v>0</v>
      </c>
      <c r="HA130" s="60">
        <v>1</v>
      </c>
      <c r="HB130" s="60">
        <v>2</v>
      </c>
      <c r="HC130" s="60">
        <v>3</v>
      </c>
      <c r="HD130" s="60">
        <v>4</v>
      </c>
      <c r="HE130" s="60">
        <v>5</v>
      </c>
      <c r="HF130" s="60">
        <v>6</v>
      </c>
      <c r="HG130" s="60">
        <v>7</v>
      </c>
      <c r="HH130" s="60">
        <v>8</v>
      </c>
      <c r="HI130" s="60">
        <v>9</v>
      </c>
      <c r="HJ130" s="60">
        <v>10</v>
      </c>
      <c r="HK130" s="60">
        <v>11</v>
      </c>
      <c r="HL130" s="60">
        <v>12</v>
      </c>
      <c r="HM130" s="60">
        <v>13</v>
      </c>
      <c r="HN130" s="60">
        <v>14</v>
      </c>
      <c r="HO130" s="60">
        <v>15</v>
      </c>
      <c r="HP130" s="60">
        <v>16</v>
      </c>
      <c r="HQ130" s="60">
        <v>17</v>
      </c>
      <c r="HR130" s="60">
        <v>18</v>
      </c>
      <c r="HS130" s="60">
        <v>19</v>
      </c>
      <c r="HT130" s="60">
        <v>20</v>
      </c>
      <c r="HW130" s="61">
        <v>0</v>
      </c>
      <c r="HX130" s="61">
        <v>1</v>
      </c>
      <c r="HY130" s="61">
        <v>2</v>
      </c>
      <c r="HZ130" s="61">
        <v>3</v>
      </c>
      <c r="IA130" s="61">
        <v>4</v>
      </c>
      <c r="IB130" s="61">
        <v>5</v>
      </c>
      <c r="IC130" s="61">
        <v>6</v>
      </c>
      <c r="ID130" s="61">
        <v>7</v>
      </c>
      <c r="IE130" s="61">
        <v>8</v>
      </c>
      <c r="IF130" s="61">
        <v>9</v>
      </c>
      <c r="IG130" s="61">
        <v>10</v>
      </c>
      <c r="IH130" s="61">
        <v>11</v>
      </c>
      <c r="II130" s="61">
        <v>12</v>
      </c>
      <c r="IJ130" s="61">
        <v>13</v>
      </c>
      <c r="IK130" s="61">
        <v>14</v>
      </c>
      <c r="IL130" s="61">
        <v>15</v>
      </c>
      <c r="IM130" s="61">
        <v>16</v>
      </c>
      <c r="IN130" s="61">
        <v>17</v>
      </c>
      <c r="IO130" s="61">
        <v>18</v>
      </c>
      <c r="IP130" s="61">
        <v>19</v>
      </c>
      <c r="IQ130" s="61">
        <v>20</v>
      </c>
      <c r="IT130" s="60">
        <f t="shared" si="69"/>
        <v>0</v>
      </c>
      <c r="IU130" s="60">
        <f t="shared" si="70"/>
        <v>2</v>
      </c>
      <c r="IV130" s="60">
        <f t="shared" si="71"/>
        <v>4</v>
      </c>
      <c r="IW130" s="60">
        <f t="shared" si="72"/>
        <v>6</v>
      </c>
      <c r="IX130" s="60">
        <f t="shared" si="73"/>
        <v>8</v>
      </c>
      <c r="IY130" s="60">
        <f t="shared" si="74"/>
        <v>10</v>
      </c>
      <c r="IZ130" s="60">
        <f t="shared" si="75"/>
        <v>12</v>
      </c>
      <c r="JA130" s="60">
        <f t="shared" si="76"/>
        <v>14</v>
      </c>
      <c r="JB130" s="60">
        <f t="shared" si="77"/>
        <v>16</v>
      </c>
      <c r="JC130" s="60">
        <f t="shared" si="78"/>
        <v>18</v>
      </c>
      <c r="JD130" s="60">
        <f t="shared" si="79"/>
        <v>20</v>
      </c>
      <c r="JE130" s="60">
        <f t="shared" si="80"/>
        <v>22</v>
      </c>
      <c r="JF130" s="60">
        <f t="shared" si="81"/>
        <v>24</v>
      </c>
      <c r="JG130" s="60">
        <f t="shared" si="82"/>
        <v>26</v>
      </c>
      <c r="JH130" s="60">
        <f t="shared" si="83"/>
        <v>28</v>
      </c>
      <c r="JI130" s="60">
        <f t="shared" si="84"/>
        <v>30</v>
      </c>
      <c r="JJ130" s="60">
        <f t="shared" si="85"/>
        <v>32</v>
      </c>
      <c r="JK130" s="60">
        <f t="shared" si="86"/>
        <v>34</v>
      </c>
      <c r="JL130" s="60">
        <f t="shared" si="87"/>
        <v>36</v>
      </c>
      <c r="JM130" s="60">
        <f t="shared" si="88"/>
        <v>38</v>
      </c>
      <c r="JN130" s="60">
        <f t="shared" si="89"/>
        <v>40</v>
      </c>
      <c r="JR130" s="61"/>
      <c r="JS130" s="61"/>
      <c r="JT130" s="61"/>
      <c r="JU130" s="61"/>
      <c r="JV130" s="61"/>
      <c r="JW130" s="61"/>
      <c r="JX130" s="61"/>
      <c r="JY130" s="61"/>
      <c r="JZ130" s="61"/>
      <c r="KA130" s="61"/>
      <c r="KB130" s="61"/>
      <c r="KC130" s="61"/>
      <c r="KD130" s="61"/>
      <c r="KE130" s="61"/>
      <c r="KF130" s="61"/>
    </row>
    <row r="131" spans="1:295" x14ac:dyDescent="0.25">
      <c r="A131" s="8"/>
      <c r="B131" s="5" t="s">
        <v>116</v>
      </c>
      <c r="C131" s="8"/>
      <c r="D131" s="6" t="s">
        <v>124</v>
      </c>
      <c r="E131" s="8" t="s">
        <v>125</v>
      </c>
      <c r="F131" s="5"/>
      <c r="G131" s="5"/>
      <c r="H131" s="5"/>
      <c r="I131" s="5"/>
      <c r="J131" s="5"/>
      <c r="K131" s="9"/>
      <c r="L131" s="6" t="s">
        <v>924</v>
      </c>
      <c r="M131" s="11">
        <f>INDEX(cennik!$C$2:$L$529,MATCH($L131,cennik!$B$2:$B$522,0),MATCH(M$104,cennik!$C$1:$L$1,0))</f>
        <v>857016</v>
      </c>
      <c r="N131" s="11" t="str">
        <f>INDEX(cennik!$C$2:$L$529,MATCH($L131,cennik!$B$2:$B$522,0),MATCH(N$104,cennik!$C$1:$L$1,0))</f>
        <v>szt.</v>
      </c>
      <c r="O131" s="11">
        <f>O130*2</f>
        <v>0</v>
      </c>
      <c r="P131" s="34">
        <f>INDEX(cennik!$C$2:$L$529,MATCH($L131,cennik!$B$2:$B$522,0),MATCH(P$104,cennik!$C$1:$L$1,0))</f>
        <v>19.309999999999999</v>
      </c>
      <c r="Q131" s="34">
        <f t="shared" ref="Q131:Q140" si="102">O131*P131</f>
        <v>0</v>
      </c>
      <c r="R131" s="35">
        <f t="shared" si="100"/>
        <v>0</v>
      </c>
      <c r="S131" s="34">
        <f t="shared" si="101"/>
        <v>19.309999999999999</v>
      </c>
      <c r="T131" s="34">
        <f t="shared" ref="T131:T140" si="103">O131*S131</f>
        <v>0</v>
      </c>
      <c r="U131" s="34">
        <f>INDEX(cennik!$C$2:$L$529,MATCH($L131,cennik!$B$2:$B$522,0),MATCH(U$104,cennik!$C$1:$L$1,0))*O131</f>
        <v>0</v>
      </c>
      <c r="V131" s="61"/>
      <c r="W131" s="142">
        <f t="shared" si="99"/>
        <v>0</v>
      </c>
      <c r="X131" s="61" t="s">
        <v>480</v>
      </c>
      <c r="Y131" s="61">
        <v>1150</v>
      </c>
      <c r="Z131" s="61"/>
      <c r="AA131" s="61"/>
      <c r="AB131" s="61">
        <f t="shared" si="95"/>
        <v>0</v>
      </c>
      <c r="AC131" s="61"/>
      <c r="AD131" s="61"/>
      <c r="AE131" s="61"/>
      <c r="AF131" s="142"/>
      <c r="AG131" s="142" t="s">
        <v>130</v>
      </c>
      <c r="AH131" s="142" t="s">
        <v>140</v>
      </c>
      <c r="AI131" s="61"/>
      <c r="AJ131" s="61">
        <f>IF(A104&lt;=1,0,IF(A104&gt;1,A104-1,0))</f>
        <v>0</v>
      </c>
      <c r="AK131" s="61">
        <f>AJ131*4*C104</f>
        <v>0</v>
      </c>
      <c r="AL131" s="61" t="s">
        <v>474</v>
      </c>
      <c r="AM131" s="61"/>
      <c r="AN131" s="61"/>
      <c r="AO131" s="61"/>
      <c r="AP131" s="61"/>
      <c r="AQ131" s="61"/>
      <c r="AR131" s="61"/>
      <c r="AS131" s="61"/>
      <c r="AT131" s="61"/>
      <c r="AU131" s="61"/>
      <c r="AV131" s="61"/>
      <c r="AW131" s="61"/>
      <c r="AX131" s="61"/>
      <c r="AY131" s="61"/>
      <c r="AZ131" s="61"/>
      <c r="BA131" s="61"/>
      <c r="BB131" s="61"/>
      <c r="BC131" s="61"/>
      <c r="BD131" s="61"/>
      <c r="BE131" s="61"/>
      <c r="BF131" s="61"/>
      <c r="BG131" s="61"/>
      <c r="BH131" s="61"/>
      <c r="BI131" s="61"/>
      <c r="BJ131" s="61"/>
      <c r="BK131" s="61"/>
      <c r="BL131" s="61"/>
      <c r="BM131" s="61"/>
      <c r="BN131" s="61"/>
      <c r="BO131" s="61"/>
      <c r="BP131" s="61"/>
      <c r="BQ131" s="61"/>
      <c r="BR131" s="61"/>
      <c r="BS131" s="61"/>
      <c r="BT131" s="61"/>
      <c r="BU131" s="61"/>
      <c r="BV131" s="61"/>
      <c r="BW131" s="61"/>
      <c r="BX131" s="61"/>
      <c r="BY131" s="61"/>
      <c r="BZ131" s="61"/>
      <c r="CA131" s="61"/>
      <c r="CB131" s="61"/>
      <c r="CC131" s="61"/>
      <c r="CD131" s="61"/>
      <c r="CE131" s="61"/>
      <c r="CF131" s="61"/>
      <c r="CG131" s="61"/>
      <c r="CH131" s="61"/>
      <c r="CI131" s="61"/>
      <c r="CJ131" s="61"/>
      <c r="CK131" s="61"/>
      <c r="CL131" s="61"/>
      <c r="CM131" s="61"/>
      <c r="CN131" s="61"/>
      <c r="CO131" s="61"/>
      <c r="CP131" s="61"/>
      <c r="CQ131" s="61"/>
      <c r="CR131" s="61"/>
      <c r="CS131" s="61"/>
      <c r="CT131" s="61"/>
      <c r="CU131" s="61"/>
      <c r="CV131" s="61"/>
      <c r="CW131" s="61"/>
      <c r="CX131" s="61"/>
      <c r="CY131" s="61"/>
      <c r="CZ131" s="61"/>
      <c r="DA131" s="61"/>
      <c r="DB131" s="61"/>
      <c r="DC131" s="61"/>
      <c r="DD131" s="61"/>
      <c r="DE131" s="61"/>
      <c r="DF131" s="61"/>
      <c r="DG131" s="61"/>
      <c r="DH131" s="61"/>
      <c r="DI131" s="61"/>
      <c r="DJ131" s="61"/>
      <c r="DK131" s="61"/>
      <c r="DL131" s="61"/>
      <c r="DM131" s="61"/>
      <c r="DN131" s="61"/>
      <c r="DO131" s="61"/>
      <c r="DP131" s="61"/>
      <c r="DQ131" s="61"/>
      <c r="DR131" s="61"/>
      <c r="DS131" s="61"/>
      <c r="DT131" s="61"/>
      <c r="DU131" s="61"/>
      <c r="DV131" s="61"/>
      <c r="DW131" s="61"/>
      <c r="DX131" s="61"/>
      <c r="DY131" s="61"/>
      <c r="DZ131" s="61">
        <v>28</v>
      </c>
      <c r="EA131" s="61"/>
      <c r="EB131" s="61"/>
      <c r="EC131" s="61"/>
      <c r="ED131" s="61"/>
      <c r="EE131" s="61"/>
      <c r="EF131" s="61"/>
      <c r="EG131" s="61"/>
      <c r="EH131" s="61"/>
      <c r="EI131" s="61"/>
      <c r="EJ131" s="61"/>
      <c r="EK131" s="61"/>
      <c r="EL131" s="61"/>
      <c r="EM131" s="61"/>
      <c r="EN131" s="61"/>
      <c r="EO131" s="61"/>
      <c r="EP131" s="61"/>
      <c r="EQ131" s="61"/>
      <c r="ER131" s="61"/>
      <c r="ES131" s="61"/>
      <c r="ET131" s="61"/>
      <c r="EU131" s="61"/>
      <c r="EV131" s="61"/>
      <c r="EW131" s="61">
        <v>0</v>
      </c>
      <c r="EX131" s="61">
        <v>1</v>
      </c>
      <c r="EY131" s="61">
        <v>2</v>
      </c>
      <c r="EZ131" s="61">
        <v>3</v>
      </c>
      <c r="FA131" s="61">
        <v>4</v>
      </c>
      <c r="FB131" s="61">
        <v>5</v>
      </c>
      <c r="FC131" s="61">
        <v>6</v>
      </c>
      <c r="FD131" s="61">
        <v>7</v>
      </c>
      <c r="FE131" s="61">
        <v>8</v>
      </c>
      <c r="FF131" s="61">
        <v>9</v>
      </c>
      <c r="FG131" s="61">
        <v>10</v>
      </c>
      <c r="FH131" s="61">
        <v>11</v>
      </c>
      <c r="FI131" s="61">
        <v>12</v>
      </c>
      <c r="FJ131" s="61">
        <v>13</v>
      </c>
      <c r="FK131" s="61">
        <v>14</v>
      </c>
      <c r="FL131" s="61">
        <v>15</v>
      </c>
      <c r="FM131" s="61">
        <v>16</v>
      </c>
      <c r="FN131" s="61">
        <v>17</v>
      </c>
      <c r="FO131" s="61">
        <v>18</v>
      </c>
      <c r="FP131" s="61">
        <v>19</v>
      </c>
      <c r="FQ131" s="61">
        <v>20</v>
      </c>
      <c r="FR131" s="61">
        <v>21</v>
      </c>
      <c r="FS131" s="61">
        <v>22</v>
      </c>
      <c r="FT131" s="61">
        <v>23</v>
      </c>
      <c r="FU131" s="61">
        <v>24</v>
      </c>
      <c r="FV131" s="61">
        <v>25</v>
      </c>
      <c r="FW131" s="61">
        <v>26</v>
      </c>
      <c r="FX131" s="61">
        <v>27</v>
      </c>
      <c r="FY131" s="61">
        <v>28</v>
      </c>
      <c r="FZ131" s="61">
        <v>29</v>
      </c>
      <c r="GA131" s="61">
        <v>30</v>
      </c>
      <c r="GB131" s="61">
        <v>31</v>
      </c>
      <c r="GC131" s="61">
        <v>32</v>
      </c>
      <c r="GD131" s="61">
        <v>33</v>
      </c>
      <c r="GE131" s="61">
        <v>34</v>
      </c>
      <c r="GF131" s="61">
        <v>35</v>
      </c>
      <c r="GG131" s="61">
        <v>36</v>
      </c>
      <c r="GH131" s="61">
        <v>37</v>
      </c>
      <c r="GI131" s="61">
        <v>38</v>
      </c>
      <c r="GJ131" s="61">
        <v>39</v>
      </c>
      <c r="GK131" s="61">
        <v>40</v>
      </c>
      <c r="GL131" s="61">
        <v>41</v>
      </c>
      <c r="GM131" s="61">
        <v>42</v>
      </c>
      <c r="GN131" s="61">
        <v>43</v>
      </c>
      <c r="GO131" s="61">
        <v>44</v>
      </c>
      <c r="GP131" s="61">
        <v>45</v>
      </c>
      <c r="GQ131" s="61">
        <v>46</v>
      </c>
      <c r="GR131" s="61">
        <v>47</v>
      </c>
      <c r="GS131" s="61">
        <v>48</v>
      </c>
      <c r="GT131" s="61">
        <v>49</v>
      </c>
      <c r="GU131" s="61">
        <v>50</v>
      </c>
      <c r="GV131" s="61"/>
      <c r="GW131" s="61"/>
      <c r="GX131" s="61"/>
      <c r="GY131" s="60" t="s">
        <v>710</v>
      </c>
      <c r="GZ131" s="60">
        <v>0</v>
      </c>
      <c r="HA131" s="60">
        <v>2</v>
      </c>
      <c r="HB131" s="60">
        <v>0</v>
      </c>
      <c r="HC131" s="60">
        <v>4</v>
      </c>
      <c r="HD131" s="60">
        <v>2</v>
      </c>
      <c r="HE131" s="60">
        <v>0</v>
      </c>
      <c r="HF131" s="60">
        <v>4</v>
      </c>
      <c r="HG131" s="60">
        <v>2</v>
      </c>
      <c r="HH131" s="60">
        <v>0</v>
      </c>
      <c r="HI131" s="60">
        <v>2</v>
      </c>
      <c r="HJ131" s="60">
        <v>0</v>
      </c>
      <c r="HK131" s="60">
        <v>4</v>
      </c>
      <c r="HL131" s="60">
        <v>2</v>
      </c>
      <c r="HM131" s="60">
        <v>0</v>
      </c>
      <c r="HN131" s="60">
        <v>4</v>
      </c>
      <c r="HO131" s="60">
        <v>2</v>
      </c>
      <c r="HP131" s="60">
        <v>0</v>
      </c>
      <c r="HQ131" s="60">
        <v>4</v>
      </c>
      <c r="HR131" s="60">
        <v>0</v>
      </c>
      <c r="HS131" s="60">
        <v>4</v>
      </c>
      <c r="HT131" s="60">
        <v>2</v>
      </c>
      <c r="HV131" s="60" t="s">
        <v>826</v>
      </c>
      <c r="HW131" s="61">
        <v>0</v>
      </c>
      <c r="HX131" s="61">
        <v>2</v>
      </c>
      <c r="HY131" s="61">
        <v>0</v>
      </c>
      <c r="HZ131" s="61">
        <v>2</v>
      </c>
      <c r="IA131" s="61">
        <v>4</v>
      </c>
      <c r="IB131" s="61">
        <v>0</v>
      </c>
      <c r="IC131" s="61">
        <v>4</v>
      </c>
      <c r="ID131" s="61">
        <v>0</v>
      </c>
      <c r="IE131" s="61">
        <v>2</v>
      </c>
      <c r="IF131" s="61">
        <v>0</v>
      </c>
      <c r="IG131" s="61">
        <v>2</v>
      </c>
      <c r="IH131" s="61">
        <v>4</v>
      </c>
      <c r="II131" s="61">
        <v>2</v>
      </c>
      <c r="IJ131" s="61">
        <v>4</v>
      </c>
      <c r="IK131" s="61">
        <v>0</v>
      </c>
      <c r="IL131" s="61">
        <v>2</v>
      </c>
      <c r="IM131" s="61">
        <v>0</v>
      </c>
      <c r="IN131" s="61">
        <v>2</v>
      </c>
      <c r="IO131" s="61">
        <v>4</v>
      </c>
      <c r="IP131" s="61">
        <v>2</v>
      </c>
      <c r="IQ131" s="61">
        <v>4</v>
      </c>
      <c r="IS131" s="60" t="s">
        <v>826</v>
      </c>
      <c r="IT131" s="60">
        <f t="shared" si="69"/>
        <v>0</v>
      </c>
      <c r="IU131" s="60">
        <f t="shared" si="70"/>
        <v>4</v>
      </c>
      <c r="IV131" s="60">
        <f t="shared" si="71"/>
        <v>0</v>
      </c>
      <c r="IW131" s="60">
        <f t="shared" si="72"/>
        <v>4</v>
      </c>
      <c r="IX131" s="60">
        <f t="shared" si="73"/>
        <v>8</v>
      </c>
      <c r="IY131" s="60">
        <f t="shared" si="74"/>
        <v>0</v>
      </c>
      <c r="IZ131" s="60">
        <f t="shared" si="75"/>
        <v>8</v>
      </c>
      <c r="JA131" s="60">
        <f t="shared" si="76"/>
        <v>0</v>
      </c>
      <c r="JB131" s="60">
        <f t="shared" si="77"/>
        <v>4</v>
      </c>
      <c r="JC131" s="60">
        <f t="shared" si="78"/>
        <v>0</v>
      </c>
      <c r="JD131" s="60">
        <f t="shared" si="79"/>
        <v>4</v>
      </c>
      <c r="JE131" s="60">
        <f t="shared" si="80"/>
        <v>8</v>
      </c>
      <c r="JF131" s="60">
        <f t="shared" si="81"/>
        <v>4</v>
      </c>
      <c r="JG131" s="60">
        <f t="shared" si="82"/>
        <v>8</v>
      </c>
      <c r="JH131" s="60">
        <f t="shared" si="83"/>
        <v>0</v>
      </c>
      <c r="JI131" s="60">
        <f t="shared" si="84"/>
        <v>4</v>
      </c>
      <c r="JJ131" s="60">
        <f t="shared" si="85"/>
        <v>0</v>
      </c>
      <c r="JK131" s="60">
        <f t="shared" si="86"/>
        <v>4</v>
      </c>
      <c r="JL131" s="60">
        <f t="shared" si="87"/>
        <v>8</v>
      </c>
      <c r="JM131" s="60">
        <f t="shared" si="88"/>
        <v>4</v>
      </c>
      <c r="JN131" s="60">
        <f t="shared" si="89"/>
        <v>8</v>
      </c>
    </row>
    <row r="132" spans="1:295" x14ac:dyDescent="0.25">
      <c r="A132" s="8"/>
      <c r="B132" s="5" t="s">
        <v>116</v>
      </c>
      <c r="C132" s="8"/>
      <c r="D132" s="6" t="s">
        <v>307</v>
      </c>
      <c r="E132" s="8" t="s">
        <v>309</v>
      </c>
      <c r="F132" s="37" t="str">
        <f>IF(E132="balastowa","wartość balastu określa konstruktor","")</f>
        <v/>
      </c>
      <c r="G132" s="37"/>
      <c r="H132" s="37"/>
      <c r="I132" s="37"/>
      <c r="J132" s="37"/>
      <c r="K132" s="37"/>
      <c r="L132" s="6" t="str">
        <f>IF(E133=10,"UPG10MC",IF(E133=15,"UPG15MC",IF(E133=20,"UPG20MC",0)))</f>
        <v>UPG20MC</v>
      </c>
      <c r="M132" s="11">
        <f>INDEX(cennik!$C$2:$L$529,MATCH($L132,cennik!$B$2:$B$522,0),MATCH(M$104,cennik!$C$1:$L$1,0))</f>
        <v>878120</v>
      </c>
      <c r="N132" s="11" t="str">
        <f>INDEX(cennik!$C$2:$L$529,MATCH($L132,cennik!$B$2:$B$522,0),MATCH(N$104,cennik!$C$1:$L$1,0))</f>
        <v>szt.</v>
      </c>
      <c r="O132" s="11">
        <f>O130*2</f>
        <v>0</v>
      </c>
      <c r="P132" s="34">
        <f>INDEX(cennik!$C$2:$L$529,MATCH($L132,cennik!$B$2:$B$522,0),MATCH(P$104,cennik!$C$1:$L$1,0))</f>
        <v>29.77</v>
      </c>
      <c r="Q132" s="34">
        <f t="shared" si="102"/>
        <v>0</v>
      </c>
      <c r="R132" s="35">
        <f t="shared" si="100"/>
        <v>0</v>
      </c>
      <c r="S132" s="34">
        <f t="shared" si="101"/>
        <v>29.77</v>
      </c>
      <c r="T132" s="34">
        <f t="shared" si="103"/>
        <v>0</v>
      </c>
      <c r="U132" s="34">
        <f>INDEX(cennik!$C$2:$L$529,MATCH($L132,cennik!$B$2:$B$522,0),MATCH(U$104,cennik!$C$1:$L$1,0))*O132</f>
        <v>0</v>
      </c>
      <c r="V132" s="61"/>
      <c r="W132" s="142">
        <f t="shared" si="99"/>
        <v>0</v>
      </c>
      <c r="X132" s="61" t="s">
        <v>713</v>
      </c>
      <c r="Y132" s="61">
        <v>1200</v>
      </c>
      <c r="Z132" s="61"/>
      <c r="AA132" s="61"/>
      <c r="AB132" s="61">
        <f t="shared" si="95"/>
        <v>0</v>
      </c>
      <c r="AC132" s="61"/>
      <c r="AD132" s="61"/>
      <c r="AE132" s="61"/>
      <c r="AF132" s="61">
        <v>30</v>
      </c>
      <c r="AG132" s="61" t="s">
        <v>881</v>
      </c>
      <c r="AH132" s="61">
        <v>0</v>
      </c>
      <c r="AI132" s="61"/>
      <c r="AJ132" s="61">
        <f t="shared" ref="AJ132:AJ144" si="104">IF(A105&lt;=1,0,IF(A105&gt;1,A105-1,0))</f>
        <v>0</v>
      </c>
      <c r="AK132" s="61">
        <f t="shared" ref="AK132:AK146" si="105">AJ132*4*C105</f>
        <v>0</v>
      </c>
      <c r="AL132" s="61"/>
      <c r="AM132" s="61">
        <v>0</v>
      </c>
      <c r="AN132" s="61">
        <v>1</v>
      </c>
      <c r="AO132" s="61">
        <v>2</v>
      </c>
      <c r="AP132" s="61">
        <v>3</v>
      </c>
      <c r="AQ132" s="61">
        <v>4</v>
      </c>
      <c r="AR132" s="61">
        <v>5</v>
      </c>
      <c r="AS132" s="61">
        <v>6</v>
      </c>
      <c r="AT132" s="61">
        <v>7</v>
      </c>
      <c r="AU132" s="61">
        <v>8</v>
      </c>
      <c r="AV132" s="61">
        <v>9</v>
      </c>
      <c r="AW132" s="61">
        <v>10</v>
      </c>
      <c r="AX132" s="61">
        <v>11</v>
      </c>
      <c r="AY132" s="61">
        <v>12</v>
      </c>
      <c r="AZ132" s="61">
        <v>13</v>
      </c>
      <c r="BA132" s="61">
        <v>14</v>
      </c>
      <c r="BB132" s="61">
        <v>15</v>
      </c>
      <c r="BC132" s="61">
        <v>16</v>
      </c>
      <c r="BD132" s="61">
        <v>17</v>
      </c>
      <c r="BE132" s="61">
        <v>18</v>
      </c>
      <c r="BF132" s="61">
        <v>19</v>
      </c>
      <c r="BG132" s="61">
        <v>20</v>
      </c>
      <c r="BH132" s="61">
        <v>21</v>
      </c>
      <c r="BI132" s="61">
        <v>22</v>
      </c>
      <c r="BJ132" s="61">
        <v>23</v>
      </c>
      <c r="BK132" s="61">
        <v>24</v>
      </c>
      <c r="BL132" s="61">
        <v>25</v>
      </c>
      <c r="BM132" s="61">
        <v>26</v>
      </c>
      <c r="BN132" s="61">
        <v>27</v>
      </c>
      <c r="BO132" s="61">
        <v>28</v>
      </c>
      <c r="BP132" s="61">
        <v>29</v>
      </c>
      <c r="BQ132" s="61">
        <v>30</v>
      </c>
      <c r="BR132" s="61">
        <v>31</v>
      </c>
      <c r="BS132" s="61">
        <v>32</v>
      </c>
      <c r="BT132" s="61">
        <v>33</v>
      </c>
      <c r="BU132" s="61">
        <v>34</v>
      </c>
      <c r="BV132" s="61">
        <v>35</v>
      </c>
      <c r="BW132" s="61">
        <v>36</v>
      </c>
      <c r="BX132" s="61">
        <v>37</v>
      </c>
      <c r="BY132" s="61">
        <v>38</v>
      </c>
      <c r="BZ132" s="61">
        <v>39</v>
      </c>
      <c r="CA132" s="61">
        <v>40</v>
      </c>
      <c r="CB132" s="61">
        <v>41</v>
      </c>
      <c r="CC132" s="61">
        <v>42</v>
      </c>
      <c r="CD132" s="61">
        <v>43</v>
      </c>
      <c r="CE132" s="61">
        <v>44</v>
      </c>
      <c r="CF132" s="61">
        <v>45</v>
      </c>
      <c r="CG132" s="61">
        <v>46</v>
      </c>
      <c r="CH132" s="61">
        <v>47</v>
      </c>
      <c r="CI132" s="61">
        <v>48</v>
      </c>
      <c r="CJ132" s="61">
        <v>49</v>
      </c>
      <c r="CK132" s="61">
        <v>50</v>
      </c>
      <c r="CL132" s="61"/>
      <c r="CM132" s="61"/>
      <c r="CN132" s="61"/>
      <c r="CO132" s="61"/>
      <c r="CP132" s="61"/>
      <c r="CQ132" s="61"/>
      <c r="CR132" s="61"/>
      <c r="CS132" s="61"/>
      <c r="CT132" s="61"/>
      <c r="CU132" s="61"/>
      <c r="CV132" s="61"/>
      <c r="CW132" s="61"/>
      <c r="CX132" s="61"/>
      <c r="CY132" s="61"/>
      <c r="CZ132" s="61"/>
      <c r="DA132" s="61"/>
      <c r="DB132" s="61"/>
      <c r="DC132" s="61"/>
      <c r="DD132" s="61"/>
      <c r="DE132" s="61"/>
      <c r="DF132" s="61"/>
      <c r="DG132" s="61"/>
      <c r="DH132" s="61"/>
      <c r="DI132" s="61"/>
      <c r="DJ132" s="61"/>
      <c r="DK132" s="61"/>
      <c r="DL132" s="61"/>
      <c r="DM132" s="61"/>
      <c r="DN132" s="61"/>
      <c r="DO132" s="61"/>
      <c r="DP132" s="61"/>
      <c r="DQ132" s="61"/>
      <c r="DR132" s="61"/>
      <c r="DS132" s="61"/>
      <c r="DT132" s="61"/>
      <c r="DU132" s="61"/>
      <c r="DV132" s="61"/>
      <c r="DW132" s="61"/>
      <c r="DX132" s="61"/>
      <c r="DY132" s="61"/>
      <c r="DZ132" s="61">
        <v>29</v>
      </c>
      <c r="EA132" s="61"/>
      <c r="EB132" s="61">
        <v>30</v>
      </c>
      <c r="EC132" s="61"/>
      <c r="ED132" s="61"/>
      <c r="EE132" s="61"/>
      <c r="EF132" s="61"/>
      <c r="EG132" s="61"/>
      <c r="EH132" s="61"/>
      <c r="EI132" s="61"/>
      <c r="EJ132" s="61"/>
      <c r="EK132" s="61"/>
      <c r="EL132" s="61"/>
      <c r="EM132" s="61"/>
      <c r="EN132" s="61"/>
      <c r="EO132" s="61"/>
      <c r="EP132" s="61"/>
      <c r="EQ132" s="61"/>
      <c r="ER132" s="61"/>
      <c r="ES132" s="61"/>
      <c r="ET132" s="61"/>
      <c r="EU132" s="61"/>
      <c r="EV132" s="61" t="s">
        <v>210</v>
      </c>
      <c r="EW132" s="61">
        <v>0</v>
      </c>
      <c r="EX132" s="61">
        <v>0</v>
      </c>
      <c r="EY132" s="61">
        <v>0</v>
      </c>
      <c r="EZ132" s="61">
        <v>0</v>
      </c>
      <c r="FA132" s="61">
        <v>2</v>
      </c>
      <c r="FB132" s="61">
        <v>0</v>
      </c>
      <c r="FC132" s="61">
        <v>0</v>
      </c>
      <c r="FD132" s="61">
        <v>0</v>
      </c>
      <c r="FE132" s="61">
        <v>0</v>
      </c>
      <c r="FF132" s="61">
        <v>0</v>
      </c>
      <c r="FG132" s="61">
        <v>2</v>
      </c>
      <c r="FH132" s="61">
        <v>0</v>
      </c>
      <c r="FI132" s="61">
        <v>0</v>
      </c>
      <c r="FJ132" s="61">
        <v>0</v>
      </c>
      <c r="FK132" s="61">
        <v>2</v>
      </c>
      <c r="FL132" s="61">
        <v>0</v>
      </c>
      <c r="FM132" s="61">
        <v>0</v>
      </c>
      <c r="FN132" s="61">
        <v>0</v>
      </c>
      <c r="FO132" s="61">
        <v>0</v>
      </c>
      <c r="FP132" s="61">
        <v>0</v>
      </c>
      <c r="FQ132" s="61">
        <v>0</v>
      </c>
      <c r="FR132" s="61">
        <v>0</v>
      </c>
      <c r="FS132" s="61">
        <v>0</v>
      </c>
      <c r="FT132" s="61">
        <v>0</v>
      </c>
      <c r="FU132" s="61">
        <v>0</v>
      </c>
      <c r="FV132" s="61">
        <v>0</v>
      </c>
      <c r="FW132" s="61">
        <v>0</v>
      </c>
      <c r="FX132" s="61">
        <v>0</v>
      </c>
      <c r="FY132" s="61">
        <v>0</v>
      </c>
      <c r="FZ132" s="61">
        <v>0</v>
      </c>
      <c r="GA132" s="61">
        <v>0</v>
      </c>
      <c r="GB132" s="61">
        <v>0</v>
      </c>
      <c r="GC132" s="61">
        <v>0</v>
      </c>
      <c r="GD132" s="61">
        <v>0</v>
      </c>
      <c r="GE132" s="61">
        <v>0</v>
      </c>
      <c r="GF132" s="61">
        <v>0</v>
      </c>
      <c r="GG132" s="61">
        <v>0</v>
      </c>
      <c r="GH132" s="61">
        <v>0</v>
      </c>
      <c r="GI132" s="61">
        <v>0</v>
      </c>
      <c r="GJ132" s="61">
        <v>0</v>
      </c>
      <c r="GK132" s="61">
        <v>0</v>
      </c>
      <c r="GL132" s="61">
        <v>0</v>
      </c>
      <c r="GM132" s="61">
        <v>0</v>
      </c>
      <c r="GN132" s="61">
        <v>0</v>
      </c>
      <c r="GO132" s="61">
        <v>0</v>
      </c>
      <c r="GP132" s="61">
        <v>0</v>
      </c>
      <c r="GQ132" s="61">
        <v>0</v>
      </c>
      <c r="GR132" s="61">
        <v>0</v>
      </c>
      <c r="GS132" s="61">
        <v>0</v>
      </c>
      <c r="GT132" s="61">
        <v>0</v>
      </c>
      <c r="GU132" s="61">
        <v>0</v>
      </c>
      <c r="GV132" s="61"/>
      <c r="GW132" s="61"/>
      <c r="GX132" s="61"/>
      <c r="GY132" s="60" t="s">
        <v>711</v>
      </c>
      <c r="GZ132" s="60">
        <v>0</v>
      </c>
      <c r="HA132" s="60">
        <v>0</v>
      </c>
      <c r="HB132" s="60">
        <v>2</v>
      </c>
      <c r="HC132" s="60">
        <v>0</v>
      </c>
      <c r="HD132" s="60">
        <v>2</v>
      </c>
      <c r="HE132" s="60">
        <v>4</v>
      </c>
      <c r="HF132" s="60">
        <v>2</v>
      </c>
      <c r="HG132" s="60">
        <v>4</v>
      </c>
      <c r="HH132" s="60">
        <v>6</v>
      </c>
      <c r="HI132" s="60">
        <v>6</v>
      </c>
      <c r="HJ132" s="60">
        <v>8</v>
      </c>
      <c r="HK132" s="60">
        <v>6</v>
      </c>
      <c r="HL132" s="60">
        <v>8</v>
      </c>
      <c r="HM132" s="60">
        <v>10</v>
      </c>
      <c r="HN132" s="60">
        <v>8</v>
      </c>
      <c r="HO132" s="60">
        <v>10</v>
      </c>
      <c r="HP132" s="60">
        <v>12</v>
      </c>
      <c r="HQ132" s="60">
        <v>10</v>
      </c>
      <c r="HR132" s="60">
        <v>14</v>
      </c>
      <c r="HS132" s="60">
        <v>12</v>
      </c>
      <c r="HT132" s="60">
        <v>14</v>
      </c>
      <c r="HV132" s="60" t="s">
        <v>825</v>
      </c>
      <c r="HW132" s="61">
        <v>0</v>
      </c>
      <c r="HX132" s="61">
        <v>0</v>
      </c>
      <c r="HY132" s="61">
        <v>2</v>
      </c>
      <c r="HZ132" s="61">
        <v>2</v>
      </c>
      <c r="IA132" s="61">
        <v>2</v>
      </c>
      <c r="IB132" s="61">
        <v>6</v>
      </c>
      <c r="IC132" s="61">
        <v>4</v>
      </c>
      <c r="ID132" s="61">
        <v>8</v>
      </c>
      <c r="IE132" s="61">
        <v>8</v>
      </c>
      <c r="IF132" s="61">
        <v>10</v>
      </c>
      <c r="IG132" s="61">
        <v>10</v>
      </c>
      <c r="IH132" s="61">
        <v>10</v>
      </c>
      <c r="II132" s="61">
        <v>12</v>
      </c>
      <c r="IJ132" s="61">
        <v>12</v>
      </c>
      <c r="IK132" s="61">
        <v>16</v>
      </c>
      <c r="IL132" s="61">
        <v>16</v>
      </c>
      <c r="IM132" s="61">
        <v>18</v>
      </c>
      <c r="IN132" s="61">
        <v>18</v>
      </c>
      <c r="IO132" s="61">
        <v>18</v>
      </c>
      <c r="IP132" s="61">
        <v>20</v>
      </c>
      <c r="IQ132" s="61">
        <v>20</v>
      </c>
      <c r="IS132" s="60" t="s">
        <v>825</v>
      </c>
      <c r="IT132" s="60">
        <f t="shared" si="69"/>
        <v>0</v>
      </c>
      <c r="IU132" s="60">
        <f t="shared" si="70"/>
        <v>0</v>
      </c>
      <c r="IV132" s="60">
        <f t="shared" si="71"/>
        <v>4</v>
      </c>
      <c r="IW132" s="60">
        <f t="shared" si="72"/>
        <v>4</v>
      </c>
      <c r="IX132" s="60">
        <f t="shared" si="73"/>
        <v>4</v>
      </c>
      <c r="IY132" s="60">
        <f t="shared" si="74"/>
        <v>12</v>
      </c>
      <c r="IZ132" s="60">
        <f t="shared" si="75"/>
        <v>8</v>
      </c>
      <c r="JA132" s="60">
        <f t="shared" si="76"/>
        <v>16</v>
      </c>
      <c r="JB132" s="60">
        <f t="shared" si="77"/>
        <v>16</v>
      </c>
      <c r="JC132" s="60">
        <f t="shared" si="78"/>
        <v>20</v>
      </c>
      <c r="JD132" s="60">
        <f t="shared" si="79"/>
        <v>20</v>
      </c>
      <c r="JE132" s="60">
        <f t="shared" si="80"/>
        <v>20</v>
      </c>
      <c r="JF132" s="60">
        <f t="shared" si="81"/>
        <v>24</v>
      </c>
      <c r="JG132" s="60">
        <f t="shared" si="82"/>
        <v>24</v>
      </c>
      <c r="JH132" s="60">
        <f t="shared" si="83"/>
        <v>32</v>
      </c>
      <c r="JI132" s="60">
        <f t="shared" si="84"/>
        <v>32</v>
      </c>
      <c r="JJ132" s="60">
        <f t="shared" si="85"/>
        <v>36</v>
      </c>
      <c r="JK132" s="60">
        <f t="shared" si="86"/>
        <v>36</v>
      </c>
      <c r="JL132" s="60">
        <f t="shared" si="87"/>
        <v>36</v>
      </c>
      <c r="JM132" s="60">
        <f t="shared" si="88"/>
        <v>40</v>
      </c>
      <c r="JN132" s="60">
        <f t="shared" si="89"/>
        <v>40</v>
      </c>
      <c r="JQ132" s="63"/>
    </row>
    <row r="133" spans="1:295" x14ac:dyDescent="0.25">
      <c r="A133" s="8"/>
      <c r="B133" s="5" t="s">
        <v>116</v>
      </c>
      <c r="C133" s="8"/>
      <c r="D133" s="6" t="s">
        <v>310</v>
      </c>
      <c r="E133" s="8">
        <v>20</v>
      </c>
      <c r="F133" s="5"/>
      <c r="G133" s="5"/>
      <c r="H133" s="5"/>
      <c r="I133" s="5"/>
      <c r="J133" s="5" t="s">
        <v>411</v>
      </c>
      <c r="K133" s="9"/>
      <c r="L133" s="6" t="str">
        <f>INDEX(($AE$191:$AF$201),MATCH(I130,$AD$191:$AD$200,0),MATCH(E131,$AE$190:$AF$190,0),1)</f>
        <v>BUFK30</v>
      </c>
      <c r="M133" s="11">
        <f>INDEX(cennik!$C$2:$L$529,MATCH($L133,cennik!$B$2:$B$522,0),MATCH(M$104,cennik!$C$1:$L$1,0))</f>
        <v>897430</v>
      </c>
      <c r="N133" s="11" t="str">
        <f>INDEX(cennik!$C$2:$L$529,MATCH($L133,cennik!$B$2:$B$522,0),MATCH(N$104,cennik!$C$1:$L$1,0))</f>
        <v>szt.</v>
      </c>
      <c r="O133" s="11">
        <f>SUM(IF(A129=0,0,IF((A129&gt;0),C129*8)),IF(A130=0,0,IF((A130&gt;0),C130*8)),IF(A131=0,0,IF((A131&gt;0),C131*8)),IF(A132=0,0,IF((A132&gt;0),C132*8)),IF(A133=0,0,IF((A133&gt;0),C133*8)),IF(A134=0,0,IF((A134&gt;0),C134*8)),IF(A135=0,0,IF((A135&gt;0),C135*8)),IF(A136=0,0,IF((A136&gt;0),C136*8)),IF(A137=0,0,IF((A137&gt;0),C137*8)),IF(A138=0,0,IF((A138&gt;0),C138*8)),IF(A139=0,0,IF((A139&gt;0),C139*8)),IF(A140=0,0,IF((A140&gt;0),C140*8)),IF(A141=0,0,IF((A141&gt;0),C141*8)),IF(A142=0,0,IF((A142&gt;0),C142*8)),IF(A143=0,0,IF((A143&gt;0),C143*8)),IF(A144=0,0,IF((A144&gt;0),C144*8)))</f>
        <v>0</v>
      </c>
      <c r="P133" s="34">
        <f>INDEX(cennik!$C$2:$L$529,MATCH($L133,cennik!$B$2:$B$522,0),MATCH(P$104,cennik!$C$1:$L$1,0))</f>
        <v>5.87</v>
      </c>
      <c r="Q133" s="34">
        <f t="shared" si="102"/>
        <v>0</v>
      </c>
      <c r="R133" s="35">
        <f t="shared" si="100"/>
        <v>0</v>
      </c>
      <c r="S133" s="34">
        <f t="shared" si="101"/>
        <v>5.87</v>
      </c>
      <c r="T133" s="34">
        <f t="shared" si="103"/>
        <v>0</v>
      </c>
      <c r="U133" s="34">
        <f>INDEX(cennik!$C$2:$L$529,MATCH($L133,cennik!$B$2:$B$522,0),MATCH(U$104,cennik!$C$1:$L$1,0))*O133</f>
        <v>0</v>
      </c>
      <c r="V133" s="61"/>
      <c r="W133" s="142">
        <f t="shared" si="99"/>
        <v>0</v>
      </c>
      <c r="X133" s="61" t="s">
        <v>714</v>
      </c>
      <c r="Y133" s="61">
        <v>1250</v>
      </c>
      <c r="Z133" s="61"/>
      <c r="AA133" s="61"/>
      <c r="AB133" s="61">
        <f t="shared" si="95"/>
        <v>0</v>
      </c>
      <c r="AC133" s="61"/>
      <c r="AE133" s="61">
        <f>INDEX(($AG$132:$AH$141),MATCH(I105,$AF$132:$AF$141,0),MATCH(E106,$AG$131:$AH$131,0))</f>
        <v>0</v>
      </c>
      <c r="AF133" s="61">
        <v>32</v>
      </c>
      <c r="AG133" s="61" t="s">
        <v>881</v>
      </c>
      <c r="AH133" s="61">
        <v>0</v>
      </c>
      <c r="AI133" s="61"/>
      <c r="AJ133" s="61">
        <f t="shared" si="104"/>
        <v>0</v>
      </c>
      <c r="AK133" s="61">
        <f t="shared" si="105"/>
        <v>0</v>
      </c>
      <c r="AL133" s="61" t="s">
        <v>126</v>
      </c>
      <c r="AM133" s="61">
        <v>0</v>
      </c>
      <c r="AN133" s="61">
        <v>0</v>
      </c>
      <c r="AO133" s="61">
        <v>4</v>
      </c>
      <c r="AP133" s="61">
        <v>6</v>
      </c>
      <c r="AQ133" s="61">
        <v>0</v>
      </c>
      <c r="AR133" s="61">
        <v>0</v>
      </c>
      <c r="AS133" s="61">
        <v>0</v>
      </c>
      <c r="AT133" s="61">
        <v>0</v>
      </c>
      <c r="AU133" s="61">
        <v>0</v>
      </c>
      <c r="AV133" s="61">
        <v>0</v>
      </c>
      <c r="AW133" s="61">
        <v>0</v>
      </c>
      <c r="AX133" s="61">
        <v>0</v>
      </c>
      <c r="AY133" s="61">
        <v>0</v>
      </c>
      <c r="AZ133" s="61">
        <v>0</v>
      </c>
      <c r="BA133" s="61">
        <v>0</v>
      </c>
      <c r="BB133" s="61">
        <v>0</v>
      </c>
      <c r="BC133" s="61">
        <v>0</v>
      </c>
      <c r="BD133" s="61">
        <v>0</v>
      </c>
      <c r="BE133" s="61">
        <v>0</v>
      </c>
      <c r="BF133" s="61">
        <v>0</v>
      </c>
      <c r="BG133" s="61">
        <v>0</v>
      </c>
      <c r="BH133" s="61">
        <v>0</v>
      </c>
      <c r="BI133" s="61">
        <v>0</v>
      </c>
      <c r="BJ133" s="61">
        <v>0</v>
      </c>
      <c r="BK133" s="61">
        <v>0</v>
      </c>
      <c r="BL133" s="61">
        <v>0</v>
      </c>
      <c r="BM133" s="61">
        <v>0</v>
      </c>
      <c r="BN133" s="61">
        <v>0</v>
      </c>
      <c r="BO133" s="61">
        <v>0</v>
      </c>
      <c r="BP133" s="61">
        <v>0</v>
      </c>
      <c r="BQ133" s="61">
        <v>0</v>
      </c>
      <c r="BR133" s="61">
        <v>0</v>
      </c>
      <c r="BS133" s="61">
        <v>0</v>
      </c>
      <c r="BT133" s="61">
        <v>0</v>
      </c>
      <c r="BU133" s="61">
        <v>0</v>
      </c>
      <c r="BV133" s="61">
        <v>0</v>
      </c>
      <c r="BW133" s="61">
        <v>0</v>
      </c>
      <c r="BX133" s="61">
        <v>0</v>
      </c>
      <c r="BY133" s="61">
        <v>0</v>
      </c>
      <c r="BZ133" s="61">
        <v>0</v>
      </c>
      <c r="CA133" s="61">
        <v>0</v>
      </c>
      <c r="CB133" s="61">
        <v>0</v>
      </c>
      <c r="CC133" s="61">
        <v>0</v>
      </c>
      <c r="CD133" s="61">
        <v>0</v>
      </c>
      <c r="CE133" s="61">
        <v>0</v>
      </c>
      <c r="CF133" s="61">
        <v>0</v>
      </c>
      <c r="CG133" s="61">
        <v>0</v>
      </c>
      <c r="CH133" s="61">
        <v>0</v>
      </c>
      <c r="CI133" s="61">
        <v>0</v>
      </c>
      <c r="CJ133" s="61">
        <v>0</v>
      </c>
      <c r="CK133" s="61">
        <v>0</v>
      </c>
      <c r="CL133" s="61"/>
      <c r="CM133" s="61"/>
      <c r="CN133" s="61"/>
      <c r="CO133" s="61"/>
      <c r="CP133" s="61"/>
      <c r="CQ133" s="61"/>
      <c r="CR133" s="61"/>
      <c r="CS133" s="61"/>
      <c r="CT133" s="61"/>
      <c r="CU133" s="61"/>
      <c r="CV133" s="61"/>
      <c r="CW133" s="61"/>
      <c r="CX133" s="61"/>
      <c r="CY133" s="61"/>
      <c r="CZ133" s="61"/>
      <c r="DA133" s="61"/>
      <c r="DB133" s="61"/>
      <c r="DC133" s="61"/>
      <c r="DD133" s="61"/>
      <c r="DE133" s="61"/>
      <c r="DF133" s="61"/>
      <c r="DG133" s="61"/>
      <c r="DH133" s="61"/>
      <c r="DI133" s="61"/>
      <c r="DJ133" s="61"/>
      <c r="DK133" s="61"/>
      <c r="DL133" s="61"/>
      <c r="DM133" s="61"/>
      <c r="DN133" s="61"/>
      <c r="DO133" s="61"/>
      <c r="DP133" s="61"/>
      <c r="DQ133" s="61"/>
      <c r="DR133" s="61"/>
      <c r="DS133" s="61"/>
      <c r="DT133" s="61"/>
      <c r="DU133" s="61"/>
      <c r="DV133" s="61"/>
      <c r="DW133" s="61"/>
      <c r="DX133" s="61"/>
      <c r="DY133" s="61"/>
      <c r="DZ133" s="61">
        <v>30</v>
      </c>
      <c r="EA133" s="61"/>
      <c r="EB133" s="61">
        <v>32</v>
      </c>
      <c r="EC133" s="61"/>
      <c r="ED133" s="61"/>
      <c r="EE133" s="61"/>
      <c r="EF133" s="61"/>
      <c r="EG133" s="61"/>
      <c r="EH133" s="61"/>
      <c r="EI133" s="61"/>
      <c r="EJ133" s="61"/>
      <c r="EK133" s="61"/>
      <c r="EL133" s="61"/>
      <c r="EM133" s="61"/>
      <c r="EN133" s="61"/>
      <c r="EO133" s="61"/>
      <c r="EP133" s="61"/>
      <c r="EQ133" s="61"/>
      <c r="ER133" s="61"/>
      <c r="ES133" s="61"/>
      <c r="ET133" s="61"/>
      <c r="EU133" s="61"/>
      <c r="EV133" s="61" t="s">
        <v>9</v>
      </c>
      <c r="EW133" s="61">
        <v>0</v>
      </c>
      <c r="EX133" s="61">
        <v>2</v>
      </c>
      <c r="EY133" s="61">
        <v>4</v>
      </c>
      <c r="EZ133" s="61">
        <v>0</v>
      </c>
      <c r="FA133" s="61">
        <v>0</v>
      </c>
      <c r="FB133" s="61">
        <v>0</v>
      </c>
      <c r="FC133" s="61">
        <v>0</v>
      </c>
      <c r="FD133" s="61">
        <v>2</v>
      </c>
      <c r="FE133" s="61">
        <v>0</v>
      </c>
      <c r="FF133" s="61">
        <v>0</v>
      </c>
      <c r="FG133" s="61">
        <v>0</v>
      </c>
      <c r="FH133" s="61">
        <v>0</v>
      </c>
      <c r="FI133" s="61">
        <v>0</v>
      </c>
      <c r="FJ133" s="61">
        <v>0</v>
      </c>
      <c r="FK133" s="61">
        <v>0</v>
      </c>
      <c r="FL133" s="61">
        <v>0</v>
      </c>
      <c r="FM133" s="61">
        <v>0</v>
      </c>
      <c r="FN133" s="61">
        <v>0</v>
      </c>
      <c r="FO133" s="61">
        <v>0</v>
      </c>
      <c r="FP133" s="61">
        <v>0</v>
      </c>
      <c r="FQ133" s="61">
        <v>0</v>
      </c>
      <c r="FR133" s="61">
        <v>0</v>
      </c>
      <c r="FS133" s="61">
        <v>0</v>
      </c>
      <c r="FT133" s="61">
        <v>0</v>
      </c>
      <c r="FU133" s="61">
        <v>0</v>
      </c>
      <c r="FV133" s="61">
        <v>0</v>
      </c>
      <c r="FW133" s="61">
        <v>0</v>
      </c>
      <c r="FX133" s="61">
        <v>0</v>
      </c>
      <c r="FY133" s="61">
        <v>0</v>
      </c>
      <c r="FZ133" s="61">
        <v>0</v>
      </c>
      <c r="GA133" s="61">
        <v>0</v>
      </c>
      <c r="GB133" s="61">
        <v>0</v>
      </c>
      <c r="GC133" s="61">
        <v>0</v>
      </c>
      <c r="GD133" s="61">
        <v>0</v>
      </c>
      <c r="GE133" s="61">
        <v>0</v>
      </c>
      <c r="GF133" s="61">
        <v>0</v>
      </c>
      <c r="GG133" s="61">
        <v>0</v>
      </c>
      <c r="GH133" s="61">
        <v>0</v>
      </c>
      <c r="GI133" s="61">
        <v>0</v>
      </c>
      <c r="GJ133" s="61">
        <v>0</v>
      </c>
      <c r="GK133" s="61">
        <v>0</v>
      </c>
      <c r="GL133" s="61">
        <v>0</v>
      </c>
      <c r="GM133" s="61">
        <v>0</v>
      </c>
      <c r="GN133" s="61">
        <v>0</v>
      </c>
      <c r="GO133" s="61">
        <v>0</v>
      </c>
      <c r="GP133" s="61">
        <v>0</v>
      </c>
      <c r="GQ133" s="61">
        <v>0</v>
      </c>
      <c r="GR133" s="61">
        <v>0</v>
      </c>
      <c r="GS133" s="61">
        <v>0</v>
      </c>
      <c r="GT133" s="61">
        <v>0</v>
      </c>
      <c r="GU133" s="61">
        <v>0</v>
      </c>
      <c r="GV133" s="61"/>
      <c r="GW133" s="61"/>
      <c r="GX133" s="61"/>
      <c r="GY133" s="60" t="s">
        <v>712</v>
      </c>
      <c r="GZ133" s="60">
        <v>0</v>
      </c>
      <c r="HA133" s="60">
        <v>0</v>
      </c>
      <c r="HB133" s="60">
        <v>0</v>
      </c>
      <c r="HC133" s="60">
        <v>2</v>
      </c>
      <c r="HD133" s="60">
        <v>2</v>
      </c>
      <c r="HE133" s="60">
        <v>2</v>
      </c>
      <c r="HF133" s="60">
        <v>4</v>
      </c>
      <c r="HG133" s="60">
        <v>4</v>
      </c>
      <c r="HH133" s="60">
        <v>4</v>
      </c>
      <c r="HI133" s="60">
        <v>6</v>
      </c>
      <c r="HJ133" s="60">
        <v>6</v>
      </c>
      <c r="HK133" s="60">
        <v>8</v>
      </c>
      <c r="HL133" s="60">
        <v>8</v>
      </c>
      <c r="HM133" s="60">
        <v>8</v>
      </c>
      <c r="HN133" s="60">
        <v>10</v>
      </c>
      <c r="HO133" s="60">
        <v>10</v>
      </c>
      <c r="HP133" s="60">
        <v>10</v>
      </c>
      <c r="HQ133" s="60">
        <v>12</v>
      </c>
      <c r="HR133" s="60">
        <v>12</v>
      </c>
      <c r="HS133" s="60">
        <v>14</v>
      </c>
      <c r="HT133" s="60">
        <v>14</v>
      </c>
      <c r="HV133" s="60" t="s">
        <v>853</v>
      </c>
      <c r="HW133" s="61">
        <v>0</v>
      </c>
      <c r="HX133" s="61">
        <v>0</v>
      </c>
      <c r="HY133" s="61">
        <v>0</v>
      </c>
      <c r="HZ133" s="61">
        <v>2</v>
      </c>
      <c r="IA133" s="61">
        <v>4</v>
      </c>
      <c r="IB133" s="61">
        <v>4</v>
      </c>
      <c r="IC133" s="61">
        <v>6</v>
      </c>
      <c r="ID133" s="61">
        <v>6</v>
      </c>
      <c r="IE133" s="61">
        <v>8</v>
      </c>
      <c r="IF133" s="61">
        <v>8</v>
      </c>
      <c r="IG133" s="61">
        <v>10</v>
      </c>
      <c r="IH133" s="61">
        <v>12</v>
      </c>
      <c r="II133" s="61">
        <v>12</v>
      </c>
      <c r="IJ133" s="61">
        <v>14</v>
      </c>
      <c r="IK133" s="61">
        <v>14</v>
      </c>
      <c r="IL133" s="61">
        <v>16</v>
      </c>
      <c r="IM133" s="61">
        <v>16</v>
      </c>
      <c r="IN133" s="61">
        <v>18</v>
      </c>
      <c r="IO133" s="61">
        <v>20</v>
      </c>
      <c r="IP133" s="61">
        <v>20</v>
      </c>
      <c r="IQ133" s="61">
        <v>22</v>
      </c>
      <c r="IS133" s="60" t="s">
        <v>853</v>
      </c>
      <c r="IT133" s="60">
        <f t="shared" si="69"/>
        <v>0</v>
      </c>
      <c r="IU133" s="60">
        <f t="shared" si="70"/>
        <v>0</v>
      </c>
      <c r="IV133" s="60">
        <f t="shared" si="71"/>
        <v>0</v>
      </c>
      <c r="IW133" s="60">
        <f t="shared" si="72"/>
        <v>4</v>
      </c>
      <c r="IX133" s="60">
        <f t="shared" si="73"/>
        <v>8</v>
      </c>
      <c r="IY133" s="60">
        <f t="shared" si="74"/>
        <v>8</v>
      </c>
      <c r="IZ133" s="60">
        <f t="shared" si="75"/>
        <v>12</v>
      </c>
      <c r="JA133" s="60">
        <f t="shared" si="76"/>
        <v>12</v>
      </c>
      <c r="JB133" s="60">
        <f t="shared" si="77"/>
        <v>16</v>
      </c>
      <c r="JC133" s="60">
        <f t="shared" si="78"/>
        <v>16</v>
      </c>
      <c r="JD133" s="60">
        <f t="shared" si="79"/>
        <v>20</v>
      </c>
      <c r="JE133" s="60">
        <f t="shared" si="80"/>
        <v>24</v>
      </c>
      <c r="JF133" s="60">
        <f t="shared" si="81"/>
        <v>24</v>
      </c>
      <c r="JG133" s="60">
        <f t="shared" si="82"/>
        <v>28</v>
      </c>
      <c r="JH133" s="60">
        <f t="shared" si="83"/>
        <v>28</v>
      </c>
      <c r="JI133" s="60">
        <f t="shared" si="84"/>
        <v>32</v>
      </c>
      <c r="JJ133" s="60">
        <f t="shared" si="85"/>
        <v>32</v>
      </c>
      <c r="JK133" s="60">
        <f t="shared" si="86"/>
        <v>36</v>
      </c>
      <c r="JL133" s="60">
        <f t="shared" si="87"/>
        <v>40</v>
      </c>
      <c r="JM133" s="60">
        <f t="shared" si="88"/>
        <v>40</v>
      </c>
      <c r="JN133" s="60">
        <f t="shared" si="89"/>
        <v>44</v>
      </c>
      <c r="JQ133" s="63"/>
      <c r="KG133" s="63"/>
      <c r="KI133" s="61"/>
    </row>
    <row r="134" spans="1:295" x14ac:dyDescent="0.25">
      <c r="A134" s="8"/>
      <c r="B134" s="5" t="s">
        <v>116</v>
      </c>
      <c r="C134" s="8"/>
      <c r="D134" s="6" t="s">
        <v>162</v>
      </c>
      <c r="E134" s="8">
        <v>0</v>
      </c>
      <c r="F134" s="5"/>
      <c r="G134" s="5"/>
      <c r="H134" s="5"/>
      <c r="I134" s="5"/>
      <c r="J134" s="5" t="s">
        <v>163</v>
      </c>
      <c r="K134" s="9"/>
      <c r="L134" s="6" t="str">
        <f>INDEX(($AE$201:$AF$201),1,MATCH(E131,$AE$190:$AF$190,0),1)</f>
        <v>PUFK</v>
      </c>
      <c r="M134" s="11">
        <f>INDEX(cennik!$C$2:$L$529,MATCH($L134,cennik!$B$2:$B$522,0),MATCH(M$104,cennik!$C$1:$L$1,0))</f>
        <v>890300</v>
      </c>
      <c r="N134" s="11" t="str">
        <f>INDEX(cennik!$C$2:$L$529,MATCH($L134,cennik!$B$2:$B$522,0),MATCH(N$104,cennik!$C$1:$L$1,0))</f>
        <v>szt.</v>
      </c>
      <c r="O134" s="11">
        <f>SUM(IF(A129=0,0,IF(A129&gt;0,(A129-2)*2*C129)),IF(A130=0,0,IF(A130&gt;0,(A130-2)*2*C130)),IF(A131=0,0,IF(A131&gt;0,(A131-2)*2*C131)),IF(A132=0,0,IF(A132&gt;0,(A132-2)*2*C132)),IF(A133=0,0,IF(A133&gt;0,(A133-2)*2*C133)),IF(A134=0,0,IF(A134&gt;0,(A134-2)*2*C134)),IF(A135=0,0,IF(A135&gt;0,(A135-2)*2*C135)),IF(A136=0,0,IF(A136&gt;0,(A136-2)*2*C136)),IF(A137=0,0,IF(A137&gt;0,(A137-2)*2*C137)),IF(A138=0,0,IF(A138&gt;0,(A138-2)*2*C138)),IF(A139=0,0,IF(A139&gt;0,(A139-2)*2*C139)),IF(A140=0,0,IF(A140&gt;0,(A140-2)*2*C140)),IF(A141=0,0,IF(A141&gt;0,(A141-2)*2*C141)),IF(A142=0,0,IF(A142&gt;0,(A142-2)*2*C142)),IF(A143=0,0,IF(A143&gt;0,(A143-2)*2*C143)),IF(A144=0,0,IF(A144&gt;0,(A144-2)*2*C144)))</f>
        <v>0</v>
      </c>
      <c r="P134" s="34">
        <f>INDEX(cennik!$C$2:$L$529,MATCH($L134,cennik!$B$2:$B$522,0),MATCH(P$104,cennik!$C$1:$L$1,0))</f>
        <v>7.31</v>
      </c>
      <c r="Q134" s="34">
        <f t="shared" si="102"/>
        <v>0</v>
      </c>
      <c r="R134" s="35">
        <f t="shared" si="100"/>
        <v>0</v>
      </c>
      <c r="S134" s="34">
        <f t="shared" si="101"/>
        <v>7.31</v>
      </c>
      <c r="T134" s="34">
        <f t="shared" si="103"/>
        <v>0</v>
      </c>
      <c r="U134" s="34">
        <f>INDEX(cennik!$C$2:$L$529,MATCH($L134,cennik!$B$2:$B$522,0),MATCH(U$104,cennik!$C$1:$L$1,0))*O134</f>
        <v>0</v>
      </c>
      <c r="V134" s="61"/>
      <c r="W134" s="142">
        <f t="shared" si="99"/>
        <v>0</v>
      </c>
      <c r="X134" s="61" t="s">
        <v>715</v>
      </c>
      <c r="Y134" s="61">
        <v>1300</v>
      </c>
      <c r="Z134" s="61"/>
      <c r="AA134" s="61"/>
      <c r="AB134" s="61">
        <f t="shared" si="95"/>
        <v>0</v>
      </c>
      <c r="AC134" s="61"/>
      <c r="AD134" s="61"/>
      <c r="AE134" s="61"/>
      <c r="AF134" s="61">
        <v>33</v>
      </c>
      <c r="AG134" s="61" t="s">
        <v>881</v>
      </c>
      <c r="AH134" s="61">
        <v>0</v>
      </c>
      <c r="AI134" s="61"/>
      <c r="AJ134" s="61">
        <f t="shared" si="104"/>
        <v>0</v>
      </c>
      <c r="AK134" s="61">
        <f t="shared" si="105"/>
        <v>0</v>
      </c>
      <c r="AL134" s="61" t="s">
        <v>12</v>
      </c>
      <c r="AM134" s="61">
        <v>0</v>
      </c>
      <c r="AN134" s="61">
        <v>2</v>
      </c>
      <c r="AO134" s="61">
        <v>0</v>
      </c>
      <c r="AP134" s="61">
        <v>0</v>
      </c>
      <c r="AQ134" s="61">
        <v>2</v>
      </c>
      <c r="AR134" s="61">
        <v>0</v>
      </c>
      <c r="AS134" s="61">
        <v>4</v>
      </c>
      <c r="AT134" s="61">
        <v>2</v>
      </c>
      <c r="AU134" s="61">
        <v>0</v>
      </c>
      <c r="AV134" s="61">
        <v>4</v>
      </c>
      <c r="AW134" s="61">
        <v>2</v>
      </c>
      <c r="AX134" s="61">
        <v>0</v>
      </c>
      <c r="AY134" s="61">
        <v>4</v>
      </c>
      <c r="AZ134" s="61">
        <v>2</v>
      </c>
      <c r="BA134" s="61">
        <v>0</v>
      </c>
      <c r="BB134" s="61">
        <v>0</v>
      </c>
      <c r="BC134" s="61">
        <v>2</v>
      </c>
      <c r="BD134" s="61">
        <v>0</v>
      </c>
      <c r="BE134" s="61">
        <v>4</v>
      </c>
      <c r="BF134" s="61">
        <v>0</v>
      </c>
      <c r="BG134" s="61">
        <v>0</v>
      </c>
      <c r="BH134" s="61">
        <v>2</v>
      </c>
      <c r="BI134" s="61">
        <v>0</v>
      </c>
      <c r="BJ134" s="61">
        <v>0</v>
      </c>
      <c r="BK134" s="61">
        <v>0</v>
      </c>
      <c r="BL134" s="61">
        <v>0</v>
      </c>
      <c r="BM134" s="61">
        <v>0</v>
      </c>
      <c r="BN134" s="61">
        <v>4</v>
      </c>
      <c r="BO134" s="61">
        <v>0</v>
      </c>
      <c r="BP134" s="61">
        <v>0</v>
      </c>
      <c r="BQ134" s="61">
        <v>0</v>
      </c>
      <c r="BR134" s="61">
        <v>0</v>
      </c>
      <c r="BS134" s="61">
        <v>0</v>
      </c>
      <c r="BT134" s="61">
        <v>2</v>
      </c>
      <c r="BU134" s="61">
        <v>0</v>
      </c>
      <c r="BV134" s="61">
        <v>0</v>
      </c>
      <c r="BW134" s="61">
        <v>0</v>
      </c>
      <c r="BX134" s="61">
        <v>0</v>
      </c>
      <c r="BY134" s="61">
        <v>0</v>
      </c>
      <c r="BZ134" s="61">
        <v>0</v>
      </c>
      <c r="CA134" s="61">
        <v>0</v>
      </c>
      <c r="CB134" s="61">
        <v>0</v>
      </c>
      <c r="CC134" s="61">
        <v>4</v>
      </c>
      <c r="CD134" s="61">
        <v>0</v>
      </c>
      <c r="CE134" s="61">
        <v>0</v>
      </c>
      <c r="CF134" s="61">
        <v>0</v>
      </c>
      <c r="CG134" s="61">
        <v>0</v>
      </c>
      <c r="CH134" s="61">
        <v>0</v>
      </c>
      <c r="CI134" s="61">
        <v>0</v>
      </c>
      <c r="CJ134" s="61">
        <v>0</v>
      </c>
      <c r="CK134" s="61">
        <v>0</v>
      </c>
      <c r="CL134" s="61"/>
      <c r="CM134" s="61"/>
      <c r="CN134" s="61"/>
      <c r="CO134" s="61"/>
      <c r="CP134" s="61"/>
      <c r="CQ134" s="61"/>
      <c r="CR134" s="61"/>
      <c r="CS134" s="61"/>
      <c r="CT134" s="61"/>
      <c r="CU134" s="61"/>
      <c r="CV134" s="61"/>
      <c r="CW134" s="61"/>
      <c r="CX134" s="61"/>
      <c r="CY134" s="61"/>
      <c r="CZ134" s="61"/>
      <c r="DA134" s="61"/>
      <c r="DB134" s="61"/>
      <c r="DC134" s="61"/>
      <c r="DD134" s="61"/>
      <c r="DE134" s="61"/>
      <c r="DF134" s="61"/>
      <c r="DG134" s="61"/>
      <c r="DH134" s="61"/>
      <c r="DI134" s="61"/>
      <c r="DJ134" s="61"/>
      <c r="DK134" s="61"/>
      <c r="DL134" s="61"/>
      <c r="DM134" s="61"/>
      <c r="DN134" s="61"/>
      <c r="DO134" s="61"/>
      <c r="DP134" s="61"/>
      <c r="DQ134" s="61"/>
      <c r="DR134" s="61"/>
      <c r="DS134" s="61"/>
      <c r="DT134" s="61"/>
      <c r="DU134" s="61"/>
      <c r="DV134" s="61"/>
      <c r="DW134" s="61"/>
      <c r="DX134" s="61"/>
      <c r="DY134" s="61"/>
      <c r="DZ134" s="61">
        <v>31</v>
      </c>
      <c r="EA134" s="61"/>
      <c r="EB134" s="61">
        <v>35</v>
      </c>
      <c r="EC134" s="61"/>
      <c r="ED134" s="61"/>
      <c r="EE134" s="61"/>
      <c r="EF134" s="61"/>
      <c r="EG134" s="61"/>
      <c r="EH134" s="61"/>
      <c r="EI134" s="61"/>
      <c r="EJ134" s="61"/>
      <c r="EK134" s="61"/>
      <c r="EL134" s="61"/>
      <c r="EM134" s="61"/>
      <c r="EN134" s="61"/>
      <c r="EO134" s="61"/>
      <c r="EP134" s="61"/>
      <c r="EQ134" s="61"/>
      <c r="ER134" s="61"/>
      <c r="ES134" s="61"/>
      <c r="ET134" s="61"/>
      <c r="EU134" s="61"/>
      <c r="EV134" s="61" t="s">
        <v>208</v>
      </c>
      <c r="EW134" s="61">
        <v>0</v>
      </c>
      <c r="EX134" s="61">
        <v>0</v>
      </c>
      <c r="EY134" s="61">
        <v>0</v>
      </c>
      <c r="EZ134" s="61">
        <v>0</v>
      </c>
      <c r="FA134" s="61">
        <v>0</v>
      </c>
      <c r="FB134" s="61">
        <v>0</v>
      </c>
      <c r="FC134" s="61">
        <v>0</v>
      </c>
      <c r="FD134" s="61">
        <v>0</v>
      </c>
      <c r="FE134" s="61">
        <v>2</v>
      </c>
      <c r="FF134" s="61">
        <v>0</v>
      </c>
      <c r="FG134" s="61">
        <v>0</v>
      </c>
      <c r="FH134" s="61">
        <v>0</v>
      </c>
      <c r="FI134" s="61">
        <v>0</v>
      </c>
      <c r="FJ134" s="61">
        <v>0</v>
      </c>
      <c r="FK134" s="61">
        <v>0</v>
      </c>
      <c r="FL134" s="61">
        <v>0</v>
      </c>
      <c r="FM134" s="61">
        <v>0</v>
      </c>
      <c r="FN134" s="61">
        <v>0</v>
      </c>
      <c r="FO134" s="61">
        <v>0</v>
      </c>
      <c r="FP134" s="61">
        <v>0</v>
      </c>
      <c r="FQ134" s="61">
        <v>0</v>
      </c>
      <c r="FR134" s="61">
        <v>0</v>
      </c>
      <c r="FS134" s="61">
        <v>0</v>
      </c>
      <c r="FT134" s="61">
        <v>0</v>
      </c>
      <c r="FU134" s="61">
        <v>0</v>
      </c>
      <c r="FV134" s="61">
        <v>0</v>
      </c>
      <c r="FW134" s="61">
        <v>0</v>
      </c>
      <c r="FX134" s="61">
        <v>0</v>
      </c>
      <c r="FY134" s="61">
        <v>0</v>
      </c>
      <c r="FZ134" s="61">
        <v>0</v>
      </c>
      <c r="GA134" s="61">
        <v>0</v>
      </c>
      <c r="GB134" s="61">
        <v>0</v>
      </c>
      <c r="GC134" s="61">
        <v>0</v>
      </c>
      <c r="GD134" s="61">
        <v>0</v>
      </c>
      <c r="GE134" s="61">
        <v>0</v>
      </c>
      <c r="GF134" s="61">
        <v>0</v>
      </c>
      <c r="GG134" s="61">
        <v>0</v>
      </c>
      <c r="GH134" s="61">
        <v>0</v>
      </c>
      <c r="GI134" s="61">
        <v>0</v>
      </c>
      <c r="GJ134" s="61">
        <v>0</v>
      </c>
      <c r="GK134" s="61">
        <v>0</v>
      </c>
      <c r="GL134" s="61">
        <v>0</v>
      </c>
      <c r="GM134" s="61">
        <v>0</v>
      </c>
      <c r="GN134" s="61">
        <v>0</v>
      </c>
      <c r="GO134" s="61">
        <v>0</v>
      </c>
      <c r="GP134" s="61">
        <v>0</v>
      </c>
      <c r="GQ134" s="61">
        <v>0</v>
      </c>
      <c r="GR134" s="61">
        <v>0</v>
      </c>
      <c r="GS134" s="61">
        <v>0</v>
      </c>
      <c r="GT134" s="61">
        <v>0</v>
      </c>
      <c r="GU134" s="61">
        <v>0</v>
      </c>
      <c r="GV134" s="61"/>
      <c r="GW134" s="61"/>
      <c r="GX134" s="61"/>
      <c r="JQ134" s="63"/>
      <c r="KG134" s="63"/>
      <c r="KI134" s="61"/>
    </row>
    <row r="135" spans="1:295" x14ac:dyDescent="0.25">
      <c r="A135" s="8"/>
      <c r="B135" s="5" t="s">
        <v>116</v>
      </c>
      <c r="C135" s="8"/>
      <c r="D135" s="6" t="s">
        <v>510</v>
      </c>
      <c r="E135" s="8">
        <v>0</v>
      </c>
      <c r="F135" s="6"/>
      <c r="G135" s="6"/>
      <c r="H135" s="6"/>
      <c r="I135" s="6"/>
      <c r="J135" s="5" t="s">
        <v>412</v>
      </c>
      <c r="K135" s="9"/>
      <c r="L135" s="6" t="s">
        <v>923</v>
      </c>
      <c r="M135" s="11">
        <f>INDEX(cennik!$C$2:$L$529,MATCH($L135,cennik!$B$2:$B$522,0),MATCH(M$104,cennik!$C$1:$L$1,0))</f>
        <v>651542</v>
      </c>
      <c r="N135" s="11" t="str">
        <f>INDEX(cennik!$C$2:$L$529,MATCH($L135,cennik!$B$2:$B$522,0),MATCH(N$104,cennik!$C$1:$L$1,0))</f>
        <v>100 szt.</v>
      </c>
      <c r="O135" s="11">
        <f>ROUNDUP(O132/100,0)</f>
        <v>0</v>
      </c>
      <c r="P135" s="34">
        <f>INDEX(cennik!$C$2:$L$529,MATCH($L135,cennik!$B$2:$B$522,0),MATCH(P$104,cennik!$C$1:$L$1,0))</f>
        <v>89.15</v>
      </c>
      <c r="Q135" s="34">
        <f t="shared" si="102"/>
        <v>0</v>
      </c>
      <c r="R135" s="35">
        <f t="shared" si="100"/>
        <v>0</v>
      </c>
      <c r="S135" s="34">
        <f t="shared" si="101"/>
        <v>89.15</v>
      </c>
      <c r="T135" s="34">
        <f t="shared" si="103"/>
        <v>0</v>
      </c>
      <c r="U135" s="34">
        <f>INDEX(cennik!$C$2:$L$529,MATCH($L135,cennik!$B$2:$B$522,0),MATCH(U$104,cennik!$C$1:$L$1,0))*O135</f>
        <v>0</v>
      </c>
      <c r="V135" s="61"/>
      <c r="W135" s="142">
        <f t="shared" si="99"/>
        <v>0</v>
      </c>
      <c r="X135" s="61" t="s">
        <v>762</v>
      </c>
      <c r="Y135" s="61">
        <v>1350</v>
      </c>
      <c r="Z135" s="61"/>
      <c r="AA135" s="61"/>
      <c r="AB135" s="61">
        <f t="shared" si="95"/>
        <v>0</v>
      </c>
      <c r="AC135" s="61"/>
      <c r="AD135" s="61"/>
      <c r="AE135" s="61"/>
      <c r="AF135" s="61">
        <v>34</v>
      </c>
      <c r="AG135" s="61" t="s">
        <v>881</v>
      </c>
      <c r="AH135" s="61">
        <v>0</v>
      </c>
      <c r="AI135" s="61"/>
      <c r="AJ135" s="61">
        <f t="shared" si="104"/>
        <v>0</v>
      </c>
      <c r="AK135" s="61">
        <f t="shared" si="105"/>
        <v>0</v>
      </c>
      <c r="AL135" s="61" t="s">
        <v>127</v>
      </c>
      <c r="AM135" s="61">
        <v>0</v>
      </c>
      <c r="AN135" s="61">
        <v>0</v>
      </c>
      <c r="AO135" s="61">
        <v>0</v>
      </c>
      <c r="AP135" s="61">
        <v>0</v>
      </c>
      <c r="AQ135" s="61">
        <v>0</v>
      </c>
      <c r="AR135" s="61">
        <v>0</v>
      </c>
      <c r="AS135" s="61">
        <v>0</v>
      </c>
      <c r="AT135" s="61">
        <v>0</v>
      </c>
      <c r="AU135" s="61">
        <v>0</v>
      </c>
      <c r="AV135" s="61">
        <v>0</v>
      </c>
      <c r="AW135" s="61">
        <v>0</v>
      </c>
      <c r="AX135" s="61">
        <v>0</v>
      </c>
      <c r="AY135" s="61">
        <v>0</v>
      </c>
      <c r="AZ135" s="61">
        <v>0</v>
      </c>
      <c r="BA135" s="61">
        <v>0</v>
      </c>
      <c r="BB135" s="61">
        <v>4</v>
      </c>
      <c r="BC135" s="61">
        <v>0</v>
      </c>
      <c r="BD135" s="61">
        <v>0</v>
      </c>
      <c r="BE135" s="61">
        <v>0</v>
      </c>
      <c r="BF135" s="61">
        <v>2</v>
      </c>
      <c r="BG135" s="61">
        <v>0</v>
      </c>
      <c r="BH135" s="61">
        <v>2</v>
      </c>
      <c r="BI135" s="61">
        <v>2</v>
      </c>
      <c r="BJ135" s="61">
        <v>0</v>
      </c>
      <c r="BK135" s="61">
        <v>4</v>
      </c>
      <c r="BL135" s="61">
        <v>2</v>
      </c>
      <c r="BM135" s="61">
        <v>0</v>
      </c>
      <c r="BN135" s="61">
        <v>0</v>
      </c>
      <c r="BO135" s="61">
        <v>0</v>
      </c>
      <c r="BP135" s="61">
        <v>0</v>
      </c>
      <c r="BQ135" s="61">
        <v>2</v>
      </c>
      <c r="BR135" s="61">
        <v>0</v>
      </c>
      <c r="BS135" s="61">
        <v>0</v>
      </c>
      <c r="BT135" s="61">
        <v>0</v>
      </c>
      <c r="BU135" s="61">
        <v>2</v>
      </c>
      <c r="BV135" s="61">
        <v>0</v>
      </c>
      <c r="BW135" s="61">
        <v>2</v>
      </c>
      <c r="BX135" s="61">
        <v>2</v>
      </c>
      <c r="BY135" s="61">
        <v>0</v>
      </c>
      <c r="BZ135" s="61">
        <v>0</v>
      </c>
      <c r="CA135" s="61">
        <v>0</v>
      </c>
      <c r="CB135" s="61">
        <v>0</v>
      </c>
      <c r="CC135" s="61">
        <v>0</v>
      </c>
      <c r="CD135" s="61">
        <v>0</v>
      </c>
      <c r="CE135" s="61">
        <v>0</v>
      </c>
      <c r="CF135" s="61">
        <v>2</v>
      </c>
      <c r="CG135" s="61">
        <v>0</v>
      </c>
      <c r="CH135" s="61">
        <v>0</v>
      </c>
      <c r="CI135" s="61">
        <v>0</v>
      </c>
      <c r="CJ135" s="61">
        <v>0</v>
      </c>
      <c r="CK135" s="61">
        <v>0</v>
      </c>
      <c r="CL135" s="61"/>
      <c r="CM135" s="61"/>
      <c r="CN135" s="61"/>
      <c r="CO135" s="61"/>
      <c r="CP135" s="61"/>
      <c r="CQ135" s="61"/>
      <c r="CR135" s="61"/>
      <c r="CS135" s="61"/>
      <c r="CT135" s="61"/>
      <c r="CU135" s="61"/>
      <c r="CV135" s="61"/>
      <c r="CW135" s="61"/>
      <c r="CX135" s="61"/>
      <c r="CY135" s="61"/>
      <c r="CZ135" s="61"/>
      <c r="DA135" s="61"/>
      <c r="DB135" s="61"/>
      <c r="DC135" s="61"/>
      <c r="DD135" s="61"/>
      <c r="DE135" s="61"/>
      <c r="DF135" s="61"/>
      <c r="DG135" s="61"/>
      <c r="DH135" s="61"/>
      <c r="DI135" s="61"/>
      <c r="DJ135" s="61"/>
      <c r="DK135" s="61"/>
      <c r="DL135" s="61"/>
      <c r="DM135" s="61"/>
      <c r="DN135" s="61"/>
      <c r="DO135" s="61"/>
      <c r="DP135" s="61"/>
      <c r="DQ135" s="61"/>
      <c r="DR135" s="61"/>
      <c r="DS135" s="61"/>
      <c r="DT135" s="61"/>
      <c r="DU135" s="61"/>
      <c r="DV135" s="61"/>
      <c r="DW135" s="61"/>
      <c r="DX135" s="61"/>
      <c r="DY135" s="61"/>
      <c r="DZ135" s="61">
        <v>32</v>
      </c>
      <c r="EA135" s="61"/>
      <c r="EB135" s="61">
        <v>38</v>
      </c>
      <c r="EC135" s="61"/>
      <c r="ED135" s="61"/>
      <c r="EE135" s="61"/>
      <c r="EF135" s="61"/>
      <c r="EG135" s="61"/>
      <c r="EH135" s="61"/>
      <c r="EI135" s="61"/>
      <c r="EJ135" s="61"/>
      <c r="EK135" s="61"/>
      <c r="EL135" s="61"/>
      <c r="EM135" s="61"/>
      <c r="EN135" s="61"/>
      <c r="EO135" s="61"/>
      <c r="EP135" s="61"/>
      <c r="EQ135" s="61"/>
      <c r="ER135" s="61"/>
      <c r="ES135" s="61"/>
      <c r="ET135" s="61"/>
      <c r="EU135" s="61"/>
      <c r="EV135" s="61" t="s">
        <v>211</v>
      </c>
      <c r="EW135" s="61">
        <v>0</v>
      </c>
      <c r="EX135" s="61">
        <v>0</v>
      </c>
      <c r="EY135" s="61">
        <v>0</v>
      </c>
      <c r="EZ135" s="61">
        <v>0</v>
      </c>
      <c r="FA135" s="61">
        <v>0</v>
      </c>
      <c r="FB135" s="61">
        <v>2</v>
      </c>
      <c r="FC135" s="61">
        <v>0</v>
      </c>
      <c r="FD135" s="61">
        <v>0</v>
      </c>
      <c r="FE135" s="61">
        <v>0</v>
      </c>
      <c r="FF135" s="61">
        <v>0</v>
      </c>
      <c r="FG135" s="61">
        <v>0</v>
      </c>
      <c r="FH135" s="61">
        <v>0</v>
      </c>
      <c r="FI135" s="61">
        <v>0</v>
      </c>
      <c r="FJ135" s="61">
        <v>0</v>
      </c>
      <c r="FK135" s="61">
        <v>0</v>
      </c>
      <c r="FL135" s="61">
        <v>0</v>
      </c>
      <c r="FM135" s="61">
        <v>0</v>
      </c>
      <c r="FN135" s="61">
        <v>0</v>
      </c>
      <c r="FO135" s="61">
        <v>0</v>
      </c>
      <c r="FP135" s="61">
        <v>0</v>
      </c>
      <c r="FQ135" s="61">
        <v>0</v>
      </c>
      <c r="FR135" s="61">
        <v>0</v>
      </c>
      <c r="FS135" s="61">
        <v>0</v>
      </c>
      <c r="FT135" s="61">
        <v>0</v>
      </c>
      <c r="FU135" s="61">
        <v>0</v>
      </c>
      <c r="FV135" s="61">
        <v>0</v>
      </c>
      <c r="FW135" s="61">
        <v>0</v>
      </c>
      <c r="FX135" s="61">
        <v>0</v>
      </c>
      <c r="FY135" s="61">
        <v>0</v>
      </c>
      <c r="FZ135" s="61">
        <v>0</v>
      </c>
      <c r="GA135" s="61">
        <v>0</v>
      </c>
      <c r="GB135" s="61">
        <v>0</v>
      </c>
      <c r="GC135" s="61">
        <v>0</v>
      </c>
      <c r="GD135" s="61">
        <v>0</v>
      </c>
      <c r="GE135" s="61">
        <v>0</v>
      </c>
      <c r="GF135" s="61">
        <v>0</v>
      </c>
      <c r="GG135" s="61">
        <v>0</v>
      </c>
      <c r="GH135" s="61">
        <v>0</v>
      </c>
      <c r="GI135" s="61">
        <v>0</v>
      </c>
      <c r="GJ135" s="61">
        <v>0</v>
      </c>
      <c r="GK135" s="61">
        <v>0</v>
      </c>
      <c r="GL135" s="61">
        <v>0</v>
      </c>
      <c r="GM135" s="61">
        <v>0</v>
      </c>
      <c r="GN135" s="61">
        <v>0</v>
      </c>
      <c r="GO135" s="61">
        <v>0</v>
      </c>
      <c r="GP135" s="61">
        <v>0</v>
      </c>
      <c r="GQ135" s="61">
        <v>0</v>
      </c>
      <c r="GR135" s="61">
        <v>0</v>
      </c>
      <c r="GS135" s="61">
        <v>0</v>
      </c>
      <c r="GT135" s="61">
        <v>0</v>
      </c>
      <c r="GU135" s="61">
        <v>0</v>
      </c>
      <c r="GV135" s="61"/>
      <c r="GW135" s="61"/>
      <c r="GX135" s="61"/>
      <c r="GY135" s="60" t="s">
        <v>714</v>
      </c>
      <c r="HU135" s="143"/>
      <c r="HV135" s="141" t="s">
        <v>471</v>
      </c>
      <c r="IS135" s="60" t="s">
        <v>471</v>
      </c>
      <c r="KG135" s="63"/>
      <c r="KI135" s="61"/>
    </row>
    <row r="136" spans="1:295" x14ac:dyDescent="0.25">
      <c r="A136" s="8"/>
      <c r="B136" s="5" t="s">
        <v>116</v>
      </c>
      <c r="C136" s="8"/>
      <c r="D136" s="6" t="s">
        <v>511</v>
      </c>
      <c r="E136" s="9"/>
      <c r="F136" s="9"/>
      <c r="G136" s="9"/>
      <c r="H136" s="9"/>
      <c r="I136" s="9"/>
      <c r="J136" s="9"/>
      <c r="K136" s="9"/>
      <c r="L136" s="6" t="str">
        <f>IF(E132=$Z$104,"SBV250X350",IF(E132=$Z$105,"-------",IF(E132=$Z$106,"-------",IF(E132=$Z$107,"-------",0))))</f>
        <v>-------</v>
      </c>
      <c r="M136" s="11" t="str">
        <f>INDEX(cennik!$C$2:$L$529,MATCH($L136,cennik!$B$2:$B$522,0),MATCH(M$104,cennik!$C$1:$L$1,0))</f>
        <v>-------</v>
      </c>
      <c r="N136" s="11">
        <f>INDEX(cennik!$C$2:$L$529,MATCH($L136,cennik!$B$2:$B$522,0),MATCH(N$104,cennik!$C$1:$L$1,0))</f>
        <v>0</v>
      </c>
      <c r="O136" s="11">
        <f>IF(E132=$Z$104,O130*2,IF(E132=$Z$105,0,IF(E132=$Z$106,0,IF(E132=$Z$107,0))))</f>
        <v>0</v>
      </c>
      <c r="P136" s="34">
        <f>INDEX(cennik!$C$2:$L$529,MATCH($L136,cennik!$B$2:$B$522,0),MATCH(P$104,cennik!$C$1:$L$1,0))</f>
        <v>0</v>
      </c>
      <c r="Q136" s="34">
        <f t="shared" si="102"/>
        <v>0</v>
      </c>
      <c r="R136" s="35">
        <f t="shared" si="100"/>
        <v>0</v>
      </c>
      <c r="S136" s="34">
        <f t="shared" si="101"/>
        <v>0</v>
      </c>
      <c r="T136" s="34">
        <f t="shared" si="103"/>
        <v>0</v>
      </c>
      <c r="U136" s="34">
        <f>INDEX(cennik!$C$2:$L$529,MATCH($L136,cennik!$B$2:$B$522,0),MATCH(U$104,cennik!$C$1:$L$1,0))*O136</f>
        <v>0</v>
      </c>
      <c r="V136" s="61"/>
      <c r="W136" s="142">
        <f t="shared" si="99"/>
        <v>0</v>
      </c>
      <c r="X136" s="61"/>
      <c r="Z136" s="61"/>
      <c r="AA136" s="61"/>
      <c r="AB136" s="61"/>
      <c r="AC136" s="61"/>
      <c r="AD136" s="61"/>
      <c r="AE136" s="61"/>
      <c r="AF136" s="61">
        <v>35</v>
      </c>
      <c r="AG136" s="61" t="s">
        <v>881</v>
      </c>
      <c r="AH136" s="61">
        <v>0</v>
      </c>
      <c r="AI136" s="61"/>
      <c r="AJ136" s="61">
        <f t="shared" si="104"/>
        <v>0</v>
      </c>
      <c r="AK136" s="61">
        <f t="shared" si="105"/>
        <v>0</v>
      </c>
      <c r="AL136" s="61" t="s">
        <v>15</v>
      </c>
      <c r="AM136" s="61">
        <v>0</v>
      </c>
      <c r="AN136" s="61">
        <v>0</v>
      </c>
      <c r="AO136" s="61">
        <v>0</v>
      </c>
      <c r="AP136" s="61">
        <v>0</v>
      </c>
      <c r="AQ136" s="61">
        <v>2</v>
      </c>
      <c r="AR136" s="61">
        <v>4</v>
      </c>
      <c r="AS136" s="61">
        <v>2</v>
      </c>
      <c r="AT136" s="61">
        <v>4</v>
      </c>
      <c r="AU136" s="61">
        <v>6</v>
      </c>
      <c r="AV136" s="61">
        <v>4</v>
      </c>
      <c r="AW136" s="61">
        <v>6</v>
      </c>
      <c r="AX136" s="61">
        <v>8</v>
      </c>
      <c r="AY136" s="61">
        <v>6</v>
      </c>
      <c r="AZ136" s="61">
        <v>8</v>
      </c>
      <c r="BA136" s="61">
        <v>8</v>
      </c>
      <c r="BB136" s="61">
        <v>8</v>
      </c>
      <c r="BC136" s="61">
        <v>6</v>
      </c>
      <c r="BD136" s="61">
        <v>8</v>
      </c>
      <c r="BE136" s="61">
        <v>4</v>
      </c>
      <c r="BF136" s="61">
        <v>6</v>
      </c>
      <c r="BG136" s="61">
        <v>6</v>
      </c>
      <c r="BH136" s="61">
        <v>4</v>
      </c>
      <c r="BI136" s="61">
        <v>8</v>
      </c>
      <c r="BJ136" s="61">
        <v>6</v>
      </c>
      <c r="BK136" s="61">
        <v>4</v>
      </c>
      <c r="BL136" s="61">
        <v>4</v>
      </c>
      <c r="BM136" s="61">
        <v>4</v>
      </c>
      <c r="BN136" s="61">
        <v>4</v>
      </c>
      <c r="BO136" s="61">
        <v>18</v>
      </c>
      <c r="BP136" s="61">
        <v>2</v>
      </c>
      <c r="BQ136" s="61">
        <v>16</v>
      </c>
      <c r="BR136" s="61">
        <v>16</v>
      </c>
      <c r="BS136" s="61">
        <v>2</v>
      </c>
      <c r="BT136" s="61">
        <v>14</v>
      </c>
      <c r="BU136" s="61">
        <v>0</v>
      </c>
      <c r="BV136" s="61">
        <v>0</v>
      </c>
      <c r="BW136" s="61">
        <v>14</v>
      </c>
      <c r="BX136" s="61">
        <v>4</v>
      </c>
      <c r="BY136" s="61">
        <v>0</v>
      </c>
      <c r="BZ136" s="61">
        <v>28</v>
      </c>
      <c r="CA136" s="61">
        <v>12</v>
      </c>
      <c r="CB136" s="61">
        <v>0</v>
      </c>
      <c r="CC136" s="61">
        <v>0</v>
      </c>
      <c r="CD136" s="61">
        <v>12</v>
      </c>
      <c r="CE136" s="61">
        <v>0</v>
      </c>
      <c r="CF136" s="61">
        <v>10</v>
      </c>
      <c r="CG136" s="61">
        <v>10</v>
      </c>
      <c r="CH136" s="61">
        <v>0</v>
      </c>
      <c r="CI136" s="61">
        <v>24</v>
      </c>
      <c r="CJ136" s="61">
        <v>8</v>
      </c>
      <c r="CK136" s="61">
        <v>0</v>
      </c>
      <c r="CL136" s="61"/>
      <c r="CM136" s="61"/>
      <c r="CN136" s="61"/>
      <c r="CO136" s="61"/>
      <c r="CP136" s="61"/>
      <c r="CQ136" s="61"/>
      <c r="CR136" s="61"/>
      <c r="CS136" s="61"/>
      <c r="CT136" s="61"/>
      <c r="CU136" s="61"/>
      <c r="CV136" s="61"/>
      <c r="CW136" s="61"/>
      <c r="CX136" s="61"/>
      <c r="CY136" s="61"/>
      <c r="CZ136" s="61"/>
      <c r="DA136" s="61"/>
      <c r="DB136" s="61"/>
      <c r="DC136" s="61"/>
      <c r="DD136" s="61"/>
      <c r="DE136" s="61"/>
      <c r="DF136" s="61"/>
      <c r="DG136" s="61"/>
      <c r="DH136" s="61"/>
      <c r="DI136" s="61"/>
      <c r="DJ136" s="61"/>
      <c r="DK136" s="61"/>
      <c r="DL136" s="61"/>
      <c r="DM136" s="61"/>
      <c r="DN136" s="61"/>
      <c r="DO136" s="61"/>
      <c r="DP136" s="61"/>
      <c r="DQ136" s="61"/>
      <c r="DR136" s="61"/>
      <c r="DS136" s="61"/>
      <c r="DT136" s="61"/>
      <c r="DU136" s="61"/>
      <c r="DV136" s="61"/>
      <c r="DW136" s="61"/>
      <c r="DX136" s="61"/>
      <c r="DY136" s="61"/>
      <c r="DZ136" s="61">
        <v>33</v>
      </c>
      <c r="EA136" s="61"/>
      <c r="EB136" s="61">
        <v>40</v>
      </c>
      <c r="EC136" s="61"/>
      <c r="ED136" s="61"/>
      <c r="EE136" s="61"/>
      <c r="EF136" s="61"/>
      <c r="EG136" s="61"/>
      <c r="EH136" s="61"/>
      <c r="EI136" s="61"/>
      <c r="EJ136" s="61"/>
      <c r="EK136" s="61"/>
      <c r="EL136" s="61"/>
      <c r="EM136" s="61"/>
      <c r="EN136" s="61"/>
      <c r="EO136" s="61"/>
      <c r="EP136" s="61"/>
      <c r="EQ136" s="61"/>
      <c r="ER136" s="61"/>
      <c r="ES136" s="61"/>
      <c r="ET136" s="61"/>
      <c r="EU136" s="61"/>
      <c r="EV136" s="61" t="s">
        <v>293</v>
      </c>
      <c r="EW136" s="61">
        <v>0</v>
      </c>
      <c r="EX136" s="61">
        <v>0</v>
      </c>
      <c r="EY136" s="61">
        <v>0</v>
      </c>
      <c r="EZ136" s="61">
        <v>0</v>
      </c>
      <c r="FA136" s="61">
        <v>0</v>
      </c>
      <c r="FB136" s="61">
        <v>0</v>
      </c>
      <c r="FC136" s="61">
        <v>0</v>
      </c>
      <c r="FD136" s="61">
        <v>0</v>
      </c>
      <c r="FE136" s="61">
        <v>0</v>
      </c>
      <c r="FF136" s="61">
        <v>0</v>
      </c>
      <c r="FG136" s="61">
        <v>0</v>
      </c>
      <c r="FH136" s="61">
        <v>0</v>
      </c>
      <c r="FI136" s="61">
        <v>0</v>
      </c>
      <c r="FJ136" s="61">
        <v>0</v>
      </c>
      <c r="FK136" s="61">
        <v>0</v>
      </c>
      <c r="FL136" s="61">
        <v>0</v>
      </c>
      <c r="FM136" s="61">
        <v>0</v>
      </c>
      <c r="FN136" s="61">
        <v>2</v>
      </c>
      <c r="FO136" s="61">
        <v>0</v>
      </c>
      <c r="FP136" s="61">
        <v>0</v>
      </c>
      <c r="FQ136" s="61">
        <v>0</v>
      </c>
      <c r="FR136" s="61">
        <v>0</v>
      </c>
      <c r="FS136" s="61">
        <v>0</v>
      </c>
      <c r="FT136" s="61">
        <v>0</v>
      </c>
      <c r="FU136" s="61">
        <v>0</v>
      </c>
      <c r="FV136" s="61">
        <v>0</v>
      </c>
      <c r="FW136" s="61">
        <v>0</v>
      </c>
      <c r="FX136" s="61">
        <v>2</v>
      </c>
      <c r="FY136" s="61">
        <v>0</v>
      </c>
      <c r="FZ136" s="61">
        <v>0</v>
      </c>
      <c r="GA136" s="61">
        <v>0</v>
      </c>
      <c r="GB136" s="61">
        <v>0</v>
      </c>
      <c r="GC136" s="61">
        <v>0</v>
      </c>
      <c r="GD136" s="61">
        <v>0</v>
      </c>
      <c r="GE136" s="61">
        <v>0</v>
      </c>
      <c r="GF136" s="61">
        <v>0</v>
      </c>
      <c r="GG136" s="61">
        <v>0</v>
      </c>
      <c r="GH136" s="61">
        <v>2</v>
      </c>
      <c r="GI136" s="61">
        <v>0</v>
      </c>
      <c r="GJ136" s="61">
        <v>0</v>
      </c>
      <c r="GK136" s="61">
        <v>0</v>
      </c>
      <c r="GL136" s="61">
        <v>0</v>
      </c>
      <c r="GM136" s="61">
        <v>0</v>
      </c>
      <c r="GN136" s="61">
        <v>0</v>
      </c>
      <c r="GO136" s="61">
        <v>0</v>
      </c>
      <c r="GP136" s="61">
        <v>0</v>
      </c>
      <c r="GQ136" s="61">
        <v>0</v>
      </c>
      <c r="GR136" s="61">
        <v>2</v>
      </c>
      <c r="GS136" s="61">
        <v>0</v>
      </c>
      <c r="GT136" s="61">
        <v>0</v>
      </c>
      <c r="GU136" s="61">
        <v>0</v>
      </c>
      <c r="GV136" s="61"/>
      <c r="GW136" s="61"/>
      <c r="GX136" s="61"/>
      <c r="GZ136" s="60">
        <v>0</v>
      </c>
      <c r="HA136" s="60">
        <v>1</v>
      </c>
      <c r="HB136" s="60">
        <v>2</v>
      </c>
      <c r="HC136" s="60">
        <v>3</v>
      </c>
      <c r="HD136" s="60">
        <v>4</v>
      </c>
      <c r="HE136" s="60">
        <v>5</v>
      </c>
      <c r="HF136" s="60">
        <v>6</v>
      </c>
      <c r="HG136" s="60">
        <v>7</v>
      </c>
      <c r="HH136" s="60">
        <v>8</v>
      </c>
      <c r="HI136" s="60">
        <v>9</v>
      </c>
      <c r="HJ136" s="60">
        <v>10</v>
      </c>
      <c r="HK136" s="60">
        <v>11</v>
      </c>
      <c r="HL136" s="60">
        <v>12</v>
      </c>
      <c r="HM136" s="60">
        <v>13</v>
      </c>
      <c r="HN136" s="60">
        <v>14</v>
      </c>
      <c r="HO136" s="60">
        <v>15</v>
      </c>
      <c r="HP136" s="60">
        <v>16</v>
      </c>
      <c r="HQ136" s="60">
        <v>17</v>
      </c>
      <c r="HR136" s="60">
        <v>18</v>
      </c>
      <c r="HS136" s="60">
        <v>19</v>
      </c>
      <c r="HT136" s="60">
        <v>20</v>
      </c>
      <c r="HW136" s="60">
        <v>0</v>
      </c>
      <c r="HX136" s="60">
        <v>1</v>
      </c>
      <c r="HY136" s="60">
        <v>2</v>
      </c>
      <c r="HZ136" s="60">
        <v>3</v>
      </c>
      <c r="IA136" s="60">
        <v>4</v>
      </c>
      <c r="IB136" s="60">
        <v>5</v>
      </c>
      <c r="IC136" s="60">
        <v>6</v>
      </c>
      <c r="ID136" s="60">
        <v>7</v>
      </c>
      <c r="IE136" s="60">
        <v>8</v>
      </c>
      <c r="IF136" s="60">
        <v>9</v>
      </c>
      <c r="IG136" s="60">
        <v>10</v>
      </c>
      <c r="IH136" s="60">
        <v>11</v>
      </c>
      <c r="II136" s="60">
        <v>12</v>
      </c>
      <c r="IJ136" s="60">
        <v>13</v>
      </c>
      <c r="IK136" s="60">
        <v>14</v>
      </c>
      <c r="IL136" s="60">
        <v>15</v>
      </c>
      <c r="IM136" s="60">
        <v>16</v>
      </c>
      <c r="IN136" s="60">
        <v>17</v>
      </c>
      <c r="IO136" s="60">
        <v>18</v>
      </c>
      <c r="IP136" s="60">
        <v>19</v>
      </c>
      <c r="IQ136" s="60">
        <v>20</v>
      </c>
      <c r="IT136" s="60">
        <f t="shared" si="69"/>
        <v>0</v>
      </c>
      <c r="IU136" s="60">
        <f t="shared" si="70"/>
        <v>2</v>
      </c>
      <c r="IV136" s="60">
        <f t="shared" si="71"/>
        <v>4</v>
      </c>
      <c r="IW136" s="60">
        <f t="shared" si="72"/>
        <v>6</v>
      </c>
      <c r="IX136" s="60">
        <f t="shared" si="73"/>
        <v>8</v>
      </c>
      <c r="IY136" s="60">
        <f t="shared" si="74"/>
        <v>10</v>
      </c>
      <c r="IZ136" s="60">
        <f t="shared" si="75"/>
        <v>12</v>
      </c>
      <c r="JA136" s="60">
        <f t="shared" si="76"/>
        <v>14</v>
      </c>
      <c r="JB136" s="60">
        <f t="shared" si="77"/>
        <v>16</v>
      </c>
      <c r="JC136" s="60">
        <f t="shared" si="78"/>
        <v>18</v>
      </c>
      <c r="JD136" s="60">
        <f t="shared" si="79"/>
        <v>20</v>
      </c>
      <c r="JE136" s="60">
        <f t="shared" si="80"/>
        <v>22</v>
      </c>
      <c r="JF136" s="60">
        <f t="shared" si="81"/>
        <v>24</v>
      </c>
      <c r="JG136" s="60">
        <f t="shared" si="82"/>
        <v>26</v>
      </c>
      <c r="JH136" s="60">
        <f t="shared" si="83"/>
        <v>28</v>
      </c>
      <c r="JI136" s="60">
        <f t="shared" si="84"/>
        <v>30</v>
      </c>
      <c r="JJ136" s="60">
        <f t="shared" si="85"/>
        <v>32</v>
      </c>
      <c r="JK136" s="60">
        <f t="shared" si="86"/>
        <v>34</v>
      </c>
      <c r="JL136" s="60">
        <f t="shared" si="87"/>
        <v>36</v>
      </c>
      <c r="JM136" s="60">
        <f t="shared" si="88"/>
        <v>38</v>
      </c>
      <c r="JN136" s="60">
        <f t="shared" si="89"/>
        <v>40</v>
      </c>
    </row>
    <row r="137" spans="1:295" x14ac:dyDescent="0.25">
      <c r="A137" s="8"/>
      <c r="B137" s="5" t="s">
        <v>116</v>
      </c>
      <c r="C137" s="8"/>
      <c r="D137" s="40" t="s">
        <v>941</v>
      </c>
      <c r="E137" s="9"/>
      <c r="F137" s="9"/>
      <c r="G137" s="9"/>
      <c r="H137" s="9"/>
      <c r="I137" s="9"/>
      <c r="J137" s="9"/>
      <c r="K137" s="9"/>
      <c r="L137" s="6" t="str">
        <f>IF(E132=$Z$104,"PBK40MC",IF(E132=$Z$105,"-------",IF(E132=$Z$106,"SPM1",IF(E132=$Z$107,"SMA40/033",0))))</f>
        <v>-------</v>
      </c>
      <c r="M137" s="11" t="str">
        <f>INDEX(cennik!$C$2:$L$529,MATCH($L137,cennik!$B$2:$B$522,0),MATCH(M$104,cennik!$C$1:$L$1,0))</f>
        <v>-------</v>
      </c>
      <c r="N137" s="11">
        <f>INDEX(cennik!$C$2:$L$529,MATCH($L137,cennik!$B$2:$B$522,0),MATCH(N$104,cennik!$C$1:$L$1,0))</f>
        <v>0</v>
      </c>
      <c r="O137" s="11">
        <f>IF(E132=$Z$104,O130*2,IF(E132=$Z$105,0,IF(E132=$Z$106,O130*2,IF(E132=$Z$107,O130*4,0))))</f>
        <v>0</v>
      </c>
      <c r="P137" s="34">
        <f>INDEX(cennik!$C$2:$L$529,MATCH($L137,cennik!$B$2:$B$522,0),MATCH(P$104,cennik!$C$1:$L$1,0))</f>
        <v>0</v>
      </c>
      <c r="Q137" s="34">
        <f t="shared" si="102"/>
        <v>0</v>
      </c>
      <c r="R137" s="35">
        <f t="shared" si="100"/>
        <v>0</v>
      </c>
      <c r="S137" s="34">
        <f t="shared" si="101"/>
        <v>0</v>
      </c>
      <c r="T137" s="34">
        <f t="shared" si="103"/>
        <v>0</v>
      </c>
      <c r="U137" s="34">
        <f>INDEX(cennik!$C$2:$L$529,MATCH($L137,cennik!$B$2:$B$522,0),MATCH(U$104,cennik!$C$1:$L$1,0))*O137</f>
        <v>0</v>
      </c>
      <c r="V137" s="61"/>
      <c r="W137" s="142">
        <f t="shared" si="99"/>
        <v>0</v>
      </c>
      <c r="X137" s="61"/>
      <c r="Y137" s="61"/>
      <c r="Z137" s="61"/>
      <c r="AA137" s="61"/>
      <c r="AB137" s="61"/>
      <c r="AC137" s="61"/>
      <c r="AD137" s="61"/>
      <c r="AE137" s="61"/>
      <c r="AF137" s="61">
        <v>38</v>
      </c>
      <c r="AG137" s="61" t="s">
        <v>881</v>
      </c>
      <c r="AH137" s="61">
        <v>0</v>
      </c>
      <c r="AI137" s="61"/>
      <c r="AJ137" s="61">
        <f t="shared" si="104"/>
        <v>0</v>
      </c>
      <c r="AK137" s="61">
        <f t="shared" si="105"/>
        <v>0</v>
      </c>
      <c r="AL137" s="61" t="s">
        <v>19</v>
      </c>
      <c r="AM137" s="61">
        <v>0</v>
      </c>
      <c r="AN137" s="61">
        <v>0</v>
      </c>
      <c r="AO137" s="61">
        <v>0</v>
      </c>
      <c r="AP137" s="61">
        <v>0</v>
      </c>
      <c r="AQ137" s="61">
        <v>0</v>
      </c>
      <c r="AR137" s="61">
        <v>0</v>
      </c>
      <c r="AS137" s="61">
        <v>0</v>
      </c>
      <c r="AT137" s="61">
        <v>0</v>
      </c>
      <c r="AU137" s="61">
        <v>0</v>
      </c>
      <c r="AV137" s="61">
        <v>0</v>
      </c>
      <c r="AW137" s="61">
        <v>0</v>
      </c>
      <c r="AX137" s="61">
        <v>0</v>
      </c>
      <c r="AY137" s="61">
        <v>0</v>
      </c>
      <c r="AZ137" s="61">
        <v>0</v>
      </c>
      <c r="BA137" s="61">
        <v>2</v>
      </c>
      <c r="BB137" s="61">
        <v>0</v>
      </c>
      <c r="BC137" s="61">
        <v>4</v>
      </c>
      <c r="BD137" s="61">
        <v>4</v>
      </c>
      <c r="BE137" s="61">
        <v>6</v>
      </c>
      <c r="BF137" s="61">
        <v>6</v>
      </c>
      <c r="BG137" s="61">
        <v>8</v>
      </c>
      <c r="BH137" s="61">
        <v>8</v>
      </c>
      <c r="BI137" s="61">
        <v>6</v>
      </c>
      <c r="BJ137" s="61">
        <v>10</v>
      </c>
      <c r="BK137" s="61">
        <v>10</v>
      </c>
      <c r="BL137" s="61">
        <v>12</v>
      </c>
      <c r="BM137" s="61">
        <v>14</v>
      </c>
      <c r="BN137" s="61">
        <v>12</v>
      </c>
      <c r="BO137" s="61">
        <v>2</v>
      </c>
      <c r="BP137" s="61">
        <v>18</v>
      </c>
      <c r="BQ137" s="61">
        <v>4</v>
      </c>
      <c r="BR137" s="61">
        <v>6</v>
      </c>
      <c r="BS137" s="61">
        <v>20</v>
      </c>
      <c r="BT137" s="61">
        <v>8</v>
      </c>
      <c r="BU137" s="61">
        <v>22</v>
      </c>
      <c r="BV137" s="61">
        <v>24</v>
      </c>
      <c r="BW137" s="61">
        <v>10</v>
      </c>
      <c r="BX137" s="61">
        <v>20</v>
      </c>
      <c r="BY137" s="61">
        <v>26</v>
      </c>
      <c r="BZ137" s="61">
        <v>0</v>
      </c>
      <c r="CA137" s="61">
        <v>16</v>
      </c>
      <c r="CB137" s="61">
        <v>28</v>
      </c>
      <c r="CC137" s="61">
        <v>26</v>
      </c>
      <c r="CD137" s="61">
        <v>18</v>
      </c>
      <c r="CE137" s="61">
        <v>30</v>
      </c>
      <c r="CF137" s="61">
        <v>20</v>
      </c>
      <c r="CG137" s="61">
        <v>22</v>
      </c>
      <c r="CH137" s="61">
        <v>32</v>
      </c>
      <c r="CI137" s="61">
        <v>10</v>
      </c>
      <c r="CJ137" s="61">
        <v>26</v>
      </c>
      <c r="CK137" s="61">
        <v>34</v>
      </c>
      <c r="CL137" s="61"/>
      <c r="CM137" s="61"/>
      <c r="CN137" s="61"/>
      <c r="CO137" s="61"/>
      <c r="CP137" s="61"/>
      <c r="CQ137" s="61"/>
      <c r="CR137" s="61"/>
      <c r="CS137" s="61"/>
      <c r="CT137" s="61"/>
      <c r="CU137" s="61"/>
      <c r="CV137" s="61"/>
      <c r="CW137" s="61"/>
      <c r="CX137" s="61"/>
      <c r="CY137" s="61"/>
      <c r="CZ137" s="61"/>
      <c r="DA137" s="61"/>
      <c r="DB137" s="61"/>
      <c r="DC137" s="61"/>
      <c r="DD137" s="61"/>
      <c r="DE137" s="61"/>
      <c r="DF137" s="61"/>
      <c r="DG137" s="61"/>
      <c r="DH137" s="61"/>
      <c r="DI137" s="61"/>
      <c r="DJ137" s="61"/>
      <c r="DK137" s="61"/>
      <c r="DL137" s="61"/>
      <c r="DM137" s="61"/>
      <c r="DN137" s="61"/>
      <c r="DO137" s="61"/>
      <c r="DP137" s="61"/>
      <c r="DQ137" s="61"/>
      <c r="DR137" s="61"/>
      <c r="DS137" s="61"/>
      <c r="DT137" s="61"/>
      <c r="DU137" s="61"/>
      <c r="DV137" s="61"/>
      <c r="DW137" s="61"/>
      <c r="DX137" s="61"/>
      <c r="DY137" s="61"/>
      <c r="DZ137" s="61">
        <v>34</v>
      </c>
      <c r="EA137" s="61"/>
      <c r="EB137" s="61">
        <v>42</v>
      </c>
      <c r="EC137" s="61"/>
      <c r="ED137" s="61"/>
      <c r="EE137" s="61"/>
      <c r="EF137" s="61"/>
      <c r="EG137" s="61"/>
      <c r="EH137" s="61"/>
      <c r="EI137" s="61"/>
      <c r="EJ137" s="61"/>
      <c r="EK137" s="61"/>
      <c r="EL137" s="61"/>
      <c r="EM137" s="61"/>
      <c r="EN137" s="61"/>
      <c r="EO137" s="61"/>
      <c r="EP137" s="61"/>
      <c r="EQ137" s="61"/>
      <c r="ER137" s="61"/>
      <c r="ES137" s="61"/>
      <c r="ET137" s="61"/>
      <c r="EU137" s="61"/>
      <c r="EV137" s="61" t="s">
        <v>10</v>
      </c>
      <c r="EW137" s="61">
        <v>0</v>
      </c>
      <c r="EX137" s="61">
        <v>0</v>
      </c>
      <c r="EY137" s="61">
        <v>0</v>
      </c>
      <c r="EZ137" s="61">
        <v>0</v>
      </c>
      <c r="FA137" s="61">
        <v>0</v>
      </c>
      <c r="FB137" s="61">
        <v>0</v>
      </c>
      <c r="FC137" s="61">
        <v>0</v>
      </c>
      <c r="FD137" s="61">
        <v>2</v>
      </c>
      <c r="FE137" s="61">
        <v>0</v>
      </c>
      <c r="FF137" s="61">
        <v>2</v>
      </c>
      <c r="FG137" s="61">
        <v>2</v>
      </c>
      <c r="FH137" s="61">
        <v>6</v>
      </c>
      <c r="FI137" s="61">
        <v>2</v>
      </c>
      <c r="FJ137" s="61">
        <v>0</v>
      </c>
      <c r="FK137" s="61">
        <v>0</v>
      </c>
      <c r="FL137" s="61">
        <v>2</v>
      </c>
      <c r="FM137" s="61">
        <v>0</v>
      </c>
      <c r="FN137" s="61">
        <v>4</v>
      </c>
      <c r="FO137" s="61">
        <v>4</v>
      </c>
      <c r="FP137" s="61">
        <v>2</v>
      </c>
      <c r="FQ137" s="61">
        <v>8</v>
      </c>
      <c r="FR137" s="61">
        <v>6</v>
      </c>
      <c r="FS137" s="61">
        <v>0</v>
      </c>
      <c r="FT137" s="61">
        <v>0</v>
      </c>
      <c r="FU137" s="61">
        <v>4</v>
      </c>
      <c r="FV137" s="61">
        <v>2</v>
      </c>
      <c r="FW137" s="61">
        <v>0</v>
      </c>
      <c r="FX137" s="61">
        <v>2</v>
      </c>
      <c r="FY137" s="61">
        <v>4</v>
      </c>
      <c r="FZ137" s="61">
        <v>0</v>
      </c>
      <c r="GA137" s="61">
        <v>8</v>
      </c>
      <c r="GB137" s="61">
        <v>2</v>
      </c>
      <c r="GC137" s="61">
        <v>2</v>
      </c>
      <c r="GD137" s="61">
        <v>8</v>
      </c>
      <c r="GE137" s="61">
        <v>4</v>
      </c>
      <c r="GF137" s="61">
        <v>2</v>
      </c>
      <c r="GG137" s="61">
        <v>0</v>
      </c>
      <c r="GH137" s="61">
        <v>4</v>
      </c>
      <c r="GI137" s="61">
        <v>4</v>
      </c>
      <c r="GJ137" s="61">
        <v>0</v>
      </c>
      <c r="GK137" s="61">
        <v>8</v>
      </c>
      <c r="GL137" s="61">
        <v>2</v>
      </c>
      <c r="GM137" s="61">
        <v>0</v>
      </c>
      <c r="GN137" s="61">
        <v>6</v>
      </c>
      <c r="GO137" s="61">
        <v>4</v>
      </c>
      <c r="GP137" s="61">
        <v>2</v>
      </c>
      <c r="GQ137" s="61">
        <v>0</v>
      </c>
      <c r="GR137" s="61">
        <v>2</v>
      </c>
      <c r="GS137" s="61">
        <v>0</v>
      </c>
      <c r="GT137" s="61">
        <v>0</v>
      </c>
      <c r="GU137" s="61">
        <v>4</v>
      </c>
      <c r="GV137" s="61"/>
      <c r="GW137" s="61"/>
      <c r="GX137" s="61"/>
      <c r="GY137" s="60" t="s">
        <v>710</v>
      </c>
      <c r="GZ137" s="60">
        <v>0</v>
      </c>
      <c r="HA137" s="60">
        <v>2</v>
      </c>
      <c r="HB137" s="60">
        <v>0</v>
      </c>
      <c r="HC137" s="60">
        <v>4</v>
      </c>
      <c r="HD137" s="60">
        <v>2</v>
      </c>
      <c r="HE137" s="60">
        <v>0</v>
      </c>
      <c r="HF137" s="60">
        <v>4</v>
      </c>
      <c r="HG137" s="60">
        <v>0</v>
      </c>
      <c r="HH137" s="60">
        <v>4</v>
      </c>
      <c r="HI137" s="60">
        <v>2</v>
      </c>
      <c r="HJ137" s="60">
        <v>0</v>
      </c>
      <c r="HK137" s="60">
        <v>4</v>
      </c>
      <c r="HL137" s="60">
        <v>2</v>
      </c>
      <c r="HM137" s="60">
        <v>4</v>
      </c>
      <c r="HN137" s="60">
        <v>2</v>
      </c>
      <c r="HO137" s="60">
        <v>0</v>
      </c>
      <c r="HP137" s="60">
        <v>4</v>
      </c>
      <c r="HQ137" s="60">
        <v>2</v>
      </c>
      <c r="HR137" s="60">
        <v>0</v>
      </c>
      <c r="HS137" s="60">
        <v>4</v>
      </c>
      <c r="HT137" s="60">
        <v>0</v>
      </c>
      <c r="HV137" s="60" t="s">
        <v>826</v>
      </c>
      <c r="HW137" s="60">
        <v>0</v>
      </c>
      <c r="HX137" s="60">
        <v>2</v>
      </c>
      <c r="HY137" s="60">
        <v>4</v>
      </c>
      <c r="HZ137" s="60">
        <v>2</v>
      </c>
      <c r="IA137" s="60">
        <v>4</v>
      </c>
      <c r="IB137" s="60">
        <v>0</v>
      </c>
      <c r="IC137" s="60">
        <v>4</v>
      </c>
      <c r="ID137" s="60">
        <v>0</v>
      </c>
      <c r="IE137" s="60">
        <v>2</v>
      </c>
      <c r="IF137" s="60">
        <v>4</v>
      </c>
      <c r="IG137" s="60">
        <v>2</v>
      </c>
      <c r="IH137" s="60">
        <v>4</v>
      </c>
      <c r="II137" s="60">
        <v>0</v>
      </c>
      <c r="IJ137" s="60">
        <v>2</v>
      </c>
      <c r="IK137" s="60">
        <v>0</v>
      </c>
      <c r="IL137" s="60">
        <v>2</v>
      </c>
      <c r="IM137" s="60">
        <v>4</v>
      </c>
      <c r="IN137" s="60">
        <v>0</v>
      </c>
      <c r="IO137" s="60">
        <v>4</v>
      </c>
      <c r="IP137" s="60">
        <v>0</v>
      </c>
      <c r="IQ137" s="60">
        <v>2</v>
      </c>
      <c r="IS137" s="60" t="s">
        <v>826</v>
      </c>
      <c r="IT137" s="60">
        <f t="shared" si="69"/>
        <v>0</v>
      </c>
      <c r="IU137" s="60">
        <f t="shared" si="70"/>
        <v>4</v>
      </c>
      <c r="IV137" s="60">
        <f t="shared" si="71"/>
        <v>8</v>
      </c>
      <c r="IW137" s="60">
        <f t="shared" si="72"/>
        <v>4</v>
      </c>
      <c r="IX137" s="60">
        <f t="shared" si="73"/>
        <v>8</v>
      </c>
      <c r="IY137" s="60">
        <f t="shared" si="74"/>
        <v>0</v>
      </c>
      <c r="IZ137" s="60">
        <f t="shared" si="75"/>
        <v>8</v>
      </c>
      <c r="JA137" s="60">
        <f t="shared" si="76"/>
        <v>0</v>
      </c>
      <c r="JB137" s="60">
        <f t="shared" si="77"/>
        <v>4</v>
      </c>
      <c r="JC137" s="60">
        <f t="shared" si="78"/>
        <v>8</v>
      </c>
      <c r="JD137" s="60">
        <f t="shared" si="79"/>
        <v>4</v>
      </c>
      <c r="JE137" s="60">
        <f t="shared" si="80"/>
        <v>8</v>
      </c>
      <c r="JF137" s="60">
        <f t="shared" si="81"/>
        <v>0</v>
      </c>
      <c r="JG137" s="60">
        <f t="shared" si="82"/>
        <v>4</v>
      </c>
      <c r="JH137" s="60">
        <f t="shared" si="83"/>
        <v>0</v>
      </c>
      <c r="JI137" s="60">
        <f t="shared" si="84"/>
        <v>4</v>
      </c>
      <c r="JJ137" s="60">
        <f t="shared" si="85"/>
        <v>8</v>
      </c>
      <c r="JK137" s="60">
        <f t="shared" si="86"/>
        <v>0</v>
      </c>
      <c r="JL137" s="60">
        <f t="shared" si="87"/>
        <v>8</v>
      </c>
      <c r="JM137" s="60">
        <f t="shared" si="88"/>
        <v>0</v>
      </c>
      <c r="JN137" s="60">
        <f t="shared" si="89"/>
        <v>4</v>
      </c>
    </row>
    <row r="138" spans="1:295" x14ac:dyDescent="0.25">
      <c r="A138" s="8"/>
      <c r="B138" s="5" t="s">
        <v>116</v>
      </c>
      <c r="C138" s="8"/>
      <c r="D138" s="40" t="s">
        <v>797</v>
      </c>
      <c r="E138" s="9"/>
      <c r="F138" s="9"/>
      <c r="G138" s="9"/>
      <c r="H138" s="9"/>
      <c r="I138" s="9"/>
      <c r="J138" s="9"/>
      <c r="K138" s="9"/>
      <c r="L138" s="6" t="str">
        <f>IF(E132=$Z$104,"SGKFM10X20PV",IF(E132=$Z$105,"-------",IF(E132=$Z$106,"-------",IF(E132=$Z$107,"SMDP6,0X25E",0))))</f>
        <v>-------</v>
      </c>
      <c r="M138" s="11" t="str">
        <f>INDEX(cennik!$C$2:$L$529,MATCH($L138,cennik!$B$2:$B$522,0),MATCH(M$104,cennik!$C$1:$L$1,0))</f>
        <v>-------</v>
      </c>
      <c r="N138" s="11">
        <f>INDEX(cennik!$C$2:$L$529,MATCH($L138,cennik!$B$2:$B$522,0),MATCH(N$104,cennik!$C$1:$L$1,0))</f>
        <v>0</v>
      </c>
      <c r="O138" s="11">
        <f>IF(E132=$Z$104,ROUNDUP((O130*0)/100,0),IF(E132=$Z$105,0,IF(E132=$Z$106,0,IF(E132=$Z$107,O137*4,0))))</f>
        <v>0</v>
      </c>
      <c r="P138" s="34">
        <f>INDEX(cennik!$C$2:$L$529,MATCH($L138,cennik!$B$2:$B$522,0),MATCH(P$104,cennik!$C$1:$L$1,0))</f>
        <v>0</v>
      </c>
      <c r="Q138" s="34">
        <f t="shared" si="102"/>
        <v>0</v>
      </c>
      <c r="R138" s="35">
        <f t="shared" si="100"/>
        <v>0</v>
      </c>
      <c r="S138" s="34">
        <f t="shared" si="101"/>
        <v>0</v>
      </c>
      <c r="T138" s="34">
        <f t="shared" si="103"/>
        <v>0</v>
      </c>
      <c r="U138" s="34">
        <f>INDEX(cennik!$C$2:$L$529,MATCH($L138,cennik!$B$2:$B$522,0),MATCH(U$104,cennik!$C$1:$L$1,0))*O138</f>
        <v>0</v>
      </c>
      <c r="V138" s="61"/>
      <c r="W138" s="142">
        <f t="shared" si="99"/>
        <v>0</v>
      </c>
      <c r="X138" s="61"/>
      <c r="Y138" s="61"/>
      <c r="Z138" s="61"/>
      <c r="AA138" s="61"/>
      <c r="AB138" s="61"/>
      <c r="AC138" s="61"/>
      <c r="AD138" s="61"/>
      <c r="AE138" s="61"/>
      <c r="AF138" s="61">
        <v>40</v>
      </c>
      <c r="AG138" s="61" t="s">
        <v>881</v>
      </c>
      <c r="AH138" s="61">
        <v>0</v>
      </c>
      <c r="AI138" s="61"/>
      <c r="AJ138" s="61">
        <f t="shared" si="104"/>
        <v>0</v>
      </c>
      <c r="AK138" s="61">
        <f t="shared" si="105"/>
        <v>0</v>
      </c>
      <c r="AL138" s="61" t="s">
        <v>408</v>
      </c>
      <c r="AM138" s="61">
        <v>0</v>
      </c>
      <c r="AN138" s="61">
        <f>((((SUM(AN133:AN137))/2)-1))*4</f>
        <v>0</v>
      </c>
      <c r="AO138" s="61">
        <f t="shared" ref="AO138:BS138" si="106">((((SUM(AO133:AO137))/2)-1))*4</f>
        <v>4</v>
      </c>
      <c r="AP138" s="61">
        <f t="shared" si="106"/>
        <v>8</v>
      </c>
      <c r="AQ138" s="61">
        <f t="shared" si="106"/>
        <v>4</v>
      </c>
      <c r="AR138" s="61">
        <f t="shared" si="106"/>
        <v>4</v>
      </c>
      <c r="AS138" s="61">
        <f t="shared" si="106"/>
        <v>8</v>
      </c>
      <c r="AT138" s="61">
        <f t="shared" si="106"/>
        <v>8</v>
      </c>
      <c r="AU138" s="61">
        <f t="shared" si="106"/>
        <v>8</v>
      </c>
      <c r="AV138" s="61">
        <f t="shared" si="106"/>
        <v>12</v>
      </c>
      <c r="AW138" s="61">
        <f t="shared" si="106"/>
        <v>12</v>
      </c>
      <c r="AX138" s="61">
        <f t="shared" si="106"/>
        <v>12</v>
      </c>
      <c r="AY138" s="61">
        <f t="shared" si="106"/>
        <v>16</v>
      </c>
      <c r="AZ138" s="61">
        <f t="shared" si="106"/>
        <v>16</v>
      </c>
      <c r="BA138" s="61">
        <f t="shared" si="106"/>
        <v>16</v>
      </c>
      <c r="BB138" s="61">
        <f t="shared" si="106"/>
        <v>20</v>
      </c>
      <c r="BC138" s="61">
        <f t="shared" si="106"/>
        <v>20</v>
      </c>
      <c r="BD138" s="61">
        <f t="shared" si="106"/>
        <v>20</v>
      </c>
      <c r="BE138" s="61">
        <f t="shared" si="106"/>
        <v>24</v>
      </c>
      <c r="BF138" s="61">
        <f t="shared" si="106"/>
        <v>24</v>
      </c>
      <c r="BG138" s="61">
        <f t="shared" si="106"/>
        <v>24</v>
      </c>
      <c r="BH138" s="61">
        <f t="shared" si="106"/>
        <v>28</v>
      </c>
      <c r="BI138" s="61">
        <f t="shared" si="106"/>
        <v>28</v>
      </c>
      <c r="BJ138" s="61">
        <f t="shared" si="106"/>
        <v>28</v>
      </c>
      <c r="BK138" s="61">
        <f t="shared" si="106"/>
        <v>32</v>
      </c>
      <c r="BL138" s="61">
        <f t="shared" si="106"/>
        <v>32</v>
      </c>
      <c r="BM138" s="61">
        <f t="shared" si="106"/>
        <v>32</v>
      </c>
      <c r="BN138" s="61">
        <f t="shared" si="106"/>
        <v>36</v>
      </c>
      <c r="BO138" s="61">
        <f t="shared" si="106"/>
        <v>36</v>
      </c>
      <c r="BP138" s="61">
        <f t="shared" si="106"/>
        <v>36</v>
      </c>
      <c r="BQ138" s="61">
        <f t="shared" si="106"/>
        <v>40</v>
      </c>
      <c r="BR138" s="61">
        <f t="shared" si="106"/>
        <v>40</v>
      </c>
      <c r="BS138" s="61">
        <f t="shared" si="106"/>
        <v>40</v>
      </c>
      <c r="BT138" s="61">
        <f t="shared" ref="BT138:CK138" si="107">((((SUM(BT133:BT137))/2)-1))*4</f>
        <v>44</v>
      </c>
      <c r="BU138" s="61">
        <f t="shared" si="107"/>
        <v>44</v>
      </c>
      <c r="BV138" s="61">
        <f t="shared" si="107"/>
        <v>44</v>
      </c>
      <c r="BW138" s="61">
        <f t="shared" si="107"/>
        <v>48</v>
      </c>
      <c r="BX138" s="61">
        <f t="shared" si="107"/>
        <v>48</v>
      </c>
      <c r="BY138" s="61">
        <f t="shared" si="107"/>
        <v>48</v>
      </c>
      <c r="BZ138" s="61">
        <f t="shared" si="107"/>
        <v>52</v>
      </c>
      <c r="CA138" s="61">
        <f t="shared" si="107"/>
        <v>52</v>
      </c>
      <c r="CB138" s="61">
        <f t="shared" si="107"/>
        <v>52</v>
      </c>
      <c r="CC138" s="61">
        <f t="shared" si="107"/>
        <v>56</v>
      </c>
      <c r="CD138" s="61">
        <f t="shared" si="107"/>
        <v>56</v>
      </c>
      <c r="CE138" s="61">
        <f t="shared" si="107"/>
        <v>56</v>
      </c>
      <c r="CF138" s="61">
        <f t="shared" si="107"/>
        <v>60</v>
      </c>
      <c r="CG138" s="61">
        <f t="shared" si="107"/>
        <v>60</v>
      </c>
      <c r="CH138" s="61">
        <f t="shared" si="107"/>
        <v>60</v>
      </c>
      <c r="CI138" s="61">
        <f t="shared" si="107"/>
        <v>64</v>
      </c>
      <c r="CJ138" s="61">
        <f t="shared" si="107"/>
        <v>64</v>
      </c>
      <c r="CK138" s="61">
        <f t="shared" si="107"/>
        <v>64</v>
      </c>
      <c r="CL138" s="61"/>
      <c r="CM138" s="61"/>
      <c r="CN138" s="61"/>
      <c r="CO138" s="61"/>
      <c r="CP138" s="61"/>
      <c r="CQ138" s="61"/>
      <c r="CR138" s="61"/>
      <c r="CS138" s="61"/>
      <c r="CT138" s="61"/>
      <c r="CU138" s="61"/>
      <c r="CV138" s="61"/>
      <c r="CW138" s="61"/>
      <c r="CX138" s="61"/>
      <c r="CY138" s="61"/>
      <c r="CZ138" s="61"/>
      <c r="DA138" s="61"/>
      <c r="DB138" s="61"/>
      <c r="DC138" s="61"/>
      <c r="DD138" s="61"/>
      <c r="DE138" s="61"/>
      <c r="DF138" s="61"/>
      <c r="DG138" s="61"/>
      <c r="DH138" s="61"/>
      <c r="DI138" s="61"/>
      <c r="DJ138" s="61"/>
      <c r="DK138" s="61"/>
      <c r="DL138" s="61"/>
      <c r="DM138" s="61"/>
      <c r="DN138" s="61"/>
      <c r="DO138" s="61"/>
      <c r="DP138" s="61"/>
      <c r="DQ138" s="61"/>
      <c r="DR138" s="61"/>
      <c r="DS138" s="61"/>
      <c r="DT138" s="61"/>
      <c r="DU138" s="61"/>
      <c r="DV138" s="61"/>
      <c r="DW138" s="61"/>
      <c r="DX138" s="61"/>
      <c r="DY138" s="61"/>
      <c r="DZ138" s="61">
        <v>35</v>
      </c>
      <c r="EA138" s="61"/>
      <c r="EB138" s="61">
        <v>45</v>
      </c>
      <c r="EC138" s="61"/>
      <c r="ED138" s="61"/>
      <c r="EE138" s="61"/>
      <c r="EF138" s="61"/>
      <c r="EG138" s="61"/>
      <c r="EH138" s="61"/>
      <c r="EI138" s="61"/>
      <c r="EJ138" s="61"/>
      <c r="EK138" s="61"/>
      <c r="EL138" s="61"/>
      <c r="EM138" s="61"/>
      <c r="EN138" s="61"/>
      <c r="EO138" s="61"/>
      <c r="EP138" s="61"/>
      <c r="EQ138" s="61"/>
      <c r="ER138" s="61"/>
      <c r="ES138" s="61"/>
      <c r="ET138" s="61"/>
      <c r="EU138" s="61"/>
      <c r="EV138" s="61" t="s">
        <v>212</v>
      </c>
      <c r="EW138" s="61">
        <v>0</v>
      </c>
      <c r="EX138" s="61">
        <v>0</v>
      </c>
      <c r="EY138" s="61">
        <v>0</v>
      </c>
      <c r="EZ138" s="61">
        <v>2</v>
      </c>
      <c r="FA138" s="61">
        <v>0</v>
      </c>
      <c r="FB138" s="61">
        <v>0</v>
      </c>
      <c r="FC138" s="61">
        <v>4</v>
      </c>
      <c r="FD138" s="61">
        <v>0</v>
      </c>
      <c r="FE138" s="61">
        <v>0</v>
      </c>
      <c r="FF138" s="61">
        <v>2</v>
      </c>
      <c r="FG138" s="61">
        <v>0</v>
      </c>
      <c r="FH138" s="61">
        <v>2</v>
      </c>
      <c r="FI138" s="61">
        <v>6</v>
      </c>
      <c r="FJ138" s="61">
        <v>0</v>
      </c>
      <c r="FK138" s="61">
        <v>0</v>
      </c>
      <c r="FL138" s="61">
        <v>8</v>
      </c>
      <c r="FM138" s="61">
        <v>4</v>
      </c>
      <c r="FN138" s="61">
        <v>2</v>
      </c>
      <c r="FO138" s="61">
        <v>4</v>
      </c>
      <c r="FP138" s="61">
        <v>0</v>
      </c>
      <c r="FQ138" s="61">
        <v>6</v>
      </c>
      <c r="FR138" s="61">
        <v>0</v>
      </c>
      <c r="FS138" s="61">
        <v>12</v>
      </c>
      <c r="FT138" s="61">
        <v>0</v>
      </c>
      <c r="FU138" s="61">
        <v>10</v>
      </c>
      <c r="FV138" s="61">
        <v>6</v>
      </c>
      <c r="FW138" s="61">
        <v>2</v>
      </c>
      <c r="FX138" s="61">
        <v>8</v>
      </c>
      <c r="FY138" s="61">
        <v>2</v>
      </c>
      <c r="FZ138" s="61">
        <v>6</v>
      </c>
      <c r="GA138" s="61">
        <v>2</v>
      </c>
      <c r="GB138" s="61">
        <v>12</v>
      </c>
      <c r="GC138" s="61">
        <v>4</v>
      </c>
      <c r="GD138" s="61">
        <v>6</v>
      </c>
      <c r="GE138" s="61">
        <v>8</v>
      </c>
      <c r="GF138" s="61">
        <v>4</v>
      </c>
      <c r="GG138" s="61">
        <v>0</v>
      </c>
      <c r="GH138" s="61">
        <v>0</v>
      </c>
      <c r="GI138" s="61">
        <v>0</v>
      </c>
      <c r="GJ138" s="61">
        <v>4</v>
      </c>
      <c r="GK138" s="61">
        <v>0</v>
      </c>
      <c r="GL138" s="61">
        <v>10</v>
      </c>
      <c r="GM138" s="61">
        <v>6</v>
      </c>
      <c r="GN138" s="61">
        <v>10</v>
      </c>
      <c r="GO138" s="61">
        <v>6</v>
      </c>
      <c r="GP138" s="61">
        <v>2</v>
      </c>
      <c r="GQ138" s="61">
        <v>0</v>
      </c>
      <c r="GR138" s="61">
        <v>6</v>
      </c>
      <c r="GS138" s="61">
        <v>12</v>
      </c>
      <c r="GT138" s="61">
        <v>2</v>
      </c>
      <c r="GU138" s="61">
        <v>12</v>
      </c>
      <c r="GV138" s="61"/>
      <c r="GW138" s="61"/>
      <c r="GX138" s="61"/>
      <c r="GY138" s="60" t="s">
        <v>711</v>
      </c>
      <c r="GZ138" s="60">
        <v>0</v>
      </c>
      <c r="HA138" s="60">
        <v>0</v>
      </c>
      <c r="HB138" s="60">
        <v>2</v>
      </c>
      <c r="HC138" s="60">
        <v>0</v>
      </c>
      <c r="HD138" s="60">
        <v>2</v>
      </c>
      <c r="HE138" s="60">
        <v>4</v>
      </c>
      <c r="HF138" s="60">
        <v>2</v>
      </c>
      <c r="HG138" s="60">
        <v>6</v>
      </c>
      <c r="HH138" s="60">
        <v>4</v>
      </c>
      <c r="HI138" s="60">
        <v>6</v>
      </c>
      <c r="HJ138" s="60">
        <v>8</v>
      </c>
      <c r="HK138" s="60">
        <v>6</v>
      </c>
      <c r="HL138" s="60">
        <v>8</v>
      </c>
      <c r="HM138" s="60">
        <v>8</v>
      </c>
      <c r="HN138" s="60">
        <v>10</v>
      </c>
      <c r="HO138" s="60">
        <v>12</v>
      </c>
      <c r="HP138" s="60">
        <v>10</v>
      </c>
      <c r="HQ138" s="60">
        <v>12</v>
      </c>
      <c r="HR138" s="60">
        <v>14</v>
      </c>
      <c r="HS138" s="60">
        <v>12</v>
      </c>
      <c r="HT138" s="60">
        <v>16</v>
      </c>
      <c r="HV138" s="60" t="s">
        <v>825</v>
      </c>
      <c r="HW138" s="60">
        <v>0</v>
      </c>
      <c r="HX138" s="60">
        <v>0</v>
      </c>
      <c r="HY138" s="60">
        <v>0</v>
      </c>
      <c r="HZ138" s="60">
        <v>2</v>
      </c>
      <c r="IA138" s="60">
        <v>2</v>
      </c>
      <c r="IB138" s="60">
        <v>6</v>
      </c>
      <c r="IC138" s="60">
        <v>4</v>
      </c>
      <c r="ID138" s="60">
        <v>8</v>
      </c>
      <c r="IE138" s="60">
        <v>8</v>
      </c>
      <c r="IF138" s="60">
        <v>8</v>
      </c>
      <c r="IG138" s="60">
        <v>10</v>
      </c>
      <c r="IH138" s="60">
        <v>10</v>
      </c>
      <c r="II138" s="60">
        <v>14</v>
      </c>
      <c r="IJ138" s="60">
        <v>14</v>
      </c>
      <c r="IK138" s="60">
        <v>16</v>
      </c>
      <c r="IL138" s="60">
        <v>16</v>
      </c>
      <c r="IM138" s="60">
        <v>16</v>
      </c>
      <c r="IN138" s="60">
        <v>20</v>
      </c>
      <c r="IO138" s="60">
        <v>18</v>
      </c>
      <c r="IP138" s="60">
        <v>22</v>
      </c>
      <c r="IQ138" s="60">
        <v>22</v>
      </c>
      <c r="IS138" s="60" t="s">
        <v>825</v>
      </c>
      <c r="IT138" s="60">
        <f t="shared" si="69"/>
        <v>0</v>
      </c>
      <c r="IU138" s="60">
        <f t="shared" si="70"/>
        <v>0</v>
      </c>
      <c r="IV138" s="60">
        <f t="shared" si="71"/>
        <v>0</v>
      </c>
      <c r="IW138" s="60">
        <f t="shared" si="72"/>
        <v>4</v>
      </c>
      <c r="IX138" s="60">
        <f t="shared" si="73"/>
        <v>4</v>
      </c>
      <c r="IY138" s="60">
        <f t="shared" si="74"/>
        <v>12</v>
      </c>
      <c r="IZ138" s="60">
        <f t="shared" si="75"/>
        <v>8</v>
      </c>
      <c r="JA138" s="60">
        <f t="shared" si="76"/>
        <v>16</v>
      </c>
      <c r="JB138" s="60">
        <f t="shared" si="77"/>
        <v>16</v>
      </c>
      <c r="JC138" s="60">
        <f t="shared" si="78"/>
        <v>16</v>
      </c>
      <c r="JD138" s="60">
        <f t="shared" si="79"/>
        <v>20</v>
      </c>
      <c r="JE138" s="60">
        <f t="shared" si="80"/>
        <v>20</v>
      </c>
      <c r="JF138" s="60">
        <f t="shared" si="81"/>
        <v>28</v>
      </c>
      <c r="JG138" s="60">
        <f t="shared" si="82"/>
        <v>28</v>
      </c>
      <c r="JH138" s="60">
        <f t="shared" si="83"/>
        <v>32</v>
      </c>
      <c r="JI138" s="60">
        <f t="shared" si="84"/>
        <v>32</v>
      </c>
      <c r="JJ138" s="60">
        <f t="shared" si="85"/>
        <v>32</v>
      </c>
      <c r="JK138" s="60">
        <f t="shared" si="86"/>
        <v>40</v>
      </c>
      <c r="JL138" s="60">
        <f t="shared" si="87"/>
        <v>36</v>
      </c>
      <c r="JM138" s="60">
        <f t="shared" si="88"/>
        <v>44</v>
      </c>
      <c r="JN138" s="60">
        <f t="shared" si="89"/>
        <v>44</v>
      </c>
      <c r="JQ138" s="63"/>
    </row>
    <row r="139" spans="1:295" x14ac:dyDescent="0.25">
      <c r="A139" s="8"/>
      <c r="B139" s="5" t="s">
        <v>116</v>
      </c>
      <c r="C139" s="8"/>
      <c r="D139" s="40" t="s">
        <v>942</v>
      </c>
      <c r="E139" s="9"/>
      <c r="F139" s="9"/>
      <c r="G139" s="9"/>
      <c r="H139" s="9"/>
      <c r="I139" s="9"/>
      <c r="J139" s="9"/>
      <c r="K139" s="9"/>
      <c r="L139" s="6" t="s">
        <v>20</v>
      </c>
      <c r="M139" s="11">
        <f>INDEX(cennik!$C$2:$L$529,MATCH($L139,cennik!$B$2:$B$522,0),MATCH(M$104,cennik!$C$1:$L$1,0))</f>
        <v>6506513</v>
      </c>
      <c r="N139" s="11" t="str">
        <f>INDEX(cennik!$C$2:$L$529,MATCH($L139,cennik!$B$2:$B$522,0),MATCH(N$104,cennik!$C$1:$L$1,0))</f>
        <v>szt.</v>
      </c>
      <c r="O139" s="11">
        <f>SUM(O131:O132)+E135</f>
        <v>0</v>
      </c>
      <c r="P139" s="34">
        <f>INDEX(cennik!$C$2:$L$529,MATCH($L139,cennik!$B$2:$B$522,0),MATCH(P$104,cennik!$C$1:$L$1,0))</f>
        <v>4.1900000000000004</v>
      </c>
      <c r="Q139" s="34">
        <f t="shared" si="102"/>
        <v>0</v>
      </c>
      <c r="R139" s="35">
        <f t="shared" si="100"/>
        <v>0</v>
      </c>
      <c r="S139" s="34">
        <f t="shared" si="101"/>
        <v>4.1900000000000004</v>
      </c>
      <c r="T139" s="34">
        <f t="shared" si="103"/>
        <v>0</v>
      </c>
      <c r="U139" s="34">
        <f>INDEX(cennik!$C$2:$L$529,MATCH($L139,cennik!$B$2:$B$522,0),MATCH(U$104,cennik!$C$1:$L$1,0))*O139</f>
        <v>0</v>
      </c>
      <c r="V139" s="61"/>
      <c r="W139" s="142">
        <f t="shared" si="99"/>
        <v>0</v>
      </c>
      <c r="X139" s="61"/>
      <c r="Y139" s="61"/>
      <c r="Z139" s="61"/>
      <c r="AA139" s="61"/>
      <c r="AB139" s="61"/>
      <c r="AC139" s="61"/>
      <c r="AD139" s="61"/>
      <c r="AE139" s="61"/>
      <c r="AF139" s="61">
        <v>42</v>
      </c>
      <c r="AG139" s="61" t="s">
        <v>881</v>
      </c>
      <c r="AH139" s="61">
        <v>0</v>
      </c>
      <c r="AI139" s="61"/>
      <c r="AJ139" s="61">
        <f t="shared" si="104"/>
        <v>0</v>
      </c>
      <c r="AK139" s="61">
        <f t="shared" si="105"/>
        <v>0</v>
      </c>
      <c r="AL139" s="61"/>
      <c r="AM139" s="61"/>
      <c r="AN139" s="61"/>
      <c r="AO139" s="61"/>
      <c r="AP139" s="61"/>
      <c r="AQ139" s="61"/>
      <c r="AR139" s="61"/>
      <c r="AS139" s="61"/>
      <c r="AT139" s="61"/>
      <c r="AU139" s="61"/>
      <c r="AV139" s="61"/>
      <c r="AW139" s="61"/>
      <c r="AX139" s="61"/>
      <c r="AY139" s="61"/>
      <c r="AZ139" s="61"/>
      <c r="BA139" s="61"/>
      <c r="BB139" s="61"/>
      <c r="BC139" s="61"/>
      <c r="BD139" s="61"/>
      <c r="BE139" s="61"/>
      <c r="BF139" s="61"/>
      <c r="BG139" s="61"/>
      <c r="BH139" s="61"/>
      <c r="BI139" s="61"/>
      <c r="BJ139" s="61"/>
      <c r="BK139" s="61"/>
      <c r="BL139" s="61"/>
      <c r="BM139" s="61"/>
      <c r="BN139" s="61"/>
      <c r="BO139" s="61"/>
      <c r="BP139" s="61"/>
      <c r="BQ139" s="61"/>
      <c r="BR139" s="61"/>
      <c r="BS139" s="61"/>
      <c r="BT139" s="61"/>
      <c r="BU139" s="61"/>
      <c r="BV139" s="61"/>
      <c r="BW139" s="61"/>
      <c r="BX139" s="61"/>
      <c r="BY139" s="61"/>
      <c r="BZ139" s="61"/>
      <c r="CA139" s="61"/>
      <c r="CB139" s="61"/>
      <c r="CC139" s="61"/>
      <c r="CD139" s="61"/>
      <c r="CE139" s="61"/>
      <c r="CF139" s="61"/>
      <c r="CG139" s="61"/>
      <c r="CH139" s="61"/>
      <c r="CI139" s="61"/>
      <c r="CJ139" s="61"/>
      <c r="CK139" s="61"/>
      <c r="CL139" s="61"/>
      <c r="CM139" s="61"/>
      <c r="CN139" s="61"/>
      <c r="CO139" s="61"/>
      <c r="CP139" s="61"/>
      <c r="CQ139" s="61"/>
      <c r="CR139" s="61"/>
      <c r="CS139" s="61"/>
      <c r="CT139" s="61"/>
      <c r="CU139" s="61"/>
      <c r="CV139" s="61"/>
      <c r="CW139" s="61"/>
      <c r="CX139" s="61"/>
      <c r="CY139" s="61"/>
      <c r="CZ139" s="61"/>
      <c r="DA139" s="61"/>
      <c r="DB139" s="61"/>
      <c r="DC139" s="61"/>
      <c r="DD139" s="61"/>
      <c r="DE139" s="61"/>
      <c r="DF139" s="61"/>
      <c r="DG139" s="61"/>
      <c r="DH139" s="61"/>
      <c r="DI139" s="61"/>
      <c r="DJ139" s="61"/>
      <c r="DK139" s="61"/>
      <c r="DL139" s="61"/>
      <c r="DM139" s="61"/>
      <c r="DN139" s="61"/>
      <c r="DO139" s="61"/>
      <c r="DP139" s="61"/>
      <c r="DQ139" s="61"/>
      <c r="DR139" s="61"/>
      <c r="DS139" s="61"/>
      <c r="DT139" s="61"/>
      <c r="DU139" s="61"/>
      <c r="DV139" s="61"/>
      <c r="DW139" s="61"/>
      <c r="DX139" s="61"/>
      <c r="DY139" s="61"/>
      <c r="DZ139" s="61">
        <v>36</v>
      </c>
      <c r="EA139" s="61"/>
      <c r="EB139" s="61">
        <v>50</v>
      </c>
      <c r="EC139" s="61"/>
      <c r="ED139" s="61"/>
      <c r="EE139" s="61"/>
      <c r="EF139" s="61"/>
      <c r="EG139" s="61"/>
      <c r="EH139" s="61"/>
      <c r="EI139" s="61"/>
      <c r="EJ139" s="61"/>
      <c r="EK139" s="61"/>
      <c r="EL139" s="61"/>
      <c r="EM139" s="61"/>
      <c r="EN139" s="61"/>
      <c r="EO139" s="61"/>
      <c r="EP139" s="61"/>
      <c r="EQ139" s="61"/>
      <c r="ER139" s="61"/>
      <c r="ES139" s="61"/>
      <c r="ET139" s="61"/>
      <c r="EU139" s="61"/>
      <c r="EV139" s="61" t="s">
        <v>214</v>
      </c>
      <c r="EW139" s="61">
        <v>0</v>
      </c>
      <c r="EX139" s="61">
        <v>0</v>
      </c>
      <c r="EY139" s="61">
        <v>0</v>
      </c>
      <c r="EZ139" s="61">
        <v>0</v>
      </c>
      <c r="FA139" s="61">
        <v>2</v>
      </c>
      <c r="FB139" s="61">
        <v>2</v>
      </c>
      <c r="FC139" s="61">
        <v>0</v>
      </c>
      <c r="FD139" s="61">
        <v>2</v>
      </c>
      <c r="FE139" s="61">
        <v>4</v>
      </c>
      <c r="FF139" s="61">
        <v>2</v>
      </c>
      <c r="FG139" s="61">
        <v>4</v>
      </c>
      <c r="FH139" s="61">
        <v>0</v>
      </c>
      <c r="FI139" s="61">
        <v>0</v>
      </c>
      <c r="FJ139" s="61">
        <v>8</v>
      </c>
      <c r="FK139" s="61">
        <v>8</v>
      </c>
      <c r="FL139" s="61">
        <v>0</v>
      </c>
      <c r="FM139" s="61">
        <v>6</v>
      </c>
      <c r="FN139" s="61">
        <v>4</v>
      </c>
      <c r="FO139" s="61">
        <v>4</v>
      </c>
      <c r="FP139" s="61">
        <v>10</v>
      </c>
      <c r="FQ139" s="61">
        <v>0</v>
      </c>
      <c r="FR139" s="61">
        <v>8</v>
      </c>
      <c r="FS139" s="61">
        <v>2</v>
      </c>
      <c r="FT139" s="61">
        <v>14</v>
      </c>
      <c r="FU139" s="61">
        <v>2</v>
      </c>
      <c r="FV139" s="61">
        <v>8</v>
      </c>
      <c r="FW139" s="61">
        <v>14</v>
      </c>
      <c r="FX139" s="61">
        <v>6</v>
      </c>
      <c r="FY139" s="61">
        <v>12</v>
      </c>
      <c r="FZ139" s="61">
        <v>12</v>
      </c>
      <c r="GA139" s="61">
        <v>10</v>
      </c>
      <c r="GB139" s="61">
        <v>6</v>
      </c>
      <c r="GC139" s="61">
        <v>14</v>
      </c>
      <c r="GD139" s="61">
        <v>8</v>
      </c>
      <c r="GE139" s="61">
        <v>10</v>
      </c>
      <c r="GF139" s="61">
        <v>16</v>
      </c>
      <c r="GG139" s="61">
        <v>22</v>
      </c>
      <c r="GH139" s="61">
        <v>18</v>
      </c>
      <c r="GI139" s="61">
        <v>20</v>
      </c>
      <c r="GJ139" s="61">
        <v>20</v>
      </c>
      <c r="GK139" s="61">
        <v>18</v>
      </c>
      <c r="GL139" s="61">
        <v>14</v>
      </c>
      <c r="GM139" s="61">
        <v>20</v>
      </c>
      <c r="GN139" s="61">
        <v>12</v>
      </c>
      <c r="GO139" s="61">
        <v>18</v>
      </c>
      <c r="GP139" s="61">
        <v>24</v>
      </c>
      <c r="GQ139" s="61">
        <v>28</v>
      </c>
      <c r="GR139" s="61">
        <v>20</v>
      </c>
      <c r="GS139" s="61">
        <v>18</v>
      </c>
      <c r="GT139" s="61">
        <v>28</v>
      </c>
      <c r="GU139" s="61">
        <v>16</v>
      </c>
      <c r="GV139" s="61"/>
      <c r="GW139" s="61"/>
      <c r="GX139" s="61"/>
      <c r="GY139" s="60" t="s">
        <v>712</v>
      </c>
      <c r="GZ139" s="60">
        <v>0</v>
      </c>
      <c r="HA139" s="60">
        <v>0</v>
      </c>
      <c r="HB139" s="60">
        <v>0</v>
      </c>
      <c r="HC139" s="60">
        <v>2</v>
      </c>
      <c r="HD139" s="60">
        <v>2</v>
      </c>
      <c r="HE139" s="60">
        <v>2</v>
      </c>
      <c r="HF139" s="60">
        <v>4</v>
      </c>
      <c r="HG139" s="60">
        <v>4</v>
      </c>
      <c r="HH139" s="60">
        <v>6</v>
      </c>
      <c r="HI139" s="60">
        <v>6</v>
      </c>
      <c r="HJ139" s="60">
        <v>6</v>
      </c>
      <c r="HK139" s="60">
        <v>8</v>
      </c>
      <c r="HL139" s="60">
        <v>8</v>
      </c>
      <c r="HM139" s="60">
        <v>10</v>
      </c>
      <c r="HN139" s="60">
        <v>10</v>
      </c>
      <c r="HO139" s="60">
        <v>10</v>
      </c>
      <c r="HP139" s="60">
        <v>12</v>
      </c>
      <c r="HQ139" s="60">
        <v>12</v>
      </c>
      <c r="HR139" s="60">
        <v>12</v>
      </c>
      <c r="HS139" s="60">
        <v>14</v>
      </c>
      <c r="HT139" s="60">
        <v>14</v>
      </c>
      <c r="HV139" s="60" t="s">
        <v>853</v>
      </c>
      <c r="HW139" s="60">
        <v>0</v>
      </c>
      <c r="HX139" s="60">
        <v>0</v>
      </c>
      <c r="HY139" s="60">
        <v>2</v>
      </c>
      <c r="HZ139" s="60">
        <v>2</v>
      </c>
      <c r="IA139" s="60">
        <v>4</v>
      </c>
      <c r="IB139" s="60">
        <v>4</v>
      </c>
      <c r="IC139" s="60">
        <v>6</v>
      </c>
      <c r="ID139" s="60">
        <v>6</v>
      </c>
      <c r="IE139" s="60">
        <v>8</v>
      </c>
      <c r="IF139" s="60">
        <v>10</v>
      </c>
      <c r="IG139" s="60">
        <v>10</v>
      </c>
      <c r="IH139" s="60">
        <v>12</v>
      </c>
      <c r="II139" s="60">
        <v>12</v>
      </c>
      <c r="IJ139" s="60">
        <v>14</v>
      </c>
      <c r="IK139" s="60">
        <v>14</v>
      </c>
      <c r="IL139" s="60">
        <v>16</v>
      </c>
      <c r="IM139" s="60">
        <v>18</v>
      </c>
      <c r="IN139" s="60">
        <v>18</v>
      </c>
      <c r="IO139" s="60">
        <v>20</v>
      </c>
      <c r="IP139" s="60">
        <v>20</v>
      </c>
      <c r="IQ139" s="60">
        <v>22</v>
      </c>
      <c r="IS139" s="60" t="s">
        <v>853</v>
      </c>
      <c r="IT139" s="60">
        <f t="shared" si="69"/>
        <v>0</v>
      </c>
      <c r="IU139" s="60">
        <f t="shared" si="70"/>
        <v>0</v>
      </c>
      <c r="IV139" s="60">
        <f t="shared" si="71"/>
        <v>4</v>
      </c>
      <c r="IW139" s="60">
        <f t="shared" si="72"/>
        <v>4</v>
      </c>
      <c r="IX139" s="60">
        <f t="shared" si="73"/>
        <v>8</v>
      </c>
      <c r="IY139" s="60">
        <f t="shared" si="74"/>
        <v>8</v>
      </c>
      <c r="IZ139" s="60">
        <f t="shared" si="75"/>
        <v>12</v>
      </c>
      <c r="JA139" s="60">
        <f t="shared" si="76"/>
        <v>12</v>
      </c>
      <c r="JB139" s="60">
        <f t="shared" si="77"/>
        <v>16</v>
      </c>
      <c r="JC139" s="60">
        <f t="shared" si="78"/>
        <v>20</v>
      </c>
      <c r="JD139" s="60">
        <f t="shared" si="79"/>
        <v>20</v>
      </c>
      <c r="JE139" s="60">
        <f t="shared" si="80"/>
        <v>24</v>
      </c>
      <c r="JF139" s="60">
        <f t="shared" si="81"/>
        <v>24</v>
      </c>
      <c r="JG139" s="60">
        <f t="shared" si="82"/>
        <v>28</v>
      </c>
      <c r="JH139" s="60">
        <f t="shared" si="83"/>
        <v>28</v>
      </c>
      <c r="JI139" s="60">
        <f t="shared" si="84"/>
        <v>32</v>
      </c>
      <c r="JJ139" s="60">
        <f t="shared" si="85"/>
        <v>36</v>
      </c>
      <c r="JK139" s="60">
        <f t="shared" si="86"/>
        <v>36</v>
      </c>
      <c r="JL139" s="60">
        <f t="shared" si="87"/>
        <v>40</v>
      </c>
      <c r="JM139" s="60">
        <f t="shared" si="88"/>
        <v>40</v>
      </c>
      <c r="JN139" s="60">
        <f t="shared" si="89"/>
        <v>44</v>
      </c>
      <c r="JQ139" s="63"/>
      <c r="KG139" s="63"/>
    </row>
    <row r="140" spans="1:295" x14ac:dyDescent="0.25">
      <c r="A140" s="8"/>
      <c r="B140" s="5" t="s">
        <v>116</v>
      </c>
      <c r="C140" s="8"/>
      <c r="D140" s="40" t="s">
        <v>943</v>
      </c>
      <c r="E140" s="9"/>
      <c r="F140" s="9"/>
      <c r="G140" s="9"/>
      <c r="H140" s="9"/>
      <c r="I140" s="9"/>
      <c r="J140" s="9"/>
      <c r="K140" s="9"/>
      <c r="L140" s="6" t="s">
        <v>346</v>
      </c>
      <c r="M140" s="11">
        <f>INDEX(cennik!$C$2:$L$529,MATCH($L140,cennik!$B$2:$B$522,0),MATCH(M$104,cennik!$C$1:$L$1,0))</f>
        <v>897304</v>
      </c>
      <c r="N140" s="11" t="str">
        <f>INDEX(cennik!$C$2:$L$529,MATCH($L140,cennik!$B$2:$B$522,0),MATCH(N$104,cennik!$C$1:$L$1,0))</f>
        <v>szt.</v>
      </c>
      <c r="O140" s="10">
        <f>O134/2</f>
        <v>0</v>
      </c>
      <c r="P140" s="34">
        <f>INDEX(cennik!$C$2:$L$529,MATCH($L140,cennik!$B$2:$B$522,0),MATCH(P$104,cennik!$C$1:$L$1,0))</f>
        <v>2.4</v>
      </c>
      <c r="Q140" s="34">
        <f t="shared" si="102"/>
        <v>0</v>
      </c>
      <c r="R140" s="35">
        <f t="shared" si="100"/>
        <v>0</v>
      </c>
      <c r="S140" s="34">
        <f t="shared" si="101"/>
        <v>2.4</v>
      </c>
      <c r="T140" s="34">
        <f t="shared" si="103"/>
        <v>0</v>
      </c>
      <c r="U140" s="34">
        <f>INDEX(cennik!$C$2:$L$529,MATCH($L140,cennik!$B$2:$B$522,0),MATCH(U$104,cennik!$C$1:$L$1,0))*O140</f>
        <v>0</v>
      </c>
      <c r="V140" s="61"/>
      <c r="W140" s="61"/>
      <c r="X140" s="61"/>
      <c r="Y140" s="61"/>
      <c r="Z140" s="61"/>
      <c r="AA140" s="61"/>
      <c r="AB140" s="61"/>
      <c r="AC140" s="61"/>
      <c r="AD140" s="61"/>
      <c r="AE140" s="61"/>
      <c r="AF140" s="61">
        <v>45</v>
      </c>
      <c r="AG140" s="61" t="s">
        <v>881</v>
      </c>
      <c r="AH140" s="61">
        <v>0</v>
      </c>
      <c r="AI140" s="61"/>
      <c r="AJ140" s="61">
        <f t="shared" si="104"/>
        <v>0</v>
      </c>
      <c r="AK140" s="61">
        <f t="shared" si="105"/>
        <v>0</v>
      </c>
      <c r="AL140" s="61" t="s">
        <v>111</v>
      </c>
      <c r="AM140" s="61"/>
      <c r="AN140" s="61"/>
      <c r="AO140" s="61"/>
      <c r="AP140" s="61"/>
      <c r="AQ140" s="61"/>
      <c r="AR140" s="61"/>
      <c r="AS140" s="61"/>
      <c r="AT140" s="61"/>
      <c r="AU140" s="61"/>
      <c r="AV140" s="61"/>
      <c r="AW140" s="61"/>
      <c r="AX140" s="61"/>
      <c r="AY140" s="61"/>
      <c r="AZ140" s="61"/>
      <c r="BA140" s="61"/>
      <c r="BB140" s="61"/>
      <c r="BC140" s="61"/>
      <c r="BD140" s="61"/>
      <c r="BE140" s="61"/>
      <c r="BF140" s="61"/>
      <c r="BG140" s="61"/>
      <c r="BH140" s="61"/>
      <c r="BI140" s="61"/>
      <c r="BJ140" s="61"/>
      <c r="BK140" s="61"/>
      <c r="BL140" s="61"/>
      <c r="BM140" s="61"/>
      <c r="BN140" s="61"/>
      <c r="BO140" s="61"/>
      <c r="BP140" s="61"/>
      <c r="BQ140" s="61"/>
      <c r="BR140" s="61"/>
      <c r="BS140" s="61"/>
      <c r="BT140" s="61"/>
      <c r="BU140" s="61"/>
      <c r="BV140" s="61"/>
      <c r="BW140" s="61"/>
      <c r="BX140" s="61"/>
      <c r="BY140" s="61"/>
      <c r="BZ140" s="61"/>
      <c r="CA140" s="61"/>
      <c r="CB140" s="61"/>
      <c r="CC140" s="61"/>
      <c r="CD140" s="61"/>
      <c r="CE140" s="61"/>
      <c r="CF140" s="61"/>
      <c r="CG140" s="61"/>
      <c r="CH140" s="61"/>
      <c r="CI140" s="61"/>
      <c r="CJ140" s="61"/>
      <c r="CK140" s="61"/>
      <c r="CL140" s="61"/>
      <c r="CM140" s="61"/>
      <c r="CN140" s="61"/>
      <c r="CO140" s="61"/>
      <c r="CP140" s="61"/>
      <c r="CQ140" s="61"/>
      <c r="CR140" s="61"/>
      <c r="CS140" s="61"/>
      <c r="CT140" s="61"/>
      <c r="CU140" s="61"/>
      <c r="CV140" s="61"/>
      <c r="CW140" s="61"/>
      <c r="CX140" s="61"/>
      <c r="CY140" s="61"/>
      <c r="CZ140" s="61"/>
      <c r="DA140" s="61"/>
      <c r="DB140" s="61"/>
      <c r="DC140" s="61"/>
      <c r="DD140" s="61"/>
      <c r="DE140" s="61"/>
      <c r="DF140" s="61"/>
      <c r="DG140" s="61"/>
      <c r="DH140" s="61"/>
      <c r="DI140" s="61"/>
      <c r="DJ140" s="61"/>
      <c r="DK140" s="61"/>
      <c r="DL140" s="61"/>
      <c r="DM140" s="61"/>
      <c r="DN140" s="61"/>
      <c r="DO140" s="61"/>
      <c r="DP140" s="61"/>
      <c r="DQ140" s="61"/>
      <c r="DR140" s="61"/>
      <c r="DS140" s="61"/>
      <c r="DT140" s="61"/>
      <c r="DU140" s="61"/>
      <c r="DV140" s="61"/>
      <c r="DW140" s="61"/>
      <c r="DX140" s="61"/>
      <c r="DY140" s="61"/>
      <c r="DZ140" s="61">
        <v>37</v>
      </c>
      <c r="EA140" s="61"/>
      <c r="EB140" s="61"/>
      <c r="EC140" s="61"/>
      <c r="ED140" s="61"/>
      <c r="EE140" s="61"/>
      <c r="EF140" s="61"/>
      <c r="EG140" s="61"/>
      <c r="EH140" s="61"/>
      <c r="EI140" s="61"/>
      <c r="EJ140" s="61"/>
      <c r="EK140" s="61"/>
      <c r="EL140" s="61"/>
      <c r="EM140" s="61"/>
      <c r="EN140" s="61"/>
      <c r="EO140" s="61"/>
      <c r="EP140" s="61"/>
      <c r="EQ140" s="61"/>
      <c r="ER140" s="61"/>
      <c r="ES140" s="61"/>
      <c r="ET140" s="61"/>
      <c r="EU140" s="61"/>
      <c r="EV140" s="61" t="s">
        <v>11</v>
      </c>
      <c r="EW140" s="61">
        <v>0</v>
      </c>
      <c r="EX140" s="61">
        <v>0</v>
      </c>
      <c r="EY140" s="61">
        <v>2</v>
      </c>
      <c r="EZ140" s="61">
        <v>0</v>
      </c>
      <c r="FA140" s="61">
        <v>2</v>
      </c>
      <c r="FB140" s="61">
        <v>2</v>
      </c>
      <c r="FC140" s="61">
        <v>2</v>
      </c>
      <c r="FD140" s="61">
        <v>4</v>
      </c>
      <c r="FE140" s="61">
        <v>4</v>
      </c>
      <c r="FF140" s="61">
        <v>4</v>
      </c>
      <c r="FG140" s="61">
        <v>6</v>
      </c>
      <c r="FH140" s="61">
        <v>6</v>
      </c>
      <c r="FI140" s="61">
        <v>6</v>
      </c>
      <c r="FJ140" s="61">
        <v>6</v>
      </c>
      <c r="FK140" s="61">
        <v>8</v>
      </c>
      <c r="FL140" s="61">
        <v>8</v>
      </c>
      <c r="FM140" s="61">
        <v>8</v>
      </c>
      <c r="FN140" s="61">
        <v>10</v>
      </c>
      <c r="FO140" s="61">
        <v>10</v>
      </c>
      <c r="FP140" s="61">
        <v>10</v>
      </c>
      <c r="FQ140" s="61">
        <v>12</v>
      </c>
      <c r="FR140" s="61">
        <v>12</v>
      </c>
      <c r="FS140" s="61">
        <v>12</v>
      </c>
      <c r="FT140" s="61">
        <v>12</v>
      </c>
      <c r="FU140" s="61">
        <v>14</v>
      </c>
      <c r="FV140" s="61">
        <v>14</v>
      </c>
      <c r="FW140" s="61">
        <v>14</v>
      </c>
      <c r="FX140" s="61">
        <v>16</v>
      </c>
      <c r="FY140" s="61">
        <v>16</v>
      </c>
      <c r="FZ140" s="61">
        <v>16</v>
      </c>
      <c r="GA140" s="61">
        <v>18</v>
      </c>
      <c r="GB140" s="61">
        <v>18</v>
      </c>
      <c r="GC140" s="61">
        <v>18</v>
      </c>
      <c r="GD140" s="61">
        <v>20</v>
      </c>
      <c r="GE140" s="61">
        <v>20</v>
      </c>
      <c r="GF140" s="61">
        <v>20</v>
      </c>
      <c r="GG140" s="61">
        <v>20</v>
      </c>
      <c r="GH140" s="61">
        <v>22</v>
      </c>
      <c r="GI140" s="61">
        <v>22</v>
      </c>
      <c r="GJ140" s="61">
        <v>22</v>
      </c>
      <c r="GK140" s="61">
        <v>24</v>
      </c>
      <c r="GL140" s="61">
        <v>24</v>
      </c>
      <c r="GM140" s="61">
        <v>24</v>
      </c>
      <c r="GN140" s="61">
        <v>26</v>
      </c>
      <c r="GO140" s="61">
        <v>26</v>
      </c>
      <c r="GP140" s="61">
        <v>26</v>
      </c>
      <c r="GQ140" s="61">
        <v>26</v>
      </c>
      <c r="GR140" s="61">
        <v>28</v>
      </c>
      <c r="GS140" s="61">
        <v>28</v>
      </c>
      <c r="GT140" s="61">
        <v>28</v>
      </c>
      <c r="GU140" s="61">
        <v>30</v>
      </c>
      <c r="GV140" s="61"/>
      <c r="GW140" s="61"/>
      <c r="GX140" s="61"/>
      <c r="JQ140" s="63"/>
      <c r="KG140" s="63"/>
    </row>
    <row r="141" spans="1:295" x14ac:dyDescent="0.25">
      <c r="A141" s="8"/>
      <c r="B141" s="5" t="s">
        <v>116</v>
      </c>
      <c r="C141" s="8"/>
      <c r="D141" s="9"/>
      <c r="E141" s="9"/>
      <c r="F141" s="9"/>
      <c r="G141" s="9"/>
      <c r="H141" s="9"/>
      <c r="I141" s="9"/>
      <c r="J141" s="9"/>
      <c r="K141" s="9"/>
      <c r="L141" s="6" t="str">
        <f>IF(E132=$Z$104,"-------",IF(E132=$Z$105,"SBV50X500",IF(E132=$Z$106,"-------",IF(E132=$Z$107,"-------",0))))</f>
        <v>SBV50X500</v>
      </c>
      <c r="M141" s="11">
        <f>INDEX(cennik!$C$2:$L$529,MATCH($L141,cennik!$B$2:$B$522,0),MATCH(M$104,cennik!$C$1:$L$1,0))</f>
        <v>895501</v>
      </c>
      <c r="N141" s="11" t="str">
        <f>INDEX(cennik!$C$2:$L$529,MATCH($L141,cennik!$B$2:$B$522,0),MATCH(N$104,cennik!$C$1:$L$1,0))</f>
        <v>szt.</v>
      </c>
      <c r="O141" s="11">
        <f>IF(E132=$Z$104,0,IF(E132=$Z$105,O130*2,IF(E132=$Z$106,0,IF(E132=$Z$107,0,0))))</f>
        <v>0</v>
      </c>
      <c r="P141" s="34">
        <f>INDEX(cennik!$C$2:$L$529,MATCH($L141,cennik!$B$2:$B$522,0),MATCH(P$104,cennik!$C$1:$L$1,0))</f>
        <v>1.24</v>
      </c>
      <c r="Q141" s="34">
        <f t="shared" ref="Q141:Q148" si="108">O141*P141</f>
        <v>0</v>
      </c>
      <c r="R141" s="35">
        <f t="shared" si="100"/>
        <v>0</v>
      </c>
      <c r="S141" s="34">
        <f t="shared" si="101"/>
        <v>1.24</v>
      </c>
      <c r="T141" s="34">
        <f t="shared" ref="T141:T148" si="109">O141*S141</f>
        <v>0</v>
      </c>
      <c r="U141" s="34">
        <f>INDEX(cennik!$C$2:$L$529,MATCH($L141,cennik!$B$2:$B$522,0),MATCH(U$104,cennik!$C$1:$L$1,0))*O141</f>
        <v>0</v>
      </c>
      <c r="V141" s="61"/>
      <c r="W141" s="61"/>
      <c r="X141" s="61"/>
      <c r="Y141" s="61"/>
      <c r="Z141" s="61"/>
      <c r="AA141" s="61"/>
      <c r="AB141" s="61"/>
      <c r="AC141" s="61"/>
      <c r="AD141" s="61"/>
      <c r="AE141" s="61"/>
      <c r="AF141" s="61">
        <v>50</v>
      </c>
      <c r="AG141" s="61" t="s">
        <v>881</v>
      </c>
      <c r="AH141" s="61">
        <v>0</v>
      </c>
      <c r="AI141" s="61"/>
      <c r="AJ141" s="61">
        <f t="shared" si="104"/>
        <v>0</v>
      </c>
      <c r="AK141" s="61">
        <f t="shared" si="105"/>
        <v>0</v>
      </c>
      <c r="AL141" s="61"/>
      <c r="AM141" s="61">
        <v>0</v>
      </c>
      <c r="AN141" s="61">
        <v>1</v>
      </c>
      <c r="AO141" s="61">
        <v>2</v>
      </c>
      <c r="AP141" s="61">
        <v>3</v>
      </c>
      <c r="AQ141" s="61">
        <v>4</v>
      </c>
      <c r="AR141" s="61">
        <v>5</v>
      </c>
      <c r="AS141" s="61">
        <v>6</v>
      </c>
      <c r="AT141" s="61">
        <v>7</v>
      </c>
      <c r="AU141" s="61">
        <v>8</v>
      </c>
      <c r="AV141" s="61">
        <v>9</v>
      </c>
      <c r="AW141" s="61">
        <v>10</v>
      </c>
      <c r="AX141" s="61">
        <v>11</v>
      </c>
      <c r="AY141" s="61">
        <v>12</v>
      </c>
      <c r="AZ141" s="61">
        <v>13</v>
      </c>
      <c r="BA141" s="61">
        <v>14</v>
      </c>
      <c r="BB141" s="61">
        <v>15</v>
      </c>
      <c r="BC141" s="61">
        <v>16</v>
      </c>
      <c r="BD141" s="61">
        <v>17</v>
      </c>
      <c r="BE141" s="61">
        <v>18</v>
      </c>
      <c r="BF141" s="61">
        <v>19</v>
      </c>
      <c r="BG141" s="61">
        <v>20</v>
      </c>
      <c r="BH141" s="61">
        <v>21</v>
      </c>
      <c r="BI141" s="61">
        <v>22</v>
      </c>
      <c r="BJ141" s="61">
        <v>23</v>
      </c>
      <c r="BK141" s="61">
        <v>24</v>
      </c>
      <c r="BL141" s="61">
        <v>25</v>
      </c>
      <c r="BM141" s="61">
        <v>26</v>
      </c>
      <c r="BN141" s="61">
        <v>27</v>
      </c>
      <c r="BO141" s="61">
        <v>28</v>
      </c>
      <c r="BP141" s="61">
        <v>29</v>
      </c>
      <c r="BQ141" s="61">
        <v>30</v>
      </c>
      <c r="BR141" s="61">
        <v>31</v>
      </c>
      <c r="BS141" s="61">
        <v>32</v>
      </c>
      <c r="BT141" s="61">
        <v>33</v>
      </c>
      <c r="BU141" s="61">
        <v>34</v>
      </c>
      <c r="BV141" s="61">
        <v>35</v>
      </c>
      <c r="BW141" s="61">
        <v>36</v>
      </c>
      <c r="BX141" s="61">
        <v>37</v>
      </c>
      <c r="BY141" s="61">
        <v>38</v>
      </c>
      <c r="BZ141" s="61">
        <v>39</v>
      </c>
      <c r="CA141" s="61">
        <v>40</v>
      </c>
      <c r="CB141" s="61">
        <v>41</v>
      </c>
      <c r="CC141" s="61">
        <v>42</v>
      </c>
      <c r="CD141" s="61">
        <v>43</v>
      </c>
      <c r="CE141" s="61">
        <v>44</v>
      </c>
      <c r="CF141" s="61">
        <v>45</v>
      </c>
      <c r="CG141" s="61">
        <v>46</v>
      </c>
      <c r="CH141" s="61">
        <v>47</v>
      </c>
      <c r="CI141" s="61">
        <v>48</v>
      </c>
      <c r="CJ141" s="61">
        <v>49</v>
      </c>
      <c r="CK141" s="61">
        <v>50</v>
      </c>
      <c r="CL141" s="61"/>
      <c r="CM141" s="61"/>
      <c r="CN141" s="61"/>
      <c r="CO141" s="61"/>
      <c r="CP141" s="61"/>
      <c r="CQ141" s="61"/>
      <c r="CR141" s="61"/>
      <c r="CS141" s="61"/>
      <c r="CT141" s="61"/>
      <c r="CU141" s="61"/>
      <c r="CV141" s="61"/>
      <c r="CW141" s="61"/>
      <c r="CX141" s="61"/>
      <c r="CY141" s="61"/>
      <c r="CZ141" s="61"/>
      <c r="DA141" s="61"/>
      <c r="DB141" s="61"/>
      <c r="DC141" s="61"/>
      <c r="DD141" s="61"/>
      <c r="DE141" s="61"/>
      <c r="DF141" s="61"/>
      <c r="DG141" s="61"/>
      <c r="DH141" s="61"/>
      <c r="DI141" s="61"/>
      <c r="DJ141" s="61"/>
      <c r="DK141" s="61"/>
      <c r="DL141" s="61"/>
      <c r="DM141" s="61"/>
      <c r="DN141" s="61"/>
      <c r="DO141" s="61"/>
      <c r="DP141" s="61"/>
      <c r="DQ141" s="61"/>
      <c r="DR141" s="61"/>
      <c r="DS141" s="61"/>
      <c r="DT141" s="61"/>
      <c r="DU141" s="61"/>
      <c r="DV141" s="61"/>
      <c r="DW141" s="61"/>
      <c r="DX141" s="61"/>
      <c r="DY141" s="61"/>
      <c r="DZ141" s="61">
        <v>38</v>
      </c>
      <c r="EA141" s="61"/>
      <c r="EB141" s="61"/>
      <c r="EC141" s="61"/>
      <c r="ED141" s="61"/>
      <c r="EE141" s="61"/>
      <c r="EF141" s="61"/>
      <c r="EG141" s="61"/>
      <c r="EH141" s="61"/>
      <c r="EI141" s="61"/>
      <c r="EJ141" s="61"/>
      <c r="EK141" s="61"/>
      <c r="EL141" s="61"/>
      <c r="EM141" s="61"/>
      <c r="EN141" s="61"/>
      <c r="EO141" s="61"/>
      <c r="EP141" s="61"/>
      <c r="EQ141" s="61"/>
      <c r="ER141" s="61"/>
      <c r="ES141" s="61"/>
      <c r="ET141" s="61"/>
      <c r="EU141" s="61"/>
      <c r="EV141" s="61"/>
      <c r="EW141" s="61"/>
      <c r="EX141" s="61"/>
      <c r="EY141" s="61"/>
      <c r="EZ141" s="61"/>
      <c r="FA141" s="61"/>
      <c r="FB141" s="61"/>
      <c r="FC141" s="61"/>
      <c r="FD141" s="61"/>
      <c r="FE141" s="61"/>
      <c r="FF141" s="61"/>
      <c r="FG141" s="61"/>
      <c r="FH141" s="61"/>
      <c r="FI141" s="61"/>
      <c r="FJ141" s="61"/>
      <c r="FK141" s="61"/>
      <c r="FL141" s="61"/>
      <c r="FM141" s="61"/>
      <c r="FN141" s="61"/>
      <c r="FO141" s="61"/>
      <c r="FP141" s="61"/>
      <c r="FQ141" s="61"/>
      <c r="FR141" s="61"/>
      <c r="FS141" s="61"/>
      <c r="FT141" s="61"/>
      <c r="FU141" s="61"/>
      <c r="FV141" s="61"/>
      <c r="FW141" s="61"/>
      <c r="FX141" s="61"/>
      <c r="FY141" s="61"/>
      <c r="FZ141" s="61"/>
      <c r="GA141" s="61"/>
      <c r="GB141" s="61"/>
      <c r="GC141" s="61"/>
      <c r="GD141" s="61"/>
      <c r="GE141" s="61"/>
      <c r="GF141" s="61"/>
      <c r="GG141" s="61"/>
      <c r="GH141" s="61"/>
      <c r="GI141" s="61"/>
      <c r="GJ141" s="61"/>
      <c r="GK141" s="61"/>
      <c r="GL141" s="61"/>
      <c r="GM141" s="61"/>
      <c r="GN141" s="61"/>
      <c r="GO141" s="61"/>
      <c r="GP141" s="61"/>
      <c r="GQ141" s="61"/>
      <c r="GR141" s="61"/>
      <c r="GS141" s="61"/>
      <c r="GT141" s="61"/>
      <c r="GU141" s="61"/>
      <c r="GV141" s="61"/>
      <c r="GW141" s="61"/>
      <c r="GX141" s="61"/>
      <c r="GY141" s="60" t="s">
        <v>715</v>
      </c>
      <c r="HU141" s="143"/>
      <c r="HV141" s="141" t="s">
        <v>473</v>
      </c>
      <c r="IS141" s="60" t="s">
        <v>473</v>
      </c>
      <c r="KG141" s="63"/>
    </row>
    <row r="142" spans="1:295" x14ac:dyDescent="0.25">
      <c r="A142" s="8"/>
      <c r="B142" s="5" t="s">
        <v>116</v>
      </c>
      <c r="C142" s="8"/>
      <c r="D142" s="9"/>
      <c r="E142" s="9"/>
      <c r="F142" s="17" t="str">
        <f>IF(L142="PSRM10X90F","PROPOZYCJA KOTEW- DO WERFIKACJI",IF(L142="-------","",""))</f>
        <v>PROPOZYCJA KOTEW- DO WERFIKACJI</v>
      </c>
      <c r="G142" s="9"/>
      <c r="H142" s="9"/>
      <c r="I142" s="9"/>
      <c r="J142" s="9"/>
      <c r="K142" s="9"/>
      <c r="L142" s="6" t="str">
        <f>IF(E132=$Z$104,"-------",IF(E132=$Z$105,"PSRM10X90F",IF(E132=$Z$106,"-------",IF(E132=$Z$107,"SSZ8X30E A2",0))))</f>
        <v>PSRM10X90F</v>
      </c>
      <c r="M142" s="11">
        <f>INDEX(cennik!$C$2:$L$529,MATCH($L142,cennik!$B$2:$B$522,0),MATCH(M$104,cennik!$C$1:$L$1,0))</f>
        <v>650093</v>
      </c>
      <c r="N142" s="11" t="str">
        <f>INDEX(cennik!$C$2:$L$529,MATCH($L142,cennik!$B$2:$B$522,0),MATCH(N$104,cennik!$C$1:$L$1,0))</f>
        <v>szt.</v>
      </c>
      <c r="O142" s="11">
        <f>IF(E132=$Z$104,0,IF(E132=$Z$105,O130*6,IF(E132=$Z$106,0,IF(E132=$Z$107,ROUNDUP((O130*4)/100,0),0))))</f>
        <v>0</v>
      </c>
      <c r="P142" s="34">
        <f>INDEX(cennik!$C$2:$L$529,MATCH($L142,cennik!$B$2:$B$522,0),MATCH(P$104,cennik!$C$1:$L$1,0))</f>
        <v>3.29</v>
      </c>
      <c r="Q142" s="34">
        <f t="shared" si="108"/>
        <v>0</v>
      </c>
      <c r="R142" s="35">
        <f t="shared" si="100"/>
        <v>0</v>
      </c>
      <c r="S142" s="34">
        <f t="shared" ref="S142:S148" si="110">P142*((100-$E$110)/100)</f>
        <v>3.29</v>
      </c>
      <c r="T142" s="34">
        <f t="shared" si="109"/>
        <v>0</v>
      </c>
      <c r="U142" s="34">
        <f>INDEX(cennik!$C$2:$L$529,MATCH($L142,cennik!$B$2:$B$522,0),MATCH(U$104,cennik!$C$1:$L$1,0))*O142</f>
        <v>0</v>
      </c>
      <c r="V142" s="61"/>
      <c r="W142" s="140" t="s">
        <v>322</v>
      </c>
      <c r="X142" s="140" t="s">
        <v>323</v>
      </c>
      <c r="Y142" s="61"/>
      <c r="Z142" s="142" t="s">
        <v>11</v>
      </c>
      <c r="AA142" s="61" t="s">
        <v>210</v>
      </c>
      <c r="AB142" s="61" t="s">
        <v>9</v>
      </c>
      <c r="AC142" s="142" t="s">
        <v>208</v>
      </c>
      <c r="AD142" s="142" t="s">
        <v>211</v>
      </c>
      <c r="AE142" s="142" t="s">
        <v>293</v>
      </c>
      <c r="AF142" s="142" t="s">
        <v>10</v>
      </c>
      <c r="AG142" s="142" t="s">
        <v>212</v>
      </c>
      <c r="AH142" s="142" t="s">
        <v>214</v>
      </c>
      <c r="AI142" s="61"/>
      <c r="AJ142" s="61">
        <f t="shared" si="104"/>
        <v>0</v>
      </c>
      <c r="AK142" s="61">
        <f t="shared" si="105"/>
        <v>0</v>
      </c>
      <c r="AL142" s="61" t="s">
        <v>126</v>
      </c>
      <c r="AM142" s="61">
        <v>0</v>
      </c>
      <c r="AN142" s="61">
        <v>0</v>
      </c>
      <c r="AO142" s="61">
        <v>6</v>
      </c>
      <c r="AP142" s="61">
        <v>0</v>
      </c>
      <c r="AQ142" s="61">
        <v>0</v>
      </c>
      <c r="AR142" s="61">
        <v>0</v>
      </c>
      <c r="AS142" s="61">
        <v>0</v>
      </c>
      <c r="AT142" s="61">
        <v>0</v>
      </c>
      <c r="AU142" s="61">
        <v>0</v>
      </c>
      <c r="AV142" s="61">
        <v>0</v>
      </c>
      <c r="AW142" s="61">
        <v>2</v>
      </c>
      <c r="AX142" s="61">
        <v>0</v>
      </c>
      <c r="AY142" s="61">
        <v>0</v>
      </c>
      <c r="AZ142" s="61">
        <v>0</v>
      </c>
      <c r="BA142" s="61">
        <v>0</v>
      </c>
      <c r="BB142" s="61">
        <v>0</v>
      </c>
      <c r="BC142" s="61">
        <v>0</v>
      </c>
      <c r="BD142" s="61">
        <v>0</v>
      </c>
      <c r="BE142" s="61">
        <v>0</v>
      </c>
      <c r="BF142" s="61">
        <v>0</v>
      </c>
      <c r="BG142" s="61">
        <v>0</v>
      </c>
      <c r="BH142" s="61">
        <v>0</v>
      </c>
      <c r="BI142" s="61">
        <v>0</v>
      </c>
      <c r="BJ142" s="61">
        <v>0</v>
      </c>
      <c r="BK142" s="61">
        <v>0</v>
      </c>
      <c r="BL142" s="61">
        <v>0</v>
      </c>
      <c r="BM142" s="61">
        <v>0</v>
      </c>
      <c r="BN142" s="61">
        <v>0</v>
      </c>
      <c r="BO142" s="61">
        <v>0</v>
      </c>
      <c r="BP142" s="61">
        <v>0</v>
      </c>
      <c r="BQ142" s="61">
        <v>0</v>
      </c>
      <c r="BR142" s="61">
        <v>0</v>
      </c>
      <c r="BS142" s="61">
        <v>2</v>
      </c>
      <c r="BT142" s="61">
        <v>0</v>
      </c>
      <c r="BU142" s="61">
        <v>0</v>
      </c>
      <c r="BV142" s="61">
        <v>0</v>
      </c>
      <c r="BW142" s="61">
        <v>0</v>
      </c>
      <c r="BX142" s="61">
        <v>0</v>
      </c>
      <c r="BY142" s="61">
        <v>0</v>
      </c>
      <c r="BZ142" s="61">
        <v>0</v>
      </c>
      <c r="CA142" s="61">
        <v>0</v>
      </c>
      <c r="CB142" s="61">
        <v>0</v>
      </c>
      <c r="CC142" s="61">
        <v>0</v>
      </c>
      <c r="CD142" s="61">
        <v>0</v>
      </c>
      <c r="CE142" s="61">
        <v>0</v>
      </c>
      <c r="CF142" s="61">
        <v>0</v>
      </c>
      <c r="CG142" s="61">
        <v>0</v>
      </c>
      <c r="CH142" s="61">
        <v>0</v>
      </c>
      <c r="CI142" s="61">
        <v>0</v>
      </c>
      <c r="CJ142" s="61">
        <v>0</v>
      </c>
      <c r="CK142" s="61">
        <v>0</v>
      </c>
      <c r="CL142" s="61"/>
      <c r="CM142" s="61"/>
      <c r="CN142" s="61"/>
      <c r="CO142" s="61"/>
      <c r="CP142" s="61"/>
      <c r="CQ142" s="61"/>
      <c r="CR142" s="61"/>
      <c r="CS142" s="61"/>
      <c r="CT142" s="61"/>
      <c r="CU142" s="61"/>
      <c r="CV142" s="61"/>
      <c r="CW142" s="61"/>
      <c r="CX142" s="61"/>
      <c r="CY142" s="61"/>
      <c r="CZ142" s="61"/>
      <c r="DA142" s="61"/>
      <c r="DB142" s="61"/>
      <c r="DC142" s="61"/>
      <c r="DD142" s="61"/>
      <c r="DE142" s="61"/>
      <c r="DF142" s="61"/>
      <c r="DG142" s="61"/>
      <c r="DH142" s="61"/>
      <c r="DI142" s="61"/>
      <c r="DJ142" s="61"/>
      <c r="DK142" s="61"/>
      <c r="DL142" s="61"/>
      <c r="DM142" s="61"/>
      <c r="DN142" s="61"/>
      <c r="DO142" s="61"/>
      <c r="DP142" s="61"/>
      <c r="DQ142" s="61"/>
      <c r="DR142" s="61"/>
      <c r="DS142" s="61"/>
      <c r="DT142" s="61"/>
      <c r="DU142" s="61"/>
      <c r="DV142" s="61"/>
      <c r="DW142" s="61"/>
      <c r="DX142" s="61"/>
      <c r="DY142" s="61"/>
      <c r="DZ142" s="61">
        <v>39</v>
      </c>
      <c r="EA142" s="61"/>
      <c r="EB142" s="61">
        <v>1</v>
      </c>
      <c r="EC142" s="61"/>
      <c r="ED142" s="61"/>
      <c r="EE142" s="61"/>
      <c r="EF142" s="61"/>
      <c r="EG142" s="61"/>
      <c r="EH142" s="61"/>
      <c r="EI142" s="61"/>
      <c r="EJ142" s="61"/>
      <c r="EK142" s="61"/>
      <c r="EL142" s="61"/>
      <c r="EM142" s="61"/>
      <c r="EN142" s="61"/>
      <c r="EO142" s="61"/>
      <c r="EP142" s="61"/>
      <c r="EQ142" s="61"/>
      <c r="ER142" s="61"/>
      <c r="ES142" s="61"/>
      <c r="ET142" s="61"/>
      <c r="EU142" s="61"/>
      <c r="EV142" s="61" t="s">
        <v>480</v>
      </c>
      <c r="EW142" s="61"/>
      <c r="EX142" s="61"/>
      <c r="EY142" s="61"/>
      <c r="EZ142" s="61"/>
      <c r="FA142" s="61"/>
      <c r="FB142" s="61"/>
      <c r="FC142" s="61"/>
      <c r="FD142" s="61"/>
      <c r="FE142" s="61"/>
      <c r="FF142" s="61"/>
      <c r="FG142" s="61"/>
      <c r="FH142" s="61"/>
      <c r="FI142" s="61"/>
      <c r="FJ142" s="61"/>
      <c r="FK142" s="61"/>
      <c r="FL142" s="61"/>
      <c r="FM142" s="61"/>
      <c r="FN142" s="61"/>
      <c r="FO142" s="61"/>
      <c r="FP142" s="61"/>
      <c r="FQ142" s="61"/>
      <c r="FR142" s="61"/>
      <c r="FS142" s="61"/>
      <c r="FT142" s="61"/>
      <c r="FU142" s="61"/>
      <c r="FV142" s="61"/>
      <c r="FW142" s="61"/>
      <c r="FX142" s="61"/>
      <c r="FY142" s="61"/>
      <c r="FZ142" s="61"/>
      <c r="GA142" s="61"/>
      <c r="GB142" s="61"/>
      <c r="GC142" s="61"/>
      <c r="GD142" s="61"/>
      <c r="GE142" s="61"/>
      <c r="GF142" s="61"/>
      <c r="GG142" s="61"/>
      <c r="GH142" s="61"/>
      <c r="GI142" s="61"/>
      <c r="GJ142" s="61"/>
      <c r="GK142" s="61"/>
      <c r="GL142" s="61"/>
      <c r="GM142" s="61"/>
      <c r="GN142" s="61"/>
      <c r="GO142" s="61"/>
      <c r="GP142" s="61"/>
      <c r="GQ142" s="61"/>
      <c r="GR142" s="61"/>
      <c r="GS142" s="61"/>
      <c r="GT142" s="61"/>
      <c r="GU142" s="61"/>
      <c r="GV142" s="61"/>
      <c r="GW142" s="61"/>
      <c r="GX142" s="61"/>
      <c r="GZ142" s="60">
        <v>0</v>
      </c>
      <c r="HA142" s="60">
        <v>1</v>
      </c>
      <c r="HB142" s="60">
        <v>2</v>
      </c>
      <c r="HC142" s="60">
        <v>3</v>
      </c>
      <c r="HD142" s="60">
        <v>4</v>
      </c>
      <c r="HE142" s="60">
        <v>5</v>
      </c>
      <c r="HF142" s="60">
        <v>6</v>
      </c>
      <c r="HG142" s="60">
        <v>7</v>
      </c>
      <c r="HH142" s="60">
        <v>8</v>
      </c>
      <c r="HI142" s="60">
        <v>9</v>
      </c>
      <c r="HJ142" s="60">
        <v>10</v>
      </c>
      <c r="HK142" s="60">
        <v>11</v>
      </c>
      <c r="HL142" s="60">
        <v>12</v>
      </c>
      <c r="HM142" s="60">
        <v>13</v>
      </c>
      <c r="HN142" s="60">
        <v>14</v>
      </c>
      <c r="HO142" s="60">
        <v>15</v>
      </c>
      <c r="HP142" s="60">
        <v>16</v>
      </c>
      <c r="HQ142" s="60">
        <v>17</v>
      </c>
      <c r="HR142" s="60">
        <v>18</v>
      </c>
      <c r="HS142" s="60">
        <v>19</v>
      </c>
      <c r="HT142" s="60">
        <v>20</v>
      </c>
      <c r="HW142" s="60">
        <v>0</v>
      </c>
      <c r="HX142" s="60">
        <v>1</v>
      </c>
      <c r="HY142" s="60">
        <v>2</v>
      </c>
      <c r="HZ142" s="60">
        <v>3</v>
      </c>
      <c r="IA142" s="60">
        <v>4</v>
      </c>
      <c r="IB142" s="60">
        <v>5</v>
      </c>
      <c r="IC142" s="60">
        <v>6</v>
      </c>
      <c r="ID142" s="60">
        <v>7</v>
      </c>
      <c r="IE142" s="60">
        <v>8</v>
      </c>
      <c r="IF142" s="60">
        <v>9</v>
      </c>
      <c r="IG142" s="60">
        <v>10</v>
      </c>
      <c r="IH142" s="60">
        <v>11</v>
      </c>
      <c r="II142" s="60">
        <v>12</v>
      </c>
      <c r="IJ142" s="60">
        <v>13</v>
      </c>
      <c r="IK142" s="60">
        <v>14</v>
      </c>
      <c r="IL142" s="60">
        <v>15</v>
      </c>
      <c r="IM142" s="60">
        <v>16</v>
      </c>
      <c r="IN142" s="60">
        <v>17</v>
      </c>
      <c r="IO142" s="60">
        <v>18</v>
      </c>
      <c r="IP142" s="60">
        <v>19</v>
      </c>
      <c r="IQ142" s="60">
        <v>20</v>
      </c>
      <c r="IT142" s="60">
        <f t="shared" si="69"/>
        <v>0</v>
      </c>
      <c r="IU142" s="60">
        <f t="shared" si="70"/>
        <v>2</v>
      </c>
      <c r="IV142" s="60">
        <f t="shared" si="71"/>
        <v>4</v>
      </c>
      <c r="IW142" s="60">
        <f t="shared" si="72"/>
        <v>6</v>
      </c>
      <c r="IX142" s="60">
        <f t="shared" si="73"/>
        <v>8</v>
      </c>
      <c r="IY142" s="60">
        <f t="shared" si="74"/>
        <v>10</v>
      </c>
      <c r="IZ142" s="60">
        <f t="shared" si="75"/>
        <v>12</v>
      </c>
      <c r="JA142" s="60">
        <f t="shared" si="76"/>
        <v>14</v>
      </c>
      <c r="JB142" s="60">
        <f t="shared" si="77"/>
        <v>16</v>
      </c>
      <c r="JC142" s="60">
        <f t="shared" si="78"/>
        <v>18</v>
      </c>
      <c r="JD142" s="60">
        <f t="shared" si="79"/>
        <v>20</v>
      </c>
      <c r="JE142" s="60">
        <f t="shared" si="80"/>
        <v>22</v>
      </c>
      <c r="JF142" s="60">
        <f t="shared" si="81"/>
        <v>24</v>
      </c>
      <c r="JG142" s="60">
        <f t="shared" si="82"/>
        <v>26</v>
      </c>
      <c r="JH142" s="60">
        <f t="shared" si="83"/>
        <v>28</v>
      </c>
      <c r="JI142" s="60">
        <f t="shared" si="84"/>
        <v>30</v>
      </c>
      <c r="JJ142" s="60">
        <f t="shared" si="85"/>
        <v>32</v>
      </c>
      <c r="JK142" s="60">
        <f t="shared" si="86"/>
        <v>34</v>
      </c>
      <c r="JL142" s="60">
        <f t="shared" si="87"/>
        <v>36</v>
      </c>
      <c r="JM142" s="60">
        <f t="shared" si="88"/>
        <v>38</v>
      </c>
      <c r="JN142" s="60">
        <f t="shared" si="89"/>
        <v>40</v>
      </c>
    </row>
    <row r="143" spans="1:295" x14ac:dyDescent="0.25">
      <c r="A143" s="8"/>
      <c r="B143" s="5" t="s">
        <v>116</v>
      </c>
      <c r="C143" s="8"/>
      <c r="D143" s="9"/>
      <c r="E143" s="9"/>
      <c r="F143" s="9"/>
      <c r="G143" s="9"/>
      <c r="H143" s="9"/>
      <c r="I143" s="9"/>
      <c r="J143" s="9"/>
      <c r="K143" s="9"/>
      <c r="L143" s="6" t="str">
        <f>IF(E132=$Z$104,"-------",IF(E132=$Z$105,"-------",IF(E132=$Z$106,"-------",IF(E132=$Z$107,"PW8E A2",0))))</f>
        <v>-------</v>
      </c>
      <c r="M143" s="11" t="str">
        <f>INDEX(cennik!$C$2:$L$529,MATCH($L143,cennik!$B$2:$B$522,0),MATCH(M$104,cennik!$C$1:$L$1,0))</f>
        <v>-------</v>
      </c>
      <c r="N143" s="11">
        <f>INDEX(cennik!$C$2:$L$529,MATCH($L143,cennik!$B$2:$B$522,0),MATCH(N$104,cennik!$C$1:$L$1,0))</f>
        <v>0</v>
      </c>
      <c r="O143" s="11">
        <f>IF(E132=$Z$104,0,IF(E132=$Z$105,0,IF(E132=$Z$106,0,IF(E132=$Z$107,ROUNDUP((O130*4)/100,0),0))))</f>
        <v>0</v>
      </c>
      <c r="P143" s="34">
        <f>INDEX(cennik!$C$2:$L$529,MATCH($L143,cennik!$B$2:$B$522,0),MATCH(P$104,cennik!$C$1:$L$1,0))</f>
        <v>0</v>
      </c>
      <c r="Q143" s="34">
        <f t="shared" si="108"/>
        <v>0</v>
      </c>
      <c r="R143" s="35">
        <f t="shared" si="100"/>
        <v>0</v>
      </c>
      <c r="S143" s="34">
        <f t="shared" si="110"/>
        <v>0</v>
      </c>
      <c r="T143" s="34">
        <f t="shared" si="109"/>
        <v>0</v>
      </c>
      <c r="U143" s="34">
        <f>INDEX(cennik!$C$2:$L$529,MATCH($L143,cennik!$B$2:$B$522,0),MATCH(U$104,cennik!$C$1:$L$1,0))*O143</f>
        <v>0</v>
      </c>
      <c r="V143" s="61"/>
      <c r="W143" s="142">
        <f t="shared" ref="W143:W158" si="111">(IF(((INT((((A151)*(IF($G$152=$X$128,$Y$128,IF($G$152=$X$129,$Y$129,IF($G$152=$X$130,$Y$130,IF($G$152=$X$131,$Y$131,0))))))+(((A151)-1)*20))/$E$159))*$E$159)+600&gt;((A151)*(IF($G$152=$X$128,$Y$128,IF($G$152=$X$129,$Y$129,IF($G$152=$X$130,$Y$130,IF($G$152=$X$131,$Y$131,0))))))+(((A151)-1)*20),(INT((((A151)*(IF($G$152=$X$128,$Y$128,IF($G$152=$X$129,$Y$129,IF($G$152=$X$130,$Y$130,IF($G$152=$X$131,$Y$131,0))))))+(((A151)-1)*20))/$E$159))+1,IF(((INT((((A151)*(IF($G$152=$X$128,$Y$128,IF($G$152=$X$129,$Y$129,IF($G$152=$X$130,$Y$130,IF($G$152=$X$131,$Y$131,0))))))+(((A151)-1)*20))/$E$159))*$E$159)+600&lt;((A151)*(IF($G$152=$X$128,$Y$128,IF($G$152=$X$129,$Y$129,IF($G$152=$X$130,$Y$130,IF($G$152=$X$131,$Y$131,0))))))+(((A151)-1)*20),(INT((((A151)*(IF($G$152=$X$128,$Y$128,IF($G$152=$X$129,$Y$129,IF($G$152=$X$130,$Y$130,IF($G$152=$X$131,$Y$131,0))))))+(((A151)-1)*20))/$E$159))+2,0)))*C151</f>
        <v>0</v>
      </c>
      <c r="X143" s="61">
        <f t="shared" ref="X143:X158" si="112">IF(A151=0,0,IF(A151&gt;0,(IF(W143=0,0,IF(W143&gt;0,(INDEX(($CN$144:$DX$144),MATCH($L$162,$CM$144,0),MATCH(W143/C151,$CN$143:$DX$143,0),1)*C151)))),0))</f>
        <v>0</v>
      </c>
      <c r="Y143" s="61"/>
      <c r="Z143" s="61">
        <f>(INDEX(($EW$107:$GU$115,$EW$119:$GU$127,$EW$132:$GU$140,$EW$144:$GU$152),MATCH($L$160,$EV$107:$EV$115,0),MATCH(A151,$EW$106:$GU$106,0),MATCH($G$152,$X$128:$X$131,0)))*C151</f>
        <v>0</v>
      </c>
      <c r="AA143" s="61">
        <f>(INDEX(($EW$107:$GU$115,$EW$119:$GU$127,$EW$132:$GU$140,$EW$144:$GU$152),MATCH($L$152,$EV$107:$EV$115,0),MATCH(A151,$EW$106:$GU$106,0),MATCH($G$152,$X$128:$X$131,0)))*C151</f>
        <v>0</v>
      </c>
      <c r="AB143" s="61">
        <f>(INDEX(($EW$107:$GU$115,$EW$119:$GU$127,$EW$132:$GU$140,$EW$144:$GU$152),MATCH($L$153,$EV$107:$EV$115,0),MATCH(A151,$EW$106:$GU$106,0),MATCH($G$152,$X$128:$X$131,0)))*C151</f>
        <v>0</v>
      </c>
      <c r="AC143" s="61">
        <f>(INDEX(($EW$107:$GU$115,$EW$119:$GU$127,$EW$132:$GU$140,$EW$144:$GU$152),MATCH($L$154,$EV$107:$EV$115,0),MATCH(A151,$EW$106:$GU$106,0),MATCH($G$152,$X$128:$X$131,0)))*C151</f>
        <v>0</v>
      </c>
      <c r="AD143" s="61">
        <f>(INDEX(($EW$107:$GU$115,$EW$119:$GU$127,$EW$132:$GU$140,$EW$144:$GU$152),MATCH($L$155,$EV$107:$EV$115,0),MATCH(A151,$EW$106:$GU$106,0),MATCH($G$152,$X$128:$X$131,0)))*C151</f>
        <v>0</v>
      </c>
      <c r="AE143" s="61">
        <f>(INDEX(($EW$107:$GU$115,$EW$119:$GU$127,$EW$132:$GU$140,$EW$144:$GU$152),MATCH($L$156,$EV$107:$EV$115,0),MATCH(A151,$EW$106:$GU$106,0),MATCH($G$152,$X$128:$X$131,0)))*C151</f>
        <v>0</v>
      </c>
      <c r="AF143" s="61">
        <f>(INDEX(($EW$107:$GU$115,$EW$119:$GU$127,$EW$132:$GU$140,$EW$144:$GU$152),MATCH($L$157,$EV$107:$EV$115,0),MATCH(A151,$EW$106:$GU$106,0),MATCH($G$152,$X$128:$X$131,0)))*C151</f>
        <v>0</v>
      </c>
      <c r="AG143" s="61">
        <f>(INDEX(($EW$107:$GU$115,$EW$119:$GU$127,$EW$132:$GU$140,$EW$144:$GU$152),MATCH($L$158,$EV$107:$EV$115,0),MATCH(A151,$EW$106:$GU$106,0),MATCH($G$152,$X$128:$X$131,0)))*C151</f>
        <v>0</v>
      </c>
      <c r="AH143" s="61">
        <f>(INDEX(($EW$107:$GU$115,$EW$119:$GU$127,$EW$132:$GU$140,$EW$144:$GU$152),MATCH($L$159,$EV$107:$EV$115,0),MATCH(A151,$EW$106:$GU$106,0),MATCH($G$152,$X$128:$X$131,0)))*C151</f>
        <v>0</v>
      </c>
      <c r="AI143" s="61"/>
      <c r="AJ143" s="61">
        <f t="shared" si="104"/>
        <v>0</v>
      </c>
      <c r="AK143" s="61">
        <f t="shared" si="105"/>
        <v>0</v>
      </c>
      <c r="AL143" s="61" t="s">
        <v>12</v>
      </c>
      <c r="AM143" s="61">
        <v>0</v>
      </c>
      <c r="AN143" s="61">
        <v>2</v>
      </c>
      <c r="AO143" s="61">
        <v>0</v>
      </c>
      <c r="AP143" s="61">
        <v>2</v>
      </c>
      <c r="AQ143" s="61">
        <v>4</v>
      </c>
      <c r="AR143" s="61">
        <v>0</v>
      </c>
      <c r="AS143" s="61">
        <v>4</v>
      </c>
      <c r="AT143" s="61">
        <v>2</v>
      </c>
      <c r="AU143" s="61">
        <v>4</v>
      </c>
      <c r="AV143" s="61">
        <v>2</v>
      </c>
      <c r="AW143" s="61">
        <v>0</v>
      </c>
      <c r="AX143" s="61">
        <v>2</v>
      </c>
      <c r="AY143" s="61">
        <v>4</v>
      </c>
      <c r="AZ143" s="61">
        <v>2</v>
      </c>
      <c r="BA143" s="61">
        <v>2</v>
      </c>
      <c r="BB143" s="61">
        <v>0</v>
      </c>
      <c r="BC143" s="61">
        <v>0</v>
      </c>
      <c r="BD143" s="61">
        <v>0</v>
      </c>
      <c r="BE143" s="61">
        <v>2</v>
      </c>
      <c r="BF143" s="61">
        <v>0</v>
      </c>
      <c r="BG143" s="61">
        <v>0</v>
      </c>
      <c r="BH143" s="61">
        <v>0</v>
      </c>
      <c r="BI143" s="61">
        <v>0</v>
      </c>
      <c r="BJ143" s="61">
        <v>0</v>
      </c>
      <c r="BK143" s="61">
        <v>2</v>
      </c>
      <c r="BL143" s="61">
        <v>0</v>
      </c>
      <c r="BM143" s="61">
        <v>0</v>
      </c>
      <c r="BN143" s="61">
        <v>0</v>
      </c>
      <c r="BO143" s="61">
        <v>0</v>
      </c>
      <c r="BP143" s="61">
        <v>0</v>
      </c>
      <c r="BQ143" s="61">
        <v>0</v>
      </c>
      <c r="BR143" s="61">
        <v>0</v>
      </c>
      <c r="BS143" s="61">
        <v>0</v>
      </c>
      <c r="BT143" s="61">
        <v>0</v>
      </c>
      <c r="BU143" s="61">
        <v>0</v>
      </c>
      <c r="BV143" s="61">
        <v>0</v>
      </c>
      <c r="BW143" s="61">
        <v>0</v>
      </c>
      <c r="BX143" s="61">
        <v>0</v>
      </c>
      <c r="BY143" s="61">
        <v>0</v>
      </c>
      <c r="BZ143" s="61">
        <v>0</v>
      </c>
      <c r="CA143" s="61">
        <v>0</v>
      </c>
      <c r="CB143" s="61">
        <v>0</v>
      </c>
      <c r="CC143" s="61">
        <v>4</v>
      </c>
      <c r="CD143" s="61">
        <v>0</v>
      </c>
      <c r="CE143" s="61">
        <v>0</v>
      </c>
      <c r="CF143" s="61">
        <v>0</v>
      </c>
      <c r="CG143" s="61">
        <v>0</v>
      </c>
      <c r="CH143" s="61">
        <v>0</v>
      </c>
      <c r="CI143" s="61">
        <v>0</v>
      </c>
      <c r="CJ143" s="61">
        <v>0</v>
      </c>
      <c r="CK143" s="61">
        <v>0</v>
      </c>
      <c r="CL143" s="61"/>
      <c r="CM143" s="61"/>
      <c r="CN143" s="61">
        <v>0</v>
      </c>
      <c r="CO143" s="61">
        <v>2</v>
      </c>
      <c r="CP143" s="61">
        <v>3</v>
      </c>
      <c r="CQ143" s="61">
        <v>4</v>
      </c>
      <c r="CR143" s="61">
        <v>5</v>
      </c>
      <c r="CS143" s="61">
        <v>6</v>
      </c>
      <c r="CT143" s="61">
        <v>7</v>
      </c>
      <c r="CU143" s="61">
        <v>8</v>
      </c>
      <c r="CV143" s="61">
        <v>9</v>
      </c>
      <c r="CW143" s="61">
        <v>10</v>
      </c>
      <c r="CX143" s="61">
        <v>11</v>
      </c>
      <c r="CY143" s="61">
        <v>12</v>
      </c>
      <c r="CZ143" s="61">
        <v>13</v>
      </c>
      <c r="DA143" s="61">
        <v>14</v>
      </c>
      <c r="DB143" s="61">
        <v>15</v>
      </c>
      <c r="DC143" s="61">
        <v>16</v>
      </c>
      <c r="DD143" s="61">
        <v>17</v>
      </c>
      <c r="DE143" s="61">
        <v>18</v>
      </c>
      <c r="DF143" s="61">
        <v>19</v>
      </c>
      <c r="DG143" s="61">
        <v>20</v>
      </c>
      <c r="DH143" s="61">
        <v>21</v>
      </c>
      <c r="DI143" s="61">
        <v>22</v>
      </c>
      <c r="DJ143" s="61">
        <v>23</v>
      </c>
      <c r="DK143" s="61">
        <v>24</v>
      </c>
      <c r="DL143" s="61">
        <v>25</v>
      </c>
      <c r="DM143" s="61">
        <v>26</v>
      </c>
      <c r="DN143" s="61">
        <v>27</v>
      </c>
      <c r="DO143" s="61">
        <v>28</v>
      </c>
      <c r="DP143" s="61">
        <v>29</v>
      </c>
      <c r="DQ143" s="61">
        <v>30</v>
      </c>
      <c r="DR143" s="61">
        <v>31</v>
      </c>
      <c r="DS143" s="61">
        <v>32</v>
      </c>
      <c r="DT143" s="61">
        <v>33</v>
      </c>
      <c r="DU143" s="61">
        <v>34</v>
      </c>
      <c r="DV143" s="61">
        <v>35</v>
      </c>
      <c r="DW143" s="61">
        <v>36</v>
      </c>
      <c r="DX143" s="61">
        <v>37</v>
      </c>
      <c r="DY143" s="61"/>
      <c r="DZ143" s="61">
        <v>40</v>
      </c>
      <c r="EA143" s="61"/>
      <c r="EB143" s="61">
        <v>2</v>
      </c>
      <c r="EC143" s="61"/>
      <c r="ED143" s="61"/>
      <c r="EE143" s="61"/>
      <c r="EF143" s="61"/>
      <c r="EG143" s="61"/>
      <c r="EH143" s="61"/>
      <c r="EI143" s="61"/>
      <c r="EJ143" s="61"/>
      <c r="EK143" s="61"/>
      <c r="EL143" s="61"/>
      <c r="EM143" s="61"/>
      <c r="EN143" s="61"/>
      <c r="EO143" s="61"/>
      <c r="EP143" s="61"/>
      <c r="EQ143" s="61"/>
      <c r="ER143" s="61"/>
      <c r="ES143" s="61"/>
      <c r="ET143" s="61"/>
      <c r="EU143" s="61"/>
      <c r="EV143" s="61"/>
      <c r="EW143" s="61">
        <v>0</v>
      </c>
      <c r="EX143" s="61">
        <v>1</v>
      </c>
      <c r="EY143" s="61">
        <v>2</v>
      </c>
      <c r="EZ143" s="61">
        <v>3</v>
      </c>
      <c r="FA143" s="61">
        <v>4</v>
      </c>
      <c r="FB143" s="61">
        <v>5</v>
      </c>
      <c r="FC143" s="61">
        <v>6</v>
      </c>
      <c r="FD143" s="61">
        <v>7</v>
      </c>
      <c r="FE143" s="61">
        <v>8</v>
      </c>
      <c r="FF143" s="61">
        <v>9</v>
      </c>
      <c r="FG143" s="61">
        <v>10</v>
      </c>
      <c r="FH143" s="61">
        <v>11</v>
      </c>
      <c r="FI143" s="61">
        <v>12</v>
      </c>
      <c r="FJ143" s="61">
        <v>13</v>
      </c>
      <c r="FK143" s="61">
        <v>14</v>
      </c>
      <c r="FL143" s="61">
        <v>15</v>
      </c>
      <c r="FM143" s="61">
        <v>16</v>
      </c>
      <c r="FN143" s="61">
        <v>17</v>
      </c>
      <c r="FO143" s="61">
        <v>18</v>
      </c>
      <c r="FP143" s="61">
        <v>19</v>
      </c>
      <c r="FQ143" s="61">
        <v>20</v>
      </c>
      <c r="FR143" s="61">
        <v>21</v>
      </c>
      <c r="FS143" s="61">
        <v>22</v>
      </c>
      <c r="FT143" s="61">
        <v>23</v>
      </c>
      <c r="FU143" s="61">
        <v>24</v>
      </c>
      <c r="FV143" s="61">
        <v>25</v>
      </c>
      <c r="FW143" s="61">
        <v>26</v>
      </c>
      <c r="FX143" s="61">
        <v>27</v>
      </c>
      <c r="FY143" s="61">
        <v>28</v>
      </c>
      <c r="FZ143" s="61">
        <v>29</v>
      </c>
      <c r="GA143" s="61">
        <v>30</v>
      </c>
      <c r="GB143" s="61">
        <v>31</v>
      </c>
      <c r="GC143" s="61">
        <v>32</v>
      </c>
      <c r="GD143" s="61">
        <v>33</v>
      </c>
      <c r="GE143" s="61">
        <v>34</v>
      </c>
      <c r="GF143" s="61">
        <v>35</v>
      </c>
      <c r="GG143" s="61">
        <v>36</v>
      </c>
      <c r="GH143" s="61">
        <v>37</v>
      </c>
      <c r="GI143" s="61">
        <v>38</v>
      </c>
      <c r="GJ143" s="61">
        <v>39</v>
      </c>
      <c r="GK143" s="61">
        <v>40</v>
      </c>
      <c r="GL143" s="61">
        <v>41</v>
      </c>
      <c r="GM143" s="61">
        <v>42</v>
      </c>
      <c r="GN143" s="61">
        <v>43</v>
      </c>
      <c r="GO143" s="61">
        <v>44</v>
      </c>
      <c r="GP143" s="61">
        <v>45</v>
      </c>
      <c r="GQ143" s="61">
        <v>46</v>
      </c>
      <c r="GR143" s="61">
        <v>47</v>
      </c>
      <c r="GS143" s="61">
        <v>48</v>
      </c>
      <c r="GT143" s="61">
        <v>49</v>
      </c>
      <c r="GU143" s="61">
        <v>50</v>
      </c>
      <c r="GV143" s="61"/>
      <c r="GW143" s="61"/>
      <c r="GX143" s="61"/>
      <c r="GY143" s="60" t="s">
        <v>710</v>
      </c>
      <c r="GZ143" s="60">
        <v>0</v>
      </c>
      <c r="HA143" s="60">
        <v>2</v>
      </c>
      <c r="HB143" s="60">
        <v>0</v>
      </c>
      <c r="HC143" s="60">
        <v>4</v>
      </c>
      <c r="HD143" s="60">
        <v>2</v>
      </c>
      <c r="HE143" s="60">
        <v>4</v>
      </c>
      <c r="HF143" s="60">
        <v>2</v>
      </c>
      <c r="HG143" s="60">
        <v>0</v>
      </c>
      <c r="HH143" s="60">
        <v>4</v>
      </c>
      <c r="HI143" s="60">
        <v>2</v>
      </c>
      <c r="HJ143" s="60">
        <v>4</v>
      </c>
      <c r="HK143" s="60">
        <v>2</v>
      </c>
      <c r="HL143" s="60">
        <v>0</v>
      </c>
      <c r="HM143" s="60">
        <v>4</v>
      </c>
      <c r="HN143" s="60">
        <v>2</v>
      </c>
      <c r="HO143" s="60">
        <v>4</v>
      </c>
      <c r="HP143" s="60">
        <v>2</v>
      </c>
      <c r="HQ143" s="60">
        <v>0</v>
      </c>
      <c r="HR143" s="60">
        <v>4</v>
      </c>
      <c r="HS143" s="60">
        <v>2</v>
      </c>
      <c r="HT143" s="60">
        <v>4</v>
      </c>
      <c r="HV143" s="60" t="s">
        <v>826</v>
      </c>
      <c r="HW143" s="60">
        <v>0</v>
      </c>
      <c r="HX143" s="60">
        <v>2</v>
      </c>
      <c r="HY143" s="60">
        <v>4</v>
      </c>
      <c r="HZ143" s="60">
        <v>2</v>
      </c>
      <c r="IA143" s="60">
        <v>4</v>
      </c>
      <c r="IB143" s="60">
        <v>0</v>
      </c>
      <c r="IC143" s="60">
        <v>2</v>
      </c>
      <c r="ID143" s="60">
        <v>4</v>
      </c>
      <c r="IE143" s="60">
        <v>2</v>
      </c>
      <c r="IF143" s="60">
        <v>4</v>
      </c>
      <c r="IG143" s="60">
        <v>0</v>
      </c>
      <c r="IH143" s="60">
        <v>2</v>
      </c>
      <c r="II143" s="60">
        <v>4</v>
      </c>
      <c r="IJ143" s="60">
        <v>2</v>
      </c>
      <c r="IK143" s="60">
        <v>4</v>
      </c>
      <c r="IL143" s="60">
        <v>0</v>
      </c>
      <c r="IM143" s="60">
        <v>2</v>
      </c>
      <c r="IN143" s="60">
        <v>0</v>
      </c>
      <c r="IO143" s="60">
        <v>2</v>
      </c>
      <c r="IP143" s="60">
        <v>4</v>
      </c>
      <c r="IQ143" s="60">
        <v>0</v>
      </c>
      <c r="IS143" s="60" t="s">
        <v>826</v>
      </c>
      <c r="IT143" s="60">
        <f t="shared" si="69"/>
        <v>0</v>
      </c>
      <c r="IU143" s="60">
        <f t="shared" si="70"/>
        <v>4</v>
      </c>
      <c r="IV143" s="60">
        <f t="shared" si="71"/>
        <v>8</v>
      </c>
      <c r="IW143" s="60">
        <f t="shared" si="72"/>
        <v>4</v>
      </c>
      <c r="IX143" s="60">
        <f t="shared" si="73"/>
        <v>8</v>
      </c>
      <c r="IY143" s="60">
        <f t="shared" si="74"/>
        <v>0</v>
      </c>
      <c r="IZ143" s="60">
        <f t="shared" si="75"/>
        <v>4</v>
      </c>
      <c r="JA143" s="60">
        <f t="shared" si="76"/>
        <v>8</v>
      </c>
      <c r="JB143" s="60">
        <f t="shared" si="77"/>
        <v>4</v>
      </c>
      <c r="JC143" s="60">
        <f t="shared" si="78"/>
        <v>8</v>
      </c>
      <c r="JD143" s="60">
        <f t="shared" si="79"/>
        <v>0</v>
      </c>
      <c r="JE143" s="60">
        <f t="shared" si="80"/>
        <v>4</v>
      </c>
      <c r="JF143" s="60">
        <f t="shared" si="81"/>
        <v>8</v>
      </c>
      <c r="JG143" s="60">
        <f t="shared" si="82"/>
        <v>4</v>
      </c>
      <c r="JH143" s="60">
        <f t="shared" si="83"/>
        <v>8</v>
      </c>
      <c r="JI143" s="60">
        <f t="shared" si="84"/>
        <v>0</v>
      </c>
      <c r="JJ143" s="60">
        <f t="shared" si="85"/>
        <v>4</v>
      </c>
      <c r="JK143" s="60">
        <f t="shared" si="86"/>
        <v>0</v>
      </c>
      <c r="JL143" s="60">
        <f t="shared" si="87"/>
        <v>4</v>
      </c>
      <c r="JM143" s="60">
        <f t="shared" si="88"/>
        <v>8</v>
      </c>
      <c r="JN143" s="60">
        <f t="shared" si="89"/>
        <v>0</v>
      </c>
    </row>
    <row r="144" spans="1:295" x14ac:dyDescent="0.25">
      <c r="A144" s="8"/>
      <c r="B144" s="5" t="s">
        <v>116</v>
      </c>
      <c r="C144" s="8"/>
      <c r="D144" s="9"/>
      <c r="E144" s="9"/>
      <c r="F144" s="9"/>
      <c r="G144" s="9"/>
      <c r="H144" s="9"/>
      <c r="I144" s="9"/>
      <c r="J144" s="9"/>
      <c r="K144" s="9"/>
      <c r="L144" s="6" t="str">
        <f>IF(E132=$Z$104,"-------",IF(E132=$Z$105,"-------",IF(E132=$Z$106,"-------",IF(E132=$Z$107,"NKZM8E A2",0))))</f>
        <v>-------</v>
      </c>
      <c r="M144" s="11" t="str">
        <f>INDEX(cennik!$C$2:$L$529,MATCH($L144,cennik!$B$2:$B$522,0),MATCH(M$104,cennik!$C$1:$L$1,0))</f>
        <v>-------</v>
      </c>
      <c r="N144" s="11">
        <f>INDEX(cennik!$C$2:$L$529,MATCH($L144,cennik!$B$2:$B$522,0),MATCH(N$104,cennik!$C$1:$L$1,0))</f>
        <v>0</v>
      </c>
      <c r="O144" s="11">
        <f>IF(E132=$Z$104,0,IF(E132=$Z$105,0,IF(E132=$Z$106,0,IF(E132=$Z$107,ROUNDUP((O130*4)/100,0),0))))</f>
        <v>0</v>
      </c>
      <c r="P144" s="34">
        <f>INDEX(cennik!$C$2:$L$529,MATCH($L144,cennik!$B$2:$B$522,0),MATCH(P$104,cennik!$C$1:$L$1,0))</f>
        <v>0</v>
      </c>
      <c r="Q144" s="34">
        <f t="shared" si="108"/>
        <v>0</v>
      </c>
      <c r="R144" s="35">
        <f t="shared" si="100"/>
        <v>0</v>
      </c>
      <c r="S144" s="34">
        <f t="shared" si="110"/>
        <v>0</v>
      </c>
      <c r="T144" s="34">
        <f t="shared" si="109"/>
        <v>0</v>
      </c>
      <c r="U144" s="34">
        <f>INDEX(cennik!$C$2:$L$529,MATCH($L144,cennik!$B$2:$B$522,0),MATCH(U$104,cennik!$C$1:$L$1,0))*O144</f>
        <v>0</v>
      </c>
      <c r="V144" s="61"/>
      <c r="W144" s="142">
        <f t="shared" si="111"/>
        <v>0</v>
      </c>
      <c r="X144" s="61">
        <f t="shared" si="112"/>
        <v>0</v>
      </c>
      <c r="Y144" s="61"/>
      <c r="Z144" s="61">
        <f>(INDEX(($EW$107:$GU$115,$EW$119:$GU$127,$EW$132:$GU$140,$EW$144:$GU$152),MATCH($L$160,$EV$107:$EV$115,0),MATCH(A152,$EW$106:$GU$106,0),MATCH($G$152,$X$128:$X$131,0)))*C152</f>
        <v>0</v>
      </c>
      <c r="AA144" s="61">
        <f>(INDEX(($EW$107:$GU$115,$EW$119:$GU$127,$EW$132:$GU$140,$EW$144:$GU$152),MATCH($L$152,$EV$107:$EV$115,0),MATCH(A152,$EW$106:$GU$106,0),MATCH($G$152,$X$128:$X$131,0)))*C152</f>
        <v>0</v>
      </c>
      <c r="AB144" s="61">
        <f>(INDEX(($EW$107:$GU$115,$EW$119:$GU$127,$EW$132:$GU$140,$EW$144:$GU$152),MATCH($L$153,$EV$107:$EV$115,0),MATCH(A152,$EW$106:$GU$106,0),MATCH($G$152,$X$128:$X$131,0)))*C152</f>
        <v>0</v>
      </c>
      <c r="AC144" s="61">
        <f>(INDEX(($EW$107:$GU$115,$EW$119:$GU$127,$EW$132:$GU$140,$EW$144:$GU$152),MATCH($L$154,$EV$107:$EV$115,0),MATCH(A152,$EW$106:$GU$106,0),MATCH($G$152,$X$128:$X$131,0)))*C152</f>
        <v>0</v>
      </c>
      <c r="AD144" s="61">
        <f>(INDEX(($EW$107:$GU$115,$EW$119:$GU$127,$EW$132:$GU$140,$EW$144:$GU$152),MATCH($L$155,$EV$107:$EV$115,0),MATCH(A152,$EW$106:$GU$106,0),MATCH($G$152,$X$128:$X$131,0)))*C152</f>
        <v>0</v>
      </c>
      <c r="AE144" s="61">
        <f>(INDEX(($EW$107:$GU$115,$EW$119:$GU$127,$EW$132:$GU$140,$EW$144:$GU$152),MATCH($L$156,$EV$107:$EV$115,0),MATCH(A152,$EW$106:$GU$106,0),MATCH($G$152,$X$128:$X$131,0)))*C152</f>
        <v>0</v>
      </c>
      <c r="AF144" s="61">
        <f>(INDEX(($EW$107:$GU$115,$EW$119:$GU$127,$EW$132:$GU$140,$EW$144:$GU$152),MATCH($L$157,$EV$107:$EV$115,0),MATCH(A152,$EW$106:$GU$106,0),MATCH($G$152,$X$128:$X$131,0)))*C152</f>
        <v>0</v>
      </c>
      <c r="AG144" s="61">
        <f>(INDEX(($EW$107:$GU$115,$EW$119:$GU$127,$EW$132:$GU$140,$EW$144:$GU$152),MATCH($L$158,$EV$107:$EV$115,0),MATCH(A152,$EW$106:$GU$106,0),MATCH($G$152,$X$128:$X$131,0)))*C152</f>
        <v>0</v>
      </c>
      <c r="AH144" s="61">
        <f>(INDEX(($EW$107:$GU$115,$EW$119:$GU$127,$EW$132:$GU$140,$EW$144:$GU$152),MATCH($L$159,$EV$107:$EV$115,0),MATCH(A152,$EW$106:$GU$106,0),MATCH($G$152,$X$128:$X$131,0)))*C152</f>
        <v>0</v>
      </c>
      <c r="AI144" s="61"/>
      <c r="AJ144" s="61">
        <f t="shared" si="104"/>
        <v>0</v>
      </c>
      <c r="AK144" s="61">
        <f t="shared" si="105"/>
        <v>0</v>
      </c>
      <c r="AL144" s="61" t="s">
        <v>127</v>
      </c>
      <c r="AM144" s="61">
        <v>0</v>
      </c>
      <c r="AN144" s="61">
        <v>0</v>
      </c>
      <c r="AO144" s="61">
        <v>0</v>
      </c>
      <c r="AP144" s="61">
        <v>0</v>
      </c>
      <c r="AQ144" s="61">
        <v>0</v>
      </c>
      <c r="AR144" s="61">
        <v>2</v>
      </c>
      <c r="AS144" s="61">
        <v>0</v>
      </c>
      <c r="AT144" s="61">
        <v>0</v>
      </c>
      <c r="AU144" s="61">
        <v>0</v>
      </c>
      <c r="AV144" s="61">
        <v>0</v>
      </c>
      <c r="AW144" s="61">
        <v>0</v>
      </c>
      <c r="AX144" s="61">
        <v>0</v>
      </c>
      <c r="AY144" s="61">
        <v>0</v>
      </c>
      <c r="AZ144" s="61">
        <v>0</v>
      </c>
      <c r="BA144" s="61">
        <v>2</v>
      </c>
      <c r="BB144" s="61">
        <v>0</v>
      </c>
      <c r="BC144" s="61">
        <v>4</v>
      </c>
      <c r="BD144" s="61">
        <v>2</v>
      </c>
      <c r="BE144" s="61">
        <v>2</v>
      </c>
      <c r="BF144" s="61">
        <v>0</v>
      </c>
      <c r="BG144" s="61">
        <v>2</v>
      </c>
      <c r="BH144" s="61">
        <v>0</v>
      </c>
      <c r="BI144" s="61">
        <v>4</v>
      </c>
      <c r="BJ144" s="61">
        <v>0</v>
      </c>
      <c r="BK144" s="61">
        <v>0</v>
      </c>
      <c r="BL144" s="61">
        <v>0</v>
      </c>
      <c r="BM144" s="61">
        <v>2</v>
      </c>
      <c r="BN144" s="61">
        <v>0</v>
      </c>
      <c r="BO144" s="61">
        <v>0</v>
      </c>
      <c r="BP144" s="61">
        <v>0</v>
      </c>
      <c r="BQ144" s="61">
        <v>2</v>
      </c>
      <c r="BR144" s="61">
        <v>0</v>
      </c>
      <c r="BS144" s="61">
        <v>0</v>
      </c>
      <c r="BT144" s="61">
        <v>0</v>
      </c>
      <c r="BU144" s="61">
        <v>2</v>
      </c>
      <c r="BV144" s="61">
        <v>0</v>
      </c>
      <c r="BW144" s="61">
        <v>0</v>
      </c>
      <c r="BX144" s="61">
        <v>0</v>
      </c>
      <c r="BY144" s="61">
        <v>2</v>
      </c>
      <c r="BZ144" s="61">
        <v>0</v>
      </c>
      <c r="CA144" s="61">
        <v>0</v>
      </c>
      <c r="CB144" s="61">
        <v>0</v>
      </c>
      <c r="CC144" s="61">
        <v>0</v>
      </c>
      <c r="CD144" s="61">
        <v>0</v>
      </c>
      <c r="CE144" s="61">
        <v>0</v>
      </c>
      <c r="CF144" s="61">
        <v>0</v>
      </c>
      <c r="CG144" s="61">
        <v>2</v>
      </c>
      <c r="CH144" s="61">
        <v>0</v>
      </c>
      <c r="CI144" s="61">
        <v>0</v>
      </c>
      <c r="CJ144" s="61">
        <v>0</v>
      </c>
      <c r="CK144" s="61">
        <v>2</v>
      </c>
      <c r="CL144" s="61"/>
      <c r="CM144" s="63" t="s">
        <v>202</v>
      </c>
      <c r="CN144" s="61">
        <v>0</v>
      </c>
      <c r="CO144" s="61">
        <v>1</v>
      </c>
      <c r="CP144" s="61">
        <v>1</v>
      </c>
      <c r="CQ144" s="61">
        <v>1</v>
      </c>
      <c r="CR144" s="61">
        <v>2</v>
      </c>
      <c r="CS144" s="61">
        <v>2</v>
      </c>
      <c r="CT144" s="61">
        <v>2</v>
      </c>
      <c r="CU144" s="61">
        <v>3</v>
      </c>
      <c r="CV144" s="61">
        <v>3</v>
      </c>
      <c r="CW144" s="61">
        <v>3</v>
      </c>
      <c r="CX144" s="61">
        <v>4</v>
      </c>
      <c r="CY144" s="61">
        <v>4</v>
      </c>
      <c r="CZ144" s="61">
        <v>4</v>
      </c>
      <c r="DA144" s="61">
        <v>5</v>
      </c>
      <c r="DB144" s="61">
        <v>5</v>
      </c>
      <c r="DC144" s="61">
        <v>5</v>
      </c>
      <c r="DD144" s="61">
        <v>6</v>
      </c>
      <c r="DE144" s="61">
        <v>6</v>
      </c>
      <c r="DF144" s="61">
        <v>6</v>
      </c>
      <c r="DG144" s="61">
        <v>7</v>
      </c>
      <c r="DH144" s="61">
        <v>7</v>
      </c>
      <c r="DI144" s="61">
        <v>7</v>
      </c>
      <c r="DJ144" s="61">
        <v>8</v>
      </c>
      <c r="DK144" s="61">
        <v>8</v>
      </c>
      <c r="DL144" s="61">
        <v>8</v>
      </c>
      <c r="DM144" s="61">
        <v>9</v>
      </c>
      <c r="DN144" s="61">
        <v>9</v>
      </c>
      <c r="DO144" s="61">
        <v>9</v>
      </c>
      <c r="DP144" s="61">
        <v>10</v>
      </c>
      <c r="DQ144" s="61">
        <v>10</v>
      </c>
      <c r="DR144" s="61">
        <v>10</v>
      </c>
      <c r="DS144" s="61">
        <v>11</v>
      </c>
      <c r="DT144" s="61">
        <v>11</v>
      </c>
      <c r="DU144" s="61">
        <v>11</v>
      </c>
      <c r="DV144" s="61">
        <v>12</v>
      </c>
      <c r="DW144" s="61">
        <v>12</v>
      </c>
      <c r="DX144" s="61">
        <v>12</v>
      </c>
      <c r="DY144" s="61"/>
      <c r="DZ144" s="61">
        <v>41</v>
      </c>
      <c r="EA144" s="61"/>
      <c r="EB144" s="61">
        <v>3</v>
      </c>
      <c r="EC144" s="61"/>
      <c r="ED144" s="61"/>
      <c r="EE144" s="61"/>
      <c r="EF144" s="61"/>
      <c r="EG144" s="61"/>
      <c r="EH144" s="61"/>
      <c r="EI144" s="61"/>
      <c r="EJ144" s="61"/>
      <c r="EK144" s="61"/>
      <c r="EL144" s="61"/>
      <c r="EM144" s="61"/>
      <c r="EN144" s="61"/>
      <c r="EO144" s="61"/>
      <c r="EP144" s="61"/>
      <c r="EQ144" s="61"/>
      <c r="ER144" s="61"/>
      <c r="ES144" s="61"/>
      <c r="ET144" s="61"/>
      <c r="EU144" s="61"/>
      <c r="EV144" s="61" t="s">
        <v>210</v>
      </c>
      <c r="EW144" s="61">
        <v>0</v>
      </c>
      <c r="EX144" s="61">
        <v>0</v>
      </c>
      <c r="EY144" s="61">
        <v>0</v>
      </c>
      <c r="EZ144" s="61">
        <v>0</v>
      </c>
      <c r="FA144" s="61">
        <v>0</v>
      </c>
      <c r="FB144" s="61">
        <v>0</v>
      </c>
      <c r="FC144" s="61">
        <v>0</v>
      </c>
      <c r="FD144" s="61">
        <v>2</v>
      </c>
      <c r="FE144" s="61">
        <v>0</v>
      </c>
      <c r="FF144" s="61">
        <v>0</v>
      </c>
      <c r="FG144" s="61">
        <v>2</v>
      </c>
      <c r="FH144" s="61">
        <v>0</v>
      </c>
      <c r="FI144" s="61">
        <v>0</v>
      </c>
      <c r="FJ144" s="61">
        <v>2</v>
      </c>
      <c r="FK144" s="61">
        <v>0</v>
      </c>
      <c r="FL144" s="61">
        <v>0</v>
      </c>
      <c r="FM144" s="61">
        <v>0</v>
      </c>
      <c r="FN144" s="61">
        <v>0</v>
      </c>
      <c r="FO144" s="61">
        <v>0</v>
      </c>
      <c r="FP144" s="61">
        <v>0</v>
      </c>
      <c r="FQ144" s="61">
        <v>0</v>
      </c>
      <c r="FR144" s="61">
        <v>0</v>
      </c>
      <c r="FS144" s="61">
        <v>0</v>
      </c>
      <c r="FT144" s="61">
        <v>0</v>
      </c>
      <c r="FU144" s="61">
        <v>0</v>
      </c>
      <c r="FV144" s="61">
        <v>0</v>
      </c>
      <c r="FW144" s="61">
        <v>0</v>
      </c>
      <c r="FX144" s="61">
        <v>0</v>
      </c>
      <c r="FY144" s="61">
        <v>0</v>
      </c>
      <c r="FZ144" s="61">
        <v>0</v>
      </c>
      <c r="GA144" s="61">
        <v>0</v>
      </c>
      <c r="GB144" s="61">
        <v>0</v>
      </c>
      <c r="GC144" s="61">
        <v>0</v>
      </c>
      <c r="GD144" s="61">
        <v>0</v>
      </c>
      <c r="GE144" s="61">
        <v>0</v>
      </c>
      <c r="GF144" s="61">
        <v>0</v>
      </c>
      <c r="GG144" s="61">
        <v>0</v>
      </c>
      <c r="GH144" s="61">
        <v>0</v>
      </c>
      <c r="GI144" s="61">
        <v>0</v>
      </c>
      <c r="GJ144" s="61">
        <v>0</v>
      </c>
      <c r="GK144" s="61">
        <v>0</v>
      </c>
      <c r="GL144" s="61">
        <v>0</v>
      </c>
      <c r="GM144" s="61">
        <v>0</v>
      </c>
      <c r="GN144" s="61">
        <v>0</v>
      </c>
      <c r="GO144" s="61">
        <v>0</v>
      </c>
      <c r="GP144" s="61">
        <v>0</v>
      </c>
      <c r="GQ144" s="61">
        <v>0</v>
      </c>
      <c r="GR144" s="61">
        <v>0</v>
      </c>
      <c r="GS144" s="61">
        <v>0</v>
      </c>
      <c r="GT144" s="61">
        <v>0</v>
      </c>
      <c r="GU144" s="61">
        <v>0</v>
      </c>
      <c r="GV144" s="61"/>
      <c r="GW144" s="61"/>
      <c r="GX144" s="61"/>
      <c r="GY144" s="60" t="s">
        <v>711</v>
      </c>
      <c r="GZ144" s="60">
        <v>0</v>
      </c>
      <c r="HA144" s="60">
        <v>0</v>
      </c>
      <c r="HB144" s="60">
        <v>2</v>
      </c>
      <c r="HC144" s="60">
        <v>0</v>
      </c>
      <c r="HD144" s="60">
        <v>2</v>
      </c>
      <c r="HE144" s="60">
        <v>2</v>
      </c>
      <c r="HF144" s="60">
        <v>4</v>
      </c>
      <c r="HG144" s="60">
        <v>6</v>
      </c>
      <c r="HH144" s="60">
        <v>4</v>
      </c>
      <c r="HI144" s="60">
        <v>6</v>
      </c>
      <c r="HJ144" s="60">
        <v>6</v>
      </c>
      <c r="HK144" s="60">
        <v>8</v>
      </c>
      <c r="HL144" s="60">
        <v>10</v>
      </c>
      <c r="HM144" s="60">
        <v>8</v>
      </c>
      <c r="HN144" s="60">
        <v>10</v>
      </c>
      <c r="HO144" s="60">
        <v>10</v>
      </c>
      <c r="HP144" s="60">
        <v>12</v>
      </c>
      <c r="HQ144" s="60">
        <v>14</v>
      </c>
      <c r="HR144" s="60">
        <v>12</v>
      </c>
      <c r="HS144" s="60">
        <v>14</v>
      </c>
      <c r="HT144" s="60">
        <v>14</v>
      </c>
      <c r="HV144" s="60" t="s">
        <v>825</v>
      </c>
      <c r="HW144" s="60">
        <v>0</v>
      </c>
      <c r="HX144" s="60">
        <v>0</v>
      </c>
      <c r="HY144" s="60">
        <v>0</v>
      </c>
      <c r="HZ144" s="60">
        <v>2</v>
      </c>
      <c r="IA144" s="60">
        <v>2</v>
      </c>
      <c r="IB144" s="60">
        <v>6</v>
      </c>
      <c r="IC144" s="60">
        <v>6</v>
      </c>
      <c r="ID144" s="60">
        <v>6</v>
      </c>
      <c r="IE144" s="60">
        <v>8</v>
      </c>
      <c r="IF144" s="60">
        <v>8</v>
      </c>
      <c r="IG144" s="60">
        <v>12</v>
      </c>
      <c r="IH144" s="60">
        <v>12</v>
      </c>
      <c r="II144" s="60">
        <v>12</v>
      </c>
      <c r="IJ144" s="60">
        <v>14</v>
      </c>
      <c r="IK144" s="60">
        <v>14</v>
      </c>
      <c r="IL144" s="60">
        <v>18</v>
      </c>
      <c r="IM144" s="60">
        <v>18</v>
      </c>
      <c r="IN144" s="60">
        <v>20</v>
      </c>
      <c r="IO144" s="60">
        <v>20</v>
      </c>
      <c r="IP144" s="60">
        <v>20</v>
      </c>
      <c r="IQ144" s="60">
        <v>24</v>
      </c>
      <c r="IS144" s="60" t="s">
        <v>825</v>
      </c>
      <c r="IT144" s="60">
        <f t="shared" si="69"/>
        <v>0</v>
      </c>
      <c r="IU144" s="60">
        <f t="shared" si="70"/>
        <v>0</v>
      </c>
      <c r="IV144" s="60">
        <f t="shared" si="71"/>
        <v>0</v>
      </c>
      <c r="IW144" s="60">
        <f t="shared" si="72"/>
        <v>4</v>
      </c>
      <c r="IX144" s="60">
        <f t="shared" si="73"/>
        <v>4</v>
      </c>
      <c r="IY144" s="60">
        <f t="shared" si="74"/>
        <v>12</v>
      </c>
      <c r="IZ144" s="60">
        <f t="shared" si="75"/>
        <v>12</v>
      </c>
      <c r="JA144" s="60">
        <f t="shared" si="76"/>
        <v>12</v>
      </c>
      <c r="JB144" s="60">
        <f t="shared" si="77"/>
        <v>16</v>
      </c>
      <c r="JC144" s="60">
        <f t="shared" si="78"/>
        <v>16</v>
      </c>
      <c r="JD144" s="60">
        <f t="shared" si="79"/>
        <v>24</v>
      </c>
      <c r="JE144" s="60">
        <f t="shared" si="80"/>
        <v>24</v>
      </c>
      <c r="JF144" s="60">
        <f t="shared" si="81"/>
        <v>24</v>
      </c>
      <c r="JG144" s="60">
        <f t="shared" si="82"/>
        <v>28</v>
      </c>
      <c r="JH144" s="60">
        <f t="shared" si="83"/>
        <v>28</v>
      </c>
      <c r="JI144" s="60">
        <f t="shared" si="84"/>
        <v>36</v>
      </c>
      <c r="JJ144" s="60">
        <f t="shared" si="85"/>
        <v>36</v>
      </c>
      <c r="JK144" s="60">
        <f t="shared" si="86"/>
        <v>40</v>
      </c>
      <c r="JL144" s="60">
        <f t="shared" si="87"/>
        <v>40</v>
      </c>
      <c r="JM144" s="60">
        <f t="shared" si="88"/>
        <v>40</v>
      </c>
      <c r="JN144" s="60">
        <f t="shared" si="89"/>
        <v>48</v>
      </c>
      <c r="JQ144" s="63"/>
    </row>
    <row r="145" spans="1:298" x14ac:dyDescent="0.25">
      <c r="A145" s="8"/>
      <c r="B145" s="5"/>
      <c r="C145" s="8"/>
      <c r="D145" s="9"/>
      <c r="E145" s="9"/>
      <c r="F145" s="9"/>
      <c r="G145" s="9"/>
      <c r="H145" s="9"/>
      <c r="I145" s="9"/>
      <c r="J145" s="9"/>
      <c r="K145" s="9"/>
      <c r="L145" s="6" t="str">
        <f>IF(E132=$Z$104,"PC50P",IF(E132=$Z$105,"PC50P",IF(E132=$Z$106,"PC50P",IF(E132=$Z$107,"-------",0))))</f>
        <v>PC50P</v>
      </c>
      <c r="M145" s="11">
        <f>INDEX(cennik!$C$2:$L$529,MATCH($L145,cennik!$B$2:$B$522,0),MATCH(M$104,cennik!$C$1:$L$1,0))</f>
        <v>858434</v>
      </c>
      <c r="N145" s="11" t="str">
        <f>INDEX(cennik!$C$2:$L$529,MATCH($L145,cennik!$B$2:$B$522,0),MATCH(N$104,cennik!$C$1:$L$1,0))</f>
        <v>szt.</v>
      </c>
      <c r="O145" s="11">
        <f>IF(E132=$Z$104,O130*3,IF(E132=$Z$105,O130*3,IF(E132=$Z$106,O130*3,IF(E132=$Z$107,0,0))))</f>
        <v>0</v>
      </c>
      <c r="P145" s="34">
        <f>INDEX(cennik!$C$2:$L$529,MATCH($L145,cennik!$B$2:$B$522,0),MATCH(P$104,cennik!$C$1:$L$1,0))</f>
        <v>5.17</v>
      </c>
      <c r="Q145" s="34">
        <f t="shared" si="108"/>
        <v>0</v>
      </c>
      <c r="R145" s="35">
        <f t="shared" si="100"/>
        <v>0</v>
      </c>
      <c r="S145" s="34">
        <f t="shared" si="110"/>
        <v>5.17</v>
      </c>
      <c r="T145" s="34">
        <f t="shared" si="109"/>
        <v>0</v>
      </c>
      <c r="U145" s="34">
        <f>INDEX(cennik!$C$2:$L$529,MATCH($L145,cennik!$B$2:$B$522,0),MATCH(U$104,cennik!$C$1:$L$1,0))*O145</f>
        <v>0</v>
      </c>
      <c r="V145" s="61"/>
      <c r="W145" s="142">
        <f t="shared" si="111"/>
        <v>0</v>
      </c>
      <c r="X145" s="61">
        <f t="shared" si="112"/>
        <v>0</v>
      </c>
      <c r="Y145" s="61"/>
      <c r="Z145" s="61">
        <f>(INDEX(($EW$107:$GU$115,$EW$119:$GU$127,$EW$132:$GU$140,$EW$144:$GU$152),MATCH($L$160,$EV$107:$EV$115,0),MATCH(A153,$EW$106:$GU$106,0),MATCH($G$152,$X$128:$X$131,0)))*C153</f>
        <v>0</v>
      </c>
      <c r="AA145" s="61">
        <f>(INDEX(($EW$107:$GU$115,$EW$119:$GU$127,$EW$132:$GU$140,$EW$144:$GU$152),MATCH($L$152,$EV$107:$EV$115,0),MATCH(A153,$EW$106:$GU$106,0),MATCH($G$152,$X$128:$X$131,0)))*C153</f>
        <v>0</v>
      </c>
      <c r="AB145" s="61">
        <f>(INDEX(($EW$107:$GU$115,$EW$119:$GU$127,$EW$132:$GU$140,$EW$144:$GU$152),MATCH($L$153,$EV$107:$EV$115,0),MATCH(A153,$EW$106:$GU$106,0),MATCH($G$152,$X$128:$X$131,0)))*C153</f>
        <v>0</v>
      </c>
      <c r="AC145" s="61">
        <f>(INDEX(($EW$107:$GU$115,$EW$119:$GU$127,$EW$132:$GU$140,$EW$144:$GU$152),MATCH($L$154,$EV$107:$EV$115,0),MATCH(A153,$EW$106:$GU$106,0),MATCH($G$152,$X$128:$X$131,0)))*C153</f>
        <v>0</v>
      </c>
      <c r="AD145" s="61">
        <f>(INDEX(($EW$107:$GU$115,$EW$119:$GU$127,$EW$132:$GU$140,$EW$144:$GU$152),MATCH($L$155,$EV$107:$EV$115,0),MATCH(A153,$EW$106:$GU$106,0),MATCH($G$152,$X$128:$X$131,0)))*C153</f>
        <v>0</v>
      </c>
      <c r="AE145" s="61">
        <f>(INDEX(($EW$107:$GU$115,$EW$119:$GU$127,$EW$132:$GU$140,$EW$144:$GU$152),MATCH($L$156,$EV$107:$EV$115,0),MATCH(A153,$EW$106:$GU$106,0),MATCH($G$152,$X$128:$X$131,0)))*C153</f>
        <v>0</v>
      </c>
      <c r="AF145" s="61">
        <f>(INDEX(($EW$107:$GU$115,$EW$119:$GU$127,$EW$132:$GU$140,$EW$144:$GU$152),MATCH($L$157,$EV$107:$EV$115,0),MATCH(A153,$EW$106:$GU$106,0),MATCH($G$152,$X$128:$X$131,0)))*C153</f>
        <v>0</v>
      </c>
      <c r="AG145" s="61">
        <f>(INDEX(($EW$107:$GU$115,$EW$119:$GU$127,$EW$132:$GU$140,$EW$144:$GU$152),MATCH($L$158,$EV$107:$EV$115,0),MATCH(A153,$EW$106:$GU$106,0),MATCH($G$152,$X$128:$X$131,0)))*C153</f>
        <v>0</v>
      </c>
      <c r="AH145" s="61">
        <f>(INDEX(($EW$107:$GU$115,$EW$119:$GU$127,$EW$132:$GU$140,$EW$144:$GU$152),MATCH($L$159,$EV$107:$EV$115,0),MATCH(A153,$EW$106:$GU$106,0),MATCH($G$152,$X$128:$X$131,0)))*C153</f>
        <v>0</v>
      </c>
      <c r="AI145" s="61"/>
      <c r="AJ145" s="61">
        <f>IF(A118&lt;=1,0,IF(A118&gt;1,A118-1,0))</f>
        <v>0</v>
      </c>
      <c r="AK145" s="61">
        <f t="shared" si="105"/>
        <v>0</v>
      </c>
      <c r="AL145" s="61" t="s">
        <v>15</v>
      </c>
      <c r="AM145" s="61">
        <v>0</v>
      </c>
      <c r="AN145" s="61">
        <v>0</v>
      </c>
      <c r="AO145" s="61">
        <v>0</v>
      </c>
      <c r="AP145" s="61">
        <v>2</v>
      </c>
      <c r="AQ145" s="61">
        <v>2</v>
      </c>
      <c r="AR145" s="61">
        <v>4</v>
      </c>
      <c r="AS145" s="61">
        <v>4</v>
      </c>
      <c r="AT145" s="61">
        <v>2</v>
      </c>
      <c r="AU145" s="61">
        <v>6</v>
      </c>
      <c r="AV145" s="61">
        <v>2</v>
      </c>
      <c r="AW145" s="61">
        <v>10</v>
      </c>
      <c r="AX145" s="61">
        <v>0</v>
      </c>
      <c r="AY145" s="61">
        <v>8</v>
      </c>
      <c r="AZ145" s="61">
        <v>0</v>
      </c>
      <c r="BA145" s="61">
        <v>6</v>
      </c>
      <c r="BB145" s="61">
        <v>14</v>
      </c>
      <c r="BC145" s="61">
        <v>6</v>
      </c>
      <c r="BD145" s="61">
        <v>2</v>
      </c>
      <c r="BE145" s="61">
        <v>4</v>
      </c>
      <c r="BF145" s="61">
        <v>12</v>
      </c>
      <c r="BG145" s="61">
        <v>20</v>
      </c>
      <c r="BH145" s="61">
        <v>12</v>
      </c>
      <c r="BI145" s="61">
        <v>8</v>
      </c>
      <c r="BJ145" s="61">
        <v>10</v>
      </c>
      <c r="BK145" s="61">
        <v>16</v>
      </c>
      <c r="BL145" s="61">
        <v>10</v>
      </c>
      <c r="BM145" s="61">
        <v>16</v>
      </c>
      <c r="BN145" s="61">
        <v>8</v>
      </c>
      <c r="BO145" s="61">
        <v>30</v>
      </c>
      <c r="BP145" s="61">
        <v>8</v>
      </c>
      <c r="BQ145" s="61">
        <v>14</v>
      </c>
      <c r="BR145" s="61">
        <v>6</v>
      </c>
      <c r="BS145" s="61">
        <v>6</v>
      </c>
      <c r="BT145" s="61">
        <v>6</v>
      </c>
      <c r="BU145" s="61">
        <v>12</v>
      </c>
      <c r="BV145" s="61">
        <v>4</v>
      </c>
      <c r="BW145" s="61">
        <v>26</v>
      </c>
      <c r="BX145" s="61">
        <v>4</v>
      </c>
      <c r="BY145" s="61">
        <v>10</v>
      </c>
      <c r="BZ145" s="61">
        <v>2</v>
      </c>
      <c r="CA145" s="61">
        <v>24</v>
      </c>
      <c r="CB145" s="61">
        <v>2</v>
      </c>
      <c r="CC145" s="61">
        <v>0</v>
      </c>
      <c r="CD145" s="61">
        <v>0</v>
      </c>
      <c r="CE145" s="61">
        <v>22</v>
      </c>
      <c r="CF145" s="61">
        <v>0</v>
      </c>
      <c r="CG145" s="61">
        <v>6</v>
      </c>
      <c r="CH145" s="61">
        <v>0</v>
      </c>
      <c r="CI145" s="61">
        <v>20</v>
      </c>
      <c r="CJ145" s="61">
        <v>0</v>
      </c>
      <c r="CK145" s="61">
        <v>4</v>
      </c>
      <c r="CL145" s="61"/>
      <c r="CM145" s="61"/>
      <c r="CN145" s="61"/>
      <c r="CO145" s="61"/>
      <c r="CP145" s="61"/>
      <c r="CQ145" s="61"/>
      <c r="CR145" s="61"/>
      <c r="CS145" s="61"/>
      <c r="CT145" s="61"/>
      <c r="CU145" s="61"/>
      <c r="CV145" s="61"/>
      <c r="CW145" s="61"/>
      <c r="CX145" s="61"/>
      <c r="CY145" s="61"/>
      <c r="CZ145" s="61"/>
      <c r="DA145" s="61"/>
      <c r="DB145" s="61"/>
      <c r="DC145" s="61"/>
      <c r="DD145" s="61"/>
      <c r="DE145" s="61"/>
      <c r="DF145" s="61"/>
      <c r="DG145" s="61"/>
      <c r="DH145" s="61"/>
      <c r="DI145" s="61"/>
      <c r="DJ145" s="61"/>
      <c r="DK145" s="61"/>
      <c r="DL145" s="61"/>
      <c r="DM145" s="61"/>
      <c r="DN145" s="61"/>
      <c r="DO145" s="61"/>
      <c r="DP145" s="61"/>
      <c r="DQ145" s="61"/>
      <c r="DR145" s="61"/>
      <c r="DS145" s="61"/>
      <c r="DT145" s="61"/>
      <c r="DU145" s="61"/>
      <c r="DV145" s="61"/>
      <c r="DW145" s="61"/>
      <c r="DX145" s="61"/>
      <c r="DY145" s="61"/>
      <c r="DZ145" s="61">
        <v>42</v>
      </c>
      <c r="EA145" s="61"/>
      <c r="EB145" s="61">
        <v>4</v>
      </c>
      <c r="EC145" s="61"/>
      <c r="ED145" s="61"/>
      <c r="EE145" s="61"/>
      <c r="EF145" s="61"/>
      <c r="EG145" s="61"/>
      <c r="EH145" s="61"/>
      <c r="EI145" s="61"/>
      <c r="EJ145" s="61"/>
      <c r="EK145" s="61"/>
      <c r="EL145" s="61"/>
      <c r="EM145" s="61"/>
      <c r="EN145" s="61"/>
      <c r="EO145" s="61"/>
      <c r="EP145" s="61"/>
      <c r="EQ145" s="61"/>
      <c r="ER145" s="61"/>
      <c r="ES145" s="61"/>
      <c r="ET145" s="61"/>
      <c r="EU145" s="61"/>
      <c r="EV145" s="61" t="s">
        <v>9</v>
      </c>
      <c r="EW145" s="61">
        <v>0</v>
      </c>
      <c r="EX145" s="61">
        <v>0</v>
      </c>
      <c r="EY145" s="61">
        <v>4</v>
      </c>
      <c r="EZ145" s="61">
        <v>0</v>
      </c>
      <c r="FA145" s="61">
        <v>2</v>
      </c>
      <c r="FB145" s="61">
        <v>0</v>
      </c>
      <c r="FC145" s="61">
        <v>0</v>
      </c>
      <c r="FD145" s="61">
        <v>0</v>
      </c>
      <c r="FE145" s="61">
        <v>0</v>
      </c>
      <c r="FF145" s="61">
        <v>0</v>
      </c>
      <c r="FG145" s="61">
        <v>0</v>
      </c>
      <c r="FH145" s="61">
        <v>0</v>
      </c>
      <c r="FI145" s="61">
        <v>0</v>
      </c>
      <c r="FJ145" s="61">
        <v>0</v>
      </c>
      <c r="FK145" s="61">
        <v>0</v>
      </c>
      <c r="FL145" s="61">
        <v>0</v>
      </c>
      <c r="FM145" s="61">
        <v>0</v>
      </c>
      <c r="FN145" s="61">
        <v>0</v>
      </c>
      <c r="FO145" s="61">
        <v>0</v>
      </c>
      <c r="FP145" s="61">
        <v>0</v>
      </c>
      <c r="FQ145" s="61">
        <v>0</v>
      </c>
      <c r="FR145" s="61">
        <v>0</v>
      </c>
      <c r="FS145" s="61">
        <v>0</v>
      </c>
      <c r="FT145" s="61">
        <v>0</v>
      </c>
      <c r="FU145" s="61">
        <v>0</v>
      </c>
      <c r="FV145" s="61">
        <v>0</v>
      </c>
      <c r="FW145" s="61">
        <v>0</v>
      </c>
      <c r="FX145" s="61">
        <v>0</v>
      </c>
      <c r="FY145" s="61">
        <v>0</v>
      </c>
      <c r="FZ145" s="61">
        <v>0</v>
      </c>
      <c r="GA145" s="61">
        <v>0</v>
      </c>
      <c r="GB145" s="61">
        <v>0</v>
      </c>
      <c r="GC145" s="61">
        <v>0</v>
      </c>
      <c r="GD145" s="61">
        <v>0</v>
      </c>
      <c r="GE145" s="61">
        <v>0</v>
      </c>
      <c r="GF145" s="61">
        <v>0</v>
      </c>
      <c r="GG145" s="61">
        <v>0</v>
      </c>
      <c r="GH145" s="61">
        <v>0</v>
      </c>
      <c r="GI145" s="61">
        <v>0</v>
      </c>
      <c r="GJ145" s="61">
        <v>0</v>
      </c>
      <c r="GK145" s="61">
        <v>0</v>
      </c>
      <c r="GL145" s="61">
        <v>0</v>
      </c>
      <c r="GM145" s="61">
        <v>0</v>
      </c>
      <c r="GN145" s="61">
        <v>0</v>
      </c>
      <c r="GO145" s="61">
        <v>0</v>
      </c>
      <c r="GP145" s="61">
        <v>0</v>
      </c>
      <c r="GQ145" s="61">
        <v>0</v>
      </c>
      <c r="GR145" s="61">
        <v>0</v>
      </c>
      <c r="GS145" s="61">
        <v>0</v>
      </c>
      <c r="GT145" s="61">
        <v>0</v>
      </c>
      <c r="GU145" s="61">
        <v>0</v>
      </c>
      <c r="GV145" s="61"/>
      <c r="GW145" s="61"/>
      <c r="GX145" s="61"/>
      <c r="GY145" s="60" t="s">
        <v>712</v>
      </c>
      <c r="GZ145" s="60">
        <v>0</v>
      </c>
      <c r="HA145" s="60">
        <v>0</v>
      </c>
      <c r="HB145" s="60">
        <v>0</v>
      </c>
      <c r="HC145" s="60">
        <v>2</v>
      </c>
      <c r="HD145" s="60">
        <v>2</v>
      </c>
      <c r="HE145" s="60">
        <v>4</v>
      </c>
      <c r="HF145" s="60">
        <v>4</v>
      </c>
      <c r="HG145" s="60">
        <v>4</v>
      </c>
      <c r="HH145" s="60">
        <v>6</v>
      </c>
      <c r="HI145" s="60">
        <v>6</v>
      </c>
      <c r="HJ145" s="60">
        <v>8</v>
      </c>
      <c r="HK145" s="60">
        <v>8</v>
      </c>
      <c r="HL145" s="60">
        <v>8</v>
      </c>
      <c r="HM145" s="60">
        <v>10</v>
      </c>
      <c r="HN145" s="60">
        <v>10</v>
      </c>
      <c r="HO145" s="60">
        <v>12</v>
      </c>
      <c r="HP145" s="60">
        <v>12</v>
      </c>
      <c r="HQ145" s="60">
        <v>12</v>
      </c>
      <c r="HR145" s="60">
        <v>14</v>
      </c>
      <c r="HS145" s="60">
        <v>14</v>
      </c>
      <c r="HT145" s="60">
        <v>16</v>
      </c>
      <c r="HV145" s="60" t="s">
        <v>853</v>
      </c>
      <c r="HW145" s="60">
        <v>0</v>
      </c>
      <c r="HX145" s="60">
        <v>0</v>
      </c>
      <c r="HY145" s="60">
        <v>2</v>
      </c>
      <c r="HZ145" s="60">
        <v>2</v>
      </c>
      <c r="IA145" s="60">
        <v>4</v>
      </c>
      <c r="IB145" s="60">
        <v>4</v>
      </c>
      <c r="IC145" s="60">
        <v>6</v>
      </c>
      <c r="ID145" s="60">
        <v>8</v>
      </c>
      <c r="IE145" s="60">
        <v>8</v>
      </c>
      <c r="IF145" s="60">
        <v>10</v>
      </c>
      <c r="IG145" s="60">
        <v>10</v>
      </c>
      <c r="IH145" s="60">
        <v>12</v>
      </c>
      <c r="II145" s="60">
        <v>14</v>
      </c>
      <c r="IJ145" s="60">
        <v>14</v>
      </c>
      <c r="IK145" s="60">
        <v>16</v>
      </c>
      <c r="IL145" s="60">
        <v>16</v>
      </c>
      <c r="IM145" s="60">
        <v>18</v>
      </c>
      <c r="IN145" s="60">
        <v>18</v>
      </c>
      <c r="IO145" s="60">
        <v>20</v>
      </c>
      <c r="IP145" s="60">
        <v>22</v>
      </c>
      <c r="IQ145" s="60">
        <v>22</v>
      </c>
      <c r="IS145" s="60" t="s">
        <v>853</v>
      </c>
      <c r="IT145" s="60">
        <f t="shared" si="69"/>
        <v>0</v>
      </c>
      <c r="IU145" s="60">
        <f t="shared" si="70"/>
        <v>0</v>
      </c>
      <c r="IV145" s="60">
        <f t="shared" si="71"/>
        <v>4</v>
      </c>
      <c r="IW145" s="60">
        <f t="shared" si="72"/>
        <v>4</v>
      </c>
      <c r="IX145" s="60">
        <f t="shared" si="73"/>
        <v>8</v>
      </c>
      <c r="IY145" s="60">
        <f t="shared" si="74"/>
        <v>8</v>
      </c>
      <c r="IZ145" s="60">
        <f t="shared" si="75"/>
        <v>12</v>
      </c>
      <c r="JA145" s="60">
        <f t="shared" si="76"/>
        <v>16</v>
      </c>
      <c r="JB145" s="60">
        <f t="shared" si="77"/>
        <v>16</v>
      </c>
      <c r="JC145" s="60">
        <f t="shared" si="78"/>
        <v>20</v>
      </c>
      <c r="JD145" s="60">
        <f t="shared" si="79"/>
        <v>20</v>
      </c>
      <c r="JE145" s="60">
        <f t="shared" si="80"/>
        <v>24</v>
      </c>
      <c r="JF145" s="60">
        <f t="shared" si="81"/>
        <v>28</v>
      </c>
      <c r="JG145" s="60">
        <f t="shared" si="82"/>
        <v>28</v>
      </c>
      <c r="JH145" s="60">
        <f t="shared" si="83"/>
        <v>32</v>
      </c>
      <c r="JI145" s="60">
        <f t="shared" si="84"/>
        <v>32</v>
      </c>
      <c r="JJ145" s="60">
        <f t="shared" si="85"/>
        <v>36</v>
      </c>
      <c r="JK145" s="60">
        <f t="shared" si="86"/>
        <v>36</v>
      </c>
      <c r="JL145" s="60">
        <f t="shared" si="87"/>
        <v>40</v>
      </c>
      <c r="JM145" s="60">
        <f t="shared" si="88"/>
        <v>44</v>
      </c>
      <c r="JN145" s="60">
        <f t="shared" si="89"/>
        <v>44</v>
      </c>
      <c r="JQ145" s="63"/>
      <c r="KG145" s="63"/>
    </row>
    <row r="146" spans="1:298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">
        <v>1005</v>
      </c>
      <c r="M146" s="11">
        <f>INDEX(cennik!$C$2:$L$529,MATCH($L146,cennik!$B$2:$B$522,0),MATCH(M$104,cennik!$C$1:$L$1,0))</f>
        <v>760401</v>
      </c>
      <c r="N146" s="11" t="str">
        <f>INDEX(cennik!$C$2:$L$529,MATCH($L146,cennik!$B$2:$B$522,0),MATCH(N$104,cennik!$C$1:$L$1,0))</f>
        <v>szt.</v>
      </c>
      <c r="O146" s="11">
        <f>O130*2</f>
        <v>0</v>
      </c>
      <c r="P146" s="34">
        <f>INDEX(cennik!$C$2:$L$529,MATCH($L146,cennik!$B$2:$B$522,0),MATCH(P$104,cennik!$C$1:$L$1,0))</f>
        <v>1.97</v>
      </c>
      <c r="Q146" s="34">
        <f t="shared" si="108"/>
        <v>0</v>
      </c>
      <c r="R146" s="35">
        <f t="shared" si="100"/>
        <v>0</v>
      </c>
      <c r="S146" s="34">
        <f t="shared" si="110"/>
        <v>1.97</v>
      </c>
      <c r="T146" s="34">
        <f t="shared" si="109"/>
        <v>0</v>
      </c>
      <c r="U146" s="34">
        <f>INDEX(cennik!$C$2:$L$529,MATCH($L146,cennik!$B$2:$B$522,0),MATCH(U$104,cennik!$C$1:$L$1,0))*O146</f>
        <v>0</v>
      </c>
      <c r="V146" s="61"/>
      <c r="W146" s="142">
        <f t="shared" si="111"/>
        <v>0</v>
      </c>
      <c r="X146" s="61">
        <f t="shared" si="112"/>
        <v>0</v>
      </c>
      <c r="Y146" s="61"/>
      <c r="Z146" s="61">
        <f>(INDEX(($EW$107:$GU$115,$EW$119:$GU$127,$EW$132:$GU$140,$EW$144:$GU$152),MATCH($L$160,$EV$107:$EV$115,0),MATCH(A154,$EW$106:$GU$106,0),MATCH($G$152,$X$128:$X$131,0)))*C154</f>
        <v>0</v>
      </c>
      <c r="AA146" s="61">
        <f>(INDEX(($EW$107:$GU$115,$EW$119:$GU$127,$EW$132:$GU$140,$EW$144:$GU$152),MATCH($L$152,$EV$107:$EV$115,0),MATCH(A154,$EW$106:$GU$106,0),MATCH($G$152,$X$128:$X$131,0)))*C154</f>
        <v>0</v>
      </c>
      <c r="AB146" s="61">
        <f>(INDEX(($EW$107:$GU$115,$EW$119:$GU$127,$EW$132:$GU$140,$EW$144:$GU$152),MATCH($L$153,$EV$107:$EV$115,0),MATCH(A154,$EW$106:$GU$106,0),MATCH($G$152,$X$128:$X$131,0)))*C154</f>
        <v>0</v>
      </c>
      <c r="AC146" s="61">
        <f>(INDEX(($EW$107:$GU$115,$EW$119:$GU$127,$EW$132:$GU$140,$EW$144:$GU$152),MATCH($L$154,$EV$107:$EV$115,0),MATCH(A154,$EW$106:$GU$106,0),MATCH($G$152,$X$128:$X$131,0)))*C154</f>
        <v>0</v>
      </c>
      <c r="AD146" s="61">
        <f>(INDEX(($EW$107:$GU$115,$EW$119:$GU$127,$EW$132:$GU$140,$EW$144:$GU$152),MATCH($L$155,$EV$107:$EV$115,0),MATCH(A154,$EW$106:$GU$106,0),MATCH($G$152,$X$128:$X$131,0)))*C154</f>
        <v>0</v>
      </c>
      <c r="AE146" s="61">
        <f>(INDEX(($EW$107:$GU$115,$EW$119:$GU$127,$EW$132:$GU$140,$EW$144:$GU$152),MATCH($L$156,$EV$107:$EV$115,0),MATCH(A154,$EW$106:$GU$106,0),MATCH($G$152,$X$128:$X$131,0)))*C154</f>
        <v>0</v>
      </c>
      <c r="AF146" s="61">
        <f>(INDEX(($EW$107:$GU$115,$EW$119:$GU$127,$EW$132:$GU$140,$EW$144:$GU$152),MATCH($L$157,$EV$107:$EV$115,0),MATCH(A154,$EW$106:$GU$106,0),MATCH($G$152,$X$128:$X$131,0)))*C154</f>
        <v>0</v>
      </c>
      <c r="AG146" s="61">
        <f>(INDEX(($EW$107:$GU$115,$EW$119:$GU$127,$EW$132:$GU$140,$EW$144:$GU$152),MATCH($L$158,$EV$107:$EV$115,0),MATCH(A154,$EW$106:$GU$106,0),MATCH($G$152,$X$128:$X$131,0)))*C154</f>
        <v>0</v>
      </c>
      <c r="AH146" s="61">
        <f>(INDEX(($EW$107:$GU$115,$EW$119:$GU$127,$EW$132:$GU$140,$EW$144:$GU$152),MATCH($L$159,$EV$107:$EV$115,0),MATCH(A154,$EW$106:$GU$106,0),MATCH($G$152,$X$128:$X$131,0)))*C154</f>
        <v>0</v>
      </c>
      <c r="AI146" s="61"/>
      <c r="AJ146" s="61">
        <f>IF(A119&lt;=1,0,IF(A119&gt;1,A119-1,0))</f>
        <v>0</v>
      </c>
      <c r="AK146" s="61">
        <f t="shared" si="105"/>
        <v>0</v>
      </c>
      <c r="AL146" s="61" t="s">
        <v>19</v>
      </c>
      <c r="AM146" s="61">
        <v>0</v>
      </c>
      <c r="AN146" s="61">
        <v>0</v>
      </c>
      <c r="AO146" s="61">
        <v>0</v>
      </c>
      <c r="AP146" s="61">
        <v>0</v>
      </c>
      <c r="AQ146" s="61">
        <v>0</v>
      </c>
      <c r="AR146" s="61">
        <v>0</v>
      </c>
      <c r="AS146" s="61">
        <v>0</v>
      </c>
      <c r="AT146" s="61">
        <v>4</v>
      </c>
      <c r="AU146" s="61">
        <v>0</v>
      </c>
      <c r="AV146" s="61">
        <v>6</v>
      </c>
      <c r="AW146" s="61">
        <v>0</v>
      </c>
      <c r="AX146" s="61">
        <v>10</v>
      </c>
      <c r="AY146" s="61">
        <v>2</v>
      </c>
      <c r="AZ146" s="61">
        <v>12</v>
      </c>
      <c r="BA146" s="61">
        <v>6</v>
      </c>
      <c r="BB146" s="61">
        <v>2</v>
      </c>
      <c r="BC146" s="61">
        <v>8</v>
      </c>
      <c r="BD146" s="61">
        <v>14</v>
      </c>
      <c r="BE146" s="61">
        <v>12</v>
      </c>
      <c r="BF146" s="61">
        <v>8</v>
      </c>
      <c r="BG146" s="61">
        <v>0</v>
      </c>
      <c r="BH146" s="61">
        <v>10</v>
      </c>
      <c r="BI146" s="61">
        <v>12</v>
      </c>
      <c r="BJ146" s="61">
        <v>14</v>
      </c>
      <c r="BK146" s="61">
        <v>8</v>
      </c>
      <c r="BL146" s="61">
        <v>16</v>
      </c>
      <c r="BM146" s="61">
        <v>10</v>
      </c>
      <c r="BN146" s="61">
        <v>20</v>
      </c>
      <c r="BO146" s="61">
        <v>0</v>
      </c>
      <c r="BP146" s="61">
        <v>22</v>
      </c>
      <c r="BQ146" s="61">
        <v>16</v>
      </c>
      <c r="BR146" s="61">
        <v>26</v>
      </c>
      <c r="BS146" s="61">
        <v>26</v>
      </c>
      <c r="BT146" s="61">
        <v>28</v>
      </c>
      <c r="BU146" s="61">
        <v>22</v>
      </c>
      <c r="BV146" s="61">
        <v>32</v>
      </c>
      <c r="BW146" s="61">
        <v>12</v>
      </c>
      <c r="BX146" s="61">
        <v>34</v>
      </c>
      <c r="BY146" s="61">
        <v>28</v>
      </c>
      <c r="BZ146" s="61">
        <v>38</v>
      </c>
      <c r="CA146" s="61">
        <v>18</v>
      </c>
      <c r="CB146" s="61">
        <v>40</v>
      </c>
      <c r="CC146" s="61">
        <v>40</v>
      </c>
      <c r="CD146" s="61">
        <v>44</v>
      </c>
      <c r="CE146" s="61">
        <v>24</v>
      </c>
      <c r="CF146" s="61">
        <v>46</v>
      </c>
      <c r="CG146" s="61">
        <v>40</v>
      </c>
      <c r="CH146" s="61">
        <v>48</v>
      </c>
      <c r="CI146" s="61">
        <v>30</v>
      </c>
      <c r="CJ146" s="61">
        <v>50</v>
      </c>
      <c r="CK146" s="61">
        <v>46</v>
      </c>
      <c r="CL146" s="61"/>
      <c r="CM146" s="61"/>
      <c r="CN146" s="61">
        <v>0</v>
      </c>
      <c r="CO146" s="61">
        <v>2</v>
      </c>
      <c r="CP146" s="61">
        <v>3</v>
      </c>
      <c r="CQ146" s="61">
        <v>4</v>
      </c>
      <c r="CR146" s="61">
        <v>5</v>
      </c>
      <c r="CS146" s="61">
        <v>6</v>
      </c>
      <c r="CT146" s="61">
        <v>7</v>
      </c>
      <c r="CU146" s="61">
        <v>8</v>
      </c>
      <c r="CV146" s="61">
        <v>9</v>
      </c>
      <c r="CW146" s="61">
        <v>10</v>
      </c>
      <c r="CX146" s="61">
        <v>11</v>
      </c>
      <c r="CY146" s="61">
        <v>12</v>
      </c>
      <c r="CZ146" s="61">
        <v>13</v>
      </c>
      <c r="DA146" s="61">
        <v>14</v>
      </c>
      <c r="DB146" s="61">
        <v>15</v>
      </c>
      <c r="DC146" s="61">
        <v>16</v>
      </c>
      <c r="DD146" s="61">
        <v>17</v>
      </c>
      <c r="DE146" s="61">
        <v>18</v>
      </c>
      <c r="DF146" s="61">
        <v>19</v>
      </c>
      <c r="DG146" s="61">
        <v>20</v>
      </c>
      <c r="DH146" s="61">
        <v>21</v>
      </c>
      <c r="DI146" s="61">
        <v>22</v>
      </c>
      <c r="DJ146" s="61">
        <v>23</v>
      </c>
      <c r="DK146" s="61">
        <v>24</v>
      </c>
      <c r="DL146" s="61">
        <v>25</v>
      </c>
      <c r="DM146" s="61">
        <v>26</v>
      </c>
      <c r="DN146" s="61">
        <v>27</v>
      </c>
      <c r="DO146" s="61">
        <v>28</v>
      </c>
      <c r="DP146" s="61">
        <v>29</v>
      </c>
      <c r="DQ146" s="61">
        <v>30</v>
      </c>
      <c r="DR146" s="61">
        <v>31</v>
      </c>
      <c r="DS146" s="61">
        <v>32</v>
      </c>
      <c r="DT146" s="61">
        <v>33</v>
      </c>
      <c r="DU146" s="61">
        <v>34</v>
      </c>
      <c r="DV146" s="61">
        <v>35</v>
      </c>
      <c r="DW146" s="61">
        <v>36</v>
      </c>
      <c r="DX146" s="61">
        <v>37</v>
      </c>
      <c r="DY146" s="61"/>
      <c r="DZ146" s="61">
        <v>43</v>
      </c>
      <c r="EA146" s="61"/>
      <c r="EB146" s="61">
        <v>5</v>
      </c>
      <c r="EC146" s="61"/>
      <c r="ED146" s="61"/>
      <c r="EE146" s="61"/>
      <c r="EF146" s="61"/>
      <c r="EG146" s="61"/>
      <c r="EH146" s="61"/>
      <c r="EI146" s="61"/>
      <c r="EJ146" s="61"/>
      <c r="EK146" s="61"/>
      <c r="EL146" s="61"/>
      <c r="EM146" s="61"/>
      <c r="EN146" s="61"/>
      <c r="EO146" s="61"/>
      <c r="EP146" s="61"/>
      <c r="EQ146" s="61"/>
      <c r="ER146" s="61"/>
      <c r="ES146" s="61"/>
      <c r="ET146" s="61"/>
      <c r="EU146" s="61"/>
      <c r="EV146" s="61" t="s">
        <v>208</v>
      </c>
      <c r="EW146" s="61">
        <v>0</v>
      </c>
      <c r="EX146" s="61">
        <v>2</v>
      </c>
      <c r="EY146" s="61">
        <v>0</v>
      </c>
      <c r="EZ146" s="61">
        <v>0</v>
      </c>
      <c r="FA146" s="61">
        <v>0</v>
      </c>
      <c r="FB146" s="61">
        <v>0</v>
      </c>
      <c r="FC146" s="61">
        <v>0</v>
      </c>
      <c r="FD146" s="61">
        <v>0</v>
      </c>
      <c r="FE146" s="61">
        <v>0</v>
      </c>
      <c r="FF146" s="61">
        <v>0</v>
      </c>
      <c r="FG146" s="61">
        <v>0</v>
      </c>
      <c r="FH146" s="61">
        <v>0</v>
      </c>
      <c r="FI146" s="61">
        <v>0</v>
      </c>
      <c r="FJ146" s="61">
        <v>0</v>
      </c>
      <c r="FK146" s="61">
        <v>0</v>
      </c>
      <c r="FL146" s="61">
        <v>0</v>
      </c>
      <c r="FM146" s="61">
        <v>0</v>
      </c>
      <c r="FN146" s="61">
        <v>0</v>
      </c>
      <c r="FO146" s="61">
        <v>0</v>
      </c>
      <c r="FP146" s="61">
        <v>0</v>
      </c>
      <c r="FQ146" s="61">
        <v>0</v>
      </c>
      <c r="FR146" s="61">
        <v>0</v>
      </c>
      <c r="FS146" s="61">
        <v>0</v>
      </c>
      <c r="FT146" s="61">
        <v>0</v>
      </c>
      <c r="FU146" s="61">
        <v>0</v>
      </c>
      <c r="FV146" s="61">
        <v>0</v>
      </c>
      <c r="FW146" s="61">
        <v>0</v>
      </c>
      <c r="FX146" s="61">
        <v>0</v>
      </c>
      <c r="FY146" s="61">
        <v>0</v>
      </c>
      <c r="FZ146" s="61">
        <v>0</v>
      </c>
      <c r="GA146" s="61">
        <v>0</v>
      </c>
      <c r="GB146" s="61">
        <v>0</v>
      </c>
      <c r="GC146" s="61">
        <v>0</v>
      </c>
      <c r="GD146" s="61">
        <v>0</v>
      </c>
      <c r="GE146" s="61">
        <v>0</v>
      </c>
      <c r="GF146" s="61">
        <v>0</v>
      </c>
      <c r="GG146" s="61">
        <v>0</v>
      </c>
      <c r="GH146" s="61">
        <v>0</v>
      </c>
      <c r="GI146" s="61">
        <v>0</v>
      </c>
      <c r="GJ146" s="61">
        <v>0</v>
      </c>
      <c r="GK146" s="61">
        <v>0</v>
      </c>
      <c r="GL146" s="61">
        <v>0</v>
      </c>
      <c r="GM146" s="61">
        <v>0</v>
      </c>
      <c r="GN146" s="61">
        <v>0</v>
      </c>
      <c r="GO146" s="61">
        <v>0</v>
      </c>
      <c r="GP146" s="61">
        <v>0</v>
      </c>
      <c r="GQ146" s="61">
        <v>0</v>
      </c>
      <c r="GR146" s="61">
        <v>0</v>
      </c>
      <c r="GS146" s="61">
        <v>0</v>
      </c>
      <c r="GT146" s="61">
        <v>0</v>
      </c>
      <c r="GU146" s="61">
        <v>0</v>
      </c>
      <c r="GV146" s="61"/>
      <c r="GW146" s="61"/>
      <c r="GX146" s="61"/>
      <c r="JQ146" s="63"/>
      <c r="KG146" s="63"/>
    </row>
    <row r="147" spans="1:298" x14ac:dyDescent="0.25">
      <c r="A147" s="9"/>
      <c r="B147" s="6"/>
      <c r="C147" s="9"/>
      <c r="D147" s="9"/>
      <c r="E147" s="9"/>
      <c r="F147" s="9"/>
      <c r="G147" s="9"/>
      <c r="H147" s="9"/>
      <c r="I147" s="9"/>
      <c r="J147" s="9"/>
      <c r="K147" s="9"/>
      <c r="L147" s="6" t="str">
        <f>IF(L133="BUF30","SAM8X25E",IF(L133="BUF30L","SAM8X25E","-------"))</f>
        <v>-------</v>
      </c>
      <c r="M147" s="11" t="str">
        <f>INDEX(cennik!$C$2:$L$529,MATCH($L147,cennik!$B$2:$B$522,0),MATCH(M$104,cennik!$C$1:$L$1,0))</f>
        <v>-------</v>
      </c>
      <c r="N147" s="11">
        <f>INDEX(cennik!$C$2:$L$529,MATCH($L147,cennik!$B$2:$B$522,0),MATCH(N$104,cennik!$C$1:$L$1,0))</f>
        <v>0</v>
      </c>
      <c r="O147" s="11">
        <f>IF(L133="BUF30",O133,IF(L133="BUF30L",O133,0))</f>
        <v>0</v>
      </c>
      <c r="P147" s="34">
        <f>INDEX(cennik!$C$2:$L$529,MATCH($L147,cennik!$B$2:$B$522,0),MATCH(P$104,cennik!$C$1:$L$1,0))</f>
        <v>0</v>
      </c>
      <c r="Q147" s="34">
        <f t="shared" si="108"/>
        <v>0</v>
      </c>
      <c r="R147" s="35">
        <f>$E$110</f>
        <v>0</v>
      </c>
      <c r="S147" s="34">
        <f t="shared" si="110"/>
        <v>0</v>
      </c>
      <c r="T147" s="34">
        <f t="shared" si="109"/>
        <v>0</v>
      </c>
      <c r="U147" s="34">
        <f>INDEX(cennik!$C$2:$L$529,MATCH($L147,cennik!$B$2:$B$522,0),MATCH(U$104,cennik!$C$1:$L$1,0))*O147</f>
        <v>0</v>
      </c>
      <c r="V147" s="61"/>
      <c r="W147" s="142">
        <f t="shared" si="111"/>
        <v>0</v>
      </c>
      <c r="X147" s="61">
        <f t="shared" si="112"/>
        <v>0</v>
      </c>
      <c r="Y147" s="61"/>
      <c r="Z147" s="61">
        <f>(INDEX(($EW$107:$GU$115,$EW$119:$GU$127,$EW$132:$GU$140,$EW$144:$GU$152),MATCH($L$160,$EV$107:$EV$115,0),MATCH(A155,$EW$106:$GU$106,0),MATCH($G$152,$X$128:$X$131,0)))*C155</f>
        <v>0</v>
      </c>
      <c r="AA147" s="61">
        <f>(INDEX(($EW$107:$GU$115,$EW$119:$GU$127,$EW$132:$GU$140,$EW$144:$GU$152),MATCH($L$152,$EV$107:$EV$115,0),MATCH(A155,$EW$106:$GU$106,0),MATCH($G$152,$X$128:$X$131,0)))*C155</f>
        <v>0</v>
      </c>
      <c r="AB147" s="61">
        <f>(INDEX(($EW$107:$GU$115,$EW$119:$GU$127,$EW$132:$GU$140,$EW$144:$GU$152),MATCH($L$153,$EV$107:$EV$115,0),MATCH(A155,$EW$106:$GU$106,0),MATCH($G$152,$X$128:$X$131,0)))*C155</f>
        <v>0</v>
      </c>
      <c r="AC147" s="61">
        <f>(INDEX(($EW$107:$GU$115,$EW$119:$GU$127,$EW$132:$GU$140,$EW$144:$GU$152),MATCH($L$154,$EV$107:$EV$115,0),MATCH(A155,$EW$106:$GU$106,0),MATCH($G$152,$X$128:$X$131,0)))*C155</f>
        <v>0</v>
      </c>
      <c r="AD147" s="61">
        <f>(INDEX(($EW$107:$GU$115,$EW$119:$GU$127,$EW$132:$GU$140,$EW$144:$GU$152),MATCH($L$155,$EV$107:$EV$115,0),MATCH(A155,$EW$106:$GU$106,0),MATCH($G$152,$X$128:$X$131,0)))*C155</f>
        <v>0</v>
      </c>
      <c r="AE147" s="61">
        <f>(INDEX(($EW$107:$GU$115,$EW$119:$GU$127,$EW$132:$GU$140,$EW$144:$GU$152),MATCH($L$156,$EV$107:$EV$115,0),MATCH(A155,$EW$106:$GU$106,0),MATCH($G$152,$X$128:$X$131,0)))*C155</f>
        <v>0</v>
      </c>
      <c r="AF147" s="61">
        <f>(INDEX(($EW$107:$GU$115,$EW$119:$GU$127,$EW$132:$GU$140,$EW$144:$GU$152),MATCH($L$157,$EV$107:$EV$115,0),MATCH(A155,$EW$106:$GU$106,0),MATCH($G$152,$X$128:$X$131,0)))*C155</f>
        <v>0</v>
      </c>
      <c r="AG147" s="61">
        <f>(INDEX(($EW$107:$GU$115,$EW$119:$GU$127,$EW$132:$GU$140,$EW$144:$GU$152),MATCH($L$158,$EV$107:$EV$115,0),MATCH(A155,$EW$106:$GU$106,0),MATCH($G$152,$X$128:$X$131,0)))*C155</f>
        <v>0</v>
      </c>
      <c r="AH147" s="61">
        <f>(INDEX(($EW$107:$GU$115,$EW$119:$GU$127,$EW$132:$GU$140,$EW$144:$GU$152),MATCH($L$159,$EV$107:$EV$115,0),MATCH(A155,$EW$106:$GU$106,0),MATCH($G$152,$X$128:$X$131,0)))*C155</f>
        <v>0</v>
      </c>
      <c r="AI147" s="61"/>
      <c r="AJ147" s="61"/>
      <c r="AK147" s="61"/>
      <c r="AL147" s="61" t="s">
        <v>408</v>
      </c>
      <c r="AM147" s="61">
        <v>0</v>
      </c>
      <c r="AN147" s="61">
        <f>((((SUM(AN142:AN146))/2)-1))*4</f>
        <v>0</v>
      </c>
      <c r="AO147" s="61">
        <f t="shared" ref="AO147:CK147" si="113">((((SUM(AO142:AO146))/2)-1))*4</f>
        <v>8</v>
      </c>
      <c r="AP147" s="61">
        <f t="shared" si="113"/>
        <v>4</v>
      </c>
      <c r="AQ147" s="61">
        <f t="shared" si="113"/>
        <v>8</v>
      </c>
      <c r="AR147" s="61">
        <f t="shared" si="113"/>
        <v>8</v>
      </c>
      <c r="AS147" s="61">
        <f t="shared" si="113"/>
        <v>12</v>
      </c>
      <c r="AT147" s="61">
        <f t="shared" si="113"/>
        <v>12</v>
      </c>
      <c r="AU147" s="61">
        <f t="shared" si="113"/>
        <v>16</v>
      </c>
      <c r="AV147" s="61">
        <f t="shared" si="113"/>
        <v>16</v>
      </c>
      <c r="AW147" s="61">
        <f t="shared" si="113"/>
        <v>20</v>
      </c>
      <c r="AX147" s="61">
        <f t="shared" si="113"/>
        <v>20</v>
      </c>
      <c r="AY147" s="61">
        <f t="shared" si="113"/>
        <v>24</v>
      </c>
      <c r="AZ147" s="61">
        <f t="shared" si="113"/>
        <v>24</v>
      </c>
      <c r="BA147" s="61">
        <f t="shared" si="113"/>
        <v>28</v>
      </c>
      <c r="BB147" s="61">
        <f t="shared" si="113"/>
        <v>28</v>
      </c>
      <c r="BC147" s="61">
        <f t="shared" si="113"/>
        <v>32</v>
      </c>
      <c r="BD147" s="61">
        <f t="shared" si="113"/>
        <v>32</v>
      </c>
      <c r="BE147" s="61">
        <f t="shared" si="113"/>
        <v>36</v>
      </c>
      <c r="BF147" s="61">
        <f t="shared" si="113"/>
        <v>36</v>
      </c>
      <c r="BG147" s="61">
        <f t="shared" si="113"/>
        <v>40</v>
      </c>
      <c r="BH147" s="61">
        <f t="shared" si="113"/>
        <v>40</v>
      </c>
      <c r="BI147" s="61">
        <f t="shared" si="113"/>
        <v>44</v>
      </c>
      <c r="BJ147" s="61">
        <f t="shared" si="113"/>
        <v>44</v>
      </c>
      <c r="BK147" s="61">
        <f t="shared" si="113"/>
        <v>48</v>
      </c>
      <c r="BL147" s="61">
        <f t="shared" si="113"/>
        <v>48</v>
      </c>
      <c r="BM147" s="61">
        <f t="shared" si="113"/>
        <v>52</v>
      </c>
      <c r="BN147" s="61">
        <f t="shared" si="113"/>
        <v>52</v>
      </c>
      <c r="BO147" s="61">
        <f t="shared" si="113"/>
        <v>56</v>
      </c>
      <c r="BP147" s="61">
        <f t="shared" si="113"/>
        <v>56</v>
      </c>
      <c r="BQ147" s="61">
        <f t="shared" si="113"/>
        <v>60</v>
      </c>
      <c r="BR147" s="61">
        <f t="shared" si="113"/>
        <v>60</v>
      </c>
      <c r="BS147" s="61">
        <f t="shared" si="113"/>
        <v>64</v>
      </c>
      <c r="BT147" s="61">
        <f t="shared" si="113"/>
        <v>64</v>
      </c>
      <c r="BU147" s="61">
        <f t="shared" si="113"/>
        <v>68</v>
      </c>
      <c r="BV147" s="61">
        <f t="shared" si="113"/>
        <v>68</v>
      </c>
      <c r="BW147" s="61">
        <f t="shared" si="113"/>
        <v>72</v>
      </c>
      <c r="BX147" s="61">
        <f t="shared" si="113"/>
        <v>72</v>
      </c>
      <c r="BY147" s="61">
        <f t="shared" si="113"/>
        <v>76</v>
      </c>
      <c r="BZ147" s="61">
        <f t="shared" si="113"/>
        <v>76</v>
      </c>
      <c r="CA147" s="61">
        <f t="shared" si="113"/>
        <v>80</v>
      </c>
      <c r="CB147" s="61">
        <f t="shared" si="113"/>
        <v>80</v>
      </c>
      <c r="CC147" s="61">
        <f t="shared" si="113"/>
        <v>84</v>
      </c>
      <c r="CD147" s="61">
        <f t="shared" si="113"/>
        <v>84</v>
      </c>
      <c r="CE147" s="61">
        <f t="shared" si="113"/>
        <v>88</v>
      </c>
      <c r="CF147" s="61">
        <f t="shared" si="113"/>
        <v>88</v>
      </c>
      <c r="CG147" s="61">
        <f t="shared" si="113"/>
        <v>92</v>
      </c>
      <c r="CH147" s="61">
        <f t="shared" si="113"/>
        <v>92</v>
      </c>
      <c r="CI147" s="61">
        <f t="shared" si="113"/>
        <v>96</v>
      </c>
      <c r="CJ147" s="61">
        <f t="shared" si="113"/>
        <v>96</v>
      </c>
      <c r="CK147" s="61">
        <f t="shared" si="113"/>
        <v>100</v>
      </c>
      <c r="CL147" s="61"/>
      <c r="CM147" s="63" t="s">
        <v>227</v>
      </c>
      <c r="CN147" s="61">
        <v>0</v>
      </c>
      <c r="CO147" s="61">
        <v>1</v>
      </c>
      <c r="CP147" s="61">
        <v>1</v>
      </c>
      <c r="CQ147" s="61">
        <v>1</v>
      </c>
      <c r="CR147" s="61">
        <v>2</v>
      </c>
      <c r="CS147" s="61">
        <v>2</v>
      </c>
      <c r="CT147" s="61">
        <v>2</v>
      </c>
      <c r="CU147" s="61">
        <v>3</v>
      </c>
      <c r="CV147" s="61">
        <v>3</v>
      </c>
      <c r="CW147" s="61">
        <v>3</v>
      </c>
      <c r="CX147" s="61">
        <v>4</v>
      </c>
      <c r="CY147" s="61">
        <v>4</v>
      </c>
      <c r="CZ147" s="61">
        <v>4</v>
      </c>
      <c r="DA147" s="61">
        <v>5</v>
      </c>
      <c r="DB147" s="61">
        <v>5</v>
      </c>
      <c r="DC147" s="61">
        <v>5</v>
      </c>
      <c r="DD147" s="61">
        <v>6</v>
      </c>
      <c r="DE147" s="61">
        <v>6</v>
      </c>
      <c r="DF147" s="61">
        <v>6</v>
      </c>
      <c r="DG147" s="61">
        <v>7</v>
      </c>
      <c r="DH147" s="61">
        <v>7</v>
      </c>
      <c r="DI147" s="61">
        <v>7</v>
      </c>
      <c r="DJ147" s="61">
        <v>8</v>
      </c>
      <c r="DK147" s="61">
        <v>8</v>
      </c>
      <c r="DL147" s="61">
        <v>8</v>
      </c>
      <c r="DM147" s="61">
        <v>9</v>
      </c>
      <c r="DN147" s="61">
        <v>9</v>
      </c>
      <c r="DO147" s="61">
        <v>9</v>
      </c>
      <c r="DP147" s="61">
        <v>10</v>
      </c>
      <c r="DQ147" s="61">
        <v>10</v>
      </c>
      <c r="DR147" s="61">
        <v>10</v>
      </c>
      <c r="DS147" s="61">
        <v>11</v>
      </c>
      <c r="DT147" s="61">
        <v>11</v>
      </c>
      <c r="DU147" s="61">
        <v>11</v>
      </c>
      <c r="DV147" s="61">
        <v>12</v>
      </c>
      <c r="DW147" s="61">
        <v>12</v>
      </c>
      <c r="DX147" s="61">
        <v>12</v>
      </c>
      <c r="DY147" s="61"/>
      <c r="DZ147" s="61">
        <v>44</v>
      </c>
      <c r="EA147" s="61"/>
      <c r="EB147" s="61"/>
      <c r="EC147" s="61"/>
      <c r="ED147" s="61"/>
      <c r="EE147" s="61"/>
      <c r="EF147" s="61"/>
      <c r="EG147" s="61"/>
      <c r="EH147" s="61"/>
      <c r="EI147" s="61"/>
      <c r="EJ147" s="61"/>
      <c r="EK147" s="61"/>
      <c r="EL147" s="61"/>
      <c r="EM147" s="61"/>
      <c r="EN147" s="61"/>
      <c r="EO147" s="61"/>
      <c r="EP147" s="61"/>
      <c r="EQ147" s="61"/>
      <c r="ER147" s="61"/>
      <c r="ES147" s="61"/>
      <c r="ET147" s="61"/>
      <c r="EU147" s="61"/>
      <c r="EV147" s="61" t="s">
        <v>211</v>
      </c>
      <c r="EW147" s="61">
        <v>0</v>
      </c>
      <c r="EX147" s="61">
        <v>0</v>
      </c>
      <c r="EY147" s="61">
        <v>0</v>
      </c>
      <c r="EZ147" s="61">
        <v>0</v>
      </c>
      <c r="FA147" s="61">
        <v>0</v>
      </c>
      <c r="FB147" s="61">
        <v>0</v>
      </c>
      <c r="FC147" s="61">
        <v>0</v>
      </c>
      <c r="FD147" s="61">
        <v>0</v>
      </c>
      <c r="FE147" s="61">
        <v>0</v>
      </c>
      <c r="FF147" s="61">
        <v>0</v>
      </c>
      <c r="FG147" s="61">
        <v>0</v>
      </c>
      <c r="FH147" s="61">
        <v>0</v>
      </c>
      <c r="FI147" s="61">
        <v>0</v>
      </c>
      <c r="FJ147" s="61">
        <v>0</v>
      </c>
      <c r="FK147" s="61">
        <v>0</v>
      </c>
      <c r="FL147" s="61">
        <v>0</v>
      </c>
      <c r="FM147" s="61">
        <v>0</v>
      </c>
      <c r="FN147" s="61">
        <v>0</v>
      </c>
      <c r="FO147" s="61">
        <v>0</v>
      </c>
      <c r="FP147" s="61">
        <v>0</v>
      </c>
      <c r="FQ147" s="61">
        <v>0</v>
      </c>
      <c r="FR147" s="61">
        <v>0</v>
      </c>
      <c r="FS147" s="61">
        <v>0</v>
      </c>
      <c r="FT147" s="61">
        <v>0</v>
      </c>
      <c r="FU147" s="61">
        <v>0</v>
      </c>
      <c r="FV147" s="61">
        <v>0</v>
      </c>
      <c r="FW147" s="61">
        <v>0</v>
      </c>
      <c r="FX147" s="61">
        <v>0</v>
      </c>
      <c r="FY147" s="61">
        <v>0</v>
      </c>
      <c r="FZ147" s="61">
        <v>0</v>
      </c>
      <c r="GA147" s="61">
        <v>0</v>
      </c>
      <c r="GB147" s="61">
        <v>0</v>
      </c>
      <c r="GC147" s="61">
        <v>0</v>
      </c>
      <c r="GD147" s="61">
        <v>0</v>
      </c>
      <c r="GE147" s="61">
        <v>0</v>
      </c>
      <c r="GF147" s="61">
        <v>0</v>
      </c>
      <c r="GG147" s="61">
        <v>0</v>
      </c>
      <c r="GH147" s="61">
        <v>0</v>
      </c>
      <c r="GI147" s="61">
        <v>0</v>
      </c>
      <c r="GJ147" s="61">
        <v>0</v>
      </c>
      <c r="GK147" s="61">
        <v>0</v>
      </c>
      <c r="GL147" s="61">
        <v>0</v>
      </c>
      <c r="GM147" s="61">
        <v>0</v>
      </c>
      <c r="GN147" s="61">
        <v>0</v>
      </c>
      <c r="GO147" s="61">
        <v>0</v>
      </c>
      <c r="GP147" s="61">
        <v>0</v>
      </c>
      <c r="GQ147" s="61">
        <v>0</v>
      </c>
      <c r="GR147" s="61">
        <v>0</v>
      </c>
      <c r="GS147" s="61">
        <v>0</v>
      </c>
      <c r="GT147" s="61">
        <v>0</v>
      </c>
      <c r="GU147" s="61">
        <v>0</v>
      </c>
      <c r="GV147" s="61"/>
      <c r="GW147" s="61"/>
      <c r="GX147" s="61"/>
      <c r="GY147" s="60" t="s">
        <v>762</v>
      </c>
      <c r="HU147" s="143"/>
      <c r="HV147" s="141" t="s">
        <v>113</v>
      </c>
      <c r="IS147" s="60" t="s">
        <v>113</v>
      </c>
      <c r="KG147" s="63"/>
    </row>
    <row r="148" spans="1:298" x14ac:dyDescent="0.25">
      <c r="A148" s="9"/>
      <c r="B148" s="6"/>
      <c r="C148" s="9"/>
      <c r="D148" s="9"/>
      <c r="E148" s="9"/>
      <c r="F148" s="9"/>
      <c r="G148" s="9"/>
      <c r="H148" s="9"/>
      <c r="I148" s="9"/>
      <c r="J148" s="9"/>
      <c r="K148" s="9"/>
      <c r="L148" s="6" t="str">
        <f>IF(L133="BUF30","NKZM8E A2",IF(L133="BUF30L","NKZM8E A2","-------"))</f>
        <v>-------</v>
      </c>
      <c r="M148" s="11" t="str">
        <f>INDEX(cennik!$C$2:$L$529,MATCH($L148,cennik!$B$2:$B$522,0),MATCH(M$104,cennik!$C$1:$L$1,0))</f>
        <v>-------</v>
      </c>
      <c r="N148" s="11">
        <f>INDEX(cennik!$C$2:$L$529,MATCH($L148,cennik!$B$2:$B$522,0),MATCH(N$104,cennik!$C$1:$L$1,0))</f>
        <v>0</v>
      </c>
      <c r="O148" s="11">
        <f>ROUNDUP((IF(L133="BUF30",O133,IF(L133="BUF30L",O133,0)))/100,0)</f>
        <v>0</v>
      </c>
      <c r="P148" s="34">
        <f>INDEX(cennik!$C$2:$L$529,MATCH($L148,cennik!$B$2:$B$522,0),MATCH(P$104,cennik!$C$1:$L$1,0))</f>
        <v>0</v>
      </c>
      <c r="Q148" s="34">
        <f t="shared" si="108"/>
        <v>0</v>
      </c>
      <c r="R148" s="35">
        <f>$E$110</f>
        <v>0</v>
      </c>
      <c r="S148" s="34">
        <f t="shared" si="110"/>
        <v>0</v>
      </c>
      <c r="T148" s="34">
        <f t="shared" si="109"/>
        <v>0</v>
      </c>
      <c r="U148" s="34">
        <f>INDEX(cennik!$C$2:$L$529,MATCH($L148,cennik!$B$2:$B$522,0),MATCH(U$104,cennik!$C$1:$L$1,0))*O148</f>
        <v>0</v>
      </c>
      <c r="V148" s="61"/>
      <c r="W148" s="142">
        <f t="shared" si="111"/>
        <v>0</v>
      </c>
      <c r="X148" s="61">
        <f t="shared" si="112"/>
        <v>0</v>
      </c>
      <c r="Y148" s="61"/>
      <c r="Z148" s="61">
        <f>(INDEX(($EW$107:$GU$115,$EW$119:$GU$127,$EW$132:$GU$140,$EW$144:$GU$152),MATCH($L$160,$EV$107:$EV$115,0),MATCH(A156,$EW$106:$GU$106,0),MATCH($G$152,$X$128:$X$131,0)))*C156</f>
        <v>0</v>
      </c>
      <c r="AA148" s="61">
        <f>(INDEX(($EW$107:$GU$115,$EW$119:$GU$127,$EW$132:$GU$140,$EW$144:$GU$152),MATCH($L$152,$EV$107:$EV$115,0),MATCH(A156,$EW$106:$GU$106,0),MATCH($G$152,$X$128:$X$131,0)))*C156</f>
        <v>0</v>
      </c>
      <c r="AB148" s="61">
        <f>(INDEX(($EW$107:$GU$115,$EW$119:$GU$127,$EW$132:$GU$140,$EW$144:$GU$152),MATCH($L$153,$EV$107:$EV$115,0),MATCH(A156,$EW$106:$GU$106,0),MATCH($G$152,$X$128:$X$131,0)))*C156</f>
        <v>0</v>
      </c>
      <c r="AC148" s="61">
        <f>(INDEX(($EW$107:$GU$115,$EW$119:$GU$127,$EW$132:$GU$140,$EW$144:$GU$152),MATCH($L$154,$EV$107:$EV$115,0),MATCH(A156,$EW$106:$GU$106,0),MATCH($G$152,$X$128:$X$131,0)))*C156</f>
        <v>0</v>
      </c>
      <c r="AD148" s="61">
        <f>(INDEX(($EW$107:$GU$115,$EW$119:$GU$127,$EW$132:$GU$140,$EW$144:$GU$152),MATCH($L$155,$EV$107:$EV$115,0),MATCH(A156,$EW$106:$GU$106,0),MATCH($G$152,$X$128:$X$131,0)))*C156</f>
        <v>0</v>
      </c>
      <c r="AE148" s="61">
        <f>(INDEX(($EW$107:$GU$115,$EW$119:$GU$127,$EW$132:$GU$140,$EW$144:$GU$152),MATCH($L$156,$EV$107:$EV$115,0),MATCH(A156,$EW$106:$GU$106,0),MATCH($G$152,$X$128:$X$131,0)))*C156</f>
        <v>0</v>
      </c>
      <c r="AF148" s="61">
        <f>(INDEX(($EW$107:$GU$115,$EW$119:$GU$127,$EW$132:$GU$140,$EW$144:$GU$152),MATCH($L$157,$EV$107:$EV$115,0),MATCH(A156,$EW$106:$GU$106,0),MATCH($G$152,$X$128:$X$131,0)))*C156</f>
        <v>0</v>
      </c>
      <c r="AG148" s="61">
        <f>(INDEX(($EW$107:$GU$115,$EW$119:$GU$127,$EW$132:$GU$140,$EW$144:$GU$152),MATCH($L$158,$EV$107:$EV$115,0),MATCH(A156,$EW$106:$GU$106,0),MATCH($G$152,$X$128:$X$131,0)))*C156</f>
        <v>0</v>
      </c>
      <c r="AH148" s="61">
        <f>(INDEX(($EW$107:$GU$115,$EW$119:$GU$127,$EW$132:$GU$140,$EW$144:$GU$152),MATCH($L$159,$EV$107:$EV$115,0),MATCH(A156,$EW$106:$GU$106,0),MATCH($G$152,$X$128:$X$131,0)))*C156</f>
        <v>0</v>
      </c>
      <c r="AI148" s="61"/>
      <c r="AJ148" s="61"/>
      <c r="AK148" s="61"/>
      <c r="AL148" s="61"/>
      <c r="AM148" s="61"/>
      <c r="AN148" s="61"/>
      <c r="AO148" s="61"/>
      <c r="AP148" s="61"/>
      <c r="AQ148" s="61"/>
      <c r="AR148" s="61"/>
      <c r="AS148" s="61"/>
      <c r="AT148" s="61"/>
      <c r="AU148" s="61"/>
      <c r="AV148" s="61"/>
      <c r="AW148" s="61"/>
      <c r="AX148" s="61"/>
      <c r="AY148" s="61"/>
      <c r="AZ148" s="61"/>
      <c r="BA148" s="61"/>
      <c r="BB148" s="61"/>
      <c r="BC148" s="61"/>
      <c r="BD148" s="61"/>
      <c r="BE148" s="61"/>
      <c r="BF148" s="61"/>
      <c r="BG148" s="61"/>
      <c r="BH148" s="61"/>
      <c r="BI148" s="61"/>
      <c r="BJ148" s="61"/>
      <c r="BK148" s="61"/>
      <c r="BL148" s="61"/>
      <c r="BM148" s="61"/>
      <c r="BN148" s="61"/>
      <c r="BO148" s="61"/>
      <c r="BP148" s="61"/>
      <c r="BQ148" s="61"/>
      <c r="BR148" s="61"/>
      <c r="BS148" s="61"/>
      <c r="BT148" s="61"/>
      <c r="BU148" s="61"/>
      <c r="BV148" s="61"/>
      <c r="BW148" s="61"/>
      <c r="BX148" s="61"/>
      <c r="BY148" s="61"/>
      <c r="BZ148" s="61"/>
      <c r="CA148" s="61"/>
      <c r="CB148" s="61"/>
      <c r="CC148" s="61"/>
      <c r="CD148" s="61"/>
      <c r="CE148" s="61"/>
      <c r="CF148" s="61"/>
      <c r="CG148" s="61"/>
      <c r="CH148" s="61"/>
      <c r="CI148" s="61"/>
      <c r="CJ148" s="61"/>
      <c r="CK148" s="61"/>
      <c r="CL148" s="61"/>
      <c r="CM148" s="61"/>
      <c r="CN148" s="61"/>
      <c r="CO148" s="61"/>
      <c r="CP148" s="61"/>
      <c r="CQ148" s="61"/>
      <c r="CR148" s="61"/>
      <c r="CS148" s="61"/>
      <c r="CT148" s="61"/>
      <c r="CU148" s="61"/>
      <c r="CV148" s="61"/>
      <c r="CW148" s="61"/>
      <c r="CX148" s="61"/>
      <c r="CY148" s="61"/>
      <c r="CZ148" s="61"/>
      <c r="DA148" s="61"/>
      <c r="DB148" s="61"/>
      <c r="DC148" s="61"/>
      <c r="DD148" s="61"/>
      <c r="DE148" s="61"/>
      <c r="DF148" s="61"/>
      <c r="DG148" s="61"/>
      <c r="DH148" s="61"/>
      <c r="DI148" s="61"/>
      <c r="DJ148" s="61"/>
      <c r="DK148" s="61"/>
      <c r="DL148" s="61"/>
      <c r="DM148" s="61"/>
      <c r="DN148" s="61"/>
      <c r="DO148" s="61"/>
      <c r="DP148" s="61"/>
      <c r="DQ148" s="61"/>
      <c r="DR148" s="61"/>
      <c r="DS148" s="61"/>
      <c r="DT148" s="61"/>
      <c r="DU148" s="61"/>
      <c r="DV148" s="61"/>
      <c r="DW148" s="61"/>
      <c r="DX148" s="61"/>
      <c r="DY148" s="61"/>
      <c r="DZ148" s="61">
        <v>45</v>
      </c>
      <c r="EA148" s="61"/>
      <c r="EB148" s="61">
        <v>1</v>
      </c>
      <c r="EC148" s="61"/>
      <c r="ED148" s="61"/>
      <c r="EE148" s="61"/>
      <c r="EF148" s="61"/>
      <c r="EG148" s="61"/>
      <c r="EH148" s="61"/>
      <c r="EI148" s="61"/>
      <c r="EJ148" s="61"/>
      <c r="EK148" s="61"/>
      <c r="EL148" s="61"/>
      <c r="EM148" s="61"/>
      <c r="EN148" s="61"/>
      <c r="EO148" s="61"/>
      <c r="EP148" s="61"/>
      <c r="EQ148" s="61"/>
      <c r="ER148" s="61"/>
      <c r="ES148" s="61"/>
      <c r="ET148" s="61"/>
      <c r="EU148" s="61"/>
      <c r="EV148" s="61" t="s">
        <v>293</v>
      </c>
      <c r="EW148" s="61">
        <v>0</v>
      </c>
      <c r="EX148" s="61">
        <v>0</v>
      </c>
      <c r="EY148" s="61">
        <v>0</v>
      </c>
      <c r="EZ148" s="61">
        <v>0</v>
      </c>
      <c r="FA148" s="61">
        <v>0</v>
      </c>
      <c r="FB148" s="61">
        <v>0</v>
      </c>
      <c r="FC148" s="61">
        <v>0</v>
      </c>
      <c r="FD148" s="61">
        <v>0</v>
      </c>
      <c r="FE148" s="61">
        <v>0</v>
      </c>
      <c r="FF148" s="61">
        <v>0</v>
      </c>
      <c r="FG148" s="61">
        <v>0</v>
      </c>
      <c r="FH148" s="61">
        <v>0</v>
      </c>
      <c r="FI148" s="61">
        <v>0</v>
      </c>
      <c r="FJ148" s="61">
        <v>0</v>
      </c>
      <c r="FK148" s="61">
        <v>0</v>
      </c>
      <c r="FL148" s="61">
        <v>0</v>
      </c>
      <c r="FM148" s="61">
        <v>0</v>
      </c>
      <c r="FN148" s="61">
        <v>0</v>
      </c>
      <c r="FO148" s="61">
        <v>0</v>
      </c>
      <c r="FP148" s="61">
        <v>0</v>
      </c>
      <c r="FQ148" s="61">
        <v>0</v>
      </c>
      <c r="FR148" s="61">
        <v>0</v>
      </c>
      <c r="FS148" s="61">
        <v>0</v>
      </c>
      <c r="FT148" s="61">
        <v>0</v>
      </c>
      <c r="FU148" s="61">
        <v>0</v>
      </c>
      <c r="FV148" s="61">
        <v>0</v>
      </c>
      <c r="FW148" s="61">
        <v>0</v>
      </c>
      <c r="FX148" s="61">
        <v>0</v>
      </c>
      <c r="FY148" s="61">
        <v>0</v>
      </c>
      <c r="FZ148" s="61">
        <v>0</v>
      </c>
      <c r="GA148" s="61">
        <v>0</v>
      </c>
      <c r="GB148" s="61">
        <v>0</v>
      </c>
      <c r="GC148" s="61">
        <v>2</v>
      </c>
      <c r="GD148" s="61">
        <v>0</v>
      </c>
      <c r="GE148" s="61">
        <v>0</v>
      </c>
      <c r="GF148" s="61">
        <v>0</v>
      </c>
      <c r="GG148" s="61">
        <v>0</v>
      </c>
      <c r="GH148" s="61">
        <v>0</v>
      </c>
      <c r="GI148" s="61">
        <v>0</v>
      </c>
      <c r="GJ148" s="61">
        <v>0</v>
      </c>
      <c r="GK148" s="61">
        <v>0</v>
      </c>
      <c r="GL148" s="61">
        <v>0</v>
      </c>
      <c r="GM148" s="61">
        <v>2</v>
      </c>
      <c r="GN148" s="61">
        <v>0</v>
      </c>
      <c r="GO148" s="61">
        <v>0</v>
      </c>
      <c r="GP148" s="61">
        <v>0</v>
      </c>
      <c r="GQ148" s="61">
        <v>0</v>
      </c>
      <c r="GR148" s="61">
        <v>0</v>
      </c>
      <c r="GS148" s="61">
        <v>0</v>
      </c>
      <c r="GT148" s="61">
        <v>0</v>
      </c>
      <c r="GU148" s="61">
        <v>0</v>
      </c>
      <c r="GV148" s="61"/>
      <c r="GW148" s="61"/>
      <c r="GX148" s="61"/>
      <c r="GZ148" s="60">
        <v>0</v>
      </c>
      <c r="HA148" s="60">
        <v>1</v>
      </c>
      <c r="HB148" s="60">
        <v>2</v>
      </c>
      <c r="HC148" s="60">
        <v>3</v>
      </c>
      <c r="HD148" s="60">
        <v>4</v>
      </c>
      <c r="HE148" s="60">
        <v>5</v>
      </c>
      <c r="HF148" s="60">
        <v>6</v>
      </c>
      <c r="HG148" s="60">
        <v>7</v>
      </c>
      <c r="HH148" s="60">
        <v>8</v>
      </c>
      <c r="HI148" s="60">
        <v>9</v>
      </c>
      <c r="HJ148" s="60">
        <v>10</v>
      </c>
      <c r="HK148" s="60">
        <v>11</v>
      </c>
      <c r="HL148" s="60">
        <v>12</v>
      </c>
      <c r="HM148" s="60">
        <v>13</v>
      </c>
      <c r="HN148" s="60">
        <v>14</v>
      </c>
      <c r="HO148" s="60">
        <v>15</v>
      </c>
      <c r="HP148" s="60">
        <v>16</v>
      </c>
      <c r="HQ148" s="60">
        <v>17</v>
      </c>
      <c r="HR148" s="60">
        <v>18</v>
      </c>
      <c r="HS148" s="60">
        <v>19</v>
      </c>
      <c r="HT148" s="60">
        <v>20</v>
      </c>
      <c r="HW148" s="60">
        <v>0</v>
      </c>
      <c r="HX148" s="60">
        <v>1</v>
      </c>
      <c r="HY148" s="60">
        <v>2</v>
      </c>
      <c r="HZ148" s="60">
        <v>3</v>
      </c>
      <c r="IA148" s="60">
        <v>4</v>
      </c>
      <c r="IB148" s="60">
        <v>5</v>
      </c>
      <c r="IC148" s="60">
        <v>6</v>
      </c>
      <c r="ID148" s="60">
        <v>7</v>
      </c>
      <c r="IE148" s="60">
        <v>8</v>
      </c>
      <c r="IF148" s="60">
        <v>9</v>
      </c>
      <c r="IG148" s="60">
        <v>10</v>
      </c>
      <c r="IH148" s="60">
        <v>11</v>
      </c>
      <c r="II148" s="60">
        <v>12</v>
      </c>
      <c r="IJ148" s="60">
        <v>13</v>
      </c>
      <c r="IK148" s="60">
        <v>14</v>
      </c>
      <c r="IL148" s="60">
        <v>15</v>
      </c>
      <c r="IM148" s="60">
        <v>16</v>
      </c>
      <c r="IN148" s="60">
        <v>17</v>
      </c>
      <c r="IO148" s="60">
        <v>18</v>
      </c>
      <c r="IP148" s="60">
        <v>19</v>
      </c>
      <c r="IQ148" s="60">
        <v>20</v>
      </c>
      <c r="IT148" s="60">
        <f t="shared" si="69"/>
        <v>0</v>
      </c>
      <c r="IU148" s="60">
        <f t="shared" si="70"/>
        <v>2</v>
      </c>
      <c r="IV148" s="60">
        <f t="shared" si="71"/>
        <v>4</v>
      </c>
      <c r="IW148" s="60">
        <f t="shared" si="72"/>
        <v>6</v>
      </c>
      <c r="IX148" s="60">
        <f t="shared" si="73"/>
        <v>8</v>
      </c>
      <c r="IY148" s="60">
        <f t="shared" si="74"/>
        <v>10</v>
      </c>
      <c r="IZ148" s="60">
        <f t="shared" si="75"/>
        <v>12</v>
      </c>
      <c r="JA148" s="60">
        <f t="shared" si="76"/>
        <v>14</v>
      </c>
      <c r="JB148" s="60">
        <f t="shared" si="77"/>
        <v>16</v>
      </c>
      <c r="JC148" s="60">
        <f t="shared" si="78"/>
        <v>18</v>
      </c>
      <c r="JD148" s="60">
        <f t="shared" si="79"/>
        <v>20</v>
      </c>
      <c r="JE148" s="60">
        <f t="shared" si="80"/>
        <v>22</v>
      </c>
      <c r="JF148" s="60">
        <f t="shared" si="81"/>
        <v>24</v>
      </c>
      <c r="JG148" s="60">
        <f t="shared" si="82"/>
        <v>26</v>
      </c>
      <c r="JH148" s="60">
        <f t="shared" si="83"/>
        <v>28</v>
      </c>
      <c r="JI148" s="60">
        <f t="shared" si="84"/>
        <v>30</v>
      </c>
      <c r="JJ148" s="60">
        <f t="shared" si="85"/>
        <v>32</v>
      </c>
      <c r="JK148" s="60">
        <f t="shared" si="86"/>
        <v>34</v>
      </c>
      <c r="JL148" s="60">
        <f t="shared" si="87"/>
        <v>36</v>
      </c>
      <c r="JM148" s="60">
        <f t="shared" si="88"/>
        <v>38</v>
      </c>
      <c r="JN148" s="60">
        <f t="shared" si="89"/>
        <v>40</v>
      </c>
    </row>
    <row r="149" spans="1:298" x14ac:dyDescent="0.25">
      <c r="A149" s="9"/>
      <c r="B149" s="9"/>
      <c r="C149" s="9"/>
      <c r="D149" s="9"/>
      <c r="E149" s="9"/>
      <c r="F149" s="9"/>
      <c r="G149" s="9"/>
      <c r="H149" s="9"/>
      <c r="I149" s="9"/>
      <c r="J149" s="9"/>
      <c r="K149" s="9"/>
      <c r="L149" s="9"/>
      <c r="M149" s="9"/>
      <c r="N149" s="9"/>
      <c r="O149" s="9"/>
      <c r="P149" s="9"/>
      <c r="Q149" s="9"/>
      <c r="R149" s="9"/>
      <c r="S149" s="9"/>
      <c r="T149" s="34">
        <f>SUM(T130:T148)</f>
        <v>0</v>
      </c>
      <c r="U149" s="34">
        <f>SUM(U130:U148)</f>
        <v>0</v>
      </c>
      <c r="V149" s="61"/>
      <c r="W149" s="142">
        <f t="shared" si="111"/>
        <v>0</v>
      </c>
      <c r="X149" s="61">
        <f t="shared" si="112"/>
        <v>0</v>
      </c>
      <c r="Y149" s="61"/>
      <c r="Z149" s="61">
        <f>(INDEX(($EW$107:$GU$115,$EW$119:$GU$127,$EW$132:$GU$140,$EW$144:$GU$152),MATCH($L$160,$EV$107:$EV$115,0),MATCH(A157,$EW$106:$GU$106,0),MATCH($G$152,$X$128:$X$131,0)))*C157</f>
        <v>0</v>
      </c>
      <c r="AA149" s="61">
        <f>(INDEX(($EW$107:$GU$115,$EW$119:$GU$127,$EW$132:$GU$140,$EW$144:$GU$152),MATCH($L$152,$EV$107:$EV$115,0),MATCH(A157,$EW$106:$GU$106,0),MATCH($G$152,$X$128:$X$131,0)))*C157</f>
        <v>0</v>
      </c>
      <c r="AB149" s="61">
        <f>(INDEX(($EW$107:$GU$115,$EW$119:$GU$127,$EW$132:$GU$140,$EW$144:$GU$152),MATCH($L$153,$EV$107:$EV$115,0),MATCH(A157,$EW$106:$GU$106,0),MATCH($G$152,$X$128:$X$131,0)))*C157</f>
        <v>0</v>
      </c>
      <c r="AC149" s="61">
        <f>(INDEX(($EW$107:$GU$115,$EW$119:$GU$127,$EW$132:$GU$140,$EW$144:$GU$152),MATCH($L$154,$EV$107:$EV$115,0),MATCH(A157,$EW$106:$GU$106,0),MATCH($G$152,$X$128:$X$131,0)))*C157</f>
        <v>0</v>
      </c>
      <c r="AD149" s="61">
        <f>(INDEX(($EW$107:$GU$115,$EW$119:$GU$127,$EW$132:$GU$140,$EW$144:$GU$152),MATCH($L$155,$EV$107:$EV$115,0),MATCH(A157,$EW$106:$GU$106,0),MATCH($G$152,$X$128:$X$131,0)))*C157</f>
        <v>0</v>
      </c>
      <c r="AE149" s="61">
        <f>(INDEX(($EW$107:$GU$115,$EW$119:$GU$127,$EW$132:$GU$140,$EW$144:$GU$152),MATCH($L$156,$EV$107:$EV$115,0),MATCH(A157,$EW$106:$GU$106,0),MATCH($G$152,$X$128:$X$131,0)))*C157</f>
        <v>0</v>
      </c>
      <c r="AF149" s="61">
        <f>(INDEX(($EW$107:$GU$115,$EW$119:$GU$127,$EW$132:$GU$140,$EW$144:$GU$152),MATCH($L$157,$EV$107:$EV$115,0),MATCH(A157,$EW$106:$GU$106,0),MATCH($G$152,$X$128:$X$131,0)))*C157</f>
        <v>0</v>
      </c>
      <c r="AG149" s="61">
        <f>(INDEX(($EW$107:$GU$115,$EW$119:$GU$127,$EW$132:$GU$140,$EW$144:$GU$152),MATCH($L$158,$EV$107:$EV$115,0),MATCH(A157,$EW$106:$GU$106,0),MATCH($G$152,$X$128:$X$131,0)))*C157</f>
        <v>0</v>
      </c>
      <c r="AH149" s="61">
        <f>(INDEX(($EW$107:$GU$115,$EW$119:$GU$127,$EW$132:$GU$140,$EW$144:$GU$152),MATCH($L$159,$EV$107:$EV$115,0),MATCH(A157,$EW$106:$GU$106,0),MATCH($G$152,$X$128:$X$131,0)))*C157</f>
        <v>0</v>
      </c>
      <c r="AI149" s="61"/>
      <c r="AJ149" s="61"/>
      <c r="AK149" s="61"/>
      <c r="AL149" s="61" t="s">
        <v>112</v>
      </c>
      <c r="AM149" s="61"/>
      <c r="AN149" s="61"/>
      <c r="AO149" s="61"/>
      <c r="AP149" s="61"/>
      <c r="AQ149" s="61"/>
      <c r="AR149" s="61"/>
      <c r="AS149" s="61"/>
      <c r="AT149" s="61"/>
      <c r="AU149" s="61"/>
      <c r="AV149" s="61"/>
      <c r="AW149" s="61"/>
      <c r="AX149" s="61"/>
      <c r="AY149" s="61"/>
      <c r="AZ149" s="61"/>
      <c r="BA149" s="61"/>
      <c r="BB149" s="61"/>
      <c r="BC149" s="61"/>
      <c r="BD149" s="61"/>
      <c r="BE149" s="61"/>
      <c r="BF149" s="61"/>
      <c r="BG149" s="61"/>
      <c r="BH149" s="61"/>
      <c r="BI149" s="61"/>
      <c r="BJ149" s="61"/>
      <c r="BK149" s="61"/>
      <c r="BL149" s="61"/>
      <c r="BM149" s="61"/>
      <c r="BN149" s="61"/>
      <c r="BO149" s="61"/>
      <c r="BP149" s="61"/>
      <c r="BQ149" s="61"/>
      <c r="BR149" s="61"/>
      <c r="BS149" s="61"/>
      <c r="BT149" s="61"/>
      <c r="BU149" s="61"/>
      <c r="BV149" s="61"/>
      <c r="BW149" s="61"/>
      <c r="BX149" s="61"/>
      <c r="BY149" s="61"/>
      <c r="BZ149" s="61"/>
      <c r="CA149" s="61"/>
      <c r="CB149" s="61"/>
      <c r="CC149" s="61"/>
      <c r="CD149" s="61"/>
      <c r="CE149" s="61"/>
      <c r="CF149" s="61"/>
      <c r="CG149" s="61"/>
      <c r="CH149" s="61"/>
      <c r="CI149" s="61"/>
      <c r="CJ149" s="61"/>
      <c r="CK149" s="61"/>
      <c r="CL149" s="61"/>
      <c r="CM149" s="61"/>
      <c r="CN149" s="61"/>
      <c r="CO149" s="61"/>
      <c r="CP149" s="61"/>
      <c r="CQ149" s="61"/>
      <c r="CR149" s="61"/>
      <c r="CS149" s="61"/>
      <c r="CT149" s="61"/>
      <c r="CU149" s="61"/>
      <c r="CV149" s="61"/>
      <c r="CW149" s="61"/>
      <c r="CX149" s="61"/>
      <c r="CY149" s="61"/>
      <c r="CZ149" s="61"/>
      <c r="DA149" s="61"/>
      <c r="DB149" s="61"/>
      <c r="DC149" s="61"/>
      <c r="DD149" s="61"/>
      <c r="DE149" s="61"/>
      <c r="DF149" s="61"/>
      <c r="DG149" s="61"/>
      <c r="DH149" s="61"/>
      <c r="DI149" s="61"/>
      <c r="DJ149" s="61"/>
      <c r="DK149" s="61"/>
      <c r="DL149" s="61"/>
      <c r="DM149" s="61"/>
      <c r="DN149" s="61"/>
      <c r="DO149" s="61"/>
      <c r="DP149" s="61"/>
      <c r="DQ149" s="61"/>
      <c r="DR149" s="61"/>
      <c r="DS149" s="61"/>
      <c r="DT149" s="61"/>
      <c r="DU149" s="61"/>
      <c r="DV149" s="61"/>
      <c r="DW149" s="61"/>
      <c r="DX149" s="61"/>
      <c r="DY149" s="61"/>
      <c r="DZ149" s="61">
        <v>46</v>
      </c>
      <c r="EA149" s="61"/>
      <c r="EB149" s="61">
        <v>2</v>
      </c>
      <c r="EC149" s="61"/>
      <c r="ED149" s="61"/>
      <c r="EE149" s="61"/>
      <c r="EF149" s="61"/>
      <c r="EG149" s="61"/>
      <c r="EH149" s="61"/>
      <c r="EI149" s="61"/>
      <c r="EJ149" s="61"/>
      <c r="EK149" s="61"/>
      <c r="EL149" s="61"/>
      <c r="EM149" s="61"/>
      <c r="EN149" s="61"/>
      <c r="EO149" s="61"/>
      <c r="EP149" s="61"/>
      <c r="EQ149" s="61"/>
      <c r="ER149" s="61"/>
      <c r="ES149" s="61"/>
      <c r="ET149" s="61"/>
      <c r="EU149" s="61"/>
      <c r="EV149" s="61" t="s">
        <v>10</v>
      </c>
      <c r="EW149" s="61">
        <v>0</v>
      </c>
      <c r="EX149" s="61">
        <v>0</v>
      </c>
      <c r="EY149" s="61">
        <v>0</v>
      </c>
      <c r="EZ149" s="61">
        <v>0</v>
      </c>
      <c r="FA149" s="61">
        <v>0</v>
      </c>
      <c r="FB149" s="61">
        <v>4</v>
      </c>
      <c r="FC149" s="61">
        <v>0</v>
      </c>
      <c r="FD149" s="61">
        <v>0</v>
      </c>
      <c r="FE149" s="61">
        <v>4</v>
      </c>
      <c r="FF149" s="61">
        <v>0</v>
      </c>
      <c r="FG149" s="61">
        <v>0</v>
      </c>
      <c r="FH149" s="61">
        <v>4</v>
      </c>
      <c r="FI149" s="61">
        <v>2</v>
      </c>
      <c r="FJ149" s="61">
        <v>0</v>
      </c>
      <c r="FK149" s="61">
        <v>4</v>
      </c>
      <c r="FL149" s="61">
        <v>0</v>
      </c>
      <c r="FM149" s="61">
        <v>8</v>
      </c>
      <c r="FN149" s="61">
        <v>6</v>
      </c>
      <c r="FO149" s="61">
        <v>2</v>
      </c>
      <c r="FP149" s="61">
        <v>8</v>
      </c>
      <c r="FQ149" s="61">
        <v>6</v>
      </c>
      <c r="FR149" s="61">
        <v>2</v>
      </c>
      <c r="FS149" s="61">
        <v>0</v>
      </c>
      <c r="FT149" s="61">
        <v>4</v>
      </c>
      <c r="FU149" s="61">
        <v>0</v>
      </c>
      <c r="FV149" s="61">
        <v>0</v>
      </c>
      <c r="FW149" s="61">
        <v>4</v>
      </c>
      <c r="FX149" s="61">
        <v>4</v>
      </c>
      <c r="FY149" s="61">
        <v>0</v>
      </c>
      <c r="FZ149" s="61">
        <v>4</v>
      </c>
      <c r="GA149" s="61">
        <v>2</v>
      </c>
      <c r="GB149" s="61">
        <v>0</v>
      </c>
      <c r="GC149" s="61">
        <v>2</v>
      </c>
      <c r="GD149" s="61">
        <v>2</v>
      </c>
      <c r="GE149" s="61">
        <v>0</v>
      </c>
      <c r="GF149" s="61">
        <v>8</v>
      </c>
      <c r="GG149" s="61">
        <v>4</v>
      </c>
      <c r="GH149" s="61">
        <v>2</v>
      </c>
      <c r="GI149" s="61">
        <v>8</v>
      </c>
      <c r="GJ149" s="61">
        <v>4</v>
      </c>
      <c r="GK149" s="61">
        <v>0</v>
      </c>
      <c r="GL149" s="61">
        <v>0</v>
      </c>
      <c r="GM149" s="61">
        <v>2</v>
      </c>
      <c r="GN149" s="61">
        <v>0</v>
      </c>
      <c r="GO149" s="61">
        <v>0</v>
      </c>
      <c r="GP149" s="61">
        <v>6</v>
      </c>
      <c r="GQ149" s="61">
        <v>2</v>
      </c>
      <c r="GR149" s="61">
        <v>0</v>
      </c>
      <c r="GS149" s="61">
        <v>0</v>
      </c>
      <c r="GT149" s="61">
        <v>2</v>
      </c>
      <c r="GU149" s="61">
        <v>0</v>
      </c>
      <c r="GV149" s="61"/>
      <c r="GW149" s="61"/>
      <c r="GX149" s="61"/>
      <c r="GY149" s="60" t="s">
        <v>710</v>
      </c>
      <c r="GZ149" s="60">
        <v>0</v>
      </c>
      <c r="HA149" s="60">
        <v>2</v>
      </c>
      <c r="HB149" s="60">
        <v>0</v>
      </c>
      <c r="HC149" s="60">
        <v>4</v>
      </c>
      <c r="HD149" s="60">
        <v>0</v>
      </c>
      <c r="HE149" s="60">
        <v>4</v>
      </c>
      <c r="HF149" s="60">
        <v>2</v>
      </c>
      <c r="HG149" s="60">
        <v>0</v>
      </c>
      <c r="HH149" s="60">
        <v>2</v>
      </c>
      <c r="HI149" s="60">
        <v>0</v>
      </c>
      <c r="HJ149" s="60">
        <v>4</v>
      </c>
      <c r="HK149" s="60">
        <v>2</v>
      </c>
      <c r="HL149" s="60">
        <v>0</v>
      </c>
      <c r="HM149" s="60">
        <v>2</v>
      </c>
      <c r="HN149" s="60">
        <v>0</v>
      </c>
      <c r="HO149" s="60">
        <v>4</v>
      </c>
      <c r="HP149" s="60">
        <v>2</v>
      </c>
      <c r="HQ149" s="60">
        <v>4</v>
      </c>
      <c r="HR149" s="60">
        <v>2</v>
      </c>
      <c r="HS149" s="60">
        <v>0</v>
      </c>
      <c r="HT149" s="60">
        <v>4</v>
      </c>
      <c r="HV149" s="141" t="s">
        <v>710</v>
      </c>
      <c r="HW149" s="60">
        <v>0</v>
      </c>
      <c r="HX149" s="60">
        <v>2</v>
      </c>
      <c r="HY149" s="60">
        <v>4</v>
      </c>
      <c r="HZ149" s="60">
        <v>0</v>
      </c>
      <c r="IA149" s="60">
        <v>4</v>
      </c>
      <c r="IB149" s="60">
        <v>0</v>
      </c>
      <c r="IC149" s="60">
        <v>2</v>
      </c>
      <c r="ID149" s="60">
        <v>4</v>
      </c>
      <c r="IE149" s="60">
        <v>0</v>
      </c>
      <c r="IF149" s="60">
        <v>2</v>
      </c>
      <c r="IG149" s="60">
        <v>0</v>
      </c>
      <c r="IH149" s="60">
        <v>2</v>
      </c>
      <c r="II149" s="60">
        <v>4</v>
      </c>
      <c r="IJ149" s="60">
        <v>0</v>
      </c>
      <c r="IK149" s="60">
        <v>2</v>
      </c>
      <c r="IL149" s="60">
        <v>4</v>
      </c>
      <c r="IM149" s="60">
        <v>2</v>
      </c>
      <c r="IN149" s="60">
        <v>4</v>
      </c>
      <c r="IO149" s="60">
        <v>0</v>
      </c>
      <c r="IP149" s="60">
        <v>2</v>
      </c>
      <c r="IQ149" s="60">
        <v>4</v>
      </c>
      <c r="IS149" s="60" t="s">
        <v>710</v>
      </c>
      <c r="IT149" s="60">
        <f t="shared" si="69"/>
        <v>0</v>
      </c>
      <c r="IU149" s="60">
        <f t="shared" si="70"/>
        <v>4</v>
      </c>
      <c r="IV149" s="60">
        <f t="shared" si="71"/>
        <v>8</v>
      </c>
      <c r="IW149" s="60">
        <f t="shared" si="72"/>
        <v>0</v>
      </c>
      <c r="IX149" s="60">
        <f t="shared" si="73"/>
        <v>8</v>
      </c>
      <c r="IY149" s="60">
        <f t="shared" si="74"/>
        <v>0</v>
      </c>
      <c r="IZ149" s="60">
        <f t="shared" si="75"/>
        <v>4</v>
      </c>
      <c r="JA149" s="60">
        <f t="shared" si="76"/>
        <v>8</v>
      </c>
      <c r="JB149" s="60">
        <f t="shared" si="77"/>
        <v>0</v>
      </c>
      <c r="JC149" s="60">
        <f t="shared" si="78"/>
        <v>4</v>
      </c>
      <c r="JD149" s="60">
        <f t="shared" si="79"/>
        <v>0</v>
      </c>
      <c r="JE149" s="60">
        <f t="shared" si="80"/>
        <v>4</v>
      </c>
      <c r="JF149" s="60">
        <f t="shared" si="81"/>
        <v>8</v>
      </c>
      <c r="JG149" s="60">
        <f t="shared" si="82"/>
        <v>0</v>
      </c>
      <c r="JH149" s="60">
        <f t="shared" si="83"/>
        <v>4</v>
      </c>
      <c r="JI149" s="60">
        <f t="shared" si="84"/>
        <v>8</v>
      </c>
      <c r="JJ149" s="60">
        <f t="shared" si="85"/>
        <v>4</v>
      </c>
      <c r="JK149" s="60">
        <f t="shared" si="86"/>
        <v>8</v>
      </c>
      <c r="JL149" s="60">
        <f t="shared" si="87"/>
        <v>0</v>
      </c>
      <c r="JM149" s="60">
        <f t="shared" si="88"/>
        <v>4</v>
      </c>
      <c r="JN149" s="60">
        <f t="shared" si="89"/>
        <v>8</v>
      </c>
    </row>
    <row r="150" spans="1:298" ht="51.75" x14ac:dyDescent="0.25">
      <c r="A150" s="3" t="s">
        <v>120</v>
      </c>
      <c r="B150" s="3"/>
      <c r="C150" s="3" t="s">
        <v>121</v>
      </c>
      <c r="D150" s="9"/>
      <c r="E150" s="9"/>
      <c r="F150" s="9"/>
      <c r="G150" s="9"/>
      <c r="H150" s="9"/>
      <c r="I150" s="9"/>
      <c r="J150" s="9"/>
      <c r="K150" s="9"/>
      <c r="L150" s="360" t="str">
        <f>IF(E154="kotwiona","KONSTRUKCJA DP-DTVKN",IF(E154="balastowa","KONSTRUKCJA DP-DTVBN"))</f>
        <v>KONSTRUKCJA DP-DTVBN</v>
      </c>
      <c r="M150" s="360"/>
      <c r="N150" s="360"/>
      <c r="O150" s="360"/>
      <c r="P150" s="360"/>
      <c r="Q150" s="360"/>
      <c r="R150" s="360"/>
      <c r="S150" s="360"/>
      <c r="T150" s="360"/>
      <c r="U150" s="360"/>
      <c r="V150" s="61"/>
      <c r="W150" s="142">
        <f t="shared" si="111"/>
        <v>0</v>
      </c>
      <c r="X150" s="61">
        <f t="shared" si="112"/>
        <v>0</v>
      </c>
      <c r="Y150" s="61"/>
      <c r="Z150" s="61">
        <f>(INDEX(($EW$107:$GU$115,$EW$119:$GU$127,$EW$132:$GU$140,$EW$144:$GU$152),MATCH($L$160,$EV$107:$EV$115,0),MATCH(A158,$EW$106:$GU$106,0),MATCH($G$152,$X$128:$X$131,0)))*C158</f>
        <v>0</v>
      </c>
      <c r="AA150" s="61">
        <f>(INDEX(($EW$107:$GU$115,$EW$119:$GU$127,$EW$132:$GU$140,$EW$144:$GU$152),MATCH($L$152,$EV$107:$EV$115,0),MATCH(A158,$EW$106:$GU$106,0),MATCH($G$152,$X$128:$X$131,0)))*C158</f>
        <v>0</v>
      </c>
      <c r="AB150" s="61">
        <f>(INDEX(($EW$107:$GU$115,$EW$119:$GU$127,$EW$132:$GU$140,$EW$144:$GU$152),MATCH($L$153,$EV$107:$EV$115,0),MATCH(A158,$EW$106:$GU$106,0),MATCH($G$152,$X$128:$X$131,0)))*C158</f>
        <v>0</v>
      </c>
      <c r="AC150" s="61">
        <f>(INDEX(($EW$107:$GU$115,$EW$119:$GU$127,$EW$132:$GU$140,$EW$144:$GU$152),MATCH($L$154,$EV$107:$EV$115,0),MATCH(A158,$EW$106:$GU$106,0),MATCH($G$152,$X$128:$X$131,0)))*C158</f>
        <v>0</v>
      </c>
      <c r="AD150" s="61">
        <f>(INDEX(($EW$107:$GU$115,$EW$119:$GU$127,$EW$132:$GU$140,$EW$144:$GU$152),MATCH($L$155,$EV$107:$EV$115,0),MATCH(A158,$EW$106:$GU$106,0),MATCH($G$152,$X$128:$X$131,0)))*C158</f>
        <v>0</v>
      </c>
      <c r="AE150" s="61">
        <f>(INDEX(($EW$107:$GU$115,$EW$119:$GU$127,$EW$132:$GU$140,$EW$144:$GU$152),MATCH($L$156,$EV$107:$EV$115,0),MATCH(A158,$EW$106:$GU$106,0),MATCH($G$152,$X$128:$X$131,0)))*C158</f>
        <v>0</v>
      </c>
      <c r="AF150" s="61">
        <f>(INDEX(($EW$107:$GU$115,$EW$119:$GU$127,$EW$132:$GU$140,$EW$144:$GU$152),MATCH($L$157,$EV$107:$EV$115,0),MATCH(A158,$EW$106:$GU$106,0),MATCH($G$152,$X$128:$X$131,0)))*C158</f>
        <v>0</v>
      </c>
      <c r="AG150" s="61">
        <f>(INDEX(($EW$107:$GU$115,$EW$119:$GU$127,$EW$132:$GU$140,$EW$144:$GU$152),MATCH($L$158,$EV$107:$EV$115,0),MATCH(A158,$EW$106:$GU$106,0),MATCH($G$152,$X$128:$X$131,0)))*C158</f>
        <v>0</v>
      </c>
      <c r="AH150" s="61">
        <f>(INDEX(($EW$107:$GU$115,$EW$119:$GU$127,$EW$132:$GU$140,$EW$144:$GU$152),MATCH($L$159,$EV$107:$EV$115,0),MATCH(A158,$EW$106:$GU$106,0),MATCH($G$152,$X$128:$X$131,0)))*C158</f>
        <v>0</v>
      </c>
      <c r="AI150" s="61"/>
      <c r="AJ150" s="61"/>
      <c r="AK150" s="61"/>
      <c r="AL150" s="61"/>
      <c r="AM150" s="61">
        <v>0</v>
      </c>
      <c r="AN150" s="61">
        <v>1</v>
      </c>
      <c r="AO150" s="61">
        <v>2</v>
      </c>
      <c r="AP150" s="61">
        <v>3</v>
      </c>
      <c r="AQ150" s="61">
        <v>4</v>
      </c>
      <c r="AR150" s="61">
        <v>5</v>
      </c>
      <c r="AS150" s="61">
        <v>6</v>
      </c>
      <c r="AT150" s="61">
        <v>7</v>
      </c>
      <c r="AU150" s="61">
        <v>8</v>
      </c>
      <c r="AV150" s="61">
        <v>9</v>
      </c>
      <c r="AW150" s="61">
        <v>10</v>
      </c>
      <c r="AX150" s="61">
        <v>11</v>
      </c>
      <c r="AY150" s="61">
        <v>12</v>
      </c>
      <c r="AZ150" s="61">
        <v>13</v>
      </c>
      <c r="BA150" s="61">
        <v>14</v>
      </c>
      <c r="BB150" s="61">
        <v>15</v>
      </c>
      <c r="BC150" s="61">
        <v>16</v>
      </c>
      <c r="BD150" s="61">
        <v>17</v>
      </c>
      <c r="BE150" s="61">
        <v>18</v>
      </c>
      <c r="BF150" s="61">
        <v>19</v>
      </c>
      <c r="BG150" s="61">
        <v>20</v>
      </c>
      <c r="BH150" s="61">
        <v>21</v>
      </c>
      <c r="BI150" s="61">
        <v>22</v>
      </c>
      <c r="BJ150" s="61">
        <v>23</v>
      </c>
      <c r="BK150" s="61">
        <v>24</v>
      </c>
      <c r="BL150" s="61">
        <v>25</v>
      </c>
      <c r="BM150" s="61">
        <v>26</v>
      </c>
      <c r="BN150" s="61">
        <v>27</v>
      </c>
      <c r="BO150" s="61">
        <v>28</v>
      </c>
      <c r="BP150" s="61">
        <v>29</v>
      </c>
      <c r="BQ150" s="61">
        <v>30</v>
      </c>
      <c r="BR150" s="61">
        <v>31</v>
      </c>
      <c r="BS150" s="61">
        <v>32</v>
      </c>
      <c r="BT150" s="61">
        <v>33</v>
      </c>
      <c r="BU150" s="61">
        <v>34</v>
      </c>
      <c r="BV150" s="61">
        <v>35</v>
      </c>
      <c r="BW150" s="61">
        <v>36</v>
      </c>
      <c r="BX150" s="61">
        <v>37</v>
      </c>
      <c r="BY150" s="61">
        <v>38</v>
      </c>
      <c r="BZ150" s="61">
        <v>39</v>
      </c>
      <c r="CA150" s="61">
        <v>40</v>
      </c>
      <c r="CB150" s="61">
        <v>41</v>
      </c>
      <c r="CC150" s="61">
        <v>42</v>
      </c>
      <c r="CD150" s="61">
        <v>43</v>
      </c>
      <c r="CE150" s="61">
        <v>44</v>
      </c>
      <c r="CF150" s="61">
        <v>45</v>
      </c>
      <c r="CG150" s="61">
        <v>46</v>
      </c>
      <c r="CH150" s="61">
        <v>47</v>
      </c>
      <c r="CI150" s="61">
        <v>48</v>
      </c>
      <c r="CJ150" s="61">
        <v>49</v>
      </c>
      <c r="CK150" s="61">
        <v>50</v>
      </c>
      <c r="CL150" s="61"/>
      <c r="CM150" s="61"/>
      <c r="CN150" s="61"/>
      <c r="CO150" s="61"/>
      <c r="CP150" s="61"/>
      <c r="CQ150" s="61"/>
      <c r="CR150" s="61"/>
      <c r="CS150" s="61"/>
      <c r="CT150" s="61"/>
      <c r="CU150" s="61"/>
      <c r="CV150" s="61"/>
      <c r="CW150" s="61"/>
      <c r="CX150" s="61"/>
      <c r="CY150" s="61"/>
      <c r="CZ150" s="61"/>
      <c r="DA150" s="61"/>
      <c r="DB150" s="61"/>
      <c r="DC150" s="61"/>
      <c r="DD150" s="61"/>
      <c r="DE150" s="61"/>
      <c r="DF150" s="61"/>
      <c r="DG150" s="61"/>
      <c r="DH150" s="61"/>
      <c r="DI150" s="61"/>
      <c r="DJ150" s="61"/>
      <c r="DK150" s="61"/>
      <c r="DL150" s="61"/>
      <c r="DM150" s="61"/>
      <c r="DN150" s="61"/>
      <c r="DO150" s="61"/>
      <c r="DP150" s="61"/>
      <c r="DQ150" s="61"/>
      <c r="DR150" s="61"/>
      <c r="DS150" s="61"/>
      <c r="DT150" s="61"/>
      <c r="DU150" s="61"/>
      <c r="DV150" s="61"/>
      <c r="DW150" s="61"/>
      <c r="DX150" s="61"/>
      <c r="DY150" s="61"/>
      <c r="DZ150" s="61">
        <v>47</v>
      </c>
      <c r="EA150" s="61"/>
      <c r="EB150" s="61" t="s">
        <v>725</v>
      </c>
      <c r="EC150" s="61"/>
      <c r="ED150" s="61"/>
      <c r="EE150" s="61"/>
      <c r="EF150" s="61"/>
      <c r="EG150" s="61"/>
      <c r="EH150" s="61"/>
      <c r="EI150" s="61"/>
      <c r="EJ150" s="61"/>
      <c r="EK150" s="61"/>
      <c r="EL150" s="61"/>
      <c r="EM150" s="61"/>
      <c r="EN150" s="61"/>
      <c r="EO150" s="61"/>
      <c r="EP150" s="61"/>
      <c r="EQ150" s="61"/>
      <c r="ER150" s="61"/>
      <c r="ES150" s="61"/>
      <c r="ET150" s="61"/>
      <c r="EU150" s="61"/>
      <c r="EV150" s="61" t="s">
        <v>212</v>
      </c>
      <c r="EW150" s="61">
        <v>0</v>
      </c>
      <c r="EX150" s="61">
        <v>0</v>
      </c>
      <c r="EY150" s="61">
        <v>0</v>
      </c>
      <c r="EZ150" s="61">
        <v>0</v>
      </c>
      <c r="FA150" s="61">
        <v>0</v>
      </c>
      <c r="FB150" s="61">
        <v>0</v>
      </c>
      <c r="FC150" s="61">
        <v>2</v>
      </c>
      <c r="FD150" s="61">
        <v>0</v>
      </c>
      <c r="FE150" s="61">
        <v>2</v>
      </c>
      <c r="FF150" s="61">
        <v>4</v>
      </c>
      <c r="FG150" s="61">
        <v>2</v>
      </c>
      <c r="FH150" s="61">
        <v>4</v>
      </c>
      <c r="FI150" s="61">
        <v>0</v>
      </c>
      <c r="FJ150" s="61">
        <v>4</v>
      </c>
      <c r="FK150" s="61">
        <v>6</v>
      </c>
      <c r="FL150" s="61">
        <v>8</v>
      </c>
      <c r="FM150" s="61">
        <v>4</v>
      </c>
      <c r="FN150" s="61">
        <v>0</v>
      </c>
      <c r="FO150" s="61">
        <v>2</v>
      </c>
      <c r="FP150" s="61">
        <v>6</v>
      </c>
      <c r="FQ150" s="61">
        <v>2</v>
      </c>
      <c r="FR150" s="61">
        <v>4</v>
      </c>
      <c r="FS150" s="61">
        <v>0</v>
      </c>
      <c r="FT150" s="61">
        <v>10</v>
      </c>
      <c r="FU150" s="61">
        <v>12</v>
      </c>
      <c r="FV150" s="61">
        <v>0</v>
      </c>
      <c r="FW150" s="61">
        <v>12</v>
      </c>
      <c r="FX150" s="61">
        <v>0</v>
      </c>
      <c r="FY150" s="61">
        <v>2</v>
      </c>
      <c r="FZ150" s="61">
        <v>16</v>
      </c>
      <c r="GA150" s="61">
        <v>8</v>
      </c>
      <c r="GB150" s="61">
        <v>4</v>
      </c>
      <c r="GC150" s="61">
        <v>10</v>
      </c>
      <c r="GD150" s="61">
        <v>10</v>
      </c>
      <c r="GE150" s="61">
        <v>6</v>
      </c>
      <c r="GF150" s="61">
        <v>2</v>
      </c>
      <c r="GG150" s="61">
        <v>4</v>
      </c>
      <c r="GH150" s="61">
        <v>0</v>
      </c>
      <c r="GI150" s="61">
        <v>4</v>
      </c>
      <c r="GJ150" s="61">
        <v>6</v>
      </c>
      <c r="GK150" s="61">
        <v>8</v>
      </c>
      <c r="GL150" s="61">
        <v>0</v>
      </c>
      <c r="GM150" s="61">
        <v>4</v>
      </c>
      <c r="GN150" s="61">
        <v>10</v>
      </c>
      <c r="GO150" s="61">
        <v>0</v>
      </c>
      <c r="GP150" s="61">
        <v>2</v>
      </c>
      <c r="GQ150" s="61">
        <v>4</v>
      </c>
      <c r="GR150" s="61">
        <v>0</v>
      </c>
      <c r="GS150" s="61">
        <v>0</v>
      </c>
      <c r="GT150" s="61">
        <v>6</v>
      </c>
      <c r="GU150" s="61">
        <v>2</v>
      </c>
      <c r="GV150" s="61"/>
      <c r="GW150" s="61"/>
      <c r="GX150" s="61"/>
      <c r="GY150" s="60" t="s">
        <v>711</v>
      </c>
      <c r="GZ150" s="60">
        <v>0</v>
      </c>
      <c r="HA150" s="60">
        <v>0</v>
      </c>
      <c r="HB150" s="60">
        <v>2</v>
      </c>
      <c r="HC150" s="60">
        <v>0</v>
      </c>
      <c r="HD150" s="60">
        <v>4</v>
      </c>
      <c r="HE150" s="60">
        <v>2</v>
      </c>
      <c r="HF150" s="60">
        <v>4</v>
      </c>
      <c r="HG150" s="60">
        <v>6</v>
      </c>
      <c r="HH150" s="60">
        <v>6</v>
      </c>
      <c r="HI150" s="60">
        <v>8</v>
      </c>
      <c r="HJ150" s="60">
        <v>6</v>
      </c>
      <c r="HK150" s="60">
        <v>8</v>
      </c>
      <c r="HL150" s="60">
        <v>10</v>
      </c>
      <c r="HM150" s="60">
        <v>10</v>
      </c>
      <c r="HN150" s="60">
        <v>12</v>
      </c>
      <c r="HO150" s="60">
        <v>10</v>
      </c>
      <c r="HP150" s="60">
        <v>12</v>
      </c>
      <c r="HQ150" s="60">
        <v>12</v>
      </c>
      <c r="HR150" s="60">
        <v>14</v>
      </c>
      <c r="HS150" s="60">
        <v>16</v>
      </c>
      <c r="HT150" s="60">
        <v>14</v>
      </c>
      <c r="HV150" s="141" t="s">
        <v>711</v>
      </c>
      <c r="HW150" s="60">
        <v>0</v>
      </c>
      <c r="HX150" s="60">
        <v>0</v>
      </c>
      <c r="HY150" s="60">
        <v>0</v>
      </c>
      <c r="HZ150" s="60">
        <v>4</v>
      </c>
      <c r="IA150" s="60">
        <v>2</v>
      </c>
      <c r="IB150" s="60">
        <v>6</v>
      </c>
      <c r="IC150" s="60">
        <v>6</v>
      </c>
      <c r="ID150" s="60">
        <v>6</v>
      </c>
      <c r="IE150" s="60">
        <v>10</v>
      </c>
      <c r="IF150" s="60">
        <v>10</v>
      </c>
      <c r="IG150" s="60">
        <v>12</v>
      </c>
      <c r="IH150" s="60">
        <v>12</v>
      </c>
      <c r="II150" s="60">
        <v>12</v>
      </c>
      <c r="IJ150" s="60">
        <v>16</v>
      </c>
      <c r="IK150" s="60">
        <v>16</v>
      </c>
      <c r="IL150" s="60">
        <v>16</v>
      </c>
      <c r="IM150" s="60">
        <v>18</v>
      </c>
      <c r="IN150" s="60">
        <v>18</v>
      </c>
      <c r="IO150" s="60">
        <v>22</v>
      </c>
      <c r="IP150" s="60">
        <v>22</v>
      </c>
      <c r="IQ150" s="60">
        <v>22</v>
      </c>
      <c r="IS150" s="60" t="s">
        <v>711</v>
      </c>
      <c r="IT150" s="60">
        <f t="shared" si="69"/>
        <v>0</v>
      </c>
      <c r="IU150" s="60">
        <f t="shared" si="70"/>
        <v>0</v>
      </c>
      <c r="IV150" s="60">
        <f t="shared" si="71"/>
        <v>0</v>
      </c>
      <c r="IW150" s="60">
        <f t="shared" si="72"/>
        <v>8</v>
      </c>
      <c r="IX150" s="60">
        <f t="shared" si="73"/>
        <v>4</v>
      </c>
      <c r="IY150" s="60">
        <f t="shared" si="74"/>
        <v>12</v>
      </c>
      <c r="IZ150" s="60">
        <f t="shared" si="75"/>
        <v>12</v>
      </c>
      <c r="JA150" s="60">
        <f t="shared" si="76"/>
        <v>12</v>
      </c>
      <c r="JB150" s="60">
        <f t="shared" si="77"/>
        <v>20</v>
      </c>
      <c r="JC150" s="60">
        <f t="shared" si="78"/>
        <v>20</v>
      </c>
      <c r="JD150" s="60">
        <f t="shared" si="79"/>
        <v>24</v>
      </c>
      <c r="JE150" s="60">
        <f t="shared" si="80"/>
        <v>24</v>
      </c>
      <c r="JF150" s="60">
        <f t="shared" si="81"/>
        <v>24</v>
      </c>
      <c r="JG150" s="60">
        <f t="shared" si="82"/>
        <v>32</v>
      </c>
      <c r="JH150" s="60">
        <f t="shared" si="83"/>
        <v>32</v>
      </c>
      <c r="JI150" s="60">
        <f t="shared" si="84"/>
        <v>32</v>
      </c>
      <c r="JJ150" s="60">
        <f t="shared" si="85"/>
        <v>36</v>
      </c>
      <c r="JK150" s="60">
        <f t="shared" si="86"/>
        <v>36</v>
      </c>
      <c r="JL150" s="60">
        <f t="shared" si="87"/>
        <v>44</v>
      </c>
      <c r="JM150" s="60">
        <f t="shared" si="88"/>
        <v>44</v>
      </c>
      <c r="JN150" s="60">
        <f t="shared" si="89"/>
        <v>44</v>
      </c>
      <c r="JQ150" s="63"/>
    </row>
    <row r="151" spans="1:298" x14ac:dyDescent="0.25">
      <c r="A151" s="8"/>
      <c r="B151" s="5" t="s">
        <v>116</v>
      </c>
      <c r="C151" s="8"/>
      <c r="D151" s="9"/>
      <c r="E151" s="9"/>
      <c r="F151" s="9"/>
      <c r="G151" s="9"/>
      <c r="H151" s="9"/>
      <c r="I151" s="9"/>
      <c r="J151" s="9"/>
      <c r="K151" s="9"/>
      <c r="L151" s="5" t="s">
        <v>103</v>
      </c>
      <c r="M151" s="5" t="s">
        <v>104</v>
      </c>
      <c r="N151" s="5" t="s">
        <v>107</v>
      </c>
      <c r="O151" s="5" t="s">
        <v>290</v>
      </c>
      <c r="P151" s="5" t="s">
        <v>446</v>
      </c>
      <c r="Q151" s="5" t="s">
        <v>448</v>
      </c>
      <c r="R151" s="5" t="s">
        <v>409</v>
      </c>
      <c r="S151" s="5" t="s">
        <v>447</v>
      </c>
      <c r="T151" s="5" t="s">
        <v>449</v>
      </c>
      <c r="U151" s="5" t="s">
        <v>106</v>
      </c>
      <c r="V151" s="61"/>
      <c r="W151" s="142">
        <f t="shared" si="111"/>
        <v>0</v>
      </c>
      <c r="X151" s="61">
        <f t="shared" si="112"/>
        <v>0</v>
      </c>
      <c r="Y151" s="61"/>
      <c r="Z151" s="61">
        <f>(INDEX(($EW$107:$GU$115,$EW$119:$GU$127,$EW$132:$GU$140,$EW$144:$GU$152),MATCH($L$160,$EV$107:$EV$115,0),MATCH(A159,$EW$106:$GU$106,0),MATCH($G$152,$X$128:$X$131,0)))*C159</f>
        <v>0</v>
      </c>
      <c r="AA151" s="61">
        <f>(INDEX(($EW$107:$GU$115,$EW$119:$GU$127,$EW$132:$GU$140,$EW$144:$GU$152),MATCH($L$152,$EV$107:$EV$115,0),MATCH(A159,$EW$106:$GU$106,0),MATCH($G$152,$X$128:$X$131,0)))*C159</f>
        <v>0</v>
      </c>
      <c r="AB151" s="61">
        <f>(INDEX(($EW$107:$GU$115,$EW$119:$GU$127,$EW$132:$GU$140,$EW$144:$GU$152),MATCH($L$153,$EV$107:$EV$115,0),MATCH(A159,$EW$106:$GU$106,0),MATCH($G$152,$X$128:$X$131,0)))*C159</f>
        <v>0</v>
      </c>
      <c r="AC151" s="61">
        <f>(INDEX(($EW$107:$GU$115,$EW$119:$GU$127,$EW$132:$GU$140,$EW$144:$GU$152),MATCH($L$154,$EV$107:$EV$115,0),MATCH(A159,$EW$106:$GU$106,0),MATCH($G$152,$X$128:$X$131,0)))*C159</f>
        <v>0</v>
      </c>
      <c r="AD151" s="61">
        <f>(INDEX(($EW$107:$GU$115,$EW$119:$GU$127,$EW$132:$GU$140,$EW$144:$GU$152),MATCH($L$155,$EV$107:$EV$115,0),MATCH(A159,$EW$106:$GU$106,0),MATCH($G$152,$X$128:$X$131,0)))*C159</f>
        <v>0</v>
      </c>
      <c r="AE151" s="61">
        <f>(INDEX(($EW$107:$GU$115,$EW$119:$GU$127,$EW$132:$GU$140,$EW$144:$GU$152),MATCH($L$156,$EV$107:$EV$115,0),MATCH(A159,$EW$106:$GU$106,0),MATCH($G$152,$X$128:$X$131,0)))*C159</f>
        <v>0</v>
      </c>
      <c r="AF151" s="61">
        <f>(INDEX(($EW$107:$GU$115,$EW$119:$GU$127,$EW$132:$GU$140,$EW$144:$GU$152),MATCH($L$157,$EV$107:$EV$115,0),MATCH(A159,$EW$106:$GU$106,0),MATCH($G$152,$X$128:$X$131,0)))*C159</f>
        <v>0</v>
      </c>
      <c r="AG151" s="61">
        <f>(INDEX(($EW$107:$GU$115,$EW$119:$GU$127,$EW$132:$GU$140,$EW$144:$GU$152),MATCH($L$158,$EV$107:$EV$115,0),MATCH(A159,$EW$106:$GU$106,0),MATCH($G$152,$X$128:$X$131,0)))*C159</f>
        <v>0</v>
      </c>
      <c r="AH151" s="61">
        <f>(INDEX(($EW$107:$GU$115,$EW$119:$GU$127,$EW$132:$GU$140,$EW$144:$GU$152),MATCH($L$159,$EV$107:$EV$115,0),MATCH(A159,$EW$106:$GU$106,0),MATCH($G$152,$X$128:$X$131,0)))*C159</f>
        <v>0</v>
      </c>
      <c r="AI151" s="61"/>
      <c r="AJ151" s="61"/>
      <c r="AK151" s="61"/>
      <c r="AL151" s="61" t="s">
        <v>126</v>
      </c>
      <c r="AM151" s="61">
        <v>0</v>
      </c>
      <c r="AN151" s="61">
        <v>0</v>
      </c>
      <c r="AO151" s="61">
        <v>0</v>
      </c>
      <c r="AP151" s="61">
        <v>0</v>
      </c>
      <c r="AQ151" s="61">
        <v>0</v>
      </c>
      <c r="AR151" s="61">
        <v>0</v>
      </c>
      <c r="AS151" s="61">
        <v>0</v>
      </c>
      <c r="AT151" s="61">
        <v>0</v>
      </c>
      <c r="AU151" s="61">
        <v>0</v>
      </c>
      <c r="AV151" s="61">
        <v>0</v>
      </c>
      <c r="AW151" s="61">
        <v>0</v>
      </c>
      <c r="AX151" s="61">
        <v>0</v>
      </c>
      <c r="AY151" s="61">
        <v>0</v>
      </c>
      <c r="AZ151" s="61">
        <v>0</v>
      </c>
      <c r="BA151" s="61">
        <v>0</v>
      </c>
      <c r="BB151" s="61">
        <v>0</v>
      </c>
      <c r="BC151" s="61">
        <v>0</v>
      </c>
      <c r="BD151" s="61">
        <v>0</v>
      </c>
      <c r="BE151" s="61">
        <v>0</v>
      </c>
      <c r="BF151" s="61">
        <v>0</v>
      </c>
      <c r="BG151" s="61">
        <v>0</v>
      </c>
      <c r="BH151" s="61">
        <v>0</v>
      </c>
      <c r="BI151" s="61">
        <v>0</v>
      </c>
      <c r="BJ151" s="61">
        <v>0</v>
      </c>
      <c r="BK151" s="61">
        <v>0</v>
      </c>
      <c r="BL151" s="61">
        <v>0</v>
      </c>
      <c r="BM151" s="61">
        <v>0</v>
      </c>
      <c r="BN151" s="61">
        <v>0</v>
      </c>
      <c r="BO151" s="61">
        <v>0</v>
      </c>
      <c r="BP151" s="61">
        <v>0</v>
      </c>
      <c r="BQ151" s="61">
        <v>0</v>
      </c>
      <c r="BR151" s="61">
        <v>0</v>
      </c>
      <c r="BS151" s="61">
        <v>0</v>
      </c>
      <c r="BT151" s="61">
        <v>0</v>
      </c>
      <c r="BU151" s="61">
        <v>0</v>
      </c>
      <c r="BV151" s="61">
        <v>0</v>
      </c>
      <c r="BW151" s="61">
        <v>0</v>
      </c>
      <c r="BX151" s="61">
        <v>2</v>
      </c>
      <c r="BY151" s="61">
        <v>0</v>
      </c>
      <c r="BZ151" s="61">
        <v>0</v>
      </c>
      <c r="CA151" s="61">
        <v>0</v>
      </c>
      <c r="CB151" s="61">
        <v>0</v>
      </c>
      <c r="CC151" s="61">
        <v>0</v>
      </c>
      <c r="CD151" s="61">
        <v>0</v>
      </c>
      <c r="CE151" s="61">
        <v>0</v>
      </c>
      <c r="CF151" s="61">
        <v>0</v>
      </c>
      <c r="CG151" s="61">
        <v>0</v>
      </c>
      <c r="CH151" s="61">
        <v>0</v>
      </c>
      <c r="CI151" s="61">
        <v>0</v>
      </c>
      <c r="CJ151" s="61">
        <v>0</v>
      </c>
      <c r="CK151" s="61">
        <v>0</v>
      </c>
      <c r="CL151" s="61"/>
      <c r="CM151" s="61" t="s">
        <v>114</v>
      </c>
      <c r="CN151" s="61"/>
      <c r="CO151" s="61"/>
      <c r="CP151" s="61"/>
      <c r="CQ151" s="61"/>
      <c r="CR151" s="61"/>
      <c r="CS151" s="61"/>
      <c r="CT151" s="61"/>
      <c r="CU151" s="61"/>
      <c r="CV151" s="61"/>
      <c r="CW151" s="61"/>
      <c r="CX151" s="61"/>
      <c r="CY151" s="61"/>
      <c r="CZ151" s="61"/>
      <c r="DA151" s="61"/>
      <c r="DB151" s="61"/>
      <c r="DC151" s="61"/>
      <c r="DD151" s="61"/>
      <c r="DE151" s="61"/>
      <c r="DF151" s="61"/>
      <c r="DG151" s="61"/>
      <c r="DH151" s="61"/>
      <c r="DI151" s="61"/>
      <c r="DJ151" s="61"/>
      <c r="DK151" s="61"/>
      <c r="DL151" s="61"/>
      <c r="DM151" s="61"/>
      <c r="DN151" s="61"/>
      <c r="DO151" s="61"/>
      <c r="DP151" s="61"/>
      <c r="DQ151" s="61"/>
      <c r="DR151" s="61"/>
      <c r="DS151" s="61"/>
      <c r="DT151" s="61"/>
      <c r="DU151" s="61"/>
      <c r="DV151" s="61"/>
      <c r="DW151" s="61"/>
      <c r="DX151" s="61"/>
      <c r="DY151" s="61"/>
      <c r="DZ151" s="61">
        <v>48</v>
      </c>
      <c r="EA151" s="61"/>
      <c r="EB151" s="61"/>
      <c r="EC151" s="61"/>
      <c r="ED151" s="61"/>
      <c r="EE151" s="61"/>
      <c r="EF151" s="61"/>
      <c r="EG151" s="61"/>
      <c r="EH151" s="61"/>
      <c r="EI151" s="61"/>
      <c r="EJ151" s="61"/>
      <c r="EK151" s="61"/>
      <c r="EL151" s="61"/>
      <c r="EM151" s="61"/>
      <c r="EN151" s="61"/>
      <c r="EO151" s="61"/>
      <c r="EP151" s="61"/>
      <c r="EQ151" s="61"/>
      <c r="ER151" s="61"/>
      <c r="ES151" s="61"/>
      <c r="ET151" s="61"/>
      <c r="EU151" s="61"/>
      <c r="EV151" s="61" t="s">
        <v>214</v>
      </c>
      <c r="EW151" s="61">
        <v>0</v>
      </c>
      <c r="EX151" s="61">
        <v>0</v>
      </c>
      <c r="EY151" s="61">
        <v>0</v>
      </c>
      <c r="EZ151" s="61">
        <v>2</v>
      </c>
      <c r="FA151" s="61">
        <v>2</v>
      </c>
      <c r="FB151" s="61">
        <v>0</v>
      </c>
      <c r="FC151" s="61">
        <v>2</v>
      </c>
      <c r="FD151" s="61">
        <v>4</v>
      </c>
      <c r="FE151" s="61">
        <v>0</v>
      </c>
      <c r="FF151" s="61">
        <v>2</v>
      </c>
      <c r="FG151" s="61">
        <v>4</v>
      </c>
      <c r="FH151" s="61">
        <v>0</v>
      </c>
      <c r="FI151" s="61">
        <v>6</v>
      </c>
      <c r="FJ151" s="61">
        <v>4</v>
      </c>
      <c r="FK151" s="61">
        <v>0</v>
      </c>
      <c r="FL151" s="61">
        <v>2</v>
      </c>
      <c r="FM151" s="61">
        <v>0</v>
      </c>
      <c r="FN151" s="61">
        <v>6</v>
      </c>
      <c r="FO151" s="61">
        <v>8</v>
      </c>
      <c r="FP151" s="61">
        <v>0</v>
      </c>
      <c r="FQ151" s="61">
        <v>6</v>
      </c>
      <c r="FR151" s="61">
        <v>8</v>
      </c>
      <c r="FS151" s="61">
        <v>14</v>
      </c>
      <c r="FT151" s="61">
        <v>2</v>
      </c>
      <c r="FU151" s="61">
        <v>4</v>
      </c>
      <c r="FV151" s="61">
        <v>16</v>
      </c>
      <c r="FW151" s="61">
        <v>2</v>
      </c>
      <c r="FX151" s="61">
        <v>14</v>
      </c>
      <c r="FY151" s="61">
        <v>16</v>
      </c>
      <c r="FZ151" s="61">
        <v>0</v>
      </c>
      <c r="GA151" s="61">
        <v>10</v>
      </c>
      <c r="GB151" s="61">
        <v>16</v>
      </c>
      <c r="GC151" s="61">
        <v>8</v>
      </c>
      <c r="GD151" s="61">
        <v>10</v>
      </c>
      <c r="GE151" s="61">
        <v>16</v>
      </c>
      <c r="GF151" s="61">
        <v>14</v>
      </c>
      <c r="GG151" s="61">
        <v>16</v>
      </c>
      <c r="GH151" s="61">
        <v>22</v>
      </c>
      <c r="GI151" s="61">
        <v>14</v>
      </c>
      <c r="GJ151" s="61">
        <v>16</v>
      </c>
      <c r="GK151" s="61">
        <v>18</v>
      </c>
      <c r="GL151" s="61">
        <v>26</v>
      </c>
      <c r="GM151" s="61">
        <v>20</v>
      </c>
      <c r="GN151" s="61">
        <v>18</v>
      </c>
      <c r="GO151" s="61">
        <v>28</v>
      </c>
      <c r="GP151" s="61">
        <v>22</v>
      </c>
      <c r="GQ151" s="61">
        <v>24</v>
      </c>
      <c r="GR151" s="61">
        <v>30</v>
      </c>
      <c r="GS151" s="61">
        <v>30</v>
      </c>
      <c r="GT151" s="61">
        <v>24</v>
      </c>
      <c r="GU151" s="61">
        <v>30</v>
      </c>
      <c r="GV151" s="61"/>
      <c r="GW151" s="61"/>
      <c r="GX151" s="61"/>
      <c r="GY151" s="60" t="s">
        <v>712</v>
      </c>
      <c r="GZ151" s="60">
        <v>0</v>
      </c>
      <c r="HA151" s="60">
        <v>0</v>
      </c>
      <c r="HB151" s="60">
        <v>0</v>
      </c>
      <c r="HC151" s="60">
        <v>2</v>
      </c>
      <c r="HD151" s="60">
        <v>2</v>
      </c>
      <c r="HE151" s="60">
        <v>4</v>
      </c>
      <c r="HF151" s="60">
        <v>4</v>
      </c>
      <c r="HG151" s="60">
        <v>4</v>
      </c>
      <c r="HH151" s="60">
        <v>6</v>
      </c>
      <c r="HI151" s="60">
        <v>6</v>
      </c>
      <c r="HJ151" s="60">
        <v>8</v>
      </c>
      <c r="HK151" s="60">
        <v>8</v>
      </c>
      <c r="HL151" s="60">
        <v>8</v>
      </c>
      <c r="HM151" s="60">
        <v>10</v>
      </c>
      <c r="HN151" s="60">
        <v>10</v>
      </c>
      <c r="HO151" s="60">
        <v>12</v>
      </c>
      <c r="HP151" s="60">
        <v>12</v>
      </c>
      <c r="HQ151" s="60">
        <v>14</v>
      </c>
      <c r="HR151" s="60">
        <v>14</v>
      </c>
      <c r="HS151" s="60">
        <v>14</v>
      </c>
      <c r="HT151" s="60">
        <v>16</v>
      </c>
      <c r="HV151" s="60" t="s">
        <v>853</v>
      </c>
      <c r="HW151" s="60">
        <v>0</v>
      </c>
      <c r="HX151" s="60">
        <v>0</v>
      </c>
      <c r="HY151" s="60">
        <v>2</v>
      </c>
      <c r="HZ151" s="60">
        <v>2</v>
      </c>
      <c r="IA151" s="60">
        <v>4</v>
      </c>
      <c r="IB151" s="60">
        <v>4</v>
      </c>
      <c r="IC151" s="60">
        <v>6</v>
      </c>
      <c r="ID151" s="60">
        <v>8</v>
      </c>
      <c r="IE151" s="60">
        <v>8</v>
      </c>
      <c r="IF151" s="60">
        <v>10</v>
      </c>
      <c r="IG151" s="60">
        <v>10</v>
      </c>
      <c r="IH151" s="60">
        <v>12</v>
      </c>
      <c r="II151" s="60">
        <v>14</v>
      </c>
      <c r="IJ151" s="60">
        <v>14</v>
      </c>
      <c r="IK151" s="60">
        <v>16</v>
      </c>
      <c r="IL151" s="60">
        <v>18</v>
      </c>
      <c r="IM151" s="60">
        <v>18</v>
      </c>
      <c r="IN151" s="60">
        <v>20</v>
      </c>
      <c r="IO151" s="60">
        <v>20</v>
      </c>
      <c r="IP151" s="60">
        <v>22</v>
      </c>
      <c r="IQ151" s="60">
        <v>24</v>
      </c>
      <c r="IS151" s="60" t="s">
        <v>853</v>
      </c>
      <c r="IT151" s="60">
        <f t="shared" si="69"/>
        <v>0</v>
      </c>
      <c r="IU151" s="60">
        <f t="shared" si="70"/>
        <v>0</v>
      </c>
      <c r="IV151" s="60">
        <f t="shared" si="71"/>
        <v>4</v>
      </c>
      <c r="IW151" s="60">
        <f t="shared" si="72"/>
        <v>4</v>
      </c>
      <c r="IX151" s="60">
        <f t="shared" si="73"/>
        <v>8</v>
      </c>
      <c r="IY151" s="60">
        <f t="shared" si="74"/>
        <v>8</v>
      </c>
      <c r="IZ151" s="60">
        <f t="shared" si="75"/>
        <v>12</v>
      </c>
      <c r="JA151" s="60">
        <f t="shared" si="76"/>
        <v>16</v>
      </c>
      <c r="JB151" s="60">
        <f t="shared" si="77"/>
        <v>16</v>
      </c>
      <c r="JC151" s="60">
        <f t="shared" si="78"/>
        <v>20</v>
      </c>
      <c r="JD151" s="60">
        <f t="shared" si="79"/>
        <v>20</v>
      </c>
      <c r="JE151" s="60">
        <f t="shared" si="80"/>
        <v>24</v>
      </c>
      <c r="JF151" s="60">
        <f t="shared" si="81"/>
        <v>28</v>
      </c>
      <c r="JG151" s="60">
        <f t="shared" si="82"/>
        <v>28</v>
      </c>
      <c r="JH151" s="60">
        <f t="shared" si="83"/>
        <v>32</v>
      </c>
      <c r="JI151" s="60">
        <f t="shared" si="84"/>
        <v>36</v>
      </c>
      <c r="JJ151" s="60">
        <f t="shared" si="85"/>
        <v>36</v>
      </c>
      <c r="JK151" s="60">
        <f t="shared" si="86"/>
        <v>40</v>
      </c>
      <c r="JL151" s="60">
        <f t="shared" si="87"/>
        <v>40</v>
      </c>
      <c r="JM151" s="60">
        <f t="shared" si="88"/>
        <v>44</v>
      </c>
      <c r="JN151" s="60">
        <f t="shared" si="89"/>
        <v>48</v>
      </c>
      <c r="JQ151" s="63"/>
    </row>
    <row r="152" spans="1:298" x14ac:dyDescent="0.25">
      <c r="A152" s="8"/>
      <c r="B152" s="5" t="s">
        <v>116</v>
      </c>
      <c r="C152" s="8"/>
      <c r="D152" s="6" t="s">
        <v>118</v>
      </c>
      <c r="E152" s="8" t="s">
        <v>132</v>
      </c>
      <c r="F152" s="5" t="s">
        <v>116</v>
      </c>
      <c r="G152" s="8" t="s">
        <v>480</v>
      </c>
      <c r="H152" s="5" t="s">
        <v>116</v>
      </c>
      <c r="I152" s="8">
        <v>30</v>
      </c>
      <c r="J152" s="5" t="s">
        <v>119</v>
      </c>
      <c r="K152" s="9"/>
      <c r="L152" s="6" t="s">
        <v>210</v>
      </c>
      <c r="M152" s="11">
        <f>INDEX(cennik!$C$2:$L$529,MATCH($L152,cennik!$B$2:$B$522,0),MATCH(M$104,cennik!$C$1:$L$1,0))</f>
        <v>6441105</v>
      </c>
      <c r="N152" s="11" t="str">
        <f>INDEX(cennik!$C$2:$L$529,MATCH($L152,cennik!$B$2:$B$522,0),MATCH(N$104,cennik!$C$1:$L$1,0))</f>
        <v>szt.</v>
      </c>
      <c r="O152" s="11">
        <f>SUM(AA143:AA158)</f>
        <v>0</v>
      </c>
      <c r="P152" s="34">
        <f>INDEX(cennik!$C$2:$L$529,MATCH($L152,cennik!$B$2:$B$522,0),MATCH(P$104,cennik!$C$1:$L$1,0))</f>
        <v>24.55</v>
      </c>
      <c r="Q152" s="34">
        <f>O152*P152</f>
        <v>0</v>
      </c>
      <c r="R152" s="35">
        <f t="shared" ref="R152:R175" si="114">$E$156</f>
        <v>0</v>
      </c>
      <c r="S152" s="34">
        <f t="shared" ref="S152:S175" si="115">P152*((100-$E$156)/100)</f>
        <v>24.55</v>
      </c>
      <c r="T152" s="34">
        <f>O152*S152</f>
        <v>0</v>
      </c>
      <c r="U152" s="34">
        <f>INDEX(cennik!$C$2:$L$529,MATCH($L152,cennik!$B$2:$B$522,0),MATCH(U$104,cennik!$C$1:$L$1,0))*O152</f>
        <v>0</v>
      </c>
      <c r="V152" s="61"/>
      <c r="W152" s="142">
        <f t="shared" si="111"/>
        <v>0</v>
      </c>
      <c r="X152" s="61">
        <f t="shared" si="112"/>
        <v>0</v>
      </c>
      <c r="Y152" s="61"/>
      <c r="Z152" s="61">
        <f>(INDEX(($EW$107:$GU$115,$EW$119:$GU$127,$EW$132:$GU$140,$EW$144:$GU$152),MATCH($L$160,$EV$107:$EV$115,0),MATCH(A160,$EW$106:$GU$106,0),MATCH($G$152,$X$128:$X$131,0)))*C160</f>
        <v>0</v>
      </c>
      <c r="AA152" s="61">
        <f>(INDEX(($EW$107:$GU$115,$EW$119:$GU$127,$EW$132:$GU$140,$EW$144:$GU$152),MATCH($L$152,$EV$107:$EV$115,0),MATCH(A160,$EW$106:$GU$106,0),MATCH($G$152,$X$128:$X$131,0)))*C160</f>
        <v>0</v>
      </c>
      <c r="AB152" s="61">
        <f>(INDEX(($EW$107:$GU$115,$EW$119:$GU$127,$EW$132:$GU$140,$EW$144:$GU$152),MATCH($L$153,$EV$107:$EV$115,0),MATCH(A160,$EW$106:$GU$106,0),MATCH($G$152,$X$128:$X$131,0)))*C160</f>
        <v>0</v>
      </c>
      <c r="AC152" s="61">
        <f>(INDEX(($EW$107:$GU$115,$EW$119:$GU$127,$EW$132:$GU$140,$EW$144:$GU$152),MATCH($L$154,$EV$107:$EV$115,0),MATCH(A160,$EW$106:$GU$106,0),MATCH($G$152,$X$128:$X$131,0)))*C160</f>
        <v>0</v>
      </c>
      <c r="AD152" s="61">
        <f>(INDEX(($EW$107:$GU$115,$EW$119:$GU$127,$EW$132:$GU$140,$EW$144:$GU$152),MATCH($L$155,$EV$107:$EV$115,0),MATCH(A160,$EW$106:$GU$106,0),MATCH($G$152,$X$128:$X$131,0)))*C160</f>
        <v>0</v>
      </c>
      <c r="AE152" s="61">
        <f>(INDEX(($EW$107:$GU$115,$EW$119:$GU$127,$EW$132:$GU$140,$EW$144:$GU$152),MATCH($L$156,$EV$107:$EV$115,0),MATCH(A160,$EW$106:$GU$106,0),MATCH($G$152,$X$128:$X$131,0)))*C160</f>
        <v>0</v>
      </c>
      <c r="AF152" s="61">
        <f>(INDEX(($EW$107:$GU$115,$EW$119:$GU$127,$EW$132:$GU$140,$EW$144:$GU$152),MATCH($L$157,$EV$107:$EV$115,0),MATCH(A160,$EW$106:$GU$106,0),MATCH($G$152,$X$128:$X$131,0)))*C160</f>
        <v>0</v>
      </c>
      <c r="AG152" s="61">
        <f>(INDEX(($EW$107:$GU$115,$EW$119:$GU$127,$EW$132:$GU$140,$EW$144:$GU$152),MATCH($L$158,$EV$107:$EV$115,0),MATCH(A160,$EW$106:$GU$106,0),MATCH($G$152,$X$128:$X$131,0)))*C160</f>
        <v>0</v>
      </c>
      <c r="AH152" s="61">
        <f>(INDEX(($EW$107:$GU$115,$EW$119:$GU$127,$EW$132:$GU$140,$EW$144:$GU$152),MATCH($L$159,$EV$107:$EV$115,0),MATCH(A160,$EW$106:$GU$106,0),MATCH($G$152,$X$128:$X$131,0)))*C160</f>
        <v>0</v>
      </c>
      <c r="AI152" s="61"/>
      <c r="AJ152" s="61"/>
      <c r="AK152" s="61"/>
      <c r="AL152" s="61" t="s">
        <v>12</v>
      </c>
      <c r="AM152" s="61">
        <v>0</v>
      </c>
      <c r="AN152" s="61">
        <v>2</v>
      </c>
      <c r="AO152" s="61">
        <v>4</v>
      </c>
      <c r="AP152" s="61">
        <v>2</v>
      </c>
      <c r="AQ152" s="61">
        <v>4</v>
      </c>
      <c r="AR152" s="61">
        <v>2</v>
      </c>
      <c r="AS152" s="61">
        <v>4</v>
      </c>
      <c r="AT152" s="61">
        <v>0</v>
      </c>
      <c r="AU152" s="61">
        <v>4</v>
      </c>
      <c r="AV152" s="61">
        <v>0</v>
      </c>
      <c r="AW152" s="61">
        <v>4</v>
      </c>
      <c r="AX152" s="61">
        <v>0</v>
      </c>
      <c r="AY152" s="61">
        <v>4</v>
      </c>
      <c r="AZ152" s="61">
        <v>0</v>
      </c>
      <c r="BA152" s="61">
        <v>0</v>
      </c>
      <c r="BB152" s="61">
        <v>0</v>
      </c>
      <c r="BC152" s="61">
        <v>0</v>
      </c>
      <c r="BD152" s="61">
        <v>0</v>
      </c>
      <c r="BE152" s="61">
        <v>0</v>
      </c>
      <c r="BF152" s="61">
        <v>0</v>
      </c>
      <c r="BG152" s="61">
        <v>0</v>
      </c>
      <c r="BH152" s="61">
        <v>0</v>
      </c>
      <c r="BI152" s="61">
        <v>0</v>
      </c>
      <c r="BJ152" s="61">
        <v>0</v>
      </c>
      <c r="BK152" s="61">
        <v>0</v>
      </c>
      <c r="BL152" s="61">
        <v>0</v>
      </c>
      <c r="BM152" s="61">
        <v>0</v>
      </c>
      <c r="BN152" s="61">
        <v>4</v>
      </c>
      <c r="BO152" s="61">
        <v>0</v>
      </c>
      <c r="BP152" s="61">
        <v>0</v>
      </c>
      <c r="BQ152" s="61">
        <v>0</v>
      </c>
      <c r="BR152" s="61">
        <v>0</v>
      </c>
      <c r="BS152" s="61">
        <v>0</v>
      </c>
      <c r="BT152" s="61">
        <v>0</v>
      </c>
      <c r="BU152" s="61">
        <v>0</v>
      </c>
      <c r="BV152" s="61">
        <v>0</v>
      </c>
      <c r="BW152" s="61">
        <v>0</v>
      </c>
      <c r="BX152" s="61">
        <v>0</v>
      </c>
      <c r="BY152" s="61">
        <v>0</v>
      </c>
      <c r="BZ152" s="61">
        <v>0</v>
      </c>
      <c r="CA152" s="61">
        <v>0</v>
      </c>
      <c r="CB152" s="61">
        <v>0</v>
      </c>
      <c r="CC152" s="61">
        <v>0</v>
      </c>
      <c r="CD152" s="61">
        <v>0</v>
      </c>
      <c r="CE152" s="61">
        <v>0</v>
      </c>
      <c r="CF152" s="61">
        <v>0</v>
      </c>
      <c r="CG152" s="61">
        <v>0</v>
      </c>
      <c r="CH152" s="61">
        <v>0</v>
      </c>
      <c r="CI152" s="61">
        <v>0</v>
      </c>
      <c r="CJ152" s="61">
        <v>0</v>
      </c>
      <c r="CK152" s="61">
        <v>0</v>
      </c>
      <c r="CL152" s="61"/>
      <c r="CM152" s="61"/>
      <c r="CN152" s="61">
        <v>0</v>
      </c>
      <c r="CO152" s="61">
        <v>1</v>
      </c>
      <c r="CP152" s="61">
        <v>2</v>
      </c>
      <c r="CQ152" s="61">
        <v>3</v>
      </c>
      <c r="CR152" s="61">
        <v>4</v>
      </c>
      <c r="CS152" s="61">
        <v>5</v>
      </c>
      <c r="CT152" s="61">
        <v>6</v>
      </c>
      <c r="CU152" s="61">
        <v>7</v>
      </c>
      <c r="CV152" s="61">
        <v>8</v>
      </c>
      <c r="CW152" s="61">
        <v>9</v>
      </c>
      <c r="CX152" s="61">
        <v>10</v>
      </c>
      <c r="CY152" s="61">
        <v>11</v>
      </c>
      <c r="CZ152" s="61">
        <v>12</v>
      </c>
      <c r="DA152" s="61">
        <v>13</v>
      </c>
      <c r="DB152" s="61">
        <v>14</v>
      </c>
      <c r="DC152" s="61">
        <v>15</v>
      </c>
      <c r="DD152" s="61">
        <v>16</v>
      </c>
      <c r="DE152" s="61">
        <v>17</v>
      </c>
      <c r="DF152" s="61">
        <v>18</v>
      </c>
      <c r="DG152" s="61">
        <v>19</v>
      </c>
      <c r="DH152" s="61">
        <v>20</v>
      </c>
      <c r="DI152" s="61"/>
      <c r="DJ152" s="61"/>
      <c r="DK152" s="61"/>
      <c r="DL152" s="61"/>
      <c r="DM152" s="61"/>
      <c r="DN152" s="61"/>
      <c r="DO152" s="61"/>
      <c r="DP152" s="61"/>
      <c r="DQ152" s="61"/>
      <c r="DR152" s="61"/>
      <c r="DS152" s="61"/>
      <c r="DT152" s="61"/>
      <c r="DU152" s="61"/>
      <c r="DV152" s="61"/>
      <c r="DW152" s="61"/>
      <c r="DX152" s="61"/>
      <c r="DY152" s="61"/>
      <c r="DZ152" s="61">
        <v>49</v>
      </c>
      <c r="EA152" s="61"/>
      <c r="EB152" s="61"/>
      <c r="EC152" s="61"/>
      <c r="ED152" s="61"/>
      <c r="EE152" s="61"/>
      <c r="EF152" s="61"/>
      <c r="EG152" s="61"/>
      <c r="EH152" s="61"/>
      <c r="EI152" s="61"/>
      <c r="EJ152" s="61"/>
      <c r="EK152" s="61"/>
      <c r="EL152" s="61"/>
      <c r="EM152" s="61"/>
      <c r="EN152" s="61"/>
      <c r="EO152" s="61"/>
      <c r="EP152" s="61"/>
      <c r="EQ152" s="61"/>
      <c r="ER152" s="61"/>
      <c r="ES152" s="61"/>
      <c r="ET152" s="61"/>
      <c r="EU152" s="61"/>
      <c r="EV152" s="61" t="s">
        <v>11</v>
      </c>
      <c r="EW152" s="61">
        <v>0</v>
      </c>
      <c r="EX152" s="61">
        <v>0</v>
      </c>
      <c r="EY152" s="61">
        <v>2</v>
      </c>
      <c r="EZ152" s="61">
        <v>0</v>
      </c>
      <c r="FA152" s="61">
        <v>2</v>
      </c>
      <c r="FB152" s="61">
        <v>2</v>
      </c>
      <c r="FC152" s="61">
        <v>2</v>
      </c>
      <c r="FD152" s="61">
        <v>4</v>
      </c>
      <c r="FE152" s="61">
        <v>4</v>
      </c>
      <c r="FF152" s="61">
        <v>4</v>
      </c>
      <c r="FG152" s="61">
        <v>6</v>
      </c>
      <c r="FH152" s="61">
        <v>6</v>
      </c>
      <c r="FI152" s="61">
        <v>6</v>
      </c>
      <c r="FJ152" s="61">
        <v>8</v>
      </c>
      <c r="FK152" s="61">
        <v>8</v>
      </c>
      <c r="FL152" s="61">
        <v>8</v>
      </c>
      <c r="FM152" s="61">
        <v>10</v>
      </c>
      <c r="FN152" s="61">
        <v>10</v>
      </c>
      <c r="FO152" s="61">
        <v>10</v>
      </c>
      <c r="FP152" s="61">
        <v>12</v>
      </c>
      <c r="FQ152" s="61">
        <v>12</v>
      </c>
      <c r="FR152" s="61">
        <v>12</v>
      </c>
      <c r="FS152" s="61">
        <v>12</v>
      </c>
      <c r="FT152" s="61">
        <v>14</v>
      </c>
      <c r="FU152" s="61">
        <v>14</v>
      </c>
      <c r="FV152" s="61">
        <v>14</v>
      </c>
      <c r="FW152" s="61">
        <v>16</v>
      </c>
      <c r="FX152" s="61">
        <v>16</v>
      </c>
      <c r="FY152" s="61">
        <v>16</v>
      </c>
      <c r="FZ152" s="61">
        <v>18</v>
      </c>
      <c r="GA152" s="61">
        <v>18</v>
      </c>
      <c r="GB152" s="61">
        <v>18</v>
      </c>
      <c r="GC152" s="61">
        <v>20</v>
      </c>
      <c r="GD152" s="61">
        <v>20</v>
      </c>
      <c r="GE152" s="61">
        <v>20</v>
      </c>
      <c r="GF152" s="61">
        <v>22</v>
      </c>
      <c r="GG152" s="61">
        <v>22</v>
      </c>
      <c r="GH152" s="61">
        <v>22</v>
      </c>
      <c r="GI152" s="61">
        <v>24</v>
      </c>
      <c r="GJ152" s="61">
        <v>24</v>
      </c>
      <c r="GK152" s="61">
        <v>24</v>
      </c>
      <c r="GL152" s="61">
        <v>24</v>
      </c>
      <c r="GM152" s="61">
        <v>26</v>
      </c>
      <c r="GN152" s="61">
        <v>26</v>
      </c>
      <c r="GO152" s="61">
        <v>26</v>
      </c>
      <c r="GP152" s="61">
        <v>28</v>
      </c>
      <c r="GQ152" s="61">
        <v>28</v>
      </c>
      <c r="GR152" s="61">
        <v>28</v>
      </c>
      <c r="GS152" s="61">
        <v>28</v>
      </c>
      <c r="GT152" s="61">
        <v>30</v>
      </c>
      <c r="GU152" s="61">
        <v>30</v>
      </c>
      <c r="GV152" s="61"/>
      <c r="GW152" s="61"/>
      <c r="GX152" s="61"/>
      <c r="JQ152" s="63"/>
    </row>
    <row r="153" spans="1:298" x14ac:dyDescent="0.25">
      <c r="A153" s="8"/>
      <c r="B153" s="5" t="s">
        <v>116</v>
      </c>
      <c r="C153" s="8"/>
      <c r="D153" s="6" t="s">
        <v>124</v>
      </c>
      <c r="E153" s="8" t="s">
        <v>125</v>
      </c>
      <c r="F153" s="5"/>
      <c r="G153" s="5"/>
      <c r="H153" s="5"/>
      <c r="I153" s="5"/>
      <c r="J153" s="5" t="s">
        <v>119</v>
      </c>
      <c r="K153" s="9"/>
      <c r="L153" s="6" t="s">
        <v>9</v>
      </c>
      <c r="M153" s="11">
        <f>INDEX(cennik!$C$2:$L$529,MATCH($L153,cennik!$B$2:$B$522,0),MATCH(M$104,cennik!$C$1:$L$1,0))</f>
        <v>856211</v>
      </c>
      <c r="N153" s="11" t="str">
        <f>INDEX(cennik!$C$2:$L$529,MATCH($L153,cennik!$B$2:$B$522,0),MATCH(N$104,cennik!$C$1:$L$1,0))</f>
        <v>szt.</v>
      </c>
      <c r="O153" s="11">
        <f>SUM(AB143:AB158)</f>
        <v>0</v>
      </c>
      <c r="P153" s="34">
        <f>INDEX(cennik!$C$2:$L$529,MATCH($L153,cennik!$B$2:$B$522,0),MATCH(P$104,cennik!$C$1:$L$1,0))</f>
        <v>25.2</v>
      </c>
      <c r="Q153" s="34">
        <f t="shared" ref="Q153:Q172" si="116">O153*P153</f>
        <v>0</v>
      </c>
      <c r="R153" s="35">
        <f t="shared" si="114"/>
        <v>0</v>
      </c>
      <c r="S153" s="34">
        <f t="shared" si="115"/>
        <v>25.2</v>
      </c>
      <c r="T153" s="34">
        <f t="shared" ref="T153:T172" si="117">O153*S153</f>
        <v>0</v>
      </c>
      <c r="U153" s="34">
        <f>INDEX(cennik!$C$2:$L$529,MATCH($L153,cennik!$B$2:$B$522,0),MATCH(U$104,cennik!$C$1:$L$1,0))*O153</f>
        <v>0</v>
      </c>
      <c r="V153" s="61"/>
      <c r="W153" s="142">
        <f t="shared" si="111"/>
        <v>0</v>
      </c>
      <c r="X153" s="61">
        <f t="shared" si="112"/>
        <v>0</v>
      </c>
      <c r="Y153" s="61"/>
      <c r="Z153" s="61">
        <f>(INDEX(($EW$107:$GU$115,$EW$119:$GU$127,$EW$132:$GU$140,$EW$144:$GU$152),MATCH($L$160,$EV$107:$EV$115,0),MATCH(A161,$EW$106:$GU$106,0),MATCH($G$152,$X$128:$X$131,0)))*C161</f>
        <v>0</v>
      </c>
      <c r="AA153" s="61">
        <f>(INDEX(($EW$107:$GU$115,$EW$119:$GU$127,$EW$132:$GU$140,$EW$144:$GU$152),MATCH($L$152,$EV$107:$EV$115,0),MATCH(A161,$EW$106:$GU$106,0),MATCH($G$152,$X$128:$X$131,0)))*C161</f>
        <v>0</v>
      </c>
      <c r="AB153" s="61">
        <f>(INDEX(($EW$107:$GU$115,$EW$119:$GU$127,$EW$132:$GU$140,$EW$144:$GU$152),MATCH($L$153,$EV$107:$EV$115,0),MATCH(A161,$EW$106:$GU$106,0),MATCH($G$152,$X$128:$X$131,0)))*C161</f>
        <v>0</v>
      </c>
      <c r="AC153" s="61">
        <f>(INDEX(($EW$107:$GU$115,$EW$119:$GU$127,$EW$132:$GU$140,$EW$144:$GU$152),MATCH($L$154,$EV$107:$EV$115,0),MATCH(A161,$EW$106:$GU$106,0),MATCH($G$152,$X$128:$X$131,0)))*C161</f>
        <v>0</v>
      </c>
      <c r="AD153" s="61">
        <f>(INDEX(($EW$107:$GU$115,$EW$119:$GU$127,$EW$132:$GU$140,$EW$144:$GU$152),MATCH($L$155,$EV$107:$EV$115,0),MATCH(A161,$EW$106:$GU$106,0),MATCH($G$152,$X$128:$X$131,0)))*C161</f>
        <v>0</v>
      </c>
      <c r="AE153" s="61">
        <f>(INDEX(($EW$107:$GU$115,$EW$119:$GU$127,$EW$132:$GU$140,$EW$144:$GU$152),MATCH($L$156,$EV$107:$EV$115,0),MATCH(A161,$EW$106:$GU$106,0),MATCH($G$152,$X$128:$X$131,0)))*C161</f>
        <v>0</v>
      </c>
      <c r="AF153" s="61">
        <f>(INDEX(($EW$107:$GU$115,$EW$119:$GU$127,$EW$132:$GU$140,$EW$144:$GU$152),MATCH($L$157,$EV$107:$EV$115,0),MATCH(A161,$EW$106:$GU$106,0),MATCH($G$152,$X$128:$X$131,0)))*C161</f>
        <v>0</v>
      </c>
      <c r="AG153" s="61">
        <f>(INDEX(($EW$107:$GU$115,$EW$119:$GU$127,$EW$132:$GU$140,$EW$144:$GU$152),MATCH($L$158,$EV$107:$EV$115,0),MATCH(A161,$EW$106:$GU$106,0),MATCH($G$152,$X$128:$X$131,0)))*C161</f>
        <v>0</v>
      </c>
      <c r="AH153" s="61">
        <f>(INDEX(($EW$107:$GU$115,$EW$119:$GU$127,$EW$132:$GU$140,$EW$144:$GU$152),MATCH($L$159,$EV$107:$EV$115,0),MATCH(A161,$EW$106:$GU$106,0),MATCH($G$152,$X$128:$X$131,0)))*C161</f>
        <v>0</v>
      </c>
      <c r="AI153" s="61"/>
      <c r="AJ153" s="61"/>
      <c r="AK153" s="61"/>
      <c r="AL153" s="61" t="s">
        <v>127</v>
      </c>
      <c r="AM153" s="61">
        <v>0</v>
      </c>
      <c r="AN153" s="61">
        <v>0</v>
      </c>
      <c r="AO153" s="61">
        <v>0</v>
      </c>
      <c r="AP153" s="61">
        <v>0</v>
      </c>
      <c r="AQ153" s="61">
        <v>0</v>
      </c>
      <c r="AR153" s="61">
        <v>0</v>
      </c>
      <c r="AS153" s="61">
        <v>0</v>
      </c>
      <c r="AT153" s="61">
        <v>2</v>
      </c>
      <c r="AU153" s="61">
        <v>0</v>
      </c>
      <c r="AV153" s="61">
        <v>0</v>
      </c>
      <c r="AW153" s="61">
        <v>0</v>
      </c>
      <c r="AX153" s="61">
        <v>0</v>
      </c>
      <c r="AY153" s="61">
        <v>0</v>
      </c>
      <c r="AZ153" s="61">
        <v>0</v>
      </c>
      <c r="BA153" s="61">
        <v>2</v>
      </c>
      <c r="BB153" s="61">
        <v>0</v>
      </c>
      <c r="BC153" s="61">
        <v>2</v>
      </c>
      <c r="BD153" s="61">
        <v>0</v>
      </c>
      <c r="BE153" s="61">
        <v>2</v>
      </c>
      <c r="BF153" s="61">
        <v>0</v>
      </c>
      <c r="BG153" s="61">
        <v>0</v>
      </c>
      <c r="BH153" s="61">
        <v>0</v>
      </c>
      <c r="BI153" s="61">
        <v>2</v>
      </c>
      <c r="BJ153" s="61">
        <v>2</v>
      </c>
      <c r="BK153" s="61">
        <v>0</v>
      </c>
      <c r="BL153" s="61">
        <v>2</v>
      </c>
      <c r="BM153" s="61">
        <v>0</v>
      </c>
      <c r="BN153" s="61">
        <v>0</v>
      </c>
      <c r="BO153" s="61">
        <v>0</v>
      </c>
      <c r="BP153" s="61">
        <v>0</v>
      </c>
      <c r="BQ153" s="61">
        <v>0</v>
      </c>
      <c r="BR153" s="61">
        <v>0</v>
      </c>
      <c r="BS153" s="61">
        <v>0</v>
      </c>
      <c r="BT153" s="61">
        <v>0</v>
      </c>
      <c r="BU153" s="61">
        <v>0</v>
      </c>
      <c r="BV153" s="61">
        <v>2</v>
      </c>
      <c r="BW153" s="61">
        <v>0</v>
      </c>
      <c r="BX153" s="61">
        <v>0</v>
      </c>
      <c r="BY153" s="61">
        <v>0</v>
      </c>
      <c r="BZ153" s="61">
        <v>0</v>
      </c>
      <c r="CA153" s="61">
        <v>0</v>
      </c>
      <c r="CB153" s="61">
        <v>0</v>
      </c>
      <c r="CC153" s="61">
        <v>0</v>
      </c>
      <c r="CD153" s="61">
        <v>0</v>
      </c>
      <c r="CE153" s="61">
        <v>0</v>
      </c>
      <c r="CF153" s="61">
        <v>0</v>
      </c>
      <c r="CG153" s="61">
        <v>0</v>
      </c>
      <c r="CH153" s="61">
        <v>0</v>
      </c>
      <c r="CI153" s="61">
        <v>0</v>
      </c>
      <c r="CJ153" s="61">
        <v>0</v>
      </c>
      <c r="CK153" s="61">
        <v>0</v>
      </c>
      <c r="CL153" s="61"/>
      <c r="CM153" s="61" t="s">
        <v>293</v>
      </c>
      <c r="CN153" s="61">
        <v>0</v>
      </c>
      <c r="CO153" s="61">
        <v>2</v>
      </c>
      <c r="CP153" s="61">
        <v>2</v>
      </c>
      <c r="CQ153" s="61">
        <v>0</v>
      </c>
      <c r="CR153" s="61">
        <v>4</v>
      </c>
      <c r="CS153" s="61">
        <v>2</v>
      </c>
      <c r="CT153" s="61">
        <v>0</v>
      </c>
      <c r="CU153" s="61">
        <v>4</v>
      </c>
      <c r="CV153" s="61">
        <v>2</v>
      </c>
      <c r="CW153" s="61">
        <v>0</v>
      </c>
      <c r="CX153" s="61">
        <v>0</v>
      </c>
      <c r="CY153" s="61">
        <v>4</v>
      </c>
      <c r="CZ153" s="61">
        <v>2</v>
      </c>
      <c r="DA153" s="61">
        <v>0</v>
      </c>
      <c r="DB153" s="61">
        <v>4</v>
      </c>
      <c r="DC153" s="61">
        <v>2</v>
      </c>
      <c r="DD153" s="61">
        <v>0</v>
      </c>
      <c r="DE153" s="61">
        <v>0</v>
      </c>
      <c r="DF153" s="61">
        <v>2</v>
      </c>
      <c r="DG153" s="61">
        <v>2</v>
      </c>
      <c r="DH153" s="61">
        <v>0</v>
      </c>
      <c r="DI153" s="61"/>
      <c r="DJ153" s="61"/>
      <c r="DK153" s="61"/>
      <c r="DL153" s="61"/>
      <c r="DM153" s="61"/>
      <c r="DN153" s="61"/>
      <c r="DO153" s="61"/>
      <c r="DP153" s="61"/>
      <c r="DQ153" s="61"/>
      <c r="DR153" s="61"/>
      <c r="DS153" s="61"/>
      <c r="DT153" s="61"/>
      <c r="DU153" s="61"/>
      <c r="DV153" s="61"/>
      <c r="DW153" s="61"/>
      <c r="DX153" s="61"/>
      <c r="DY153" s="61"/>
      <c r="DZ153" s="61">
        <v>50</v>
      </c>
      <c r="EA153" s="61"/>
      <c r="EB153" s="61"/>
      <c r="EC153" s="61"/>
      <c r="ED153" s="61"/>
      <c r="EE153" s="61"/>
      <c r="EF153" s="61"/>
      <c r="EG153" s="61"/>
      <c r="EH153" s="61"/>
      <c r="EI153" s="61"/>
      <c r="EJ153" s="61"/>
      <c r="EK153" s="61"/>
      <c r="EL153" s="61"/>
      <c r="EM153" s="61"/>
      <c r="EN153" s="61"/>
      <c r="EO153" s="61"/>
      <c r="EP153" s="61"/>
      <c r="EQ153" s="61"/>
      <c r="ER153" s="61"/>
      <c r="ES153" s="61"/>
      <c r="ET153" s="61"/>
      <c r="EU153" s="61"/>
      <c r="EV153" s="61"/>
      <c r="EW153" s="61"/>
      <c r="EX153" s="61"/>
      <c r="EY153" s="61"/>
      <c r="EZ153" s="61"/>
      <c r="FA153" s="61"/>
      <c r="FB153" s="61"/>
      <c r="FC153" s="61"/>
      <c r="FD153" s="61"/>
      <c r="FE153" s="61"/>
      <c r="FF153" s="61"/>
      <c r="FG153" s="61"/>
      <c r="FH153" s="61"/>
      <c r="FI153" s="61"/>
      <c r="FJ153" s="61"/>
      <c r="FK153" s="61"/>
      <c r="FL153" s="61"/>
      <c r="FM153" s="61"/>
      <c r="FN153" s="61"/>
      <c r="FO153" s="61"/>
      <c r="FP153" s="61"/>
      <c r="FQ153" s="61"/>
      <c r="FR153" s="61"/>
      <c r="FS153" s="61"/>
      <c r="FT153" s="61"/>
      <c r="FU153" s="61"/>
      <c r="FV153" s="61"/>
      <c r="FW153" s="61"/>
      <c r="FX153" s="61"/>
      <c r="FY153" s="61"/>
      <c r="FZ153" s="61"/>
      <c r="GA153" s="61"/>
      <c r="GB153" s="61"/>
      <c r="GC153" s="61"/>
      <c r="GD153" s="61"/>
      <c r="GE153" s="61"/>
      <c r="GF153" s="61"/>
      <c r="GG153" s="61"/>
      <c r="GH153" s="61"/>
      <c r="GI153" s="61"/>
      <c r="GJ153" s="61"/>
      <c r="GK153" s="61"/>
      <c r="GL153" s="61"/>
      <c r="GM153" s="61"/>
      <c r="GN153" s="61"/>
      <c r="GO153" s="61"/>
      <c r="GP153" s="61"/>
      <c r="GQ153" s="61"/>
      <c r="GR153" s="61"/>
      <c r="GS153" s="61"/>
      <c r="GT153" s="61"/>
      <c r="GU153" s="61"/>
      <c r="GV153" s="61"/>
      <c r="GW153" s="61"/>
      <c r="GX153" s="61"/>
      <c r="HU153" s="143"/>
      <c r="HV153" s="141" t="s">
        <v>137</v>
      </c>
      <c r="IS153" s="60" t="s">
        <v>137</v>
      </c>
    </row>
    <row r="154" spans="1:298" x14ac:dyDescent="0.25">
      <c r="A154" s="8"/>
      <c r="B154" s="5" t="s">
        <v>116</v>
      </c>
      <c r="C154" s="8"/>
      <c r="D154" s="6" t="s">
        <v>307</v>
      </c>
      <c r="E154" s="8" t="s">
        <v>308</v>
      </c>
      <c r="F154" s="37" t="str">
        <f>IF(E154="balastowa","wartość balastu określa konstruktor","")</f>
        <v>wartość balastu określa konstruktor</v>
      </c>
      <c r="G154" s="5"/>
      <c r="H154" s="5"/>
      <c r="I154" s="5"/>
      <c r="J154" s="5"/>
      <c r="K154" s="9"/>
      <c r="L154" s="6" t="s">
        <v>208</v>
      </c>
      <c r="M154" s="11">
        <f>INDEX(cennik!$C$2:$L$529,MATCH($L154,cennik!$B$2:$B$522,0),MATCH(M$104,cennik!$C$1:$L$1,0))</f>
        <v>851117</v>
      </c>
      <c r="N154" s="11" t="str">
        <f>INDEX(cennik!$C$2:$L$529,MATCH($L154,cennik!$B$2:$B$522,0),MATCH(N$104,cennik!$C$1:$L$1,0))</f>
        <v>szt.</v>
      </c>
      <c r="O154" s="11">
        <f>SUM(AC143:AC158)</f>
        <v>0</v>
      </c>
      <c r="P154" s="34">
        <f>INDEX(cennik!$C$2:$L$529,MATCH($L154,cennik!$B$2:$B$522,0),MATCH(P$104,cennik!$C$1:$L$1,0))</f>
        <v>35.700000000000003</v>
      </c>
      <c r="Q154" s="34">
        <f t="shared" si="116"/>
        <v>0</v>
      </c>
      <c r="R154" s="35">
        <f t="shared" si="114"/>
        <v>0</v>
      </c>
      <c r="S154" s="34">
        <f t="shared" si="115"/>
        <v>35.700000000000003</v>
      </c>
      <c r="T154" s="34">
        <f t="shared" si="117"/>
        <v>0</v>
      </c>
      <c r="U154" s="34">
        <f>INDEX(cennik!$C$2:$L$529,MATCH($L154,cennik!$B$2:$B$522,0),MATCH(U$104,cennik!$C$1:$L$1,0))*O154</f>
        <v>0</v>
      </c>
      <c r="V154" s="61"/>
      <c r="W154" s="142">
        <f t="shared" si="111"/>
        <v>0</v>
      </c>
      <c r="X154" s="61">
        <f t="shared" si="112"/>
        <v>0</v>
      </c>
      <c r="Y154" s="61"/>
      <c r="Z154" s="61">
        <f>(INDEX(($EW$107:$GU$115,$EW$119:$GU$127,$EW$132:$GU$140,$EW$144:$GU$152),MATCH($L$160,$EV$107:$EV$115,0),MATCH(A162,$EW$106:$GU$106,0),MATCH($G$152,$X$128:$X$131,0)))*C162</f>
        <v>0</v>
      </c>
      <c r="AA154" s="61">
        <f>(INDEX(($EW$107:$GU$115,$EW$119:$GU$127,$EW$132:$GU$140,$EW$144:$GU$152),MATCH($L$152,$EV$107:$EV$115,0),MATCH(A162,$EW$106:$GU$106,0),MATCH($G$152,$X$128:$X$131,0)))*C162</f>
        <v>0</v>
      </c>
      <c r="AB154" s="61">
        <f>(INDEX(($EW$107:$GU$115,$EW$119:$GU$127,$EW$132:$GU$140,$EW$144:$GU$152),MATCH($L$153,$EV$107:$EV$115,0),MATCH(A162,$EW$106:$GU$106,0),MATCH($G$152,$X$128:$X$131,0)))*C162</f>
        <v>0</v>
      </c>
      <c r="AC154" s="61">
        <f>(INDEX(($EW$107:$GU$115,$EW$119:$GU$127,$EW$132:$GU$140,$EW$144:$GU$152),MATCH($L$154,$EV$107:$EV$115,0),MATCH(A162,$EW$106:$GU$106,0),MATCH($G$152,$X$128:$X$131,0)))*C162</f>
        <v>0</v>
      </c>
      <c r="AD154" s="61">
        <f>(INDEX(($EW$107:$GU$115,$EW$119:$GU$127,$EW$132:$GU$140,$EW$144:$GU$152),MATCH($L$155,$EV$107:$EV$115,0),MATCH(A162,$EW$106:$GU$106,0),MATCH($G$152,$X$128:$X$131,0)))*C162</f>
        <v>0</v>
      </c>
      <c r="AE154" s="61">
        <f>(INDEX(($EW$107:$GU$115,$EW$119:$GU$127,$EW$132:$GU$140,$EW$144:$GU$152),MATCH($L$156,$EV$107:$EV$115,0),MATCH(A162,$EW$106:$GU$106,0),MATCH($G$152,$X$128:$X$131,0)))*C162</f>
        <v>0</v>
      </c>
      <c r="AF154" s="61">
        <f>(INDEX(($EW$107:$GU$115,$EW$119:$GU$127,$EW$132:$GU$140,$EW$144:$GU$152),MATCH($L$157,$EV$107:$EV$115,0),MATCH(A162,$EW$106:$GU$106,0),MATCH($G$152,$X$128:$X$131,0)))*C162</f>
        <v>0</v>
      </c>
      <c r="AG154" s="61">
        <f>(INDEX(($EW$107:$GU$115,$EW$119:$GU$127,$EW$132:$GU$140,$EW$144:$GU$152),MATCH($L$158,$EV$107:$EV$115,0),MATCH(A162,$EW$106:$GU$106,0),MATCH($G$152,$X$128:$X$131,0)))*C162</f>
        <v>0</v>
      </c>
      <c r="AH154" s="61">
        <f>(INDEX(($EW$107:$GU$115,$EW$119:$GU$127,$EW$132:$GU$140,$EW$144:$GU$152),MATCH($L$159,$EV$107:$EV$115,0),MATCH(A162,$EW$106:$GU$106,0),MATCH($G$152,$X$128:$X$131,0)))*C162</f>
        <v>0</v>
      </c>
      <c r="AI154" s="61"/>
      <c r="AJ154" s="61"/>
      <c r="AK154" s="61"/>
      <c r="AL154" s="61" t="s">
        <v>15</v>
      </c>
      <c r="AM154" s="61">
        <v>0</v>
      </c>
      <c r="AN154" s="61">
        <v>0</v>
      </c>
      <c r="AO154" s="61">
        <v>0</v>
      </c>
      <c r="AP154" s="61">
        <v>2</v>
      </c>
      <c r="AQ154" s="61">
        <v>2</v>
      </c>
      <c r="AR154" s="61">
        <v>0</v>
      </c>
      <c r="AS154" s="61">
        <v>4</v>
      </c>
      <c r="AT154" s="61">
        <v>0</v>
      </c>
      <c r="AU154" s="61">
        <v>2</v>
      </c>
      <c r="AV154" s="61">
        <v>10</v>
      </c>
      <c r="AW154" s="61">
        <v>0</v>
      </c>
      <c r="AX154" s="61">
        <v>10</v>
      </c>
      <c r="AY154" s="61">
        <v>0</v>
      </c>
      <c r="AZ154" s="61">
        <v>6</v>
      </c>
      <c r="BA154" s="61">
        <v>14</v>
      </c>
      <c r="BB154" s="61">
        <v>4</v>
      </c>
      <c r="BC154" s="61">
        <v>10</v>
      </c>
      <c r="BD154" s="61">
        <v>2</v>
      </c>
      <c r="BE154" s="61">
        <v>8</v>
      </c>
      <c r="BF154" s="61">
        <v>0</v>
      </c>
      <c r="BG154" s="61">
        <v>20</v>
      </c>
      <c r="BH154" s="61">
        <v>0</v>
      </c>
      <c r="BI154" s="61">
        <v>8</v>
      </c>
      <c r="BJ154" s="61">
        <v>24</v>
      </c>
      <c r="BK154" s="61">
        <v>16</v>
      </c>
      <c r="BL154" s="61">
        <v>22</v>
      </c>
      <c r="BM154" s="61">
        <v>14</v>
      </c>
      <c r="BN154" s="61">
        <v>8</v>
      </c>
      <c r="BO154" s="61">
        <v>12</v>
      </c>
      <c r="BP154" s="61">
        <v>32</v>
      </c>
      <c r="BQ154" s="61">
        <v>10</v>
      </c>
      <c r="BR154" s="61">
        <v>30</v>
      </c>
      <c r="BS154" s="61">
        <v>6</v>
      </c>
      <c r="BT154" s="61">
        <v>28</v>
      </c>
      <c r="BU154" s="61">
        <v>4</v>
      </c>
      <c r="BV154" s="61">
        <v>10</v>
      </c>
      <c r="BW154" s="61">
        <v>2</v>
      </c>
      <c r="BX154" s="61">
        <v>2</v>
      </c>
      <c r="BY154" s="61">
        <v>0</v>
      </c>
      <c r="BZ154" s="61">
        <v>20</v>
      </c>
      <c r="CA154" s="61">
        <v>0</v>
      </c>
      <c r="CB154" s="61">
        <v>18</v>
      </c>
      <c r="CC154" s="61">
        <v>0</v>
      </c>
      <c r="CD154" s="61">
        <v>16</v>
      </c>
      <c r="CE154" s="61">
        <v>0</v>
      </c>
      <c r="CF154" s="61">
        <v>14</v>
      </c>
      <c r="CG154" s="61">
        <v>0</v>
      </c>
      <c r="CH154" s="61">
        <v>12</v>
      </c>
      <c r="CI154" s="61">
        <v>32</v>
      </c>
      <c r="CJ154" s="61">
        <v>10</v>
      </c>
      <c r="CK154" s="61">
        <v>30</v>
      </c>
      <c r="CL154" s="61"/>
      <c r="CM154" s="61" t="s">
        <v>212</v>
      </c>
      <c r="CN154" s="61">
        <v>0</v>
      </c>
      <c r="CO154" s="61">
        <v>0</v>
      </c>
      <c r="CP154" s="61">
        <v>0</v>
      </c>
      <c r="CQ154" s="61">
        <v>2</v>
      </c>
      <c r="CR154" s="61">
        <v>0</v>
      </c>
      <c r="CS154" s="61">
        <v>2</v>
      </c>
      <c r="CT154" s="61">
        <v>4</v>
      </c>
      <c r="CU154" s="61">
        <v>2</v>
      </c>
      <c r="CV154" s="61">
        <v>4</v>
      </c>
      <c r="CW154" s="61">
        <v>6</v>
      </c>
      <c r="CX154" s="61">
        <v>6</v>
      </c>
      <c r="CY154" s="61">
        <v>4</v>
      </c>
      <c r="CZ154" s="61">
        <v>6</v>
      </c>
      <c r="DA154" s="61">
        <v>8</v>
      </c>
      <c r="DB154" s="61">
        <v>6</v>
      </c>
      <c r="DC154" s="61">
        <v>8</v>
      </c>
      <c r="DD154" s="61">
        <v>10</v>
      </c>
      <c r="DE154" s="61">
        <v>10</v>
      </c>
      <c r="DF154" s="61">
        <v>10</v>
      </c>
      <c r="DG154" s="61">
        <v>10</v>
      </c>
      <c r="DH154" s="61">
        <v>12</v>
      </c>
      <c r="DI154" s="61"/>
      <c r="DJ154" s="61"/>
      <c r="DK154" s="61"/>
      <c r="DL154" s="61"/>
      <c r="DM154" s="61"/>
      <c r="DN154" s="61"/>
      <c r="DO154" s="61"/>
      <c r="DP154" s="61"/>
      <c r="DQ154" s="61"/>
      <c r="DR154" s="61"/>
      <c r="DS154" s="61"/>
      <c r="DT154" s="61"/>
      <c r="DU154" s="61"/>
      <c r="DV154" s="61"/>
      <c r="DW154" s="61"/>
      <c r="DX154" s="61"/>
      <c r="DY154" s="61"/>
      <c r="DZ154" s="61"/>
      <c r="EA154" s="61"/>
      <c r="EB154" s="61"/>
      <c r="EC154" s="61"/>
      <c r="ED154" s="61"/>
      <c r="EE154" s="61"/>
      <c r="EF154" s="61"/>
      <c r="EG154" s="61"/>
      <c r="EH154" s="61"/>
      <c r="EI154" s="61"/>
      <c r="EJ154" s="61"/>
      <c r="EK154" s="61"/>
      <c r="EL154" s="61"/>
      <c r="EM154" s="61"/>
      <c r="EN154" s="61"/>
      <c r="EO154" s="61"/>
      <c r="EP154" s="61"/>
      <c r="EQ154" s="61"/>
      <c r="ER154" s="61"/>
      <c r="ES154" s="61"/>
      <c r="ET154" s="61"/>
      <c r="EU154" s="61"/>
      <c r="EV154" s="61" t="s">
        <v>111</v>
      </c>
      <c r="EW154" s="61"/>
      <c r="EX154" s="61"/>
      <c r="EY154" s="61"/>
      <c r="EZ154" s="61"/>
      <c r="FA154" s="61"/>
      <c r="FB154" s="61"/>
      <c r="FC154" s="61"/>
      <c r="FD154" s="61"/>
      <c r="FE154" s="61"/>
      <c r="FF154" s="61"/>
      <c r="FG154" s="61"/>
      <c r="FH154" s="61"/>
      <c r="FI154" s="61"/>
      <c r="FJ154" s="61"/>
      <c r="FK154" s="61"/>
      <c r="FL154" s="61"/>
      <c r="FM154" s="61"/>
      <c r="FN154" s="61"/>
      <c r="FO154" s="61"/>
      <c r="FP154" s="61"/>
      <c r="FQ154" s="61"/>
      <c r="FR154" s="61"/>
      <c r="FS154" s="61"/>
      <c r="FT154" s="61"/>
      <c r="FU154" s="61"/>
      <c r="FV154" s="61"/>
      <c r="FW154" s="61"/>
      <c r="FX154" s="61"/>
      <c r="FY154" s="61"/>
      <c r="FZ154" s="61"/>
      <c r="GA154" s="61"/>
      <c r="GB154" s="61"/>
      <c r="GC154" s="61"/>
      <c r="GD154" s="61"/>
      <c r="GE154" s="61"/>
      <c r="GF154" s="61"/>
      <c r="GG154" s="61"/>
      <c r="GH154" s="61"/>
      <c r="GI154" s="61"/>
      <c r="GJ154" s="61"/>
      <c r="GK154" s="61"/>
      <c r="GL154" s="61"/>
      <c r="GM154" s="61"/>
      <c r="GN154" s="61"/>
      <c r="GO154" s="61"/>
      <c r="GP154" s="61"/>
      <c r="GQ154" s="61"/>
      <c r="GR154" s="61"/>
      <c r="GS154" s="61"/>
      <c r="GT154" s="61"/>
      <c r="GU154" s="61"/>
      <c r="GV154" s="61"/>
      <c r="GW154" s="61"/>
      <c r="GX154" s="61"/>
      <c r="HW154" s="60">
        <v>0</v>
      </c>
      <c r="HX154" s="60">
        <v>1</v>
      </c>
      <c r="HY154" s="60">
        <v>2</v>
      </c>
      <c r="HZ154" s="60">
        <v>3</v>
      </c>
      <c r="IA154" s="60">
        <v>4</v>
      </c>
      <c r="IB154" s="60">
        <v>5</v>
      </c>
      <c r="IC154" s="60">
        <v>6</v>
      </c>
      <c r="ID154" s="60">
        <v>7</v>
      </c>
      <c r="IE154" s="60">
        <v>8</v>
      </c>
      <c r="IF154" s="60">
        <v>9</v>
      </c>
      <c r="IG154" s="60">
        <v>10</v>
      </c>
      <c r="IH154" s="60">
        <v>11</v>
      </c>
      <c r="II154" s="60">
        <v>12</v>
      </c>
      <c r="IJ154" s="60">
        <v>13</v>
      </c>
      <c r="IK154" s="60">
        <v>14</v>
      </c>
      <c r="IL154" s="60">
        <v>15</v>
      </c>
      <c r="IM154" s="60">
        <v>16</v>
      </c>
      <c r="IN154" s="60">
        <v>17</v>
      </c>
      <c r="IO154" s="60">
        <v>18</v>
      </c>
      <c r="IP154" s="60">
        <v>19</v>
      </c>
      <c r="IQ154" s="60">
        <v>20</v>
      </c>
      <c r="IT154" s="60">
        <f t="shared" si="69"/>
        <v>0</v>
      </c>
      <c r="IU154" s="60">
        <f t="shared" si="70"/>
        <v>2</v>
      </c>
      <c r="IV154" s="60">
        <f t="shared" si="71"/>
        <v>4</v>
      </c>
      <c r="IW154" s="60">
        <f t="shared" si="72"/>
        <v>6</v>
      </c>
      <c r="IX154" s="60">
        <f t="shared" si="73"/>
        <v>8</v>
      </c>
      <c r="IY154" s="60">
        <f t="shared" si="74"/>
        <v>10</v>
      </c>
      <c r="IZ154" s="60">
        <f t="shared" si="75"/>
        <v>12</v>
      </c>
      <c r="JA154" s="60">
        <f t="shared" si="76"/>
        <v>14</v>
      </c>
      <c r="JB154" s="60">
        <f t="shared" si="77"/>
        <v>16</v>
      </c>
      <c r="JC154" s="60">
        <f t="shared" si="78"/>
        <v>18</v>
      </c>
      <c r="JD154" s="60">
        <f t="shared" si="79"/>
        <v>20</v>
      </c>
      <c r="JE154" s="60">
        <f t="shared" si="80"/>
        <v>22</v>
      </c>
      <c r="JF154" s="60">
        <f t="shared" si="81"/>
        <v>24</v>
      </c>
      <c r="JG154" s="60">
        <f t="shared" si="82"/>
        <v>26</v>
      </c>
      <c r="JH154" s="60">
        <f t="shared" si="83"/>
        <v>28</v>
      </c>
      <c r="JI154" s="60">
        <f t="shared" si="84"/>
        <v>30</v>
      </c>
      <c r="JJ154" s="60">
        <f t="shared" si="85"/>
        <v>32</v>
      </c>
      <c r="JK154" s="60">
        <f t="shared" si="86"/>
        <v>34</v>
      </c>
      <c r="JL154" s="60">
        <f t="shared" si="87"/>
        <v>36</v>
      </c>
      <c r="JM154" s="60">
        <f t="shared" si="88"/>
        <v>38</v>
      </c>
      <c r="JN154" s="60">
        <f t="shared" si="89"/>
        <v>40</v>
      </c>
      <c r="JR154" s="61"/>
      <c r="JS154" s="61"/>
      <c r="JT154" s="61"/>
      <c r="JU154" s="61"/>
      <c r="JV154" s="61"/>
      <c r="JW154" s="61"/>
      <c r="JX154" s="61"/>
      <c r="JY154" s="61"/>
      <c r="JZ154" s="61"/>
      <c r="KA154" s="61"/>
      <c r="KB154" s="61"/>
      <c r="KC154" s="61"/>
      <c r="KD154" s="61"/>
      <c r="KE154" s="61"/>
      <c r="KF154" s="61"/>
      <c r="KG154" s="61"/>
      <c r="KH154" s="61"/>
      <c r="KI154" s="61"/>
      <c r="KJ154" s="61"/>
      <c r="KK154" s="61"/>
      <c r="KL154" s="61"/>
    </row>
    <row r="155" spans="1:298" x14ac:dyDescent="0.25">
      <c r="A155" s="8"/>
      <c r="B155" s="5" t="s">
        <v>116</v>
      </c>
      <c r="C155" s="8"/>
      <c r="D155" s="6" t="s">
        <v>310</v>
      </c>
      <c r="E155" s="8">
        <v>25</v>
      </c>
      <c r="F155" s="5"/>
      <c r="G155" s="5"/>
      <c r="H155" s="5"/>
      <c r="I155" s="5"/>
      <c r="J155" s="5" t="s">
        <v>411</v>
      </c>
      <c r="K155" s="9"/>
      <c r="L155" s="6" t="s">
        <v>211</v>
      </c>
      <c r="M155" s="11">
        <f>INDEX(cennik!$C$2:$L$529,MATCH($L155,cennik!$B$2:$B$522,0),MATCH(M$104,cennik!$C$1:$L$1,0))</f>
        <v>6441205</v>
      </c>
      <c r="N155" s="11" t="str">
        <f>INDEX(cennik!$C$2:$L$529,MATCH($L155,cennik!$B$2:$B$522,0),MATCH(N$104,cennik!$C$1:$L$1,0))</f>
        <v>szt.</v>
      </c>
      <c r="O155" s="11">
        <f>SUM(AD143:AD158)</f>
        <v>0</v>
      </c>
      <c r="P155" s="34">
        <f>INDEX(cennik!$C$2:$L$529,MATCH($L155,cennik!$B$2:$B$522,0),MATCH(P$104,cennik!$C$1:$L$1,0))</f>
        <v>46.35</v>
      </c>
      <c r="Q155" s="34">
        <f t="shared" si="116"/>
        <v>0</v>
      </c>
      <c r="R155" s="35">
        <f t="shared" si="114"/>
        <v>0</v>
      </c>
      <c r="S155" s="34">
        <f t="shared" si="115"/>
        <v>46.35</v>
      </c>
      <c r="T155" s="34">
        <f t="shared" si="117"/>
        <v>0</v>
      </c>
      <c r="U155" s="34">
        <f>INDEX(cennik!$C$2:$L$529,MATCH($L155,cennik!$B$2:$B$522,0),MATCH(U$104,cennik!$C$1:$L$1,0))*O155</f>
        <v>0</v>
      </c>
      <c r="V155" s="61"/>
      <c r="W155" s="142">
        <f t="shared" si="111"/>
        <v>0</v>
      </c>
      <c r="X155" s="61">
        <f t="shared" si="112"/>
        <v>0</v>
      </c>
      <c r="Y155" s="61"/>
      <c r="Z155" s="61">
        <f>(INDEX(($EW$107:$GU$115,$EW$119:$GU$127,$EW$132:$GU$140,$EW$144:$GU$152),MATCH($L$160,$EV$107:$EV$115,0),MATCH(A163,$EW$106:$GU$106,0),MATCH($G$152,$X$128:$X$131,0)))*C163</f>
        <v>0</v>
      </c>
      <c r="AA155" s="61">
        <f>(INDEX(($EW$107:$GU$115,$EW$119:$GU$127,$EW$132:$GU$140,$EW$144:$GU$152),MATCH($L$152,$EV$107:$EV$115,0),MATCH(A163,$EW$106:$GU$106,0),MATCH($G$152,$X$128:$X$131,0)))*C163</f>
        <v>0</v>
      </c>
      <c r="AB155" s="61">
        <f>(INDEX(($EW$107:$GU$115,$EW$119:$GU$127,$EW$132:$GU$140,$EW$144:$GU$152),MATCH($L$153,$EV$107:$EV$115,0),MATCH(A163,$EW$106:$GU$106,0),MATCH($G$152,$X$128:$X$131,0)))*C163</f>
        <v>0</v>
      </c>
      <c r="AC155" s="61">
        <f>(INDEX(($EW$107:$GU$115,$EW$119:$GU$127,$EW$132:$GU$140,$EW$144:$GU$152),MATCH($L$154,$EV$107:$EV$115,0),MATCH(A163,$EW$106:$GU$106,0),MATCH($G$152,$X$128:$X$131,0)))*C163</f>
        <v>0</v>
      </c>
      <c r="AD155" s="61">
        <f>(INDEX(($EW$107:$GU$115,$EW$119:$GU$127,$EW$132:$GU$140,$EW$144:$GU$152),MATCH($L$155,$EV$107:$EV$115,0),MATCH(A163,$EW$106:$GU$106,0),MATCH($G$152,$X$128:$X$131,0)))*C163</f>
        <v>0</v>
      </c>
      <c r="AE155" s="61">
        <f>(INDEX(($EW$107:$GU$115,$EW$119:$GU$127,$EW$132:$GU$140,$EW$144:$GU$152),MATCH($L$156,$EV$107:$EV$115,0),MATCH(A163,$EW$106:$GU$106,0),MATCH($G$152,$X$128:$X$131,0)))*C163</f>
        <v>0</v>
      </c>
      <c r="AF155" s="61">
        <f>(INDEX(($EW$107:$GU$115,$EW$119:$GU$127,$EW$132:$GU$140,$EW$144:$GU$152),MATCH($L$157,$EV$107:$EV$115,0),MATCH(A163,$EW$106:$GU$106,0),MATCH($G$152,$X$128:$X$131,0)))*C163</f>
        <v>0</v>
      </c>
      <c r="AG155" s="61">
        <f>(INDEX(($EW$107:$GU$115,$EW$119:$GU$127,$EW$132:$GU$140,$EW$144:$GU$152),MATCH($L$158,$EV$107:$EV$115,0),MATCH(A163,$EW$106:$GU$106,0),MATCH($G$152,$X$128:$X$131,0)))*C163</f>
        <v>0</v>
      </c>
      <c r="AH155" s="61">
        <f>(INDEX(($EW$107:$GU$115,$EW$119:$GU$127,$EW$132:$GU$140,$EW$144:$GU$152),MATCH($L$159,$EV$107:$EV$115,0),MATCH(A163,$EW$106:$GU$106,0),MATCH($G$152,$X$128:$X$131,0)))*C163</f>
        <v>0</v>
      </c>
      <c r="AI155" s="61"/>
      <c r="AJ155" s="61"/>
      <c r="AK155" s="61"/>
      <c r="AL155" s="61" t="s">
        <v>19</v>
      </c>
      <c r="AM155" s="61">
        <v>0</v>
      </c>
      <c r="AN155" s="61">
        <v>0</v>
      </c>
      <c r="AO155" s="61">
        <v>0</v>
      </c>
      <c r="AP155" s="61">
        <v>0</v>
      </c>
      <c r="AQ155" s="61">
        <v>0</v>
      </c>
      <c r="AR155" s="61">
        <v>4</v>
      </c>
      <c r="AS155" s="61">
        <v>0</v>
      </c>
      <c r="AT155" s="61">
        <v>6</v>
      </c>
      <c r="AU155" s="61">
        <v>4</v>
      </c>
      <c r="AV155" s="61">
        <v>0</v>
      </c>
      <c r="AW155" s="61">
        <v>8</v>
      </c>
      <c r="AX155" s="61">
        <v>2</v>
      </c>
      <c r="AY155" s="61">
        <v>10</v>
      </c>
      <c r="AZ155" s="61">
        <v>8</v>
      </c>
      <c r="BA155" s="61">
        <v>0</v>
      </c>
      <c r="BB155" s="61">
        <v>12</v>
      </c>
      <c r="BC155" s="61">
        <v>6</v>
      </c>
      <c r="BD155" s="61">
        <v>16</v>
      </c>
      <c r="BE155" s="61">
        <v>10</v>
      </c>
      <c r="BF155" s="61">
        <v>20</v>
      </c>
      <c r="BG155" s="61">
        <v>2</v>
      </c>
      <c r="BH155" s="61">
        <v>22</v>
      </c>
      <c r="BI155" s="61">
        <v>14</v>
      </c>
      <c r="BJ155" s="61">
        <v>0</v>
      </c>
      <c r="BK155" s="61">
        <v>10</v>
      </c>
      <c r="BL155" s="61">
        <v>4</v>
      </c>
      <c r="BM155" s="61">
        <v>14</v>
      </c>
      <c r="BN155" s="61">
        <v>18</v>
      </c>
      <c r="BO155" s="61">
        <v>18</v>
      </c>
      <c r="BP155" s="61">
        <v>0</v>
      </c>
      <c r="BQ155" s="61">
        <v>22</v>
      </c>
      <c r="BR155" s="61">
        <v>4</v>
      </c>
      <c r="BS155" s="61">
        <v>28</v>
      </c>
      <c r="BT155" s="61">
        <v>8</v>
      </c>
      <c r="BU155" s="61">
        <v>32</v>
      </c>
      <c r="BV155" s="61">
        <v>26</v>
      </c>
      <c r="BW155" s="61">
        <v>36</v>
      </c>
      <c r="BX155" s="61">
        <v>36</v>
      </c>
      <c r="BY155" s="61">
        <v>40</v>
      </c>
      <c r="BZ155" s="61">
        <v>22</v>
      </c>
      <c r="CA155" s="61">
        <v>42</v>
      </c>
      <c r="CB155" s="61">
        <v>26</v>
      </c>
      <c r="CC155" s="61">
        <v>44</v>
      </c>
      <c r="CD155" s="61">
        <v>30</v>
      </c>
      <c r="CE155" s="61">
        <v>46</v>
      </c>
      <c r="CF155" s="61">
        <v>34</v>
      </c>
      <c r="CG155" s="61">
        <v>48</v>
      </c>
      <c r="CH155" s="61">
        <v>38</v>
      </c>
      <c r="CI155" s="61">
        <v>20</v>
      </c>
      <c r="CJ155" s="61">
        <v>42</v>
      </c>
      <c r="CK155" s="61">
        <v>24</v>
      </c>
      <c r="CL155" s="61"/>
      <c r="CM155" s="61" t="s">
        <v>11</v>
      </c>
      <c r="CN155" s="61">
        <v>0</v>
      </c>
      <c r="CO155" s="61">
        <v>0</v>
      </c>
      <c r="CP155" s="61">
        <v>0</v>
      </c>
      <c r="CQ155" s="61">
        <v>0</v>
      </c>
      <c r="CR155" s="61">
        <v>2</v>
      </c>
      <c r="CS155" s="61">
        <v>2</v>
      </c>
      <c r="CT155" s="61">
        <v>2</v>
      </c>
      <c r="CU155" s="61">
        <v>4</v>
      </c>
      <c r="CV155" s="61">
        <v>4</v>
      </c>
      <c r="CW155" s="61">
        <v>4</v>
      </c>
      <c r="CX155" s="61">
        <v>4</v>
      </c>
      <c r="CY155" s="61">
        <v>6</v>
      </c>
      <c r="CZ155" s="61">
        <v>6</v>
      </c>
      <c r="DA155" s="61">
        <v>6</v>
      </c>
      <c r="DB155" s="61">
        <v>8</v>
      </c>
      <c r="DC155" s="61">
        <v>8</v>
      </c>
      <c r="DD155" s="61">
        <v>8</v>
      </c>
      <c r="DE155" s="61">
        <v>8</v>
      </c>
      <c r="DF155" s="61">
        <v>10</v>
      </c>
      <c r="DG155" s="61">
        <v>10</v>
      </c>
      <c r="DH155" s="61">
        <v>10</v>
      </c>
      <c r="DI155" s="61"/>
      <c r="DJ155" s="61"/>
      <c r="DK155" s="61"/>
      <c r="DL155" s="61"/>
      <c r="DM155" s="61"/>
      <c r="DN155" s="61"/>
      <c r="DO155" s="61"/>
      <c r="DP155" s="61"/>
      <c r="DQ155" s="61"/>
      <c r="DR155" s="61"/>
      <c r="DS155" s="61"/>
      <c r="DT155" s="61"/>
      <c r="DU155" s="61"/>
      <c r="DV155" s="61"/>
      <c r="DW155" s="61"/>
      <c r="DX155" s="61"/>
      <c r="DY155" s="61"/>
      <c r="DZ155" s="61"/>
      <c r="EA155" s="61"/>
      <c r="EB155" s="61"/>
      <c r="EC155" s="61"/>
      <c r="ED155" s="61"/>
      <c r="EE155" s="61"/>
      <c r="EF155" s="61"/>
      <c r="EG155" s="61"/>
      <c r="EH155" s="61"/>
      <c r="EI155" s="61"/>
      <c r="EJ155" s="61"/>
      <c r="EK155" s="61"/>
      <c r="EL155" s="61"/>
      <c r="EM155" s="61"/>
      <c r="EN155" s="61"/>
      <c r="EO155" s="61"/>
      <c r="EP155" s="61"/>
      <c r="EQ155" s="61"/>
      <c r="ER155" s="61"/>
      <c r="ES155" s="61"/>
      <c r="ET155" s="61"/>
      <c r="EU155" s="61"/>
      <c r="EV155" s="61"/>
      <c r="EW155" s="61">
        <v>0</v>
      </c>
      <c r="EX155" s="61">
        <v>1</v>
      </c>
      <c r="EY155" s="61">
        <v>2</v>
      </c>
      <c r="EZ155" s="61">
        <v>3</v>
      </c>
      <c r="FA155" s="61">
        <v>4</v>
      </c>
      <c r="FB155" s="61">
        <v>5</v>
      </c>
      <c r="FC155" s="61">
        <v>6</v>
      </c>
      <c r="FD155" s="61">
        <v>7</v>
      </c>
      <c r="FE155" s="61">
        <v>8</v>
      </c>
      <c r="FF155" s="61">
        <v>9</v>
      </c>
      <c r="FG155" s="61">
        <v>10</v>
      </c>
      <c r="FH155" s="61"/>
      <c r="FI155" s="61" t="s">
        <v>472</v>
      </c>
      <c r="FJ155" s="61"/>
      <c r="FK155" s="61"/>
      <c r="FL155" s="61"/>
      <c r="FM155" s="61"/>
      <c r="FN155" s="61"/>
      <c r="FO155" s="61"/>
      <c r="FP155" s="61"/>
      <c r="FQ155" s="61"/>
      <c r="FR155" s="61"/>
      <c r="FS155" s="61"/>
      <c r="FT155" s="61"/>
      <c r="FU155" s="61"/>
      <c r="FV155" s="61" t="s">
        <v>137</v>
      </c>
      <c r="FW155" s="61"/>
      <c r="FX155" s="61"/>
      <c r="FY155" s="61"/>
      <c r="FZ155" s="61"/>
      <c r="GA155" s="61"/>
      <c r="GB155" s="61"/>
      <c r="GC155" s="61"/>
      <c r="GD155" s="61"/>
      <c r="GE155" s="61"/>
      <c r="GF155" s="61"/>
      <c r="GG155" s="61"/>
      <c r="GH155" s="61"/>
      <c r="GI155" s="61"/>
      <c r="GJ155" s="61"/>
      <c r="GK155" s="61"/>
      <c r="GL155" s="61"/>
      <c r="GM155" s="61"/>
      <c r="GN155" s="61"/>
      <c r="GO155" s="61"/>
      <c r="GP155" s="61"/>
      <c r="GQ155" s="61"/>
      <c r="GR155" s="61"/>
      <c r="GS155" s="61"/>
      <c r="GT155" s="61"/>
      <c r="GU155" s="61"/>
      <c r="GV155" s="61"/>
      <c r="GW155" s="61"/>
      <c r="GX155" s="61"/>
      <c r="HV155" s="60" t="s">
        <v>826</v>
      </c>
      <c r="HW155" s="60">
        <v>0</v>
      </c>
      <c r="HX155" s="60">
        <v>2</v>
      </c>
      <c r="HY155" s="60">
        <v>4</v>
      </c>
      <c r="HZ155" s="60">
        <v>0</v>
      </c>
      <c r="IA155" s="60">
        <v>2</v>
      </c>
      <c r="IB155" s="60">
        <v>0</v>
      </c>
      <c r="IC155" s="60">
        <v>2</v>
      </c>
      <c r="ID155" s="60">
        <v>4</v>
      </c>
      <c r="IE155" s="60">
        <v>0</v>
      </c>
      <c r="IF155" s="60">
        <v>2</v>
      </c>
      <c r="IG155" s="60">
        <v>4</v>
      </c>
      <c r="IH155" s="60">
        <v>0</v>
      </c>
      <c r="II155" s="60">
        <v>2</v>
      </c>
      <c r="IJ155" s="60">
        <v>0</v>
      </c>
      <c r="IK155" s="60">
        <v>2</v>
      </c>
      <c r="IL155" s="60">
        <v>4</v>
      </c>
      <c r="IM155" s="60">
        <v>0</v>
      </c>
      <c r="IN155" s="60">
        <v>2</v>
      </c>
      <c r="IO155" s="60">
        <v>4</v>
      </c>
      <c r="IP155" s="60">
        <v>0</v>
      </c>
      <c r="IQ155" s="60">
        <v>2</v>
      </c>
      <c r="IS155" s="60" t="s">
        <v>826</v>
      </c>
      <c r="IT155" s="60">
        <f t="shared" si="69"/>
        <v>0</v>
      </c>
      <c r="IU155" s="60">
        <f t="shared" si="70"/>
        <v>4</v>
      </c>
      <c r="IV155" s="60">
        <f t="shared" si="71"/>
        <v>8</v>
      </c>
      <c r="IW155" s="60">
        <f t="shared" si="72"/>
        <v>0</v>
      </c>
      <c r="IX155" s="60">
        <f t="shared" si="73"/>
        <v>4</v>
      </c>
      <c r="IY155" s="60">
        <f t="shared" si="74"/>
        <v>0</v>
      </c>
      <c r="IZ155" s="60">
        <f t="shared" si="75"/>
        <v>4</v>
      </c>
      <c r="JA155" s="60">
        <f t="shared" si="76"/>
        <v>8</v>
      </c>
      <c r="JB155" s="60">
        <f t="shared" si="77"/>
        <v>0</v>
      </c>
      <c r="JC155" s="60">
        <f t="shared" si="78"/>
        <v>4</v>
      </c>
      <c r="JD155" s="60">
        <f t="shared" si="79"/>
        <v>8</v>
      </c>
      <c r="JE155" s="60">
        <f t="shared" si="80"/>
        <v>0</v>
      </c>
      <c r="JF155" s="60">
        <f t="shared" si="81"/>
        <v>4</v>
      </c>
      <c r="JG155" s="60">
        <f t="shared" si="82"/>
        <v>0</v>
      </c>
      <c r="JH155" s="60">
        <f t="shared" si="83"/>
        <v>4</v>
      </c>
      <c r="JI155" s="60">
        <f t="shared" si="84"/>
        <v>8</v>
      </c>
      <c r="JJ155" s="60">
        <f t="shared" si="85"/>
        <v>0</v>
      </c>
      <c r="JK155" s="60">
        <f t="shared" si="86"/>
        <v>4</v>
      </c>
      <c r="JL155" s="60">
        <f t="shared" si="87"/>
        <v>8</v>
      </c>
      <c r="JM155" s="60">
        <f t="shared" si="88"/>
        <v>0</v>
      </c>
      <c r="JN155" s="60">
        <f t="shared" si="89"/>
        <v>4</v>
      </c>
    </row>
    <row r="156" spans="1:298" x14ac:dyDescent="0.25">
      <c r="A156" s="8"/>
      <c r="B156" s="5" t="s">
        <v>116</v>
      </c>
      <c r="C156" s="8"/>
      <c r="D156" s="6" t="s">
        <v>162</v>
      </c>
      <c r="E156" s="8">
        <v>0</v>
      </c>
      <c r="F156" s="5"/>
      <c r="G156" s="5"/>
      <c r="H156" s="5"/>
      <c r="I156" s="5"/>
      <c r="J156" s="5" t="s">
        <v>163</v>
      </c>
      <c r="K156" s="9"/>
      <c r="L156" s="6" t="s">
        <v>293</v>
      </c>
      <c r="M156" s="11">
        <f>INDEX(cennik!$C$2:$L$529,MATCH($L156,cennik!$B$2:$B$522,0),MATCH(M$104,cennik!$C$1:$L$1,0))</f>
        <v>851122</v>
      </c>
      <c r="N156" s="11" t="str">
        <f>INDEX(cennik!$C$2:$L$529,MATCH($L156,cennik!$B$2:$B$522,0),MATCH(N$104,cennik!$C$1:$L$1,0))</f>
        <v>szt.</v>
      </c>
      <c r="O156" s="11">
        <f>SUM(AE143:AE158)</f>
        <v>0</v>
      </c>
      <c r="P156" s="34">
        <f>INDEX(cennik!$C$2:$L$529,MATCH($L156,cennik!$B$2:$B$522,0),MATCH(P$104,cennik!$C$1:$L$1,0))</f>
        <v>46.2</v>
      </c>
      <c r="Q156" s="34">
        <f t="shared" si="116"/>
        <v>0</v>
      </c>
      <c r="R156" s="35">
        <f t="shared" si="114"/>
        <v>0</v>
      </c>
      <c r="S156" s="34">
        <f t="shared" si="115"/>
        <v>46.2</v>
      </c>
      <c r="T156" s="34">
        <f t="shared" si="117"/>
        <v>0</v>
      </c>
      <c r="U156" s="34">
        <f>INDEX(cennik!$C$2:$L$529,MATCH($L156,cennik!$B$2:$B$522,0),MATCH(U$104,cennik!$C$1:$L$1,0))*O156</f>
        <v>0</v>
      </c>
      <c r="V156" s="61"/>
      <c r="W156" s="142">
        <f t="shared" si="111"/>
        <v>0</v>
      </c>
      <c r="X156" s="61">
        <f t="shared" si="112"/>
        <v>0</v>
      </c>
      <c r="Y156" s="61"/>
      <c r="Z156" s="61">
        <f>(INDEX(($EW$107:$GU$115,$EW$119:$GU$127,$EW$132:$GU$140,$EW$144:$GU$152),MATCH($L$160,$EV$107:$EV$115,0),MATCH(A164,$EW$106:$GU$106,0),MATCH($G$152,$X$128:$X$131,0)))*C164</f>
        <v>0</v>
      </c>
      <c r="AA156" s="61">
        <f>(INDEX(($EW$107:$GU$115,$EW$119:$GU$127,$EW$132:$GU$140,$EW$144:$GU$152),MATCH($L$152,$EV$107:$EV$115,0),MATCH(A164,$EW$106:$GU$106,0),MATCH($G$152,$X$128:$X$131,0)))*C164</f>
        <v>0</v>
      </c>
      <c r="AB156" s="61">
        <f>(INDEX(($EW$107:$GU$115,$EW$119:$GU$127,$EW$132:$GU$140,$EW$144:$GU$152),MATCH($L$153,$EV$107:$EV$115,0),MATCH(A164,$EW$106:$GU$106,0),MATCH($G$152,$X$128:$X$131,0)))*C164</f>
        <v>0</v>
      </c>
      <c r="AC156" s="61">
        <f>(INDEX(($EW$107:$GU$115,$EW$119:$GU$127,$EW$132:$GU$140,$EW$144:$GU$152),MATCH($L$154,$EV$107:$EV$115,0),MATCH(A164,$EW$106:$GU$106,0),MATCH($G$152,$X$128:$X$131,0)))*C164</f>
        <v>0</v>
      </c>
      <c r="AD156" s="61">
        <f>(INDEX(($EW$107:$GU$115,$EW$119:$GU$127,$EW$132:$GU$140,$EW$144:$GU$152),MATCH($L$155,$EV$107:$EV$115,0),MATCH(A164,$EW$106:$GU$106,0),MATCH($G$152,$X$128:$X$131,0)))*C164</f>
        <v>0</v>
      </c>
      <c r="AE156" s="61">
        <f>(INDEX(($EW$107:$GU$115,$EW$119:$GU$127,$EW$132:$GU$140,$EW$144:$GU$152),MATCH($L$156,$EV$107:$EV$115,0),MATCH(A164,$EW$106:$GU$106,0),MATCH($G$152,$X$128:$X$131,0)))*C164</f>
        <v>0</v>
      </c>
      <c r="AF156" s="61">
        <f>(INDEX(($EW$107:$GU$115,$EW$119:$GU$127,$EW$132:$GU$140,$EW$144:$GU$152),MATCH($L$157,$EV$107:$EV$115,0),MATCH(A164,$EW$106:$GU$106,0),MATCH($G$152,$X$128:$X$131,0)))*C164</f>
        <v>0</v>
      </c>
      <c r="AG156" s="61">
        <f>(INDEX(($EW$107:$GU$115,$EW$119:$GU$127,$EW$132:$GU$140,$EW$144:$GU$152),MATCH($L$158,$EV$107:$EV$115,0),MATCH(A164,$EW$106:$GU$106,0),MATCH($G$152,$X$128:$X$131,0)))*C164</f>
        <v>0</v>
      </c>
      <c r="AH156" s="61">
        <f>(INDEX(($EW$107:$GU$115,$EW$119:$GU$127,$EW$132:$GU$140,$EW$144:$GU$152),MATCH($L$159,$EV$107:$EV$115,0),MATCH(A164,$EW$106:$GU$106,0),MATCH($G$152,$X$128:$X$131,0)))*C164</f>
        <v>0</v>
      </c>
      <c r="AI156" s="61"/>
      <c r="AJ156" s="61"/>
      <c r="AK156" s="61"/>
      <c r="AL156" s="61" t="s">
        <v>408</v>
      </c>
      <c r="AM156" s="61">
        <v>0</v>
      </c>
      <c r="AN156" s="61">
        <f>((((SUM(AN151:AN155))/2)-1))*4</f>
        <v>0</v>
      </c>
      <c r="AO156" s="61">
        <f t="shared" ref="AO156:CK156" si="118">((((SUM(AO151:AO155))/2)-1))*4</f>
        <v>4</v>
      </c>
      <c r="AP156" s="61">
        <f t="shared" si="118"/>
        <v>4</v>
      </c>
      <c r="AQ156" s="61">
        <f t="shared" si="118"/>
        <v>8</v>
      </c>
      <c r="AR156" s="61">
        <f t="shared" si="118"/>
        <v>8</v>
      </c>
      <c r="AS156" s="61">
        <f t="shared" si="118"/>
        <v>12</v>
      </c>
      <c r="AT156" s="61">
        <f t="shared" si="118"/>
        <v>12</v>
      </c>
      <c r="AU156" s="61">
        <f t="shared" si="118"/>
        <v>16</v>
      </c>
      <c r="AV156" s="61">
        <f t="shared" si="118"/>
        <v>16</v>
      </c>
      <c r="AW156" s="61">
        <f t="shared" si="118"/>
        <v>20</v>
      </c>
      <c r="AX156" s="61">
        <f t="shared" si="118"/>
        <v>20</v>
      </c>
      <c r="AY156" s="61">
        <f t="shared" si="118"/>
        <v>24</v>
      </c>
      <c r="AZ156" s="61">
        <f t="shared" si="118"/>
        <v>24</v>
      </c>
      <c r="BA156" s="61">
        <f t="shared" si="118"/>
        <v>28</v>
      </c>
      <c r="BB156" s="61">
        <f t="shared" si="118"/>
        <v>28</v>
      </c>
      <c r="BC156" s="61">
        <f t="shared" si="118"/>
        <v>32</v>
      </c>
      <c r="BD156" s="61">
        <f t="shared" si="118"/>
        <v>32</v>
      </c>
      <c r="BE156" s="61">
        <f t="shared" si="118"/>
        <v>36</v>
      </c>
      <c r="BF156" s="61">
        <f t="shared" si="118"/>
        <v>36</v>
      </c>
      <c r="BG156" s="61">
        <f t="shared" si="118"/>
        <v>40</v>
      </c>
      <c r="BH156" s="61">
        <f t="shared" si="118"/>
        <v>40</v>
      </c>
      <c r="BI156" s="61">
        <f t="shared" si="118"/>
        <v>44</v>
      </c>
      <c r="BJ156" s="61">
        <f t="shared" si="118"/>
        <v>48</v>
      </c>
      <c r="BK156" s="61">
        <f t="shared" si="118"/>
        <v>48</v>
      </c>
      <c r="BL156" s="61">
        <f t="shared" si="118"/>
        <v>52</v>
      </c>
      <c r="BM156" s="61">
        <f t="shared" si="118"/>
        <v>52</v>
      </c>
      <c r="BN156" s="61">
        <f t="shared" si="118"/>
        <v>56</v>
      </c>
      <c r="BO156" s="61">
        <f t="shared" si="118"/>
        <v>56</v>
      </c>
      <c r="BP156" s="61">
        <f t="shared" si="118"/>
        <v>60</v>
      </c>
      <c r="BQ156" s="61">
        <f t="shared" si="118"/>
        <v>60</v>
      </c>
      <c r="BR156" s="61">
        <f t="shared" si="118"/>
        <v>64</v>
      </c>
      <c r="BS156" s="61">
        <f t="shared" si="118"/>
        <v>64</v>
      </c>
      <c r="BT156" s="61">
        <f t="shared" si="118"/>
        <v>68</v>
      </c>
      <c r="BU156" s="61">
        <f t="shared" si="118"/>
        <v>68</v>
      </c>
      <c r="BV156" s="61">
        <f t="shared" si="118"/>
        <v>72</v>
      </c>
      <c r="BW156" s="61">
        <f t="shared" si="118"/>
        <v>72</v>
      </c>
      <c r="BX156" s="61">
        <f t="shared" si="118"/>
        <v>76</v>
      </c>
      <c r="BY156" s="61">
        <f t="shared" si="118"/>
        <v>76</v>
      </c>
      <c r="BZ156" s="61">
        <f t="shared" si="118"/>
        <v>80</v>
      </c>
      <c r="CA156" s="61">
        <f t="shared" si="118"/>
        <v>80</v>
      </c>
      <c r="CB156" s="61">
        <f t="shared" si="118"/>
        <v>84</v>
      </c>
      <c r="CC156" s="61">
        <f t="shared" si="118"/>
        <v>84</v>
      </c>
      <c r="CD156" s="61">
        <f t="shared" si="118"/>
        <v>88</v>
      </c>
      <c r="CE156" s="61">
        <f t="shared" si="118"/>
        <v>88</v>
      </c>
      <c r="CF156" s="61">
        <f t="shared" si="118"/>
        <v>92</v>
      </c>
      <c r="CG156" s="61">
        <f t="shared" si="118"/>
        <v>92</v>
      </c>
      <c r="CH156" s="61">
        <f t="shared" si="118"/>
        <v>96</v>
      </c>
      <c r="CI156" s="61">
        <f t="shared" si="118"/>
        <v>100</v>
      </c>
      <c r="CJ156" s="61">
        <f t="shared" si="118"/>
        <v>100</v>
      </c>
      <c r="CK156" s="61">
        <f t="shared" si="118"/>
        <v>104</v>
      </c>
      <c r="CL156" s="61"/>
      <c r="CM156" s="61"/>
      <c r="CN156" s="61"/>
      <c r="CO156" s="61"/>
      <c r="CP156" s="61"/>
      <c r="CQ156" s="61"/>
      <c r="CR156" s="61"/>
      <c r="CS156" s="61"/>
      <c r="CT156" s="61"/>
      <c r="CU156" s="61"/>
      <c r="CV156" s="61"/>
      <c r="CW156" s="61"/>
      <c r="CX156" s="61"/>
      <c r="CY156" s="61"/>
      <c r="CZ156" s="61"/>
      <c r="DA156" s="61"/>
      <c r="DB156" s="61"/>
      <c r="DC156" s="61"/>
      <c r="DD156" s="61"/>
      <c r="DE156" s="61"/>
      <c r="DF156" s="61"/>
      <c r="DG156" s="61"/>
      <c r="DH156" s="61"/>
      <c r="DI156" s="61"/>
      <c r="DJ156" s="61"/>
      <c r="DK156" s="61"/>
      <c r="DL156" s="61"/>
      <c r="DM156" s="61"/>
      <c r="DN156" s="61"/>
      <c r="DO156" s="61"/>
      <c r="DP156" s="61"/>
      <c r="DQ156" s="61"/>
      <c r="DR156" s="61"/>
      <c r="DS156" s="61"/>
      <c r="DT156" s="61"/>
      <c r="DU156" s="61"/>
      <c r="DV156" s="61"/>
      <c r="DW156" s="61"/>
      <c r="DX156" s="61"/>
      <c r="DY156" s="61"/>
      <c r="DZ156" s="61"/>
      <c r="EA156" s="61"/>
      <c r="EB156" s="61"/>
      <c r="EC156" s="61"/>
      <c r="ED156" s="61"/>
      <c r="EE156" s="61"/>
      <c r="EF156" s="61"/>
      <c r="EG156" s="61"/>
      <c r="EH156" s="61"/>
      <c r="EI156" s="61"/>
      <c r="EJ156" s="61"/>
      <c r="EK156" s="61"/>
      <c r="EL156" s="61"/>
      <c r="EM156" s="61"/>
      <c r="EN156" s="61"/>
      <c r="EO156" s="61"/>
      <c r="EP156" s="61"/>
      <c r="EQ156" s="61"/>
      <c r="ER156" s="61"/>
      <c r="ES156" s="61"/>
      <c r="ET156" s="61"/>
      <c r="EU156" s="61"/>
      <c r="EV156" s="61" t="s">
        <v>210</v>
      </c>
      <c r="EW156" s="61">
        <v>0</v>
      </c>
      <c r="EX156" s="61">
        <v>0</v>
      </c>
      <c r="EY156" s="61">
        <v>0</v>
      </c>
      <c r="EZ156" s="61">
        <v>0</v>
      </c>
      <c r="FA156" s="61">
        <v>0</v>
      </c>
      <c r="FB156" s="61">
        <v>0</v>
      </c>
      <c r="FC156" s="61">
        <v>0</v>
      </c>
      <c r="FD156" s="61">
        <v>2</v>
      </c>
      <c r="FE156" s="61">
        <v>0</v>
      </c>
      <c r="FF156" s="61">
        <v>0</v>
      </c>
      <c r="FG156" s="61">
        <v>0</v>
      </c>
      <c r="FH156" s="61"/>
      <c r="FI156" s="61"/>
      <c r="FJ156" s="61">
        <v>0</v>
      </c>
      <c r="FK156" s="61">
        <v>1</v>
      </c>
      <c r="FL156" s="61">
        <v>2</v>
      </c>
      <c r="FM156" s="61">
        <v>3</v>
      </c>
      <c r="FN156" s="61">
        <v>4</v>
      </c>
      <c r="FO156" s="61">
        <v>5</v>
      </c>
      <c r="FP156" s="61">
        <v>6</v>
      </c>
      <c r="FQ156" s="61">
        <v>7</v>
      </c>
      <c r="FR156" s="61">
        <v>8</v>
      </c>
      <c r="FS156" s="61">
        <v>9</v>
      </c>
      <c r="FT156" s="61">
        <v>10</v>
      </c>
      <c r="FU156" s="61"/>
      <c r="FV156" s="61"/>
      <c r="FW156" s="61">
        <v>0</v>
      </c>
      <c r="FX156" s="61">
        <v>1</v>
      </c>
      <c r="FY156" s="61">
        <v>2</v>
      </c>
      <c r="FZ156" s="61">
        <v>3</v>
      </c>
      <c r="GA156" s="61">
        <v>4</v>
      </c>
      <c r="GB156" s="61">
        <v>5</v>
      </c>
      <c r="GC156" s="61">
        <v>6</v>
      </c>
      <c r="GD156" s="61">
        <v>7</v>
      </c>
      <c r="GE156" s="61">
        <v>8</v>
      </c>
      <c r="GF156" s="61">
        <v>9</v>
      </c>
      <c r="GG156" s="61">
        <v>10</v>
      </c>
      <c r="GH156" s="61"/>
      <c r="GI156" s="61"/>
      <c r="GJ156" s="61"/>
      <c r="GK156" s="61"/>
      <c r="GL156" s="61"/>
      <c r="GM156" s="61"/>
      <c r="GN156" s="61"/>
      <c r="GO156" s="61"/>
      <c r="GP156" s="61"/>
      <c r="GQ156" s="61"/>
      <c r="GR156" s="61"/>
      <c r="GS156" s="61"/>
      <c r="GT156" s="61"/>
      <c r="GU156" s="61"/>
      <c r="GV156" s="61"/>
      <c r="GW156" s="61"/>
      <c r="GX156" s="61"/>
      <c r="HV156" s="60" t="s">
        <v>825</v>
      </c>
      <c r="HW156" s="60">
        <v>0</v>
      </c>
      <c r="HX156" s="60">
        <v>0</v>
      </c>
      <c r="HY156" s="60">
        <v>0</v>
      </c>
      <c r="HZ156" s="60">
        <v>4</v>
      </c>
      <c r="IA156" s="60">
        <v>4</v>
      </c>
      <c r="IB156" s="60">
        <v>6</v>
      </c>
      <c r="IC156" s="60">
        <v>6</v>
      </c>
      <c r="ID156" s="60">
        <v>6</v>
      </c>
      <c r="IE156" s="60">
        <v>10</v>
      </c>
      <c r="IF156" s="60">
        <v>10</v>
      </c>
      <c r="IG156" s="60">
        <v>10</v>
      </c>
      <c r="IH156" s="60">
        <v>14</v>
      </c>
      <c r="II156" s="60">
        <v>14</v>
      </c>
      <c r="IJ156" s="60">
        <v>16</v>
      </c>
      <c r="IK156" s="60">
        <v>16</v>
      </c>
      <c r="IL156" s="60">
        <v>16</v>
      </c>
      <c r="IM156" s="60">
        <v>20</v>
      </c>
      <c r="IN156" s="60">
        <v>20</v>
      </c>
      <c r="IO156" s="60">
        <v>20</v>
      </c>
      <c r="IP156" s="60">
        <v>24</v>
      </c>
      <c r="IQ156" s="60">
        <v>24</v>
      </c>
      <c r="IS156" s="60" t="s">
        <v>825</v>
      </c>
      <c r="IT156" s="60">
        <f t="shared" si="69"/>
        <v>0</v>
      </c>
      <c r="IU156" s="60">
        <f t="shared" si="70"/>
        <v>0</v>
      </c>
      <c r="IV156" s="60">
        <f t="shared" si="71"/>
        <v>0</v>
      </c>
      <c r="IW156" s="60">
        <f t="shared" si="72"/>
        <v>8</v>
      </c>
      <c r="IX156" s="60">
        <f t="shared" si="73"/>
        <v>8</v>
      </c>
      <c r="IY156" s="60">
        <f t="shared" si="74"/>
        <v>12</v>
      </c>
      <c r="IZ156" s="60">
        <f t="shared" si="75"/>
        <v>12</v>
      </c>
      <c r="JA156" s="60">
        <f t="shared" si="76"/>
        <v>12</v>
      </c>
      <c r="JB156" s="60">
        <f t="shared" si="77"/>
        <v>20</v>
      </c>
      <c r="JC156" s="60">
        <f t="shared" si="78"/>
        <v>20</v>
      </c>
      <c r="JD156" s="60">
        <f t="shared" si="79"/>
        <v>20</v>
      </c>
      <c r="JE156" s="60">
        <f t="shared" si="80"/>
        <v>28</v>
      </c>
      <c r="JF156" s="60">
        <f t="shared" si="81"/>
        <v>28</v>
      </c>
      <c r="JG156" s="60">
        <f t="shared" si="82"/>
        <v>32</v>
      </c>
      <c r="JH156" s="60">
        <f t="shared" si="83"/>
        <v>32</v>
      </c>
      <c r="JI156" s="60">
        <f t="shared" si="84"/>
        <v>32</v>
      </c>
      <c r="JJ156" s="60">
        <f t="shared" si="85"/>
        <v>40</v>
      </c>
      <c r="JK156" s="60">
        <f t="shared" si="86"/>
        <v>40</v>
      </c>
      <c r="JL156" s="60">
        <f t="shared" si="87"/>
        <v>40</v>
      </c>
      <c r="JM156" s="60">
        <f t="shared" si="88"/>
        <v>48</v>
      </c>
      <c r="JN156" s="60">
        <f t="shared" si="89"/>
        <v>48</v>
      </c>
      <c r="JQ156" s="63"/>
      <c r="JS156" s="61"/>
    </row>
    <row r="157" spans="1:298" x14ac:dyDescent="0.25">
      <c r="A157" s="8"/>
      <c r="B157" s="5" t="s">
        <v>116</v>
      </c>
      <c r="C157" s="8"/>
      <c r="D157" s="6" t="s">
        <v>515</v>
      </c>
      <c r="E157" s="8">
        <v>0</v>
      </c>
      <c r="F157" s="5"/>
      <c r="G157" s="5"/>
      <c r="H157" s="5"/>
      <c r="I157" s="5"/>
      <c r="J157" s="5" t="s">
        <v>412</v>
      </c>
      <c r="K157" s="9"/>
      <c r="L157" s="6" t="s">
        <v>10</v>
      </c>
      <c r="M157" s="11">
        <f>INDEX(cennik!$C$2:$L$529,MATCH($L157,cennik!$B$2:$B$522,0),MATCH(M$104,cennik!$C$1:$L$1,0))</f>
        <v>6441305</v>
      </c>
      <c r="N157" s="11" t="str">
        <f>INDEX(cennik!$C$2:$L$529,MATCH($L157,cennik!$B$2:$B$522,0),MATCH(N$104,cennik!$C$1:$L$1,0))</f>
        <v>szt.</v>
      </c>
      <c r="O157" s="11">
        <f>SUM(AF143:AF158)</f>
        <v>0</v>
      </c>
      <c r="P157" s="34">
        <f>INDEX(cennik!$C$2:$L$529,MATCH($L157,cennik!$B$2:$B$522,0),MATCH(P$104,cennik!$C$1:$L$1,0))</f>
        <v>69.55</v>
      </c>
      <c r="Q157" s="34">
        <f t="shared" si="116"/>
        <v>0</v>
      </c>
      <c r="R157" s="35">
        <f t="shared" si="114"/>
        <v>0</v>
      </c>
      <c r="S157" s="34">
        <f t="shared" si="115"/>
        <v>69.55</v>
      </c>
      <c r="T157" s="34">
        <f t="shared" si="117"/>
        <v>0</v>
      </c>
      <c r="U157" s="34">
        <f>INDEX(cennik!$C$2:$L$529,MATCH($L157,cennik!$B$2:$B$522,0),MATCH(U$104,cennik!$C$1:$L$1,0))*O157</f>
        <v>0</v>
      </c>
      <c r="V157" s="61"/>
      <c r="W157" s="142">
        <f t="shared" si="111"/>
        <v>0</v>
      </c>
      <c r="X157" s="61">
        <f t="shared" si="112"/>
        <v>0</v>
      </c>
      <c r="Y157" s="61"/>
      <c r="Z157" s="61">
        <f>(INDEX(($EW$107:$GU$115,$EW$119:$GU$127,$EW$132:$GU$140,$EW$144:$GU$152),MATCH($L$160,$EV$107:$EV$115,0),MATCH(A165,$EW$106:$GU$106,0),MATCH($G$152,$X$128:$X$131,0)))*C165</f>
        <v>0</v>
      </c>
      <c r="AA157" s="61">
        <f>(INDEX(($EW$107:$GU$115,$EW$119:$GU$127,$EW$132:$GU$140,$EW$144:$GU$152),MATCH($L$152,$EV$107:$EV$115,0),MATCH(A165,$EW$106:$GU$106,0),MATCH($G$152,$X$128:$X$131,0)))*C165</f>
        <v>0</v>
      </c>
      <c r="AB157" s="61">
        <f>(INDEX(($EW$107:$GU$115,$EW$119:$GU$127,$EW$132:$GU$140,$EW$144:$GU$152),MATCH($L$153,$EV$107:$EV$115,0),MATCH(A165,$EW$106:$GU$106,0),MATCH($G$152,$X$128:$X$131,0)))*C165</f>
        <v>0</v>
      </c>
      <c r="AC157" s="61">
        <f>(INDEX(($EW$107:$GU$115,$EW$119:$GU$127,$EW$132:$GU$140,$EW$144:$GU$152),MATCH($L$154,$EV$107:$EV$115,0),MATCH(A165,$EW$106:$GU$106,0),MATCH($G$152,$X$128:$X$131,0)))*C165</f>
        <v>0</v>
      </c>
      <c r="AD157" s="61">
        <f>(INDEX(($EW$107:$GU$115,$EW$119:$GU$127,$EW$132:$GU$140,$EW$144:$GU$152),MATCH($L$155,$EV$107:$EV$115,0),MATCH(A165,$EW$106:$GU$106,0),MATCH($G$152,$X$128:$X$131,0)))*C165</f>
        <v>0</v>
      </c>
      <c r="AE157" s="61">
        <f>(INDEX(($EW$107:$GU$115,$EW$119:$GU$127,$EW$132:$GU$140,$EW$144:$GU$152),MATCH($L$156,$EV$107:$EV$115,0),MATCH(A165,$EW$106:$GU$106,0),MATCH($G$152,$X$128:$X$131,0)))*C165</f>
        <v>0</v>
      </c>
      <c r="AF157" s="61">
        <f>(INDEX(($EW$107:$GU$115,$EW$119:$GU$127,$EW$132:$GU$140,$EW$144:$GU$152),MATCH($L$157,$EV$107:$EV$115,0),MATCH(A165,$EW$106:$GU$106,0),MATCH($G$152,$X$128:$X$131,0)))*C165</f>
        <v>0</v>
      </c>
      <c r="AG157" s="61">
        <f>(INDEX(($EW$107:$GU$115,$EW$119:$GU$127,$EW$132:$GU$140,$EW$144:$GU$152),MATCH($L$158,$EV$107:$EV$115,0),MATCH(A165,$EW$106:$GU$106,0),MATCH($G$152,$X$128:$X$131,0)))*C165</f>
        <v>0</v>
      </c>
      <c r="AH157" s="61">
        <f>(INDEX(($EW$107:$GU$115,$EW$119:$GU$127,$EW$132:$GU$140,$EW$144:$GU$152),MATCH($L$159,$EV$107:$EV$115,0),MATCH(A165,$EW$106:$GU$106,0),MATCH($G$152,$X$128:$X$131,0)))*C165</f>
        <v>0</v>
      </c>
      <c r="AI157" s="61"/>
      <c r="AJ157" s="61"/>
      <c r="AK157" s="61"/>
      <c r="AL157" s="61"/>
      <c r="AM157" s="61"/>
      <c r="AN157" s="61"/>
      <c r="AO157" s="61"/>
      <c r="AP157" s="61"/>
      <c r="AQ157" s="61"/>
      <c r="AR157" s="61"/>
      <c r="AS157" s="61"/>
      <c r="AT157" s="61"/>
      <c r="AU157" s="61"/>
      <c r="AV157" s="61"/>
      <c r="AW157" s="61"/>
      <c r="AX157" s="61"/>
      <c r="AY157" s="61"/>
      <c r="AZ157" s="61"/>
      <c r="BA157" s="61"/>
      <c r="BB157" s="61"/>
      <c r="BC157" s="61"/>
      <c r="BD157" s="61"/>
      <c r="BE157" s="61"/>
      <c r="BF157" s="61"/>
      <c r="BG157" s="61"/>
      <c r="BH157" s="61"/>
      <c r="BI157" s="61"/>
      <c r="BJ157" s="61"/>
      <c r="BK157" s="61"/>
      <c r="BL157" s="61"/>
      <c r="BM157" s="61"/>
      <c r="BN157" s="61"/>
      <c r="BO157" s="61"/>
      <c r="BP157" s="61"/>
      <c r="BQ157" s="61"/>
      <c r="BR157" s="61"/>
      <c r="BS157" s="61"/>
      <c r="BT157" s="61"/>
      <c r="BU157" s="61"/>
      <c r="BV157" s="61"/>
      <c r="BW157" s="61"/>
      <c r="BX157" s="61"/>
      <c r="BY157" s="61"/>
      <c r="BZ157" s="61"/>
      <c r="CA157" s="61"/>
      <c r="CB157" s="61"/>
      <c r="CC157" s="61"/>
      <c r="CD157" s="61"/>
      <c r="CE157" s="61"/>
      <c r="CF157" s="61"/>
      <c r="CG157" s="61"/>
      <c r="CH157" s="61"/>
      <c r="CI157" s="61"/>
      <c r="CJ157" s="61"/>
      <c r="CK157" s="61"/>
      <c r="CL157" s="61"/>
      <c r="CM157" s="61" t="s">
        <v>115</v>
      </c>
      <c r="CN157" s="61"/>
      <c r="CO157" s="61"/>
      <c r="CP157" s="61"/>
      <c r="CQ157" s="61"/>
      <c r="CR157" s="61"/>
      <c r="CS157" s="61"/>
      <c r="CT157" s="61"/>
      <c r="CU157" s="61"/>
      <c r="CV157" s="61"/>
      <c r="CW157" s="61"/>
      <c r="CX157" s="61"/>
      <c r="CY157" s="61"/>
      <c r="CZ157" s="61"/>
      <c r="DA157" s="61"/>
      <c r="DB157" s="61"/>
      <c r="DC157" s="61"/>
      <c r="DD157" s="61"/>
      <c r="DE157" s="61"/>
      <c r="DF157" s="61"/>
      <c r="DG157" s="61"/>
      <c r="DH157" s="61"/>
      <c r="DI157" s="61"/>
      <c r="DJ157" s="61"/>
      <c r="DK157" s="61"/>
      <c r="DL157" s="61"/>
      <c r="DM157" s="61"/>
      <c r="DN157" s="61"/>
      <c r="DO157" s="61"/>
      <c r="DP157" s="61"/>
      <c r="DQ157" s="61"/>
      <c r="DR157" s="61"/>
      <c r="DS157" s="61"/>
      <c r="DT157" s="61"/>
      <c r="DU157" s="61"/>
      <c r="DV157" s="61"/>
      <c r="DW157" s="61"/>
      <c r="DX157" s="61"/>
      <c r="DY157" s="61"/>
      <c r="DZ157" s="61"/>
      <c r="EA157" s="61"/>
      <c r="EB157" s="61"/>
      <c r="EC157" s="61"/>
      <c r="ED157" s="61"/>
      <c r="EE157" s="61"/>
      <c r="EF157" s="61"/>
      <c r="EG157" s="61"/>
      <c r="EH157" s="61"/>
      <c r="EI157" s="61"/>
      <c r="EJ157" s="61"/>
      <c r="EK157" s="61"/>
      <c r="EL157" s="61"/>
      <c r="EM157" s="61"/>
      <c r="EN157" s="61"/>
      <c r="EO157" s="61"/>
      <c r="EP157" s="61"/>
      <c r="EQ157" s="61"/>
      <c r="ER157" s="61"/>
      <c r="ES157" s="61"/>
      <c r="ET157" s="61"/>
      <c r="EU157" s="61"/>
      <c r="EV157" s="61" t="s">
        <v>9</v>
      </c>
      <c r="EW157" s="61">
        <v>0</v>
      </c>
      <c r="EX157" s="61">
        <v>0</v>
      </c>
      <c r="EY157" s="61">
        <v>0</v>
      </c>
      <c r="EZ157" s="61">
        <v>0</v>
      </c>
      <c r="FA157" s="61">
        <v>0</v>
      </c>
      <c r="FB157" s="61">
        <v>0</v>
      </c>
      <c r="FC157" s="61">
        <v>0</v>
      </c>
      <c r="FD157" s="61">
        <v>0</v>
      </c>
      <c r="FE157" s="61">
        <v>0</v>
      </c>
      <c r="FF157" s="61">
        <v>2</v>
      </c>
      <c r="FG157" s="61">
        <v>0</v>
      </c>
      <c r="FH157" s="61"/>
      <c r="FI157" s="61" t="s">
        <v>210</v>
      </c>
      <c r="FJ157" s="61">
        <v>0</v>
      </c>
      <c r="FK157" s="61">
        <v>0</v>
      </c>
      <c r="FL157" s="61">
        <v>2</v>
      </c>
      <c r="FM157" s="61">
        <v>0</v>
      </c>
      <c r="FN157" s="61">
        <v>2</v>
      </c>
      <c r="FO157" s="61">
        <v>0</v>
      </c>
      <c r="FP157" s="61">
        <v>2</v>
      </c>
      <c r="FQ157" s="61">
        <v>0</v>
      </c>
      <c r="FR157" s="61">
        <v>2</v>
      </c>
      <c r="FS157" s="61">
        <v>0</v>
      </c>
      <c r="FT157" s="61">
        <v>2</v>
      </c>
      <c r="FU157" s="61"/>
      <c r="FV157" s="61" t="s">
        <v>210</v>
      </c>
      <c r="FW157" s="61">
        <v>0</v>
      </c>
      <c r="FX157" s="61">
        <v>0</v>
      </c>
      <c r="FY157" s="61">
        <v>0</v>
      </c>
      <c r="FZ157" s="61">
        <v>0</v>
      </c>
      <c r="GA157" s="61">
        <v>2</v>
      </c>
      <c r="GB157" s="61">
        <v>0</v>
      </c>
      <c r="GC157" s="61">
        <v>0</v>
      </c>
      <c r="GD157" s="61">
        <v>0</v>
      </c>
      <c r="GE157" s="61">
        <v>0</v>
      </c>
      <c r="GF157" s="61">
        <v>0</v>
      </c>
      <c r="GG157" s="61">
        <v>0</v>
      </c>
      <c r="GH157" s="61"/>
      <c r="GI157" s="61"/>
      <c r="GJ157" s="61"/>
      <c r="GK157" s="61"/>
      <c r="GL157" s="61"/>
      <c r="GM157" s="61"/>
      <c r="GN157" s="61"/>
      <c r="GO157" s="61"/>
      <c r="GP157" s="61"/>
      <c r="GQ157" s="61"/>
      <c r="GR157" s="61"/>
      <c r="GS157" s="61"/>
      <c r="GT157" s="61"/>
      <c r="GU157" s="61"/>
      <c r="GV157" s="61"/>
      <c r="GW157" s="61"/>
      <c r="GX157" s="61"/>
      <c r="HV157" s="60" t="s">
        <v>853</v>
      </c>
      <c r="HW157" s="60">
        <v>0</v>
      </c>
      <c r="HX157" s="60">
        <v>0</v>
      </c>
      <c r="HY157" s="60">
        <v>2</v>
      </c>
      <c r="HZ157" s="60">
        <v>2</v>
      </c>
      <c r="IA157" s="60">
        <v>4</v>
      </c>
      <c r="IB157" s="60">
        <v>4</v>
      </c>
      <c r="IC157" s="60">
        <v>6</v>
      </c>
      <c r="ID157" s="60">
        <v>8</v>
      </c>
      <c r="IE157" s="60">
        <v>8</v>
      </c>
      <c r="IF157" s="60">
        <v>10</v>
      </c>
      <c r="IG157" s="60">
        <v>12</v>
      </c>
      <c r="IH157" s="60">
        <v>12</v>
      </c>
      <c r="II157" s="60">
        <v>14</v>
      </c>
      <c r="IJ157" s="60">
        <v>14</v>
      </c>
      <c r="IK157" s="60">
        <v>16</v>
      </c>
      <c r="IL157" s="60">
        <v>18</v>
      </c>
      <c r="IM157" s="60">
        <v>18</v>
      </c>
      <c r="IN157" s="60">
        <v>20</v>
      </c>
      <c r="IO157" s="60">
        <v>22</v>
      </c>
      <c r="IP157" s="60">
        <v>22</v>
      </c>
      <c r="IQ157" s="60">
        <v>24</v>
      </c>
      <c r="IS157" s="60" t="s">
        <v>853</v>
      </c>
      <c r="IT157" s="60">
        <f t="shared" si="69"/>
        <v>0</v>
      </c>
      <c r="IU157" s="60">
        <f t="shared" si="70"/>
        <v>0</v>
      </c>
      <c r="IV157" s="60">
        <f t="shared" si="71"/>
        <v>4</v>
      </c>
      <c r="IW157" s="60">
        <f t="shared" si="72"/>
        <v>4</v>
      </c>
      <c r="IX157" s="60">
        <f t="shared" si="73"/>
        <v>8</v>
      </c>
      <c r="IY157" s="60">
        <f t="shared" si="74"/>
        <v>8</v>
      </c>
      <c r="IZ157" s="60">
        <f t="shared" si="75"/>
        <v>12</v>
      </c>
      <c r="JA157" s="60">
        <f t="shared" si="76"/>
        <v>16</v>
      </c>
      <c r="JB157" s="60">
        <f t="shared" si="77"/>
        <v>16</v>
      </c>
      <c r="JC157" s="60">
        <f t="shared" si="78"/>
        <v>20</v>
      </c>
      <c r="JD157" s="60">
        <f t="shared" si="79"/>
        <v>24</v>
      </c>
      <c r="JE157" s="60">
        <f t="shared" si="80"/>
        <v>24</v>
      </c>
      <c r="JF157" s="60">
        <f t="shared" si="81"/>
        <v>28</v>
      </c>
      <c r="JG157" s="60">
        <f t="shared" si="82"/>
        <v>28</v>
      </c>
      <c r="JH157" s="60">
        <f t="shared" si="83"/>
        <v>32</v>
      </c>
      <c r="JI157" s="60">
        <f t="shared" si="84"/>
        <v>36</v>
      </c>
      <c r="JJ157" s="60">
        <f t="shared" si="85"/>
        <v>36</v>
      </c>
      <c r="JK157" s="60">
        <f t="shared" si="86"/>
        <v>40</v>
      </c>
      <c r="JL157" s="60">
        <f t="shared" si="87"/>
        <v>44</v>
      </c>
      <c r="JM157" s="60">
        <f t="shared" si="88"/>
        <v>44</v>
      </c>
      <c r="JN157" s="60">
        <f t="shared" si="89"/>
        <v>48</v>
      </c>
      <c r="JQ157" s="63"/>
      <c r="JS157" s="61"/>
    </row>
    <row r="158" spans="1:298" x14ac:dyDescent="0.25">
      <c r="A158" s="8"/>
      <c r="B158" s="5" t="s">
        <v>116</v>
      </c>
      <c r="C158" s="8"/>
      <c r="D158" s="6" t="s">
        <v>511</v>
      </c>
      <c r="E158" s="4"/>
      <c r="F158" s="6"/>
      <c r="G158" s="6"/>
      <c r="H158" s="6"/>
      <c r="I158" s="6"/>
      <c r="K158" s="9"/>
      <c r="L158" s="6" t="s">
        <v>212</v>
      </c>
      <c r="M158" s="11">
        <f>INDEX(cennik!$C$2:$L$529,MATCH($L158,cennik!$B$2:$B$522,0),MATCH(M$104,cennik!$C$1:$L$1,0))</f>
        <v>851135</v>
      </c>
      <c r="N158" s="11" t="str">
        <f>INDEX(cennik!$C$2:$L$529,MATCH($L158,cennik!$B$2:$B$522,0),MATCH(N$104,cennik!$C$1:$L$1,0))</f>
        <v>szt.</v>
      </c>
      <c r="O158" s="11">
        <f>SUM(AG143:AG158)</f>
        <v>0</v>
      </c>
      <c r="P158" s="34">
        <f>INDEX(cennik!$C$2:$L$529,MATCH($L158,cennik!$B$2:$B$522,0),MATCH(P$104,cennik!$C$1:$L$1,0))</f>
        <v>73.5</v>
      </c>
      <c r="Q158" s="34">
        <f t="shared" si="116"/>
        <v>0</v>
      </c>
      <c r="R158" s="35">
        <f t="shared" si="114"/>
        <v>0</v>
      </c>
      <c r="S158" s="34">
        <f t="shared" si="115"/>
        <v>73.5</v>
      </c>
      <c r="T158" s="34">
        <f t="shared" si="117"/>
        <v>0</v>
      </c>
      <c r="U158" s="34">
        <f>INDEX(cennik!$C$2:$L$529,MATCH($L158,cennik!$B$2:$B$522,0),MATCH(U$104,cennik!$C$1:$L$1,0))*O158</f>
        <v>0</v>
      </c>
      <c r="V158" s="61"/>
      <c r="W158" s="142">
        <f t="shared" si="111"/>
        <v>0</v>
      </c>
      <c r="X158" s="61">
        <f t="shared" si="112"/>
        <v>0</v>
      </c>
      <c r="Y158" s="61"/>
      <c r="Z158" s="61">
        <f>(INDEX(($EW$107:$GU$115,$EW$119:$GU$127,$EW$132:$GU$140,$EW$144:$GU$152),MATCH($L$160,$EV$107:$EV$115,0),MATCH(A166,$EW$106:$GU$106,0),MATCH($G$152,$X$128:$X$131,0)))*C166</f>
        <v>0</v>
      </c>
      <c r="AA158" s="61">
        <f>(INDEX(($EW$107:$GU$115,$EW$119:$GU$127,$EW$132:$GU$140,$EW$144:$GU$152),MATCH($L$152,$EV$107:$EV$115,0),MATCH(A166,$EW$106:$GU$106,0),MATCH($G$152,$X$128:$X$131,0)))*C166</f>
        <v>0</v>
      </c>
      <c r="AB158" s="61">
        <f>(INDEX(($EW$107:$GU$115,$EW$119:$GU$127,$EW$132:$GU$140,$EW$144:$GU$152),MATCH($L$153,$EV$107:$EV$115,0),MATCH(A166,$EW$106:$GU$106,0),MATCH($G$152,$X$128:$X$131,0)))*C166</f>
        <v>0</v>
      </c>
      <c r="AC158" s="61">
        <f>(INDEX(($EW$107:$GU$115,$EW$119:$GU$127,$EW$132:$GU$140,$EW$144:$GU$152),MATCH($L$154,$EV$107:$EV$115,0),MATCH(A166,$EW$106:$GU$106,0),MATCH($G$152,$X$128:$X$131,0)))*C166</f>
        <v>0</v>
      </c>
      <c r="AD158" s="61">
        <f>(INDEX(($EW$107:$GU$115,$EW$119:$GU$127,$EW$132:$GU$140,$EW$144:$GU$152),MATCH($L$155,$EV$107:$EV$115,0),MATCH(A166,$EW$106:$GU$106,0),MATCH($G$152,$X$128:$X$131,0)))*C166</f>
        <v>0</v>
      </c>
      <c r="AE158" s="61">
        <f>(INDEX(($EW$107:$GU$115,$EW$119:$GU$127,$EW$132:$GU$140,$EW$144:$GU$152),MATCH($L$156,$EV$107:$EV$115,0),MATCH(A166,$EW$106:$GU$106,0),MATCH($G$152,$X$128:$X$131,0)))*C166</f>
        <v>0</v>
      </c>
      <c r="AF158" s="61">
        <f>(INDEX(($EW$107:$GU$115,$EW$119:$GU$127,$EW$132:$GU$140,$EW$144:$GU$152),MATCH($L$157,$EV$107:$EV$115,0),MATCH(A166,$EW$106:$GU$106,0),MATCH($G$152,$X$128:$X$131,0)))*C166</f>
        <v>0</v>
      </c>
      <c r="AG158" s="61">
        <f>(INDEX(($EW$107:$GU$115,$EW$119:$GU$127,$EW$132:$GU$140,$EW$144:$GU$152),MATCH($L$158,$EV$107:$EV$115,0),MATCH(A166,$EW$106:$GU$106,0),MATCH($G$152,$X$128:$X$131,0)))*C166</f>
        <v>0</v>
      </c>
      <c r="AH158" s="61">
        <f>(INDEX(($EW$107:$GU$115,$EW$119:$GU$127,$EW$132:$GU$140,$EW$144:$GU$152),MATCH($L$159,$EV$107:$EV$115,0),MATCH(A166,$EW$106:$GU$106,0),MATCH($G$152,$X$128:$X$131,0)))*C166</f>
        <v>0</v>
      </c>
      <c r="AI158" s="61"/>
      <c r="AJ158" s="61"/>
      <c r="AK158" s="61"/>
      <c r="AL158" s="61" t="s">
        <v>132</v>
      </c>
      <c r="AM158" s="61"/>
      <c r="AN158" s="61"/>
      <c r="AO158" s="61"/>
      <c r="AP158" s="61"/>
      <c r="AQ158" s="61"/>
      <c r="AR158" s="61"/>
      <c r="AS158" s="61"/>
      <c r="AT158" s="61"/>
      <c r="AU158" s="61"/>
      <c r="AV158" s="61"/>
      <c r="AW158" s="61"/>
      <c r="AX158" s="61"/>
      <c r="AY158" s="61"/>
      <c r="AZ158" s="61"/>
      <c r="BA158" s="61"/>
      <c r="BB158" s="61"/>
      <c r="BC158" s="61"/>
      <c r="BD158" s="61"/>
      <c r="BE158" s="61"/>
      <c r="BF158" s="61"/>
      <c r="BG158" s="61"/>
      <c r="BH158" s="61"/>
      <c r="BI158" s="61"/>
      <c r="BJ158" s="61"/>
      <c r="BK158" s="61"/>
      <c r="BL158" s="61"/>
      <c r="BM158" s="61"/>
      <c r="BN158" s="61"/>
      <c r="BO158" s="61"/>
      <c r="BP158" s="61"/>
      <c r="BQ158" s="61"/>
      <c r="BR158" s="61"/>
      <c r="BS158" s="61"/>
      <c r="BT158" s="61"/>
      <c r="BU158" s="61"/>
      <c r="BV158" s="61"/>
      <c r="BW158" s="61"/>
      <c r="BX158" s="61"/>
      <c r="BY158" s="61"/>
      <c r="BZ158" s="61"/>
      <c r="CA158" s="61"/>
      <c r="CB158" s="61"/>
      <c r="CC158" s="61"/>
      <c r="CD158" s="61"/>
      <c r="CE158" s="61"/>
      <c r="CF158" s="61"/>
      <c r="CG158" s="61"/>
      <c r="CH158" s="61"/>
      <c r="CI158" s="61"/>
      <c r="CJ158" s="61"/>
      <c r="CK158" s="61"/>
      <c r="CL158" s="61"/>
      <c r="CM158" s="61"/>
      <c r="CN158" s="61">
        <v>0</v>
      </c>
      <c r="CO158" s="61">
        <v>1</v>
      </c>
      <c r="CP158" s="61">
        <v>2</v>
      </c>
      <c r="CQ158" s="61">
        <v>3</v>
      </c>
      <c r="CR158" s="61">
        <v>4</v>
      </c>
      <c r="CS158" s="61">
        <v>5</v>
      </c>
      <c r="CT158" s="61">
        <v>6</v>
      </c>
      <c r="CU158" s="61">
        <v>7</v>
      </c>
      <c r="CV158" s="61">
        <v>8</v>
      </c>
      <c r="CW158" s="61">
        <v>9</v>
      </c>
      <c r="CX158" s="61">
        <v>10</v>
      </c>
      <c r="CY158" s="61">
        <v>11</v>
      </c>
      <c r="CZ158" s="61">
        <v>12</v>
      </c>
      <c r="DA158" s="61">
        <v>13</v>
      </c>
      <c r="DB158" s="61">
        <v>14</v>
      </c>
      <c r="DC158" s="61">
        <v>15</v>
      </c>
      <c r="DD158" s="61">
        <v>16</v>
      </c>
      <c r="DE158" s="61">
        <v>17</v>
      </c>
      <c r="DF158" s="61">
        <v>18</v>
      </c>
      <c r="DG158" s="61">
        <v>19</v>
      </c>
      <c r="DH158" s="61">
        <v>20</v>
      </c>
      <c r="DI158" s="61"/>
      <c r="DJ158" s="61"/>
      <c r="DK158" s="61"/>
      <c r="DL158" s="61"/>
      <c r="DM158" s="61"/>
      <c r="DN158" s="61"/>
      <c r="DO158" s="61"/>
      <c r="DP158" s="61"/>
      <c r="DQ158" s="61"/>
      <c r="DR158" s="61"/>
      <c r="DS158" s="61"/>
      <c r="DT158" s="61"/>
      <c r="DU158" s="61"/>
      <c r="DV158" s="61"/>
      <c r="DW158" s="61"/>
      <c r="DX158" s="61"/>
      <c r="DY158" s="61"/>
      <c r="DZ158" s="61"/>
      <c r="EA158" s="61"/>
      <c r="EB158" s="61"/>
      <c r="EC158" s="61"/>
      <c r="ED158" s="61"/>
      <c r="EE158" s="61"/>
      <c r="EF158" s="61"/>
      <c r="EG158" s="61"/>
      <c r="EH158" s="61"/>
      <c r="EI158" s="61"/>
      <c r="EJ158" s="61"/>
      <c r="EK158" s="61"/>
      <c r="EL158" s="61"/>
      <c r="EM158" s="61"/>
      <c r="EN158" s="61"/>
      <c r="EO158" s="61"/>
      <c r="EP158" s="61"/>
      <c r="EQ158" s="61"/>
      <c r="ER158" s="61"/>
      <c r="ES158" s="61"/>
      <c r="ET158" s="61"/>
      <c r="EU158" s="61"/>
      <c r="EV158" s="61" t="s">
        <v>208</v>
      </c>
      <c r="EW158" s="61">
        <v>0</v>
      </c>
      <c r="EX158" s="61">
        <v>0</v>
      </c>
      <c r="EY158" s="61">
        <v>0</v>
      </c>
      <c r="EZ158" s="61">
        <v>2</v>
      </c>
      <c r="FA158" s="61">
        <v>0</v>
      </c>
      <c r="FB158" s="61">
        <v>0</v>
      </c>
      <c r="FC158" s="61">
        <v>0</v>
      </c>
      <c r="FD158" s="61">
        <v>0</v>
      </c>
      <c r="FE158" s="61">
        <v>0</v>
      </c>
      <c r="FF158" s="61">
        <v>0</v>
      </c>
      <c r="FG158" s="61">
        <v>0</v>
      </c>
      <c r="FH158" s="61"/>
      <c r="FI158" s="61" t="s">
        <v>9</v>
      </c>
      <c r="FJ158" s="61">
        <v>0</v>
      </c>
      <c r="FK158" s="61">
        <v>0</v>
      </c>
      <c r="FL158" s="61">
        <v>0</v>
      </c>
      <c r="FM158" s="61">
        <v>0</v>
      </c>
      <c r="FN158" s="61">
        <v>0</v>
      </c>
      <c r="FO158" s="61">
        <v>0</v>
      </c>
      <c r="FP158" s="61">
        <v>0</v>
      </c>
      <c r="FQ158" s="61">
        <v>0</v>
      </c>
      <c r="FR158" s="61">
        <v>0</v>
      </c>
      <c r="FS158" s="61">
        <v>0</v>
      </c>
      <c r="FT158" s="61">
        <v>0</v>
      </c>
      <c r="FU158" s="61"/>
      <c r="FV158" s="61" t="s">
        <v>9</v>
      </c>
      <c r="FW158" s="61">
        <v>0</v>
      </c>
      <c r="FX158" s="61">
        <v>0</v>
      </c>
      <c r="FY158" s="61">
        <v>2</v>
      </c>
      <c r="FZ158" s="61">
        <v>0</v>
      </c>
      <c r="GA158" s="61">
        <v>0</v>
      </c>
      <c r="GB158" s="61">
        <v>0</v>
      </c>
      <c r="GC158" s="61">
        <v>0</v>
      </c>
      <c r="GD158" s="61">
        <v>0</v>
      </c>
      <c r="GE158" s="61">
        <v>0</v>
      </c>
      <c r="GF158" s="61">
        <v>0</v>
      </c>
      <c r="GG158" s="61">
        <v>0</v>
      </c>
      <c r="GH158" s="61"/>
      <c r="GI158" s="61"/>
      <c r="GJ158" s="61"/>
      <c r="GK158" s="61"/>
      <c r="GL158" s="61"/>
      <c r="GM158" s="61"/>
      <c r="GN158" s="61"/>
      <c r="GO158" s="61"/>
      <c r="GP158" s="61"/>
      <c r="GQ158" s="61"/>
      <c r="GR158" s="61"/>
      <c r="GS158" s="61"/>
      <c r="GT158" s="61"/>
      <c r="GU158" s="61"/>
      <c r="GV158" s="61"/>
      <c r="GW158" s="61"/>
      <c r="GX158" s="61"/>
      <c r="JQ158" s="63"/>
      <c r="JS158" s="61"/>
    </row>
    <row r="159" spans="1:298" x14ac:dyDescent="0.25">
      <c r="A159" s="8"/>
      <c r="B159" s="5" t="s">
        <v>116</v>
      </c>
      <c r="C159" s="8"/>
      <c r="D159" s="6" t="s">
        <v>774</v>
      </c>
      <c r="E159" s="52">
        <f>INDEX((AI207:AM209),MATCH(E160,AH207:AH209,0),MATCH(E161,AI206:AM206,0))</f>
        <v>1400</v>
      </c>
      <c r="F159" s="9"/>
      <c r="G159" s="9"/>
      <c r="H159" s="9"/>
      <c r="I159" s="9"/>
      <c r="J159" s="5" t="s">
        <v>119</v>
      </c>
      <c r="K159" s="9"/>
      <c r="L159" s="6" t="s">
        <v>214</v>
      </c>
      <c r="M159" s="11">
        <f>INDEX(cennik!$C$2:$L$529,MATCH($L159,cennik!$B$2:$B$522,0),MATCH(M$104,cennik!$C$1:$L$1,0))</f>
        <v>852137</v>
      </c>
      <c r="N159" s="11" t="str">
        <f>INDEX(cennik!$C$2:$L$529,MATCH($L159,cennik!$B$2:$B$522,0),MATCH(N$104,cennik!$C$1:$L$1,0))</f>
        <v>szt.</v>
      </c>
      <c r="O159" s="11">
        <f>SUM(AH143:AH158)</f>
        <v>0</v>
      </c>
      <c r="P159" s="34">
        <f>INDEX(cennik!$C$2:$L$529,MATCH($L159,cennik!$B$2:$B$522,0),MATCH(P$104,cennik!$C$1:$L$1,0))</f>
        <v>77.7</v>
      </c>
      <c r="Q159" s="34">
        <f t="shared" si="116"/>
        <v>0</v>
      </c>
      <c r="R159" s="35">
        <f t="shared" si="114"/>
        <v>0</v>
      </c>
      <c r="S159" s="34">
        <f t="shared" si="115"/>
        <v>77.7</v>
      </c>
      <c r="T159" s="34">
        <f t="shared" si="117"/>
        <v>0</v>
      </c>
      <c r="U159" s="34">
        <f>INDEX(cennik!$C$2:$L$529,MATCH($L159,cennik!$B$2:$B$522,0),MATCH(U$104,cennik!$C$1:$L$1,0))*O159</f>
        <v>0</v>
      </c>
      <c r="V159" s="61"/>
      <c r="W159" s="61"/>
      <c r="X159" s="61"/>
      <c r="Y159" s="61"/>
      <c r="Z159" s="61"/>
      <c r="AA159" s="61"/>
      <c r="AB159" s="61"/>
      <c r="AC159" s="61"/>
      <c r="AD159" s="61"/>
      <c r="AE159" s="61"/>
      <c r="AF159" s="61"/>
      <c r="AG159" s="61"/>
      <c r="AH159" s="61"/>
      <c r="AI159" s="61"/>
      <c r="AJ159" s="61"/>
      <c r="AK159" s="61"/>
      <c r="AL159" s="61"/>
      <c r="AM159" s="61"/>
      <c r="AN159" s="61"/>
      <c r="AO159" s="61"/>
      <c r="AP159" s="61"/>
      <c r="AQ159" s="61"/>
      <c r="AR159" s="61"/>
      <c r="AS159" s="61"/>
      <c r="AT159" s="61"/>
      <c r="AU159" s="61"/>
      <c r="AV159" s="61"/>
      <c r="AW159" s="61"/>
      <c r="AX159" s="61"/>
      <c r="AY159" s="61"/>
      <c r="AZ159" s="61"/>
      <c r="BA159" s="61"/>
      <c r="BB159" s="61"/>
      <c r="BC159" s="61"/>
      <c r="BD159" s="61"/>
      <c r="BE159" s="61"/>
      <c r="BF159" s="61"/>
      <c r="BG159" s="61"/>
      <c r="BH159" s="61"/>
      <c r="BI159" s="61"/>
      <c r="BJ159" s="61"/>
      <c r="BK159" s="61"/>
      <c r="BL159" s="61"/>
      <c r="BM159" s="61"/>
      <c r="BN159" s="61"/>
      <c r="BO159" s="61"/>
      <c r="BP159" s="61"/>
      <c r="BQ159" s="61"/>
      <c r="BR159" s="61"/>
      <c r="BS159" s="61"/>
      <c r="BT159" s="61"/>
      <c r="BU159" s="61"/>
      <c r="BV159" s="61"/>
      <c r="BW159" s="61"/>
      <c r="BX159" s="61"/>
      <c r="BY159" s="61"/>
      <c r="BZ159" s="61"/>
      <c r="CA159" s="61"/>
      <c r="CB159" s="61"/>
      <c r="CC159" s="61"/>
      <c r="CD159" s="61"/>
      <c r="CE159" s="61"/>
      <c r="CF159" s="61"/>
      <c r="CG159" s="61"/>
      <c r="CH159" s="61"/>
      <c r="CI159" s="61"/>
      <c r="CJ159" s="61"/>
      <c r="CK159" s="61"/>
      <c r="CL159" s="61"/>
      <c r="CM159" s="61" t="s">
        <v>293</v>
      </c>
      <c r="CN159" s="61">
        <v>0</v>
      </c>
      <c r="CO159" s="61">
        <v>2</v>
      </c>
      <c r="CP159" s="61">
        <v>2</v>
      </c>
      <c r="CQ159" s="61">
        <v>0</v>
      </c>
      <c r="CR159" s="61">
        <v>4</v>
      </c>
      <c r="CS159" s="61">
        <v>2</v>
      </c>
      <c r="CT159" s="61">
        <v>0</v>
      </c>
      <c r="CU159" s="61">
        <v>4</v>
      </c>
      <c r="CV159" s="61">
        <v>2</v>
      </c>
      <c r="CW159" s="61">
        <v>0</v>
      </c>
      <c r="CX159" s="61">
        <v>4</v>
      </c>
      <c r="CY159" s="61">
        <v>2</v>
      </c>
      <c r="CZ159" s="61">
        <v>0</v>
      </c>
      <c r="DA159" s="61">
        <v>0</v>
      </c>
      <c r="DB159" s="61">
        <v>2</v>
      </c>
      <c r="DC159" s="61">
        <v>2</v>
      </c>
      <c r="DD159" s="61">
        <v>0</v>
      </c>
      <c r="DE159" s="61">
        <v>4</v>
      </c>
      <c r="DF159" s="61">
        <v>2</v>
      </c>
      <c r="DG159" s="61">
        <v>0</v>
      </c>
      <c r="DH159" s="61">
        <v>4</v>
      </c>
      <c r="DI159" s="61"/>
      <c r="DJ159" s="61"/>
      <c r="DK159" s="61"/>
      <c r="DL159" s="61"/>
      <c r="DM159" s="61"/>
      <c r="DN159" s="61"/>
      <c r="DO159" s="61"/>
      <c r="DP159" s="61"/>
      <c r="DQ159" s="61"/>
      <c r="DR159" s="61"/>
      <c r="DS159" s="61"/>
      <c r="DT159" s="61"/>
      <c r="DU159" s="61"/>
      <c r="DV159" s="61"/>
      <c r="DW159" s="61"/>
      <c r="DX159" s="61"/>
      <c r="DY159" s="61"/>
      <c r="DZ159" s="61"/>
      <c r="EA159" s="61"/>
      <c r="EB159" s="61"/>
      <c r="EC159" s="61"/>
      <c r="ED159" s="61"/>
      <c r="EE159" s="61"/>
      <c r="EF159" s="61"/>
      <c r="EG159" s="61"/>
      <c r="EH159" s="61"/>
      <c r="EI159" s="61"/>
      <c r="EJ159" s="61"/>
      <c r="EK159" s="61"/>
      <c r="EL159" s="61"/>
      <c r="EM159" s="61"/>
      <c r="EN159" s="61"/>
      <c r="EO159" s="61"/>
      <c r="EP159" s="61"/>
      <c r="EQ159" s="61"/>
      <c r="ER159" s="61"/>
      <c r="ES159" s="61"/>
      <c r="ET159" s="61"/>
      <c r="EU159" s="61"/>
      <c r="EV159" s="61" t="s">
        <v>211</v>
      </c>
      <c r="EW159" s="61">
        <v>0</v>
      </c>
      <c r="EX159" s="61">
        <v>2</v>
      </c>
      <c r="EY159" s="61">
        <v>0</v>
      </c>
      <c r="EZ159" s="61">
        <v>0</v>
      </c>
      <c r="FA159" s="61">
        <v>0</v>
      </c>
      <c r="FB159" s="61">
        <v>2</v>
      </c>
      <c r="FC159" s="61">
        <v>0</v>
      </c>
      <c r="FD159" s="61">
        <v>0</v>
      </c>
      <c r="FE159" s="61">
        <v>0</v>
      </c>
      <c r="FF159" s="61">
        <v>0</v>
      </c>
      <c r="FG159" s="61">
        <v>0</v>
      </c>
      <c r="FH159" s="61"/>
      <c r="FI159" s="61" t="s">
        <v>208</v>
      </c>
      <c r="FJ159" s="61">
        <v>0</v>
      </c>
      <c r="FK159" s="61">
        <v>0</v>
      </c>
      <c r="FL159" s="61">
        <v>0</v>
      </c>
      <c r="FM159" s="61">
        <v>0</v>
      </c>
      <c r="FN159" s="61">
        <v>0</v>
      </c>
      <c r="FO159" s="61">
        <v>0</v>
      </c>
      <c r="FP159" s="61">
        <v>0</v>
      </c>
      <c r="FQ159" s="61">
        <v>0</v>
      </c>
      <c r="FR159" s="61">
        <v>0</v>
      </c>
      <c r="FS159" s="61">
        <v>0</v>
      </c>
      <c r="FT159" s="61">
        <v>0</v>
      </c>
      <c r="FU159" s="61"/>
      <c r="FV159" s="61" t="s">
        <v>208</v>
      </c>
      <c r="FW159" s="61">
        <v>0</v>
      </c>
      <c r="FX159" s="61">
        <v>0</v>
      </c>
      <c r="FY159" s="61">
        <v>0</v>
      </c>
      <c r="FZ159" s="61">
        <v>0</v>
      </c>
      <c r="GA159" s="61">
        <v>0</v>
      </c>
      <c r="GB159" s="61">
        <v>0</v>
      </c>
      <c r="GC159" s="61">
        <v>0</v>
      </c>
      <c r="GD159" s="61">
        <v>0</v>
      </c>
      <c r="GE159" s="61">
        <v>0</v>
      </c>
      <c r="GF159" s="61">
        <v>0</v>
      </c>
      <c r="GG159" s="61">
        <v>0</v>
      </c>
      <c r="GH159" s="61"/>
      <c r="GI159" s="61"/>
      <c r="GJ159" s="61"/>
      <c r="GK159" s="61"/>
      <c r="GL159" s="61"/>
      <c r="GM159" s="61"/>
      <c r="GN159" s="61"/>
      <c r="GO159" s="61"/>
      <c r="GP159" s="61"/>
      <c r="GQ159" s="61"/>
      <c r="GR159" s="61"/>
      <c r="GS159" s="61"/>
      <c r="GT159" s="61"/>
      <c r="GU159" s="61"/>
      <c r="GV159" s="61"/>
      <c r="GW159" s="61"/>
      <c r="GX159" s="61"/>
      <c r="HU159" s="143"/>
      <c r="HV159" s="141" t="s">
        <v>138</v>
      </c>
      <c r="IS159" s="60" t="s">
        <v>138</v>
      </c>
    </row>
    <row r="160" spans="1:298" x14ac:dyDescent="0.25">
      <c r="A160" s="8"/>
      <c r="B160" s="5" t="s">
        <v>116</v>
      </c>
      <c r="C160" s="8"/>
      <c r="D160" s="6" t="s">
        <v>787</v>
      </c>
      <c r="E160" s="8">
        <v>1</v>
      </c>
      <c r="F160" s="39" t="s">
        <v>789</v>
      </c>
      <c r="G160" s="17"/>
      <c r="H160" s="9"/>
      <c r="I160" s="9"/>
      <c r="J160" s="9"/>
      <c r="K160" s="9"/>
      <c r="L160" s="6" t="s">
        <v>11</v>
      </c>
      <c r="M160" s="11">
        <f>INDEX(cennik!$C$2:$L$529,MATCH($L160,cennik!$B$2:$B$522,0),MATCH(M$104,cennik!$C$1:$L$1,0))</f>
        <v>6444115</v>
      </c>
      <c r="N160" s="11" t="str">
        <f>INDEX(cennik!$C$2:$L$529,MATCH($L160,cennik!$B$2:$B$522,0),MATCH(N$104,cennik!$C$1:$L$1,0))</f>
        <v>szt.</v>
      </c>
      <c r="O160" s="11">
        <f>SUM(Z143:Z158)</f>
        <v>0</v>
      </c>
      <c r="P160" s="34">
        <f>INDEX(cennik!$C$2:$L$529,MATCH($L160,cennik!$B$2:$B$522,0),MATCH(P$104,cennik!$C$1:$L$1,0))</f>
        <v>6.03</v>
      </c>
      <c r="Q160" s="34">
        <f t="shared" si="116"/>
        <v>0</v>
      </c>
      <c r="R160" s="35">
        <f t="shared" si="114"/>
        <v>0</v>
      </c>
      <c r="S160" s="34">
        <f t="shared" si="115"/>
        <v>6.03</v>
      </c>
      <c r="T160" s="34">
        <f t="shared" si="117"/>
        <v>0</v>
      </c>
      <c r="U160" s="34">
        <f>INDEX(cennik!$C$2:$L$529,MATCH($L160,cennik!$B$2:$B$522,0),MATCH(U$104,cennik!$C$1:$L$1,0))*O160</f>
        <v>0</v>
      </c>
      <c r="V160" s="61"/>
      <c r="W160" s="61"/>
      <c r="X160" s="61"/>
      <c r="Y160" s="61"/>
      <c r="Z160" s="61"/>
      <c r="AA160" s="61"/>
      <c r="AB160" s="61"/>
      <c r="AC160" s="61"/>
      <c r="AD160" s="61"/>
      <c r="AE160" s="61"/>
      <c r="AF160" s="61"/>
      <c r="AG160" s="61"/>
      <c r="AH160" s="61"/>
      <c r="AI160" s="61"/>
      <c r="AJ160" s="61"/>
      <c r="AK160" s="61"/>
      <c r="AL160" s="61"/>
      <c r="AM160" s="61">
        <v>0</v>
      </c>
      <c r="AN160" s="61">
        <v>1</v>
      </c>
      <c r="AO160" s="61">
        <v>2</v>
      </c>
      <c r="AP160" s="61">
        <v>3</v>
      </c>
      <c r="AQ160" s="61">
        <v>4</v>
      </c>
      <c r="AR160" s="61">
        <v>5</v>
      </c>
      <c r="AS160" s="61">
        <v>6</v>
      </c>
      <c r="AT160" s="61">
        <v>7</v>
      </c>
      <c r="AU160" s="61">
        <v>8</v>
      </c>
      <c r="AV160" s="61">
        <v>9</v>
      </c>
      <c r="AW160" s="61">
        <v>10</v>
      </c>
      <c r="AX160" s="61">
        <v>11</v>
      </c>
      <c r="AY160" s="61">
        <v>12</v>
      </c>
      <c r="AZ160" s="61">
        <v>13</v>
      </c>
      <c r="BA160" s="61">
        <v>14</v>
      </c>
      <c r="BB160" s="61">
        <v>15</v>
      </c>
      <c r="BC160" s="61">
        <v>16</v>
      </c>
      <c r="BD160" s="61">
        <v>17</v>
      </c>
      <c r="BE160" s="61">
        <v>18</v>
      </c>
      <c r="BF160" s="61">
        <v>19</v>
      </c>
      <c r="BG160" s="61">
        <v>20</v>
      </c>
      <c r="BH160" s="61">
        <v>21</v>
      </c>
      <c r="BI160" s="61">
        <v>22</v>
      </c>
      <c r="BJ160" s="61">
        <v>23</v>
      </c>
      <c r="BK160" s="61">
        <v>24</v>
      </c>
      <c r="BL160" s="61">
        <v>25</v>
      </c>
      <c r="BM160" s="61">
        <v>26</v>
      </c>
      <c r="BN160" s="61">
        <v>27</v>
      </c>
      <c r="BO160" s="61">
        <v>28</v>
      </c>
      <c r="BP160" s="61">
        <v>29</v>
      </c>
      <c r="BQ160" s="61">
        <v>30</v>
      </c>
      <c r="BR160" s="61">
        <v>31</v>
      </c>
      <c r="BS160" s="61">
        <v>32</v>
      </c>
      <c r="BT160" s="61">
        <v>33</v>
      </c>
      <c r="BU160" s="61">
        <v>34</v>
      </c>
      <c r="BV160" s="61">
        <v>35</v>
      </c>
      <c r="BW160" s="61">
        <v>36</v>
      </c>
      <c r="BX160" s="61">
        <v>37</v>
      </c>
      <c r="BY160" s="61">
        <v>38</v>
      </c>
      <c r="BZ160" s="61">
        <v>39</v>
      </c>
      <c r="CA160" s="61">
        <v>40</v>
      </c>
      <c r="CB160" s="61">
        <v>41</v>
      </c>
      <c r="CC160" s="61">
        <v>42</v>
      </c>
      <c r="CD160" s="61">
        <v>43</v>
      </c>
      <c r="CE160" s="61">
        <v>44</v>
      </c>
      <c r="CF160" s="61">
        <v>45</v>
      </c>
      <c r="CG160" s="61">
        <v>46</v>
      </c>
      <c r="CH160" s="61">
        <v>47</v>
      </c>
      <c r="CI160" s="61">
        <v>48</v>
      </c>
      <c r="CJ160" s="61">
        <v>49</v>
      </c>
      <c r="CK160" s="61">
        <v>50</v>
      </c>
      <c r="CL160" s="61"/>
      <c r="CM160" s="61" t="s">
        <v>212</v>
      </c>
      <c r="CN160" s="61">
        <v>0</v>
      </c>
      <c r="CO160" s="61">
        <v>0</v>
      </c>
      <c r="CP160" s="61">
        <v>0</v>
      </c>
      <c r="CQ160" s="61">
        <v>2</v>
      </c>
      <c r="CR160" s="61">
        <v>0</v>
      </c>
      <c r="CS160" s="61">
        <v>2</v>
      </c>
      <c r="CT160" s="61">
        <v>4</v>
      </c>
      <c r="CU160" s="61">
        <v>2</v>
      </c>
      <c r="CV160" s="61">
        <v>4</v>
      </c>
      <c r="CW160" s="61">
        <v>6</v>
      </c>
      <c r="CX160" s="61">
        <v>4</v>
      </c>
      <c r="CY160" s="61">
        <v>6</v>
      </c>
      <c r="CZ160" s="61">
        <v>8</v>
      </c>
      <c r="DA160" s="61">
        <v>8</v>
      </c>
      <c r="DB160" s="61">
        <v>8</v>
      </c>
      <c r="DC160" s="61">
        <v>8</v>
      </c>
      <c r="DD160" s="61">
        <v>10</v>
      </c>
      <c r="DE160" s="61">
        <v>8</v>
      </c>
      <c r="DF160" s="61">
        <v>10</v>
      </c>
      <c r="DG160" s="61">
        <v>12</v>
      </c>
      <c r="DH160" s="61">
        <v>10</v>
      </c>
      <c r="DI160" s="61"/>
      <c r="DJ160" s="61"/>
      <c r="DK160" s="61"/>
      <c r="DL160" s="61"/>
      <c r="DM160" s="61"/>
      <c r="DN160" s="61"/>
      <c r="DO160" s="61"/>
      <c r="DP160" s="61"/>
      <c r="DQ160" s="61"/>
      <c r="DR160" s="61"/>
      <c r="DS160" s="61"/>
      <c r="DT160" s="61"/>
      <c r="DU160" s="61"/>
      <c r="DV160" s="61"/>
      <c r="DW160" s="61"/>
      <c r="DX160" s="61"/>
      <c r="DY160" s="61"/>
      <c r="DZ160" s="61"/>
      <c r="EA160" s="61"/>
      <c r="EB160" s="61"/>
      <c r="EC160" s="61"/>
      <c r="ED160" s="61"/>
      <c r="EE160" s="61"/>
      <c r="EF160" s="61"/>
      <c r="EG160" s="61"/>
      <c r="EH160" s="61"/>
      <c r="EI160" s="61"/>
      <c r="EJ160" s="61"/>
      <c r="EK160" s="61"/>
      <c r="EL160" s="61"/>
      <c r="EM160" s="61"/>
      <c r="EN160" s="61"/>
      <c r="EO160" s="61"/>
      <c r="EP160" s="61"/>
      <c r="EQ160" s="61"/>
      <c r="ER160" s="61"/>
      <c r="ES160" s="61"/>
      <c r="ET160" s="61"/>
      <c r="EU160" s="61"/>
      <c r="EV160" s="61" t="s">
        <v>293</v>
      </c>
      <c r="EW160" s="61">
        <v>0</v>
      </c>
      <c r="EX160" s="61">
        <v>0</v>
      </c>
      <c r="EY160" s="61">
        <v>0</v>
      </c>
      <c r="EZ160" s="61">
        <v>0</v>
      </c>
      <c r="FA160" s="61">
        <v>0</v>
      </c>
      <c r="FB160" s="61">
        <v>0</v>
      </c>
      <c r="FC160" s="61">
        <v>0</v>
      </c>
      <c r="FD160" s="61">
        <v>0</v>
      </c>
      <c r="FE160" s="61">
        <v>0</v>
      </c>
      <c r="FF160" s="61">
        <v>0</v>
      </c>
      <c r="FG160" s="61">
        <v>0</v>
      </c>
      <c r="FH160" s="61"/>
      <c r="FI160" s="61" t="s">
        <v>211</v>
      </c>
      <c r="FJ160" s="61">
        <v>0</v>
      </c>
      <c r="FK160" s="61">
        <v>2</v>
      </c>
      <c r="FL160" s="61">
        <v>0</v>
      </c>
      <c r="FM160" s="61">
        <v>2</v>
      </c>
      <c r="FN160" s="61">
        <v>0</v>
      </c>
      <c r="FO160" s="61">
        <v>0</v>
      </c>
      <c r="FP160" s="61">
        <v>0</v>
      </c>
      <c r="FQ160" s="61">
        <v>0</v>
      </c>
      <c r="FR160" s="61">
        <v>0</v>
      </c>
      <c r="FS160" s="61">
        <v>0</v>
      </c>
      <c r="FT160" s="61">
        <v>0</v>
      </c>
      <c r="FU160" s="61"/>
      <c r="FV160" s="61" t="s">
        <v>211</v>
      </c>
      <c r="FW160" s="61">
        <v>0</v>
      </c>
      <c r="FX160" s="61">
        <v>0</v>
      </c>
      <c r="FY160" s="61">
        <v>0</v>
      </c>
      <c r="FZ160" s="61">
        <v>0</v>
      </c>
      <c r="GA160" s="61">
        <v>0</v>
      </c>
      <c r="GB160" s="61">
        <v>0</v>
      </c>
      <c r="GC160" s="61">
        <v>0</v>
      </c>
      <c r="GD160" s="61">
        <v>0</v>
      </c>
      <c r="GE160" s="61">
        <v>0</v>
      </c>
      <c r="GF160" s="61">
        <v>0</v>
      </c>
      <c r="GG160" s="61">
        <v>0</v>
      </c>
      <c r="GH160" s="61"/>
      <c r="GI160" s="61"/>
      <c r="GJ160" s="61"/>
      <c r="GK160" s="61"/>
      <c r="GL160" s="61"/>
      <c r="GM160" s="61"/>
      <c r="GN160" s="61"/>
      <c r="GO160" s="61"/>
      <c r="GP160" s="61"/>
      <c r="GQ160" s="61"/>
      <c r="GR160" s="61"/>
      <c r="GS160" s="61"/>
      <c r="GT160" s="61"/>
      <c r="GU160" s="61"/>
      <c r="GV160" s="61"/>
      <c r="GW160" s="61"/>
      <c r="GX160" s="61"/>
      <c r="HW160" s="60">
        <v>0</v>
      </c>
      <c r="HX160" s="60">
        <v>1</v>
      </c>
      <c r="HY160" s="60">
        <v>2</v>
      </c>
      <c r="HZ160" s="60">
        <v>3</v>
      </c>
      <c r="IA160" s="60">
        <v>4</v>
      </c>
      <c r="IB160" s="60">
        <v>5</v>
      </c>
      <c r="IC160" s="60">
        <v>6</v>
      </c>
      <c r="ID160" s="60">
        <v>7</v>
      </c>
      <c r="IE160" s="60">
        <v>8</v>
      </c>
      <c r="IF160" s="60">
        <v>9</v>
      </c>
      <c r="IG160" s="60">
        <v>10</v>
      </c>
      <c r="IH160" s="60">
        <v>11</v>
      </c>
      <c r="II160" s="60">
        <v>12</v>
      </c>
      <c r="IJ160" s="60">
        <v>13</v>
      </c>
      <c r="IK160" s="60">
        <v>14</v>
      </c>
      <c r="IL160" s="60">
        <v>15</v>
      </c>
      <c r="IM160" s="60">
        <v>16</v>
      </c>
      <c r="IN160" s="60">
        <v>17</v>
      </c>
      <c r="IO160" s="60">
        <v>18</v>
      </c>
      <c r="IP160" s="60">
        <v>19</v>
      </c>
      <c r="IQ160" s="60">
        <v>20</v>
      </c>
      <c r="IT160" s="60">
        <f t="shared" si="69"/>
        <v>0</v>
      </c>
      <c r="IU160" s="60">
        <f t="shared" si="70"/>
        <v>2</v>
      </c>
      <c r="IV160" s="60">
        <f t="shared" si="71"/>
        <v>4</v>
      </c>
      <c r="IW160" s="60">
        <f t="shared" si="72"/>
        <v>6</v>
      </c>
      <c r="IX160" s="60">
        <f t="shared" si="73"/>
        <v>8</v>
      </c>
      <c r="IY160" s="60">
        <f t="shared" si="74"/>
        <v>10</v>
      </c>
      <c r="IZ160" s="60">
        <f t="shared" si="75"/>
        <v>12</v>
      </c>
      <c r="JA160" s="60">
        <f t="shared" si="76"/>
        <v>14</v>
      </c>
      <c r="JB160" s="60">
        <f t="shared" si="77"/>
        <v>16</v>
      </c>
      <c r="JC160" s="60">
        <f t="shared" si="78"/>
        <v>18</v>
      </c>
      <c r="JD160" s="60">
        <f t="shared" si="79"/>
        <v>20</v>
      </c>
      <c r="JE160" s="60">
        <f t="shared" si="80"/>
        <v>22</v>
      </c>
      <c r="JF160" s="60">
        <f t="shared" si="81"/>
        <v>24</v>
      </c>
      <c r="JG160" s="60">
        <f t="shared" si="82"/>
        <v>26</v>
      </c>
      <c r="JH160" s="60">
        <f t="shared" si="83"/>
        <v>28</v>
      </c>
      <c r="JI160" s="60">
        <f t="shared" si="84"/>
        <v>30</v>
      </c>
      <c r="JJ160" s="60">
        <f t="shared" si="85"/>
        <v>32</v>
      </c>
      <c r="JK160" s="60">
        <f t="shared" si="86"/>
        <v>34</v>
      </c>
      <c r="JL160" s="60">
        <f t="shared" si="87"/>
        <v>36</v>
      </c>
      <c r="JM160" s="60">
        <f t="shared" si="88"/>
        <v>38</v>
      </c>
      <c r="JN160" s="60">
        <f t="shared" si="89"/>
        <v>40</v>
      </c>
    </row>
    <row r="161" spans="1:277" x14ac:dyDescent="0.25">
      <c r="A161" s="8"/>
      <c r="B161" s="5" t="s">
        <v>116</v>
      </c>
      <c r="C161" s="8"/>
      <c r="D161" s="6" t="s">
        <v>788</v>
      </c>
      <c r="E161" s="8">
        <v>1</v>
      </c>
      <c r="F161" s="39" t="s">
        <v>790</v>
      </c>
      <c r="G161" s="9"/>
      <c r="H161" s="9"/>
      <c r="I161" s="9"/>
      <c r="J161" s="9"/>
      <c r="K161" s="9"/>
      <c r="L161" s="6" t="str">
        <f>IF(E155=W162,"CC50H35/0,85MC",IF(E155=X162,"CC50H35/1MC",IF(E155=Y162,"CC50H35/1,15MC",0)))</f>
        <v>CC50H35/0,85MC</v>
      </c>
      <c r="M161" s="11">
        <f>INDEX(cennik!$C$2:$L$529,MATCH($L161,cennik!$B$2:$B$522,0),MATCH(M$104,cennik!$C$1:$L$1,0))</f>
        <v>895385</v>
      </c>
      <c r="N161" s="11" t="str">
        <f>INDEX(cennik!$C$2:$L$529,MATCH($L161,cennik!$B$2:$B$522,0),MATCH(N$104,cennik!$C$1:$L$1,0))</f>
        <v>szt.</v>
      </c>
      <c r="O161" s="11">
        <f>SUM(W143:W158)</f>
        <v>0</v>
      </c>
      <c r="P161" s="34">
        <f>INDEX(cennik!$C$2:$L$529,MATCH($L161,cennik!$B$2:$B$522,0),MATCH(P$104,cennik!$C$1:$L$1,0))</f>
        <v>23.13</v>
      </c>
      <c r="Q161" s="34">
        <f t="shared" si="116"/>
        <v>0</v>
      </c>
      <c r="R161" s="35">
        <f t="shared" si="114"/>
        <v>0</v>
      </c>
      <c r="S161" s="34">
        <f t="shared" si="115"/>
        <v>23.13</v>
      </c>
      <c r="T161" s="34">
        <f t="shared" si="117"/>
        <v>0</v>
      </c>
      <c r="U161" s="34">
        <f>INDEX(cennik!$C$2:$L$529,MATCH($L161,cennik!$B$2:$B$522,0),MATCH(U$104,cennik!$C$1:$L$1,0))*O161</f>
        <v>0</v>
      </c>
      <c r="V161" s="61"/>
      <c r="W161" s="61"/>
      <c r="X161" s="61"/>
      <c r="Y161" s="61"/>
      <c r="Z161" s="61"/>
      <c r="AA161" s="61"/>
      <c r="AB161" s="61"/>
      <c r="AC161" s="61"/>
      <c r="AD161" s="61"/>
      <c r="AE161" s="61"/>
      <c r="AF161" s="61"/>
      <c r="AG161" s="61"/>
      <c r="AH161" s="61"/>
      <c r="AI161" s="61"/>
      <c r="AJ161" s="61"/>
      <c r="AK161" s="61"/>
      <c r="AL161" s="61" t="s">
        <v>126</v>
      </c>
      <c r="AM161" s="61">
        <v>0</v>
      </c>
      <c r="AN161" s="61">
        <v>0</v>
      </c>
      <c r="AO161" s="61">
        <v>0</v>
      </c>
      <c r="AP161" s="61">
        <v>0</v>
      </c>
      <c r="AQ161" s="61">
        <v>0</v>
      </c>
      <c r="AR161" s="61">
        <v>0</v>
      </c>
      <c r="AS161" s="61">
        <v>0</v>
      </c>
      <c r="AT161" s="61">
        <v>0</v>
      </c>
      <c r="AU161" s="61">
        <v>0</v>
      </c>
      <c r="AV161" s="61">
        <v>0</v>
      </c>
      <c r="AW161" s="61">
        <v>0</v>
      </c>
      <c r="AX161" s="61">
        <v>0</v>
      </c>
      <c r="AY161" s="61">
        <v>0</v>
      </c>
      <c r="AZ161" s="61">
        <v>0</v>
      </c>
      <c r="BA161" s="61">
        <v>0</v>
      </c>
      <c r="BB161" s="61">
        <v>0</v>
      </c>
      <c r="BC161" s="61">
        <v>0</v>
      </c>
      <c r="BD161" s="61">
        <v>0</v>
      </c>
      <c r="BE161" s="61">
        <v>0</v>
      </c>
      <c r="BF161" s="61">
        <v>0</v>
      </c>
      <c r="BG161" s="61">
        <v>0</v>
      </c>
      <c r="BH161" s="61">
        <v>0</v>
      </c>
      <c r="BI161" s="61">
        <v>0</v>
      </c>
      <c r="BJ161" s="61">
        <v>0</v>
      </c>
      <c r="BK161" s="61">
        <v>0</v>
      </c>
      <c r="BL161" s="61">
        <v>0</v>
      </c>
      <c r="BM161" s="61">
        <v>0</v>
      </c>
      <c r="BN161" s="61">
        <v>0</v>
      </c>
      <c r="BO161" s="61">
        <v>0</v>
      </c>
      <c r="BP161" s="61">
        <v>0</v>
      </c>
      <c r="BQ161" s="61">
        <v>0</v>
      </c>
      <c r="BR161" s="61">
        <v>0</v>
      </c>
      <c r="BS161" s="61">
        <v>0</v>
      </c>
      <c r="BT161" s="61">
        <v>0</v>
      </c>
      <c r="BU161" s="61">
        <v>0</v>
      </c>
      <c r="BV161" s="61">
        <v>0</v>
      </c>
      <c r="BW161" s="61">
        <v>0</v>
      </c>
      <c r="BX161" s="61">
        <v>0</v>
      </c>
      <c r="BY161" s="61">
        <v>0</v>
      </c>
      <c r="BZ161" s="61">
        <v>0</v>
      </c>
      <c r="CA161" s="61">
        <v>0</v>
      </c>
      <c r="CB161" s="61">
        <v>0</v>
      </c>
      <c r="CC161" s="61">
        <v>0</v>
      </c>
      <c r="CD161" s="61">
        <v>0</v>
      </c>
      <c r="CE161" s="61">
        <v>0</v>
      </c>
      <c r="CF161" s="61">
        <v>0</v>
      </c>
      <c r="CG161" s="61">
        <v>0</v>
      </c>
      <c r="CH161" s="61">
        <v>0</v>
      </c>
      <c r="CI161" s="61">
        <v>0</v>
      </c>
      <c r="CJ161" s="61">
        <v>0</v>
      </c>
      <c r="CK161" s="61">
        <v>0</v>
      </c>
      <c r="CL161" s="61"/>
      <c r="CM161" s="61" t="s">
        <v>11</v>
      </c>
      <c r="CN161" s="61">
        <v>0</v>
      </c>
      <c r="CO161" s="61">
        <v>0</v>
      </c>
      <c r="CP161" s="61">
        <v>0</v>
      </c>
      <c r="CQ161" s="61">
        <v>0</v>
      </c>
      <c r="CR161" s="61">
        <v>2</v>
      </c>
      <c r="CS161" s="61">
        <v>2</v>
      </c>
      <c r="CT161" s="61">
        <v>2</v>
      </c>
      <c r="CU161" s="61">
        <v>4</v>
      </c>
      <c r="CV161" s="61">
        <v>4</v>
      </c>
      <c r="CW161" s="61">
        <v>4</v>
      </c>
      <c r="CX161" s="61">
        <v>6</v>
      </c>
      <c r="CY161" s="61">
        <v>6</v>
      </c>
      <c r="CZ161" s="61">
        <v>6</v>
      </c>
      <c r="DA161" s="61">
        <v>6</v>
      </c>
      <c r="DB161" s="61">
        <v>8</v>
      </c>
      <c r="DC161" s="61">
        <v>8</v>
      </c>
      <c r="DD161" s="61">
        <v>8</v>
      </c>
      <c r="DE161" s="61">
        <v>10</v>
      </c>
      <c r="DF161" s="61">
        <v>10</v>
      </c>
      <c r="DG161" s="61">
        <v>10</v>
      </c>
      <c r="DH161" s="61">
        <v>12</v>
      </c>
      <c r="DI161" s="61"/>
      <c r="DJ161" s="61"/>
      <c r="DK161" s="61"/>
      <c r="DL161" s="61"/>
      <c r="DM161" s="61"/>
      <c r="DN161" s="61"/>
      <c r="DO161" s="61"/>
      <c r="DP161" s="61"/>
      <c r="DQ161" s="61"/>
      <c r="DR161" s="61"/>
      <c r="DS161" s="61"/>
      <c r="DT161" s="61"/>
      <c r="DU161" s="61"/>
      <c r="DV161" s="61"/>
      <c r="DW161" s="61"/>
      <c r="DX161" s="61"/>
      <c r="DY161" s="61"/>
      <c r="DZ161" s="61"/>
      <c r="EA161" s="61"/>
      <c r="EB161" s="61"/>
      <c r="EC161" s="61"/>
      <c r="ED161" s="61"/>
      <c r="EE161" s="61"/>
      <c r="EF161" s="61"/>
      <c r="EG161" s="61"/>
      <c r="EH161" s="61"/>
      <c r="EI161" s="61"/>
      <c r="EJ161" s="61"/>
      <c r="EK161" s="61"/>
      <c r="EL161" s="61"/>
      <c r="EM161" s="61"/>
      <c r="EN161" s="61"/>
      <c r="EO161" s="61"/>
      <c r="EP161" s="61"/>
      <c r="EQ161" s="61"/>
      <c r="ER161" s="61"/>
      <c r="ES161" s="61"/>
      <c r="ET161" s="61"/>
      <c r="EU161" s="61"/>
      <c r="EV161" s="61" t="s">
        <v>10</v>
      </c>
      <c r="EW161" s="61">
        <v>0</v>
      </c>
      <c r="EX161" s="61">
        <v>0</v>
      </c>
      <c r="EY161" s="61">
        <v>0</v>
      </c>
      <c r="EZ161" s="61">
        <v>0</v>
      </c>
      <c r="FA161" s="61">
        <v>0</v>
      </c>
      <c r="FB161" s="61">
        <v>2</v>
      </c>
      <c r="FC161" s="61">
        <v>2</v>
      </c>
      <c r="FD161" s="61">
        <v>0</v>
      </c>
      <c r="FE161" s="61">
        <v>2</v>
      </c>
      <c r="FF161" s="61">
        <v>0</v>
      </c>
      <c r="FG161" s="61">
        <v>4</v>
      </c>
      <c r="FH161" s="61"/>
      <c r="FI161" s="61" t="s">
        <v>293</v>
      </c>
      <c r="FJ161" s="61">
        <v>0</v>
      </c>
      <c r="FK161" s="61">
        <v>0</v>
      </c>
      <c r="FL161" s="61">
        <v>0</v>
      </c>
      <c r="FM161" s="61">
        <v>0</v>
      </c>
      <c r="FN161" s="61">
        <v>0</v>
      </c>
      <c r="FO161" s="61">
        <v>0</v>
      </c>
      <c r="FP161" s="61">
        <v>0</v>
      </c>
      <c r="FQ161" s="61">
        <v>0</v>
      </c>
      <c r="FR161" s="61">
        <v>0</v>
      </c>
      <c r="FS161" s="61">
        <v>0</v>
      </c>
      <c r="FT161" s="61">
        <v>0</v>
      </c>
      <c r="FU161" s="61"/>
      <c r="FV161" s="61" t="s">
        <v>293</v>
      </c>
      <c r="FW161" s="61">
        <v>0</v>
      </c>
      <c r="FX161" s="61">
        <v>2</v>
      </c>
      <c r="FY161" s="61">
        <v>0</v>
      </c>
      <c r="FZ161" s="61">
        <v>0</v>
      </c>
      <c r="GA161" s="61">
        <v>0</v>
      </c>
      <c r="GB161" s="61">
        <v>0</v>
      </c>
      <c r="GC161" s="61">
        <v>0</v>
      </c>
      <c r="GD161" s="61">
        <v>0</v>
      </c>
      <c r="GE161" s="61">
        <v>0</v>
      </c>
      <c r="GF161" s="61">
        <v>0</v>
      </c>
      <c r="GG161" s="61">
        <v>0</v>
      </c>
      <c r="GH161" s="61"/>
      <c r="GI161" s="61"/>
      <c r="GJ161" s="61"/>
      <c r="GK161" s="61"/>
      <c r="GL161" s="61"/>
      <c r="GM161" s="61"/>
      <c r="GN161" s="61"/>
      <c r="GO161" s="61"/>
      <c r="GP161" s="61"/>
      <c r="GQ161" s="61"/>
      <c r="GR161" s="61"/>
      <c r="GS161" s="61"/>
      <c r="GT161" s="61"/>
      <c r="GU161" s="61"/>
      <c r="GV161" s="61"/>
      <c r="GW161" s="61"/>
      <c r="GX161" s="61" t="s">
        <v>159</v>
      </c>
      <c r="GY161" s="61"/>
      <c r="GZ161" s="61"/>
      <c r="HA161" s="61"/>
      <c r="HB161" s="61"/>
      <c r="HC161" s="61"/>
      <c r="HV161" s="60" t="s">
        <v>826</v>
      </c>
      <c r="HW161" s="60">
        <v>0</v>
      </c>
      <c r="HX161" s="60">
        <v>2</v>
      </c>
      <c r="HY161" s="60">
        <v>2</v>
      </c>
      <c r="HZ161" s="60">
        <v>0</v>
      </c>
      <c r="IA161" s="60">
        <v>2</v>
      </c>
      <c r="IB161" s="60">
        <v>4</v>
      </c>
      <c r="IC161" s="60">
        <v>0</v>
      </c>
      <c r="ID161" s="60">
        <v>2</v>
      </c>
      <c r="IE161" s="60">
        <v>0</v>
      </c>
      <c r="IF161" s="60">
        <v>2</v>
      </c>
      <c r="IG161" s="60">
        <v>4</v>
      </c>
      <c r="IH161" s="60">
        <v>0</v>
      </c>
      <c r="II161" s="60">
        <v>2</v>
      </c>
      <c r="IJ161" s="60">
        <v>4</v>
      </c>
      <c r="IK161" s="60">
        <v>0</v>
      </c>
      <c r="IL161" s="60">
        <v>2</v>
      </c>
      <c r="IM161" s="60">
        <v>4</v>
      </c>
      <c r="IN161" s="60">
        <v>0</v>
      </c>
      <c r="IO161" s="60">
        <v>2</v>
      </c>
      <c r="IP161" s="60">
        <v>4</v>
      </c>
      <c r="IQ161" s="60">
        <v>0</v>
      </c>
      <c r="IS161" s="60" t="s">
        <v>826</v>
      </c>
      <c r="IT161" s="60">
        <f t="shared" si="69"/>
        <v>0</v>
      </c>
      <c r="IU161" s="60">
        <f t="shared" si="70"/>
        <v>4</v>
      </c>
      <c r="IV161" s="60">
        <f t="shared" si="71"/>
        <v>4</v>
      </c>
      <c r="IW161" s="60">
        <f t="shared" si="72"/>
        <v>0</v>
      </c>
      <c r="IX161" s="60">
        <f t="shared" si="73"/>
        <v>4</v>
      </c>
      <c r="IY161" s="60">
        <f t="shared" si="74"/>
        <v>8</v>
      </c>
      <c r="IZ161" s="60">
        <f t="shared" si="75"/>
        <v>0</v>
      </c>
      <c r="JA161" s="60">
        <f t="shared" si="76"/>
        <v>4</v>
      </c>
      <c r="JB161" s="60">
        <f t="shared" si="77"/>
        <v>0</v>
      </c>
      <c r="JC161" s="60">
        <f t="shared" si="78"/>
        <v>4</v>
      </c>
      <c r="JD161" s="60">
        <f t="shared" si="79"/>
        <v>8</v>
      </c>
      <c r="JE161" s="60">
        <f t="shared" si="80"/>
        <v>0</v>
      </c>
      <c r="JF161" s="60">
        <f t="shared" si="81"/>
        <v>4</v>
      </c>
      <c r="JG161" s="60">
        <f t="shared" si="82"/>
        <v>8</v>
      </c>
      <c r="JH161" s="60">
        <f t="shared" si="83"/>
        <v>0</v>
      </c>
      <c r="JI161" s="60">
        <f t="shared" si="84"/>
        <v>4</v>
      </c>
      <c r="JJ161" s="60">
        <f t="shared" si="85"/>
        <v>8</v>
      </c>
      <c r="JK161" s="60">
        <f t="shared" si="86"/>
        <v>0</v>
      </c>
      <c r="JL161" s="60">
        <f t="shared" si="87"/>
        <v>4</v>
      </c>
      <c r="JM161" s="60">
        <f t="shared" si="88"/>
        <v>8</v>
      </c>
      <c r="JN161" s="60">
        <f t="shared" si="89"/>
        <v>0</v>
      </c>
    </row>
    <row r="162" spans="1:277" x14ac:dyDescent="0.25">
      <c r="A162" s="8"/>
      <c r="B162" s="5" t="s">
        <v>116</v>
      </c>
      <c r="C162" s="8"/>
      <c r="D162" s="40" t="s">
        <v>941</v>
      </c>
      <c r="E162" s="32"/>
      <c r="F162" s="31"/>
      <c r="G162" s="31"/>
      <c r="H162" s="9"/>
      <c r="I162" s="9"/>
      <c r="J162" s="9"/>
      <c r="K162" s="9"/>
      <c r="L162" s="6" t="s">
        <v>202</v>
      </c>
      <c r="M162" s="11">
        <f>INDEX(cennik!$C$2:$L$529,MATCH($L162,cennik!$B$2:$B$522,0),MATCH(M$104,cennik!$C$1:$L$1,0))</f>
        <v>895375</v>
      </c>
      <c r="N162" s="11" t="str">
        <f>INDEX(cennik!$C$2:$L$529,MATCH($L162,cennik!$B$2:$B$522,0),MATCH(N$104,cennik!$C$1:$L$1,0))</f>
        <v>szt.</v>
      </c>
      <c r="O162" s="10">
        <f>O161+SUM(X143:X158)</f>
        <v>0</v>
      </c>
      <c r="P162" s="34">
        <f>INDEX(cennik!$C$2:$L$529,MATCH($L162,cennik!$B$2:$B$522,0),MATCH(P$104,cennik!$C$1:$L$1,0))</f>
        <v>44.04</v>
      </c>
      <c r="Q162" s="34">
        <f t="shared" si="116"/>
        <v>0</v>
      </c>
      <c r="R162" s="35">
        <f t="shared" si="114"/>
        <v>0</v>
      </c>
      <c r="S162" s="34">
        <f t="shared" si="115"/>
        <v>44.04</v>
      </c>
      <c r="T162" s="34">
        <f t="shared" si="117"/>
        <v>0</v>
      </c>
      <c r="U162" s="34">
        <f>INDEX(cennik!$C$2:$L$529,MATCH($L162,cennik!$B$2:$B$522,0),MATCH(U$104,cennik!$C$1:$L$1,0))*O162</f>
        <v>0</v>
      </c>
      <c r="V162" s="61"/>
      <c r="W162" s="61">
        <v>25</v>
      </c>
      <c r="X162" s="61">
        <v>30</v>
      </c>
      <c r="Y162" s="61">
        <v>35</v>
      </c>
      <c r="Z162" s="61"/>
      <c r="AA162" s="61"/>
      <c r="AB162" s="61"/>
      <c r="AC162" s="61"/>
      <c r="AD162" s="61"/>
      <c r="AE162" s="61"/>
      <c r="AF162" s="61"/>
      <c r="AG162" s="61"/>
      <c r="AH162" s="61"/>
      <c r="AI162" s="61"/>
      <c r="AJ162" s="61"/>
      <c r="AK162" s="61"/>
      <c r="AL162" s="61" t="s">
        <v>12</v>
      </c>
      <c r="AM162" s="61">
        <v>0</v>
      </c>
      <c r="AN162" s="61">
        <v>2</v>
      </c>
      <c r="AO162" s="61">
        <v>4</v>
      </c>
      <c r="AP162" s="61">
        <v>2</v>
      </c>
      <c r="AQ162" s="61">
        <v>4</v>
      </c>
      <c r="AR162" s="61">
        <v>0</v>
      </c>
      <c r="AS162" s="61">
        <v>2</v>
      </c>
      <c r="AT162" s="61">
        <v>0</v>
      </c>
      <c r="AU162" s="61">
        <v>0</v>
      </c>
      <c r="AV162" s="61">
        <v>0</v>
      </c>
      <c r="AW162" s="61">
        <v>2</v>
      </c>
      <c r="AX162" s="61">
        <v>0</v>
      </c>
      <c r="AY162" s="61">
        <v>2</v>
      </c>
      <c r="AZ162" s="61">
        <v>0</v>
      </c>
      <c r="BA162" s="61">
        <v>2</v>
      </c>
      <c r="BB162" s="61">
        <v>4</v>
      </c>
      <c r="BC162" s="61">
        <v>0</v>
      </c>
      <c r="BD162" s="61">
        <v>4</v>
      </c>
      <c r="BE162" s="61">
        <v>0</v>
      </c>
      <c r="BF162" s="61">
        <v>0</v>
      </c>
      <c r="BG162" s="61">
        <v>0</v>
      </c>
      <c r="BH162" s="61">
        <v>0</v>
      </c>
      <c r="BI162" s="61">
        <v>0</v>
      </c>
      <c r="BJ162" s="61">
        <v>0</v>
      </c>
      <c r="BK162" s="61">
        <v>0</v>
      </c>
      <c r="BL162" s="61">
        <v>0</v>
      </c>
      <c r="BM162" s="61">
        <v>0</v>
      </c>
      <c r="BN162" s="61">
        <v>0</v>
      </c>
      <c r="BO162" s="61">
        <v>2</v>
      </c>
      <c r="BP162" s="61">
        <v>0</v>
      </c>
      <c r="BQ162" s="61">
        <v>0</v>
      </c>
      <c r="BR162" s="61">
        <v>0</v>
      </c>
      <c r="BS162" s="61">
        <v>4</v>
      </c>
      <c r="BT162" s="61">
        <v>0</v>
      </c>
      <c r="BU162" s="61">
        <v>0</v>
      </c>
      <c r="BV162" s="61">
        <v>0</v>
      </c>
      <c r="BW162" s="61">
        <v>0</v>
      </c>
      <c r="BX162" s="61">
        <v>0</v>
      </c>
      <c r="BY162" s="61">
        <v>0</v>
      </c>
      <c r="BZ162" s="61">
        <v>0</v>
      </c>
      <c r="CA162" s="61">
        <v>0</v>
      </c>
      <c r="CB162" s="61">
        <v>0</v>
      </c>
      <c r="CC162" s="61">
        <v>0</v>
      </c>
      <c r="CD162" s="61">
        <v>0</v>
      </c>
      <c r="CE162" s="61">
        <v>0</v>
      </c>
      <c r="CF162" s="61">
        <v>0</v>
      </c>
      <c r="CG162" s="61">
        <v>0</v>
      </c>
      <c r="CH162" s="61">
        <v>4</v>
      </c>
      <c r="CI162" s="61">
        <v>0</v>
      </c>
      <c r="CJ162" s="61">
        <v>0</v>
      </c>
      <c r="CK162" s="61">
        <v>0</v>
      </c>
      <c r="CL162" s="61"/>
      <c r="CM162" s="61"/>
      <c r="CN162" s="61"/>
      <c r="CO162" s="61"/>
      <c r="CP162" s="61"/>
      <c r="CQ162" s="61"/>
      <c r="CR162" s="61"/>
      <c r="CS162" s="61"/>
      <c r="CT162" s="61"/>
      <c r="CU162" s="61"/>
      <c r="CV162" s="61"/>
      <c r="CW162" s="61"/>
      <c r="CX162" s="61"/>
      <c r="CY162" s="61"/>
      <c r="CZ162" s="61"/>
      <c r="DA162" s="61"/>
      <c r="DB162" s="61"/>
      <c r="DC162" s="61"/>
      <c r="DD162" s="61"/>
      <c r="DE162" s="61"/>
      <c r="DF162" s="61"/>
      <c r="DG162" s="61"/>
      <c r="DH162" s="61"/>
      <c r="DI162" s="61"/>
      <c r="DJ162" s="61"/>
      <c r="DK162" s="61"/>
      <c r="DL162" s="61"/>
      <c r="DM162" s="61"/>
      <c r="DN162" s="61"/>
      <c r="DO162" s="61"/>
      <c r="DP162" s="61"/>
      <c r="DQ162" s="61"/>
      <c r="DR162" s="61"/>
      <c r="DS162" s="61"/>
      <c r="DT162" s="61"/>
      <c r="DU162" s="61"/>
      <c r="DV162" s="61"/>
      <c r="DW162" s="61"/>
      <c r="DX162" s="61"/>
      <c r="DY162" s="61"/>
      <c r="DZ162" s="61"/>
      <c r="EA162" s="61"/>
      <c r="EB162" s="61"/>
      <c r="EC162" s="61"/>
      <c r="ED162" s="61"/>
      <c r="EE162" s="61"/>
      <c r="EF162" s="61"/>
      <c r="EG162" s="61"/>
      <c r="EH162" s="61"/>
      <c r="EI162" s="61"/>
      <c r="EJ162" s="61"/>
      <c r="EK162" s="61"/>
      <c r="EL162" s="61"/>
      <c r="EM162" s="61"/>
      <c r="EN162" s="61"/>
      <c r="EO162" s="61"/>
      <c r="EP162" s="61"/>
      <c r="EQ162" s="61"/>
      <c r="ER162" s="61"/>
      <c r="ES162" s="61"/>
      <c r="ET162" s="61"/>
      <c r="EU162" s="61"/>
      <c r="EV162" s="61" t="s">
        <v>212</v>
      </c>
      <c r="EW162" s="61">
        <v>0</v>
      </c>
      <c r="EX162" s="61">
        <v>0</v>
      </c>
      <c r="EY162" s="61">
        <v>2</v>
      </c>
      <c r="EZ162" s="61">
        <v>2</v>
      </c>
      <c r="FA162" s="61">
        <v>4</v>
      </c>
      <c r="FB162" s="61">
        <v>2</v>
      </c>
      <c r="FC162" s="61">
        <v>2</v>
      </c>
      <c r="FD162" s="61">
        <v>2</v>
      </c>
      <c r="FE162" s="61">
        <v>6</v>
      </c>
      <c r="FF162" s="61">
        <v>8</v>
      </c>
      <c r="FG162" s="61">
        <v>2</v>
      </c>
      <c r="FH162" s="61"/>
      <c r="FI162" s="61" t="s">
        <v>10</v>
      </c>
      <c r="FJ162" s="61">
        <v>0</v>
      </c>
      <c r="FK162" s="61">
        <v>0</v>
      </c>
      <c r="FL162" s="61">
        <v>2</v>
      </c>
      <c r="FM162" s="61">
        <v>0</v>
      </c>
      <c r="FN162" s="61">
        <v>2</v>
      </c>
      <c r="FO162" s="61">
        <v>4</v>
      </c>
      <c r="FP162" s="61">
        <v>2</v>
      </c>
      <c r="FQ162" s="61">
        <v>4</v>
      </c>
      <c r="FR162" s="61">
        <v>2</v>
      </c>
      <c r="FS162" s="61">
        <v>2</v>
      </c>
      <c r="FT162" s="61">
        <v>0</v>
      </c>
      <c r="FU162" s="61"/>
      <c r="FV162" s="61" t="s">
        <v>10</v>
      </c>
      <c r="FW162" s="61">
        <v>0</v>
      </c>
      <c r="FX162" s="61">
        <v>0</v>
      </c>
      <c r="FY162" s="61">
        <v>2</v>
      </c>
      <c r="FZ162" s="61">
        <v>2</v>
      </c>
      <c r="GA162" s="61">
        <v>0</v>
      </c>
      <c r="GB162" s="61">
        <v>0</v>
      </c>
      <c r="GC162" s="61">
        <v>6</v>
      </c>
      <c r="GD162" s="61">
        <v>0</v>
      </c>
      <c r="GE162" s="61">
        <v>4</v>
      </c>
      <c r="GF162" s="61">
        <v>10</v>
      </c>
      <c r="GG162" s="61">
        <v>2</v>
      </c>
      <c r="GH162" s="61"/>
      <c r="GI162" s="61"/>
      <c r="GJ162" s="61"/>
      <c r="GK162" s="61"/>
      <c r="GL162" s="61"/>
      <c r="GM162" s="61"/>
      <c r="GN162" s="61"/>
      <c r="GO162" s="61"/>
      <c r="GP162" s="61"/>
      <c r="GQ162" s="61"/>
      <c r="GR162" s="61"/>
      <c r="GS162" s="61"/>
      <c r="GT162" s="61"/>
      <c r="GU162" s="61"/>
      <c r="GV162" s="61"/>
      <c r="GW162" s="61"/>
      <c r="GX162" s="63" t="s">
        <v>152</v>
      </c>
      <c r="GY162" s="63" t="s">
        <v>153</v>
      </c>
      <c r="GZ162" s="61"/>
      <c r="HA162" s="61"/>
      <c r="HB162" s="61"/>
      <c r="HC162" s="61"/>
      <c r="HV162" s="60" t="s">
        <v>825</v>
      </c>
      <c r="HW162" s="60">
        <v>0</v>
      </c>
      <c r="HX162" s="60">
        <v>0</v>
      </c>
      <c r="HY162" s="60">
        <v>2</v>
      </c>
      <c r="HZ162" s="60">
        <v>4</v>
      </c>
      <c r="IA162" s="60">
        <v>4</v>
      </c>
      <c r="IB162" s="60">
        <v>4</v>
      </c>
      <c r="IC162" s="60">
        <v>8</v>
      </c>
      <c r="ID162" s="60">
        <v>8</v>
      </c>
      <c r="IE162" s="60">
        <v>10</v>
      </c>
      <c r="IF162" s="60">
        <v>10</v>
      </c>
      <c r="IG162" s="60">
        <v>10</v>
      </c>
      <c r="IH162" s="60">
        <v>14</v>
      </c>
      <c r="II162" s="60">
        <v>14</v>
      </c>
      <c r="IJ162" s="60">
        <v>14</v>
      </c>
      <c r="IK162" s="60">
        <v>18</v>
      </c>
      <c r="IL162" s="60">
        <v>18</v>
      </c>
      <c r="IM162" s="60">
        <v>18</v>
      </c>
      <c r="IN162" s="60">
        <v>22</v>
      </c>
      <c r="IO162" s="60">
        <v>22</v>
      </c>
      <c r="IP162" s="60">
        <v>22</v>
      </c>
      <c r="IQ162" s="60">
        <v>26</v>
      </c>
      <c r="IS162" s="60" t="s">
        <v>825</v>
      </c>
      <c r="IT162" s="60">
        <f t="shared" si="69"/>
        <v>0</v>
      </c>
      <c r="IU162" s="60">
        <f t="shared" si="70"/>
        <v>0</v>
      </c>
      <c r="IV162" s="60">
        <f t="shared" si="71"/>
        <v>4</v>
      </c>
      <c r="IW162" s="60">
        <f t="shared" si="72"/>
        <v>8</v>
      </c>
      <c r="IX162" s="60">
        <f t="shared" si="73"/>
        <v>8</v>
      </c>
      <c r="IY162" s="60">
        <f t="shared" si="74"/>
        <v>8</v>
      </c>
      <c r="IZ162" s="60">
        <f t="shared" si="75"/>
        <v>16</v>
      </c>
      <c r="JA162" s="60">
        <f t="shared" si="76"/>
        <v>16</v>
      </c>
      <c r="JB162" s="60">
        <f t="shared" si="77"/>
        <v>20</v>
      </c>
      <c r="JC162" s="60">
        <f t="shared" si="78"/>
        <v>20</v>
      </c>
      <c r="JD162" s="60">
        <f t="shared" si="79"/>
        <v>20</v>
      </c>
      <c r="JE162" s="60">
        <f t="shared" si="80"/>
        <v>28</v>
      </c>
      <c r="JF162" s="60">
        <f t="shared" si="81"/>
        <v>28</v>
      </c>
      <c r="JG162" s="60">
        <f t="shared" si="82"/>
        <v>28</v>
      </c>
      <c r="JH162" s="60">
        <f t="shared" si="83"/>
        <v>36</v>
      </c>
      <c r="JI162" s="60">
        <f t="shared" si="84"/>
        <v>36</v>
      </c>
      <c r="JJ162" s="60">
        <f t="shared" si="85"/>
        <v>36</v>
      </c>
      <c r="JK162" s="60">
        <f t="shared" si="86"/>
        <v>44</v>
      </c>
      <c r="JL162" s="60">
        <f t="shared" si="87"/>
        <v>44</v>
      </c>
      <c r="JM162" s="60">
        <f t="shared" si="88"/>
        <v>44</v>
      </c>
      <c r="JN162" s="60">
        <f t="shared" si="89"/>
        <v>52</v>
      </c>
      <c r="JQ162" s="63"/>
    </row>
    <row r="163" spans="1:277" x14ac:dyDescent="0.25">
      <c r="A163" s="8"/>
      <c r="B163" s="5" t="s">
        <v>116</v>
      </c>
      <c r="C163" s="8"/>
      <c r="D163" s="40" t="s">
        <v>797</v>
      </c>
      <c r="E163" s="9"/>
      <c r="F163" s="9"/>
      <c r="G163" s="9"/>
      <c r="H163" s="9"/>
      <c r="I163" s="9"/>
      <c r="J163" s="9"/>
      <c r="K163" s="9"/>
      <c r="L163" s="6" t="s">
        <v>204</v>
      </c>
      <c r="M163" s="11">
        <f>INDEX(cennik!$C$2:$L$529,MATCH($L163,cennik!$B$2:$B$522,0),MATCH(M$104,cennik!$C$1:$L$1,0))</f>
        <v>6121205</v>
      </c>
      <c r="N163" s="11" t="str">
        <f>INDEX(cennik!$C$2:$L$529,MATCH($L163,cennik!$B$2:$B$522,0),MATCH(N$104,cennik!$C$1:$L$1,0))</f>
        <v>szt.</v>
      </c>
      <c r="O163" s="11">
        <f>O161</f>
        <v>0</v>
      </c>
      <c r="P163" s="34">
        <f>INDEX(cennik!$C$2:$L$529,MATCH($L163,cennik!$B$2:$B$522,0),MATCH(P$104,cennik!$C$1:$L$1,0))</f>
        <v>70.13</v>
      </c>
      <c r="Q163" s="34">
        <f t="shared" si="116"/>
        <v>0</v>
      </c>
      <c r="R163" s="35">
        <f t="shared" si="114"/>
        <v>0</v>
      </c>
      <c r="S163" s="34">
        <f t="shared" si="115"/>
        <v>70.13</v>
      </c>
      <c r="T163" s="34">
        <f t="shared" si="117"/>
        <v>0</v>
      </c>
      <c r="U163" s="34">
        <f>INDEX(cennik!$C$2:$L$529,MATCH($L163,cennik!$B$2:$B$522,0),MATCH(U$104,cennik!$C$1:$L$1,0))*O163</f>
        <v>0</v>
      </c>
      <c r="V163" s="61"/>
      <c r="W163" s="61"/>
      <c r="X163" s="61"/>
      <c r="Y163" s="61"/>
      <c r="Z163" s="61"/>
      <c r="AA163" s="61"/>
      <c r="AB163" s="61"/>
      <c r="AC163" s="61"/>
      <c r="AD163" s="61"/>
      <c r="AE163" s="61"/>
      <c r="AF163" s="61"/>
      <c r="AG163" s="61"/>
      <c r="AH163" s="61"/>
      <c r="AI163" s="61"/>
      <c r="AJ163" s="61"/>
      <c r="AK163" s="61"/>
      <c r="AL163" s="61" t="s">
        <v>127</v>
      </c>
      <c r="AM163" s="61">
        <v>0</v>
      </c>
      <c r="AN163" s="61">
        <v>0</v>
      </c>
      <c r="AO163" s="61">
        <v>0</v>
      </c>
      <c r="AP163" s="61">
        <v>0</v>
      </c>
      <c r="AQ163" s="61">
        <v>0</v>
      </c>
      <c r="AR163" s="61">
        <v>0</v>
      </c>
      <c r="AS163" s="61">
        <v>2</v>
      </c>
      <c r="AT163" s="61">
        <v>0</v>
      </c>
      <c r="AU163" s="61">
        <v>4</v>
      </c>
      <c r="AV163" s="61">
        <v>0</v>
      </c>
      <c r="AW163" s="61">
        <v>0</v>
      </c>
      <c r="AX163" s="61">
        <v>0</v>
      </c>
      <c r="AY163" s="61">
        <v>0</v>
      </c>
      <c r="AZ163" s="61">
        <v>0</v>
      </c>
      <c r="BA163" s="61">
        <v>0</v>
      </c>
      <c r="BB163" s="61">
        <v>0</v>
      </c>
      <c r="BC163" s="61">
        <v>0</v>
      </c>
      <c r="BD163" s="61">
        <v>0</v>
      </c>
      <c r="BE163" s="61">
        <v>0</v>
      </c>
      <c r="BF163" s="61">
        <v>2</v>
      </c>
      <c r="BG163" s="61">
        <v>0</v>
      </c>
      <c r="BH163" s="61">
        <v>2</v>
      </c>
      <c r="BI163" s="61">
        <v>0</v>
      </c>
      <c r="BJ163" s="61">
        <v>0</v>
      </c>
      <c r="BK163" s="61">
        <v>0</v>
      </c>
      <c r="BL163" s="61">
        <v>0</v>
      </c>
      <c r="BM163" s="61">
        <v>0</v>
      </c>
      <c r="BN163" s="61">
        <v>0</v>
      </c>
      <c r="BO163" s="61">
        <v>0</v>
      </c>
      <c r="BP163" s="61">
        <v>0</v>
      </c>
      <c r="BQ163" s="61">
        <v>2</v>
      </c>
      <c r="BR163" s="61">
        <v>0</v>
      </c>
      <c r="BS163" s="61">
        <v>0</v>
      </c>
      <c r="BT163" s="61">
        <v>0</v>
      </c>
      <c r="BU163" s="61">
        <v>0</v>
      </c>
      <c r="BV163" s="61">
        <v>0</v>
      </c>
      <c r="BW163" s="61">
        <v>0</v>
      </c>
      <c r="BX163" s="61">
        <v>0</v>
      </c>
      <c r="BY163" s="61">
        <v>0</v>
      </c>
      <c r="BZ163" s="61">
        <v>0</v>
      </c>
      <c r="CA163" s="61">
        <v>0</v>
      </c>
      <c r="CB163" s="61">
        <v>0</v>
      </c>
      <c r="CC163" s="61">
        <v>0</v>
      </c>
      <c r="CD163" s="61">
        <v>2</v>
      </c>
      <c r="CE163" s="61">
        <v>0</v>
      </c>
      <c r="CF163" s="61">
        <v>2</v>
      </c>
      <c r="CG163" s="61">
        <v>0</v>
      </c>
      <c r="CH163" s="61">
        <v>0</v>
      </c>
      <c r="CI163" s="61">
        <v>0</v>
      </c>
      <c r="CJ163" s="61">
        <v>0</v>
      </c>
      <c r="CK163" s="61">
        <v>0</v>
      </c>
      <c r="CL163" s="61"/>
      <c r="CM163" s="61" t="s">
        <v>474</v>
      </c>
      <c r="CN163" s="61"/>
      <c r="CO163" s="61"/>
      <c r="CP163" s="61"/>
      <c r="CQ163" s="61"/>
      <c r="CR163" s="61"/>
      <c r="CS163" s="61"/>
      <c r="CT163" s="61"/>
      <c r="CU163" s="61"/>
      <c r="CV163" s="61"/>
      <c r="CW163" s="61"/>
      <c r="CX163" s="61"/>
      <c r="CY163" s="61"/>
      <c r="CZ163" s="61"/>
      <c r="DA163" s="61"/>
      <c r="DB163" s="61"/>
      <c r="DC163" s="61"/>
      <c r="DD163" s="61"/>
      <c r="DE163" s="61"/>
      <c r="DF163" s="61"/>
      <c r="DG163" s="61"/>
      <c r="DH163" s="61"/>
      <c r="DI163" s="61"/>
      <c r="DJ163" s="61"/>
      <c r="DK163" s="61"/>
      <c r="DL163" s="61"/>
      <c r="DM163" s="61"/>
      <c r="DN163" s="61"/>
      <c r="DO163" s="61"/>
      <c r="DP163" s="61"/>
      <c r="DQ163" s="61"/>
      <c r="DR163" s="61"/>
      <c r="DS163" s="61"/>
      <c r="DT163" s="61"/>
      <c r="DU163" s="61"/>
      <c r="DV163" s="61"/>
      <c r="DW163" s="61"/>
      <c r="DX163" s="61"/>
      <c r="DY163" s="61"/>
      <c r="DZ163" s="61"/>
      <c r="EA163" s="61"/>
      <c r="EB163" s="61"/>
      <c r="EC163" s="61"/>
      <c r="ED163" s="61"/>
      <c r="EE163" s="61"/>
      <c r="EF163" s="61"/>
      <c r="EG163" s="61"/>
      <c r="EH163" s="61"/>
      <c r="EI163" s="61"/>
      <c r="EJ163" s="61"/>
      <c r="EK163" s="61"/>
      <c r="EL163" s="61"/>
      <c r="EM163" s="61"/>
      <c r="EN163" s="61"/>
      <c r="EO163" s="61"/>
      <c r="EP163" s="61"/>
      <c r="EQ163" s="61"/>
      <c r="ER163" s="61"/>
      <c r="ES163" s="61"/>
      <c r="ET163" s="61"/>
      <c r="EU163" s="61"/>
      <c r="EV163" s="61" t="s">
        <v>214</v>
      </c>
      <c r="EW163" s="61">
        <v>0</v>
      </c>
      <c r="EX163" s="61">
        <v>0</v>
      </c>
      <c r="EY163" s="61">
        <v>0</v>
      </c>
      <c r="EZ163" s="61">
        <v>0</v>
      </c>
      <c r="FA163" s="61">
        <v>0</v>
      </c>
      <c r="FB163" s="61">
        <v>0</v>
      </c>
      <c r="FC163" s="61">
        <v>2</v>
      </c>
      <c r="FD163" s="61">
        <v>4</v>
      </c>
      <c r="FE163" s="61">
        <v>0</v>
      </c>
      <c r="FF163" s="61">
        <v>0</v>
      </c>
      <c r="FG163" s="61">
        <v>4</v>
      </c>
      <c r="FH163" s="61"/>
      <c r="FI163" s="61" t="s">
        <v>212</v>
      </c>
      <c r="FJ163" s="61">
        <v>0</v>
      </c>
      <c r="FK163" s="61">
        <v>0</v>
      </c>
      <c r="FL163" s="61">
        <v>0</v>
      </c>
      <c r="FM163" s="61">
        <v>0</v>
      </c>
      <c r="FN163" s="61">
        <v>0</v>
      </c>
      <c r="FO163" s="61">
        <v>2</v>
      </c>
      <c r="FP163" s="61">
        <v>0</v>
      </c>
      <c r="FQ163" s="61">
        <v>2</v>
      </c>
      <c r="FR163" s="61">
        <v>0</v>
      </c>
      <c r="FS163" s="61">
        <v>8</v>
      </c>
      <c r="FT163" s="61">
        <v>6</v>
      </c>
      <c r="FU163" s="61"/>
      <c r="FV163" s="61" t="s">
        <v>212</v>
      </c>
      <c r="FW163" s="61">
        <v>0</v>
      </c>
      <c r="FX163" s="61">
        <v>0</v>
      </c>
      <c r="FY163" s="61">
        <v>0</v>
      </c>
      <c r="FZ163" s="61">
        <v>2</v>
      </c>
      <c r="GA163" s="61">
        <v>0</v>
      </c>
      <c r="GB163" s="61">
        <v>6</v>
      </c>
      <c r="GC163" s="61">
        <v>2</v>
      </c>
      <c r="GD163" s="61">
        <v>2</v>
      </c>
      <c r="GE163" s="61">
        <v>4</v>
      </c>
      <c r="GF163" s="61">
        <v>0</v>
      </c>
      <c r="GG163" s="61">
        <v>6</v>
      </c>
      <c r="GH163" s="61"/>
      <c r="GI163" s="61"/>
      <c r="GJ163" s="61"/>
      <c r="GK163" s="61"/>
      <c r="GL163" s="61"/>
      <c r="GM163" s="61"/>
      <c r="GN163" s="61"/>
      <c r="GO163" s="61"/>
      <c r="GP163" s="61"/>
      <c r="GQ163" s="61"/>
      <c r="GR163" s="61"/>
      <c r="GS163" s="61"/>
      <c r="GT163" s="61"/>
      <c r="GU163" s="61"/>
      <c r="GV163" s="61"/>
      <c r="GW163" s="61"/>
      <c r="GX163" s="61">
        <v>20</v>
      </c>
      <c r="GY163" s="61">
        <v>2200</v>
      </c>
      <c r="GZ163" s="61"/>
      <c r="HA163" s="61"/>
      <c r="HB163" s="61"/>
      <c r="HC163" s="61"/>
      <c r="HV163" s="60" t="s">
        <v>853</v>
      </c>
      <c r="HW163" s="60">
        <v>0</v>
      </c>
      <c r="HX163" s="60">
        <v>0</v>
      </c>
      <c r="HY163" s="60">
        <v>2</v>
      </c>
      <c r="HZ163" s="60">
        <v>2</v>
      </c>
      <c r="IA163" s="60">
        <v>4</v>
      </c>
      <c r="IB163" s="60">
        <v>6</v>
      </c>
      <c r="IC163" s="60">
        <v>6</v>
      </c>
      <c r="ID163" s="60">
        <v>8</v>
      </c>
      <c r="IE163" s="60">
        <v>8</v>
      </c>
      <c r="IF163" s="60">
        <v>10</v>
      </c>
      <c r="IG163" s="60">
        <v>12</v>
      </c>
      <c r="IH163" s="60">
        <v>12</v>
      </c>
      <c r="II163" s="60">
        <v>14</v>
      </c>
      <c r="IJ163" s="60">
        <v>16</v>
      </c>
      <c r="IK163" s="60">
        <v>16</v>
      </c>
      <c r="IL163" s="60">
        <v>18</v>
      </c>
      <c r="IM163" s="60">
        <v>20</v>
      </c>
      <c r="IN163" s="60">
        <v>20</v>
      </c>
      <c r="IO163" s="60">
        <v>22</v>
      </c>
      <c r="IP163" s="60">
        <v>24</v>
      </c>
      <c r="IQ163" s="60">
        <v>24</v>
      </c>
      <c r="IS163" s="60" t="s">
        <v>853</v>
      </c>
      <c r="IT163" s="60">
        <f t="shared" si="69"/>
        <v>0</v>
      </c>
      <c r="IU163" s="60">
        <f t="shared" si="70"/>
        <v>0</v>
      </c>
      <c r="IV163" s="60">
        <f t="shared" si="71"/>
        <v>4</v>
      </c>
      <c r="IW163" s="60">
        <f t="shared" si="72"/>
        <v>4</v>
      </c>
      <c r="IX163" s="60">
        <f t="shared" si="73"/>
        <v>8</v>
      </c>
      <c r="IY163" s="60">
        <f t="shared" si="74"/>
        <v>12</v>
      </c>
      <c r="IZ163" s="60">
        <f t="shared" si="75"/>
        <v>12</v>
      </c>
      <c r="JA163" s="60">
        <f t="shared" si="76"/>
        <v>16</v>
      </c>
      <c r="JB163" s="60">
        <f t="shared" si="77"/>
        <v>16</v>
      </c>
      <c r="JC163" s="60">
        <f t="shared" si="78"/>
        <v>20</v>
      </c>
      <c r="JD163" s="60">
        <f t="shared" si="79"/>
        <v>24</v>
      </c>
      <c r="JE163" s="60">
        <f t="shared" si="80"/>
        <v>24</v>
      </c>
      <c r="JF163" s="60">
        <f t="shared" si="81"/>
        <v>28</v>
      </c>
      <c r="JG163" s="60">
        <f t="shared" si="82"/>
        <v>32</v>
      </c>
      <c r="JH163" s="60">
        <f t="shared" si="83"/>
        <v>32</v>
      </c>
      <c r="JI163" s="60">
        <f t="shared" si="84"/>
        <v>36</v>
      </c>
      <c r="JJ163" s="60">
        <f t="shared" si="85"/>
        <v>40</v>
      </c>
      <c r="JK163" s="60">
        <f t="shared" si="86"/>
        <v>40</v>
      </c>
      <c r="JL163" s="60">
        <f t="shared" si="87"/>
        <v>44</v>
      </c>
      <c r="JM163" s="60">
        <f t="shared" si="88"/>
        <v>48</v>
      </c>
      <c r="JN163" s="60">
        <f t="shared" si="89"/>
        <v>48</v>
      </c>
      <c r="JQ163" s="63"/>
    </row>
    <row r="164" spans="1:277" x14ac:dyDescent="0.25">
      <c r="A164" s="8"/>
      <c r="B164" s="5" t="s">
        <v>116</v>
      </c>
      <c r="C164" s="8"/>
      <c r="D164" s="40"/>
      <c r="E164" s="9"/>
      <c r="F164" s="9"/>
      <c r="G164" s="9"/>
      <c r="H164" s="9"/>
      <c r="I164" s="9"/>
      <c r="J164" s="9"/>
      <c r="K164" s="9"/>
      <c r="L164" s="6" t="str">
        <f>INDEX(($Z$191:$AA$201),MATCH(I152,$Y$191:$Y$200,0),MATCH(E153,$Z$190:$AA$190,0),1)</f>
        <v>BUF30</v>
      </c>
      <c r="M164" s="11">
        <f>INDEX(cennik!$C$2:$L$529,MATCH($L164,cennik!$B$2:$B$522,0),MATCH(M$104,cennik!$C$1:$L$1,0))</f>
        <v>897330</v>
      </c>
      <c r="N164" s="11" t="str">
        <f>INDEX(cennik!$C$2:$L$529,MATCH($L164,cennik!$B$2:$B$522,0),MATCH(N$104,cennik!$C$1:$L$1,0))</f>
        <v>szt.</v>
      </c>
      <c r="O164" s="11">
        <f>SUM(IF(A151=0,0,IF((A151&gt;0),C151*4)),IF(A152=0,0,IF((A152&gt;0),C152*4)),IF(A153=0,0,IF((A153&gt;0),C153*4)),IF(A154=0,0,IF((A154&gt;0),C154*4)),IF(A155=0,0,IF((A155&gt;0),C155*4)),IF(A156=0,0,IF((A156&gt;0),C156*4)),IF(A157=0,0,IF((A157&gt;0),C157*4)),IF(A158=0,0,IF((A158&gt;0),C158*4)),IF(A159=0,0,IF((A159&gt;0),C159*4)),IF(A160=0,0,IF((A160&gt;0),C160*4)),IF(A161=0,0,IF((A161&gt;0),C161*4)),IF(A162=0,0,IF((A162&gt;0),C162*4)),IF(A163=0,0,IF((A163&gt;0),C163*4)),IF(A164=0,0,IF((A164&gt;0),C164*4)),IF(A165=0,0,IF((A165&gt;0),C165*4)),,IF(A166=0,0,IF((A166&gt;0),C166*4)))</f>
        <v>0</v>
      </c>
      <c r="P164" s="34">
        <f>INDEX(cennik!$C$2:$L$529,MATCH($L164,cennik!$B$2:$B$522,0),MATCH(P$104,cennik!$C$1:$L$1,0))</f>
        <v>1.92</v>
      </c>
      <c r="Q164" s="34">
        <f t="shared" si="116"/>
        <v>0</v>
      </c>
      <c r="R164" s="35">
        <f t="shared" si="114"/>
        <v>0</v>
      </c>
      <c r="S164" s="34">
        <f t="shared" si="115"/>
        <v>1.92</v>
      </c>
      <c r="T164" s="34">
        <f t="shared" si="117"/>
        <v>0</v>
      </c>
      <c r="U164" s="34">
        <f>INDEX(cennik!$C$2:$L$529,MATCH($L164,cennik!$B$2:$B$522,0),MATCH(U$104,cennik!$C$1:$L$1,0))*O164</f>
        <v>0</v>
      </c>
      <c r="V164" s="61"/>
      <c r="W164" s="61"/>
      <c r="X164" s="61"/>
      <c r="Y164" s="61"/>
      <c r="Z164" s="61"/>
      <c r="AA164" s="61"/>
      <c r="AB164" s="61"/>
      <c r="AC164" s="61"/>
      <c r="AD164" s="61"/>
      <c r="AE164" s="61"/>
      <c r="AF164" s="61"/>
      <c r="AG164" s="61"/>
      <c r="AH164" s="61"/>
      <c r="AI164" s="61"/>
      <c r="AJ164" s="61"/>
      <c r="AK164" s="61"/>
      <c r="AL164" s="61" t="s">
        <v>15</v>
      </c>
      <c r="AM164" s="61">
        <v>0</v>
      </c>
      <c r="AN164" s="61">
        <v>0</v>
      </c>
      <c r="AO164" s="61">
        <v>0</v>
      </c>
      <c r="AP164" s="61">
        <v>0</v>
      </c>
      <c r="AQ164" s="61">
        <v>2</v>
      </c>
      <c r="AR164" s="61">
        <v>6</v>
      </c>
      <c r="AS164" s="61">
        <v>2</v>
      </c>
      <c r="AT164" s="61">
        <v>8</v>
      </c>
      <c r="AU164" s="61">
        <v>0</v>
      </c>
      <c r="AV164" s="61">
        <v>6</v>
      </c>
      <c r="AW164" s="61">
        <v>10</v>
      </c>
      <c r="AX164" s="61">
        <v>2</v>
      </c>
      <c r="AY164" s="61">
        <v>8</v>
      </c>
      <c r="AZ164" s="61">
        <v>0</v>
      </c>
      <c r="BA164" s="61">
        <v>2</v>
      </c>
      <c r="BB164" s="61">
        <v>6</v>
      </c>
      <c r="BC164" s="61">
        <v>14</v>
      </c>
      <c r="BD164" s="61">
        <v>6</v>
      </c>
      <c r="BE164" s="61">
        <v>10</v>
      </c>
      <c r="BF164" s="61">
        <v>16</v>
      </c>
      <c r="BG164" s="61">
        <v>8</v>
      </c>
      <c r="BH164" s="61">
        <v>12</v>
      </c>
      <c r="BI164" s="61">
        <v>4</v>
      </c>
      <c r="BJ164" s="61">
        <v>24</v>
      </c>
      <c r="BK164" s="61">
        <v>0</v>
      </c>
      <c r="BL164" s="61">
        <v>20</v>
      </c>
      <c r="BM164" s="61">
        <v>0</v>
      </c>
      <c r="BN164" s="61">
        <v>16</v>
      </c>
      <c r="BO164" s="61">
        <v>20</v>
      </c>
      <c r="BP164" s="61">
        <v>12</v>
      </c>
      <c r="BQ164" s="61">
        <v>18</v>
      </c>
      <c r="BR164" s="61">
        <v>10</v>
      </c>
      <c r="BS164" s="61">
        <v>4</v>
      </c>
      <c r="BT164" s="61">
        <v>6</v>
      </c>
      <c r="BU164" s="61">
        <v>26</v>
      </c>
      <c r="BV164" s="61">
        <v>2</v>
      </c>
      <c r="BW164" s="61">
        <v>22</v>
      </c>
      <c r="BX164" s="61">
        <v>0</v>
      </c>
      <c r="BY164" s="61">
        <v>18</v>
      </c>
      <c r="BZ164" s="61">
        <v>0</v>
      </c>
      <c r="CA164" s="61">
        <v>14</v>
      </c>
      <c r="CB164" s="61">
        <v>34</v>
      </c>
      <c r="CC164" s="61">
        <v>10</v>
      </c>
      <c r="CD164" s="61">
        <v>16</v>
      </c>
      <c r="CE164" s="61">
        <v>8</v>
      </c>
      <c r="CF164" s="61">
        <v>12</v>
      </c>
      <c r="CG164" s="61">
        <v>4</v>
      </c>
      <c r="CH164" s="61">
        <v>2</v>
      </c>
      <c r="CI164" s="61">
        <v>0</v>
      </c>
      <c r="CJ164" s="61">
        <v>20</v>
      </c>
      <c r="CK164" s="61">
        <v>0</v>
      </c>
      <c r="CL164" s="61"/>
      <c r="CM164" s="61"/>
      <c r="CN164" s="61">
        <v>0</v>
      </c>
      <c r="CO164" s="61">
        <v>1</v>
      </c>
      <c r="CP164" s="61">
        <v>2</v>
      </c>
      <c r="CQ164" s="61">
        <v>3</v>
      </c>
      <c r="CR164" s="61">
        <v>4</v>
      </c>
      <c r="CS164" s="61">
        <v>5</v>
      </c>
      <c r="CT164" s="61">
        <v>6</v>
      </c>
      <c r="CU164" s="61">
        <v>7</v>
      </c>
      <c r="CV164" s="61">
        <v>8</v>
      </c>
      <c r="CW164" s="61">
        <v>9</v>
      </c>
      <c r="CX164" s="61">
        <v>10</v>
      </c>
      <c r="CY164" s="61">
        <v>11</v>
      </c>
      <c r="CZ164" s="61">
        <v>12</v>
      </c>
      <c r="DA164" s="61">
        <v>13</v>
      </c>
      <c r="DB164" s="61">
        <v>14</v>
      </c>
      <c r="DC164" s="61">
        <v>15</v>
      </c>
      <c r="DD164" s="61">
        <v>16</v>
      </c>
      <c r="DE164" s="61">
        <v>17</v>
      </c>
      <c r="DF164" s="61">
        <v>18</v>
      </c>
      <c r="DG164" s="61">
        <v>19</v>
      </c>
      <c r="DH164" s="61">
        <v>20</v>
      </c>
      <c r="DI164" s="61"/>
      <c r="DJ164" s="61"/>
      <c r="DK164" s="61"/>
      <c r="DL164" s="61"/>
      <c r="DM164" s="61"/>
      <c r="DN164" s="61"/>
      <c r="DO164" s="61"/>
      <c r="DP164" s="61"/>
      <c r="DQ164" s="61"/>
      <c r="DR164" s="61"/>
      <c r="DS164" s="61"/>
      <c r="DT164" s="61"/>
      <c r="DU164" s="61"/>
      <c r="DV164" s="61"/>
      <c r="DW164" s="61"/>
      <c r="DX164" s="61"/>
      <c r="DY164" s="61"/>
      <c r="DZ164" s="61"/>
      <c r="EA164" s="61"/>
      <c r="EB164" s="61"/>
      <c r="EC164" s="61"/>
      <c r="ED164" s="61"/>
      <c r="EE164" s="61"/>
      <c r="EF164" s="61"/>
      <c r="EG164" s="61"/>
      <c r="EH164" s="61"/>
      <c r="EI164" s="61"/>
      <c r="EJ164" s="61"/>
      <c r="EK164" s="61"/>
      <c r="EL164" s="61"/>
      <c r="EM164" s="61"/>
      <c r="EN164" s="61"/>
      <c r="EO164" s="61"/>
      <c r="EP164" s="61"/>
      <c r="EQ164" s="61"/>
      <c r="ER164" s="61"/>
      <c r="ES164" s="61"/>
      <c r="ET164" s="61"/>
      <c r="EU164" s="61"/>
      <c r="EV164" s="61" t="s">
        <v>11</v>
      </c>
      <c r="EW164" s="61">
        <v>0</v>
      </c>
      <c r="EX164" s="61">
        <v>0</v>
      </c>
      <c r="EY164" s="61">
        <v>0</v>
      </c>
      <c r="EZ164" s="61">
        <v>2</v>
      </c>
      <c r="FA164" s="61">
        <v>2</v>
      </c>
      <c r="FB164" s="61">
        <v>4</v>
      </c>
      <c r="FC164" s="61">
        <v>4</v>
      </c>
      <c r="FD164" s="61">
        <v>6</v>
      </c>
      <c r="FE164" s="61">
        <v>6</v>
      </c>
      <c r="FF164" s="61">
        <v>8</v>
      </c>
      <c r="FG164" s="61">
        <v>8</v>
      </c>
      <c r="FH164" s="61"/>
      <c r="FI164" s="61" t="s">
        <v>214</v>
      </c>
      <c r="FJ164" s="61">
        <v>0</v>
      </c>
      <c r="FK164" s="61">
        <v>0</v>
      </c>
      <c r="FL164" s="61">
        <v>0</v>
      </c>
      <c r="FM164" s="61">
        <v>2</v>
      </c>
      <c r="FN164" s="61">
        <v>2</v>
      </c>
      <c r="FO164" s="61">
        <v>0</v>
      </c>
      <c r="FP164" s="61">
        <v>4</v>
      </c>
      <c r="FQ164" s="61">
        <v>2</v>
      </c>
      <c r="FR164" s="61">
        <v>6</v>
      </c>
      <c r="FS164" s="61">
        <v>0</v>
      </c>
      <c r="FT164" s="61">
        <v>4</v>
      </c>
      <c r="FU164" s="61"/>
      <c r="FV164" s="61" t="s">
        <v>214</v>
      </c>
      <c r="FW164" s="61">
        <v>0</v>
      </c>
      <c r="FX164" s="61">
        <v>0</v>
      </c>
      <c r="FY164" s="61">
        <v>0</v>
      </c>
      <c r="FZ164" s="61">
        <v>0</v>
      </c>
      <c r="GA164" s="61">
        <v>4</v>
      </c>
      <c r="GB164" s="61">
        <v>0</v>
      </c>
      <c r="GC164" s="61">
        <v>0</v>
      </c>
      <c r="GD164" s="61">
        <v>6</v>
      </c>
      <c r="GE164" s="61">
        <v>2</v>
      </c>
      <c r="GF164" s="61">
        <v>2</v>
      </c>
      <c r="GG164" s="61">
        <v>4</v>
      </c>
      <c r="GH164" s="61"/>
      <c r="GI164" s="61"/>
      <c r="GJ164" s="61"/>
      <c r="GK164" s="61"/>
      <c r="GL164" s="61"/>
      <c r="GM164" s="61"/>
      <c r="GN164" s="61"/>
      <c r="GO164" s="61"/>
      <c r="GP164" s="61"/>
      <c r="GQ164" s="61"/>
      <c r="GR164" s="61"/>
      <c r="GS164" s="61"/>
      <c r="GT164" s="61"/>
      <c r="GU164" s="61"/>
      <c r="GV164" s="61"/>
      <c r="GW164" s="61"/>
      <c r="GX164" s="61">
        <f>((GX163*GY163)+((GX163-1)*20))-500</f>
        <v>43880</v>
      </c>
      <c r="GY164" s="63" t="s">
        <v>158</v>
      </c>
      <c r="GZ164" s="63" t="s">
        <v>156</v>
      </c>
      <c r="HA164" s="63" t="s">
        <v>155</v>
      </c>
      <c r="HB164" s="61"/>
      <c r="HC164" s="61" t="s">
        <v>157</v>
      </c>
      <c r="JQ164" s="63"/>
    </row>
    <row r="165" spans="1:277" x14ac:dyDescent="0.25">
      <c r="A165" s="8"/>
      <c r="B165" s="5" t="s">
        <v>116</v>
      </c>
      <c r="C165" s="8"/>
      <c r="D165" s="40"/>
      <c r="E165" s="9"/>
      <c r="F165" s="9"/>
      <c r="G165" s="9"/>
      <c r="H165" s="9"/>
      <c r="I165" s="9"/>
      <c r="J165" s="9"/>
      <c r="K165" s="9"/>
      <c r="L165" s="6" t="str">
        <f>INDEX(($Z$201:$AA$201),1,MATCH(E153,$Z$190:$AA$190,0),1)</f>
        <v>PUF</v>
      </c>
      <c r="M165" s="11">
        <f>INDEX(cennik!$C$2:$L$529,MATCH($L165,cennik!$B$2:$B$522,0),MATCH(M$104,cennik!$C$1:$L$1,0))</f>
        <v>897300</v>
      </c>
      <c r="N165" s="11" t="str">
        <f>INDEX(cennik!$C$2:$L$529,MATCH($L165,cennik!$B$2:$B$522,0),MATCH(N$104,cennik!$C$1:$L$1,0))</f>
        <v>szt.</v>
      </c>
      <c r="O165" s="11">
        <f>SUM(IF(A151=0,0,IF(A151&gt;0,(A151-1)*2*C151)),IF(A152=0,0,IF(A152&gt;0,(A152-1)*2*C152)),IF(A153=0,0,IF(A153&gt;0,(A153-1)*2*C153)),IF(A154=0,0,IF(A154&gt;0,(A154-1)*2*C154)),IF(A155=0,0,IF(A155&gt;0,(A155-1)*2*C155)),IF(A156=0,0,IF(A156&gt;0,(A156-1)*2*C156)),IF(A157=0,0,IF(A157&gt;0,(A157-1)*2*C157)),IF(A158=0,0,IF(A158&gt;0,(A158-1)*2*C158)),IF(A159=0,0,IF(A159&gt;0,(A159-1)*2*C159)),IF(A160=0,0,IF(A160&gt;0,(A160-1)*2*C160)),IF(A161=0,0,IF(A161&gt;0,(A161-1)*2*C161)),IF(A162=0,0,IF(A162&gt;0,(A162-1)*2*C162)),IF(A163=0,0,IF(A163&gt;0,(A163-1)*2*C163)),IF(A164=0,0,IF(A164&gt;0,(A164-1)*2*C164)),IF(A165=0,0,IF(A165&gt;0,(A165-1)*2*C165)),IF(A166=0,0,IF(A166&gt;0,(A166-1)*2*C166)))</f>
        <v>0</v>
      </c>
      <c r="P165" s="34">
        <f>INDEX(cennik!$C$2:$L$529,MATCH($L165,cennik!$B$2:$B$522,0),MATCH(P$104,cennik!$C$1:$L$1,0))</f>
        <v>2.06</v>
      </c>
      <c r="Q165" s="34">
        <f t="shared" si="116"/>
        <v>0</v>
      </c>
      <c r="R165" s="35">
        <f t="shared" si="114"/>
        <v>0</v>
      </c>
      <c r="S165" s="34">
        <f t="shared" si="115"/>
        <v>2.06</v>
      </c>
      <c r="T165" s="34">
        <f t="shared" si="117"/>
        <v>0</v>
      </c>
      <c r="U165" s="34">
        <f>INDEX(cennik!$C$2:$L$529,MATCH($L165,cennik!$B$2:$B$522,0),MATCH(U$104,cennik!$C$1:$L$1,0))*O165</f>
        <v>0</v>
      </c>
      <c r="V165" s="61"/>
      <c r="W165" s="61"/>
      <c r="X165" s="61"/>
      <c r="Y165" s="61"/>
      <c r="Z165" s="61"/>
      <c r="AA165" s="61"/>
      <c r="AB165" s="61"/>
      <c r="AC165" s="61"/>
      <c r="AD165" s="61"/>
      <c r="AE165" s="61"/>
      <c r="AF165" s="61"/>
      <c r="AG165" s="61"/>
      <c r="AH165" s="61"/>
      <c r="AI165" s="61"/>
      <c r="AJ165" s="61"/>
      <c r="AK165" s="61"/>
      <c r="AL165" s="61" t="s">
        <v>19</v>
      </c>
      <c r="AM165" s="61">
        <v>0</v>
      </c>
      <c r="AN165" s="61">
        <v>0</v>
      </c>
      <c r="AO165" s="61">
        <v>0</v>
      </c>
      <c r="AP165" s="61">
        <v>2</v>
      </c>
      <c r="AQ165" s="61">
        <v>0</v>
      </c>
      <c r="AR165" s="61">
        <v>0</v>
      </c>
      <c r="AS165" s="61">
        <v>2</v>
      </c>
      <c r="AT165" s="61">
        <v>0</v>
      </c>
      <c r="AU165" s="61">
        <v>6</v>
      </c>
      <c r="AV165" s="61">
        <v>4</v>
      </c>
      <c r="AW165" s="61">
        <v>0</v>
      </c>
      <c r="AX165" s="61">
        <v>10</v>
      </c>
      <c r="AY165" s="61">
        <v>4</v>
      </c>
      <c r="AZ165" s="61">
        <v>14</v>
      </c>
      <c r="BA165" s="61">
        <v>12</v>
      </c>
      <c r="BB165" s="61">
        <v>8</v>
      </c>
      <c r="BC165" s="61">
        <v>4</v>
      </c>
      <c r="BD165" s="61">
        <v>10</v>
      </c>
      <c r="BE165" s="61">
        <v>10</v>
      </c>
      <c r="BF165" s="61">
        <v>4</v>
      </c>
      <c r="BG165" s="61">
        <v>14</v>
      </c>
      <c r="BH165" s="61">
        <v>10</v>
      </c>
      <c r="BI165" s="61">
        <v>20</v>
      </c>
      <c r="BJ165" s="61">
        <v>2</v>
      </c>
      <c r="BK165" s="61">
        <v>26</v>
      </c>
      <c r="BL165" s="61">
        <v>8</v>
      </c>
      <c r="BM165" s="61">
        <v>28</v>
      </c>
      <c r="BN165" s="61">
        <v>14</v>
      </c>
      <c r="BO165" s="61">
        <v>10</v>
      </c>
      <c r="BP165" s="61">
        <v>20</v>
      </c>
      <c r="BQ165" s="61">
        <v>14</v>
      </c>
      <c r="BR165" s="61">
        <v>24</v>
      </c>
      <c r="BS165" s="61">
        <v>28</v>
      </c>
      <c r="BT165" s="61">
        <v>30</v>
      </c>
      <c r="BU165" s="61">
        <v>12</v>
      </c>
      <c r="BV165" s="61">
        <v>36</v>
      </c>
      <c r="BW165" s="61">
        <v>18</v>
      </c>
      <c r="BX165" s="61">
        <v>40</v>
      </c>
      <c r="BY165" s="61">
        <v>24</v>
      </c>
      <c r="BZ165" s="61">
        <v>42</v>
      </c>
      <c r="CA165" s="61">
        <v>30</v>
      </c>
      <c r="CB165" s="61">
        <v>12</v>
      </c>
      <c r="CC165" s="61">
        <v>36</v>
      </c>
      <c r="CD165" s="61">
        <v>30</v>
      </c>
      <c r="CE165" s="61">
        <v>40</v>
      </c>
      <c r="CF165" s="61">
        <v>36</v>
      </c>
      <c r="CG165" s="61">
        <v>46</v>
      </c>
      <c r="CH165" s="61">
        <v>46</v>
      </c>
      <c r="CI165" s="61">
        <v>52</v>
      </c>
      <c r="CJ165" s="61">
        <v>34</v>
      </c>
      <c r="CK165" s="61">
        <v>54</v>
      </c>
      <c r="CL165" s="61"/>
      <c r="CM165" s="61" t="s">
        <v>293</v>
      </c>
      <c r="CN165" s="61">
        <v>0</v>
      </c>
      <c r="CO165" s="61">
        <v>2</v>
      </c>
      <c r="CP165" s="61">
        <v>0</v>
      </c>
      <c r="CQ165" s="61">
        <v>0</v>
      </c>
      <c r="CR165" s="61">
        <v>2</v>
      </c>
      <c r="CS165" s="61">
        <v>2</v>
      </c>
      <c r="CT165" s="61">
        <v>0</v>
      </c>
      <c r="CU165" s="61">
        <v>4</v>
      </c>
      <c r="CV165" s="61">
        <v>2</v>
      </c>
      <c r="CW165" s="61">
        <v>0</v>
      </c>
      <c r="CX165" s="61">
        <v>4</v>
      </c>
      <c r="CY165" s="61">
        <v>2</v>
      </c>
      <c r="CZ165" s="61">
        <v>0</v>
      </c>
      <c r="DA165" s="61">
        <v>4</v>
      </c>
      <c r="DB165" s="61">
        <v>2</v>
      </c>
      <c r="DC165" s="61">
        <v>0</v>
      </c>
      <c r="DD165" s="61">
        <v>4</v>
      </c>
      <c r="DE165" s="61">
        <v>2</v>
      </c>
      <c r="DF165" s="61">
        <v>0</v>
      </c>
      <c r="DG165" s="61">
        <v>4</v>
      </c>
      <c r="DH165" s="61">
        <v>2</v>
      </c>
      <c r="DI165" s="61"/>
      <c r="DJ165" s="61"/>
      <c r="DK165" s="61"/>
      <c r="DL165" s="61"/>
      <c r="DM165" s="61"/>
      <c r="DN165" s="61"/>
      <c r="DO165" s="61"/>
      <c r="DP165" s="61"/>
      <c r="DQ165" s="61"/>
      <c r="DR165" s="61"/>
      <c r="DS165" s="61"/>
      <c r="DT165" s="61"/>
      <c r="DU165" s="61"/>
      <c r="DV165" s="61"/>
      <c r="DW165" s="61"/>
      <c r="DX165" s="61"/>
      <c r="DY165" s="61"/>
      <c r="DZ165" s="61"/>
      <c r="EA165" s="61"/>
      <c r="EB165" s="61"/>
      <c r="EC165" s="61"/>
      <c r="ED165" s="61"/>
      <c r="EE165" s="61"/>
      <c r="EF165" s="61"/>
      <c r="EG165" s="61"/>
      <c r="EH165" s="61"/>
      <c r="EI165" s="61"/>
      <c r="EJ165" s="61"/>
      <c r="EK165" s="61"/>
      <c r="EL165" s="61"/>
      <c r="EM165" s="61"/>
      <c r="EN165" s="61"/>
      <c r="EO165" s="61"/>
      <c r="EP165" s="61"/>
      <c r="EQ165" s="61"/>
      <c r="ER165" s="61"/>
      <c r="ES165" s="61"/>
      <c r="ET165" s="61"/>
      <c r="EU165" s="61"/>
      <c r="FH165" s="61"/>
      <c r="FI165" s="61" t="s">
        <v>11</v>
      </c>
      <c r="FJ165" s="61">
        <v>0</v>
      </c>
      <c r="FK165" s="61">
        <v>0</v>
      </c>
      <c r="FL165" s="61">
        <v>2</v>
      </c>
      <c r="FM165" s="61">
        <v>2</v>
      </c>
      <c r="FN165" s="61">
        <v>4</v>
      </c>
      <c r="FO165" s="61">
        <v>4</v>
      </c>
      <c r="FP165" s="61">
        <v>6</v>
      </c>
      <c r="FQ165" s="61">
        <v>6</v>
      </c>
      <c r="FR165" s="61">
        <v>8</v>
      </c>
      <c r="FS165" s="61">
        <v>8</v>
      </c>
      <c r="FT165" s="61">
        <v>10</v>
      </c>
      <c r="FU165" s="61"/>
      <c r="FV165" s="61" t="s">
        <v>11</v>
      </c>
      <c r="FW165" s="61">
        <v>0</v>
      </c>
      <c r="FX165" s="61">
        <v>0</v>
      </c>
      <c r="FY165" s="61">
        <v>2</v>
      </c>
      <c r="FZ165" s="61">
        <v>2</v>
      </c>
      <c r="GA165" s="61">
        <v>4</v>
      </c>
      <c r="GB165" s="61">
        <v>4</v>
      </c>
      <c r="GC165" s="61">
        <v>6</v>
      </c>
      <c r="GD165" s="61">
        <v>6</v>
      </c>
      <c r="GE165" s="61">
        <v>8</v>
      </c>
      <c r="GF165" s="61">
        <v>10</v>
      </c>
      <c r="GG165" s="61">
        <v>10</v>
      </c>
      <c r="GH165" s="61"/>
      <c r="GI165" s="61"/>
      <c r="GJ165" s="61"/>
      <c r="GK165" s="61"/>
      <c r="GL165" s="61"/>
      <c r="GM165" s="61"/>
      <c r="GN165" s="61"/>
      <c r="GO165" s="61"/>
      <c r="GP165" s="61"/>
      <c r="GQ165" s="61"/>
      <c r="GR165" s="61"/>
      <c r="GS165" s="61"/>
      <c r="GT165" s="61"/>
      <c r="GU165" s="61"/>
      <c r="GV165" s="61"/>
      <c r="GW165" s="61"/>
      <c r="GX165" s="61">
        <v>2200</v>
      </c>
      <c r="GY165" s="61">
        <v>2</v>
      </c>
      <c r="GZ165" s="61">
        <f>GX165*GY165</f>
        <v>4400</v>
      </c>
      <c r="HA165" s="144">
        <v>46.73</v>
      </c>
      <c r="HB165" s="61">
        <f>GY165*HA165</f>
        <v>93.46</v>
      </c>
      <c r="HC165" s="61">
        <f>2*GY165</f>
        <v>4</v>
      </c>
      <c r="HU165" s="143"/>
      <c r="HV165" s="141" t="s">
        <v>478</v>
      </c>
      <c r="IS165" s="60" t="s">
        <v>478</v>
      </c>
    </row>
    <row r="166" spans="1:277" x14ac:dyDescent="0.25">
      <c r="A166" s="8"/>
      <c r="B166" s="5" t="s">
        <v>116</v>
      </c>
      <c r="C166" s="8"/>
      <c r="D166" s="9"/>
      <c r="E166" s="9"/>
      <c r="F166" s="9"/>
      <c r="G166" s="9"/>
      <c r="H166" s="9"/>
      <c r="I166" s="9"/>
      <c r="J166" s="9"/>
      <c r="K166" s="9"/>
      <c r="L166" s="6" t="str">
        <f>INDEX(($AB$191:$AB$200),MATCH(I152,$Y$191:$Y$200,0),1,1)</f>
        <v>SAM8X25E</v>
      </c>
      <c r="M166" s="11">
        <f>INDEX(cennik!$C$2:$L$529,MATCH($L166,cennik!$B$2:$B$522,0),MATCH(M$104,cennik!$C$1:$L$1,0))</f>
        <v>898525</v>
      </c>
      <c r="N166" s="11" t="str">
        <f>INDEX(cennik!$C$2:$L$529,MATCH($L166,cennik!$B$2:$B$522,0),MATCH(N$104,cennik!$C$1:$L$1,0))</f>
        <v>szt.</v>
      </c>
      <c r="O166" s="11">
        <f>IF(L166="-------",0,SUM(O164:O165))</f>
        <v>0</v>
      </c>
      <c r="P166" s="34">
        <f>INDEX(cennik!$C$2:$L$529,MATCH($L166,cennik!$B$2:$B$522,0),MATCH(P$104,cennik!$C$1:$L$1,0))</f>
        <v>0.45</v>
      </c>
      <c r="Q166" s="34">
        <f t="shared" si="116"/>
        <v>0</v>
      </c>
      <c r="R166" s="35">
        <f t="shared" si="114"/>
        <v>0</v>
      </c>
      <c r="S166" s="34">
        <f t="shared" si="115"/>
        <v>0.45</v>
      </c>
      <c r="T166" s="34">
        <f t="shared" si="117"/>
        <v>0</v>
      </c>
      <c r="U166" s="34">
        <f>INDEX(cennik!$C$2:$L$529,MATCH($L166,cennik!$B$2:$B$522,0),MATCH(U$104,cennik!$C$1:$L$1,0))*O166</f>
        <v>0</v>
      </c>
      <c r="V166" s="61"/>
      <c r="W166" s="140" t="s">
        <v>324</v>
      </c>
      <c r="X166" s="140" t="s">
        <v>325</v>
      </c>
      <c r="Y166" s="61"/>
      <c r="Z166" s="140" t="s">
        <v>161</v>
      </c>
      <c r="AA166" s="140">
        <v>1.1499999999999999</v>
      </c>
      <c r="AB166" s="140">
        <v>2.1</v>
      </c>
      <c r="AC166" s="140">
        <v>2.2000000000000002</v>
      </c>
      <c r="AD166" s="140">
        <v>3.15</v>
      </c>
      <c r="AE166" s="140">
        <v>3.3</v>
      </c>
      <c r="AJ166" s="61"/>
      <c r="AK166" s="61"/>
      <c r="AL166" s="61" t="s">
        <v>408</v>
      </c>
      <c r="AM166" s="61">
        <v>0</v>
      </c>
      <c r="AN166" s="61">
        <f>((((SUM(AN161:AN165))/2)-1))*4</f>
        <v>0</v>
      </c>
      <c r="AO166" s="61">
        <f>((((SUM(AO161:AO165))/2)-1))*4</f>
        <v>4</v>
      </c>
      <c r="AP166" s="61">
        <f t="shared" ref="AP166:CK166" si="119">((((SUM(AP161:AP165))/2)-1))*4</f>
        <v>4</v>
      </c>
      <c r="AQ166" s="61">
        <f t="shared" si="119"/>
        <v>8</v>
      </c>
      <c r="AR166" s="61">
        <f t="shared" si="119"/>
        <v>8</v>
      </c>
      <c r="AS166" s="61">
        <f t="shared" si="119"/>
        <v>12</v>
      </c>
      <c r="AT166" s="61">
        <f t="shared" si="119"/>
        <v>12</v>
      </c>
      <c r="AU166" s="61">
        <f t="shared" si="119"/>
        <v>16</v>
      </c>
      <c r="AV166" s="61">
        <f t="shared" si="119"/>
        <v>16</v>
      </c>
      <c r="AW166" s="61">
        <f t="shared" si="119"/>
        <v>20</v>
      </c>
      <c r="AX166" s="61">
        <f t="shared" si="119"/>
        <v>20</v>
      </c>
      <c r="AY166" s="61">
        <f t="shared" si="119"/>
        <v>24</v>
      </c>
      <c r="AZ166" s="61">
        <f t="shared" si="119"/>
        <v>24</v>
      </c>
      <c r="BA166" s="61">
        <f t="shared" si="119"/>
        <v>28</v>
      </c>
      <c r="BB166" s="61">
        <f t="shared" si="119"/>
        <v>32</v>
      </c>
      <c r="BC166" s="61">
        <f t="shared" si="119"/>
        <v>32</v>
      </c>
      <c r="BD166" s="61">
        <f t="shared" si="119"/>
        <v>36</v>
      </c>
      <c r="BE166" s="61">
        <f t="shared" si="119"/>
        <v>36</v>
      </c>
      <c r="BF166" s="61">
        <f t="shared" si="119"/>
        <v>40</v>
      </c>
      <c r="BG166" s="61">
        <f t="shared" si="119"/>
        <v>40</v>
      </c>
      <c r="BH166" s="61">
        <f t="shared" si="119"/>
        <v>44</v>
      </c>
      <c r="BI166" s="61">
        <f t="shared" si="119"/>
        <v>44</v>
      </c>
      <c r="BJ166" s="61">
        <f t="shared" si="119"/>
        <v>48</v>
      </c>
      <c r="BK166" s="61">
        <f t="shared" si="119"/>
        <v>48</v>
      </c>
      <c r="BL166" s="61">
        <f t="shared" si="119"/>
        <v>52</v>
      </c>
      <c r="BM166" s="61">
        <f t="shared" si="119"/>
        <v>52</v>
      </c>
      <c r="BN166" s="61">
        <f t="shared" si="119"/>
        <v>56</v>
      </c>
      <c r="BO166" s="61">
        <f t="shared" si="119"/>
        <v>60</v>
      </c>
      <c r="BP166" s="61">
        <f t="shared" si="119"/>
        <v>60</v>
      </c>
      <c r="BQ166" s="61">
        <f t="shared" si="119"/>
        <v>64</v>
      </c>
      <c r="BR166" s="61">
        <f t="shared" si="119"/>
        <v>64</v>
      </c>
      <c r="BS166" s="61">
        <f t="shared" si="119"/>
        <v>68</v>
      </c>
      <c r="BT166" s="61">
        <f t="shared" si="119"/>
        <v>68</v>
      </c>
      <c r="BU166" s="61">
        <f t="shared" si="119"/>
        <v>72</v>
      </c>
      <c r="BV166" s="61">
        <f t="shared" si="119"/>
        <v>72</v>
      </c>
      <c r="BW166" s="61">
        <f t="shared" si="119"/>
        <v>76</v>
      </c>
      <c r="BX166" s="61">
        <f t="shared" si="119"/>
        <v>76</v>
      </c>
      <c r="BY166" s="61">
        <f t="shared" si="119"/>
        <v>80</v>
      </c>
      <c r="BZ166" s="61">
        <f t="shared" si="119"/>
        <v>80</v>
      </c>
      <c r="CA166" s="61">
        <f t="shared" si="119"/>
        <v>84</v>
      </c>
      <c r="CB166" s="61">
        <f t="shared" si="119"/>
        <v>88</v>
      </c>
      <c r="CC166" s="61">
        <f t="shared" si="119"/>
        <v>88</v>
      </c>
      <c r="CD166" s="61">
        <f t="shared" si="119"/>
        <v>92</v>
      </c>
      <c r="CE166" s="61">
        <f t="shared" si="119"/>
        <v>92</v>
      </c>
      <c r="CF166" s="61">
        <f t="shared" si="119"/>
        <v>96</v>
      </c>
      <c r="CG166" s="61">
        <f t="shared" si="119"/>
        <v>96</v>
      </c>
      <c r="CH166" s="61">
        <f t="shared" si="119"/>
        <v>100</v>
      </c>
      <c r="CI166" s="61">
        <f t="shared" si="119"/>
        <v>100</v>
      </c>
      <c r="CJ166" s="61">
        <f t="shared" si="119"/>
        <v>104</v>
      </c>
      <c r="CK166" s="61">
        <f t="shared" si="119"/>
        <v>104</v>
      </c>
      <c r="CL166" s="61"/>
      <c r="CM166" s="61" t="s">
        <v>212</v>
      </c>
      <c r="CN166" s="61">
        <v>0</v>
      </c>
      <c r="CO166" s="61">
        <v>0</v>
      </c>
      <c r="CP166" s="61">
        <v>2</v>
      </c>
      <c r="CQ166" s="61">
        <v>2</v>
      </c>
      <c r="CR166" s="61">
        <v>2</v>
      </c>
      <c r="CS166" s="61">
        <v>2</v>
      </c>
      <c r="CT166" s="61">
        <v>4</v>
      </c>
      <c r="CU166" s="61">
        <v>2</v>
      </c>
      <c r="CV166" s="61">
        <v>4</v>
      </c>
      <c r="CW166" s="61">
        <v>6</v>
      </c>
      <c r="CX166" s="61">
        <v>4</v>
      </c>
      <c r="CY166" s="61">
        <v>6</v>
      </c>
      <c r="CZ166" s="61">
        <v>8</v>
      </c>
      <c r="DA166" s="61">
        <v>6</v>
      </c>
      <c r="DB166" s="61">
        <v>8</v>
      </c>
      <c r="DC166" s="61">
        <v>10</v>
      </c>
      <c r="DD166" s="61">
        <v>8</v>
      </c>
      <c r="DE166" s="61">
        <v>10</v>
      </c>
      <c r="DF166" s="61">
        <v>12</v>
      </c>
      <c r="DG166" s="61">
        <v>10</v>
      </c>
      <c r="DH166" s="61">
        <v>12</v>
      </c>
      <c r="DI166" s="61"/>
      <c r="DJ166" s="61"/>
      <c r="DK166" s="61"/>
      <c r="DL166" s="61"/>
      <c r="DM166" s="61" t="s">
        <v>114</v>
      </c>
      <c r="DN166" s="61"/>
      <c r="DO166" s="61"/>
      <c r="DP166" s="61"/>
      <c r="DQ166" s="61"/>
      <c r="DR166" s="61"/>
      <c r="DS166" s="61"/>
      <c r="DT166" s="61"/>
      <c r="DU166" s="61"/>
      <c r="DV166" s="61"/>
      <c r="DW166" s="61"/>
      <c r="DX166" s="61"/>
      <c r="DY166" s="61"/>
      <c r="EA166" s="61"/>
      <c r="EB166" s="61"/>
      <c r="EC166" s="61"/>
      <c r="ED166" s="61"/>
      <c r="EE166" s="61"/>
      <c r="EF166" s="61"/>
      <c r="EG166" s="61"/>
      <c r="EH166" s="61"/>
      <c r="EI166" s="61"/>
      <c r="EJ166" s="61"/>
      <c r="EK166" s="61"/>
      <c r="EL166" s="61"/>
      <c r="EM166" s="61"/>
      <c r="EN166" s="61"/>
      <c r="EO166" s="61"/>
      <c r="EP166" s="61"/>
      <c r="EQ166" s="61"/>
      <c r="ER166" s="61"/>
      <c r="ES166" s="61"/>
      <c r="ET166" s="61"/>
      <c r="EU166" s="61"/>
      <c r="EV166" s="61" t="s">
        <v>112</v>
      </c>
      <c r="EW166" s="61"/>
      <c r="EX166" s="61"/>
      <c r="EY166" s="61"/>
      <c r="EZ166" s="61"/>
      <c r="FA166" s="61"/>
      <c r="FB166" s="61"/>
      <c r="FC166" s="61"/>
      <c r="FD166" s="61"/>
      <c r="FE166" s="61"/>
      <c r="FF166" s="61"/>
      <c r="FG166" s="61"/>
      <c r="FH166" s="61"/>
      <c r="FU166" s="61"/>
      <c r="GH166" s="61"/>
      <c r="GI166" s="61"/>
      <c r="GJ166" s="61"/>
      <c r="GK166" s="61"/>
      <c r="GL166" s="61"/>
      <c r="GM166" s="61"/>
      <c r="GN166" s="61"/>
      <c r="GO166" s="61"/>
      <c r="GP166" s="61"/>
      <c r="GQ166" s="61"/>
      <c r="GR166" s="61"/>
      <c r="GS166" s="61"/>
      <c r="GT166" s="61"/>
      <c r="GU166" s="61"/>
      <c r="GV166" s="61"/>
      <c r="GW166" s="61"/>
      <c r="GX166" s="61">
        <v>3300</v>
      </c>
      <c r="GY166" s="61">
        <v>12</v>
      </c>
      <c r="GZ166" s="61">
        <f>GX166*GY166</f>
        <v>39600</v>
      </c>
      <c r="HA166" s="144">
        <v>70.11</v>
      </c>
      <c r="HB166" s="61">
        <f>GY166*HA166</f>
        <v>841.31999999999994</v>
      </c>
      <c r="HC166" s="61">
        <f>2*GY166</f>
        <v>24</v>
      </c>
      <c r="HW166" s="60">
        <v>0</v>
      </c>
      <c r="HX166" s="60">
        <v>1</v>
      </c>
      <c r="HY166" s="60">
        <v>2</v>
      </c>
      <c r="HZ166" s="60">
        <v>3</v>
      </c>
      <c r="IA166" s="60">
        <v>4</v>
      </c>
      <c r="IB166" s="60">
        <v>5</v>
      </c>
      <c r="IC166" s="60">
        <v>6</v>
      </c>
      <c r="ID166" s="60">
        <v>7</v>
      </c>
      <c r="IE166" s="60">
        <v>8</v>
      </c>
      <c r="IF166" s="60">
        <v>9</v>
      </c>
      <c r="IG166" s="60">
        <v>10</v>
      </c>
      <c r="IH166" s="60">
        <v>11</v>
      </c>
      <c r="II166" s="60">
        <v>12</v>
      </c>
      <c r="IJ166" s="60">
        <v>13</v>
      </c>
      <c r="IK166" s="60">
        <v>14</v>
      </c>
      <c r="IL166" s="60">
        <v>15</v>
      </c>
      <c r="IM166" s="60">
        <v>16</v>
      </c>
      <c r="IN166" s="60">
        <v>17</v>
      </c>
      <c r="IO166" s="60">
        <v>18</v>
      </c>
      <c r="IP166" s="60">
        <v>19</v>
      </c>
      <c r="IQ166" s="60">
        <v>20</v>
      </c>
      <c r="IT166" s="60">
        <f t="shared" si="69"/>
        <v>0</v>
      </c>
      <c r="IU166" s="60">
        <f t="shared" si="70"/>
        <v>2</v>
      </c>
      <c r="IV166" s="60">
        <f t="shared" si="71"/>
        <v>4</v>
      </c>
      <c r="IW166" s="60">
        <f t="shared" si="72"/>
        <v>6</v>
      </c>
      <c r="IX166" s="60">
        <f t="shared" si="73"/>
        <v>8</v>
      </c>
      <c r="IY166" s="60">
        <f t="shared" si="74"/>
        <v>10</v>
      </c>
      <c r="IZ166" s="60">
        <f t="shared" si="75"/>
        <v>12</v>
      </c>
      <c r="JA166" s="60">
        <f t="shared" si="76"/>
        <v>14</v>
      </c>
      <c r="JB166" s="60">
        <f t="shared" si="77"/>
        <v>16</v>
      </c>
      <c r="JC166" s="60">
        <f t="shared" si="78"/>
        <v>18</v>
      </c>
      <c r="JD166" s="60">
        <f t="shared" si="79"/>
        <v>20</v>
      </c>
      <c r="JE166" s="60">
        <f t="shared" si="80"/>
        <v>22</v>
      </c>
      <c r="JF166" s="60">
        <f t="shared" si="81"/>
        <v>24</v>
      </c>
      <c r="JG166" s="60">
        <f t="shared" si="82"/>
        <v>26</v>
      </c>
      <c r="JH166" s="60">
        <f t="shared" si="83"/>
        <v>28</v>
      </c>
      <c r="JI166" s="60">
        <f t="shared" si="84"/>
        <v>30</v>
      </c>
      <c r="JJ166" s="60">
        <f t="shared" si="85"/>
        <v>32</v>
      </c>
      <c r="JK166" s="60">
        <f t="shared" si="86"/>
        <v>34</v>
      </c>
      <c r="JL166" s="60">
        <f t="shared" si="87"/>
        <v>36</v>
      </c>
      <c r="JM166" s="60">
        <f t="shared" si="88"/>
        <v>38</v>
      </c>
      <c r="JN166" s="60">
        <f t="shared" si="89"/>
        <v>40</v>
      </c>
    </row>
    <row r="167" spans="1:277" x14ac:dyDescent="0.25">
      <c r="A167" s="9"/>
      <c r="B167" s="6"/>
      <c r="C167" s="9"/>
      <c r="D167" s="9"/>
      <c r="E167" s="9"/>
      <c r="F167" s="9"/>
      <c r="G167" s="9"/>
      <c r="H167" s="9"/>
      <c r="I167" s="9"/>
      <c r="J167" s="9"/>
      <c r="K167" s="9"/>
      <c r="L167" s="15" t="s">
        <v>321</v>
      </c>
      <c r="M167" s="11">
        <f>INDEX(cennik!$C$2:$L$529,MATCH($L167,cennik!$B$2:$B$522,0),MATCH(M$104,cennik!$C$1:$L$1,0))</f>
        <v>890101</v>
      </c>
      <c r="N167" s="11" t="str">
        <f>INDEX(cennik!$C$2:$L$529,MATCH($L167,cennik!$B$2:$B$522,0),MATCH(N$104,cennik!$C$1:$L$1,0))</f>
        <v>szt.</v>
      </c>
      <c r="O167" s="10">
        <f>SUM(O164:O165)</f>
        <v>0</v>
      </c>
      <c r="P167" s="34">
        <f>INDEX(cennik!$C$2:$L$529,MATCH($L167,cennik!$B$2:$B$522,0),MATCH(P$104,cennik!$C$1:$L$1,0))</f>
        <v>1.99</v>
      </c>
      <c r="Q167" s="12">
        <f t="shared" si="116"/>
        <v>0</v>
      </c>
      <c r="R167" s="13">
        <f t="shared" si="114"/>
        <v>0</v>
      </c>
      <c r="S167" s="34">
        <f t="shared" si="115"/>
        <v>1.99</v>
      </c>
      <c r="T167" s="12">
        <f t="shared" si="117"/>
        <v>0</v>
      </c>
      <c r="U167" s="34">
        <f>INDEX(cennik!$C$2:$L$529,MATCH($L167,cennik!$B$2:$B$522,0),MATCH(U$104,cennik!$C$1:$L$1,0))*O167</f>
        <v>0</v>
      </c>
      <c r="V167" s="61"/>
      <c r="W167" s="142">
        <f t="shared" ref="W167:W182" si="120">(IF(((INT((((A178)*(IF($G$179=$X$128,$Y$128,IF($G$179=$X$129,$Y$129,IF($G$179=$X$130,$Y$130,IF($G$179=$X$131,$Y$131,0))))))+(((A178)-1)*20))/$E$187))*$E$187)+600&gt;((A178)*(IF($G$179=$X$128,$Y$128,IF($G$179=$X$129,$Y$129,IF($G$179=$X$130,$Y$130,IF($G$179=$X$131,$Y$131,0))))))+(((A178)-1)*20),(INT((((A178)*(IF($G$179=$X$128,$Y$128,IF($G$179=$X$129,$Y$129,IF($G$179=$X$130,$Y$130,IF($G$179=$X$131,$Y$131,0))))))+(((A178)-1)*20))/$E$187))+1,IF(((INT((((A178)*(IF($G$179=$X$128,$Y$128,IF($G$179=$X$129,$Y$129,IF($G$179=$X$130,$Y$130,IF($G$179=$X$131,$Y$131,0))))))+(((A178)-1)*20))/$E$187))*$E$187)+600&lt;((A178)*(IF($G$179=$X$128,$Y$128,IF($G$179=$X$129,$Y$129,IF($G$179=$X$130,$Y$130,IF($G$179=$X$131,$Y$131,0))))))+(((A178)-1)*20),(INT((((A178)*(IF($G$179=$X$128,$Y$128,IF($G$179=$X$129,$Y$129,IF($G$179=$X$130,$Y$130,IF($G$179=$X$131,$Y$131,0))))))+(((A178)-1)*20))/$E$187))+2,0)))*C178</f>
        <v>0</v>
      </c>
      <c r="X167" s="61">
        <f t="shared" ref="X167:X182" si="121">IF(A178=0,0,IF(A178&gt;0,(IF(W167=0,0,IF(W167&gt;0,(INDEX(($CN$147:$DX$147),MATCH($L$187,$CM$147,0),MATCH(W167/C178,$CN$146:$DX$146,0),1)*C178)))),0))</f>
        <v>0</v>
      </c>
      <c r="Y167" s="61"/>
      <c r="Z167" s="61">
        <f>(INDEX(($AM$106:$CK$111,$AM$115:$CK$120,$AM$124:$CK$129,$AM$133:$CK$138),MATCH($L$184,$AL$106:$AL$111,0),MATCH(A178,$AM$105:$CK$105,0),MATCH($G$179,$X$128:$X$131,0)))*C178</f>
        <v>0</v>
      </c>
      <c r="AA167" s="61">
        <f>(INDEX(($AM$106:$CK$111,$AM$115:$CK$120,$AM$124:$CK$129,$AM$133:$CK$138),MATCH($L$179,$AL$106:$AL$111,0),MATCH(A178,$AM$105:$CK$105,0),MATCH($G$179,$X$128:$X$131,0)))*C178</f>
        <v>0</v>
      </c>
      <c r="AB167" s="61">
        <f>(INDEX(($AM$106:$CK$111,$AM$115:$CK$120,$AM$124:$CK$129,$AM$133:$CK$138),MATCH($L$180,$AL$106:$AL$111,0),MATCH(A178,$AM$105:$CK$105,0),MATCH($G$179,$X$128:$X$131,0)))*C178</f>
        <v>0</v>
      </c>
      <c r="AC167" s="61">
        <f>(INDEX(($AM$106:$CK$111,$AM$115:$CK$120,$AM$124:$CK$129,$AM$133:$CK$138),MATCH($L$181,$AL$106:$AL$111,0),MATCH(A178,$AM$105:$CK$105,0),MATCH($G$179,$X$128:$X$131,0)))*C178</f>
        <v>0</v>
      </c>
      <c r="AD167" s="61">
        <f>(INDEX(($AM$106:$CK$111,$AM$115:$CK$120,$AM$124:$CK$129,$AM$133:$CK$138),MATCH($L$182,$AL$106:$AL$111,0),MATCH(A178,$AM$105:$CK$105,0),MATCH($G$179,$X$128:$X$131,0)))*C178</f>
        <v>0</v>
      </c>
      <c r="AE167" s="61">
        <f>(INDEX(($AM$106:$CK$111,$AM$115:$CK$120,$AM$124:$CK$129,$AM$133:$CK$138),MATCH($L$183,$AL$106:$AL$111,0),MATCH(A178,$AM$105:$CK$105,0),MATCH($G$179,$X$128:$X$131,0)))*C178</f>
        <v>0</v>
      </c>
      <c r="AJ167" s="61"/>
      <c r="AK167" s="61"/>
      <c r="AL167" s="61"/>
      <c r="AM167" s="61"/>
      <c r="AN167" s="61"/>
      <c r="AO167" s="61"/>
      <c r="AP167" s="61"/>
      <c r="AQ167" s="61"/>
      <c r="AR167" s="61"/>
      <c r="AS167" s="61"/>
      <c r="AT167" s="61"/>
      <c r="AU167" s="61"/>
      <c r="AV167" s="61"/>
      <c r="AW167" s="61"/>
      <c r="AX167" s="61"/>
      <c r="AY167" s="61"/>
      <c r="AZ167" s="61"/>
      <c r="BA167" s="61"/>
      <c r="BB167" s="61"/>
      <c r="BC167" s="61"/>
      <c r="BD167" s="61"/>
      <c r="BE167" s="61"/>
      <c r="BF167" s="61"/>
      <c r="BG167" s="61"/>
      <c r="BH167" s="61"/>
      <c r="BI167" s="61"/>
      <c r="BJ167" s="61"/>
      <c r="BK167" s="61"/>
      <c r="BL167" s="61"/>
      <c r="BM167" s="61"/>
      <c r="BN167" s="61"/>
      <c r="BO167" s="61"/>
      <c r="BP167" s="61"/>
      <c r="BQ167" s="61"/>
      <c r="BR167" s="61"/>
      <c r="BS167" s="61"/>
      <c r="BT167" s="61"/>
      <c r="BU167" s="61"/>
      <c r="BV167" s="61"/>
      <c r="BW167" s="61"/>
      <c r="BX167" s="61"/>
      <c r="BY167" s="61"/>
      <c r="BZ167" s="61"/>
      <c r="CA167" s="61"/>
      <c r="CB167" s="61"/>
      <c r="CC167" s="61"/>
      <c r="CD167" s="61"/>
      <c r="CE167" s="61"/>
      <c r="CF167" s="61"/>
      <c r="CG167" s="61"/>
      <c r="CH167" s="61"/>
      <c r="CI167" s="61"/>
      <c r="CJ167" s="61"/>
      <c r="CK167" s="61"/>
      <c r="CL167" s="61"/>
      <c r="CM167" s="61" t="s">
        <v>11</v>
      </c>
      <c r="CN167" s="61">
        <v>0</v>
      </c>
      <c r="CO167" s="61">
        <v>0</v>
      </c>
      <c r="CP167" s="61">
        <v>0</v>
      </c>
      <c r="CQ167" s="61">
        <v>0</v>
      </c>
      <c r="CR167" s="61">
        <v>2</v>
      </c>
      <c r="CS167" s="61">
        <v>2</v>
      </c>
      <c r="CT167" s="61">
        <v>2</v>
      </c>
      <c r="CU167" s="61">
        <v>4</v>
      </c>
      <c r="CV167" s="61">
        <v>4</v>
      </c>
      <c r="CW167" s="61">
        <v>4</v>
      </c>
      <c r="CX167" s="61">
        <v>6</v>
      </c>
      <c r="CY167" s="61">
        <v>6</v>
      </c>
      <c r="CZ167" s="61">
        <v>6</v>
      </c>
      <c r="DA167" s="61">
        <v>8</v>
      </c>
      <c r="DB167" s="61">
        <v>8</v>
      </c>
      <c r="DC167" s="61">
        <v>8</v>
      </c>
      <c r="DD167" s="61">
        <v>10</v>
      </c>
      <c r="DE167" s="61">
        <v>10</v>
      </c>
      <c r="DF167" s="61">
        <v>10</v>
      </c>
      <c r="DG167" s="61">
        <v>12</v>
      </c>
      <c r="DH167" s="61">
        <v>12</v>
      </c>
      <c r="DI167" s="61"/>
      <c r="DJ167" s="61"/>
      <c r="DK167" s="61"/>
      <c r="DL167" s="61"/>
      <c r="DM167" s="61"/>
      <c r="DN167" s="61">
        <v>0</v>
      </c>
      <c r="DO167" s="61">
        <v>1</v>
      </c>
      <c r="DP167" s="61">
        <v>2</v>
      </c>
      <c r="DQ167" s="61">
        <v>3</v>
      </c>
      <c r="DR167" s="61">
        <v>4</v>
      </c>
      <c r="DS167" s="61">
        <v>5</v>
      </c>
      <c r="DT167" s="61">
        <v>6</v>
      </c>
      <c r="DU167" s="61">
        <v>7</v>
      </c>
      <c r="DV167" s="61">
        <v>8</v>
      </c>
      <c r="DW167" s="61">
        <v>9</v>
      </c>
      <c r="DX167" s="61">
        <v>10</v>
      </c>
      <c r="DY167" s="61">
        <v>11</v>
      </c>
      <c r="DZ167" s="61">
        <v>12</v>
      </c>
      <c r="EA167" s="61">
        <v>13</v>
      </c>
      <c r="EB167" s="61">
        <v>14</v>
      </c>
      <c r="EC167" s="61">
        <v>15</v>
      </c>
      <c r="ED167" s="61">
        <v>16</v>
      </c>
      <c r="EE167" s="61">
        <v>17</v>
      </c>
      <c r="EF167" s="61">
        <v>18</v>
      </c>
      <c r="EG167" s="61">
        <v>19</v>
      </c>
      <c r="EH167" s="61">
        <v>20</v>
      </c>
      <c r="EI167" s="61"/>
      <c r="EJ167" s="61"/>
      <c r="EK167" s="61"/>
      <c r="EL167" s="61"/>
      <c r="EM167" s="61"/>
      <c r="EN167" s="61"/>
      <c r="EO167" s="61"/>
      <c r="EP167" s="61"/>
      <c r="EQ167" s="61"/>
      <c r="ER167" s="61"/>
      <c r="ES167" s="61"/>
      <c r="ET167" s="61"/>
      <c r="EU167" s="61"/>
      <c r="EV167" s="61"/>
      <c r="EW167" s="61">
        <v>0</v>
      </c>
      <c r="EX167" s="61">
        <v>1</v>
      </c>
      <c r="EY167" s="61">
        <v>2</v>
      </c>
      <c r="EZ167" s="61">
        <v>3</v>
      </c>
      <c r="FA167" s="61">
        <v>4</v>
      </c>
      <c r="FB167" s="61">
        <v>5</v>
      </c>
      <c r="FC167" s="61">
        <v>6</v>
      </c>
      <c r="FD167" s="61">
        <v>7</v>
      </c>
      <c r="FE167" s="61">
        <v>8</v>
      </c>
      <c r="FF167" s="61">
        <v>9</v>
      </c>
      <c r="FG167" s="61">
        <v>10</v>
      </c>
      <c r="FH167" s="61"/>
      <c r="FI167" s="61" t="s">
        <v>471</v>
      </c>
      <c r="FJ167" s="61"/>
      <c r="FK167" s="61"/>
      <c r="FL167" s="61"/>
      <c r="FM167" s="61"/>
      <c r="FN167" s="61"/>
      <c r="FO167" s="61"/>
      <c r="FP167" s="61"/>
      <c r="FQ167" s="61"/>
      <c r="FR167" s="61"/>
      <c r="FS167" s="61"/>
      <c r="FT167" s="61"/>
      <c r="FU167" s="61"/>
      <c r="FV167" s="61" t="s">
        <v>138</v>
      </c>
      <c r="FW167" s="61"/>
      <c r="FX167" s="61"/>
      <c r="FY167" s="61"/>
      <c r="FZ167" s="61"/>
      <c r="GA167" s="61"/>
      <c r="GB167" s="61"/>
      <c r="GC167" s="61"/>
      <c r="GD167" s="61"/>
      <c r="GE167" s="61"/>
      <c r="GF167" s="61"/>
      <c r="GG167" s="61"/>
      <c r="GH167" s="61"/>
      <c r="GI167" s="61"/>
      <c r="GJ167" s="61"/>
      <c r="GK167" s="61"/>
      <c r="GL167" s="61"/>
      <c r="GM167" s="61"/>
      <c r="GN167" s="61"/>
      <c r="GO167" s="61"/>
      <c r="GP167" s="61"/>
      <c r="GQ167" s="61"/>
      <c r="GR167" s="61"/>
      <c r="GS167" s="61"/>
      <c r="GT167" s="61"/>
      <c r="GU167" s="61"/>
      <c r="GV167" s="61"/>
      <c r="GW167" s="61"/>
      <c r="GX167" s="61" t="s">
        <v>154</v>
      </c>
      <c r="GY167" s="61">
        <f>((((SUM(GY165:GY166)))-1))</f>
        <v>13</v>
      </c>
      <c r="GZ167" s="144">
        <v>3.92</v>
      </c>
      <c r="HA167" s="144"/>
      <c r="HB167" s="61">
        <f>GY167*GZ167</f>
        <v>50.96</v>
      </c>
      <c r="HC167" s="61">
        <f>GY167*2</f>
        <v>26</v>
      </c>
      <c r="HV167" s="60" t="s">
        <v>826</v>
      </c>
      <c r="HW167" s="60">
        <v>0</v>
      </c>
      <c r="HX167" s="60">
        <v>2</v>
      </c>
      <c r="HY167" s="60">
        <v>2</v>
      </c>
      <c r="HZ167" s="60">
        <v>0</v>
      </c>
      <c r="IA167" s="60">
        <v>2</v>
      </c>
      <c r="IB167" s="60">
        <v>4</v>
      </c>
      <c r="IC167" s="60">
        <v>0</v>
      </c>
      <c r="ID167" s="60">
        <v>2</v>
      </c>
      <c r="IE167" s="60">
        <v>4</v>
      </c>
      <c r="IF167" s="60">
        <v>0</v>
      </c>
      <c r="IG167" s="60">
        <v>2</v>
      </c>
      <c r="IH167" s="60">
        <v>4</v>
      </c>
      <c r="II167" s="60">
        <v>0</v>
      </c>
      <c r="IJ167" s="60">
        <v>2</v>
      </c>
      <c r="IK167" s="60">
        <v>4</v>
      </c>
      <c r="IL167" s="60">
        <v>0</v>
      </c>
      <c r="IM167" s="60">
        <v>2</v>
      </c>
      <c r="IN167" s="60">
        <v>4</v>
      </c>
      <c r="IO167" s="60">
        <v>0</v>
      </c>
      <c r="IP167" s="60">
        <v>2</v>
      </c>
      <c r="IQ167" s="60">
        <v>0</v>
      </c>
      <c r="IS167" s="60" t="s">
        <v>826</v>
      </c>
      <c r="IT167" s="60">
        <f t="shared" si="69"/>
        <v>0</v>
      </c>
      <c r="IU167" s="60">
        <f t="shared" si="70"/>
        <v>4</v>
      </c>
      <c r="IV167" s="60">
        <f t="shared" si="71"/>
        <v>4</v>
      </c>
      <c r="IW167" s="60">
        <f t="shared" si="72"/>
        <v>0</v>
      </c>
      <c r="IX167" s="60">
        <f t="shared" si="73"/>
        <v>4</v>
      </c>
      <c r="IY167" s="60">
        <f t="shared" si="74"/>
        <v>8</v>
      </c>
      <c r="IZ167" s="60">
        <f t="shared" si="75"/>
        <v>0</v>
      </c>
      <c r="JA167" s="60">
        <f t="shared" si="76"/>
        <v>4</v>
      </c>
      <c r="JB167" s="60">
        <f t="shared" si="77"/>
        <v>8</v>
      </c>
      <c r="JC167" s="60">
        <f t="shared" si="78"/>
        <v>0</v>
      </c>
      <c r="JD167" s="60">
        <f t="shared" si="79"/>
        <v>4</v>
      </c>
      <c r="JE167" s="60">
        <f t="shared" si="80"/>
        <v>8</v>
      </c>
      <c r="JF167" s="60">
        <f t="shared" si="81"/>
        <v>0</v>
      </c>
      <c r="JG167" s="60">
        <f t="shared" si="82"/>
        <v>4</v>
      </c>
      <c r="JH167" s="60">
        <f t="shared" si="83"/>
        <v>8</v>
      </c>
      <c r="JI167" s="60">
        <f t="shared" si="84"/>
        <v>0</v>
      </c>
      <c r="JJ167" s="60">
        <f t="shared" si="85"/>
        <v>4</v>
      </c>
      <c r="JK167" s="60">
        <f t="shared" si="86"/>
        <v>8</v>
      </c>
      <c r="JL167" s="60">
        <f t="shared" si="87"/>
        <v>0</v>
      </c>
      <c r="JM167" s="60">
        <f t="shared" si="88"/>
        <v>4</v>
      </c>
      <c r="JN167" s="60">
        <f t="shared" si="89"/>
        <v>0</v>
      </c>
    </row>
    <row r="168" spans="1:277" x14ac:dyDescent="0.25">
      <c r="A168" s="9"/>
      <c r="B168" s="9"/>
      <c r="C168" s="9"/>
      <c r="D168" s="9"/>
      <c r="E168" s="9"/>
      <c r="F168" s="9"/>
      <c r="G168" s="9"/>
      <c r="H168" s="9"/>
      <c r="I168" s="9"/>
      <c r="J168" s="9"/>
      <c r="K168" s="9"/>
      <c r="L168" s="6" t="str">
        <f>IF(E154="balastowa","SBV250X350",IF(E154="kotwiona","SBV50X500",0))</f>
        <v>SBV250X350</v>
      </c>
      <c r="M168" s="11">
        <f>INDEX(cennik!$C$2:$L$529,MATCH($L168,cennik!$B$2:$B$522,0),MATCH(M$104,cennik!$C$1:$L$1,0))</f>
        <v>895507</v>
      </c>
      <c r="N168" s="11" t="str">
        <f>INDEX(cennik!$C$2:$L$529,MATCH($L168,cennik!$B$2:$B$522,0),MATCH(N$104,cennik!$C$1:$L$1,0))</f>
        <v>szt.</v>
      </c>
      <c r="O168" s="11">
        <f>IF(E154=Z104,O161*3,IF(E154=Z105,O161*4,0))</f>
        <v>0</v>
      </c>
      <c r="P168" s="34">
        <f>INDEX(cennik!$C$2:$L$529,MATCH($L168,cennik!$B$2:$B$522,0),MATCH(P$104,cennik!$C$1:$L$1,0))</f>
        <v>4.08</v>
      </c>
      <c r="Q168" s="34">
        <f t="shared" si="116"/>
        <v>0</v>
      </c>
      <c r="R168" s="35">
        <f t="shared" si="114"/>
        <v>0</v>
      </c>
      <c r="S168" s="34">
        <f t="shared" si="115"/>
        <v>4.08</v>
      </c>
      <c r="T168" s="34">
        <f t="shared" si="117"/>
        <v>0</v>
      </c>
      <c r="U168" s="34">
        <f>INDEX(cennik!$C$2:$L$529,MATCH($L168,cennik!$B$2:$B$522,0),MATCH(U$104,cennik!$C$1:$L$1,0))*O168</f>
        <v>0</v>
      </c>
      <c r="V168" s="61"/>
      <c r="W168" s="142">
        <f t="shared" si="120"/>
        <v>0</v>
      </c>
      <c r="X168" s="61">
        <f t="shared" si="121"/>
        <v>0</v>
      </c>
      <c r="Y168" s="61"/>
      <c r="Z168" s="61">
        <f>(INDEX(($AM$106:$CK$111,$AM$115:$CK$120,$AM$124:$CK$129,$AM$133:$CK$138),MATCH($L$184,$AL$106:$AL$111,0),MATCH(A179,$AM$105:$CK$105,0),MATCH($G$179,$X$128:$X$131,0)))*C179</f>
        <v>0</v>
      </c>
      <c r="AA168" s="61">
        <f>(INDEX(($AM$106:$CK$111,$AM$115:$CK$120,$AM$124:$CK$129,$AM$133:$CK$138),MATCH($L$179,$AL$106:$AL$111,0),MATCH(A179,$AM$105:$CK$105,0),MATCH($G$179,$X$128:$X$131,0)))*C179</f>
        <v>0</v>
      </c>
      <c r="AB168" s="61">
        <f>(INDEX(($AM$106:$CK$111,$AM$115:$CK$120,$AM$124:$CK$129,$AM$133:$CK$138),MATCH($L$180,$AL$106:$AL$111,0),MATCH(A179,$AM$105:$CK$105,0),MATCH($G$179,$X$128:$X$131,0)))*C179</f>
        <v>0</v>
      </c>
      <c r="AC168" s="61">
        <f>(INDEX(($AM$106:$CK$111,$AM$115:$CK$120,$AM$124:$CK$129,$AM$133:$CK$138),MATCH($L$181,$AL$106:$AL$111,0),MATCH(A179,$AM$105:$CK$105,0),MATCH($G$179,$X$128:$X$131,0)))*C179</f>
        <v>0</v>
      </c>
      <c r="AD168" s="61">
        <f>(INDEX(($AM$106:$CK$111,$AM$115:$CK$120,$AM$124:$CK$129,$AM$133:$CK$138),MATCH($L$182,$AL$106:$AL$111,0),MATCH(A179,$AM$105:$CK$105,0),MATCH($G$179,$X$128:$X$131,0)))*C179</f>
        <v>0</v>
      </c>
      <c r="AE168" s="61">
        <f>(INDEX(($AM$106:$CK$111,$AM$115:$CK$120,$AM$124:$CK$129,$AM$133:$CK$138),MATCH($L$183,$AL$106:$AL$111,0),MATCH(A179,$AM$105:$CK$105,0),MATCH($G$179,$X$128:$X$131,0)))*C179</f>
        <v>0</v>
      </c>
      <c r="AJ168" s="61"/>
      <c r="AK168" s="61"/>
      <c r="AL168" s="61" t="s">
        <v>113</v>
      </c>
      <c r="AM168" s="61"/>
      <c r="AN168" s="61"/>
      <c r="AO168" s="61"/>
      <c r="AP168" s="61"/>
      <c r="AQ168" s="61"/>
      <c r="AR168" s="61"/>
      <c r="AS168" s="61"/>
      <c r="AT168" s="61"/>
      <c r="AU168" s="61"/>
      <c r="AV168" s="61"/>
      <c r="AW168" s="61"/>
      <c r="AX168" s="61"/>
      <c r="AY168" s="61"/>
      <c r="AZ168" s="61"/>
      <c r="BA168" s="61"/>
      <c r="BB168" s="61"/>
      <c r="BC168" s="61"/>
      <c r="BD168" s="61"/>
      <c r="BE168" s="61"/>
      <c r="BF168" s="61"/>
      <c r="BG168" s="61"/>
      <c r="BH168" s="61"/>
      <c r="BI168" s="61"/>
      <c r="BJ168" s="61"/>
      <c r="BK168" s="61"/>
      <c r="BL168" s="61"/>
      <c r="BM168" s="61"/>
      <c r="BN168" s="61"/>
      <c r="BO168" s="61"/>
      <c r="BP168" s="61"/>
      <c r="BQ168" s="61"/>
      <c r="BR168" s="61"/>
      <c r="BS168" s="61"/>
      <c r="BT168" s="61"/>
      <c r="BU168" s="61"/>
      <c r="BV168" s="61"/>
      <c r="BW168" s="61"/>
      <c r="BX168" s="61"/>
      <c r="BY168" s="61"/>
      <c r="BZ168" s="61"/>
      <c r="CA168" s="61"/>
      <c r="CB168" s="61"/>
      <c r="CC168" s="61"/>
      <c r="CD168" s="61"/>
      <c r="CE168" s="61"/>
      <c r="CF168" s="61"/>
      <c r="CG168" s="61"/>
      <c r="CH168" s="61"/>
      <c r="CI168" s="61"/>
      <c r="CJ168" s="61"/>
      <c r="CK168" s="61"/>
      <c r="CL168" s="61"/>
      <c r="CM168" s="61"/>
      <c r="CN168" s="61"/>
      <c r="CO168" s="61"/>
      <c r="CP168" s="61"/>
      <c r="CQ168" s="61"/>
      <c r="CR168" s="61"/>
      <c r="CS168" s="61"/>
      <c r="CT168" s="61"/>
      <c r="CU168" s="61"/>
      <c r="CV168" s="61"/>
      <c r="CW168" s="61"/>
      <c r="CX168" s="61"/>
      <c r="CY168" s="61"/>
      <c r="CZ168" s="61"/>
      <c r="DA168" s="61"/>
      <c r="DB168" s="61"/>
      <c r="DC168" s="61"/>
      <c r="DD168" s="61"/>
      <c r="DE168" s="61"/>
      <c r="DF168" s="61"/>
      <c r="DG168" s="61"/>
      <c r="DH168" s="61"/>
      <c r="DI168" s="61"/>
      <c r="DJ168" s="61"/>
      <c r="DK168" s="61"/>
      <c r="DL168" s="61"/>
      <c r="DM168" s="61" t="s">
        <v>293</v>
      </c>
      <c r="DN168" s="61">
        <v>0</v>
      </c>
      <c r="DO168" s="61">
        <v>2</v>
      </c>
      <c r="DP168" s="61">
        <v>2</v>
      </c>
      <c r="DQ168" s="61">
        <v>0</v>
      </c>
      <c r="DR168" s="61">
        <v>4</v>
      </c>
      <c r="DS168" s="61">
        <v>2</v>
      </c>
      <c r="DT168" s="61">
        <v>0</v>
      </c>
      <c r="DU168" s="61">
        <v>4</v>
      </c>
      <c r="DV168" s="61">
        <v>2</v>
      </c>
      <c r="DW168" s="61">
        <v>0</v>
      </c>
      <c r="DX168" s="61">
        <v>0</v>
      </c>
      <c r="DY168" s="61">
        <v>4</v>
      </c>
      <c r="DZ168" s="61">
        <v>2</v>
      </c>
      <c r="EA168" s="61">
        <v>0</v>
      </c>
      <c r="EB168" s="61">
        <v>4</v>
      </c>
      <c r="EC168" s="61">
        <v>2</v>
      </c>
      <c r="ED168" s="61">
        <v>0</v>
      </c>
      <c r="EE168" s="61">
        <v>0</v>
      </c>
      <c r="EF168" s="61">
        <v>2</v>
      </c>
      <c r="EG168" s="61">
        <v>2</v>
      </c>
      <c r="EH168" s="61">
        <v>0</v>
      </c>
      <c r="EI168" s="61"/>
      <c r="EJ168" s="61"/>
      <c r="EK168" s="61"/>
      <c r="EL168" s="61"/>
      <c r="EM168" s="61"/>
      <c r="EN168" s="61"/>
      <c r="EO168" s="61"/>
      <c r="EP168" s="61"/>
      <c r="EQ168" s="61"/>
      <c r="ER168" s="61"/>
      <c r="ES168" s="61"/>
      <c r="ET168" s="61"/>
      <c r="EU168" s="61"/>
      <c r="EV168" s="61" t="s">
        <v>210</v>
      </c>
      <c r="EW168" s="61">
        <v>0</v>
      </c>
      <c r="EX168" s="61">
        <v>0</v>
      </c>
      <c r="EY168" s="61">
        <v>0</v>
      </c>
      <c r="EZ168" s="61">
        <v>0</v>
      </c>
      <c r="FA168" s="61">
        <v>0</v>
      </c>
      <c r="FB168" s="61">
        <v>0</v>
      </c>
      <c r="FC168" s="61">
        <v>0</v>
      </c>
      <c r="FD168" s="61">
        <v>0</v>
      </c>
      <c r="FE168" s="61">
        <v>0</v>
      </c>
      <c r="FF168" s="61">
        <v>0</v>
      </c>
      <c r="FG168" s="61">
        <v>0</v>
      </c>
      <c r="FH168" s="61"/>
      <c r="FI168" s="61"/>
      <c r="FJ168" s="61">
        <v>0</v>
      </c>
      <c r="FK168" s="61">
        <v>1</v>
      </c>
      <c r="FL168" s="61">
        <v>2</v>
      </c>
      <c r="FM168" s="61">
        <v>3</v>
      </c>
      <c r="FN168" s="61">
        <v>4</v>
      </c>
      <c r="FO168" s="61">
        <v>5</v>
      </c>
      <c r="FP168" s="61">
        <v>6</v>
      </c>
      <c r="FQ168" s="61">
        <v>7</v>
      </c>
      <c r="FR168" s="61">
        <v>8</v>
      </c>
      <c r="FS168" s="61">
        <v>9</v>
      </c>
      <c r="FT168" s="61">
        <v>10</v>
      </c>
      <c r="FU168" s="61"/>
      <c r="FV168" s="61"/>
      <c r="FW168" s="61">
        <v>0</v>
      </c>
      <c r="FX168" s="61">
        <v>1</v>
      </c>
      <c r="FY168" s="61">
        <v>2</v>
      </c>
      <c r="FZ168" s="61">
        <v>3</v>
      </c>
      <c r="GA168" s="61">
        <v>4</v>
      </c>
      <c r="GB168" s="61">
        <v>5</v>
      </c>
      <c r="GC168" s="61">
        <v>6</v>
      </c>
      <c r="GD168" s="61">
        <v>7</v>
      </c>
      <c r="GE168" s="61">
        <v>8</v>
      </c>
      <c r="GF168" s="61">
        <v>9</v>
      </c>
      <c r="GG168" s="61">
        <v>10</v>
      </c>
      <c r="GH168" s="61"/>
      <c r="GI168" s="61"/>
      <c r="GJ168" s="61"/>
      <c r="GK168" s="61"/>
      <c r="GL168" s="61"/>
      <c r="GM168" s="61"/>
      <c r="GN168" s="61"/>
      <c r="GO168" s="61"/>
      <c r="GP168" s="61"/>
      <c r="GQ168" s="61"/>
      <c r="GR168" s="61"/>
      <c r="GS168" s="61"/>
      <c r="GT168" s="61"/>
      <c r="GU168" s="61"/>
      <c r="GV168" s="61"/>
      <c r="GW168" s="61"/>
      <c r="GX168" s="61"/>
      <c r="GY168" s="61"/>
      <c r="GZ168" s="61">
        <f>SUM(GZ165:GZ166)</f>
        <v>44000</v>
      </c>
      <c r="HA168" s="61"/>
      <c r="HB168" s="61">
        <f>SUM(HB165:HB167)</f>
        <v>985.74</v>
      </c>
      <c r="HC168" s="61"/>
      <c r="HV168" s="60" t="s">
        <v>825</v>
      </c>
      <c r="HW168" s="60">
        <v>0</v>
      </c>
      <c r="HX168" s="60">
        <v>0</v>
      </c>
      <c r="HY168" s="60">
        <v>2</v>
      </c>
      <c r="HZ168" s="60">
        <v>4</v>
      </c>
      <c r="IA168" s="60">
        <v>4</v>
      </c>
      <c r="IB168" s="60">
        <v>4</v>
      </c>
      <c r="IC168" s="60">
        <v>8</v>
      </c>
      <c r="ID168" s="60">
        <v>8</v>
      </c>
      <c r="IE168" s="60">
        <v>8</v>
      </c>
      <c r="IF168" s="60">
        <v>12</v>
      </c>
      <c r="IG168" s="60">
        <v>12</v>
      </c>
      <c r="IH168" s="60">
        <v>12</v>
      </c>
      <c r="II168" s="60">
        <v>16</v>
      </c>
      <c r="IJ168" s="60">
        <v>16</v>
      </c>
      <c r="IK168" s="60">
        <v>16</v>
      </c>
      <c r="IL168" s="60">
        <v>20</v>
      </c>
      <c r="IM168" s="60">
        <v>20</v>
      </c>
      <c r="IN168" s="60">
        <v>20</v>
      </c>
      <c r="IO168" s="60">
        <v>24</v>
      </c>
      <c r="IP168" s="60">
        <v>24</v>
      </c>
      <c r="IQ168" s="60">
        <v>26</v>
      </c>
      <c r="IS168" s="60" t="s">
        <v>825</v>
      </c>
      <c r="IT168" s="60">
        <f t="shared" si="69"/>
        <v>0</v>
      </c>
      <c r="IU168" s="60">
        <f t="shared" si="70"/>
        <v>0</v>
      </c>
      <c r="IV168" s="60">
        <f t="shared" si="71"/>
        <v>4</v>
      </c>
      <c r="IW168" s="60">
        <f t="shared" si="72"/>
        <v>8</v>
      </c>
      <c r="IX168" s="60">
        <f t="shared" si="73"/>
        <v>8</v>
      </c>
      <c r="IY168" s="60">
        <f t="shared" si="74"/>
        <v>8</v>
      </c>
      <c r="IZ168" s="60">
        <f t="shared" si="75"/>
        <v>16</v>
      </c>
      <c r="JA168" s="60">
        <f t="shared" si="76"/>
        <v>16</v>
      </c>
      <c r="JB168" s="60">
        <f t="shared" si="77"/>
        <v>16</v>
      </c>
      <c r="JC168" s="60">
        <f t="shared" si="78"/>
        <v>24</v>
      </c>
      <c r="JD168" s="60">
        <f t="shared" si="79"/>
        <v>24</v>
      </c>
      <c r="JE168" s="60">
        <f t="shared" si="80"/>
        <v>24</v>
      </c>
      <c r="JF168" s="60">
        <f t="shared" si="81"/>
        <v>32</v>
      </c>
      <c r="JG168" s="60">
        <f t="shared" si="82"/>
        <v>32</v>
      </c>
      <c r="JH168" s="60">
        <f t="shared" si="83"/>
        <v>32</v>
      </c>
      <c r="JI168" s="60">
        <f t="shared" si="84"/>
        <v>40</v>
      </c>
      <c r="JJ168" s="60">
        <f t="shared" si="85"/>
        <v>40</v>
      </c>
      <c r="JK168" s="60">
        <f t="shared" si="86"/>
        <v>40</v>
      </c>
      <c r="JL168" s="60">
        <f t="shared" si="87"/>
        <v>48</v>
      </c>
      <c r="JM168" s="60">
        <f t="shared" si="88"/>
        <v>48</v>
      </c>
      <c r="JN168" s="60">
        <f t="shared" si="89"/>
        <v>52</v>
      </c>
      <c r="JQ168" s="63"/>
    </row>
    <row r="169" spans="1:277" x14ac:dyDescent="0.25">
      <c r="A169" s="9"/>
      <c r="B169" s="9"/>
      <c r="C169" s="9"/>
      <c r="D169" s="9"/>
      <c r="E169" s="9"/>
      <c r="F169" s="9"/>
      <c r="G169" s="9"/>
      <c r="H169" s="9"/>
      <c r="I169" s="9"/>
      <c r="J169" s="9"/>
      <c r="K169" s="9"/>
      <c r="L169" s="6" t="str">
        <f>IF(E154="balastowa","PBKD50MC",IF(E154="kotwiona","-------",0))</f>
        <v>PBKD50MC</v>
      </c>
      <c r="M169" s="11">
        <f>INDEX(cennik!$C$2:$L$529,MATCH($L169,cennik!$B$2:$B$522,0),MATCH(M$104,cennik!$C$1:$L$1,0))</f>
        <v>858451</v>
      </c>
      <c r="N169" s="11" t="str">
        <f>INDEX(cennik!$C$2:$L$529,MATCH($L169,cennik!$B$2:$B$522,0),MATCH(N$104,cennik!$C$1:$L$1,0))</f>
        <v>szt.</v>
      </c>
      <c r="O169" s="11">
        <f>IF(E154=Z104,O161*3,IF(E154=Z105,0,0))</f>
        <v>0</v>
      </c>
      <c r="P169" s="34">
        <f>INDEX(cennik!$C$2:$L$529,MATCH($L169,cennik!$B$2:$B$522,0),MATCH(P$104,cennik!$C$1:$L$1,0))</f>
        <v>35.21</v>
      </c>
      <c r="Q169" s="34">
        <f t="shared" si="116"/>
        <v>0</v>
      </c>
      <c r="R169" s="35">
        <f t="shared" si="114"/>
        <v>0</v>
      </c>
      <c r="S169" s="34">
        <f t="shared" si="115"/>
        <v>35.21</v>
      </c>
      <c r="T169" s="34">
        <f t="shared" si="117"/>
        <v>0</v>
      </c>
      <c r="U169" s="34">
        <f>INDEX(cennik!$C$2:$L$529,MATCH($L169,cennik!$B$2:$B$522,0),MATCH(U$104,cennik!$C$1:$L$1,0))*O169</f>
        <v>0</v>
      </c>
      <c r="V169" s="61"/>
      <c r="W169" s="142">
        <f t="shared" si="120"/>
        <v>0</v>
      </c>
      <c r="X169" s="61">
        <f t="shared" si="121"/>
        <v>0</v>
      </c>
      <c r="Y169" s="61"/>
      <c r="Z169" s="61">
        <f>(INDEX(($AM$106:$CK$111,$AM$115:$CK$120,$AM$124:$CK$129,$AM$133:$CK$138),MATCH($L$184,$AL$106:$AL$111,0),MATCH(A180,$AM$105:$CK$105,0),MATCH($G$179,$X$128:$X$131,0)))*C180</f>
        <v>0</v>
      </c>
      <c r="AA169" s="61">
        <f>(INDEX(($AM$106:$CK$111,$AM$115:$CK$120,$AM$124:$CK$129,$AM$133:$CK$138),MATCH($L$179,$AL$106:$AL$111,0),MATCH(A180,$AM$105:$CK$105,0),MATCH($G$179,$X$128:$X$131,0)))*C180</f>
        <v>0</v>
      </c>
      <c r="AB169" s="61">
        <f>(INDEX(($AM$106:$CK$111,$AM$115:$CK$120,$AM$124:$CK$129,$AM$133:$CK$138),MATCH($L$180,$AL$106:$AL$111,0),MATCH(A180,$AM$105:$CK$105,0),MATCH($G$179,$X$128:$X$131,0)))*C180</f>
        <v>0</v>
      </c>
      <c r="AC169" s="61">
        <f>(INDEX(($AM$106:$CK$111,$AM$115:$CK$120,$AM$124:$CK$129,$AM$133:$CK$138),MATCH($L$181,$AL$106:$AL$111,0),MATCH(A180,$AM$105:$CK$105,0),MATCH($G$179,$X$128:$X$131,0)))*C180</f>
        <v>0</v>
      </c>
      <c r="AD169" s="61">
        <f>(INDEX(($AM$106:$CK$111,$AM$115:$CK$120,$AM$124:$CK$129,$AM$133:$CK$138),MATCH($L$182,$AL$106:$AL$111,0),MATCH(A180,$AM$105:$CK$105,0),MATCH($G$179,$X$128:$X$131,0)))*C180</f>
        <v>0</v>
      </c>
      <c r="AE169" s="61">
        <f>(INDEX(($AM$106:$CK$111,$AM$115:$CK$120,$AM$124:$CK$129,$AM$133:$CK$138),MATCH($L$183,$AL$106:$AL$111,0),MATCH(A180,$AM$105:$CK$105,0),MATCH($G$179,$X$128:$X$131,0)))*C180</f>
        <v>0</v>
      </c>
      <c r="AJ169" s="61"/>
      <c r="AK169" s="61"/>
      <c r="AL169" s="61"/>
      <c r="AM169" s="61">
        <v>0</v>
      </c>
      <c r="AN169" s="61">
        <v>1</v>
      </c>
      <c r="AO169" s="61">
        <v>2</v>
      </c>
      <c r="AP169" s="61">
        <v>3</v>
      </c>
      <c r="AQ169" s="61">
        <v>4</v>
      </c>
      <c r="AR169" s="61">
        <v>5</v>
      </c>
      <c r="AS169" s="61">
        <v>6</v>
      </c>
      <c r="AT169" s="61">
        <v>7</v>
      </c>
      <c r="AU169" s="61">
        <v>8</v>
      </c>
      <c r="AV169" s="61">
        <v>9</v>
      </c>
      <c r="AW169" s="61">
        <v>10</v>
      </c>
      <c r="AX169" s="61">
        <v>11</v>
      </c>
      <c r="AY169" s="61">
        <v>12</v>
      </c>
      <c r="AZ169" s="61">
        <v>13</v>
      </c>
      <c r="BA169" s="61">
        <v>14</v>
      </c>
      <c r="BB169" s="61">
        <v>15</v>
      </c>
      <c r="BC169" s="61">
        <v>16</v>
      </c>
      <c r="BD169" s="61">
        <v>17</v>
      </c>
      <c r="BE169" s="61">
        <v>18</v>
      </c>
      <c r="BF169" s="61">
        <v>19</v>
      </c>
      <c r="BG169" s="61">
        <v>20</v>
      </c>
      <c r="BH169" s="61">
        <v>21</v>
      </c>
      <c r="BI169" s="61">
        <v>22</v>
      </c>
      <c r="BJ169" s="61">
        <v>23</v>
      </c>
      <c r="BK169" s="61">
        <v>24</v>
      </c>
      <c r="BL169" s="61">
        <v>25</v>
      </c>
      <c r="BM169" s="61">
        <v>26</v>
      </c>
      <c r="BN169" s="61">
        <v>27</v>
      </c>
      <c r="BO169" s="61">
        <v>28</v>
      </c>
      <c r="BP169" s="61">
        <v>29</v>
      </c>
      <c r="BQ169" s="61">
        <v>30</v>
      </c>
      <c r="BR169" s="61">
        <v>31</v>
      </c>
      <c r="BS169" s="61">
        <v>32</v>
      </c>
      <c r="BT169" s="61">
        <v>33</v>
      </c>
      <c r="BU169" s="61">
        <v>34</v>
      </c>
      <c r="BV169" s="61">
        <v>35</v>
      </c>
      <c r="BW169" s="61">
        <v>36</v>
      </c>
      <c r="BX169" s="61">
        <v>37</v>
      </c>
      <c r="BY169" s="61">
        <v>38</v>
      </c>
      <c r="BZ169" s="61">
        <v>39</v>
      </c>
      <c r="CA169" s="61">
        <v>40</v>
      </c>
      <c r="CB169" s="61">
        <v>41</v>
      </c>
      <c r="CC169" s="61">
        <v>42</v>
      </c>
      <c r="CD169" s="61">
        <v>43</v>
      </c>
      <c r="CE169" s="61">
        <v>44</v>
      </c>
      <c r="CF169" s="61">
        <v>45</v>
      </c>
      <c r="CG169" s="61">
        <v>46</v>
      </c>
      <c r="CH169" s="61">
        <v>47</v>
      </c>
      <c r="CI169" s="61">
        <v>48</v>
      </c>
      <c r="CJ169" s="61">
        <v>49</v>
      </c>
      <c r="CK169" s="61">
        <v>50</v>
      </c>
      <c r="CL169" s="61"/>
      <c r="CM169" s="61" t="s">
        <v>480</v>
      </c>
      <c r="CN169" s="61"/>
      <c r="CO169" s="61"/>
      <c r="CP169" s="61"/>
      <c r="CQ169" s="61"/>
      <c r="CR169" s="61"/>
      <c r="CS169" s="61"/>
      <c r="CT169" s="61"/>
      <c r="CU169" s="61"/>
      <c r="CV169" s="61"/>
      <c r="CW169" s="61"/>
      <c r="CX169" s="61"/>
      <c r="CY169" s="61"/>
      <c r="CZ169" s="61"/>
      <c r="DA169" s="61"/>
      <c r="DB169" s="61"/>
      <c r="DC169" s="61"/>
      <c r="DD169" s="61"/>
      <c r="DE169" s="61"/>
      <c r="DF169" s="61"/>
      <c r="DG169" s="61"/>
      <c r="DH169" s="61"/>
      <c r="DI169" s="61"/>
      <c r="DJ169" s="61"/>
      <c r="DK169" s="61"/>
      <c r="DL169" s="61"/>
      <c r="DM169" s="61" t="s">
        <v>212</v>
      </c>
      <c r="DN169" s="61">
        <v>0</v>
      </c>
      <c r="DO169" s="61">
        <v>0</v>
      </c>
      <c r="DP169" s="61">
        <v>0</v>
      </c>
      <c r="DQ169" s="61">
        <v>2</v>
      </c>
      <c r="DR169" s="61">
        <v>0</v>
      </c>
      <c r="DS169" s="61">
        <v>2</v>
      </c>
      <c r="DT169" s="61">
        <v>4</v>
      </c>
      <c r="DU169" s="61">
        <v>2</v>
      </c>
      <c r="DV169" s="61">
        <v>4</v>
      </c>
      <c r="DW169" s="61">
        <v>6</v>
      </c>
      <c r="DX169" s="61">
        <v>6</v>
      </c>
      <c r="DY169" s="61">
        <v>4</v>
      </c>
      <c r="DZ169" s="61">
        <v>6</v>
      </c>
      <c r="EA169" s="61">
        <v>8</v>
      </c>
      <c r="EB169" s="61">
        <v>6</v>
      </c>
      <c r="EC169" s="61">
        <v>8</v>
      </c>
      <c r="ED169" s="61">
        <v>10</v>
      </c>
      <c r="EE169" s="61">
        <v>10</v>
      </c>
      <c r="EF169" s="61">
        <v>10</v>
      </c>
      <c r="EG169" s="61">
        <v>10</v>
      </c>
      <c r="EH169" s="61">
        <v>12</v>
      </c>
      <c r="EI169" s="61"/>
      <c r="EJ169" s="61"/>
      <c r="EK169" s="61"/>
      <c r="EL169" s="61"/>
      <c r="EM169" s="61"/>
      <c r="EN169" s="61"/>
      <c r="EO169" s="61"/>
      <c r="EP169" s="61"/>
      <c r="EQ169" s="61"/>
      <c r="ER169" s="61"/>
      <c r="ES169" s="61"/>
      <c r="ET169" s="61"/>
      <c r="EU169" s="61"/>
      <c r="EV169" s="61" t="s">
        <v>9</v>
      </c>
      <c r="EW169" s="61">
        <v>0</v>
      </c>
      <c r="EX169" s="61">
        <v>0</v>
      </c>
      <c r="EY169" s="61">
        <v>0</v>
      </c>
      <c r="EZ169" s="61">
        <v>0</v>
      </c>
      <c r="FA169" s="61">
        <v>0</v>
      </c>
      <c r="FB169" s="61">
        <v>0</v>
      </c>
      <c r="FC169" s="61">
        <v>0</v>
      </c>
      <c r="FD169" s="61">
        <v>2</v>
      </c>
      <c r="FE169" s="61">
        <v>0</v>
      </c>
      <c r="FF169" s="61">
        <v>0</v>
      </c>
      <c r="FG169" s="61">
        <v>0</v>
      </c>
      <c r="FH169" s="61"/>
      <c r="FI169" s="61" t="s">
        <v>210</v>
      </c>
      <c r="FJ169" s="61">
        <v>0</v>
      </c>
      <c r="FK169" s="61">
        <v>0</v>
      </c>
      <c r="FL169" s="61">
        <v>2</v>
      </c>
      <c r="FM169" s="61">
        <v>0</v>
      </c>
      <c r="FN169" s="61">
        <v>0</v>
      </c>
      <c r="FO169" s="61">
        <v>0</v>
      </c>
      <c r="FP169" s="61">
        <v>2</v>
      </c>
      <c r="FQ169" s="61">
        <v>0</v>
      </c>
      <c r="FR169" s="61">
        <v>0</v>
      </c>
      <c r="FS169" s="61">
        <v>0</v>
      </c>
      <c r="FT169" s="61">
        <v>0</v>
      </c>
      <c r="FU169" s="61"/>
      <c r="FV169" s="61" t="s">
        <v>210</v>
      </c>
      <c r="FW169" s="61">
        <v>0</v>
      </c>
      <c r="FX169" s="61">
        <v>0</v>
      </c>
      <c r="FY169" s="61">
        <v>2</v>
      </c>
      <c r="FZ169" s="61">
        <v>0</v>
      </c>
      <c r="GA169" s="61">
        <v>0</v>
      </c>
      <c r="GB169" s="61">
        <v>0</v>
      </c>
      <c r="GC169" s="61">
        <v>0</v>
      </c>
      <c r="GD169" s="61">
        <v>0</v>
      </c>
      <c r="GE169" s="61">
        <v>0</v>
      </c>
      <c r="GF169" s="61">
        <v>0</v>
      </c>
      <c r="GG169" s="61">
        <v>0</v>
      </c>
      <c r="GH169" s="61"/>
      <c r="GI169" s="61"/>
      <c r="GJ169" s="61"/>
      <c r="GK169" s="61"/>
      <c r="GL169" s="61"/>
      <c r="GM169" s="61"/>
      <c r="GN169" s="61"/>
      <c r="GO169" s="61"/>
      <c r="GP169" s="61"/>
      <c r="GQ169" s="61"/>
      <c r="GR169" s="61"/>
      <c r="GS169" s="61"/>
      <c r="GT169" s="61"/>
      <c r="GU169" s="61"/>
      <c r="GV169" s="61"/>
      <c r="GW169" s="61"/>
      <c r="GX169" s="61"/>
      <c r="HV169" s="60" t="s">
        <v>853</v>
      </c>
      <c r="HW169" s="60">
        <v>0</v>
      </c>
      <c r="HX169" s="60">
        <v>0</v>
      </c>
      <c r="HY169" s="60">
        <v>2</v>
      </c>
      <c r="HZ169" s="60">
        <v>2</v>
      </c>
      <c r="IA169" s="60">
        <v>4</v>
      </c>
      <c r="IB169" s="60">
        <v>6</v>
      </c>
      <c r="IC169" s="60">
        <v>6</v>
      </c>
      <c r="ID169" s="60">
        <v>8</v>
      </c>
      <c r="IE169" s="60">
        <v>10</v>
      </c>
      <c r="IF169" s="60">
        <v>10</v>
      </c>
      <c r="IG169" s="60">
        <v>12</v>
      </c>
      <c r="IH169" s="60">
        <v>14</v>
      </c>
      <c r="II169" s="60">
        <v>14</v>
      </c>
      <c r="IJ169" s="60">
        <v>16</v>
      </c>
      <c r="IK169" s="60">
        <v>18</v>
      </c>
      <c r="IL169" s="60">
        <v>18</v>
      </c>
      <c r="IM169" s="60">
        <v>20</v>
      </c>
      <c r="IN169" s="60">
        <v>22</v>
      </c>
      <c r="IO169" s="60">
        <v>22</v>
      </c>
      <c r="IP169" s="60">
        <v>24</v>
      </c>
      <c r="IQ169" s="60">
        <v>24</v>
      </c>
      <c r="IS169" s="60" t="s">
        <v>853</v>
      </c>
      <c r="IT169" s="60">
        <f t="shared" si="69"/>
        <v>0</v>
      </c>
      <c r="IU169" s="60">
        <f t="shared" si="70"/>
        <v>0</v>
      </c>
      <c r="IV169" s="60">
        <f t="shared" si="71"/>
        <v>4</v>
      </c>
      <c r="IW169" s="60">
        <f t="shared" si="72"/>
        <v>4</v>
      </c>
      <c r="IX169" s="60">
        <f t="shared" si="73"/>
        <v>8</v>
      </c>
      <c r="IY169" s="60">
        <f t="shared" si="74"/>
        <v>12</v>
      </c>
      <c r="IZ169" s="60">
        <f t="shared" si="75"/>
        <v>12</v>
      </c>
      <c r="JA169" s="60">
        <f t="shared" si="76"/>
        <v>16</v>
      </c>
      <c r="JB169" s="60">
        <f t="shared" si="77"/>
        <v>20</v>
      </c>
      <c r="JC169" s="60">
        <f t="shared" si="78"/>
        <v>20</v>
      </c>
      <c r="JD169" s="60">
        <f t="shared" si="79"/>
        <v>24</v>
      </c>
      <c r="JE169" s="60">
        <f t="shared" si="80"/>
        <v>28</v>
      </c>
      <c r="JF169" s="60">
        <f t="shared" si="81"/>
        <v>28</v>
      </c>
      <c r="JG169" s="60">
        <f t="shared" si="82"/>
        <v>32</v>
      </c>
      <c r="JH169" s="60">
        <f t="shared" si="83"/>
        <v>36</v>
      </c>
      <c r="JI169" s="60">
        <f t="shared" si="84"/>
        <v>36</v>
      </c>
      <c r="JJ169" s="60">
        <f t="shared" si="85"/>
        <v>40</v>
      </c>
      <c r="JK169" s="60">
        <f t="shared" si="86"/>
        <v>44</v>
      </c>
      <c r="JL169" s="60">
        <f t="shared" si="87"/>
        <v>44</v>
      </c>
      <c r="JM169" s="60">
        <f t="shared" si="88"/>
        <v>48</v>
      </c>
      <c r="JN169" s="60">
        <f t="shared" si="89"/>
        <v>48</v>
      </c>
      <c r="JQ169" s="63"/>
    </row>
    <row r="170" spans="1:277" x14ac:dyDescent="0.25">
      <c r="A170" s="9"/>
      <c r="B170" s="9"/>
      <c r="C170" s="9"/>
      <c r="D170" s="9"/>
      <c r="E170" s="9"/>
      <c r="F170" s="9"/>
      <c r="G170" s="9"/>
      <c r="H170" s="9"/>
      <c r="I170" s="9"/>
      <c r="J170" s="9"/>
      <c r="K170" s="9"/>
      <c r="L170" s="6" t="s">
        <v>407</v>
      </c>
      <c r="M170" s="11">
        <f>INDEX(cennik!$C$2:$L$529,MATCH($L170,cennik!$B$2:$B$522,0),MATCH(M$104,cennik!$C$1:$L$1,0))</f>
        <v>651643</v>
      </c>
      <c r="N170" s="11" t="str">
        <f>INDEX(cennik!$C$2:$L$529,MATCH($L170,cennik!$B$2:$B$522,0),MATCH(N$104,cennik!$C$1:$L$1,0))</f>
        <v>100 szt.</v>
      </c>
      <c r="O170" s="11">
        <f>ROUNDUP((IF(E154=Z104,((O163*8)+(O160*6)+(SUM(X143:X158)*2)+(O169*0)),IF(E154=Z105,((O163*8)+(O160*6)+(SUM(X143:X158)*2)),0))+E157)/100,0)</f>
        <v>0</v>
      </c>
      <c r="P170" s="34">
        <f>INDEX(cennik!$C$2:$L$529,MATCH($L170,cennik!$B$2:$B$522,0),MATCH(P$104,cennik!$C$1:$L$1,0))</f>
        <v>144.19</v>
      </c>
      <c r="Q170" s="34">
        <f t="shared" si="116"/>
        <v>0</v>
      </c>
      <c r="R170" s="35">
        <f t="shared" si="114"/>
        <v>0</v>
      </c>
      <c r="S170" s="34">
        <f t="shared" si="115"/>
        <v>144.19</v>
      </c>
      <c r="T170" s="34">
        <f t="shared" si="117"/>
        <v>0</v>
      </c>
      <c r="U170" s="34">
        <f>INDEX(cennik!$C$2:$L$529,MATCH($L170,cennik!$B$2:$B$522,0),MATCH(U$104,cennik!$C$1:$L$1,0))*O170</f>
        <v>0</v>
      </c>
      <c r="V170" s="61"/>
      <c r="W170" s="142">
        <f t="shared" si="120"/>
        <v>0</v>
      </c>
      <c r="X170" s="61">
        <f t="shared" si="121"/>
        <v>0</v>
      </c>
      <c r="Y170" s="61"/>
      <c r="Z170" s="61">
        <f>(INDEX(($AM$106:$CK$111,$AM$115:$CK$120,$AM$124:$CK$129,$AM$133:$CK$138),MATCH($L$184,$AL$106:$AL$111,0),MATCH(A181,$AM$105:$CK$105,0),MATCH($G$179,$X$128:$X$131,0)))*C181</f>
        <v>0</v>
      </c>
      <c r="AA170" s="61">
        <f>(INDEX(($AM$106:$CK$111,$AM$115:$CK$120,$AM$124:$CK$129,$AM$133:$CK$138),MATCH($L$179,$AL$106:$AL$111,0),MATCH(A181,$AM$105:$CK$105,0),MATCH($G$179,$X$128:$X$131,0)))*C181</f>
        <v>0</v>
      </c>
      <c r="AB170" s="61">
        <f>(INDEX(($AM$106:$CK$111,$AM$115:$CK$120,$AM$124:$CK$129,$AM$133:$CK$138),MATCH($L$180,$AL$106:$AL$111,0),MATCH(A181,$AM$105:$CK$105,0),MATCH($G$179,$X$128:$X$131,0)))*C181</f>
        <v>0</v>
      </c>
      <c r="AC170" s="61">
        <f>(INDEX(($AM$106:$CK$111,$AM$115:$CK$120,$AM$124:$CK$129,$AM$133:$CK$138),MATCH($L$181,$AL$106:$AL$111,0),MATCH(A181,$AM$105:$CK$105,0),MATCH($G$179,$X$128:$X$131,0)))*C181</f>
        <v>0</v>
      </c>
      <c r="AD170" s="61">
        <f>(INDEX(($AM$106:$CK$111,$AM$115:$CK$120,$AM$124:$CK$129,$AM$133:$CK$138),MATCH($L$182,$AL$106:$AL$111,0),MATCH(A181,$AM$105:$CK$105,0),MATCH($G$179,$X$128:$X$131,0)))*C181</f>
        <v>0</v>
      </c>
      <c r="AE170" s="61">
        <f>(INDEX(($AM$106:$CK$111,$AM$115:$CK$120,$AM$124:$CK$129,$AM$133:$CK$138),MATCH($L$183,$AL$106:$AL$111,0),MATCH(A181,$AM$105:$CK$105,0),MATCH($G$179,$X$128:$X$131,0)))*C181</f>
        <v>0</v>
      </c>
      <c r="AJ170" s="61"/>
      <c r="AK170" s="61"/>
      <c r="AL170" s="61" t="s">
        <v>126</v>
      </c>
      <c r="AM170" s="61">
        <v>0</v>
      </c>
      <c r="AN170" s="61">
        <v>0</v>
      </c>
      <c r="AO170" s="61">
        <v>0</v>
      </c>
      <c r="AP170" s="61">
        <v>0</v>
      </c>
      <c r="AQ170" s="61">
        <v>0</v>
      </c>
      <c r="AR170" s="61">
        <v>0</v>
      </c>
      <c r="AS170" s="61">
        <v>0</v>
      </c>
      <c r="AT170" s="61">
        <v>2</v>
      </c>
      <c r="AU170" s="61">
        <v>0</v>
      </c>
      <c r="AV170" s="61">
        <v>0</v>
      </c>
      <c r="AW170" s="61">
        <v>0</v>
      </c>
      <c r="AX170" s="61">
        <v>0</v>
      </c>
      <c r="AY170" s="61">
        <v>0</v>
      </c>
      <c r="AZ170" s="61">
        <v>0</v>
      </c>
      <c r="BA170" s="61">
        <v>0</v>
      </c>
      <c r="BB170" s="61">
        <v>0</v>
      </c>
      <c r="BC170" s="61">
        <v>0</v>
      </c>
      <c r="BD170" s="61">
        <v>0</v>
      </c>
      <c r="BE170" s="61">
        <v>0</v>
      </c>
      <c r="BF170" s="61">
        <v>0</v>
      </c>
      <c r="BG170" s="61">
        <v>0</v>
      </c>
      <c r="BH170" s="61">
        <v>0</v>
      </c>
      <c r="BI170" s="61">
        <v>0</v>
      </c>
      <c r="BJ170" s="61">
        <v>0</v>
      </c>
      <c r="BK170" s="61">
        <v>0</v>
      </c>
      <c r="BL170" s="61">
        <v>0</v>
      </c>
      <c r="BM170" s="61">
        <v>0</v>
      </c>
      <c r="BN170" s="61">
        <v>0</v>
      </c>
      <c r="BO170" s="61">
        <v>0</v>
      </c>
      <c r="BP170" s="61">
        <v>0</v>
      </c>
      <c r="BQ170" s="61">
        <v>0</v>
      </c>
      <c r="BR170" s="61">
        <v>0</v>
      </c>
      <c r="BS170" s="61">
        <v>0</v>
      </c>
      <c r="BT170" s="61">
        <v>0</v>
      </c>
      <c r="BU170" s="61">
        <v>0</v>
      </c>
      <c r="BV170" s="61">
        <v>0</v>
      </c>
      <c r="BW170" s="61">
        <v>0</v>
      </c>
      <c r="BX170" s="61">
        <v>0</v>
      </c>
      <c r="BY170" s="61">
        <v>0</v>
      </c>
      <c r="BZ170" s="61">
        <v>0</v>
      </c>
      <c r="CA170" s="61">
        <v>0</v>
      </c>
      <c r="CB170" s="61">
        <v>0</v>
      </c>
      <c r="CC170" s="61">
        <v>0</v>
      </c>
      <c r="CD170" s="61">
        <v>0</v>
      </c>
      <c r="CE170" s="61">
        <v>0</v>
      </c>
      <c r="CF170" s="61">
        <v>0</v>
      </c>
      <c r="CG170" s="61">
        <v>0</v>
      </c>
      <c r="CH170" s="61">
        <v>0</v>
      </c>
      <c r="CI170" s="61">
        <v>0</v>
      </c>
      <c r="CJ170" s="61">
        <v>0</v>
      </c>
      <c r="CK170" s="61">
        <v>0</v>
      </c>
      <c r="CL170" s="61"/>
      <c r="CM170" s="61"/>
      <c r="CN170" s="61">
        <v>0</v>
      </c>
      <c r="CO170" s="61">
        <v>1</v>
      </c>
      <c r="CP170" s="61">
        <v>2</v>
      </c>
      <c r="CQ170" s="61">
        <v>3</v>
      </c>
      <c r="CR170" s="61">
        <v>4</v>
      </c>
      <c r="CS170" s="61">
        <v>5</v>
      </c>
      <c r="CT170" s="61">
        <v>6</v>
      </c>
      <c r="CU170" s="61">
        <v>7</v>
      </c>
      <c r="CV170" s="61">
        <v>8</v>
      </c>
      <c r="CW170" s="61">
        <v>9</v>
      </c>
      <c r="CX170" s="61">
        <v>10</v>
      </c>
      <c r="CY170" s="61">
        <v>11</v>
      </c>
      <c r="CZ170" s="61">
        <v>12</v>
      </c>
      <c r="DA170" s="61">
        <v>13</v>
      </c>
      <c r="DB170" s="61">
        <v>14</v>
      </c>
      <c r="DC170" s="61">
        <v>15</v>
      </c>
      <c r="DD170" s="61">
        <v>16</v>
      </c>
      <c r="DE170" s="61">
        <v>17</v>
      </c>
      <c r="DF170" s="61">
        <v>18</v>
      </c>
      <c r="DG170" s="61">
        <v>19</v>
      </c>
      <c r="DH170" s="61">
        <v>20</v>
      </c>
      <c r="DI170" s="61"/>
      <c r="DJ170" s="61"/>
      <c r="DK170" s="61"/>
      <c r="DL170" s="61"/>
      <c r="DM170" s="61" t="s">
        <v>11</v>
      </c>
      <c r="DN170" s="61">
        <v>0</v>
      </c>
      <c r="DO170" s="61">
        <v>0</v>
      </c>
      <c r="DP170" s="61">
        <v>0</v>
      </c>
      <c r="DQ170" s="61">
        <v>0</v>
      </c>
      <c r="DR170" s="61">
        <v>2</v>
      </c>
      <c r="DS170" s="61">
        <v>2</v>
      </c>
      <c r="DT170" s="61">
        <v>2</v>
      </c>
      <c r="DU170" s="61">
        <v>4</v>
      </c>
      <c r="DV170" s="61">
        <v>4</v>
      </c>
      <c r="DW170" s="61">
        <v>4</v>
      </c>
      <c r="DX170" s="61">
        <v>4</v>
      </c>
      <c r="DY170" s="61">
        <v>6</v>
      </c>
      <c r="DZ170" s="61">
        <v>6</v>
      </c>
      <c r="EA170" s="61">
        <v>6</v>
      </c>
      <c r="EB170" s="61">
        <v>8</v>
      </c>
      <c r="EC170" s="61">
        <v>8</v>
      </c>
      <c r="ED170" s="61">
        <v>8</v>
      </c>
      <c r="EE170" s="61">
        <v>8</v>
      </c>
      <c r="EF170" s="61">
        <v>10</v>
      </c>
      <c r="EG170" s="61">
        <v>10</v>
      </c>
      <c r="EH170" s="61">
        <v>10</v>
      </c>
      <c r="EI170" s="61"/>
      <c r="EJ170" s="61"/>
      <c r="EK170" s="61"/>
      <c r="EL170" s="61"/>
      <c r="EM170" s="61"/>
      <c r="EN170" s="61"/>
      <c r="EO170" s="61"/>
      <c r="EP170" s="61"/>
      <c r="EQ170" s="61"/>
      <c r="ER170" s="61"/>
      <c r="ES170" s="61"/>
      <c r="ET170" s="61"/>
      <c r="EU170" s="61"/>
      <c r="EV170" s="61" t="s">
        <v>208</v>
      </c>
      <c r="EW170" s="61">
        <v>0</v>
      </c>
      <c r="EX170" s="61">
        <v>0</v>
      </c>
      <c r="EY170" s="61">
        <v>0</v>
      </c>
      <c r="EZ170" s="61">
        <v>2</v>
      </c>
      <c r="FA170" s="61">
        <v>0</v>
      </c>
      <c r="FB170" s="61">
        <v>0</v>
      </c>
      <c r="FC170" s="61">
        <v>0</v>
      </c>
      <c r="FD170" s="61">
        <v>0</v>
      </c>
      <c r="FE170" s="61">
        <v>0</v>
      </c>
      <c r="FF170" s="61">
        <v>0</v>
      </c>
      <c r="FG170" s="61">
        <v>0</v>
      </c>
      <c r="FH170" s="61"/>
      <c r="FI170" s="61" t="s">
        <v>9</v>
      </c>
      <c r="FJ170" s="61">
        <v>0</v>
      </c>
      <c r="FK170" s="61">
        <v>0</v>
      </c>
      <c r="FL170" s="61">
        <v>0</v>
      </c>
      <c r="FM170" s="61">
        <v>0</v>
      </c>
      <c r="FN170" s="61">
        <v>2</v>
      </c>
      <c r="FO170" s="61">
        <v>0</v>
      </c>
      <c r="FP170" s="61">
        <v>0</v>
      </c>
      <c r="FQ170" s="61">
        <v>0</v>
      </c>
      <c r="FR170" s="61">
        <v>0</v>
      </c>
      <c r="FS170" s="61">
        <v>0</v>
      </c>
      <c r="FT170" s="61">
        <v>0</v>
      </c>
      <c r="FU170" s="61"/>
      <c r="FV170" s="61" t="s">
        <v>9</v>
      </c>
      <c r="FW170" s="61">
        <v>0</v>
      </c>
      <c r="FX170" s="61">
        <v>0</v>
      </c>
      <c r="FY170" s="61">
        <v>0</v>
      </c>
      <c r="FZ170" s="61">
        <v>0</v>
      </c>
      <c r="GA170" s="61">
        <v>2</v>
      </c>
      <c r="GB170" s="61">
        <v>0</v>
      </c>
      <c r="GC170" s="61">
        <v>0</v>
      </c>
      <c r="GD170" s="61">
        <v>0</v>
      </c>
      <c r="GE170" s="61">
        <v>0</v>
      </c>
      <c r="GF170" s="61">
        <v>0</v>
      </c>
      <c r="GG170" s="61">
        <v>0</v>
      </c>
      <c r="GH170" s="61"/>
      <c r="GI170" s="61"/>
      <c r="GJ170" s="61"/>
      <c r="GK170" s="61"/>
      <c r="GL170" s="61"/>
      <c r="GM170" s="61"/>
      <c r="GN170" s="61"/>
      <c r="GO170" s="61"/>
      <c r="GP170" s="61"/>
      <c r="GQ170" s="61"/>
      <c r="GR170" s="61"/>
      <c r="GS170" s="61"/>
      <c r="GT170" s="61"/>
      <c r="GU170" s="61"/>
      <c r="GV170" s="61"/>
      <c r="GW170" s="61"/>
      <c r="JQ170" s="63"/>
    </row>
    <row r="171" spans="1:277" x14ac:dyDescent="0.25">
      <c r="A171" s="9"/>
      <c r="B171" s="9"/>
      <c r="C171" s="9"/>
      <c r="D171" s="9"/>
      <c r="E171" s="9"/>
      <c r="F171" s="9"/>
      <c r="G171" s="9"/>
      <c r="H171" s="9"/>
      <c r="I171" s="9"/>
      <c r="J171" s="9"/>
      <c r="K171" s="9"/>
      <c r="L171" s="6" t="s">
        <v>128</v>
      </c>
      <c r="M171" s="11">
        <f>INDEX(cennik!$C$2:$L$529,MATCH($L171,cennik!$B$2:$B$522,0),MATCH(M$104,cennik!$C$1:$L$1,0))</f>
        <v>897303</v>
      </c>
      <c r="N171" s="11" t="str">
        <f>INDEX(cennik!$C$2:$L$529,MATCH($L171,cennik!$B$2:$B$522,0),MATCH(N$104,cennik!$C$1:$L$1,0))</f>
        <v>szt.</v>
      </c>
      <c r="O171" s="11">
        <f>SUM((IF(MOD(A151,2)=0,A151/2,IF(MOD(A151,2)=1,FLOOR(A151/2,1)+1,0))*C151),(IF(MOD(A152,2)=0,A152/2,IF(MOD(A152,2)=1,FLOOR(A152/2,1)+1,0))*C152),(IF(MOD(A153,2)=0,A153/2,IF(MOD(A153,2)=1,FLOOR(A153/2,1)+1,0))*C153),(IF(MOD(A154,2)=0,A154/2,IF(MOD(A154,2)=1,FLOOR(A154/2,1)+1,0))*C154),(IF(MOD(A155,2)=0,A155/2,IF(MOD(A155,2)=1,FLOOR(A155/2,1)+1,0))*C155),(IF(MOD(A156,2)=0,A156/2,IF(MOD(A156,2)=1,FLOOR(A156/2,1)+1,0))*C156),(IF(MOD(A157,2)=0,A157/2,IF(MOD(A157,2)=1,FLOOR(A157/2,1)+1,0))*C157),(IF(MOD(A158,2)=0,A158/2,IF(MOD(A158,2)=1,FLOOR(A158/2,1)+1,0))*C158),(IF(MOD(A159,2)=0,A159/2,IF(MOD(A159,2)=1,FLOOR(A159/2,1)+1,0))*C159),(IF(MOD(A160,2)=0,A160/2,IF(MOD(A160,2)=1,FLOOR(A160/2,1)+1,0))*C160),(IF(MOD(A161,2)=0,A161/2,IF(MOD(A161,2)=1,FLOOR(A161/2,1)+1,0))*C161),(IF(MOD(A162,2)=0,A162/2,IF(MOD(A162,2)=1,FLOOR(A162/2,1)+1,0))*C162),(IF(MOD(A163,2)=0,A163/2,IF(MOD(A163,2)=1,FLOOR(A163/2,1)+1,0))*C163),(IF(MOD(A164,2)=0,A164/2,IF(MOD(A164,2)=1,FLOOR(A164/2,1)+1,0))*C164),(IF(MOD(A165,2)=0,A165/2,IF(MOD(A165,2)=1,FLOOR(A165/2,1)+1,0))*C165),(IF(MOD(A166,2)=0,A166/2,IF(MOD(A166,2)=1,FLOOR(A166/2,1)+1,0))*C166))</f>
        <v>0</v>
      </c>
      <c r="P171" s="34">
        <f>INDEX(cennik!$C$2:$L$529,MATCH($L171,cennik!$B$2:$B$522,0),MATCH(P$104,cennik!$C$1:$L$1,0))</f>
        <v>2.4</v>
      </c>
      <c r="Q171" s="34">
        <f t="shared" si="116"/>
        <v>0</v>
      </c>
      <c r="R171" s="35">
        <f t="shared" si="114"/>
        <v>0</v>
      </c>
      <c r="S171" s="34">
        <f t="shared" si="115"/>
        <v>2.4</v>
      </c>
      <c r="T171" s="34">
        <f t="shared" si="117"/>
        <v>0</v>
      </c>
      <c r="U171" s="34">
        <f>INDEX(cennik!$C$2:$L$529,MATCH($L171,cennik!$B$2:$B$522,0),MATCH(U$104,cennik!$C$1:$L$1,0))*O171</f>
        <v>0</v>
      </c>
      <c r="V171" s="61"/>
      <c r="W171" s="142">
        <f t="shared" si="120"/>
        <v>0</v>
      </c>
      <c r="X171" s="61">
        <f t="shared" si="121"/>
        <v>0</v>
      </c>
      <c r="Y171" s="61"/>
      <c r="Z171" s="61">
        <f>(INDEX(($AM$106:$CK$111,$AM$115:$CK$120,$AM$124:$CK$129,$AM$133:$CK$138),MATCH($L$184,$AL$106:$AL$111,0),MATCH(A182,$AM$105:$CK$105,0),MATCH($G$179,$X$128:$X$131,0)))*C182</f>
        <v>0</v>
      </c>
      <c r="AA171" s="61">
        <f>(INDEX(($AM$106:$CK$111,$AM$115:$CK$120,$AM$124:$CK$129,$AM$133:$CK$138),MATCH($L$179,$AL$106:$AL$111,0),MATCH(A182,$AM$105:$CK$105,0),MATCH($G$179,$X$128:$X$131,0)))*C182</f>
        <v>0</v>
      </c>
      <c r="AB171" s="61">
        <f>(INDEX(($AM$106:$CK$111,$AM$115:$CK$120,$AM$124:$CK$129,$AM$133:$CK$138),MATCH($L$180,$AL$106:$AL$111,0),MATCH(A182,$AM$105:$CK$105,0),MATCH($G$179,$X$128:$X$131,0)))*C182</f>
        <v>0</v>
      </c>
      <c r="AC171" s="61">
        <f>(INDEX(($AM$106:$CK$111,$AM$115:$CK$120,$AM$124:$CK$129,$AM$133:$CK$138),MATCH($L$181,$AL$106:$AL$111,0),MATCH(A182,$AM$105:$CK$105,0),MATCH($G$179,$X$128:$X$131,0)))*C182</f>
        <v>0</v>
      </c>
      <c r="AD171" s="61">
        <f>(INDEX(($AM$106:$CK$111,$AM$115:$CK$120,$AM$124:$CK$129,$AM$133:$CK$138),MATCH($L$182,$AL$106:$AL$111,0),MATCH(A182,$AM$105:$CK$105,0),MATCH($G$179,$X$128:$X$131,0)))*C182</f>
        <v>0</v>
      </c>
      <c r="AE171" s="61">
        <f>(INDEX(($AM$106:$CK$111,$AM$115:$CK$120,$AM$124:$CK$129,$AM$133:$CK$138),MATCH($L$183,$AL$106:$AL$111,0),MATCH(A182,$AM$105:$CK$105,0),MATCH($G$179,$X$128:$X$131,0)))*C182</f>
        <v>0</v>
      </c>
      <c r="AJ171" s="61"/>
      <c r="AK171" s="61"/>
      <c r="AL171" s="61" t="s">
        <v>12</v>
      </c>
      <c r="AM171" s="61">
        <v>0</v>
      </c>
      <c r="AN171" s="61">
        <v>2</v>
      </c>
      <c r="AO171" s="61">
        <v>4</v>
      </c>
      <c r="AP171" s="61">
        <v>0</v>
      </c>
      <c r="AQ171" s="61">
        <v>2</v>
      </c>
      <c r="AR171" s="61">
        <v>4</v>
      </c>
      <c r="AS171" s="61">
        <v>0</v>
      </c>
      <c r="AT171" s="61">
        <v>0</v>
      </c>
      <c r="AU171" s="61">
        <v>0</v>
      </c>
      <c r="AV171" s="61">
        <v>0</v>
      </c>
      <c r="AW171" s="61">
        <v>0</v>
      </c>
      <c r="AX171" s="61">
        <v>0</v>
      </c>
      <c r="AY171" s="61">
        <v>0</v>
      </c>
      <c r="AZ171" s="61">
        <v>0</v>
      </c>
      <c r="BA171" s="61">
        <v>0</v>
      </c>
      <c r="BB171" s="61">
        <v>0</v>
      </c>
      <c r="BC171" s="61">
        <v>0</v>
      </c>
      <c r="BD171" s="61">
        <v>0</v>
      </c>
      <c r="BE171" s="61">
        <v>2</v>
      </c>
      <c r="BF171" s="61">
        <v>0</v>
      </c>
      <c r="BG171" s="61">
        <v>2</v>
      </c>
      <c r="BH171" s="61">
        <v>0</v>
      </c>
      <c r="BI171" s="61">
        <v>0</v>
      </c>
      <c r="BJ171" s="61">
        <v>2</v>
      </c>
      <c r="BK171" s="61">
        <v>0</v>
      </c>
      <c r="BL171" s="61">
        <v>0</v>
      </c>
      <c r="BM171" s="61">
        <v>0</v>
      </c>
      <c r="BN171" s="61">
        <v>0</v>
      </c>
      <c r="BO171" s="61">
        <v>0</v>
      </c>
      <c r="BP171" s="61">
        <v>0</v>
      </c>
      <c r="BQ171" s="61">
        <v>0</v>
      </c>
      <c r="BR171" s="61">
        <v>0</v>
      </c>
      <c r="BS171" s="61">
        <v>0</v>
      </c>
      <c r="BT171" s="61">
        <v>0</v>
      </c>
      <c r="BU171" s="61">
        <v>0</v>
      </c>
      <c r="BV171" s="61">
        <v>0</v>
      </c>
      <c r="BW171" s="61">
        <v>0</v>
      </c>
      <c r="BX171" s="61">
        <v>0</v>
      </c>
      <c r="BY171" s="61">
        <v>0</v>
      </c>
      <c r="BZ171" s="61">
        <v>0</v>
      </c>
      <c r="CA171" s="61">
        <v>0</v>
      </c>
      <c r="CB171" s="61">
        <v>0</v>
      </c>
      <c r="CC171" s="61">
        <v>0</v>
      </c>
      <c r="CD171" s="61">
        <v>0</v>
      </c>
      <c r="CE171" s="61">
        <v>0</v>
      </c>
      <c r="CF171" s="61">
        <v>0</v>
      </c>
      <c r="CG171" s="61">
        <v>0</v>
      </c>
      <c r="CH171" s="61">
        <v>0</v>
      </c>
      <c r="CI171" s="61">
        <v>0</v>
      </c>
      <c r="CJ171" s="61">
        <v>0</v>
      </c>
      <c r="CK171" s="61">
        <v>0</v>
      </c>
      <c r="CL171" s="61"/>
      <c r="CM171" s="61" t="s">
        <v>293</v>
      </c>
      <c r="CN171" s="61">
        <v>0</v>
      </c>
      <c r="CO171" s="61">
        <v>2</v>
      </c>
      <c r="CP171" s="61">
        <v>0</v>
      </c>
      <c r="CQ171" s="61">
        <v>4</v>
      </c>
      <c r="CR171" s="61">
        <v>2</v>
      </c>
      <c r="CS171" s="61">
        <v>0</v>
      </c>
      <c r="CT171" s="61">
        <v>4</v>
      </c>
      <c r="CU171" s="61">
        <v>2</v>
      </c>
      <c r="CV171" s="61">
        <v>0</v>
      </c>
      <c r="CW171" s="61">
        <v>4</v>
      </c>
      <c r="CX171" s="61">
        <v>2</v>
      </c>
      <c r="CY171" s="61">
        <v>0</v>
      </c>
      <c r="CZ171" s="61">
        <v>4</v>
      </c>
      <c r="DA171" s="61">
        <v>2</v>
      </c>
      <c r="DB171" s="61">
        <v>0</v>
      </c>
      <c r="DC171" s="61">
        <v>4</v>
      </c>
      <c r="DD171" s="61">
        <v>2</v>
      </c>
      <c r="DE171" s="61">
        <v>0</v>
      </c>
      <c r="DF171" s="61">
        <v>4</v>
      </c>
      <c r="DG171" s="61">
        <v>2</v>
      </c>
      <c r="DH171" s="61">
        <v>0</v>
      </c>
      <c r="DI171" s="61"/>
      <c r="DJ171" s="61"/>
      <c r="DK171" s="61"/>
      <c r="DL171" s="61"/>
      <c r="DM171" s="61"/>
      <c r="DN171" s="61"/>
      <c r="DO171" s="61"/>
      <c r="DP171" s="61"/>
      <c r="DQ171" s="61"/>
      <c r="DR171" s="61"/>
      <c r="DS171" s="61"/>
      <c r="DT171" s="61"/>
      <c r="DU171" s="61"/>
      <c r="DV171" s="61"/>
      <c r="DW171" s="61"/>
      <c r="DX171" s="61"/>
      <c r="DY171" s="61"/>
      <c r="DZ171" s="61"/>
      <c r="EA171" s="61"/>
      <c r="EB171" s="61"/>
      <c r="EC171" s="61"/>
      <c r="ED171" s="61"/>
      <c r="EE171" s="61"/>
      <c r="EF171" s="61"/>
      <c r="EG171" s="61"/>
      <c r="EH171" s="61"/>
      <c r="EI171" s="61"/>
      <c r="EJ171" s="61"/>
      <c r="EK171" s="61"/>
      <c r="EL171" s="61"/>
      <c r="EM171" s="61"/>
      <c r="EN171" s="61"/>
      <c r="EO171" s="61"/>
      <c r="EP171" s="61"/>
      <c r="EQ171" s="61"/>
      <c r="ER171" s="61"/>
      <c r="ES171" s="61"/>
      <c r="ET171" s="61"/>
      <c r="EU171" s="61"/>
      <c r="EV171" s="61" t="s">
        <v>211</v>
      </c>
      <c r="EW171" s="61">
        <v>0</v>
      </c>
      <c r="EX171" s="61">
        <v>2</v>
      </c>
      <c r="EY171" s="61">
        <v>0</v>
      </c>
      <c r="EZ171" s="61">
        <v>0</v>
      </c>
      <c r="FA171" s="61">
        <v>0</v>
      </c>
      <c r="FB171" s="61">
        <v>2</v>
      </c>
      <c r="FC171" s="61">
        <v>0</v>
      </c>
      <c r="FD171" s="61">
        <v>0</v>
      </c>
      <c r="FE171" s="61">
        <v>0</v>
      </c>
      <c r="FF171" s="61">
        <v>0</v>
      </c>
      <c r="FG171" s="61">
        <v>0</v>
      </c>
      <c r="FH171" s="61"/>
      <c r="FI171" s="61" t="s">
        <v>208</v>
      </c>
      <c r="FJ171" s="61">
        <v>0</v>
      </c>
      <c r="FK171" s="61">
        <v>0</v>
      </c>
      <c r="FL171" s="61">
        <v>0</v>
      </c>
      <c r="FM171" s="61">
        <v>0</v>
      </c>
      <c r="FN171" s="61">
        <v>0</v>
      </c>
      <c r="FO171" s="61">
        <v>0</v>
      </c>
      <c r="FP171" s="61">
        <v>0</v>
      </c>
      <c r="FQ171" s="61">
        <v>0</v>
      </c>
      <c r="FR171" s="61">
        <v>0</v>
      </c>
      <c r="FS171" s="61">
        <v>0</v>
      </c>
      <c r="FT171" s="61">
        <v>0</v>
      </c>
      <c r="FU171" s="61"/>
      <c r="FV171" s="61" t="s">
        <v>208</v>
      </c>
      <c r="FW171" s="61">
        <v>0</v>
      </c>
      <c r="FX171" s="61">
        <v>0</v>
      </c>
      <c r="FY171" s="61">
        <v>0</v>
      </c>
      <c r="FZ171" s="61">
        <v>0</v>
      </c>
      <c r="GA171" s="61">
        <v>0</v>
      </c>
      <c r="GB171" s="61">
        <v>0</v>
      </c>
      <c r="GC171" s="61">
        <v>0</v>
      </c>
      <c r="GD171" s="61">
        <v>0</v>
      </c>
      <c r="GE171" s="61">
        <v>0</v>
      </c>
      <c r="GF171" s="61">
        <v>0</v>
      </c>
      <c r="GG171" s="61">
        <v>0</v>
      </c>
      <c r="GH171" s="61"/>
      <c r="GI171" s="61"/>
      <c r="GJ171" s="61"/>
      <c r="GK171" s="61"/>
      <c r="GL171" s="61"/>
      <c r="GM171" s="61"/>
      <c r="GN171" s="61"/>
      <c r="GO171" s="61"/>
      <c r="GP171" s="61"/>
      <c r="GQ171" s="61"/>
      <c r="GR171" s="61"/>
      <c r="GS171" s="61"/>
      <c r="GT171" s="61"/>
      <c r="GU171" s="61"/>
      <c r="GV171" s="61"/>
      <c r="GX171" s="61"/>
      <c r="GY171" s="61" t="s">
        <v>159</v>
      </c>
      <c r="GZ171" s="63" t="s">
        <v>869</v>
      </c>
      <c r="HA171" s="61"/>
      <c r="HB171" s="61"/>
      <c r="HC171" s="61"/>
      <c r="HD171" s="61"/>
      <c r="HV171" s="141" t="s">
        <v>479</v>
      </c>
      <c r="IS171" s="60" t="s">
        <v>479</v>
      </c>
    </row>
    <row r="172" spans="1:277" x14ac:dyDescent="0.25">
      <c r="A172" s="9"/>
      <c r="B172" s="9"/>
      <c r="C172" s="9"/>
      <c r="D172" s="9"/>
      <c r="E172" s="9"/>
      <c r="F172" s="17" t="str">
        <f>IF(L172="PSRM10X90F","PROPOZYCJA KOTEW- DO WERFIKACJI",IF(L172="-------","",""))</f>
        <v/>
      </c>
      <c r="G172" s="9"/>
      <c r="H172" s="9"/>
      <c r="I172" s="9"/>
      <c r="J172" s="9"/>
      <c r="K172" s="9"/>
      <c r="L172" s="6" t="str">
        <f>IF(E154=$Z$104,"-------",IF(E154=$Z$105,"PSRM10X90F",IF(E154=$Z$106,"-------",IF(E154=$Z$107,"SSZ8X25E A2",0))))</f>
        <v>-------</v>
      </c>
      <c r="M172" s="11" t="str">
        <f>INDEX(cennik!$C$2:$L$529,MATCH($L172,cennik!$B$2:$B$522,0),MATCH(M$104,cennik!$C$1:$L$1,0))</f>
        <v>-------</v>
      </c>
      <c r="N172" s="11">
        <f>INDEX(cennik!$C$2:$L$529,MATCH($L172,cennik!$B$2:$B$522,0),MATCH(N$104,cennik!$C$1:$L$1,0))</f>
        <v>0</v>
      </c>
      <c r="O172" s="11">
        <f>IF(L172="-------",0,IF(L172="PSRM10X90F",O163*6,IF(L172="SSZ8X25E A2",O163*6)))</f>
        <v>0</v>
      </c>
      <c r="P172" s="34">
        <f>INDEX(cennik!$C$2:$L$529,MATCH($L172,cennik!$B$2:$B$522,0),MATCH(P$104,cennik!$C$1:$L$1,0))</f>
        <v>0</v>
      </c>
      <c r="Q172" s="34">
        <f t="shared" si="116"/>
        <v>0</v>
      </c>
      <c r="R172" s="35">
        <f t="shared" si="114"/>
        <v>0</v>
      </c>
      <c r="S172" s="34">
        <f t="shared" si="115"/>
        <v>0</v>
      </c>
      <c r="T172" s="34">
        <f t="shared" si="117"/>
        <v>0</v>
      </c>
      <c r="U172" s="34">
        <f>INDEX(cennik!$C$2:$L$529,MATCH($L172,cennik!$B$2:$B$522,0),MATCH(U$104,cennik!$C$1:$L$1,0))*O172</f>
        <v>0</v>
      </c>
      <c r="V172" s="61"/>
      <c r="W172" s="142">
        <f t="shared" si="120"/>
        <v>0</v>
      </c>
      <c r="X172" s="61">
        <f t="shared" si="121"/>
        <v>0</v>
      </c>
      <c r="Y172" s="61"/>
      <c r="Z172" s="61">
        <f>(INDEX(($AM$106:$CK$111,$AM$115:$CK$120,$AM$124:$CK$129,$AM$133:$CK$138),MATCH($L$184,$AL$106:$AL$111,0),MATCH(A183,$AM$105:$CK$105,0),MATCH($G$179,$X$128:$X$131,0)))*C183</f>
        <v>0</v>
      </c>
      <c r="AA172" s="61">
        <f>(INDEX(($AM$106:$CK$111,$AM$115:$CK$120,$AM$124:$CK$129,$AM$133:$CK$138),MATCH($L$179,$AL$106:$AL$111,0),MATCH(A183,$AM$105:$CK$105,0),MATCH($G$179,$X$128:$X$131,0)))*C183</f>
        <v>0</v>
      </c>
      <c r="AB172" s="61">
        <f>(INDEX(($AM$106:$CK$111,$AM$115:$CK$120,$AM$124:$CK$129,$AM$133:$CK$138),MATCH($L$180,$AL$106:$AL$111,0),MATCH(A183,$AM$105:$CK$105,0),MATCH($G$179,$X$128:$X$131,0)))*C183</f>
        <v>0</v>
      </c>
      <c r="AC172" s="61">
        <f>(INDEX(($AM$106:$CK$111,$AM$115:$CK$120,$AM$124:$CK$129,$AM$133:$CK$138),MATCH($L$181,$AL$106:$AL$111,0),MATCH(A183,$AM$105:$CK$105,0),MATCH($G$179,$X$128:$X$131,0)))*C183</f>
        <v>0</v>
      </c>
      <c r="AD172" s="61">
        <f>(INDEX(($AM$106:$CK$111,$AM$115:$CK$120,$AM$124:$CK$129,$AM$133:$CK$138),MATCH($L$182,$AL$106:$AL$111,0),MATCH(A183,$AM$105:$CK$105,0),MATCH($G$179,$X$128:$X$131,0)))*C183</f>
        <v>0</v>
      </c>
      <c r="AE172" s="61">
        <f>(INDEX(($AM$106:$CK$111,$AM$115:$CK$120,$AM$124:$CK$129,$AM$133:$CK$138),MATCH($L$183,$AL$106:$AL$111,0),MATCH(A183,$AM$105:$CK$105,0),MATCH($G$179,$X$128:$X$131,0)))*C183</f>
        <v>0</v>
      </c>
      <c r="AJ172" s="61"/>
      <c r="AK172" s="61"/>
      <c r="AL172" s="61" t="s">
        <v>127</v>
      </c>
      <c r="AM172" s="61">
        <v>0</v>
      </c>
      <c r="AN172" s="61">
        <v>0</v>
      </c>
      <c r="AO172" s="61">
        <v>0</v>
      </c>
      <c r="AP172" s="61">
        <v>0</v>
      </c>
      <c r="AQ172" s="61">
        <v>0</v>
      </c>
      <c r="AR172" s="61">
        <v>0</v>
      </c>
      <c r="AS172" s="61">
        <v>0</v>
      </c>
      <c r="AT172" s="61">
        <v>0</v>
      </c>
      <c r="AU172" s="61">
        <v>0</v>
      </c>
      <c r="AV172" s="61">
        <v>2</v>
      </c>
      <c r="AW172" s="61">
        <v>4</v>
      </c>
      <c r="AX172" s="61">
        <v>0</v>
      </c>
      <c r="AY172" s="61">
        <v>2</v>
      </c>
      <c r="AZ172" s="61">
        <v>0</v>
      </c>
      <c r="BA172" s="61">
        <v>2</v>
      </c>
      <c r="BB172" s="61">
        <v>2</v>
      </c>
      <c r="BC172" s="61">
        <v>0</v>
      </c>
      <c r="BD172" s="61">
        <v>0</v>
      </c>
      <c r="BE172" s="61">
        <v>0</v>
      </c>
      <c r="BF172" s="61">
        <v>0</v>
      </c>
      <c r="BG172" s="61">
        <v>0</v>
      </c>
      <c r="BH172" s="61">
        <v>0</v>
      </c>
      <c r="BI172" s="61">
        <v>2</v>
      </c>
      <c r="BJ172" s="61">
        <v>0</v>
      </c>
      <c r="BK172" s="61">
        <v>0</v>
      </c>
      <c r="BL172" s="61">
        <v>0</v>
      </c>
      <c r="BM172" s="61">
        <v>0</v>
      </c>
      <c r="BN172" s="61">
        <v>0</v>
      </c>
      <c r="BO172" s="61">
        <v>0</v>
      </c>
      <c r="BP172" s="61">
        <v>0</v>
      </c>
      <c r="BQ172" s="61">
        <v>0</v>
      </c>
      <c r="BR172" s="61">
        <v>0</v>
      </c>
      <c r="BS172" s="61">
        <v>0</v>
      </c>
      <c r="BT172" s="61">
        <v>0</v>
      </c>
      <c r="BU172" s="61">
        <v>0</v>
      </c>
      <c r="BV172" s="61">
        <v>0</v>
      </c>
      <c r="BW172" s="61">
        <v>0</v>
      </c>
      <c r="BX172" s="61">
        <v>2</v>
      </c>
      <c r="BY172" s="61">
        <v>0</v>
      </c>
      <c r="BZ172" s="61">
        <v>0</v>
      </c>
      <c r="CA172" s="61">
        <v>0</v>
      </c>
      <c r="CB172" s="61">
        <v>0</v>
      </c>
      <c r="CC172" s="61">
        <v>0</v>
      </c>
      <c r="CD172" s="61">
        <v>0</v>
      </c>
      <c r="CE172" s="61">
        <v>0</v>
      </c>
      <c r="CF172" s="61">
        <v>0</v>
      </c>
      <c r="CG172" s="61">
        <v>0</v>
      </c>
      <c r="CH172" s="61">
        <v>0</v>
      </c>
      <c r="CI172" s="61">
        <v>0</v>
      </c>
      <c r="CJ172" s="61">
        <v>2</v>
      </c>
      <c r="CK172" s="61">
        <v>0</v>
      </c>
      <c r="CL172" s="61"/>
      <c r="CM172" s="61" t="s">
        <v>212</v>
      </c>
      <c r="CN172" s="61">
        <v>0</v>
      </c>
      <c r="CO172" s="61">
        <v>0</v>
      </c>
      <c r="CP172" s="61">
        <v>2</v>
      </c>
      <c r="CQ172" s="61">
        <v>0</v>
      </c>
      <c r="CR172" s="61">
        <v>2</v>
      </c>
      <c r="CS172" s="61">
        <v>4</v>
      </c>
      <c r="CT172" s="61">
        <v>2</v>
      </c>
      <c r="CU172" s="61">
        <v>4</v>
      </c>
      <c r="CV172" s="61">
        <v>6</v>
      </c>
      <c r="CW172" s="61">
        <v>4</v>
      </c>
      <c r="CX172" s="61">
        <v>6</v>
      </c>
      <c r="CY172" s="61">
        <v>8</v>
      </c>
      <c r="CZ172" s="61">
        <v>6</v>
      </c>
      <c r="DA172" s="61">
        <v>8</v>
      </c>
      <c r="DB172" s="61">
        <v>10</v>
      </c>
      <c r="DC172" s="61">
        <v>8</v>
      </c>
      <c r="DD172" s="61">
        <v>10</v>
      </c>
      <c r="DE172" s="61">
        <v>12</v>
      </c>
      <c r="DF172" s="61">
        <v>10</v>
      </c>
      <c r="DG172" s="61">
        <v>12</v>
      </c>
      <c r="DH172" s="61">
        <v>14</v>
      </c>
      <c r="DI172" s="61"/>
      <c r="DJ172" s="61"/>
      <c r="DK172" s="61"/>
      <c r="DL172" s="61"/>
      <c r="DM172" s="61" t="s">
        <v>115</v>
      </c>
      <c r="DN172" s="61"/>
      <c r="DO172" s="61"/>
      <c r="DP172" s="61"/>
      <c r="DQ172" s="61"/>
      <c r="DR172" s="61"/>
      <c r="DS172" s="61"/>
      <c r="DT172" s="61"/>
      <c r="DU172" s="61"/>
      <c r="DV172" s="61"/>
      <c r="DW172" s="61"/>
      <c r="DX172" s="61"/>
      <c r="DY172" s="61"/>
      <c r="EA172" s="61"/>
      <c r="EB172" s="61"/>
      <c r="EC172" s="61"/>
      <c r="ED172" s="61"/>
      <c r="EE172" s="61"/>
      <c r="EF172" s="61"/>
      <c r="EG172" s="61"/>
      <c r="EH172" s="61"/>
      <c r="EI172" s="61"/>
      <c r="EJ172" s="61"/>
      <c r="EK172" s="61"/>
      <c r="EL172" s="61"/>
      <c r="EM172" s="61"/>
      <c r="EN172" s="61"/>
      <c r="EO172" s="61"/>
      <c r="EP172" s="61"/>
      <c r="EQ172" s="61"/>
      <c r="ER172" s="61"/>
      <c r="ES172" s="61"/>
      <c r="ET172" s="61"/>
      <c r="EU172" s="61"/>
      <c r="EV172" s="61" t="s">
        <v>293</v>
      </c>
      <c r="EW172" s="61">
        <v>0</v>
      </c>
      <c r="EX172" s="61">
        <v>0</v>
      </c>
      <c r="EY172" s="61">
        <v>0</v>
      </c>
      <c r="EZ172" s="61">
        <v>0</v>
      </c>
      <c r="FA172" s="61">
        <v>0</v>
      </c>
      <c r="FB172" s="61">
        <v>0</v>
      </c>
      <c r="FC172" s="61">
        <v>0</v>
      </c>
      <c r="FD172" s="61">
        <v>0</v>
      </c>
      <c r="FE172" s="61">
        <v>0</v>
      </c>
      <c r="FF172" s="61">
        <v>0</v>
      </c>
      <c r="FG172" s="61">
        <v>0</v>
      </c>
      <c r="FH172" s="61"/>
      <c r="FI172" s="61" t="s">
        <v>211</v>
      </c>
      <c r="FJ172" s="61">
        <v>0</v>
      </c>
      <c r="FK172" s="61">
        <v>2</v>
      </c>
      <c r="FL172" s="61">
        <v>0</v>
      </c>
      <c r="FM172" s="61">
        <v>0</v>
      </c>
      <c r="FN172" s="61">
        <v>0</v>
      </c>
      <c r="FO172" s="61">
        <v>0</v>
      </c>
      <c r="FP172" s="61">
        <v>0</v>
      </c>
      <c r="FQ172" s="61">
        <v>0</v>
      </c>
      <c r="FR172" s="61">
        <v>0</v>
      </c>
      <c r="FS172" s="61">
        <v>0</v>
      </c>
      <c r="FT172" s="61">
        <v>0</v>
      </c>
      <c r="FU172" s="61"/>
      <c r="FV172" s="61" t="s">
        <v>211</v>
      </c>
      <c r="FW172" s="61">
        <v>0</v>
      </c>
      <c r="FX172" s="61">
        <v>0</v>
      </c>
      <c r="FY172" s="61">
        <v>0</v>
      </c>
      <c r="FZ172" s="61">
        <v>0</v>
      </c>
      <c r="GA172" s="61">
        <v>0</v>
      </c>
      <c r="GB172" s="61">
        <v>0</v>
      </c>
      <c r="GC172" s="61">
        <v>0</v>
      </c>
      <c r="GD172" s="61">
        <v>0</v>
      </c>
      <c r="GE172" s="61">
        <v>0</v>
      </c>
      <c r="GF172" s="61">
        <v>0</v>
      </c>
      <c r="GG172" s="61">
        <v>0</v>
      </c>
      <c r="GH172" s="61"/>
      <c r="GI172" s="61"/>
      <c r="GJ172" s="61"/>
      <c r="GK172" s="61"/>
      <c r="GL172" s="61"/>
      <c r="GM172" s="61"/>
      <c r="GN172" s="61"/>
      <c r="GO172" s="61"/>
      <c r="GP172" s="61"/>
      <c r="GQ172" s="61"/>
      <c r="GR172" s="61"/>
      <c r="GS172" s="61"/>
      <c r="GT172" s="61"/>
      <c r="GU172" s="61"/>
      <c r="GV172" s="61"/>
      <c r="GX172" s="61"/>
      <c r="GY172" s="63" t="s">
        <v>152</v>
      </c>
      <c r="GZ172" s="63" t="s">
        <v>153</v>
      </c>
      <c r="HA172" s="61"/>
      <c r="HB172" s="61"/>
      <c r="HC172" s="61"/>
      <c r="HD172" s="61"/>
      <c r="HW172" s="60">
        <v>0</v>
      </c>
      <c r="HX172" s="60">
        <v>1</v>
      </c>
      <c r="HY172" s="60">
        <v>2</v>
      </c>
      <c r="HZ172" s="60">
        <v>3</v>
      </c>
      <c r="IA172" s="60">
        <v>4</v>
      </c>
      <c r="IB172" s="60">
        <v>5</v>
      </c>
      <c r="IC172" s="60">
        <v>6</v>
      </c>
      <c r="ID172" s="60">
        <v>7</v>
      </c>
      <c r="IE172" s="60">
        <v>8</v>
      </c>
      <c r="IF172" s="60">
        <v>9</v>
      </c>
      <c r="IG172" s="60">
        <v>10</v>
      </c>
      <c r="IH172" s="60">
        <v>11</v>
      </c>
      <c r="II172" s="60">
        <v>12</v>
      </c>
      <c r="IJ172" s="60">
        <v>13</v>
      </c>
      <c r="IK172" s="60">
        <v>14</v>
      </c>
      <c r="IL172" s="60">
        <v>15</v>
      </c>
      <c r="IM172" s="60">
        <v>16</v>
      </c>
      <c r="IN172" s="60">
        <v>17</v>
      </c>
      <c r="IO172" s="60">
        <v>18</v>
      </c>
      <c r="IP172" s="60">
        <v>19</v>
      </c>
      <c r="IQ172" s="60">
        <v>20</v>
      </c>
      <c r="IT172" s="60">
        <f t="shared" si="69"/>
        <v>0</v>
      </c>
      <c r="IU172" s="60">
        <f t="shared" si="70"/>
        <v>2</v>
      </c>
      <c r="IV172" s="60">
        <f t="shared" si="71"/>
        <v>4</v>
      </c>
      <c r="IW172" s="60">
        <f t="shared" si="72"/>
        <v>6</v>
      </c>
      <c r="IX172" s="60">
        <f t="shared" si="73"/>
        <v>8</v>
      </c>
      <c r="IY172" s="60">
        <f t="shared" si="74"/>
        <v>10</v>
      </c>
      <c r="IZ172" s="60">
        <f t="shared" si="75"/>
        <v>12</v>
      </c>
      <c r="JA172" s="60">
        <f t="shared" si="76"/>
        <v>14</v>
      </c>
      <c r="JB172" s="60">
        <f t="shared" si="77"/>
        <v>16</v>
      </c>
      <c r="JC172" s="60">
        <f t="shared" si="78"/>
        <v>18</v>
      </c>
      <c r="JD172" s="60">
        <f t="shared" si="79"/>
        <v>20</v>
      </c>
      <c r="JE172" s="60">
        <f t="shared" si="80"/>
        <v>22</v>
      </c>
      <c r="JF172" s="60">
        <f t="shared" si="81"/>
        <v>24</v>
      </c>
      <c r="JG172" s="60">
        <f t="shared" si="82"/>
        <v>26</v>
      </c>
      <c r="JH172" s="60">
        <f t="shared" si="83"/>
        <v>28</v>
      </c>
      <c r="JI172" s="60">
        <f t="shared" si="84"/>
        <v>30</v>
      </c>
      <c r="JJ172" s="60">
        <f t="shared" si="85"/>
        <v>32</v>
      </c>
      <c r="JK172" s="60">
        <f t="shared" si="86"/>
        <v>34</v>
      </c>
      <c r="JL172" s="60">
        <f t="shared" si="87"/>
        <v>36</v>
      </c>
      <c r="JM172" s="60">
        <f t="shared" si="88"/>
        <v>38</v>
      </c>
      <c r="JN172" s="60">
        <f t="shared" si="89"/>
        <v>40</v>
      </c>
    </row>
    <row r="173" spans="1:277" x14ac:dyDescent="0.25">
      <c r="A173" s="9"/>
      <c r="B173" s="9"/>
      <c r="C173" s="9"/>
      <c r="D173" s="9"/>
      <c r="E173" s="9"/>
      <c r="F173" s="9"/>
      <c r="G173" s="9"/>
      <c r="H173" s="9"/>
      <c r="I173" s="9"/>
      <c r="J173" s="9"/>
      <c r="K173" s="9"/>
      <c r="L173" s="6" t="str">
        <f>IF(E154=$Z$104,"PC100C",IF(E154=$Z$105,"PC100C",IF(E154=$Z$106,"-------",IF(E154=$Z$107,"-------",0))))</f>
        <v>PC100C</v>
      </c>
      <c r="M173" s="11">
        <f>INDEX(cennik!$C$2:$L$529,MATCH($L173,cennik!$B$2:$B$522,0),MATCH(M$104,cennik!$C$1:$L$1,0))</f>
        <v>858433</v>
      </c>
      <c r="N173" s="11" t="str">
        <f>INDEX(cennik!$C$2:$L$529,MATCH($L173,cennik!$B$2:$B$522,0),MATCH(N$104,cennik!$C$1:$L$1,0))</f>
        <v>szt.</v>
      </c>
      <c r="O173" s="11">
        <f>O163*2</f>
        <v>0</v>
      </c>
      <c r="P173" s="34">
        <f>INDEX(cennik!$C$2:$L$529,MATCH($L173,cennik!$B$2:$B$522,0),MATCH(P$104,cennik!$C$1:$L$1,0))</f>
        <v>6.8</v>
      </c>
      <c r="Q173" s="34">
        <f>O173*P173</f>
        <v>0</v>
      </c>
      <c r="R173" s="35">
        <f t="shared" si="114"/>
        <v>0</v>
      </c>
      <c r="S173" s="34">
        <f t="shared" si="115"/>
        <v>6.8</v>
      </c>
      <c r="T173" s="34">
        <f>O173*S173</f>
        <v>0</v>
      </c>
      <c r="U173" s="34">
        <f>INDEX(cennik!$C$2:$L$529,MATCH($L173,cennik!$B$2:$B$522,0),MATCH(U$104,cennik!$C$1:$L$1,0))*O173</f>
        <v>0</v>
      </c>
      <c r="V173" s="61"/>
      <c r="W173" s="142">
        <f t="shared" si="120"/>
        <v>0</v>
      </c>
      <c r="X173" s="61">
        <f t="shared" si="121"/>
        <v>0</v>
      </c>
      <c r="Y173" s="61"/>
      <c r="Z173" s="61">
        <f>(INDEX(($AM$106:$CK$111,$AM$115:$CK$120,$AM$124:$CK$129,$AM$133:$CK$138),MATCH($L$184,$AL$106:$AL$111,0),MATCH(A184,$AM$105:$CK$105,0),MATCH($G$179,$X$128:$X$131,0)))*C184</f>
        <v>0</v>
      </c>
      <c r="AA173" s="61">
        <f>(INDEX(($AM$106:$CK$111,$AM$115:$CK$120,$AM$124:$CK$129,$AM$133:$CK$138),MATCH($L$179,$AL$106:$AL$111,0),MATCH(A184,$AM$105:$CK$105,0),MATCH($G$179,$X$128:$X$131,0)))*C184</f>
        <v>0</v>
      </c>
      <c r="AB173" s="61">
        <f>(INDEX(($AM$106:$CK$111,$AM$115:$CK$120,$AM$124:$CK$129,$AM$133:$CK$138),MATCH($L$180,$AL$106:$AL$111,0),MATCH(A184,$AM$105:$CK$105,0),MATCH($G$179,$X$128:$X$131,0)))*C184</f>
        <v>0</v>
      </c>
      <c r="AC173" s="61">
        <f>(INDEX(($AM$106:$CK$111,$AM$115:$CK$120,$AM$124:$CK$129,$AM$133:$CK$138),MATCH($L$181,$AL$106:$AL$111,0),MATCH(A184,$AM$105:$CK$105,0),MATCH($G$179,$X$128:$X$131,0)))*C184</f>
        <v>0</v>
      </c>
      <c r="AD173" s="61">
        <f>(INDEX(($AM$106:$CK$111,$AM$115:$CK$120,$AM$124:$CK$129,$AM$133:$CK$138),MATCH($L$182,$AL$106:$AL$111,0),MATCH(A184,$AM$105:$CK$105,0),MATCH($G$179,$X$128:$X$131,0)))*C184</f>
        <v>0</v>
      </c>
      <c r="AE173" s="61">
        <f>(INDEX(($AM$106:$CK$111,$AM$115:$CK$120,$AM$124:$CK$129,$AM$133:$CK$138),MATCH($L$183,$AL$106:$AL$111,0),MATCH(A184,$AM$105:$CK$105,0),MATCH($G$179,$X$128:$X$131,0)))*C184</f>
        <v>0</v>
      </c>
      <c r="AJ173" s="61"/>
      <c r="AK173" s="61"/>
      <c r="AL173" s="61" t="s">
        <v>15</v>
      </c>
      <c r="AM173" s="61">
        <v>0</v>
      </c>
      <c r="AN173" s="61">
        <v>0</v>
      </c>
      <c r="AO173" s="61">
        <v>0</v>
      </c>
      <c r="AP173" s="61">
        <v>4</v>
      </c>
      <c r="AQ173" s="61">
        <v>4</v>
      </c>
      <c r="AR173" s="61">
        <v>4</v>
      </c>
      <c r="AS173" s="61">
        <v>8</v>
      </c>
      <c r="AT173" s="61">
        <v>2</v>
      </c>
      <c r="AU173" s="61">
        <v>2</v>
      </c>
      <c r="AV173" s="61">
        <v>4</v>
      </c>
      <c r="AW173" s="61">
        <v>6</v>
      </c>
      <c r="AX173" s="61">
        <v>8</v>
      </c>
      <c r="AY173" s="61">
        <v>10</v>
      </c>
      <c r="AZ173" s="61">
        <v>0</v>
      </c>
      <c r="BA173" s="61">
        <v>0</v>
      </c>
      <c r="BB173" s="61">
        <v>18</v>
      </c>
      <c r="BC173" s="61">
        <v>4</v>
      </c>
      <c r="BD173" s="61">
        <v>22</v>
      </c>
      <c r="BE173" s="61">
        <v>22</v>
      </c>
      <c r="BF173" s="61">
        <v>12</v>
      </c>
      <c r="BG173" s="61">
        <v>12</v>
      </c>
      <c r="BH173" s="61">
        <v>0</v>
      </c>
      <c r="BI173" s="61">
        <v>8</v>
      </c>
      <c r="BJ173" s="61">
        <v>18</v>
      </c>
      <c r="BK173" s="61">
        <v>8</v>
      </c>
      <c r="BL173" s="61">
        <v>24</v>
      </c>
      <c r="BM173" s="61">
        <v>0</v>
      </c>
      <c r="BN173" s="61">
        <v>14</v>
      </c>
      <c r="BO173" s="61">
        <v>30</v>
      </c>
      <c r="BP173" s="61">
        <v>4</v>
      </c>
      <c r="BQ173" s="61">
        <v>20</v>
      </c>
      <c r="BR173" s="61">
        <v>0</v>
      </c>
      <c r="BS173" s="61">
        <v>10</v>
      </c>
      <c r="BT173" s="61">
        <v>26</v>
      </c>
      <c r="BU173" s="61">
        <v>0</v>
      </c>
      <c r="BV173" s="61">
        <v>16</v>
      </c>
      <c r="BW173" s="61">
        <v>32</v>
      </c>
      <c r="BX173" s="61">
        <v>0</v>
      </c>
      <c r="BY173" s="61">
        <v>22</v>
      </c>
      <c r="BZ173" s="61">
        <v>0</v>
      </c>
      <c r="CA173" s="61">
        <v>12</v>
      </c>
      <c r="CB173" s="61">
        <v>28</v>
      </c>
      <c r="CC173" s="61">
        <v>2</v>
      </c>
      <c r="CD173" s="61">
        <v>18</v>
      </c>
      <c r="CE173" s="61">
        <v>0</v>
      </c>
      <c r="CF173" s="61">
        <v>8</v>
      </c>
      <c r="CG173" s="61">
        <v>24</v>
      </c>
      <c r="CH173" s="61">
        <v>0</v>
      </c>
      <c r="CI173" s="61">
        <v>14</v>
      </c>
      <c r="CJ173" s="61">
        <v>16</v>
      </c>
      <c r="CK173" s="61">
        <v>4</v>
      </c>
      <c r="CL173" s="61"/>
      <c r="CM173" s="61" t="s">
        <v>11</v>
      </c>
      <c r="CN173" s="61">
        <v>0</v>
      </c>
      <c r="CO173" s="61">
        <v>0</v>
      </c>
      <c r="CP173" s="61">
        <v>0</v>
      </c>
      <c r="CQ173" s="61">
        <v>2</v>
      </c>
      <c r="CR173" s="61">
        <v>2</v>
      </c>
      <c r="CS173" s="61">
        <v>2</v>
      </c>
      <c r="CT173" s="61">
        <v>4</v>
      </c>
      <c r="CU173" s="61">
        <v>4</v>
      </c>
      <c r="CV173" s="61">
        <v>4</v>
      </c>
      <c r="CW173" s="61">
        <v>6</v>
      </c>
      <c r="CX173" s="61">
        <v>6</v>
      </c>
      <c r="CY173" s="61">
        <v>6</v>
      </c>
      <c r="CZ173" s="61">
        <v>8</v>
      </c>
      <c r="DA173" s="61">
        <v>8</v>
      </c>
      <c r="DB173" s="61">
        <v>8</v>
      </c>
      <c r="DC173" s="61">
        <v>10</v>
      </c>
      <c r="DD173" s="61">
        <v>10</v>
      </c>
      <c r="DE173" s="61">
        <v>10</v>
      </c>
      <c r="DF173" s="61">
        <v>12</v>
      </c>
      <c r="DG173" s="61">
        <v>12</v>
      </c>
      <c r="DH173" s="61">
        <v>12</v>
      </c>
      <c r="DI173" s="61"/>
      <c r="DJ173" s="61"/>
      <c r="DK173" s="61"/>
      <c r="DL173" s="61"/>
      <c r="DM173" s="61"/>
      <c r="DN173" s="61">
        <v>0</v>
      </c>
      <c r="DO173" s="61">
        <v>1</v>
      </c>
      <c r="DP173" s="61">
        <v>2</v>
      </c>
      <c r="DQ173" s="61">
        <v>3</v>
      </c>
      <c r="DR173" s="61">
        <v>4</v>
      </c>
      <c r="DS173" s="61">
        <v>5</v>
      </c>
      <c r="DT173" s="61">
        <v>6</v>
      </c>
      <c r="DU173" s="61">
        <v>7</v>
      </c>
      <c r="DV173" s="61">
        <v>8</v>
      </c>
      <c r="DW173" s="61">
        <v>9</v>
      </c>
      <c r="DX173" s="61">
        <v>10</v>
      </c>
      <c r="DY173" s="61">
        <v>11</v>
      </c>
      <c r="DZ173" s="61">
        <v>12</v>
      </c>
      <c r="EA173" s="61">
        <v>13</v>
      </c>
      <c r="EB173" s="61">
        <v>14</v>
      </c>
      <c r="EC173" s="61">
        <v>15</v>
      </c>
      <c r="ED173" s="61">
        <v>16</v>
      </c>
      <c r="EE173" s="61">
        <v>17</v>
      </c>
      <c r="EF173" s="61">
        <v>18</v>
      </c>
      <c r="EG173" s="61">
        <v>19</v>
      </c>
      <c r="EH173" s="61">
        <v>20</v>
      </c>
      <c r="EI173" s="61"/>
      <c r="EJ173" s="61"/>
      <c r="EK173" s="61"/>
      <c r="EL173" s="61"/>
      <c r="EM173" s="61"/>
      <c r="EN173" s="61"/>
      <c r="EO173" s="61"/>
      <c r="EP173" s="61"/>
      <c r="EQ173" s="61"/>
      <c r="ER173" s="61"/>
      <c r="ES173" s="61"/>
      <c r="ET173" s="61"/>
      <c r="EU173" s="61"/>
      <c r="EV173" s="61" t="s">
        <v>10</v>
      </c>
      <c r="EW173" s="61">
        <v>0</v>
      </c>
      <c r="EX173" s="61">
        <v>0</v>
      </c>
      <c r="EY173" s="61">
        <v>0</v>
      </c>
      <c r="EZ173" s="61">
        <v>0</v>
      </c>
      <c r="FA173" s="61">
        <v>0</v>
      </c>
      <c r="FB173" s="61">
        <v>2</v>
      </c>
      <c r="FC173" s="61">
        <v>2</v>
      </c>
      <c r="FD173" s="61">
        <v>0</v>
      </c>
      <c r="FE173" s="61">
        <v>2</v>
      </c>
      <c r="FF173" s="61">
        <v>8</v>
      </c>
      <c r="FG173" s="61">
        <v>2</v>
      </c>
      <c r="FH173" s="61"/>
      <c r="FI173" s="61" t="s">
        <v>293</v>
      </c>
      <c r="FJ173" s="61">
        <v>0</v>
      </c>
      <c r="FK173" s="61">
        <v>0</v>
      </c>
      <c r="FL173" s="61">
        <v>0</v>
      </c>
      <c r="FM173" s="61">
        <v>0</v>
      </c>
      <c r="FN173" s="61">
        <v>0</v>
      </c>
      <c r="FO173" s="61">
        <v>0</v>
      </c>
      <c r="FP173" s="61">
        <v>0</v>
      </c>
      <c r="FQ173" s="61">
        <v>0</v>
      </c>
      <c r="FR173" s="61">
        <v>0</v>
      </c>
      <c r="FS173" s="61">
        <v>0</v>
      </c>
      <c r="FT173" s="61">
        <v>0</v>
      </c>
      <c r="FU173" s="61"/>
      <c r="FV173" s="61" t="s">
        <v>293</v>
      </c>
      <c r="FW173" s="61">
        <v>0</v>
      </c>
      <c r="FX173" s="61">
        <v>2</v>
      </c>
      <c r="FY173" s="61">
        <v>0</v>
      </c>
      <c r="FZ173" s="61">
        <v>0</v>
      </c>
      <c r="GA173" s="61">
        <v>0</v>
      </c>
      <c r="GB173" s="61">
        <v>0</v>
      </c>
      <c r="GC173" s="61">
        <v>0</v>
      </c>
      <c r="GD173" s="61">
        <v>2</v>
      </c>
      <c r="GE173" s="61">
        <v>0</v>
      </c>
      <c r="GF173" s="61">
        <v>0</v>
      </c>
      <c r="GG173" s="61">
        <v>0</v>
      </c>
      <c r="GH173" s="61"/>
      <c r="GI173" s="61"/>
      <c r="GJ173" s="61"/>
      <c r="GK173" s="61"/>
      <c r="GL173" s="61"/>
      <c r="GM173" s="61"/>
      <c r="GN173" s="61"/>
      <c r="GO173" s="61"/>
      <c r="GP173" s="61"/>
      <c r="GQ173" s="61"/>
      <c r="GR173" s="61"/>
      <c r="GS173" s="61"/>
      <c r="GT173" s="61"/>
      <c r="GU173" s="61"/>
      <c r="GV173" s="61"/>
      <c r="GX173" s="61"/>
      <c r="GY173" s="61">
        <v>20</v>
      </c>
      <c r="GZ173" s="61">
        <v>2250</v>
      </c>
      <c r="HA173" s="61"/>
      <c r="HB173" s="61"/>
      <c r="HC173" s="61"/>
      <c r="HD173" s="61"/>
      <c r="HV173" s="60" t="s">
        <v>826</v>
      </c>
      <c r="HW173" s="60">
        <v>0</v>
      </c>
      <c r="HX173" s="60">
        <v>2</v>
      </c>
      <c r="HY173" s="60">
        <v>4</v>
      </c>
      <c r="HZ173" s="60">
        <v>0</v>
      </c>
      <c r="IA173" s="60">
        <v>2</v>
      </c>
      <c r="IB173" s="60">
        <v>4</v>
      </c>
      <c r="IC173" s="60">
        <v>0</v>
      </c>
      <c r="ID173" s="60">
        <v>2</v>
      </c>
      <c r="IE173" s="60">
        <v>4</v>
      </c>
      <c r="IF173" s="60">
        <v>0</v>
      </c>
      <c r="IG173" s="60">
        <v>2</v>
      </c>
      <c r="IH173" s="60">
        <v>4</v>
      </c>
      <c r="II173" s="60">
        <v>0</v>
      </c>
      <c r="IJ173" s="60">
        <v>2</v>
      </c>
      <c r="IK173" s="60">
        <v>4</v>
      </c>
      <c r="IL173" s="60">
        <v>0</v>
      </c>
      <c r="IM173" s="60">
        <v>2</v>
      </c>
      <c r="IN173" s="60">
        <v>4</v>
      </c>
      <c r="IO173" s="60">
        <v>0</v>
      </c>
      <c r="IP173" s="60">
        <v>2</v>
      </c>
      <c r="IQ173" s="60">
        <v>4</v>
      </c>
      <c r="IS173" s="60" t="s">
        <v>826</v>
      </c>
      <c r="IT173" s="60">
        <f t="shared" si="69"/>
        <v>0</v>
      </c>
      <c r="IU173" s="60">
        <f t="shared" si="70"/>
        <v>4</v>
      </c>
      <c r="IV173" s="60">
        <f t="shared" si="71"/>
        <v>8</v>
      </c>
      <c r="IW173" s="60">
        <f t="shared" si="72"/>
        <v>0</v>
      </c>
      <c r="IX173" s="60">
        <f t="shared" si="73"/>
        <v>4</v>
      </c>
      <c r="IY173" s="60">
        <f t="shared" si="74"/>
        <v>8</v>
      </c>
      <c r="IZ173" s="60">
        <f t="shared" si="75"/>
        <v>0</v>
      </c>
      <c r="JA173" s="60">
        <f t="shared" si="76"/>
        <v>4</v>
      </c>
      <c r="JB173" s="60">
        <f t="shared" si="77"/>
        <v>8</v>
      </c>
      <c r="JC173" s="60">
        <f t="shared" si="78"/>
        <v>0</v>
      </c>
      <c r="JD173" s="60">
        <f t="shared" si="79"/>
        <v>4</v>
      </c>
      <c r="JE173" s="60">
        <f t="shared" si="80"/>
        <v>8</v>
      </c>
      <c r="JF173" s="60">
        <f t="shared" si="81"/>
        <v>0</v>
      </c>
      <c r="JG173" s="60">
        <f t="shared" si="82"/>
        <v>4</v>
      </c>
      <c r="JH173" s="60">
        <f t="shared" si="83"/>
        <v>8</v>
      </c>
      <c r="JI173" s="60">
        <f t="shared" si="84"/>
        <v>0</v>
      </c>
      <c r="JJ173" s="60">
        <f t="shared" si="85"/>
        <v>4</v>
      </c>
      <c r="JK173" s="60">
        <f t="shared" si="86"/>
        <v>8</v>
      </c>
      <c r="JL173" s="60">
        <f t="shared" si="87"/>
        <v>0</v>
      </c>
      <c r="JM173" s="60">
        <f t="shared" si="88"/>
        <v>4</v>
      </c>
      <c r="JN173" s="60">
        <f t="shared" si="89"/>
        <v>8</v>
      </c>
    </row>
    <row r="174" spans="1:277" x14ac:dyDescent="0.25">
      <c r="A174" s="9"/>
      <c r="B174" s="9"/>
      <c r="C174" s="9"/>
      <c r="D174" s="9"/>
      <c r="E174" s="9"/>
      <c r="F174" s="9"/>
      <c r="G174" s="9"/>
      <c r="H174" s="9"/>
      <c r="I174" s="9"/>
      <c r="J174" s="9"/>
      <c r="K174" s="9"/>
      <c r="L174" s="6" t="s">
        <v>1005</v>
      </c>
      <c r="M174" s="11">
        <f>INDEX(cennik!$C$2:$L$529,MATCH($L174,cennik!$B$2:$B$522,0),MATCH(M$104,cennik!$C$1:$L$1,0))</f>
        <v>760401</v>
      </c>
      <c r="N174" s="11" t="str">
        <f>INDEX(cennik!$C$2:$L$529,MATCH($L174,cennik!$B$2:$B$522,0),MATCH(N$104,cennik!$C$1:$L$1,0))</f>
        <v>szt.</v>
      </c>
      <c r="O174" s="11">
        <f>SUM(C151:C166)*4</f>
        <v>0</v>
      </c>
      <c r="P174" s="34">
        <f>INDEX(cennik!$C$2:$L$529,MATCH($L174,cennik!$B$2:$B$522,0),MATCH(P$104,cennik!$C$1:$L$1,0))</f>
        <v>1.97</v>
      </c>
      <c r="Q174" s="34">
        <f>O174*P174</f>
        <v>0</v>
      </c>
      <c r="R174" s="35">
        <f t="shared" si="114"/>
        <v>0</v>
      </c>
      <c r="S174" s="34">
        <f t="shared" si="115"/>
        <v>1.97</v>
      </c>
      <c r="T174" s="34">
        <f>O174*S174</f>
        <v>0</v>
      </c>
      <c r="U174" s="34">
        <f>INDEX(cennik!$C$2:$L$529,MATCH($L174,cennik!$B$2:$B$522,0),MATCH(U$104,cennik!$C$1:$L$1,0))*O174</f>
        <v>0</v>
      </c>
      <c r="V174" s="61"/>
      <c r="W174" s="142">
        <f t="shared" si="120"/>
        <v>0</v>
      </c>
      <c r="X174" s="61">
        <f t="shared" si="121"/>
        <v>0</v>
      </c>
      <c r="Y174" s="61"/>
      <c r="Z174" s="61">
        <f>(INDEX(($AM$106:$CK$111,$AM$115:$CK$120,$AM$124:$CK$129,$AM$133:$CK$138),MATCH($L$184,$AL$106:$AL$111,0),MATCH(A185,$AM$105:$CK$105,0),MATCH($G$179,$X$128:$X$131,0)))*C185</f>
        <v>0</v>
      </c>
      <c r="AA174" s="61">
        <f>(INDEX(($AM$106:$CK$111,$AM$115:$CK$120,$AM$124:$CK$129,$AM$133:$CK$138),MATCH($L$179,$AL$106:$AL$111,0),MATCH(A185,$AM$105:$CK$105,0),MATCH($G$179,$X$128:$X$131,0)))*C185</f>
        <v>0</v>
      </c>
      <c r="AB174" s="61">
        <f>(INDEX(($AM$106:$CK$111,$AM$115:$CK$120,$AM$124:$CK$129,$AM$133:$CK$138),MATCH($L$180,$AL$106:$AL$111,0),MATCH(A185,$AM$105:$CK$105,0),MATCH($G$179,$X$128:$X$131,0)))*C185</f>
        <v>0</v>
      </c>
      <c r="AC174" s="61">
        <f>(INDEX(($AM$106:$CK$111,$AM$115:$CK$120,$AM$124:$CK$129,$AM$133:$CK$138),MATCH($L$181,$AL$106:$AL$111,0),MATCH(A185,$AM$105:$CK$105,0),MATCH($G$179,$X$128:$X$131,0)))*C185</f>
        <v>0</v>
      </c>
      <c r="AD174" s="61">
        <f>(INDEX(($AM$106:$CK$111,$AM$115:$CK$120,$AM$124:$CK$129,$AM$133:$CK$138),MATCH($L$182,$AL$106:$AL$111,0),MATCH(A185,$AM$105:$CK$105,0),MATCH($G$179,$X$128:$X$131,0)))*C185</f>
        <v>0</v>
      </c>
      <c r="AE174" s="61">
        <f>(INDEX(($AM$106:$CK$111,$AM$115:$CK$120,$AM$124:$CK$129,$AM$133:$CK$138),MATCH($L$183,$AL$106:$AL$111,0),MATCH(A185,$AM$105:$CK$105,0),MATCH($G$179,$X$128:$X$131,0)))*C185</f>
        <v>0</v>
      </c>
      <c r="AJ174" s="61"/>
      <c r="AK174" s="61"/>
      <c r="AL174" s="61" t="s">
        <v>19</v>
      </c>
      <c r="AM174" s="61">
        <v>0</v>
      </c>
      <c r="AN174" s="61">
        <v>0</v>
      </c>
      <c r="AO174" s="61">
        <v>0</v>
      </c>
      <c r="AP174" s="61">
        <v>0</v>
      </c>
      <c r="AQ174" s="61">
        <v>0</v>
      </c>
      <c r="AR174" s="61">
        <v>0</v>
      </c>
      <c r="AS174" s="61">
        <v>0</v>
      </c>
      <c r="AT174" s="61">
        <v>6</v>
      </c>
      <c r="AU174" s="61">
        <v>8</v>
      </c>
      <c r="AV174" s="61">
        <v>6</v>
      </c>
      <c r="AW174" s="61">
        <v>4</v>
      </c>
      <c r="AX174" s="61">
        <v>6</v>
      </c>
      <c r="AY174" s="61">
        <v>4</v>
      </c>
      <c r="AZ174" s="61">
        <v>16</v>
      </c>
      <c r="BA174" s="61">
        <v>16</v>
      </c>
      <c r="BB174" s="61">
        <v>0</v>
      </c>
      <c r="BC174" s="61">
        <v>16</v>
      </c>
      <c r="BD174" s="61">
        <v>0</v>
      </c>
      <c r="BE174" s="61">
        <v>0</v>
      </c>
      <c r="BF174" s="61">
        <v>12</v>
      </c>
      <c r="BG174" s="61">
        <v>12</v>
      </c>
      <c r="BH174" s="61">
        <v>26</v>
      </c>
      <c r="BI174" s="61">
        <v>18</v>
      </c>
      <c r="BJ174" s="61">
        <v>10</v>
      </c>
      <c r="BK174" s="61">
        <v>22</v>
      </c>
      <c r="BL174" s="61">
        <v>8</v>
      </c>
      <c r="BM174" s="61">
        <v>32</v>
      </c>
      <c r="BN174" s="61">
        <v>20</v>
      </c>
      <c r="BO174" s="61">
        <v>6</v>
      </c>
      <c r="BP174" s="61">
        <v>32</v>
      </c>
      <c r="BQ174" s="61">
        <v>18</v>
      </c>
      <c r="BR174" s="61">
        <v>38</v>
      </c>
      <c r="BS174" s="61">
        <v>30</v>
      </c>
      <c r="BT174" s="61">
        <v>16</v>
      </c>
      <c r="BU174" s="61">
        <v>42</v>
      </c>
      <c r="BV174" s="61">
        <v>28</v>
      </c>
      <c r="BW174" s="61">
        <v>14</v>
      </c>
      <c r="BX174" s="61">
        <v>44</v>
      </c>
      <c r="BY174" s="61">
        <v>26</v>
      </c>
      <c r="BZ174" s="61">
        <v>48</v>
      </c>
      <c r="CA174" s="61">
        <v>38</v>
      </c>
      <c r="CB174" s="61">
        <v>24</v>
      </c>
      <c r="CC174" s="61">
        <v>50</v>
      </c>
      <c r="CD174" s="61">
        <v>36</v>
      </c>
      <c r="CE174" s="61">
        <v>54</v>
      </c>
      <c r="CF174" s="61">
        <v>48</v>
      </c>
      <c r="CG174" s="61">
        <v>34</v>
      </c>
      <c r="CH174" s="61">
        <v>58</v>
      </c>
      <c r="CI174" s="61">
        <v>46</v>
      </c>
      <c r="CJ174" s="61">
        <v>44</v>
      </c>
      <c r="CK174" s="61">
        <v>58</v>
      </c>
      <c r="CL174" s="61"/>
      <c r="CM174" s="61"/>
      <c r="CN174" s="61"/>
      <c r="CO174" s="61"/>
      <c r="CP174" s="61"/>
      <c r="CQ174" s="61"/>
      <c r="CR174" s="61"/>
      <c r="CS174" s="61"/>
      <c r="CT174" s="61"/>
      <c r="CU174" s="61"/>
      <c r="CV174" s="61"/>
      <c r="CW174" s="61"/>
      <c r="CX174" s="61"/>
      <c r="CY174" s="61"/>
      <c r="CZ174" s="61"/>
      <c r="DA174" s="61"/>
      <c r="DB174" s="61"/>
      <c r="DC174" s="61"/>
      <c r="DD174" s="61"/>
      <c r="DE174" s="61"/>
      <c r="DF174" s="61"/>
      <c r="DG174" s="61"/>
      <c r="DH174" s="61"/>
      <c r="DI174" s="61"/>
      <c r="DJ174" s="61"/>
      <c r="DK174" s="61"/>
      <c r="DL174" s="61"/>
      <c r="DM174" s="61" t="s">
        <v>293</v>
      </c>
      <c r="DN174" s="61">
        <v>0</v>
      </c>
      <c r="DO174" s="61">
        <v>2</v>
      </c>
      <c r="DP174" s="61">
        <v>2</v>
      </c>
      <c r="DQ174" s="61">
        <v>0</v>
      </c>
      <c r="DR174" s="61">
        <v>4</v>
      </c>
      <c r="DS174" s="61">
        <v>2</v>
      </c>
      <c r="DT174" s="61">
        <v>0</v>
      </c>
      <c r="DU174" s="61">
        <v>4</v>
      </c>
      <c r="DV174" s="61">
        <v>2</v>
      </c>
      <c r="DW174" s="61">
        <v>0</v>
      </c>
      <c r="DX174" s="61">
        <v>4</v>
      </c>
      <c r="DY174" s="61">
        <v>2</v>
      </c>
      <c r="DZ174" s="61">
        <v>0</v>
      </c>
      <c r="EA174" s="61">
        <v>0</v>
      </c>
      <c r="EB174" s="61">
        <v>2</v>
      </c>
      <c r="EC174" s="61">
        <v>2</v>
      </c>
      <c r="ED174" s="61">
        <v>0</v>
      </c>
      <c r="EE174" s="61">
        <v>4</v>
      </c>
      <c r="EF174" s="61">
        <v>2</v>
      </c>
      <c r="EG174" s="61">
        <v>0</v>
      </c>
      <c r="EH174" s="61">
        <v>4</v>
      </c>
      <c r="EI174" s="61"/>
      <c r="EJ174" s="61"/>
      <c r="EK174" s="61"/>
      <c r="EL174" s="61"/>
      <c r="EM174" s="61"/>
      <c r="EN174" s="61"/>
      <c r="EO174" s="61"/>
      <c r="EP174" s="61"/>
      <c r="EQ174" s="61"/>
      <c r="ER174" s="61"/>
      <c r="ES174" s="61"/>
      <c r="ET174" s="61"/>
      <c r="EU174" s="61"/>
      <c r="EV174" s="61" t="s">
        <v>212</v>
      </c>
      <c r="EW174" s="61">
        <v>0</v>
      </c>
      <c r="EX174" s="61">
        <v>0</v>
      </c>
      <c r="EY174" s="61">
        <v>2</v>
      </c>
      <c r="EZ174" s="61">
        <v>0</v>
      </c>
      <c r="FA174" s="61">
        <v>4</v>
      </c>
      <c r="FB174" s="61">
        <v>0</v>
      </c>
      <c r="FC174" s="61">
        <v>0</v>
      </c>
      <c r="FD174" s="61">
        <v>2</v>
      </c>
      <c r="FE174" s="61">
        <v>2</v>
      </c>
      <c r="FF174" s="61">
        <v>0</v>
      </c>
      <c r="FG174" s="61">
        <v>4</v>
      </c>
      <c r="FH174" s="61"/>
      <c r="FI174" s="61" t="s">
        <v>10</v>
      </c>
      <c r="FJ174" s="61">
        <v>0</v>
      </c>
      <c r="FK174" s="61">
        <v>0</v>
      </c>
      <c r="FL174" s="61">
        <v>2</v>
      </c>
      <c r="FM174" s="61">
        <v>4</v>
      </c>
      <c r="FN174" s="61">
        <v>2</v>
      </c>
      <c r="FO174" s="61">
        <v>4</v>
      </c>
      <c r="FP174" s="61">
        <v>0</v>
      </c>
      <c r="FQ174" s="61">
        <v>2</v>
      </c>
      <c r="FR174" s="61">
        <v>8</v>
      </c>
      <c r="FS174" s="61">
        <v>0</v>
      </c>
      <c r="FT174" s="61">
        <v>8</v>
      </c>
      <c r="FU174" s="61"/>
      <c r="FV174" s="61" t="s">
        <v>10</v>
      </c>
      <c r="FW174" s="61">
        <v>0</v>
      </c>
      <c r="FX174" s="61">
        <v>0</v>
      </c>
      <c r="FY174" s="61">
        <v>0</v>
      </c>
      <c r="FZ174" s="61">
        <v>2</v>
      </c>
      <c r="GA174" s="61">
        <v>0</v>
      </c>
      <c r="GB174" s="61">
        <v>0</v>
      </c>
      <c r="GC174" s="61">
        <v>4</v>
      </c>
      <c r="GD174" s="61">
        <v>6</v>
      </c>
      <c r="GE174" s="61">
        <v>4</v>
      </c>
      <c r="GF174" s="61">
        <v>8</v>
      </c>
      <c r="GG174" s="61">
        <v>0</v>
      </c>
      <c r="GH174" s="61"/>
      <c r="GI174" s="61"/>
      <c r="GJ174" s="61"/>
      <c r="GK174" s="61"/>
      <c r="GL174" s="61"/>
      <c r="GM174" s="61"/>
      <c r="GN174" s="61"/>
      <c r="GO174" s="61"/>
      <c r="GP174" s="61"/>
      <c r="GQ174" s="61"/>
      <c r="GR174" s="61"/>
      <c r="GS174" s="61"/>
      <c r="GT174" s="61"/>
      <c r="GU174" s="61"/>
      <c r="GV174" s="61"/>
      <c r="GX174" s="61"/>
      <c r="GY174" s="61">
        <f>((GY173*GZ173)+((GY173-1)*20))</f>
        <v>45380</v>
      </c>
      <c r="GZ174" s="63" t="s">
        <v>158</v>
      </c>
      <c r="HA174" s="63" t="s">
        <v>156</v>
      </c>
      <c r="HB174" s="63" t="s">
        <v>155</v>
      </c>
      <c r="HC174" s="61"/>
      <c r="HD174" s="61" t="s">
        <v>870</v>
      </c>
      <c r="HV174" s="60" t="s">
        <v>825</v>
      </c>
      <c r="HW174" s="60">
        <v>0</v>
      </c>
      <c r="HX174" s="60">
        <v>0</v>
      </c>
      <c r="HY174" s="60">
        <v>0</v>
      </c>
      <c r="HZ174" s="60">
        <v>4</v>
      </c>
      <c r="IA174" s="60">
        <v>4</v>
      </c>
      <c r="IB174" s="60">
        <v>4</v>
      </c>
      <c r="IC174" s="60">
        <v>8</v>
      </c>
      <c r="ID174" s="60">
        <v>8</v>
      </c>
      <c r="IE174" s="60">
        <v>8</v>
      </c>
      <c r="IF174" s="60">
        <v>12</v>
      </c>
      <c r="IG174" s="60">
        <v>12</v>
      </c>
      <c r="IH174" s="60">
        <v>12</v>
      </c>
      <c r="II174" s="60">
        <v>16</v>
      </c>
      <c r="IJ174" s="60">
        <v>16</v>
      </c>
      <c r="IK174" s="60">
        <v>16</v>
      </c>
      <c r="IL174" s="60">
        <v>20</v>
      </c>
      <c r="IM174" s="60">
        <v>20</v>
      </c>
      <c r="IN174" s="60">
        <v>20</v>
      </c>
      <c r="IO174" s="60">
        <v>24</v>
      </c>
      <c r="IP174" s="60">
        <v>24</v>
      </c>
      <c r="IQ174" s="60">
        <v>24</v>
      </c>
      <c r="IS174" s="60" t="s">
        <v>825</v>
      </c>
      <c r="IT174" s="60">
        <f t="shared" si="69"/>
        <v>0</v>
      </c>
      <c r="IU174" s="60">
        <f t="shared" si="70"/>
        <v>0</v>
      </c>
      <c r="IV174" s="60">
        <f t="shared" si="71"/>
        <v>0</v>
      </c>
      <c r="IW174" s="60">
        <f t="shared" si="72"/>
        <v>8</v>
      </c>
      <c r="IX174" s="60">
        <f t="shared" si="73"/>
        <v>8</v>
      </c>
      <c r="IY174" s="60">
        <f t="shared" si="74"/>
        <v>8</v>
      </c>
      <c r="IZ174" s="60">
        <f t="shared" si="75"/>
        <v>16</v>
      </c>
      <c r="JA174" s="60">
        <f t="shared" si="76"/>
        <v>16</v>
      </c>
      <c r="JB174" s="60">
        <f t="shared" ref="JB174:JB211" si="122">IE174*2</f>
        <v>16</v>
      </c>
      <c r="JC174" s="60">
        <f t="shared" si="78"/>
        <v>24</v>
      </c>
      <c r="JD174" s="60">
        <f t="shared" si="79"/>
        <v>24</v>
      </c>
      <c r="JE174" s="60">
        <f t="shared" si="80"/>
        <v>24</v>
      </c>
      <c r="JF174" s="60">
        <f t="shared" si="81"/>
        <v>32</v>
      </c>
      <c r="JG174" s="60">
        <f t="shared" si="82"/>
        <v>32</v>
      </c>
      <c r="JH174" s="60">
        <f t="shared" si="83"/>
        <v>32</v>
      </c>
      <c r="JI174" s="60">
        <f t="shared" si="84"/>
        <v>40</v>
      </c>
      <c r="JJ174" s="60">
        <f t="shared" si="85"/>
        <v>40</v>
      </c>
      <c r="JK174" s="60">
        <f t="shared" si="86"/>
        <v>40</v>
      </c>
      <c r="JL174" s="60">
        <f t="shared" si="87"/>
        <v>48</v>
      </c>
      <c r="JM174" s="60">
        <f t="shared" si="88"/>
        <v>48</v>
      </c>
      <c r="JN174" s="60">
        <f t="shared" si="89"/>
        <v>48</v>
      </c>
    </row>
    <row r="175" spans="1:277" x14ac:dyDescent="0.25">
      <c r="A175" s="9"/>
      <c r="B175" s="9"/>
      <c r="C175" s="9"/>
      <c r="D175" s="9"/>
      <c r="E175" s="9"/>
      <c r="F175" s="9"/>
      <c r="G175" s="9"/>
      <c r="H175" s="9"/>
      <c r="I175" s="9"/>
      <c r="J175" s="9"/>
      <c r="K175" s="9"/>
      <c r="L175" s="6" t="s">
        <v>1019</v>
      </c>
      <c r="M175" s="11">
        <f>INDEX(cennik!$C$2:$L$529,MATCH($L175,cennik!$B$2:$B$522,0),MATCH(M$104,cennik!$C$1:$L$1,0))</f>
        <v>166794</v>
      </c>
      <c r="N175" s="11" t="str">
        <f>INDEX(cennik!$C$2:$L$529,MATCH($L175,cennik!$B$2:$B$522,0),MATCH(N$104,cennik!$C$1:$L$1,0))</f>
        <v>100 szt.</v>
      </c>
      <c r="O175" s="11">
        <f>ROUNDUP((O166/100),0)</f>
        <v>0</v>
      </c>
      <c r="P175" s="34">
        <f>INDEX(cennik!$C$2:$L$529,MATCH($L175,cennik!$B$2:$B$522,0),MATCH(P$104,cennik!$C$1:$L$1,0))</f>
        <v>3.95</v>
      </c>
      <c r="Q175" s="34">
        <f>O175*P175</f>
        <v>0</v>
      </c>
      <c r="R175" s="35">
        <f t="shared" si="114"/>
        <v>0</v>
      </c>
      <c r="S175" s="34">
        <f t="shared" si="115"/>
        <v>3.95</v>
      </c>
      <c r="T175" s="34">
        <f>O175*S175</f>
        <v>0</v>
      </c>
      <c r="U175" s="34">
        <f>INDEX(cennik!$C$2:$L$529,MATCH($L175,cennik!$B$2:$B$522,0),MATCH(U$104,cennik!$C$1:$L$1,0))*O175</f>
        <v>0</v>
      </c>
      <c r="V175" s="61"/>
      <c r="W175" s="142">
        <f t="shared" si="120"/>
        <v>0</v>
      </c>
      <c r="X175" s="61">
        <f t="shared" si="121"/>
        <v>0</v>
      </c>
      <c r="Y175" s="61"/>
      <c r="Z175" s="61">
        <f>(INDEX(($AM$106:$CK$111,$AM$115:$CK$120,$AM$124:$CK$129,$AM$133:$CK$138),MATCH($L$184,$AL$106:$AL$111,0),MATCH(A186,$AM$105:$CK$105,0),MATCH($G$179,$X$128:$X$131,0)))*C186</f>
        <v>0</v>
      </c>
      <c r="AA175" s="61">
        <f>(INDEX(($AM$106:$CK$111,$AM$115:$CK$120,$AM$124:$CK$129,$AM$133:$CK$138),MATCH($L$179,$AL$106:$AL$111,0),MATCH(A186,$AM$105:$CK$105,0),MATCH($G$179,$X$128:$X$131,0)))*C186</f>
        <v>0</v>
      </c>
      <c r="AB175" s="61">
        <f>(INDEX(($AM$106:$CK$111,$AM$115:$CK$120,$AM$124:$CK$129,$AM$133:$CK$138),MATCH($L$180,$AL$106:$AL$111,0),MATCH(A186,$AM$105:$CK$105,0),MATCH($G$179,$X$128:$X$131,0)))*C186</f>
        <v>0</v>
      </c>
      <c r="AC175" s="61">
        <f>(INDEX(($AM$106:$CK$111,$AM$115:$CK$120,$AM$124:$CK$129,$AM$133:$CK$138),MATCH($L$181,$AL$106:$AL$111,0),MATCH(A186,$AM$105:$CK$105,0),MATCH($G$179,$X$128:$X$131,0)))*C186</f>
        <v>0</v>
      </c>
      <c r="AD175" s="61">
        <f>(INDEX(($AM$106:$CK$111,$AM$115:$CK$120,$AM$124:$CK$129,$AM$133:$CK$138),MATCH($L$182,$AL$106:$AL$111,0),MATCH(A186,$AM$105:$CK$105,0),MATCH($G$179,$X$128:$X$131,0)))*C186</f>
        <v>0</v>
      </c>
      <c r="AE175" s="61">
        <f>(INDEX(($AM$106:$CK$111,$AM$115:$CK$120,$AM$124:$CK$129,$AM$133:$CK$138),MATCH($L$183,$AL$106:$AL$111,0),MATCH(A186,$AM$105:$CK$105,0),MATCH($G$179,$X$128:$X$131,0)))*C186</f>
        <v>0</v>
      </c>
      <c r="AJ175" s="61"/>
      <c r="AK175" s="61"/>
      <c r="AL175" s="61" t="s">
        <v>408</v>
      </c>
      <c r="AM175" s="61">
        <v>0</v>
      </c>
      <c r="AN175" s="61">
        <f t="shared" ref="AN175:BS175" si="123">((((SUM(AN170:AN174))/2)-1))*4</f>
        <v>0</v>
      </c>
      <c r="AO175" s="61">
        <f t="shared" si="123"/>
        <v>4</v>
      </c>
      <c r="AP175" s="61">
        <f t="shared" si="123"/>
        <v>4</v>
      </c>
      <c r="AQ175" s="61">
        <f t="shared" si="123"/>
        <v>8</v>
      </c>
      <c r="AR175" s="61">
        <f t="shared" si="123"/>
        <v>12</v>
      </c>
      <c r="AS175" s="61">
        <f t="shared" si="123"/>
        <v>12</v>
      </c>
      <c r="AT175" s="61">
        <f t="shared" si="123"/>
        <v>16</v>
      </c>
      <c r="AU175" s="61">
        <f t="shared" si="123"/>
        <v>16</v>
      </c>
      <c r="AV175" s="61">
        <f t="shared" si="123"/>
        <v>20</v>
      </c>
      <c r="AW175" s="61">
        <f t="shared" si="123"/>
        <v>24</v>
      </c>
      <c r="AX175" s="61">
        <f t="shared" si="123"/>
        <v>24</v>
      </c>
      <c r="AY175" s="61">
        <f t="shared" si="123"/>
        <v>28</v>
      </c>
      <c r="AZ175" s="61">
        <f t="shared" si="123"/>
        <v>28</v>
      </c>
      <c r="BA175" s="61">
        <f t="shared" si="123"/>
        <v>32</v>
      </c>
      <c r="BB175" s="61">
        <f t="shared" si="123"/>
        <v>36</v>
      </c>
      <c r="BC175" s="61">
        <f t="shared" si="123"/>
        <v>36</v>
      </c>
      <c r="BD175" s="61">
        <f t="shared" si="123"/>
        <v>40</v>
      </c>
      <c r="BE175" s="61">
        <f t="shared" si="123"/>
        <v>44</v>
      </c>
      <c r="BF175" s="61">
        <f t="shared" si="123"/>
        <v>44</v>
      </c>
      <c r="BG175" s="61">
        <f t="shared" si="123"/>
        <v>48</v>
      </c>
      <c r="BH175" s="61">
        <f t="shared" si="123"/>
        <v>48</v>
      </c>
      <c r="BI175" s="61">
        <f t="shared" si="123"/>
        <v>52</v>
      </c>
      <c r="BJ175" s="61">
        <f t="shared" si="123"/>
        <v>56</v>
      </c>
      <c r="BK175" s="61">
        <f t="shared" si="123"/>
        <v>56</v>
      </c>
      <c r="BL175" s="61">
        <f t="shared" si="123"/>
        <v>60</v>
      </c>
      <c r="BM175" s="61">
        <f t="shared" si="123"/>
        <v>60</v>
      </c>
      <c r="BN175" s="61">
        <f t="shared" si="123"/>
        <v>64</v>
      </c>
      <c r="BO175" s="61">
        <f t="shared" si="123"/>
        <v>68</v>
      </c>
      <c r="BP175" s="61">
        <f t="shared" si="123"/>
        <v>68</v>
      </c>
      <c r="BQ175" s="61">
        <f t="shared" si="123"/>
        <v>72</v>
      </c>
      <c r="BR175" s="61">
        <f t="shared" si="123"/>
        <v>72</v>
      </c>
      <c r="BS175" s="61">
        <f t="shared" si="123"/>
        <v>76</v>
      </c>
      <c r="BT175" s="61">
        <f t="shared" ref="BT175:CK175" si="124">((((SUM(BT170:BT174))/2)-1))*4</f>
        <v>80</v>
      </c>
      <c r="BU175" s="61">
        <f t="shared" si="124"/>
        <v>80</v>
      </c>
      <c r="BV175" s="61">
        <f t="shared" si="124"/>
        <v>84</v>
      </c>
      <c r="BW175" s="61">
        <f t="shared" si="124"/>
        <v>88</v>
      </c>
      <c r="BX175" s="61">
        <f t="shared" si="124"/>
        <v>88</v>
      </c>
      <c r="BY175" s="61">
        <f t="shared" si="124"/>
        <v>92</v>
      </c>
      <c r="BZ175" s="61">
        <f t="shared" si="124"/>
        <v>92</v>
      </c>
      <c r="CA175" s="61">
        <f t="shared" si="124"/>
        <v>96</v>
      </c>
      <c r="CB175" s="61">
        <f t="shared" si="124"/>
        <v>100</v>
      </c>
      <c r="CC175" s="61">
        <f t="shared" si="124"/>
        <v>100</v>
      </c>
      <c r="CD175" s="61">
        <f t="shared" si="124"/>
        <v>104</v>
      </c>
      <c r="CE175" s="61">
        <f t="shared" si="124"/>
        <v>104</v>
      </c>
      <c r="CF175" s="61">
        <f t="shared" si="124"/>
        <v>108</v>
      </c>
      <c r="CG175" s="61">
        <f t="shared" si="124"/>
        <v>112</v>
      </c>
      <c r="CH175" s="61">
        <f t="shared" si="124"/>
        <v>112</v>
      </c>
      <c r="CI175" s="61">
        <f t="shared" si="124"/>
        <v>116</v>
      </c>
      <c r="CJ175" s="61">
        <f t="shared" si="124"/>
        <v>120</v>
      </c>
      <c r="CK175" s="61">
        <f t="shared" si="124"/>
        <v>120</v>
      </c>
      <c r="CL175" s="61"/>
      <c r="CM175" s="61"/>
      <c r="CN175" s="61"/>
      <c r="CO175" s="61"/>
      <c r="CP175" s="61"/>
      <c r="CQ175" s="61"/>
      <c r="CR175" s="61"/>
      <c r="CS175" s="61"/>
      <c r="CT175" s="61"/>
      <c r="CU175" s="61"/>
      <c r="CV175" s="61"/>
      <c r="CW175" s="61"/>
      <c r="CX175" s="61"/>
      <c r="CY175" s="61"/>
      <c r="CZ175" s="61"/>
      <c r="DA175" s="61"/>
      <c r="DB175" s="61"/>
      <c r="DC175" s="61"/>
      <c r="DD175" s="61"/>
      <c r="DE175" s="61"/>
      <c r="DF175" s="61"/>
      <c r="DG175" s="61"/>
      <c r="DH175" s="61"/>
      <c r="DI175" s="61"/>
      <c r="DJ175" s="61"/>
      <c r="DK175" s="61"/>
      <c r="DL175" s="61"/>
      <c r="DM175" s="61" t="s">
        <v>212</v>
      </c>
      <c r="DN175" s="61">
        <v>0</v>
      </c>
      <c r="DO175" s="61">
        <v>0</v>
      </c>
      <c r="DP175" s="61">
        <v>0</v>
      </c>
      <c r="DQ175" s="61">
        <v>2</v>
      </c>
      <c r="DR175" s="61">
        <v>0</v>
      </c>
      <c r="DS175" s="61">
        <v>2</v>
      </c>
      <c r="DT175" s="61">
        <v>4</v>
      </c>
      <c r="DU175" s="61">
        <v>2</v>
      </c>
      <c r="DV175" s="61">
        <v>4</v>
      </c>
      <c r="DW175" s="61">
        <v>6</v>
      </c>
      <c r="DX175" s="61">
        <v>4</v>
      </c>
      <c r="DY175" s="61">
        <v>6</v>
      </c>
      <c r="DZ175" s="61">
        <v>8</v>
      </c>
      <c r="EA175" s="61">
        <v>8</v>
      </c>
      <c r="EB175" s="61">
        <v>8</v>
      </c>
      <c r="EC175" s="61">
        <v>8</v>
      </c>
      <c r="ED175" s="61">
        <v>10</v>
      </c>
      <c r="EE175" s="61">
        <v>8</v>
      </c>
      <c r="EF175" s="61">
        <v>10</v>
      </c>
      <c r="EG175" s="61">
        <v>12</v>
      </c>
      <c r="EH175" s="61">
        <v>10</v>
      </c>
      <c r="EI175" s="61"/>
      <c r="EJ175" s="61"/>
      <c r="EK175" s="61"/>
      <c r="EL175" s="61"/>
      <c r="EM175" s="61"/>
      <c r="EN175" s="61"/>
      <c r="EO175" s="61"/>
      <c r="EP175" s="61"/>
      <c r="EQ175" s="61"/>
      <c r="ER175" s="61"/>
      <c r="ES175" s="61"/>
      <c r="ET175" s="61"/>
      <c r="EU175" s="61"/>
      <c r="EV175" s="61" t="s">
        <v>214</v>
      </c>
      <c r="EW175" s="61">
        <v>0</v>
      </c>
      <c r="EX175" s="61">
        <v>0</v>
      </c>
      <c r="EY175" s="61">
        <v>0</v>
      </c>
      <c r="EZ175" s="61">
        <v>2</v>
      </c>
      <c r="FA175" s="61">
        <v>0</v>
      </c>
      <c r="FB175" s="61">
        <v>2</v>
      </c>
      <c r="FC175" s="61">
        <v>4</v>
      </c>
      <c r="FD175" s="61">
        <v>4</v>
      </c>
      <c r="FE175" s="61">
        <v>4</v>
      </c>
      <c r="FF175" s="61">
        <v>2</v>
      </c>
      <c r="FG175" s="61">
        <v>4</v>
      </c>
      <c r="FH175" s="61"/>
      <c r="FI175" s="61" t="s">
        <v>212</v>
      </c>
      <c r="FJ175" s="61">
        <v>0</v>
      </c>
      <c r="FK175" s="61">
        <v>0</v>
      </c>
      <c r="FL175" s="61">
        <v>0</v>
      </c>
      <c r="FM175" s="61">
        <v>0</v>
      </c>
      <c r="FN175" s="61">
        <v>0</v>
      </c>
      <c r="FO175" s="61">
        <v>0</v>
      </c>
      <c r="FP175" s="61">
        <v>4</v>
      </c>
      <c r="FQ175" s="61">
        <v>6</v>
      </c>
      <c r="FR175" s="61">
        <v>2</v>
      </c>
      <c r="FS175" s="61">
        <v>10</v>
      </c>
      <c r="FT175" s="61">
        <v>0</v>
      </c>
      <c r="FU175" s="61"/>
      <c r="FV175" s="61" t="s">
        <v>212</v>
      </c>
      <c r="FW175" s="61">
        <v>0</v>
      </c>
      <c r="FX175" s="61">
        <v>0</v>
      </c>
      <c r="FY175" s="61">
        <v>2</v>
      </c>
      <c r="FZ175" s="61">
        <v>2</v>
      </c>
      <c r="GA175" s="61">
        <v>0</v>
      </c>
      <c r="GB175" s="61">
        <v>4</v>
      </c>
      <c r="GC175" s="61">
        <v>4</v>
      </c>
      <c r="GD175" s="61">
        <v>0</v>
      </c>
      <c r="GE175" s="61">
        <v>0</v>
      </c>
      <c r="GF175" s="61">
        <v>2</v>
      </c>
      <c r="GG175" s="61">
        <v>8</v>
      </c>
      <c r="GH175" s="61"/>
      <c r="GI175" s="61"/>
      <c r="GJ175" s="61"/>
      <c r="GK175" s="61"/>
      <c r="GL175" s="61"/>
      <c r="GM175" s="61"/>
      <c r="GN175" s="61"/>
      <c r="GO175" s="61"/>
      <c r="GP175" s="61"/>
      <c r="GQ175" s="61"/>
      <c r="GR175" s="61"/>
      <c r="GS175" s="61"/>
      <c r="GT175" s="61"/>
      <c r="GU175" s="61"/>
      <c r="GV175" s="61"/>
      <c r="GX175" s="61">
        <v>1800</v>
      </c>
      <c r="GY175" s="61">
        <v>1600</v>
      </c>
      <c r="GZ175" s="61">
        <v>1</v>
      </c>
      <c r="HA175" s="61">
        <f>GY175*GZ175</f>
        <v>1600</v>
      </c>
      <c r="HB175" s="144">
        <v>29.72</v>
      </c>
      <c r="HC175" s="61">
        <f>GZ175*HB175</f>
        <v>29.72</v>
      </c>
      <c r="HD175" s="61">
        <f>GZ175</f>
        <v>1</v>
      </c>
      <c r="HV175" s="60" t="s">
        <v>853</v>
      </c>
      <c r="HW175" s="60">
        <v>0</v>
      </c>
      <c r="HX175" s="60">
        <v>0</v>
      </c>
      <c r="HY175" s="60">
        <v>2</v>
      </c>
      <c r="HZ175" s="60">
        <v>2</v>
      </c>
      <c r="IA175" s="60">
        <v>4</v>
      </c>
      <c r="IB175" s="60">
        <v>6</v>
      </c>
      <c r="IC175" s="60">
        <v>6</v>
      </c>
      <c r="ID175" s="60">
        <v>8</v>
      </c>
      <c r="IE175" s="60">
        <v>10</v>
      </c>
      <c r="IF175" s="60">
        <v>10</v>
      </c>
      <c r="IG175" s="60">
        <v>12</v>
      </c>
      <c r="IH175" s="60">
        <v>14</v>
      </c>
      <c r="II175" s="60">
        <v>14</v>
      </c>
      <c r="IJ175" s="60">
        <v>16</v>
      </c>
      <c r="IK175" s="60">
        <v>18</v>
      </c>
      <c r="IL175" s="60">
        <v>18</v>
      </c>
      <c r="IM175" s="60">
        <v>20</v>
      </c>
      <c r="IN175" s="60">
        <v>22</v>
      </c>
      <c r="IO175" s="60">
        <v>22</v>
      </c>
      <c r="IP175" s="60">
        <v>24</v>
      </c>
      <c r="IQ175" s="60">
        <v>26</v>
      </c>
      <c r="IS175" s="60" t="s">
        <v>853</v>
      </c>
      <c r="IT175" s="60">
        <f t="shared" ref="IT175:IT211" si="125">HW175*2</f>
        <v>0</v>
      </c>
      <c r="IU175" s="60">
        <f t="shared" ref="IU175:IU211" si="126">HX175*2</f>
        <v>0</v>
      </c>
      <c r="IV175" s="60">
        <f t="shared" ref="IV175:IV211" si="127">HY175*2</f>
        <v>4</v>
      </c>
      <c r="IW175" s="60">
        <f t="shared" ref="IW175:IW211" si="128">HZ175*2</f>
        <v>4</v>
      </c>
      <c r="IX175" s="60">
        <f t="shared" ref="IX175:IX211" si="129">IA175*2</f>
        <v>8</v>
      </c>
      <c r="IY175" s="60">
        <f t="shared" ref="IY175:IY211" si="130">IB175*2</f>
        <v>12</v>
      </c>
      <c r="IZ175" s="60">
        <f t="shared" ref="IZ175:IZ211" si="131">IC175*2</f>
        <v>12</v>
      </c>
      <c r="JA175" s="60">
        <f t="shared" ref="JA175:JA211" si="132">ID175*2</f>
        <v>16</v>
      </c>
      <c r="JB175" s="60">
        <f t="shared" si="122"/>
        <v>20</v>
      </c>
      <c r="JC175" s="60">
        <f t="shared" ref="JC175:JC211" si="133">IF175*2</f>
        <v>20</v>
      </c>
      <c r="JD175" s="60">
        <f t="shared" ref="JD175:JD211" si="134">IG175*2</f>
        <v>24</v>
      </c>
      <c r="JE175" s="60">
        <f t="shared" ref="JE175:JE211" si="135">IH175*2</f>
        <v>28</v>
      </c>
      <c r="JF175" s="60">
        <f t="shared" ref="JF175:JF211" si="136">II175*2</f>
        <v>28</v>
      </c>
      <c r="JG175" s="60">
        <f t="shared" ref="JG175:JG211" si="137">IJ175*2</f>
        <v>32</v>
      </c>
      <c r="JH175" s="60">
        <f t="shared" ref="JH175:JH211" si="138">IK175*2</f>
        <v>36</v>
      </c>
      <c r="JI175" s="60">
        <f t="shared" ref="JI175:JI211" si="139">IL175*2</f>
        <v>36</v>
      </c>
      <c r="JJ175" s="60">
        <f t="shared" ref="JJ175:JJ211" si="140">IM175*2</f>
        <v>40</v>
      </c>
      <c r="JK175" s="60">
        <f t="shared" ref="JK175:JK211" si="141">IN175*2</f>
        <v>44</v>
      </c>
      <c r="JL175" s="60">
        <f t="shared" ref="JL175:JL211" si="142">IO175*2</f>
        <v>44</v>
      </c>
      <c r="JM175" s="60">
        <f t="shared" ref="JM175:JM211" si="143">IP175*2</f>
        <v>48</v>
      </c>
      <c r="JN175" s="60">
        <f t="shared" ref="JN175:JN211" si="144">IQ175*2</f>
        <v>52</v>
      </c>
    </row>
    <row r="176" spans="1:277" x14ac:dyDescent="0.25">
      <c r="A176" s="9"/>
      <c r="B176" s="9"/>
      <c r="C176" s="9"/>
      <c r="D176" s="9"/>
      <c r="E176" s="9"/>
      <c r="F176" s="9"/>
      <c r="G176" s="9"/>
      <c r="H176" s="9"/>
      <c r="I176" s="9"/>
      <c r="J176" s="9"/>
      <c r="K176" s="9"/>
      <c r="L176" s="9"/>
      <c r="M176" s="9"/>
      <c r="N176" s="9"/>
      <c r="O176" s="9"/>
      <c r="P176" s="9"/>
      <c r="Q176" s="9"/>
      <c r="R176" s="9"/>
      <c r="S176" s="9"/>
      <c r="T176" s="34">
        <f>SUM(T152:T175)</f>
        <v>0</v>
      </c>
      <c r="U176" s="34">
        <f>SUM(U152:U175)</f>
        <v>0</v>
      </c>
      <c r="V176" s="61"/>
      <c r="W176" s="142">
        <f t="shared" si="120"/>
        <v>0</v>
      </c>
      <c r="X176" s="61">
        <f t="shared" si="121"/>
        <v>0</v>
      </c>
      <c r="Y176" s="61"/>
      <c r="Z176" s="61">
        <f>(INDEX(($AM$106:$CK$111,$AM$115:$CK$120,$AM$124:$CK$129,$AM$133:$CK$138),MATCH($L$184,$AL$106:$AL$111,0),MATCH(A187,$AM$105:$CK$105,0),MATCH($G$179,$X$128:$X$131,0)))*C187</f>
        <v>0</v>
      </c>
      <c r="AA176" s="61">
        <f>(INDEX(($AM$106:$CK$111,$AM$115:$CK$120,$AM$124:$CK$129,$AM$133:$CK$138),MATCH($L$179,$AL$106:$AL$111,0),MATCH(A187,$AM$105:$CK$105,0),MATCH($G$179,$X$128:$X$131,0)))*C187</f>
        <v>0</v>
      </c>
      <c r="AB176" s="61">
        <f>(INDEX(($AM$106:$CK$111,$AM$115:$CK$120,$AM$124:$CK$129,$AM$133:$CK$138),MATCH($L$180,$AL$106:$AL$111,0),MATCH(A187,$AM$105:$CK$105,0),MATCH($G$179,$X$128:$X$131,0)))*C187</f>
        <v>0</v>
      </c>
      <c r="AC176" s="61">
        <f>(INDEX(($AM$106:$CK$111,$AM$115:$CK$120,$AM$124:$CK$129,$AM$133:$CK$138),MATCH($L$181,$AL$106:$AL$111,0),MATCH(A187,$AM$105:$CK$105,0),MATCH($G$179,$X$128:$X$131,0)))*C187</f>
        <v>0</v>
      </c>
      <c r="AD176" s="61">
        <f>(INDEX(($AM$106:$CK$111,$AM$115:$CK$120,$AM$124:$CK$129,$AM$133:$CK$138),MATCH($L$182,$AL$106:$AL$111,0),MATCH(A187,$AM$105:$CK$105,0),MATCH($G$179,$X$128:$X$131,0)))*C187</f>
        <v>0</v>
      </c>
      <c r="AE176" s="61">
        <f>(INDEX(($AM$106:$CK$111,$AM$115:$CK$120,$AM$124:$CK$129,$AM$133:$CK$138),MATCH($L$183,$AL$106:$AL$111,0),MATCH(A187,$AM$105:$CK$105,0),MATCH($G$179,$X$128:$X$131,0)))*C187</f>
        <v>0</v>
      </c>
      <c r="AJ176" s="61"/>
      <c r="AK176" s="61"/>
      <c r="AL176" s="61"/>
      <c r="AM176" s="61"/>
      <c r="AN176" s="61"/>
      <c r="AO176" s="61"/>
      <c r="AP176" s="61"/>
      <c r="AQ176" s="61"/>
      <c r="AR176" s="61"/>
      <c r="AS176" s="61"/>
      <c r="AT176" s="61"/>
      <c r="AU176" s="61"/>
      <c r="AV176" s="61"/>
      <c r="AW176" s="61"/>
      <c r="AX176" s="61"/>
      <c r="AY176" s="61"/>
      <c r="AZ176" s="61"/>
      <c r="BA176" s="61"/>
      <c r="BB176" s="61"/>
      <c r="BC176" s="61"/>
      <c r="BD176" s="61"/>
      <c r="BE176" s="61"/>
      <c r="BF176" s="61"/>
      <c r="BG176" s="61"/>
      <c r="BH176" s="61"/>
      <c r="BI176" s="61"/>
      <c r="BJ176" s="61"/>
      <c r="BK176" s="61"/>
      <c r="BL176" s="61"/>
      <c r="BM176" s="61"/>
      <c r="BN176" s="61"/>
      <c r="BO176" s="61"/>
      <c r="BP176" s="61"/>
      <c r="BQ176" s="61"/>
      <c r="BR176" s="61"/>
      <c r="BS176" s="61"/>
      <c r="BT176" s="61"/>
      <c r="BU176" s="61"/>
      <c r="BV176" s="61"/>
      <c r="BW176" s="61"/>
      <c r="BX176" s="61"/>
      <c r="BY176" s="61"/>
      <c r="BZ176" s="61"/>
      <c r="CA176" s="61"/>
      <c r="CB176" s="61"/>
      <c r="CC176" s="61"/>
      <c r="CD176" s="61"/>
      <c r="CE176" s="61"/>
      <c r="CF176" s="61"/>
      <c r="CG176" s="61"/>
      <c r="CH176" s="61"/>
      <c r="CI176" s="61"/>
      <c r="CJ176" s="61"/>
      <c r="CK176" s="61"/>
      <c r="CL176" s="61"/>
      <c r="CM176" s="61" t="s">
        <v>114</v>
      </c>
      <c r="CN176" s="61">
        <v>0</v>
      </c>
      <c r="CO176" s="61">
        <v>1</v>
      </c>
      <c r="CP176" s="61">
        <v>2</v>
      </c>
      <c r="CQ176" s="61">
        <v>3</v>
      </c>
      <c r="CR176" s="61">
        <v>4</v>
      </c>
      <c r="CS176" s="61">
        <v>5</v>
      </c>
      <c r="CT176" s="61">
        <v>6</v>
      </c>
      <c r="CU176" s="61">
        <v>7</v>
      </c>
      <c r="CV176" s="61">
        <v>8</v>
      </c>
      <c r="CW176" s="61">
        <v>9</v>
      </c>
      <c r="CX176" s="61">
        <v>10</v>
      </c>
      <c r="CY176" s="61">
        <v>11</v>
      </c>
      <c r="CZ176" s="61">
        <v>12</v>
      </c>
      <c r="DA176" s="61">
        <v>13</v>
      </c>
      <c r="DB176" s="61">
        <v>14</v>
      </c>
      <c r="DC176" s="61">
        <v>15</v>
      </c>
      <c r="DD176" s="61">
        <v>16</v>
      </c>
      <c r="DE176" s="61">
        <v>17</v>
      </c>
      <c r="DF176" s="61">
        <v>18</v>
      </c>
      <c r="DG176" s="61">
        <v>19</v>
      </c>
      <c r="DH176" s="61">
        <v>20</v>
      </c>
      <c r="DI176" s="61"/>
      <c r="DJ176" s="61"/>
      <c r="DK176" s="61"/>
      <c r="DL176" s="61"/>
      <c r="DM176" s="61" t="s">
        <v>11</v>
      </c>
      <c r="DN176" s="61">
        <v>0</v>
      </c>
      <c r="DO176" s="61">
        <v>0</v>
      </c>
      <c r="DP176" s="61">
        <v>0</v>
      </c>
      <c r="DQ176" s="61">
        <v>0</v>
      </c>
      <c r="DR176" s="61">
        <v>2</v>
      </c>
      <c r="DS176" s="61">
        <v>2</v>
      </c>
      <c r="DT176" s="61">
        <v>2</v>
      </c>
      <c r="DU176" s="61">
        <v>4</v>
      </c>
      <c r="DV176" s="61">
        <v>4</v>
      </c>
      <c r="DW176" s="61">
        <v>4</v>
      </c>
      <c r="DX176" s="61">
        <v>6</v>
      </c>
      <c r="DY176" s="61">
        <v>6</v>
      </c>
      <c r="DZ176" s="61">
        <v>6</v>
      </c>
      <c r="EA176" s="61">
        <v>6</v>
      </c>
      <c r="EB176" s="61">
        <v>8</v>
      </c>
      <c r="EC176" s="61">
        <v>8</v>
      </c>
      <c r="ED176" s="61">
        <v>8</v>
      </c>
      <c r="EE176" s="61">
        <v>10</v>
      </c>
      <c r="EF176" s="61">
        <v>10</v>
      </c>
      <c r="EG176" s="61">
        <v>10</v>
      </c>
      <c r="EH176" s="61">
        <v>12</v>
      </c>
      <c r="EI176" s="61"/>
      <c r="EJ176" s="61"/>
      <c r="EK176" s="61"/>
      <c r="EL176" s="61"/>
      <c r="EM176" s="61"/>
      <c r="EN176" s="61"/>
      <c r="EO176" s="61"/>
      <c r="EP176" s="61"/>
      <c r="EQ176" s="61"/>
      <c r="ER176" s="61"/>
      <c r="ES176" s="61"/>
      <c r="ET176" s="61"/>
      <c r="EU176" s="61"/>
      <c r="EV176" s="61" t="s">
        <v>11</v>
      </c>
      <c r="EW176" s="61">
        <v>0</v>
      </c>
      <c r="EX176" s="61">
        <v>0</v>
      </c>
      <c r="EY176" s="61">
        <v>0</v>
      </c>
      <c r="EZ176" s="61">
        <v>2</v>
      </c>
      <c r="FA176" s="61">
        <v>2</v>
      </c>
      <c r="FB176" s="61">
        <v>4</v>
      </c>
      <c r="FC176" s="61">
        <v>4</v>
      </c>
      <c r="FD176" s="61">
        <v>6</v>
      </c>
      <c r="FE176" s="61">
        <v>6</v>
      </c>
      <c r="FF176" s="61">
        <v>8</v>
      </c>
      <c r="FG176" s="61">
        <v>8</v>
      </c>
      <c r="FH176" s="61"/>
      <c r="FI176" s="61" t="s">
        <v>214</v>
      </c>
      <c r="FJ176" s="61">
        <v>0</v>
      </c>
      <c r="FK176" s="61">
        <v>0</v>
      </c>
      <c r="FL176" s="61">
        <v>0</v>
      </c>
      <c r="FM176" s="61">
        <v>0</v>
      </c>
      <c r="FN176" s="61">
        <v>2</v>
      </c>
      <c r="FO176" s="61">
        <v>2</v>
      </c>
      <c r="FP176" s="61">
        <v>2</v>
      </c>
      <c r="FQ176" s="61">
        <v>0</v>
      </c>
      <c r="FR176" s="61">
        <v>0</v>
      </c>
      <c r="FS176" s="61">
        <v>0</v>
      </c>
      <c r="FT176" s="61">
        <v>4</v>
      </c>
      <c r="FU176" s="61"/>
      <c r="FV176" s="61" t="s">
        <v>214</v>
      </c>
      <c r="FW176" s="61">
        <v>0</v>
      </c>
      <c r="FX176" s="61">
        <v>0</v>
      </c>
      <c r="FY176" s="61">
        <v>0</v>
      </c>
      <c r="FZ176" s="61">
        <v>0</v>
      </c>
      <c r="GA176" s="61">
        <v>4</v>
      </c>
      <c r="GB176" s="61">
        <v>2</v>
      </c>
      <c r="GC176" s="61">
        <v>0</v>
      </c>
      <c r="GD176" s="61">
        <v>2</v>
      </c>
      <c r="GE176" s="61">
        <v>6</v>
      </c>
      <c r="GF176" s="61">
        <v>2</v>
      </c>
      <c r="GG176" s="61">
        <v>4</v>
      </c>
      <c r="GH176" s="61"/>
      <c r="GI176" s="61"/>
      <c r="GJ176" s="61"/>
      <c r="GK176" s="61"/>
      <c r="GL176" s="61"/>
      <c r="GM176" s="61"/>
      <c r="GN176" s="61"/>
      <c r="GO176" s="61"/>
      <c r="GP176" s="61"/>
      <c r="GQ176" s="61"/>
      <c r="GR176" s="61"/>
      <c r="GS176" s="61"/>
      <c r="GT176" s="61"/>
      <c r="GU176" s="61"/>
      <c r="GV176" s="61"/>
      <c r="GX176" s="61">
        <v>2120</v>
      </c>
      <c r="GY176" s="61">
        <v>1920</v>
      </c>
      <c r="GZ176" s="61">
        <v>23</v>
      </c>
      <c r="HA176" s="61">
        <f t="shared" ref="HA176" si="145">GY176*GZ176</f>
        <v>44160</v>
      </c>
      <c r="HB176" s="144">
        <v>36.159999999999997</v>
      </c>
      <c r="HC176" s="61">
        <f>GZ176*HB176</f>
        <v>831.68</v>
      </c>
      <c r="HD176" s="61">
        <f>GZ176</f>
        <v>23</v>
      </c>
    </row>
    <row r="177" spans="1:274" ht="51.75" x14ac:dyDescent="0.25">
      <c r="A177" s="3" t="s">
        <v>120</v>
      </c>
      <c r="B177" s="3"/>
      <c r="C177" s="3" t="s">
        <v>121</v>
      </c>
      <c r="D177" s="9"/>
      <c r="E177" s="9"/>
      <c r="F177" s="9"/>
      <c r="G177" s="9"/>
      <c r="H177" s="9"/>
      <c r="I177" s="9"/>
      <c r="J177" s="9"/>
      <c r="K177" s="9"/>
      <c r="L177" s="360" t="str">
        <f>IF(E182="kotwiona","KONSTRUKCJA DP-DTAVKN",IF(E182="balastowa","KONSTRUKCJA DP-DTAVBN"))</f>
        <v>KONSTRUKCJA DP-DTAVBN</v>
      </c>
      <c r="M177" s="360"/>
      <c r="N177" s="360"/>
      <c r="O177" s="360"/>
      <c r="P177" s="360"/>
      <c r="Q177" s="360"/>
      <c r="R177" s="360"/>
      <c r="S177" s="360"/>
      <c r="T177" s="360"/>
      <c r="U177" s="360"/>
      <c r="V177" s="61"/>
      <c r="W177" s="142">
        <f t="shared" si="120"/>
        <v>0</v>
      </c>
      <c r="X177" s="61">
        <f t="shared" si="121"/>
        <v>0</v>
      </c>
      <c r="Y177" s="61"/>
      <c r="Z177" s="61">
        <f>(INDEX(($AM$106:$CK$111,$AM$115:$CK$120,$AM$124:$CK$129,$AM$133:$CK$138),MATCH($L$184,$AL$106:$AL$111,0),MATCH(A188,$AM$105:$CK$105,0),MATCH($G$179,$X$128:$X$131,0)))*C188</f>
        <v>0</v>
      </c>
      <c r="AA177" s="61">
        <f>(INDEX(($AM$106:$CK$111,$AM$115:$CK$120,$AM$124:$CK$129,$AM$133:$CK$138),MATCH($L$179,$AL$106:$AL$111,0),MATCH(A188,$AM$105:$CK$105,0),MATCH($G$179,$X$128:$X$131,0)))*C188</f>
        <v>0</v>
      </c>
      <c r="AB177" s="61">
        <f>(INDEX(($AM$106:$CK$111,$AM$115:$CK$120,$AM$124:$CK$129,$AM$133:$CK$138),MATCH($L$180,$AL$106:$AL$111,0),MATCH(A188,$AM$105:$CK$105,0),MATCH($G$179,$X$128:$X$131,0)))*C188</f>
        <v>0</v>
      </c>
      <c r="AC177" s="61">
        <f>(INDEX(($AM$106:$CK$111,$AM$115:$CK$120,$AM$124:$CK$129,$AM$133:$CK$138),MATCH($L$181,$AL$106:$AL$111,0),MATCH(A188,$AM$105:$CK$105,0),MATCH($G$179,$X$128:$X$131,0)))*C188</f>
        <v>0</v>
      </c>
      <c r="AD177" s="61">
        <f>(INDEX(($AM$106:$CK$111,$AM$115:$CK$120,$AM$124:$CK$129,$AM$133:$CK$138),MATCH($L$182,$AL$106:$AL$111,0),MATCH(A188,$AM$105:$CK$105,0),MATCH($G$179,$X$128:$X$131,0)))*C188</f>
        <v>0</v>
      </c>
      <c r="AE177" s="61">
        <f>(INDEX(($AM$106:$CK$111,$AM$115:$CK$120,$AM$124:$CK$129,$AM$133:$CK$138),MATCH($L$183,$AL$106:$AL$111,0),MATCH(A188,$AM$105:$CK$105,0),MATCH($G$179,$X$128:$X$131,0)))*C188</f>
        <v>0</v>
      </c>
      <c r="AF177" s="61"/>
      <c r="AG177" s="61"/>
      <c r="AH177" s="61"/>
      <c r="AI177" s="61"/>
      <c r="AJ177" s="61"/>
      <c r="AK177" s="61"/>
      <c r="AL177" s="61" t="s">
        <v>137</v>
      </c>
      <c r="AM177" s="61"/>
      <c r="AN177" s="61"/>
      <c r="AO177" s="61"/>
      <c r="AP177" s="61"/>
      <c r="AQ177" s="61"/>
      <c r="AR177" s="61"/>
      <c r="AS177" s="61"/>
      <c r="AT177" s="61"/>
      <c r="AU177" s="61"/>
      <c r="AV177" s="61"/>
      <c r="AW177" s="61"/>
      <c r="AX177" s="61"/>
      <c r="AY177" s="61"/>
      <c r="AZ177" s="61"/>
      <c r="BA177" s="61"/>
      <c r="BB177" s="61"/>
      <c r="BC177" s="61"/>
      <c r="BD177" s="61"/>
      <c r="BE177" s="61"/>
      <c r="BF177" s="61"/>
      <c r="BG177" s="61"/>
      <c r="BH177" s="61"/>
      <c r="BI177" s="61"/>
      <c r="BJ177" s="61"/>
      <c r="BK177" s="61"/>
      <c r="BL177" s="61"/>
      <c r="BM177" s="61"/>
      <c r="BN177" s="61"/>
      <c r="BO177" s="61"/>
      <c r="BP177" s="61"/>
      <c r="BQ177" s="61"/>
      <c r="BR177" s="61"/>
      <c r="BS177" s="61"/>
      <c r="BT177" s="61"/>
      <c r="BU177" s="61"/>
      <c r="BV177" s="61"/>
      <c r="BW177" s="61"/>
      <c r="BX177" s="61"/>
      <c r="BY177" s="61"/>
      <c r="BZ177" s="61"/>
      <c r="CA177" s="61"/>
      <c r="CB177" s="61"/>
      <c r="CC177" s="61"/>
      <c r="CD177" s="61"/>
      <c r="CE177" s="61"/>
      <c r="CF177" s="61"/>
      <c r="CG177" s="61"/>
      <c r="CH177" s="61"/>
      <c r="CI177" s="61"/>
      <c r="CJ177" s="61"/>
      <c r="CK177" s="61"/>
      <c r="CL177" s="61"/>
      <c r="CM177" s="61" t="s">
        <v>127</v>
      </c>
      <c r="CN177" s="61">
        <v>0</v>
      </c>
      <c r="CO177" s="61">
        <v>2</v>
      </c>
      <c r="CP177" s="61">
        <v>2</v>
      </c>
      <c r="CQ177" s="61">
        <v>0</v>
      </c>
      <c r="CR177" s="61">
        <v>4</v>
      </c>
      <c r="CS177" s="61">
        <v>2</v>
      </c>
      <c r="CT177" s="61">
        <v>0</v>
      </c>
      <c r="CU177" s="61">
        <v>4</v>
      </c>
      <c r="CV177" s="61">
        <v>2</v>
      </c>
      <c r="CW177" s="61">
        <v>0</v>
      </c>
      <c r="CX177" s="61">
        <v>4</v>
      </c>
      <c r="CY177" s="61">
        <v>2</v>
      </c>
      <c r="CZ177" s="61">
        <v>0</v>
      </c>
      <c r="DA177" s="61">
        <v>4</v>
      </c>
      <c r="DB177" s="61">
        <v>2</v>
      </c>
      <c r="DC177" s="61">
        <v>2</v>
      </c>
      <c r="DD177" s="61">
        <v>0</v>
      </c>
      <c r="DE177" s="61">
        <v>4</v>
      </c>
      <c r="DF177" s="61">
        <v>2</v>
      </c>
      <c r="DG177" s="61">
        <v>0</v>
      </c>
      <c r="DH177" s="61">
        <v>4</v>
      </c>
      <c r="DI177" s="61"/>
      <c r="DJ177" s="61"/>
      <c r="DK177" s="61"/>
      <c r="DL177" s="61"/>
      <c r="DM177" s="61"/>
      <c r="DN177" s="61"/>
      <c r="DO177" s="61"/>
      <c r="DP177" s="61"/>
      <c r="DQ177" s="61"/>
      <c r="DR177" s="61"/>
      <c r="DS177" s="61"/>
      <c r="DT177" s="61"/>
      <c r="DU177" s="61"/>
      <c r="DV177" s="61"/>
      <c r="DW177" s="61"/>
      <c r="DX177" s="61"/>
      <c r="DY177" s="61"/>
      <c r="DZ177" s="61"/>
      <c r="EA177" s="61"/>
      <c r="EB177" s="61"/>
      <c r="EC177" s="61"/>
      <c r="ED177" s="61"/>
      <c r="EE177" s="61"/>
      <c r="EF177" s="61"/>
      <c r="EG177" s="61"/>
      <c r="EH177" s="61"/>
      <c r="EI177" s="61"/>
      <c r="EJ177" s="61"/>
      <c r="EK177" s="61"/>
      <c r="EL177" s="61"/>
      <c r="EM177" s="61"/>
      <c r="EN177" s="61"/>
      <c r="EO177" s="61"/>
      <c r="EP177" s="61"/>
      <c r="EQ177" s="61"/>
      <c r="ER177" s="61"/>
      <c r="ES177" s="61"/>
      <c r="ET177" s="61"/>
      <c r="EU177" s="61"/>
      <c r="FH177" s="61"/>
      <c r="FI177" s="61" t="s">
        <v>11</v>
      </c>
      <c r="FJ177" s="61">
        <v>0</v>
      </c>
      <c r="FK177" s="61">
        <v>0</v>
      </c>
      <c r="FL177" s="61">
        <v>2</v>
      </c>
      <c r="FM177" s="61">
        <v>2</v>
      </c>
      <c r="FN177" s="61">
        <v>4</v>
      </c>
      <c r="FO177" s="61">
        <v>4</v>
      </c>
      <c r="FP177" s="61">
        <v>6</v>
      </c>
      <c r="FQ177" s="61">
        <v>6</v>
      </c>
      <c r="FR177" s="61">
        <v>8</v>
      </c>
      <c r="FS177" s="61">
        <v>8</v>
      </c>
      <c r="FT177" s="61">
        <v>10</v>
      </c>
      <c r="FU177" s="61"/>
      <c r="FV177" s="61" t="s">
        <v>11</v>
      </c>
      <c r="FW177" s="61">
        <v>0</v>
      </c>
      <c r="FX177" s="61">
        <v>0</v>
      </c>
      <c r="FY177" s="61">
        <v>2</v>
      </c>
      <c r="FZ177" s="61">
        <v>2</v>
      </c>
      <c r="GA177" s="61">
        <v>4</v>
      </c>
      <c r="GB177" s="61">
        <v>4</v>
      </c>
      <c r="GC177" s="61">
        <v>6</v>
      </c>
      <c r="GD177" s="61">
        <v>8</v>
      </c>
      <c r="GE177" s="61">
        <v>8</v>
      </c>
      <c r="GF177" s="61">
        <v>10</v>
      </c>
      <c r="GG177" s="61">
        <v>10</v>
      </c>
      <c r="GH177" s="61"/>
      <c r="GI177" s="61"/>
      <c r="GJ177" s="61"/>
      <c r="GK177" s="61"/>
      <c r="GL177" s="61"/>
      <c r="GM177" s="61"/>
      <c r="GN177" s="61"/>
      <c r="GO177" s="61"/>
      <c r="GP177" s="61"/>
      <c r="GQ177" s="61"/>
      <c r="GR177" s="61"/>
      <c r="GS177" s="61"/>
      <c r="GT177" s="61"/>
      <c r="GU177" s="61"/>
      <c r="GV177" s="61"/>
      <c r="GX177" s="61">
        <v>2400</v>
      </c>
      <c r="GY177" s="60">
        <v>2200</v>
      </c>
      <c r="GZ177" s="60">
        <v>0</v>
      </c>
      <c r="HA177" s="61">
        <f>GY177*GZ177</f>
        <v>0</v>
      </c>
      <c r="HB177" s="60">
        <v>51.1</v>
      </c>
      <c r="HC177" s="61">
        <f t="shared" ref="HC177" si="146">GZ177*HB177</f>
        <v>0</v>
      </c>
      <c r="HD177" s="61">
        <f>GZ177</f>
        <v>0</v>
      </c>
      <c r="HV177" s="141" t="s">
        <v>508</v>
      </c>
      <c r="IS177" s="60" t="s">
        <v>508</v>
      </c>
    </row>
    <row r="178" spans="1:274" x14ac:dyDescent="0.25">
      <c r="A178" s="8"/>
      <c r="B178" s="5" t="s">
        <v>116</v>
      </c>
      <c r="C178" s="8"/>
      <c r="D178" s="9"/>
      <c r="E178" s="9"/>
      <c r="F178" s="9"/>
      <c r="G178" s="9"/>
      <c r="H178" s="9"/>
      <c r="I178" s="9"/>
      <c r="J178" s="9"/>
      <c r="K178" s="9"/>
      <c r="L178" s="5" t="s">
        <v>103</v>
      </c>
      <c r="M178" s="5" t="s">
        <v>104</v>
      </c>
      <c r="N178" s="5" t="s">
        <v>107</v>
      </c>
      <c r="O178" s="5" t="s">
        <v>290</v>
      </c>
      <c r="P178" s="5" t="s">
        <v>446</v>
      </c>
      <c r="Q178" s="5" t="s">
        <v>448</v>
      </c>
      <c r="R178" s="5" t="s">
        <v>409</v>
      </c>
      <c r="S178" s="5" t="s">
        <v>447</v>
      </c>
      <c r="T178" s="5" t="s">
        <v>449</v>
      </c>
      <c r="U178" s="5" t="s">
        <v>106</v>
      </c>
      <c r="V178" s="61"/>
      <c r="W178" s="142">
        <f t="shared" si="120"/>
        <v>0</v>
      </c>
      <c r="X178" s="61">
        <f t="shared" si="121"/>
        <v>0</v>
      </c>
      <c r="Y178" s="61"/>
      <c r="Z178" s="61">
        <f>(INDEX(($AM$106:$CK$111,$AM$115:$CK$120,$AM$124:$CK$129,$AM$133:$CK$138),MATCH($L$184,$AL$106:$AL$111,0),MATCH(A189,$AM$105:$CK$105,0),MATCH($G$179,$X$128:$X$131,0)))*C189</f>
        <v>0</v>
      </c>
      <c r="AA178" s="61">
        <f>(INDEX(($AM$106:$CK$111,$AM$115:$CK$120,$AM$124:$CK$129,$AM$133:$CK$138),MATCH($L$179,$AL$106:$AL$111,0),MATCH(A189,$AM$105:$CK$105,0),MATCH($G$179,$X$128:$X$131,0)))*C189</f>
        <v>0</v>
      </c>
      <c r="AB178" s="61">
        <f>(INDEX(($AM$106:$CK$111,$AM$115:$CK$120,$AM$124:$CK$129,$AM$133:$CK$138),MATCH($L$180,$AL$106:$AL$111,0),MATCH(A189,$AM$105:$CK$105,0),MATCH($G$179,$X$128:$X$131,0)))*C189</f>
        <v>0</v>
      </c>
      <c r="AC178" s="61">
        <f>(INDEX(($AM$106:$CK$111,$AM$115:$CK$120,$AM$124:$CK$129,$AM$133:$CK$138),MATCH($L$181,$AL$106:$AL$111,0),MATCH(A189,$AM$105:$CK$105,0),MATCH($G$179,$X$128:$X$131,0)))*C189</f>
        <v>0</v>
      </c>
      <c r="AD178" s="61">
        <f>(INDEX(($AM$106:$CK$111,$AM$115:$CK$120,$AM$124:$CK$129,$AM$133:$CK$138),MATCH($L$182,$AL$106:$AL$111,0),MATCH(A189,$AM$105:$CK$105,0),MATCH($G$179,$X$128:$X$131,0)))*C189</f>
        <v>0</v>
      </c>
      <c r="AE178" s="61">
        <f>(INDEX(($AM$106:$CK$111,$AM$115:$CK$120,$AM$124:$CK$129,$AM$133:$CK$138),MATCH($L$183,$AL$106:$AL$111,0),MATCH(A189,$AM$105:$CK$105,0),MATCH($G$179,$X$128:$X$131,0)))*C189</f>
        <v>0</v>
      </c>
      <c r="AF178" s="61"/>
      <c r="AG178" s="61"/>
      <c r="AH178" s="61"/>
      <c r="AI178" s="61"/>
      <c r="AJ178" s="61"/>
      <c r="AK178" s="61"/>
      <c r="AL178" s="61"/>
      <c r="AM178" s="61">
        <v>0</v>
      </c>
      <c r="AN178" s="61">
        <v>1</v>
      </c>
      <c r="AO178" s="61">
        <v>2</v>
      </c>
      <c r="AP178" s="61">
        <v>3</v>
      </c>
      <c r="AQ178" s="61">
        <v>4</v>
      </c>
      <c r="AR178" s="61">
        <v>5</v>
      </c>
      <c r="AS178" s="61">
        <v>6</v>
      </c>
      <c r="AT178" s="61">
        <v>7</v>
      </c>
      <c r="AU178" s="61">
        <v>8</v>
      </c>
      <c r="AV178" s="61">
        <v>9</v>
      </c>
      <c r="AW178" s="61">
        <v>10</v>
      </c>
      <c r="AX178" s="61">
        <v>11</v>
      </c>
      <c r="AY178" s="61">
        <v>12</v>
      </c>
      <c r="AZ178" s="61">
        <v>13</v>
      </c>
      <c r="BA178" s="61">
        <v>14</v>
      </c>
      <c r="BB178" s="61">
        <v>15</v>
      </c>
      <c r="BC178" s="61">
        <v>16</v>
      </c>
      <c r="BD178" s="61">
        <v>17</v>
      </c>
      <c r="BE178" s="61">
        <v>18</v>
      </c>
      <c r="BF178" s="61">
        <v>19</v>
      </c>
      <c r="BG178" s="61">
        <v>20</v>
      </c>
      <c r="BH178" s="61">
        <v>21</v>
      </c>
      <c r="BI178" s="61">
        <v>22</v>
      </c>
      <c r="BJ178" s="61">
        <v>23</v>
      </c>
      <c r="BK178" s="61">
        <v>24</v>
      </c>
      <c r="BL178" s="61">
        <v>25</v>
      </c>
      <c r="BM178" s="61">
        <v>26</v>
      </c>
      <c r="BN178" s="61">
        <v>27</v>
      </c>
      <c r="BO178" s="61">
        <v>28</v>
      </c>
      <c r="BP178" s="61">
        <v>29</v>
      </c>
      <c r="BQ178" s="61">
        <v>30</v>
      </c>
      <c r="BR178" s="61">
        <v>31</v>
      </c>
      <c r="BS178" s="61">
        <v>32</v>
      </c>
      <c r="BT178" s="61">
        <v>33</v>
      </c>
      <c r="BU178" s="61">
        <v>34</v>
      </c>
      <c r="BV178" s="61">
        <v>35</v>
      </c>
      <c r="BW178" s="61">
        <v>36</v>
      </c>
      <c r="BX178" s="61">
        <v>37</v>
      </c>
      <c r="BY178" s="61">
        <v>38</v>
      </c>
      <c r="BZ178" s="61">
        <v>39</v>
      </c>
      <c r="CA178" s="61">
        <v>40</v>
      </c>
      <c r="CB178" s="61">
        <v>41</v>
      </c>
      <c r="CC178" s="61">
        <v>42</v>
      </c>
      <c r="CD178" s="61">
        <v>43</v>
      </c>
      <c r="CE178" s="61">
        <v>44</v>
      </c>
      <c r="CF178" s="61">
        <v>45</v>
      </c>
      <c r="CG178" s="61">
        <v>46</v>
      </c>
      <c r="CH178" s="61">
        <v>47</v>
      </c>
      <c r="CI178" s="61">
        <v>48</v>
      </c>
      <c r="CJ178" s="61">
        <v>49</v>
      </c>
      <c r="CK178" s="61">
        <v>50</v>
      </c>
      <c r="CL178" s="61"/>
      <c r="CM178" s="61" t="s">
        <v>19</v>
      </c>
      <c r="CN178" s="61">
        <v>0</v>
      </c>
      <c r="CO178" s="61">
        <v>0</v>
      </c>
      <c r="CP178" s="61">
        <v>0</v>
      </c>
      <c r="CQ178" s="61">
        <v>2</v>
      </c>
      <c r="CR178" s="61">
        <v>0</v>
      </c>
      <c r="CS178" s="61">
        <v>2</v>
      </c>
      <c r="CT178" s="61">
        <v>4</v>
      </c>
      <c r="CU178" s="61">
        <v>2</v>
      </c>
      <c r="CV178" s="61">
        <v>4</v>
      </c>
      <c r="CW178" s="61">
        <v>6</v>
      </c>
      <c r="CX178" s="61">
        <v>4</v>
      </c>
      <c r="CY178" s="61">
        <v>6</v>
      </c>
      <c r="CZ178" s="61">
        <v>8</v>
      </c>
      <c r="DA178" s="61">
        <v>6</v>
      </c>
      <c r="DB178" s="61">
        <v>8</v>
      </c>
      <c r="DC178" s="61">
        <v>8</v>
      </c>
      <c r="DD178" s="61">
        <v>10</v>
      </c>
      <c r="DE178" s="61">
        <v>8</v>
      </c>
      <c r="DF178" s="61">
        <v>10</v>
      </c>
      <c r="DG178" s="61">
        <v>12</v>
      </c>
      <c r="DH178" s="61">
        <v>10</v>
      </c>
      <c r="DI178" s="61"/>
      <c r="DJ178" s="61"/>
      <c r="DK178" s="61"/>
      <c r="DL178" s="61"/>
      <c r="DM178" s="61" t="s">
        <v>474</v>
      </c>
      <c r="DN178" s="61"/>
      <c r="DO178" s="61"/>
      <c r="DP178" s="61"/>
      <c r="DQ178" s="61"/>
      <c r="DR178" s="61"/>
      <c r="DS178" s="61"/>
      <c r="DT178" s="61"/>
      <c r="DU178" s="61"/>
      <c r="DV178" s="61"/>
      <c r="DW178" s="61"/>
      <c r="DX178" s="61"/>
      <c r="DY178" s="61"/>
      <c r="EA178" s="61"/>
      <c r="EB178" s="61"/>
      <c r="EC178" s="61"/>
      <c r="ED178" s="61"/>
      <c r="EE178" s="61"/>
      <c r="EF178" s="61"/>
      <c r="EG178" s="61"/>
      <c r="EH178" s="61"/>
      <c r="EI178" s="61"/>
      <c r="EJ178" s="61"/>
      <c r="EK178" s="61"/>
      <c r="EL178" s="61"/>
      <c r="EM178" s="61"/>
      <c r="EN178" s="61"/>
      <c r="EO178" s="61"/>
      <c r="EP178" s="61"/>
      <c r="EQ178" s="61"/>
      <c r="ER178" s="61"/>
      <c r="ES178" s="61"/>
      <c r="ET178" s="61"/>
      <c r="EU178" s="61"/>
      <c r="EV178" s="61" t="s">
        <v>132</v>
      </c>
      <c r="EW178" s="61"/>
      <c r="EX178" s="61"/>
      <c r="EY178" s="61"/>
      <c r="EZ178" s="61"/>
      <c r="FA178" s="61"/>
      <c r="FB178" s="61"/>
      <c r="FC178" s="61"/>
      <c r="FD178" s="61"/>
      <c r="FE178" s="61"/>
      <c r="FF178" s="61"/>
      <c r="FG178" s="61"/>
      <c r="FH178" s="61"/>
      <c r="FU178" s="61"/>
      <c r="FV178" s="61"/>
      <c r="FW178" s="61"/>
      <c r="FX178" s="61"/>
      <c r="FY178" s="61"/>
      <c r="FZ178" s="61"/>
      <c r="GA178" s="61"/>
      <c r="GB178" s="61"/>
      <c r="GC178" s="61"/>
      <c r="GD178" s="61"/>
      <c r="GE178" s="61"/>
      <c r="GF178" s="61"/>
      <c r="GG178" s="61"/>
      <c r="GH178" s="61"/>
      <c r="GI178" s="61"/>
      <c r="GJ178" s="61"/>
      <c r="GK178" s="61"/>
      <c r="GL178" s="61"/>
      <c r="GM178" s="61"/>
      <c r="GN178" s="61"/>
      <c r="GO178" s="61"/>
      <c r="GP178" s="61"/>
      <c r="GQ178" s="61"/>
      <c r="GR178" s="61"/>
      <c r="GS178" s="61"/>
      <c r="GT178" s="61"/>
      <c r="GU178" s="61"/>
      <c r="GV178" s="61"/>
      <c r="GX178" s="61"/>
      <c r="GY178" s="61"/>
      <c r="GZ178" s="61">
        <f>(SUM(HD175:HE177)-1)*6</f>
        <v>138</v>
      </c>
      <c r="HB178" s="60">
        <v>0.85750000000000004</v>
      </c>
      <c r="HC178" s="60">
        <f>GZ178*HB178</f>
        <v>118.33500000000001</v>
      </c>
      <c r="HD178" s="61"/>
      <c r="HW178" s="60">
        <v>0</v>
      </c>
      <c r="HX178" s="60">
        <v>1</v>
      </c>
      <c r="HY178" s="60">
        <v>2</v>
      </c>
      <c r="HZ178" s="60">
        <v>3</v>
      </c>
      <c r="IA178" s="60">
        <v>4</v>
      </c>
      <c r="IB178" s="60">
        <v>5</v>
      </c>
      <c r="IC178" s="60">
        <v>6</v>
      </c>
      <c r="ID178" s="60">
        <v>7</v>
      </c>
      <c r="IE178" s="60">
        <v>8</v>
      </c>
      <c r="IF178" s="60">
        <v>9</v>
      </c>
      <c r="IG178" s="60">
        <v>10</v>
      </c>
      <c r="IH178" s="60">
        <v>11</v>
      </c>
      <c r="II178" s="60">
        <v>12</v>
      </c>
      <c r="IJ178" s="60">
        <v>13</v>
      </c>
      <c r="IK178" s="60">
        <v>14</v>
      </c>
      <c r="IL178" s="60">
        <v>15</v>
      </c>
      <c r="IM178" s="60">
        <v>16</v>
      </c>
      <c r="IN178" s="60">
        <v>17</v>
      </c>
      <c r="IO178" s="60">
        <v>18</v>
      </c>
      <c r="IP178" s="60">
        <v>19</v>
      </c>
      <c r="IQ178" s="60">
        <v>20</v>
      </c>
      <c r="IT178" s="60">
        <f t="shared" si="125"/>
        <v>0</v>
      </c>
      <c r="IU178" s="60">
        <f t="shared" si="126"/>
        <v>2</v>
      </c>
      <c r="IV178" s="60">
        <f t="shared" si="127"/>
        <v>4</v>
      </c>
      <c r="IW178" s="60">
        <f t="shared" si="128"/>
        <v>6</v>
      </c>
      <c r="IX178" s="60">
        <f t="shared" si="129"/>
        <v>8</v>
      </c>
      <c r="IY178" s="60">
        <f t="shared" si="130"/>
        <v>10</v>
      </c>
      <c r="IZ178" s="60">
        <f t="shared" si="131"/>
        <v>12</v>
      </c>
      <c r="JA178" s="60">
        <f t="shared" si="132"/>
        <v>14</v>
      </c>
      <c r="JB178" s="60">
        <f t="shared" si="122"/>
        <v>16</v>
      </c>
      <c r="JC178" s="60">
        <f t="shared" si="133"/>
        <v>18</v>
      </c>
      <c r="JD178" s="60">
        <f t="shared" si="134"/>
        <v>20</v>
      </c>
      <c r="JE178" s="60">
        <f t="shared" si="135"/>
        <v>22</v>
      </c>
      <c r="JF178" s="60">
        <f t="shared" si="136"/>
        <v>24</v>
      </c>
      <c r="JG178" s="60">
        <f t="shared" si="137"/>
        <v>26</v>
      </c>
      <c r="JH178" s="60">
        <f t="shared" si="138"/>
        <v>28</v>
      </c>
      <c r="JI178" s="60">
        <f t="shared" si="139"/>
        <v>30</v>
      </c>
      <c r="JJ178" s="60">
        <f t="shared" si="140"/>
        <v>32</v>
      </c>
      <c r="JK178" s="60">
        <f t="shared" si="141"/>
        <v>34</v>
      </c>
      <c r="JL178" s="60">
        <f t="shared" si="142"/>
        <v>36</v>
      </c>
      <c r="JM178" s="60">
        <f t="shared" si="143"/>
        <v>38</v>
      </c>
      <c r="JN178" s="60">
        <f t="shared" si="144"/>
        <v>40</v>
      </c>
    </row>
    <row r="179" spans="1:274" x14ac:dyDescent="0.25">
      <c r="A179" s="8"/>
      <c r="B179" s="5" t="s">
        <v>116</v>
      </c>
      <c r="C179" s="8"/>
      <c r="D179" s="6" t="s">
        <v>118</v>
      </c>
      <c r="E179" s="8" t="s">
        <v>132</v>
      </c>
      <c r="F179" s="5" t="s">
        <v>116</v>
      </c>
      <c r="G179" s="8" t="s">
        <v>114</v>
      </c>
      <c r="H179" s="5" t="s">
        <v>116</v>
      </c>
      <c r="I179" s="8">
        <v>40</v>
      </c>
      <c r="J179" s="5" t="s">
        <v>119</v>
      </c>
      <c r="K179" s="9"/>
      <c r="L179" s="6" t="s">
        <v>126</v>
      </c>
      <c r="M179" s="11">
        <f>INDEX(cennik!$C$2:$L$529,MATCH($L179,cennik!$B$2:$B$522,0),MATCH(M$104,cennik!$C$1:$L$1,0))</f>
        <v>894510</v>
      </c>
      <c r="N179" s="11" t="str">
        <f>INDEX(cennik!$C$2:$L$529,MATCH($L179,cennik!$B$2:$B$522,0),MATCH(N$104,cennik!$C$1:$L$1,0))</f>
        <v>szt.</v>
      </c>
      <c r="O179" s="11">
        <f>SUM(AA167:AA182)</f>
        <v>0</v>
      </c>
      <c r="P179" s="34">
        <f>INDEX(cennik!$C$2:$L$529,MATCH($L179,cennik!$B$2:$B$522,0),MATCH(P$104,cennik!$C$1:$L$1,0))</f>
        <v>36.799999999999997</v>
      </c>
      <c r="Q179" s="34">
        <f>O179*P179</f>
        <v>0</v>
      </c>
      <c r="R179" s="35">
        <f t="shared" ref="R179:R202" si="147">$E$184</f>
        <v>0</v>
      </c>
      <c r="S179" s="34">
        <f t="shared" ref="S179:S202" si="148">P179*((100-$E$184)/100)</f>
        <v>36.799999999999997</v>
      </c>
      <c r="T179" s="34">
        <f>O179*S179</f>
        <v>0</v>
      </c>
      <c r="U179" s="34">
        <f>INDEX(cennik!$C$2:$L$529,MATCH($L179,cennik!$B$2:$B$522,0),MATCH(U$104,cennik!$C$1:$L$1,0))*O179</f>
        <v>0</v>
      </c>
      <c r="V179" s="61"/>
      <c r="W179" s="142">
        <f t="shared" si="120"/>
        <v>0</v>
      </c>
      <c r="X179" s="61">
        <f t="shared" si="121"/>
        <v>0</v>
      </c>
      <c r="Y179" s="61"/>
      <c r="Z179" s="61">
        <f>(INDEX(($AM$106:$CK$111,$AM$115:$CK$120,$AM$124:$CK$129,$AM$133:$CK$138),MATCH($L$184,$AL$106:$AL$111,0),MATCH(A190,$AM$105:$CK$105,0),MATCH($G$179,$X$128:$X$131,0)))*C190</f>
        <v>0</v>
      </c>
      <c r="AA179" s="61">
        <f>(INDEX(($AM$106:$CK$111,$AM$115:$CK$120,$AM$124:$CK$129,$AM$133:$CK$138),MATCH($L$179,$AL$106:$AL$111,0),MATCH(A190,$AM$105:$CK$105,0),MATCH($G$179,$X$128:$X$131,0)))*C190</f>
        <v>0</v>
      </c>
      <c r="AB179" s="61">
        <f>(INDEX(($AM$106:$CK$111,$AM$115:$CK$120,$AM$124:$CK$129,$AM$133:$CK$138),MATCH($L$180,$AL$106:$AL$111,0),MATCH(A190,$AM$105:$CK$105,0),MATCH($G$179,$X$128:$X$131,0)))*C190</f>
        <v>0</v>
      </c>
      <c r="AC179" s="61">
        <f>(INDEX(($AM$106:$CK$111,$AM$115:$CK$120,$AM$124:$CK$129,$AM$133:$CK$138),MATCH($L$181,$AL$106:$AL$111,0),MATCH(A190,$AM$105:$CK$105,0),MATCH($G$179,$X$128:$X$131,0)))*C190</f>
        <v>0</v>
      </c>
      <c r="AD179" s="61">
        <f>(INDEX(($AM$106:$CK$111,$AM$115:$CK$120,$AM$124:$CK$129,$AM$133:$CK$138),MATCH($L$182,$AL$106:$AL$111,0),MATCH(A190,$AM$105:$CK$105,0),MATCH($G$179,$X$128:$X$131,0)))*C190</f>
        <v>0</v>
      </c>
      <c r="AE179" s="61">
        <f>(INDEX(($AM$106:$CK$111,$AM$115:$CK$120,$AM$124:$CK$129,$AM$133:$CK$138),MATCH($L$183,$AL$106:$AL$111,0),MATCH(A190,$AM$105:$CK$105,0),MATCH($G$179,$X$128:$X$131,0)))*C190</f>
        <v>0</v>
      </c>
      <c r="AF179" s="61"/>
      <c r="AG179" s="61"/>
      <c r="AH179" s="61"/>
      <c r="AI179" s="61"/>
      <c r="AJ179" s="61"/>
      <c r="AK179" s="61"/>
      <c r="AL179" s="61" t="s">
        <v>126</v>
      </c>
      <c r="AM179" s="61">
        <v>0</v>
      </c>
      <c r="AN179" s="61">
        <v>0</v>
      </c>
      <c r="AO179" s="61">
        <v>0</v>
      </c>
      <c r="AP179" s="61">
        <v>0</v>
      </c>
      <c r="AQ179" s="61">
        <v>0</v>
      </c>
      <c r="AR179" s="61">
        <v>0</v>
      </c>
      <c r="AS179" s="61">
        <v>0</v>
      </c>
      <c r="AT179" s="61">
        <v>0</v>
      </c>
      <c r="AU179" s="61">
        <v>0</v>
      </c>
      <c r="AV179" s="61">
        <v>0</v>
      </c>
      <c r="AW179" s="61">
        <v>0</v>
      </c>
      <c r="AX179" s="61">
        <v>0</v>
      </c>
      <c r="AY179" s="61">
        <v>0</v>
      </c>
      <c r="AZ179" s="61">
        <v>0</v>
      </c>
      <c r="BA179" s="61">
        <v>0</v>
      </c>
      <c r="BB179" s="61">
        <v>0</v>
      </c>
      <c r="BC179" s="61">
        <v>0</v>
      </c>
      <c r="BD179" s="61">
        <v>0</v>
      </c>
      <c r="BE179" s="61">
        <v>0</v>
      </c>
      <c r="BF179" s="61">
        <v>0</v>
      </c>
      <c r="BG179" s="61">
        <v>0</v>
      </c>
      <c r="BH179" s="61">
        <v>0</v>
      </c>
      <c r="BI179" s="61">
        <v>0</v>
      </c>
      <c r="BJ179" s="61">
        <v>0</v>
      </c>
      <c r="BK179" s="61">
        <v>0</v>
      </c>
      <c r="BL179" s="61">
        <v>0</v>
      </c>
      <c r="BM179" s="61">
        <v>0</v>
      </c>
      <c r="BN179" s="61">
        <v>0</v>
      </c>
      <c r="BO179" s="61">
        <v>0</v>
      </c>
      <c r="BP179" s="61">
        <v>0</v>
      </c>
      <c r="BQ179" s="61">
        <v>0</v>
      </c>
      <c r="BR179" s="61">
        <v>0</v>
      </c>
      <c r="BS179" s="61">
        <v>0</v>
      </c>
      <c r="BT179" s="61">
        <v>0</v>
      </c>
      <c r="BU179" s="61">
        <v>0</v>
      </c>
      <c r="BV179" s="61">
        <v>0</v>
      </c>
      <c r="BW179" s="61">
        <v>0</v>
      </c>
      <c r="BX179" s="61">
        <v>0</v>
      </c>
      <c r="BY179" s="61">
        <v>0</v>
      </c>
      <c r="BZ179" s="61">
        <v>0</v>
      </c>
      <c r="CA179" s="61">
        <v>0</v>
      </c>
      <c r="CB179" s="61">
        <v>0</v>
      </c>
      <c r="CC179" s="61">
        <v>0</v>
      </c>
      <c r="CD179" s="61">
        <v>0</v>
      </c>
      <c r="CE179" s="61">
        <v>0</v>
      </c>
      <c r="CF179" s="61">
        <v>0</v>
      </c>
      <c r="CG179" s="61">
        <v>0</v>
      </c>
      <c r="CH179" s="61">
        <v>0</v>
      </c>
      <c r="CI179" s="61">
        <v>0</v>
      </c>
      <c r="CJ179" s="61">
        <v>0</v>
      </c>
      <c r="CK179" s="61">
        <v>0</v>
      </c>
      <c r="CL179" s="61"/>
      <c r="CM179" s="61" t="s">
        <v>408</v>
      </c>
      <c r="CN179" s="61">
        <v>0</v>
      </c>
      <c r="CO179" s="61">
        <v>0</v>
      </c>
      <c r="CP179" s="61">
        <v>0</v>
      </c>
      <c r="CQ179" s="61">
        <v>0</v>
      </c>
      <c r="CR179" s="61">
        <v>4</v>
      </c>
      <c r="CS179" s="61">
        <v>4</v>
      </c>
      <c r="CT179" s="61">
        <v>4</v>
      </c>
      <c r="CU179" s="61">
        <v>8</v>
      </c>
      <c r="CV179" s="61">
        <v>8</v>
      </c>
      <c r="CW179" s="61">
        <v>8</v>
      </c>
      <c r="CX179" s="61">
        <v>12</v>
      </c>
      <c r="CY179" s="61">
        <v>12</v>
      </c>
      <c r="CZ179" s="61">
        <v>12</v>
      </c>
      <c r="DA179" s="61">
        <v>16</v>
      </c>
      <c r="DB179" s="61">
        <v>16</v>
      </c>
      <c r="DC179" s="61">
        <v>16</v>
      </c>
      <c r="DD179" s="61">
        <v>16</v>
      </c>
      <c r="DE179" s="61">
        <v>20</v>
      </c>
      <c r="DF179" s="61">
        <v>20</v>
      </c>
      <c r="DG179" s="61">
        <v>20</v>
      </c>
      <c r="DH179" s="61">
        <v>24</v>
      </c>
      <c r="DI179" s="61"/>
      <c r="DJ179" s="61"/>
      <c r="DK179" s="61"/>
      <c r="DL179" s="61"/>
      <c r="DM179" s="61"/>
      <c r="DN179" s="61">
        <v>0</v>
      </c>
      <c r="DO179" s="61">
        <v>1</v>
      </c>
      <c r="DP179" s="61">
        <v>2</v>
      </c>
      <c r="DQ179" s="61">
        <v>3</v>
      </c>
      <c r="DR179" s="61">
        <v>4</v>
      </c>
      <c r="DS179" s="61">
        <v>5</v>
      </c>
      <c r="DT179" s="61">
        <v>6</v>
      </c>
      <c r="DU179" s="61">
        <v>7</v>
      </c>
      <c r="DV179" s="61">
        <v>8</v>
      </c>
      <c r="DW179" s="61">
        <v>9</v>
      </c>
      <c r="DX179" s="61">
        <v>10</v>
      </c>
      <c r="DY179" s="61">
        <v>11</v>
      </c>
      <c r="DZ179" s="61">
        <v>12</v>
      </c>
      <c r="EA179" s="61">
        <v>13</v>
      </c>
      <c r="EB179" s="61">
        <v>14</v>
      </c>
      <c r="EC179" s="61">
        <v>15</v>
      </c>
      <c r="ED179" s="61">
        <v>16</v>
      </c>
      <c r="EE179" s="61">
        <v>17</v>
      </c>
      <c r="EF179" s="61">
        <v>18</v>
      </c>
      <c r="EG179" s="61">
        <v>19</v>
      </c>
      <c r="EH179" s="61">
        <v>20</v>
      </c>
      <c r="EI179" s="61"/>
      <c r="EJ179" s="61"/>
      <c r="EK179" s="61"/>
      <c r="EL179" s="61"/>
      <c r="EM179" s="61"/>
      <c r="EN179" s="61"/>
      <c r="EO179" s="61"/>
      <c r="EP179" s="61"/>
      <c r="EQ179" s="61"/>
      <c r="ER179" s="61"/>
      <c r="ES179" s="61"/>
      <c r="ET179" s="61"/>
      <c r="EU179" s="61"/>
      <c r="EV179" s="61"/>
      <c r="EW179" s="61">
        <v>0</v>
      </c>
      <c r="EX179" s="61">
        <v>1</v>
      </c>
      <c r="EY179" s="61">
        <v>2</v>
      </c>
      <c r="EZ179" s="61">
        <v>3</v>
      </c>
      <c r="FA179" s="61">
        <v>4</v>
      </c>
      <c r="FB179" s="61">
        <v>5</v>
      </c>
      <c r="FC179" s="61">
        <v>6</v>
      </c>
      <c r="FD179" s="61">
        <v>7</v>
      </c>
      <c r="FE179" s="61">
        <v>8</v>
      </c>
      <c r="FF179" s="61">
        <v>9</v>
      </c>
      <c r="FG179" s="61">
        <v>10</v>
      </c>
      <c r="FH179" s="61"/>
      <c r="FI179" s="61" t="s">
        <v>473</v>
      </c>
      <c r="FJ179" s="61"/>
      <c r="FK179" s="61"/>
      <c r="FL179" s="61"/>
      <c r="FM179" s="61"/>
      <c r="FN179" s="61"/>
      <c r="FO179" s="61"/>
      <c r="FP179" s="61"/>
      <c r="FQ179" s="61"/>
      <c r="FR179" s="61"/>
      <c r="FS179" s="61"/>
      <c r="FT179" s="61"/>
      <c r="FU179" s="61"/>
      <c r="FV179" s="61"/>
      <c r="FW179" s="61"/>
      <c r="FX179" s="61"/>
      <c r="FY179" s="61"/>
      <c r="FZ179" s="61"/>
      <c r="GA179" s="61"/>
      <c r="GB179" s="61"/>
      <c r="GC179" s="61"/>
      <c r="GD179" s="61"/>
      <c r="GE179" s="61"/>
      <c r="GF179" s="61"/>
      <c r="GG179" s="61"/>
      <c r="GH179" s="61"/>
      <c r="GI179" s="61"/>
      <c r="GJ179" s="61"/>
      <c r="GK179" s="61"/>
      <c r="GL179" s="61"/>
      <c r="GM179" s="61"/>
      <c r="GN179" s="61"/>
      <c r="GO179" s="61"/>
      <c r="GP179" s="61"/>
      <c r="GQ179" s="61"/>
      <c r="GR179" s="61"/>
      <c r="GS179" s="61"/>
      <c r="GT179" s="61"/>
      <c r="GU179" s="61"/>
      <c r="GV179" s="61"/>
      <c r="GX179" s="61"/>
      <c r="GY179" s="61"/>
      <c r="HA179" s="61">
        <f>SUM(HA175:HA177)</f>
        <v>45760</v>
      </c>
      <c r="HB179" s="61"/>
      <c r="HC179" s="61">
        <f>SUM(HC175:HC178)</f>
        <v>979.73500000000001</v>
      </c>
      <c r="HV179" s="60" t="s">
        <v>826</v>
      </c>
      <c r="HW179" s="60">
        <v>0</v>
      </c>
      <c r="HX179" s="60">
        <v>2</v>
      </c>
      <c r="HY179" s="60">
        <v>4</v>
      </c>
      <c r="HZ179" s="60">
        <v>0</v>
      </c>
      <c r="IA179" s="60">
        <v>2</v>
      </c>
      <c r="IB179" s="60">
        <v>4</v>
      </c>
      <c r="IC179" s="60">
        <v>0</v>
      </c>
      <c r="ID179" s="60">
        <v>2</v>
      </c>
      <c r="IE179" s="60">
        <v>2</v>
      </c>
      <c r="IF179" s="60">
        <v>4</v>
      </c>
      <c r="IG179" s="60">
        <v>0</v>
      </c>
      <c r="IH179" s="60">
        <v>2</v>
      </c>
      <c r="II179" s="60">
        <v>4</v>
      </c>
      <c r="IJ179" s="60">
        <v>0</v>
      </c>
      <c r="IK179" s="60">
        <v>2</v>
      </c>
      <c r="IL179" s="60">
        <v>4</v>
      </c>
      <c r="IM179" s="60">
        <v>0</v>
      </c>
      <c r="IN179" s="60">
        <v>2</v>
      </c>
      <c r="IO179" s="60">
        <v>4</v>
      </c>
      <c r="IP179" s="60">
        <v>0</v>
      </c>
      <c r="IQ179" s="60">
        <v>2</v>
      </c>
      <c r="IS179" s="60" t="s">
        <v>826</v>
      </c>
      <c r="IT179" s="60">
        <f t="shared" si="125"/>
        <v>0</v>
      </c>
      <c r="IU179" s="60">
        <f t="shared" si="126"/>
        <v>4</v>
      </c>
      <c r="IV179" s="60">
        <f t="shared" si="127"/>
        <v>8</v>
      </c>
      <c r="IW179" s="60">
        <f t="shared" si="128"/>
        <v>0</v>
      </c>
      <c r="IX179" s="60">
        <f t="shared" si="129"/>
        <v>4</v>
      </c>
      <c r="IY179" s="60">
        <f t="shared" si="130"/>
        <v>8</v>
      </c>
      <c r="IZ179" s="60">
        <f t="shared" si="131"/>
        <v>0</v>
      </c>
      <c r="JA179" s="60">
        <f t="shared" si="132"/>
        <v>4</v>
      </c>
      <c r="JB179" s="60">
        <f t="shared" si="122"/>
        <v>4</v>
      </c>
      <c r="JC179" s="60">
        <f t="shared" si="133"/>
        <v>8</v>
      </c>
      <c r="JD179" s="60">
        <f t="shared" si="134"/>
        <v>0</v>
      </c>
      <c r="JE179" s="60">
        <f t="shared" si="135"/>
        <v>4</v>
      </c>
      <c r="JF179" s="60">
        <f t="shared" si="136"/>
        <v>8</v>
      </c>
      <c r="JG179" s="60">
        <f t="shared" si="137"/>
        <v>0</v>
      </c>
      <c r="JH179" s="60">
        <f t="shared" si="138"/>
        <v>4</v>
      </c>
      <c r="JI179" s="60">
        <f t="shared" si="139"/>
        <v>8</v>
      </c>
      <c r="JJ179" s="60">
        <f t="shared" si="140"/>
        <v>0</v>
      </c>
      <c r="JK179" s="60">
        <f t="shared" si="141"/>
        <v>4</v>
      </c>
      <c r="JL179" s="60">
        <f t="shared" si="142"/>
        <v>8</v>
      </c>
      <c r="JM179" s="60">
        <f t="shared" si="143"/>
        <v>0</v>
      </c>
      <c r="JN179" s="60">
        <f t="shared" si="144"/>
        <v>4</v>
      </c>
    </row>
    <row r="180" spans="1:274" x14ac:dyDescent="0.25">
      <c r="A180" s="8"/>
      <c r="B180" s="5" t="s">
        <v>116</v>
      </c>
      <c r="C180" s="8"/>
      <c r="D180" s="6" t="s">
        <v>129</v>
      </c>
      <c r="E180" s="8" t="s">
        <v>130</v>
      </c>
      <c r="F180" s="5"/>
      <c r="G180" s="5"/>
      <c r="H180" s="5"/>
      <c r="I180" s="5"/>
      <c r="J180" s="5" t="s">
        <v>119</v>
      </c>
      <c r="K180" s="9"/>
      <c r="L180" s="6" t="s">
        <v>12</v>
      </c>
      <c r="M180" s="11">
        <f>INDEX(cennik!$C$2:$L$529,MATCH($L180,cennik!$B$2:$B$522,0),MATCH(M$104,cennik!$C$1:$L$1,0))</f>
        <v>894621</v>
      </c>
      <c r="N180" s="11" t="str">
        <f>INDEX(cennik!$C$2:$L$529,MATCH($L180,cennik!$B$2:$B$522,0),MATCH(N$104,cennik!$C$1:$L$1,0))</f>
        <v>szt.</v>
      </c>
      <c r="O180" s="11">
        <f>SUM(AB167:AB182)</f>
        <v>0</v>
      </c>
      <c r="P180" s="34">
        <f>INDEX(cennik!$C$2:$L$529,MATCH($L180,cennik!$B$2:$B$522,0),MATCH(P$104,cennik!$C$1:$L$1,0))</f>
        <v>65.099999999999994</v>
      </c>
      <c r="Q180" s="34">
        <f t="shared" ref="Q180:Q196" si="149">O180*P180</f>
        <v>0</v>
      </c>
      <c r="R180" s="35">
        <f t="shared" si="147"/>
        <v>0</v>
      </c>
      <c r="S180" s="34">
        <f t="shared" si="148"/>
        <v>65.099999999999994</v>
      </c>
      <c r="T180" s="34">
        <f t="shared" ref="T180:T196" si="150">O180*S180</f>
        <v>0</v>
      </c>
      <c r="U180" s="34">
        <f>INDEX(cennik!$C$2:$L$529,MATCH($L180,cennik!$B$2:$B$522,0),MATCH(U$104,cennik!$C$1:$L$1,0))*O180</f>
        <v>0</v>
      </c>
      <c r="V180" s="61"/>
      <c r="W180" s="142">
        <f t="shared" si="120"/>
        <v>0</v>
      </c>
      <c r="X180" s="61">
        <f t="shared" si="121"/>
        <v>0</v>
      </c>
      <c r="Y180" s="61"/>
      <c r="Z180" s="61">
        <f>(INDEX(($AM$106:$CK$111,$AM$115:$CK$120,$AM$124:$CK$129,$AM$133:$CK$138),MATCH($L$184,$AL$106:$AL$111,0),MATCH(A191,$AM$105:$CK$105,0),MATCH($G$179,$X$128:$X$131,0)))*C191</f>
        <v>0</v>
      </c>
      <c r="AA180" s="61">
        <f>(INDEX(($AM$106:$CK$111,$AM$115:$CK$120,$AM$124:$CK$129,$AM$133:$CK$138),MATCH($L$179,$AL$106:$AL$111,0),MATCH(A191,$AM$105:$CK$105,0),MATCH($G$179,$X$128:$X$131,0)))*C191</f>
        <v>0</v>
      </c>
      <c r="AB180" s="61">
        <f>(INDEX(($AM$106:$CK$111,$AM$115:$CK$120,$AM$124:$CK$129,$AM$133:$CK$138),MATCH($L$180,$AL$106:$AL$111,0),MATCH(A191,$AM$105:$CK$105,0),MATCH($G$179,$X$128:$X$131,0)))*C191</f>
        <v>0</v>
      </c>
      <c r="AC180" s="61">
        <f>(INDEX(($AM$106:$CK$111,$AM$115:$CK$120,$AM$124:$CK$129,$AM$133:$CK$138),MATCH($L$181,$AL$106:$AL$111,0),MATCH(A191,$AM$105:$CK$105,0),MATCH($G$179,$X$128:$X$131,0)))*C191</f>
        <v>0</v>
      </c>
      <c r="AD180" s="61">
        <f>(INDEX(($AM$106:$CK$111,$AM$115:$CK$120,$AM$124:$CK$129,$AM$133:$CK$138),MATCH($L$182,$AL$106:$AL$111,0),MATCH(A191,$AM$105:$CK$105,0),MATCH($G$179,$X$128:$X$131,0)))*C191</f>
        <v>0</v>
      </c>
      <c r="AE180" s="61">
        <f>(INDEX(($AM$106:$CK$111,$AM$115:$CK$120,$AM$124:$CK$129,$AM$133:$CK$138),MATCH($L$183,$AL$106:$AL$111,0),MATCH(A191,$AM$105:$CK$105,0),MATCH($G$179,$X$128:$X$131,0)))*C191</f>
        <v>0</v>
      </c>
      <c r="AF180" s="61"/>
      <c r="AG180" s="61"/>
      <c r="AH180" s="61"/>
      <c r="AI180" s="61"/>
      <c r="AJ180" s="61"/>
      <c r="AK180" s="61"/>
      <c r="AL180" s="61" t="s">
        <v>12</v>
      </c>
      <c r="AM180" s="61">
        <v>0</v>
      </c>
      <c r="AN180" s="61">
        <v>0</v>
      </c>
      <c r="AO180" s="61">
        <v>4</v>
      </c>
      <c r="AP180" s="61">
        <v>0</v>
      </c>
      <c r="AQ180" s="61">
        <v>2</v>
      </c>
      <c r="AR180" s="61">
        <v>4</v>
      </c>
      <c r="AS180" s="61">
        <v>0</v>
      </c>
      <c r="AT180" s="61">
        <v>2</v>
      </c>
      <c r="AU180" s="61">
        <v>4</v>
      </c>
      <c r="AV180" s="61">
        <v>0</v>
      </c>
      <c r="AW180" s="61">
        <v>0</v>
      </c>
      <c r="AX180" s="61">
        <v>0</v>
      </c>
      <c r="AY180" s="61">
        <v>0</v>
      </c>
      <c r="AZ180" s="61">
        <v>0</v>
      </c>
      <c r="BA180" s="61">
        <v>0</v>
      </c>
      <c r="BB180" s="61">
        <v>2</v>
      </c>
      <c r="BC180" s="61">
        <v>0</v>
      </c>
      <c r="BD180" s="61">
        <v>0</v>
      </c>
      <c r="BE180" s="61">
        <v>2</v>
      </c>
      <c r="BF180" s="61">
        <v>0</v>
      </c>
      <c r="BG180" s="61">
        <v>0</v>
      </c>
      <c r="BH180" s="61">
        <v>2</v>
      </c>
      <c r="BI180" s="61">
        <v>0</v>
      </c>
      <c r="BJ180" s="61">
        <v>0</v>
      </c>
      <c r="BK180" s="61">
        <v>0</v>
      </c>
      <c r="BL180" s="61">
        <v>0</v>
      </c>
      <c r="BM180" s="61">
        <v>0</v>
      </c>
      <c r="BN180" s="61">
        <v>0</v>
      </c>
      <c r="BO180" s="61">
        <v>0</v>
      </c>
      <c r="BP180" s="61">
        <v>0</v>
      </c>
      <c r="BQ180" s="61">
        <v>0</v>
      </c>
      <c r="BR180" s="61">
        <v>0</v>
      </c>
      <c r="BS180" s="61">
        <v>4</v>
      </c>
      <c r="BT180" s="61">
        <v>0</v>
      </c>
      <c r="BU180" s="61">
        <v>0</v>
      </c>
      <c r="BV180" s="61">
        <v>0</v>
      </c>
      <c r="BW180" s="61">
        <v>0</v>
      </c>
      <c r="BX180" s="61">
        <v>4</v>
      </c>
      <c r="BY180" s="61">
        <v>0</v>
      </c>
      <c r="BZ180" s="61">
        <v>0</v>
      </c>
      <c r="CA180" s="61">
        <v>0</v>
      </c>
      <c r="CB180" s="61">
        <v>0</v>
      </c>
      <c r="CC180" s="61">
        <v>0</v>
      </c>
      <c r="CD180" s="61">
        <v>0</v>
      </c>
      <c r="CE180" s="61">
        <v>0</v>
      </c>
      <c r="CF180" s="61">
        <v>0</v>
      </c>
      <c r="CG180" s="61">
        <v>0</v>
      </c>
      <c r="CH180" s="61">
        <v>0</v>
      </c>
      <c r="CI180" s="61">
        <v>0</v>
      </c>
      <c r="CJ180" s="61">
        <v>0</v>
      </c>
      <c r="CK180" s="61">
        <v>0</v>
      </c>
      <c r="CL180" s="61"/>
      <c r="CM180" s="61" t="s">
        <v>518</v>
      </c>
      <c r="CN180" s="61">
        <v>0</v>
      </c>
      <c r="CO180" s="61">
        <v>2</v>
      </c>
      <c r="CP180" s="61">
        <v>2</v>
      </c>
      <c r="CQ180" s="61">
        <v>0</v>
      </c>
      <c r="CR180" s="61">
        <v>4</v>
      </c>
      <c r="CS180" s="61">
        <v>2</v>
      </c>
      <c r="CT180" s="61">
        <v>0</v>
      </c>
      <c r="CU180" s="61">
        <v>4</v>
      </c>
      <c r="CV180" s="61">
        <v>2</v>
      </c>
      <c r="CW180" s="61">
        <v>0</v>
      </c>
      <c r="CX180" s="61">
        <v>4</v>
      </c>
      <c r="CY180" s="61">
        <v>2</v>
      </c>
      <c r="CZ180" s="61">
        <v>0</v>
      </c>
      <c r="DA180" s="61">
        <v>4</v>
      </c>
      <c r="DB180" s="61">
        <v>2</v>
      </c>
      <c r="DC180" s="61">
        <v>2</v>
      </c>
      <c r="DD180" s="61">
        <v>0</v>
      </c>
      <c r="DE180" s="61">
        <v>4</v>
      </c>
      <c r="DF180" s="61">
        <v>2</v>
      </c>
      <c r="DG180" s="61">
        <v>0</v>
      </c>
      <c r="DH180" s="61">
        <v>4</v>
      </c>
      <c r="DI180" s="61"/>
      <c r="DJ180" s="61"/>
      <c r="DK180" s="61"/>
      <c r="DL180" s="61"/>
      <c r="DM180" s="61" t="s">
        <v>293</v>
      </c>
      <c r="DN180" s="61">
        <v>0</v>
      </c>
      <c r="DO180" s="61">
        <v>2</v>
      </c>
      <c r="DP180" s="61">
        <v>0</v>
      </c>
      <c r="DQ180" s="61">
        <v>0</v>
      </c>
      <c r="DR180" s="61">
        <v>2</v>
      </c>
      <c r="DS180" s="61">
        <v>2</v>
      </c>
      <c r="DT180" s="61">
        <v>0</v>
      </c>
      <c r="DU180" s="61">
        <v>4</v>
      </c>
      <c r="DV180" s="61">
        <v>2</v>
      </c>
      <c r="DW180" s="61">
        <v>0</v>
      </c>
      <c r="DX180" s="61">
        <v>4</v>
      </c>
      <c r="DY180" s="61">
        <v>2</v>
      </c>
      <c r="DZ180" s="61">
        <v>0</v>
      </c>
      <c r="EA180" s="61">
        <v>4</v>
      </c>
      <c r="EB180" s="61">
        <v>2</v>
      </c>
      <c r="EC180" s="61">
        <v>0</v>
      </c>
      <c r="ED180" s="61">
        <v>4</v>
      </c>
      <c r="EE180" s="61">
        <v>2</v>
      </c>
      <c r="EF180" s="61">
        <v>0</v>
      </c>
      <c r="EG180" s="61">
        <v>4</v>
      </c>
      <c r="EH180" s="61">
        <v>2</v>
      </c>
      <c r="EI180" s="61"/>
      <c r="EJ180" s="61"/>
      <c r="EK180" s="61"/>
      <c r="EL180" s="61"/>
      <c r="EM180" s="61"/>
      <c r="EN180" s="61"/>
      <c r="EO180" s="61"/>
      <c r="EP180" s="61"/>
      <c r="EQ180" s="61"/>
      <c r="ER180" s="61"/>
      <c r="ES180" s="61"/>
      <c r="ET180" s="61"/>
      <c r="EU180" s="61"/>
      <c r="EV180" s="61" t="s">
        <v>210</v>
      </c>
      <c r="EW180" s="61">
        <v>0</v>
      </c>
      <c r="EX180" s="61">
        <v>0</v>
      </c>
      <c r="EY180" s="61">
        <v>0</v>
      </c>
      <c r="EZ180" s="61">
        <v>0</v>
      </c>
      <c r="FA180" s="61">
        <v>0</v>
      </c>
      <c r="FB180" s="61">
        <v>0</v>
      </c>
      <c r="FC180" s="61">
        <v>0</v>
      </c>
      <c r="FD180" s="61">
        <v>0</v>
      </c>
      <c r="FE180" s="61">
        <v>0</v>
      </c>
      <c r="FF180" s="61">
        <v>0</v>
      </c>
      <c r="FG180" s="61">
        <v>0</v>
      </c>
      <c r="FH180" s="61"/>
      <c r="FI180" s="61"/>
      <c r="FJ180" s="61">
        <v>0</v>
      </c>
      <c r="FK180" s="61">
        <v>1</v>
      </c>
      <c r="FL180" s="61">
        <v>2</v>
      </c>
      <c r="FM180" s="61">
        <v>3</v>
      </c>
      <c r="FN180" s="61">
        <v>4</v>
      </c>
      <c r="FO180" s="61">
        <v>5</v>
      </c>
      <c r="FP180" s="61">
        <v>6</v>
      </c>
      <c r="FQ180" s="61">
        <v>7</v>
      </c>
      <c r="FR180" s="61">
        <v>8</v>
      </c>
      <c r="FS180" s="61">
        <v>9</v>
      </c>
      <c r="FT180" s="61">
        <v>10</v>
      </c>
      <c r="FU180" s="61"/>
      <c r="FV180" s="61"/>
      <c r="FW180" s="61"/>
      <c r="FX180" s="61"/>
      <c r="FY180" s="61"/>
      <c r="FZ180" s="61"/>
      <c r="GA180" s="61"/>
      <c r="GB180" s="61"/>
      <c r="GC180" s="61"/>
      <c r="GD180" s="61"/>
      <c r="GE180" s="61"/>
      <c r="GF180" s="61"/>
      <c r="GG180" s="61"/>
      <c r="GH180" s="61"/>
      <c r="GI180" s="61"/>
      <c r="GJ180" s="61"/>
      <c r="GK180" s="61"/>
      <c r="GL180" s="61"/>
      <c r="GM180" s="61"/>
      <c r="GN180" s="61"/>
      <c r="GO180" s="61"/>
      <c r="GP180" s="61"/>
      <c r="GQ180" s="61"/>
      <c r="GR180" s="61"/>
      <c r="GS180" s="61"/>
      <c r="GT180" s="61"/>
      <c r="GU180" s="61"/>
      <c r="GV180" s="61"/>
      <c r="GW180" s="61"/>
      <c r="HV180" s="60" t="s">
        <v>825</v>
      </c>
      <c r="HW180" s="60">
        <v>0</v>
      </c>
      <c r="HX180" s="60">
        <v>0</v>
      </c>
      <c r="HY180" s="60">
        <v>0</v>
      </c>
      <c r="HZ180" s="60">
        <v>4</v>
      </c>
      <c r="IA180" s="60">
        <v>4</v>
      </c>
      <c r="IB180" s="60">
        <v>4</v>
      </c>
      <c r="IC180" s="60">
        <v>8</v>
      </c>
      <c r="ID180" s="60">
        <v>8</v>
      </c>
      <c r="IE180" s="60">
        <v>10</v>
      </c>
      <c r="IF180" s="60">
        <v>10</v>
      </c>
      <c r="IG180" s="60">
        <v>14</v>
      </c>
      <c r="IH180" s="60">
        <v>14</v>
      </c>
      <c r="II180" s="60">
        <v>14</v>
      </c>
      <c r="IJ180" s="60">
        <v>18</v>
      </c>
      <c r="IK180" s="60">
        <v>18</v>
      </c>
      <c r="IL180" s="60">
        <v>18</v>
      </c>
      <c r="IM180" s="60">
        <v>22</v>
      </c>
      <c r="IN180" s="60">
        <v>22</v>
      </c>
      <c r="IO180" s="60">
        <v>22</v>
      </c>
      <c r="IP180" s="60">
        <v>26</v>
      </c>
      <c r="IQ180" s="60">
        <v>26</v>
      </c>
      <c r="IS180" s="60" t="s">
        <v>825</v>
      </c>
      <c r="IT180" s="60">
        <f t="shared" si="125"/>
        <v>0</v>
      </c>
      <c r="IU180" s="60">
        <f t="shared" si="126"/>
        <v>0</v>
      </c>
      <c r="IV180" s="60">
        <f t="shared" si="127"/>
        <v>0</v>
      </c>
      <c r="IW180" s="60">
        <f t="shared" si="128"/>
        <v>8</v>
      </c>
      <c r="IX180" s="60">
        <f t="shared" si="129"/>
        <v>8</v>
      </c>
      <c r="IY180" s="60">
        <f t="shared" si="130"/>
        <v>8</v>
      </c>
      <c r="IZ180" s="60">
        <f t="shared" si="131"/>
        <v>16</v>
      </c>
      <c r="JA180" s="60">
        <f t="shared" si="132"/>
        <v>16</v>
      </c>
      <c r="JB180" s="60">
        <f t="shared" si="122"/>
        <v>20</v>
      </c>
      <c r="JC180" s="60">
        <f t="shared" si="133"/>
        <v>20</v>
      </c>
      <c r="JD180" s="60">
        <f t="shared" si="134"/>
        <v>28</v>
      </c>
      <c r="JE180" s="60">
        <f t="shared" si="135"/>
        <v>28</v>
      </c>
      <c r="JF180" s="60">
        <f t="shared" si="136"/>
        <v>28</v>
      </c>
      <c r="JG180" s="60">
        <f t="shared" si="137"/>
        <v>36</v>
      </c>
      <c r="JH180" s="60">
        <f t="shared" si="138"/>
        <v>36</v>
      </c>
      <c r="JI180" s="60">
        <f t="shared" si="139"/>
        <v>36</v>
      </c>
      <c r="JJ180" s="60">
        <f t="shared" si="140"/>
        <v>44</v>
      </c>
      <c r="JK180" s="60">
        <f t="shared" si="141"/>
        <v>44</v>
      </c>
      <c r="JL180" s="60">
        <f t="shared" si="142"/>
        <v>44</v>
      </c>
      <c r="JM180" s="60">
        <f t="shared" si="143"/>
        <v>52</v>
      </c>
      <c r="JN180" s="60">
        <f t="shared" si="144"/>
        <v>52</v>
      </c>
    </row>
    <row r="181" spans="1:274" x14ac:dyDescent="0.25">
      <c r="A181" s="8"/>
      <c r="B181" s="5" t="s">
        <v>116</v>
      </c>
      <c r="C181" s="8"/>
      <c r="D181" s="6" t="s">
        <v>124</v>
      </c>
      <c r="E181" s="8" t="s">
        <v>125</v>
      </c>
      <c r="F181" s="5"/>
      <c r="G181" s="5"/>
      <c r="H181" s="5"/>
      <c r="I181" s="5"/>
      <c r="J181" s="5"/>
      <c r="K181" s="9"/>
      <c r="L181" s="6" t="s">
        <v>127</v>
      </c>
      <c r="M181" s="11">
        <f>INDEX(cennik!$C$2:$L$529,MATCH($L181,cennik!$B$2:$B$522,0),MATCH(M$104,cennik!$C$1:$L$1,0))</f>
        <v>894622</v>
      </c>
      <c r="N181" s="11" t="str">
        <f>INDEX(cennik!$C$2:$L$529,MATCH($L181,cennik!$B$2:$B$522,0),MATCH(N$104,cennik!$C$1:$L$1,0))</f>
        <v>szt.</v>
      </c>
      <c r="O181" s="11">
        <f>SUM(AC167:AC182)</f>
        <v>0</v>
      </c>
      <c r="P181" s="34">
        <f>INDEX(cennik!$C$2:$L$529,MATCH($L181,cennik!$B$2:$B$522,0),MATCH(P$104,cennik!$C$1:$L$1,0))</f>
        <v>68.2</v>
      </c>
      <c r="Q181" s="34">
        <f t="shared" si="149"/>
        <v>0</v>
      </c>
      <c r="R181" s="35">
        <f t="shared" si="147"/>
        <v>0</v>
      </c>
      <c r="S181" s="34">
        <f t="shared" si="148"/>
        <v>68.2</v>
      </c>
      <c r="T181" s="34">
        <f t="shared" si="150"/>
        <v>0</v>
      </c>
      <c r="U181" s="34">
        <f>INDEX(cennik!$C$2:$L$529,MATCH($L181,cennik!$B$2:$B$522,0),MATCH(U$104,cennik!$C$1:$L$1,0))*O181</f>
        <v>0</v>
      </c>
      <c r="V181" s="61"/>
      <c r="W181" s="142">
        <f t="shared" si="120"/>
        <v>0</v>
      </c>
      <c r="X181" s="61">
        <f t="shared" si="121"/>
        <v>0</v>
      </c>
      <c r="Y181" s="61"/>
      <c r="Z181" s="61">
        <f>(INDEX(($AM$106:$CK$111,$AM$115:$CK$120,$AM$124:$CK$129,$AM$133:$CK$138),MATCH($L$184,$AL$106:$AL$111,0),MATCH(A192,$AM$105:$CK$105,0),MATCH($G$179,$X$128:$X$131,0)))*C192</f>
        <v>0</v>
      </c>
      <c r="AA181" s="61">
        <f>(INDEX(($AM$106:$CK$111,$AM$115:$CK$120,$AM$124:$CK$129,$AM$133:$CK$138),MATCH($L$179,$AL$106:$AL$111,0),MATCH(A192,$AM$105:$CK$105,0),MATCH($G$179,$X$128:$X$131,0)))*C192</f>
        <v>0</v>
      </c>
      <c r="AB181" s="61">
        <f>(INDEX(($AM$106:$CK$111,$AM$115:$CK$120,$AM$124:$CK$129,$AM$133:$CK$138),MATCH($L$180,$AL$106:$AL$111,0),MATCH(A192,$AM$105:$CK$105,0),MATCH($G$179,$X$128:$X$131,0)))*C192</f>
        <v>0</v>
      </c>
      <c r="AC181" s="61">
        <f>(INDEX(($AM$106:$CK$111,$AM$115:$CK$120,$AM$124:$CK$129,$AM$133:$CK$138),MATCH($L$181,$AL$106:$AL$111,0),MATCH(A192,$AM$105:$CK$105,0),MATCH($G$179,$X$128:$X$131,0)))*C192</f>
        <v>0</v>
      </c>
      <c r="AD181" s="61">
        <f>(INDEX(($AM$106:$CK$111,$AM$115:$CK$120,$AM$124:$CK$129,$AM$133:$CK$138),MATCH($L$182,$AL$106:$AL$111,0),MATCH(A192,$AM$105:$CK$105,0),MATCH($G$179,$X$128:$X$131,0)))*C192</f>
        <v>0</v>
      </c>
      <c r="AE181" s="61">
        <f>(INDEX(($AM$106:$CK$111,$AM$115:$CK$120,$AM$124:$CK$129,$AM$133:$CK$138),MATCH($L$183,$AL$106:$AL$111,0),MATCH(A192,$AM$105:$CK$105,0),MATCH($G$179,$X$128:$X$131,0)))*C192</f>
        <v>0</v>
      </c>
      <c r="AF181" s="61"/>
      <c r="AG181" s="61"/>
      <c r="AH181" s="61"/>
      <c r="AI181" s="61"/>
      <c r="AJ181" s="61"/>
      <c r="AK181" s="61"/>
      <c r="AL181" s="61" t="s">
        <v>127</v>
      </c>
      <c r="AM181" s="61">
        <v>0</v>
      </c>
      <c r="AN181" s="61">
        <v>2</v>
      </c>
      <c r="AO181" s="61">
        <v>0</v>
      </c>
      <c r="AP181" s="61">
        <v>0</v>
      </c>
      <c r="AQ181" s="61">
        <v>0</v>
      </c>
      <c r="AR181" s="61">
        <v>0</v>
      </c>
      <c r="AS181" s="61">
        <v>0</v>
      </c>
      <c r="AT181" s="61">
        <v>0</v>
      </c>
      <c r="AU181" s="61">
        <v>0</v>
      </c>
      <c r="AV181" s="61">
        <v>2</v>
      </c>
      <c r="AW181" s="61">
        <v>4</v>
      </c>
      <c r="AX181" s="61">
        <v>0</v>
      </c>
      <c r="AY181" s="61">
        <v>2</v>
      </c>
      <c r="AZ181" s="61">
        <v>4</v>
      </c>
      <c r="BA181" s="61">
        <v>0</v>
      </c>
      <c r="BB181" s="61">
        <v>0</v>
      </c>
      <c r="BC181" s="61">
        <v>4</v>
      </c>
      <c r="BD181" s="61">
        <v>0</v>
      </c>
      <c r="BE181" s="61">
        <v>0</v>
      </c>
      <c r="BF181" s="61">
        <v>0</v>
      </c>
      <c r="BG181" s="61">
        <v>0</v>
      </c>
      <c r="BH181" s="61">
        <v>0</v>
      </c>
      <c r="BI181" s="61">
        <v>0</v>
      </c>
      <c r="BJ181" s="61">
        <v>0</v>
      </c>
      <c r="BK181" s="61">
        <v>2</v>
      </c>
      <c r="BL181" s="61">
        <v>0</v>
      </c>
      <c r="BM181" s="61">
        <v>2</v>
      </c>
      <c r="BN181" s="61">
        <v>0</v>
      </c>
      <c r="BO181" s="61">
        <v>0</v>
      </c>
      <c r="BP181" s="61">
        <v>0</v>
      </c>
      <c r="BQ181" s="61">
        <v>0</v>
      </c>
      <c r="BR181" s="61">
        <v>0</v>
      </c>
      <c r="BS181" s="61">
        <v>0</v>
      </c>
      <c r="BT181" s="61">
        <v>0</v>
      </c>
      <c r="BU181" s="61">
        <v>0</v>
      </c>
      <c r="BV181" s="61">
        <v>0</v>
      </c>
      <c r="BW181" s="61">
        <v>0</v>
      </c>
      <c r="BX181" s="61">
        <v>0</v>
      </c>
      <c r="BY181" s="61">
        <v>0</v>
      </c>
      <c r="BZ181" s="61">
        <v>0</v>
      </c>
      <c r="CA181" s="61">
        <v>2</v>
      </c>
      <c r="CB181" s="61">
        <v>0</v>
      </c>
      <c r="CC181" s="61">
        <v>2</v>
      </c>
      <c r="CD181" s="61">
        <v>0</v>
      </c>
      <c r="CE181" s="61">
        <v>0</v>
      </c>
      <c r="CF181" s="61">
        <v>0</v>
      </c>
      <c r="CG181" s="61">
        <v>0</v>
      </c>
      <c r="CH181" s="61">
        <v>0</v>
      </c>
      <c r="CI181" s="61">
        <v>0</v>
      </c>
      <c r="CJ181" s="61">
        <v>0</v>
      </c>
      <c r="CK181" s="61">
        <v>0</v>
      </c>
      <c r="CL181" s="61"/>
      <c r="CM181" s="61" t="s">
        <v>520</v>
      </c>
      <c r="CN181" s="61">
        <v>0</v>
      </c>
      <c r="CO181" s="61">
        <v>0</v>
      </c>
      <c r="CP181" s="61">
        <v>0</v>
      </c>
      <c r="CQ181" s="61">
        <v>2</v>
      </c>
      <c r="CR181" s="61">
        <v>0</v>
      </c>
      <c r="CS181" s="61">
        <v>2</v>
      </c>
      <c r="CT181" s="61">
        <v>4</v>
      </c>
      <c r="CU181" s="61">
        <v>2</v>
      </c>
      <c r="CV181" s="61">
        <v>4</v>
      </c>
      <c r="CW181" s="61">
        <v>6</v>
      </c>
      <c r="CX181" s="61">
        <v>4</v>
      </c>
      <c r="CY181" s="61">
        <v>6</v>
      </c>
      <c r="CZ181" s="61">
        <v>8</v>
      </c>
      <c r="DA181" s="61">
        <v>6</v>
      </c>
      <c r="DB181" s="61">
        <v>8</v>
      </c>
      <c r="DC181" s="61">
        <v>8</v>
      </c>
      <c r="DD181" s="61">
        <v>10</v>
      </c>
      <c r="DE181" s="61">
        <v>8</v>
      </c>
      <c r="DF181" s="61">
        <v>10</v>
      </c>
      <c r="DG181" s="61">
        <v>12</v>
      </c>
      <c r="DH181" s="61">
        <v>10</v>
      </c>
      <c r="DI181" s="61"/>
      <c r="DJ181" s="61"/>
      <c r="DK181" s="61"/>
      <c r="DL181" s="61"/>
      <c r="DM181" s="61" t="s">
        <v>212</v>
      </c>
      <c r="DN181" s="61">
        <v>0</v>
      </c>
      <c r="DO181" s="61">
        <v>0</v>
      </c>
      <c r="DP181" s="61">
        <v>2</v>
      </c>
      <c r="DQ181" s="61">
        <v>2</v>
      </c>
      <c r="DR181" s="61">
        <v>2</v>
      </c>
      <c r="DS181" s="61">
        <v>2</v>
      </c>
      <c r="DT181" s="61">
        <v>4</v>
      </c>
      <c r="DU181" s="61">
        <v>2</v>
      </c>
      <c r="DV181" s="61">
        <v>4</v>
      </c>
      <c r="DW181" s="61">
        <v>6</v>
      </c>
      <c r="DX181" s="61">
        <v>4</v>
      </c>
      <c r="DY181" s="61">
        <v>6</v>
      </c>
      <c r="DZ181" s="61">
        <v>8</v>
      </c>
      <c r="EA181" s="61">
        <v>6</v>
      </c>
      <c r="EB181" s="61">
        <v>8</v>
      </c>
      <c r="EC181" s="61">
        <v>10</v>
      </c>
      <c r="ED181" s="61">
        <v>8</v>
      </c>
      <c r="EE181" s="61">
        <v>10</v>
      </c>
      <c r="EF181" s="61">
        <v>12</v>
      </c>
      <c r="EG181" s="61">
        <v>10</v>
      </c>
      <c r="EH181" s="61">
        <v>12</v>
      </c>
      <c r="EI181" s="61"/>
      <c r="EJ181" s="61"/>
      <c r="EK181" s="61"/>
      <c r="EL181" s="61"/>
      <c r="EM181" s="61"/>
      <c r="EN181" s="61"/>
      <c r="EO181" s="61"/>
      <c r="EP181" s="61"/>
      <c r="EQ181" s="61"/>
      <c r="ER181" s="61"/>
      <c r="ES181" s="61"/>
      <c r="ET181" s="61"/>
      <c r="EU181" s="61"/>
      <c r="EV181" s="61" t="s">
        <v>9</v>
      </c>
      <c r="EW181" s="61">
        <v>0</v>
      </c>
      <c r="EX181" s="61">
        <v>0</v>
      </c>
      <c r="EY181" s="61">
        <v>0</v>
      </c>
      <c r="EZ181" s="61">
        <v>0</v>
      </c>
      <c r="FA181" s="61">
        <v>0</v>
      </c>
      <c r="FB181" s="61">
        <v>0</v>
      </c>
      <c r="FC181" s="61">
        <v>0</v>
      </c>
      <c r="FD181" s="61">
        <v>0</v>
      </c>
      <c r="FE181" s="61">
        <v>0</v>
      </c>
      <c r="FF181" s="61">
        <v>0</v>
      </c>
      <c r="FG181" s="61">
        <v>0</v>
      </c>
      <c r="FH181" s="61"/>
      <c r="FI181" s="61" t="s">
        <v>210</v>
      </c>
      <c r="FJ181" s="61">
        <v>0</v>
      </c>
      <c r="FK181" s="61">
        <v>0</v>
      </c>
      <c r="FL181" s="61">
        <v>2</v>
      </c>
      <c r="FM181" s="61">
        <v>0</v>
      </c>
      <c r="FN181" s="61">
        <v>2</v>
      </c>
      <c r="FO181" s="61">
        <v>0</v>
      </c>
      <c r="FP181" s="61">
        <v>0</v>
      </c>
      <c r="FQ181" s="61">
        <v>0</v>
      </c>
      <c r="FR181" s="61">
        <v>0</v>
      </c>
      <c r="FS181" s="61">
        <v>0</v>
      </c>
      <c r="FT181" s="61">
        <v>0</v>
      </c>
      <c r="FU181" s="61"/>
      <c r="FV181" s="61"/>
      <c r="FW181" s="61"/>
      <c r="FX181" s="61"/>
      <c r="FY181" s="61"/>
      <c r="FZ181" s="61"/>
      <c r="GA181" s="60" t="s">
        <v>111</v>
      </c>
      <c r="GB181" s="61"/>
      <c r="GC181" s="61"/>
      <c r="GD181" s="61"/>
      <c r="GE181" s="61"/>
      <c r="GF181" s="61"/>
      <c r="GG181" s="61"/>
      <c r="GH181" s="61"/>
      <c r="GI181" s="61"/>
      <c r="GJ181" s="61"/>
      <c r="GK181" s="61"/>
      <c r="GL181" s="61"/>
      <c r="GM181" s="61"/>
      <c r="GN181" s="61"/>
      <c r="GO181" s="61"/>
      <c r="GP181" s="61"/>
      <c r="GQ181" s="61"/>
      <c r="GR181" s="61"/>
      <c r="GS181" s="61"/>
      <c r="GT181" s="61"/>
      <c r="GU181" s="61"/>
      <c r="GV181" s="61"/>
      <c r="GW181" s="61"/>
      <c r="GX181" s="61"/>
      <c r="HV181" s="60" t="s">
        <v>853</v>
      </c>
      <c r="HW181" s="60">
        <v>0</v>
      </c>
      <c r="HX181" s="60">
        <v>0</v>
      </c>
      <c r="HY181" s="60">
        <v>2</v>
      </c>
      <c r="HZ181" s="60">
        <v>2</v>
      </c>
      <c r="IA181" s="60">
        <v>4</v>
      </c>
      <c r="IB181" s="60">
        <v>6</v>
      </c>
      <c r="IC181" s="60">
        <v>6</v>
      </c>
      <c r="ID181" s="60">
        <v>8</v>
      </c>
      <c r="IE181" s="60">
        <v>10</v>
      </c>
      <c r="IF181" s="60">
        <v>12</v>
      </c>
      <c r="IG181" s="60">
        <v>12</v>
      </c>
      <c r="IH181" s="60">
        <v>14</v>
      </c>
      <c r="II181" s="60">
        <v>16</v>
      </c>
      <c r="IJ181" s="60">
        <v>16</v>
      </c>
      <c r="IK181" s="60">
        <v>18</v>
      </c>
      <c r="IL181" s="60">
        <v>20</v>
      </c>
      <c r="IM181" s="60">
        <v>20</v>
      </c>
      <c r="IN181" s="60">
        <v>22</v>
      </c>
      <c r="IO181" s="60">
        <v>24</v>
      </c>
      <c r="IP181" s="60">
        <v>24</v>
      </c>
      <c r="IQ181" s="60">
        <v>26</v>
      </c>
      <c r="IS181" s="60" t="s">
        <v>853</v>
      </c>
      <c r="IT181" s="60">
        <f t="shared" si="125"/>
        <v>0</v>
      </c>
      <c r="IU181" s="60">
        <f t="shared" si="126"/>
        <v>0</v>
      </c>
      <c r="IV181" s="60">
        <f t="shared" si="127"/>
        <v>4</v>
      </c>
      <c r="IW181" s="60">
        <f t="shared" si="128"/>
        <v>4</v>
      </c>
      <c r="IX181" s="60">
        <f t="shared" si="129"/>
        <v>8</v>
      </c>
      <c r="IY181" s="60">
        <f t="shared" si="130"/>
        <v>12</v>
      </c>
      <c r="IZ181" s="60">
        <f t="shared" si="131"/>
        <v>12</v>
      </c>
      <c r="JA181" s="60">
        <f t="shared" si="132"/>
        <v>16</v>
      </c>
      <c r="JB181" s="60">
        <f t="shared" si="122"/>
        <v>20</v>
      </c>
      <c r="JC181" s="60">
        <f t="shared" si="133"/>
        <v>24</v>
      </c>
      <c r="JD181" s="60">
        <f t="shared" si="134"/>
        <v>24</v>
      </c>
      <c r="JE181" s="60">
        <f t="shared" si="135"/>
        <v>28</v>
      </c>
      <c r="JF181" s="60">
        <f t="shared" si="136"/>
        <v>32</v>
      </c>
      <c r="JG181" s="60">
        <f t="shared" si="137"/>
        <v>32</v>
      </c>
      <c r="JH181" s="60">
        <f t="shared" si="138"/>
        <v>36</v>
      </c>
      <c r="JI181" s="60">
        <f t="shared" si="139"/>
        <v>40</v>
      </c>
      <c r="JJ181" s="60">
        <f t="shared" si="140"/>
        <v>40</v>
      </c>
      <c r="JK181" s="60">
        <f t="shared" si="141"/>
        <v>44</v>
      </c>
      <c r="JL181" s="60">
        <f t="shared" si="142"/>
        <v>48</v>
      </c>
      <c r="JM181" s="60">
        <f t="shared" si="143"/>
        <v>48</v>
      </c>
      <c r="JN181" s="60">
        <f t="shared" si="144"/>
        <v>52</v>
      </c>
    </row>
    <row r="182" spans="1:274" x14ac:dyDescent="0.25">
      <c r="A182" s="8"/>
      <c r="B182" s="5" t="s">
        <v>116</v>
      </c>
      <c r="C182" s="8"/>
      <c r="D182" s="6" t="s">
        <v>307</v>
      </c>
      <c r="E182" s="8" t="s">
        <v>308</v>
      </c>
      <c r="F182" s="37" t="str">
        <f>IF(E182="balastowa","wartość balastu określa konstruktor","")</f>
        <v>wartość balastu określa konstruktor</v>
      </c>
      <c r="G182" s="5"/>
      <c r="H182" s="5"/>
      <c r="I182" s="5"/>
      <c r="J182" s="5"/>
      <c r="K182" s="9"/>
      <c r="L182" s="6" t="s">
        <v>15</v>
      </c>
      <c r="M182" s="11">
        <f>INDEX(cennik!$C$2:$L$529,MATCH($L182,cennik!$B$2:$B$522,0),MATCH(M$104,cennik!$C$1:$L$1,0))</f>
        <v>894631</v>
      </c>
      <c r="N182" s="11" t="str">
        <f>INDEX(cennik!$C$2:$L$529,MATCH($L182,cennik!$B$2:$B$522,0),MATCH(N$104,cennik!$C$1:$L$1,0))</f>
        <v>szt.</v>
      </c>
      <c r="O182" s="11">
        <f>SUM(AD167:AD182)</f>
        <v>0</v>
      </c>
      <c r="P182" s="34">
        <f>INDEX(cennik!$C$2:$L$529,MATCH($L182,cennik!$B$2:$B$522,0),MATCH(P$104,cennik!$C$1:$L$1,0))</f>
        <v>97.65</v>
      </c>
      <c r="Q182" s="34">
        <f t="shared" si="149"/>
        <v>0</v>
      </c>
      <c r="R182" s="35">
        <f t="shared" si="147"/>
        <v>0</v>
      </c>
      <c r="S182" s="34">
        <f t="shared" si="148"/>
        <v>97.65</v>
      </c>
      <c r="T182" s="34">
        <f t="shared" si="150"/>
        <v>0</v>
      </c>
      <c r="U182" s="34">
        <f>INDEX(cennik!$C$2:$L$529,MATCH($L182,cennik!$B$2:$B$522,0),MATCH(U$104,cennik!$C$1:$L$1,0))*O182</f>
        <v>0</v>
      </c>
      <c r="V182" s="61"/>
      <c r="W182" s="142">
        <f t="shared" si="120"/>
        <v>0</v>
      </c>
      <c r="X182" s="61">
        <f t="shared" si="121"/>
        <v>0</v>
      </c>
      <c r="Y182" s="61"/>
      <c r="Z182" s="61">
        <f>(INDEX(($AM$106:$CK$111,$AM$115:$CK$120,$AM$124:$CK$129,$AM$133:$CK$138),MATCH($L$184,$AL$106:$AL$111,0),MATCH(A193,$AM$105:$CK$105,0),MATCH($G$179,$X$128:$X$131,0)))*C193</f>
        <v>0</v>
      </c>
      <c r="AA182" s="61">
        <f>(INDEX(($AM$106:$CK$111,$AM$115:$CK$120,$AM$124:$CK$129,$AM$133:$CK$138),MATCH($L$179,$AL$106:$AL$111,0),MATCH(A193,$AM$105:$CK$105,0),MATCH($G$179,$X$128:$X$131,0)))*C193</f>
        <v>0</v>
      </c>
      <c r="AB182" s="61">
        <f>(INDEX(($AM$106:$CK$111,$AM$115:$CK$120,$AM$124:$CK$129,$AM$133:$CK$138),MATCH($L$180,$AL$106:$AL$111,0),MATCH(A193,$AM$105:$CK$105,0),MATCH($G$179,$X$128:$X$131,0)))*C193</f>
        <v>0</v>
      </c>
      <c r="AC182" s="61">
        <f>(INDEX(($AM$106:$CK$111,$AM$115:$CK$120,$AM$124:$CK$129,$AM$133:$CK$138),MATCH($L$181,$AL$106:$AL$111,0),MATCH(A193,$AM$105:$CK$105,0),MATCH($G$179,$X$128:$X$131,0)))*C193</f>
        <v>0</v>
      </c>
      <c r="AD182" s="61">
        <f>(INDEX(($AM$106:$CK$111,$AM$115:$CK$120,$AM$124:$CK$129,$AM$133:$CK$138),MATCH($L$182,$AL$106:$AL$111,0),MATCH(A193,$AM$105:$CK$105,0),MATCH($G$179,$X$128:$X$131,0)))*C193</f>
        <v>0</v>
      </c>
      <c r="AE182" s="61">
        <f>(INDEX(($AM$106:$CK$111,$AM$115:$CK$120,$AM$124:$CK$129,$AM$133:$CK$138),MATCH($L$183,$AL$106:$AL$111,0),MATCH(A193,$AM$105:$CK$105,0),MATCH($G$179,$X$128:$X$131,0)))*C193</f>
        <v>0</v>
      </c>
      <c r="AF182" s="61"/>
      <c r="AG182" s="61"/>
      <c r="AH182" s="61"/>
      <c r="AI182" s="61"/>
      <c r="AJ182" s="61"/>
      <c r="AK182" s="61"/>
      <c r="AL182" s="61" t="s">
        <v>15</v>
      </c>
      <c r="AM182" s="61">
        <v>0</v>
      </c>
      <c r="AN182" s="61">
        <v>0</v>
      </c>
      <c r="AO182" s="61">
        <v>0</v>
      </c>
      <c r="AP182" s="61">
        <v>4</v>
      </c>
      <c r="AQ182" s="61">
        <v>4</v>
      </c>
      <c r="AR182" s="61">
        <v>4</v>
      </c>
      <c r="AS182" s="61">
        <v>8</v>
      </c>
      <c r="AT182" s="61">
        <v>8</v>
      </c>
      <c r="AU182" s="61">
        <v>8</v>
      </c>
      <c r="AV182" s="61">
        <v>0</v>
      </c>
      <c r="AW182" s="61">
        <v>0</v>
      </c>
      <c r="AX182" s="61">
        <v>2</v>
      </c>
      <c r="AY182" s="61">
        <v>2</v>
      </c>
      <c r="AZ182" s="61">
        <v>4</v>
      </c>
      <c r="BA182" s="61">
        <v>6</v>
      </c>
      <c r="BB182" s="61">
        <v>6</v>
      </c>
      <c r="BC182" s="61">
        <v>8</v>
      </c>
      <c r="BD182" s="61">
        <v>10</v>
      </c>
      <c r="BE182" s="61">
        <v>10</v>
      </c>
      <c r="BF182" s="61">
        <v>0</v>
      </c>
      <c r="BG182" s="61">
        <v>14</v>
      </c>
      <c r="BH182" s="61">
        <v>14</v>
      </c>
      <c r="BI182" s="61">
        <v>2</v>
      </c>
      <c r="BJ182" s="61">
        <v>18</v>
      </c>
      <c r="BK182" s="61">
        <v>20</v>
      </c>
      <c r="BL182" s="61">
        <v>8</v>
      </c>
      <c r="BM182" s="61">
        <v>8</v>
      </c>
      <c r="BN182" s="61">
        <v>2</v>
      </c>
      <c r="BO182" s="61">
        <v>12</v>
      </c>
      <c r="BP182" s="61">
        <v>28</v>
      </c>
      <c r="BQ182" s="61">
        <v>0</v>
      </c>
      <c r="BR182" s="61">
        <v>16</v>
      </c>
      <c r="BS182" s="61">
        <v>8</v>
      </c>
      <c r="BT182" s="61">
        <v>4</v>
      </c>
      <c r="BU182" s="61">
        <v>20</v>
      </c>
      <c r="BV182" s="61">
        <v>0</v>
      </c>
      <c r="BW182" s="61">
        <v>8</v>
      </c>
      <c r="BX182" s="61">
        <v>2</v>
      </c>
      <c r="BY182" s="61">
        <v>0</v>
      </c>
      <c r="BZ182" s="61">
        <v>12</v>
      </c>
      <c r="CA182" s="61">
        <v>14</v>
      </c>
      <c r="CB182" s="61">
        <v>2</v>
      </c>
      <c r="CC182" s="61">
        <v>2</v>
      </c>
      <c r="CD182" s="61">
        <v>0</v>
      </c>
      <c r="CE182" s="61">
        <v>6</v>
      </c>
      <c r="CF182" s="61">
        <v>22</v>
      </c>
      <c r="CG182" s="61">
        <v>22</v>
      </c>
      <c r="CH182" s="61">
        <v>10</v>
      </c>
      <c r="CI182" s="61">
        <v>26</v>
      </c>
      <c r="CJ182" s="61">
        <v>0</v>
      </c>
      <c r="CK182" s="61">
        <v>14</v>
      </c>
      <c r="CL182" s="61"/>
      <c r="CM182" s="61" t="s">
        <v>521</v>
      </c>
      <c r="CN182" s="61">
        <v>0</v>
      </c>
      <c r="CO182" s="61">
        <v>0</v>
      </c>
      <c r="CP182" s="61">
        <v>0</v>
      </c>
      <c r="CQ182" s="61">
        <v>0</v>
      </c>
      <c r="CR182" s="61">
        <v>4</v>
      </c>
      <c r="CS182" s="61">
        <v>4</v>
      </c>
      <c r="CT182" s="61">
        <v>4</v>
      </c>
      <c r="CU182" s="61">
        <v>8</v>
      </c>
      <c r="CV182" s="61">
        <v>8</v>
      </c>
      <c r="CW182" s="61">
        <v>8</v>
      </c>
      <c r="CX182" s="61">
        <v>12</v>
      </c>
      <c r="CY182" s="61">
        <v>12</v>
      </c>
      <c r="CZ182" s="61">
        <v>12</v>
      </c>
      <c r="DA182" s="61">
        <v>16</v>
      </c>
      <c r="DB182" s="61">
        <v>16</v>
      </c>
      <c r="DC182" s="61">
        <v>16</v>
      </c>
      <c r="DD182" s="61">
        <v>16</v>
      </c>
      <c r="DE182" s="61">
        <v>20</v>
      </c>
      <c r="DF182" s="61">
        <v>20</v>
      </c>
      <c r="DG182" s="61">
        <v>20</v>
      </c>
      <c r="DH182" s="61">
        <v>24</v>
      </c>
      <c r="DI182" s="61"/>
      <c r="DJ182" s="61"/>
      <c r="DK182" s="61"/>
      <c r="DL182" s="61"/>
      <c r="DM182" s="61" t="s">
        <v>11</v>
      </c>
      <c r="DN182" s="61">
        <v>0</v>
      </c>
      <c r="DO182" s="61">
        <v>0</v>
      </c>
      <c r="DP182" s="61">
        <v>0</v>
      </c>
      <c r="DQ182" s="61">
        <v>0</v>
      </c>
      <c r="DR182" s="61">
        <v>2</v>
      </c>
      <c r="DS182" s="61">
        <v>2</v>
      </c>
      <c r="DT182" s="61">
        <v>2</v>
      </c>
      <c r="DU182" s="61">
        <v>4</v>
      </c>
      <c r="DV182" s="61">
        <v>4</v>
      </c>
      <c r="DW182" s="61">
        <v>4</v>
      </c>
      <c r="DX182" s="61">
        <v>6</v>
      </c>
      <c r="DY182" s="61">
        <v>6</v>
      </c>
      <c r="DZ182" s="61">
        <v>6</v>
      </c>
      <c r="EA182" s="61">
        <v>8</v>
      </c>
      <c r="EB182" s="61">
        <v>8</v>
      </c>
      <c r="EC182" s="61">
        <v>8</v>
      </c>
      <c r="ED182" s="61">
        <v>10</v>
      </c>
      <c r="EE182" s="61">
        <v>10</v>
      </c>
      <c r="EF182" s="61">
        <v>10</v>
      </c>
      <c r="EG182" s="61">
        <v>12</v>
      </c>
      <c r="EH182" s="61">
        <v>12</v>
      </c>
      <c r="EI182" s="61"/>
      <c r="EJ182" s="61"/>
      <c r="EK182" s="61"/>
      <c r="EL182" s="61"/>
      <c r="EM182" s="61"/>
      <c r="EN182" s="61"/>
      <c r="EO182" s="61"/>
      <c r="EP182" s="61"/>
      <c r="EQ182" s="61"/>
      <c r="ER182" s="61"/>
      <c r="ES182" s="61"/>
      <c r="ET182" s="61"/>
      <c r="EU182" s="61"/>
      <c r="EV182" s="61" t="s">
        <v>208</v>
      </c>
      <c r="EW182" s="61">
        <v>0</v>
      </c>
      <c r="EX182" s="61">
        <v>0</v>
      </c>
      <c r="EY182" s="61">
        <v>0</v>
      </c>
      <c r="EZ182" s="61">
        <v>2</v>
      </c>
      <c r="FA182" s="61">
        <v>0</v>
      </c>
      <c r="FB182" s="61">
        <v>0</v>
      </c>
      <c r="FC182" s="61">
        <v>0</v>
      </c>
      <c r="FD182" s="61">
        <v>0</v>
      </c>
      <c r="FE182" s="61">
        <v>0</v>
      </c>
      <c r="FF182" s="61">
        <v>0</v>
      </c>
      <c r="FG182" s="61">
        <v>0</v>
      </c>
      <c r="FH182" s="61"/>
      <c r="FI182" s="61" t="s">
        <v>9</v>
      </c>
      <c r="FJ182" s="61">
        <v>0</v>
      </c>
      <c r="FK182" s="61">
        <v>0</v>
      </c>
      <c r="FL182" s="61">
        <v>0</v>
      </c>
      <c r="FM182" s="61">
        <v>0</v>
      </c>
      <c r="FN182" s="61">
        <v>0</v>
      </c>
      <c r="FO182" s="61">
        <v>0</v>
      </c>
      <c r="FP182" s="61">
        <v>0</v>
      </c>
      <c r="FQ182" s="61">
        <v>0</v>
      </c>
      <c r="FR182" s="61">
        <v>0</v>
      </c>
      <c r="FS182" s="61">
        <v>0</v>
      </c>
      <c r="FT182" s="61">
        <v>0</v>
      </c>
      <c r="FU182" s="61"/>
      <c r="FV182" s="61"/>
      <c r="FW182" s="61"/>
      <c r="FX182" s="61"/>
      <c r="FY182" s="61"/>
      <c r="FZ182" s="61"/>
      <c r="GB182" s="60">
        <v>0</v>
      </c>
      <c r="GC182" s="60">
        <v>1</v>
      </c>
      <c r="GD182" s="60">
        <v>2</v>
      </c>
      <c r="GE182" s="60">
        <v>3</v>
      </c>
      <c r="GF182" s="60">
        <v>4</v>
      </c>
      <c r="GG182" s="60">
        <v>5</v>
      </c>
      <c r="GH182" s="60">
        <v>6</v>
      </c>
      <c r="GI182" s="60">
        <v>7</v>
      </c>
      <c r="GJ182" s="60">
        <v>8</v>
      </c>
      <c r="GK182" s="60">
        <v>9</v>
      </c>
      <c r="GL182" s="60">
        <v>10</v>
      </c>
      <c r="GM182" s="60">
        <v>11</v>
      </c>
      <c r="GN182" s="60">
        <v>12</v>
      </c>
      <c r="GO182" s="60">
        <v>13</v>
      </c>
      <c r="GP182" s="60">
        <v>14</v>
      </c>
      <c r="GQ182" s="60">
        <v>15</v>
      </c>
      <c r="GR182" s="60">
        <v>16</v>
      </c>
      <c r="GS182" s="60">
        <v>17</v>
      </c>
      <c r="GT182" s="60">
        <v>18</v>
      </c>
      <c r="GU182" s="60">
        <v>19</v>
      </c>
      <c r="GV182" s="60">
        <v>20</v>
      </c>
      <c r="GX182" s="60" t="s">
        <v>479</v>
      </c>
    </row>
    <row r="183" spans="1:274" x14ac:dyDescent="0.25">
      <c r="A183" s="8"/>
      <c r="B183" s="5" t="s">
        <v>116</v>
      </c>
      <c r="C183" s="8"/>
      <c r="D183" s="6" t="s">
        <v>310</v>
      </c>
      <c r="E183" s="8">
        <v>25</v>
      </c>
      <c r="F183" s="5"/>
      <c r="G183" s="5"/>
      <c r="H183" s="5"/>
      <c r="I183" s="5"/>
      <c r="J183" s="5" t="s">
        <v>411</v>
      </c>
      <c r="K183" s="9"/>
      <c r="L183" s="6" t="s">
        <v>19</v>
      </c>
      <c r="M183" s="11">
        <f>INDEX(cennik!$C$2:$L$529,MATCH($L183,cennik!$B$2:$B$522,0),MATCH(M$104,cennik!$C$1:$L$1,0))</f>
        <v>894633</v>
      </c>
      <c r="N183" s="11" t="str">
        <f>INDEX(cennik!$C$2:$L$529,MATCH($L183,cennik!$B$2:$B$522,0),MATCH(N$104,cennik!$C$1:$L$1,0))</f>
        <v>szt.</v>
      </c>
      <c r="O183" s="11">
        <f>SUM(AE167:AE182)</f>
        <v>0</v>
      </c>
      <c r="P183" s="34">
        <f>INDEX(cennik!$C$2:$L$529,MATCH($L183,cennik!$B$2:$B$522,0),MATCH(P$104,cennik!$C$1:$L$1,0))</f>
        <v>102.3</v>
      </c>
      <c r="Q183" s="34">
        <f t="shared" si="149"/>
        <v>0</v>
      </c>
      <c r="R183" s="35">
        <f t="shared" si="147"/>
        <v>0</v>
      </c>
      <c r="S183" s="34">
        <f t="shared" si="148"/>
        <v>102.3</v>
      </c>
      <c r="T183" s="34">
        <f t="shared" si="150"/>
        <v>0</v>
      </c>
      <c r="U183" s="34">
        <f>INDEX(cennik!$C$2:$L$529,MATCH($L183,cennik!$B$2:$B$522,0),MATCH(U$104,cennik!$C$1:$L$1,0))*O183</f>
        <v>0</v>
      </c>
      <c r="V183" s="61"/>
      <c r="W183" s="61"/>
      <c r="X183" s="61"/>
      <c r="Y183" s="61"/>
      <c r="Z183" s="61"/>
      <c r="AA183" s="61"/>
      <c r="AB183" s="61"/>
      <c r="AC183" s="61"/>
      <c r="AD183" s="61"/>
      <c r="AE183" s="61"/>
      <c r="AF183" s="61"/>
      <c r="AG183" s="61"/>
      <c r="AH183" s="61"/>
      <c r="AI183" s="61"/>
      <c r="AJ183" s="61"/>
      <c r="AK183" s="61"/>
      <c r="AL183" s="61" t="s">
        <v>19</v>
      </c>
      <c r="AM183" s="61">
        <v>0</v>
      </c>
      <c r="AN183" s="61">
        <v>0</v>
      </c>
      <c r="AO183" s="61">
        <v>0</v>
      </c>
      <c r="AP183" s="61">
        <v>0</v>
      </c>
      <c r="AQ183" s="61">
        <v>0</v>
      </c>
      <c r="AR183" s="61">
        <v>0</v>
      </c>
      <c r="AS183" s="61">
        <v>0</v>
      </c>
      <c r="AT183" s="61">
        <v>0</v>
      </c>
      <c r="AU183" s="61">
        <v>0</v>
      </c>
      <c r="AV183" s="61">
        <v>10</v>
      </c>
      <c r="AW183" s="61">
        <v>10</v>
      </c>
      <c r="AX183" s="61">
        <v>12</v>
      </c>
      <c r="AY183" s="61">
        <v>12</v>
      </c>
      <c r="AZ183" s="61">
        <v>10</v>
      </c>
      <c r="BA183" s="61">
        <v>12</v>
      </c>
      <c r="BB183" s="61">
        <v>12</v>
      </c>
      <c r="BC183" s="61">
        <v>10</v>
      </c>
      <c r="BD183" s="61">
        <v>12</v>
      </c>
      <c r="BE183" s="61">
        <v>12</v>
      </c>
      <c r="BF183" s="61">
        <v>24</v>
      </c>
      <c r="BG183" s="61">
        <v>12</v>
      </c>
      <c r="BH183" s="61">
        <v>12</v>
      </c>
      <c r="BI183" s="61">
        <v>26</v>
      </c>
      <c r="BJ183" s="61">
        <v>12</v>
      </c>
      <c r="BK183" s="61">
        <v>10</v>
      </c>
      <c r="BL183" s="61">
        <v>24</v>
      </c>
      <c r="BM183" s="61">
        <v>24</v>
      </c>
      <c r="BN183" s="61">
        <v>32</v>
      </c>
      <c r="BO183" s="61">
        <v>24</v>
      </c>
      <c r="BP183" s="61">
        <v>10</v>
      </c>
      <c r="BQ183" s="61">
        <v>38</v>
      </c>
      <c r="BR183" s="61">
        <v>24</v>
      </c>
      <c r="BS183" s="61">
        <v>30</v>
      </c>
      <c r="BT183" s="61">
        <v>38</v>
      </c>
      <c r="BU183" s="61">
        <v>24</v>
      </c>
      <c r="BV183" s="61">
        <v>44</v>
      </c>
      <c r="BW183" s="61">
        <v>38</v>
      </c>
      <c r="BX183" s="61">
        <v>42</v>
      </c>
      <c r="BY183" s="61">
        <v>48</v>
      </c>
      <c r="BZ183" s="61">
        <v>38</v>
      </c>
      <c r="CA183" s="61">
        <v>36</v>
      </c>
      <c r="CB183" s="61">
        <v>50</v>
      </c>
      <c r="CC183" s="61">
        <v>50</v>
      </c>
      <c r="CD183" s="61">
        <v>54</v>
      </c>
      <c r="CE183" s="61">
        <v>50</v>
      </c>
      <c r="CF183" s="61">
        <v>36</v>
      </c>
      <c r="CG183" s="61">
        <v>36</v>
      </c>
      <c r="CH183" s="61">
        <v>50</v>
      </c>
      <c r="CI183" s="61">
        <v>36</v>
      </c>
      <c r="CJ183" s="61">
        <v>62</v>
      </c>
      <c r="CK183" s="61">
        <v>50</v>
      </c>
      <c r="CL183" s="61"/>
      <c r="CM183" s="61"/>
      <c r="CN183" s="61"/>
      <c r="CO183" s="61"/>
      <c r="CP183" s="61"/>
      <c r="CQ183" s="61"/>
      <c r="CR183" s="61"/>
      <c r="CS183" s="61"/>
      <c r="CT183" s="61"/>
      <c r="CU183" s="61"/>
      <c r="CV183" s="61"/>
      <c r="CW183" s="61"/>
      <c r="CX183" s="61"/>
      <c r="CY183" s="61"/>
      <c r="CZ183" s="61"/>
      <c r="DA183" s="61"/>
      <c r="DB183" s="61"/>
      <c r="DC183" s="61"/>
      <c r="DD183" s="61"/>
      <c r="DE183" s="61"/>
      <c r="DF183" s="61"/>
      <c r="DG183" s="61"/>
      <c r="DH183" s="61"/>
      <c r="DI183" s="61"/>
      <c r="DJ183" s="61"/>
      <c r="DK183" s="61"/>
      <c r="DL183" s="61"/>
      <c r="DM183" s="61"/>
      <c r="DN183" s="61"/>
      <c r="DO183" s="61"/>
      <c r="DP183" s="61"/>
      <c r="DQ183" s="61"/>
      <c r="DR183" s="61"/>
      <c r="DS183" s="61"/>
      <c r="DT183" s="61"/>
      <c r="DU183" s="61"/>
      <c r="DV183" s="61"/>
      <c r="DW183" s="61"/>
      <c r="DX183" s="61"/>
      <c r="DY183" s="61"/>
      <c r="DZ183" s="61"/>
      <c r="EA183" s="61"/>
      <c r="EB183" s="61"/>
      <c r="EC183" s="61"/>
      <c r="ED183" s="61"/>
      <c r="EE183" s="61"/>
      <c r="EF183" s="61"/>
      <c r="EG183" s="61"/>
      <c r="EH183" s="61"/>
      <c r="EI183" s="61"/>
      <c r="EJ183" s="61"/>
      <c r="EK183" s="61"/>
      <c r="EL183" s="61"/>
      <c r="EM183" s="61"/>
      <c r="EN183" s="61"/>
      <c r="EO183" s="61"/>
      <c r="EP183" s="61"/>
      <c r="EQ183" s="61"/>
      <c r="ER183" s="61"/>
      <c r="ES183" s="61"/>
      <c r="ET183" s="61"/>
      <c r="EU183" s="61"/>
      <c r="EV183" s="61" t="s">
        <v>211</v>
      </c>
      <c r="EW183" s="61">
        <v>0</v>
      </c>
      <c r="EX183" s="61">
        <v>2</v>
      </c>
      <c r="EY183" s="61">
        <v>0</v>
      </c>
      <c r="EZ183" s="61">
        <v>0</v>
      </c>
      <c r="FA183" s="61">
        <v>0</v>
      </c>
      <c r="FB183" s="61">
        <v>0</v>
      </c>
      <c r="FC183" s="61">
        <v>0</v>
      </c>
      <c r="FD183" s="61">
        <v>0</v>
      </c>
      <c r="FE183" s="61">
        <v>0</v>
      </c>
      <c r="FF183" s="61">
        <v>0</v>
      </c>
      <c r="FG183" s="61">
        <v>0</v>
      </c>
      <c r="FH183" s="61"/>
      <c r="FI183" s="61" t="s">
        <v>208</v>
      </c>
      <c r="FJ183" s="61">
        <v>0</v>
      </c>
      <c r="FK183" s="61">
        <v>0</v>
      </c>
      <c r="FL183" s="61">
        <v>0</v>
      </c>
      <c r="FM183" s="61">
        <v>0</v>
      </c>
      <c r="FN183" s="61">
        <v>0</v>
      </c>
      <c r="FO183" s="61">
        <v>0</v>
      </c>
      <c r="FP183" s="61">
        <v>0</v>
      </c>
      <c r="FQ183" s="61">
        <v>0</v>
      </c>
      <c r="FR183" s="61">
        <v>0</v>
      </c>
      <c r="FS183" s="61">
        <v>0</v>
      </c>
      <c r="FT183" s="61">
        <v>0</v>
      </c>
      <c r="FU183" s="61"/>
      <c r="FV183" s="61"/>
      <c r="FW183" s="61"/>
      <c r="FX183" s="61"/>
      <c r="FY183" s="61"/>
      <c r="FZ183" s="61"/>
      <c r="GA183" s="145" t="s">
        <v>866</v>
      </c>
      <c r="GB183" s="60">
        <v>0</v>
      </c>
      <c r="GC183" s="60">
        <v>1</v>
      </c>
      <c r="GD183" s="60">
        <v>1</v>
      </c>
      <c r="GE183" s="60">
        <v>2</v>
      </c>
      <c r="GF183" s="60">
        <v>3</v>
      </c>
      <c r="GG183" s="60">
        <v>3</v>
      </c>
      <c r="GH183" s="60">
        <v>4</v>
      </c>
      <c r="GI183" s="60">
        <v>5</v>
      </c>
      <c r="GJ183" s="60">
        <v>6</v>
      </c>
      <c r="GK183" s="60">
        <v>7</v>
      </c>
      <c r="GL183" s="60">
        <v>7</v>
      </c>
      <c r="GM183" s="60">
        <v>2</v>
      </c>
      <c r="GN183" s="60">
        <v>3</v>
      </c>
      <c r="GO183" s="60">
        <v>4</v>
      </c>
      <c r="GP183" s="60">
        <v>5</v>
      </c>
      <c r="GQ183" s="60">
        <v>5</v>
      </c>
      <c r="GR183" s="60">
        <v>0</v>
      </c>
      <c r="GS183" s="60">
        <v>1</v>
      </c>
      <c r="GT183" s="60">
        <v>2</v>
      </c>
      <c r="GU183" s="60">
        <v>2</v>
      </c>
      <c r="GV183" s="60">
        <v>3</v>
      </c>
      <c r="GY183" s="60">
        <v>0</v>
      </c>
      <c r="GZ183" s="60">
        <v>1</v>
      </c>
      <c r="HA183" s="60">
        <v>2</v>
      </c>
      <c r="HB183" s="60">
        <v>3</v>
      </c>
      <c r="HC183" s="60">
        <v>4</v>
      </c>
      <c r="HD183" s="60">
        <v>5</v>
      </c>
      <c r="HE183" s="60">
        <v>6</v>
      </c>
      <c r="HF183" s="60">
        <v>7</v>
      </c>
      <c r="HG183" s="60">
        <v>8</v>
      </c>
      <c r="HH183" s="60">
        <v>9</v>
      </c>
      <c r="HI183" s="60">
        <v>10</v>
      </c>
      <c r="HJ183" s="60">
        <v>11</v>
      </c>
      <c r="HK183" s="60">
        <v>12</v>
      </c>
      <c r="HL183" s="60">
        <v>13</v>
      </c>
      <c r="HM183" s="60">
        <v>14</v>
      </c>
      <c r="HN183" s="60">
        <v>15</v>
      </c>
      <c r="HO183" s="60">
        <v>16</v>
      </c>
      <c r="HP183" s="60">
        <v>17</v>
      </c>
      <c r="HQ183" s="60">
        <v>18</v>
      </c>
      <c r="HR183" s="60">
        <v>19</v>
      </c>
      <c r="HS183" s="60">
        <v>20</v>
      </c>
      <c r="HV183" s="141" t="s">
        <v>507</v>
      </c>
      <c r="IS183" s="60" t="s">
        <v>507</v>
      </c>
    </row>
    <row r="184" spans="1:274" x14ac:dyDescent="0.25">
      <c r="A184" s="8"/>
      <c r="B184" s="5" t="s">
        <v>116</v>
      </c>
      <c r="C184" s="8"/>
      <c r="D184" s="6" t="s">
        <v>162</v>
      </c>
      <c r="E184" s="8">
        <v>0</v>
      </c>
      <c r="F184" s="5"/>
      <c r="G184" s="5"/>
      <c r="H184" s="5"/>
      <c r="I184" s="5"/>
      <c r="J184" s="5" t="s">
        <v>163</v>
      </c>
      <c r="K184" s="9"/>
      <c r="L184" s="6" t="s">
        <v>408</v>
      </c>
      <c r="M184" s="11">
        <f>INDEX(cennik!$C$2:$L$529,MATCH($L184,cennik!$B$2:$B$522,0),MATCH(M$104,cennik!$C$1:$L$1,0))</f>
        <v>890512</v>
      </c>
      <c r="N184" s="11" t="str">
        <f>INDEX(cennik!$C$2:$L$529,MATCH($L184,cennik!$B$2:$B$522,0),MATCH(N$104,cennik!$C$1:$L$1,0))</f>
        <v>szt.</v>
      </c>
      <c r="O184" s="11">
        <f>SUM(Z167:Z182)</f>
        <v>0</v>
      </c>
      <c r="P184" s="34">
        <f>INDEX(cennik!$C$2:$L$529,MATCH($L184,cennik!$B$2:$B$522,0),MATCH(P$104,cennik!$C$1:$L$1,0))</f>
        <v>4.28</v>
      </c>
      <c r="Q184" s="34">
        <f t="shared" si="149"/>
        <v>0</v>
      </c>
      <c r="R184" s="35">
        <f t="shared" si="147"/>
        <v>0</v>
      </c>
      <c r="S184" s="34">
        <f t="shared" si="148"/>
        <v>4.28</v>
      </c>
      <c r="T184" s="34">
        <f t="shared" si="150"/>
        <v>0</v>
      </c>
      <c r="U184" s="34">
        <f>INDEX(cennik!$C$2:$L$529,MATCH($L184,cennik!$B$2:$B$522,0),MATCH(U$104,cennik!$C$1:$L$1,0))*O184</f>
        <v>0</v>
      </c>
      <c r="V184" s="61"/>
      <c r="W184" s="61"/>
      <c r="X184" s="61"/>
      <c r="Y184" s="61"/>
      <c r="Z184" s="61"/>
      <c r="AA184" s="61"/>
      <c r="AB184" s="61"/>
      <c r="AC184" s="61"/>
      <c r="AD184" s="61"/>
      <c r="AE184" s="61"/>
      <c r="AF184" s="61"/>
      <c r="AG184" s="61"/>
      <c r="AH184" s="61"/>
      <c r="AI184" s="61"/>
      <c r="AJ184" s="61"/>
      <c r="AK184" s="61"/>
      <c r="AL184" s="61" t="s">
        <v>408</v>
      </c>
      <c r="AM184" s="61">
        <v>0</v>
      </c>
      <c r="AN184" s="61">
        <f>((((SUM(AN179:AN183))/2)-1))*4</f>
        <v>0</v>
      </c>
      <c r="AO184" s="61">
        <f t="shared" ref="AO184:CK184" si="151">((((SUM(AO179:AO183))/2)-1))*4</f>
        <v>4</v>
      </c>
      <c r="AP184" s="61">
        <f t="shared" si="151"/>
        <v>4</v>
      </c>
      <c r="AQ184" s="61">
        <f t="shared" si="151"/>
        <v>8</v>
      </c>
      <c r="AR184" s="61">
        <f t="shared" si="151"/>
        <v>12</v>
      </c>
      <c r="AS184" s="61">
        <f t="shared" si="151"/>
        <v>12</v>
      </c>
      <c r="AT184" s="61">
        <f t="shared" si="151"/>
        <v>16</v>
      </c>
      <c r="AU184" s="61">
        <f t="shared" si="151"/>
        <v>20</v>
      </c>
      <c r="AV184" s="61">
        <f t="shared" si="151"/>
        <v>20</v>
      </c>
      <c r="AW184" s="61">
        <f t="shared" si="151"/>
        <v>24</v>
      </c>
      <c r="AX184" s="61">
        <f t="shared" si="151"/>
        <v>24</v>
      </c>
      <c r="AY184" s="61">
        <f t="shared" si="151"/>
        <v>28</v>
      </c>
      <c r="AZ184" s="61">
        <f t="shared" si="151"/>
        <v>32</v>
      </c>
      <c r="BA184" s="61">
        <f t="shared" si="151"/>
        <v>32</v>
      </c>
      <c r="BB184" s="61">
        <f t="shared" si="151"/>
        <v>36</v>
      </c>
      <c r="BC184" s="61">
        <f t="shared" si="151"/>
        <v>40</v>
      </c>
      <c r="BD184" s="61">
        <f t="shared" si="151"/>
        <v>40</v>
      </c>
      <c r="BE184" s="61">
        <f t="shared" si="151"/>
        <v>44</v>
      </c>
      <c r="BF184" s="61">
        <f t="shared" si="151"/>
        <v>44</v>
      </c>
      <c r="BG184" s="61">
        <f t="shared" si="151"/>
        <v>48</v>
      </c>
      <c r="BH184" s="61">
        <f t="shared" si="151"/>
        <v>52</v>
      </c>
      <c r="BI184" s="61">
        <f t="shared" si="151"/>
        <v>52</v>
      </c>
      <c r="BJ184" s="61">
        <f t="shared" si="151"/>
        <v>56</v>
      </c>
      <c r="BK184" s="61">
        <f t="shared" si="151"/>
        <v>60</v>
      </c>
      <c r="BL184" s="61">
        <f t="shared" si="151"/>
        <v>60</v>
      </c>
      <c r="BM184" s="61">
        <f t="shared" si="151"/>
        <v>64</v>
      </c>
      <c r="BN184" s="61">
        <f t="shared" si="151"/>
        <v>64</v>
      </c>
      <c r="BO184" s="61">
        <f t="shared" si="151"/>
        <v>68</v>
      </c>
      <c r="BP184" s="61">
        <f t="shared" si="151"/>
        <v>72</v>
      </c>
      <c r="BQ184" s="61">
        <f t="shared" si="151"/>
        <v>72</v>
      </c>
      <c r="BR184" s="61">
        <f t="shared" si="151"/>
        <v>76</v>
      </c>
      <c r="BS184" s="61">
        <f t="shared" si="151"/>
        <v>80</v>
      </c>
      <c r="BT184" s="61">
        <f t="shared" si="151"/>
        <v>80</v>
      </c>
      <c r="BU184" s="61">
        <f t="shared" si="151"/>
        <v>84</v>
      </c>
      <c r="BV184" s="61">
        <f t="shared" si="151"/>
        <v>84</v>
      </c>
      <c r="BW184" s="61">
        <f t="shared" si="151"/>
        <v>88</v>
      </c>
      <c r="BX184" s="61">
        <f t="shared" si="151"/>
        <v>92</v>
      </c>
      <c r="BY184" s="61">
        <f t="shared" si="151"/>
        <v>92</v>
      </c>
      <c r="BZ184" s="61">
        <f t="shared" si="151"/>
        <v>96</v>
      </c>
      <c r="CA184" s="61">
        <f t="shared" si="151"/>
        <v>100</v>
      </c>
      <c r="CB184" s="61">
        <f t="shared" si="151"/>
        <v>100</v>
      </c>
      <c r="CC184" s="61">
        <f t="shared" si="151"/>
        <v>104</v>
      </c>
      <c r="CD184" s="61">
        <f t="shared" si="151"/>
        <v>104</v>
      </c>
      <c r="CE184" s="61">
        <f t="shared" si="151"/>
        <v>108</v>
      </c>
      <c r="CF184" s="61">
        <f t="shared" si="151"/>
        <v>112</v>
      </c>
      <c r="CG184" s="61">
        <f t="shared" si="151"/>
        <v>112</v>
      </c>
      <c r="CH184" s="61">
        <f t="shared" si="151"/>
        <v>116</v>
      </c>
      <c r="CI184" s="61">
        <f t="shared" si="151"/>
        <v>120</v>
      </c>
      <c r="CJ184" s="61">
        <f t="shared" si="151"/>
        <v>120</v>
      </c>
      <c r="CK184" s="61">
        <f t="shared" si="151"/>
        <v>124</v>
      </c>
      <c r="CL184" s="61"/>
      <c r="CM184" s="61" t="s">
        <v>115</v>
      </c>
      <c r="CN184" s="61">
        <v>0</v>
      </c>
      <c r="CO184" s="61">
        <v>1</v>
      </c>
      <c r="CP184" s="61">
        <v>2</v>
      </c>
      <c r="CQ184" s="61">
        <v>3</v>
      </c>
      <c r="CR184" s="61">
        <v>4</v>
      </c>
      <c r="CS184" s="61">
        <v>5</v>
      </c>
      <c r="CT184" s="61">
        <v>6</v>
      </c>
      <c r="CU184" s="61">
        <v>7</v>
      </c>
      <c r="CV184" s="61">
        <v>8</v>
      </c>
      <c r="CW184" s="61">
        <v>9</v>
      </c>
      <c r="CX184" s="61">
        <v>10</v>
      </c>
      <c r="CY184" s="61">
        <v>11</v>
      </c>
      <c r="CZ184" s="61">
        <v>12</v>
      </c>
      <c r="DA184" s="61">
        <v>13</v>
      </c>
      <c r="DB184" s="61">
        <v>14</v>
      </c>
      <c r="DC184" s="61">
        <v>15</v>
      </c>
      <c r="DD184" s="61">
        <v>16</v>
      </c>
      <c r="DE184" s="61">
        <v>17</v>
      </c>
      <c r="DF184" s="61">
        <v>18</v>
      </c>
      <c r="DG184" s="61">
        <v>19</v>
      </c>
      <c r="DH184" s="61">
        <v>20</v>
      </c>
      <c r="DI184" s="61"/>
      <c r="DJ184" s="61"/>
      <c r="DK184" s="61"/>
      <c r="DL184" s="61"/>
      <c r="DM184" s="61" t="s">
        <v>480</v>
      </c>
      <c r="DN184" s="61"/>
      <c r="DO184" s="61"/>
      <c r="DP184" s="61"/>
      <c r="DQ184" s="61"/>
      <c r="DR184" s="61"/>
      <c r="DS184" s="61"/>
      <c r="DT184" s="61"/>
      <c r="DU184" s="61"/>
      <c r="DV184" s="61"/>
      <c r="DW184" s="61"/>
      <c r="DX184" s="61"/>
      <c r="DY184" s="61"/>
      <c r="EA184" s="61"/>
      <c r="EB184" s="61"/>
      <c r="EC184" s="61"/>
      <c r="ED184" s="61"/>
      <c r="EE184" s="61"/>
      <c r="EF184" s="61"/>
      <c r="EG184" s="61"/>
      <c r="EH184" s="61"/>
      <c r="EI184" s="61"/>
      <c r="EJ184" s="61"/>
      <c r="EK184" s="61"/>
      <c r="EL184" s="61"/>
      <c r="EM184" s="61"/>
      <c r="EN184" s="61"/>
      <c r="EO184" s="61"/>
      <c r="EP184" s="61"/>
      <c r="EQ184" s="61"/>
      <c r="ER184" s="61"/>
      <c r="ES184" s="61"/>
      <c r="ET184" s="61"/>
      <c r="EU184" s="61"/>
      <c r="EV184" s="61" t="s">
        <v>293</v>
      </c>
      <c r="EW184" s="61">
        <v>0</v>
      </c>
      <c r="EX184" s="61">
        <v>0</v>
      </c>
      <c r="EY184" s="61">
        <v>0</v>
      </c>
      <c r="EZ184" s="61">
        <v>0</v>
      </c>
      <c r="FA184" s="61">
        <v>0</v>
      </c>
      <c r="FB184" s="61">
        <v>0</v>
      </c>
      <c r="FC184" s="61">
        <v>0</v>
      </c>
      <c r="FD184" s="61">
        <v>0</v>
      </c>
      <c r="FE184" s="61">
        <v>0</v>
      </c>
      <c r="FF184" s="61">
        <v>0</v>
      </c>
      <c r="FG184" s="61">
        <v>0</v>
      </c>
      <c r="FH184" s="61"/>
      <c r="FI184" s="61" t="s">
        <v>211</v>
      </c>
      <c r="FJ184" s="61">
        <v>0</v>
      </c>
      <c r="FK184" s="61">
        <v>0</v>
      </c>
      <c r="FL184" s="61">
        <v>0</v>
      </c>
      <c r="FM184" s="61">
        <v>0</v>
      </c>
      <c r="FN184" s="61">
        <v>0</v>
      </c>
      <c r="FO184" s="61">
        <v>0</v>
      </c>
      <c r="FP184" s="61">
        <v>0</v>
      </c>
      <c r="FQ184" s="61">
        <v>0</v>
      </c>
      <c r="FR184" s="61">
        <v>0</v>
      </c>
      <c r="FS184" s="61">
        <v>0</v>
      </c>
      <c r="FT184" s="61">
        <v>0</v>
      </c>
      <c r="FU184" s="61"/>
      <c r="FV184" s="61"/>
      <c r="FW184" s="61"/>
      <c r="FX184" s="61"/>
      <c r="FY184" s="61"/>
      <c r="FZ184" s="61"/>
      <c r="GA184" s="145" t="s">
        <v>867</v>
      </c>
      <c r="GB184" s="60">
        <v>0</v>
      </c>
      <c r="GC184" s="60">
        <v>0</v>
      </c>
      <c r="GD184" s="60">
        <v>1</v>
      </c>
      <c r="GE184" s="60">
        <v>1</v>
      </c>
      <c r="GF184" s="60">
        <v>1</v>
      </c>
      <c r="GG184" s="60">
        <v>2</v>
      </c>
      <c r="GH184" s="60">
        <v>2</v>
      </c>
      <c r="GI184" s="60">
        <v>2</v>
      </c>
      <c r="GJ184" s="60">
        <v>2</v>
      </c>
      <c r="GK184" s="60">
        <v>2</v>
      </c>
      <c r="GL184" s="60">
        <v>3</v>
      </c>
      <c r="GM184" s="60">
        <v>8</v>
      </c>
      <c r="GN184" s="60">
        <v>8</v>
      </c>
      <c r="GO184" s="60">
        <v>8</v>
      </c>
      <c r="GP184" s="60">
        <v>8</v>
      </c>
      <c r="GQ184" s="60">
        <v>9</v>
      </c>
      <c r="GR184" s="60">
        <v>14</v>
      </c>
      <c r="GS184" s="60">
        <v>14</v>
      </c>
      <c r="GT184" s="60">
        <v>14</v>
      </c>
      <c r="GU184" s="60">
        <v>15</v>
      </c>
      <c r="GV184" s="60">
        <v>15</v>
      </c>
      <c r="GX184" s="145" t="s">
        <v>866</v>
      </c>
      <c r="GY184" s="60">
        <v>0</v>
      </c>
      <c r="GZ184" s="61">
        <v>0</v>
      </c>
      <c r="HA184" s="60">
        <v>3</v>
      </c>
      <c r="HB184" s="60">
        <v>3</v>
      </c>
      <c r="HC184" s="60">
        <v>2</v>
      </c>
      <c r="HD184" s="60">
        <v>1</v>
      </c>
      <c r="HE184" s="60">
        <v>0</v>
      </c>
      <c r="HF184" s="60">
        <v>5</v>
      </c>
      <c r="HG184" s="60">
        <v>4</v>
      </c>
      <c r="HH184" s="60">
        <v>3</v>
      </c>
      <c r="HI184" s="60">
        <v>2</v>
      </c>
      <c r="HJ184" s="60">
        <v>1</v>
      </c>
      <c r="HK184" s="60">
        <v>0</v>
      </c>
      <c r="HL184" s="60">
        <v>5</v>
      </c>
      <c r="HM184" s="60">
        <v>4</v>
      </c>
      <c r="HN184" s="60">
        <v>4</v>
      </c>
      <c r="HO184" s="60">
        <v>2</v>
      </c>
      <c r="HP184" s="60">
        <v>1</v>
      </c>
      <c r="HQ184" s="60">
        <v>0</v>
      </c>
      <c r="HR184" s="60">
        <v>0</v>
      </c>
      <c r="HS184" s="60">
        <v>4</v>
      </c>
      <c r="HW184" s="60">
        <v>0</v>
      </c>
      <c r="HX184" s="60">
        <v>1</v>
      </c>
      <c r="HY184" s="60">
        <v>2</v>
      </c>
      <c r="HZ184" s="60">
        <v>3</v>
      </c>
      <c r="IA184" s="60">
        <v>4</v>
      </c>
      <c r="IB184" s="60">
        <v>5</v>
      </c>
      <c r="IC184" s="60">
        <v>6</v>
      </c>
      <c r="ID184" s="60">
        <v>7</v>
      </c>
      <c r="IE184" s="60">
        <v>8</v>
      </c>
      <c r="IF184" s="60">
        <v>9</v>
      </c>
      <c r="IG184" s="60">
        <v>10</v>
      </c>
      <c r="IH184" s="60">
        <v>11</v>
      </c>
      <c r="II184" s="60">
        <v>12</v>
      </c>
      <c r="IJ184" s="60">
        <v>13</v>
      </c>
      <c r="IK184" s="60">
        <v>14</v>
      </c>
      <c r="IL184" s="60">
        <v>15</v>
      </c>
      <c r="IM184" s="60">
        <v>16</v>
      </c>
      <c r="IN184" s="60">
        <v>17</v>
      </c>
      <c r="IO184" s="60">
        <v>18</v>
      </c>
      <c r="IP184" s="60">
        <v>19</v>
      </c>
      <c r="IQ184" s="60">
        <v>20</v>
      </c>
      <c r="IT184" s="60">
        <f t="shared" si="125"/>
        <v>0</v>
      </c>
      <c r="IU184" s="60">
        <f t="shared" si="126"/>
        <v>2</v>
      </c>
      <c r="IV184" s="60">
        <f t="shared" si="127"/>
        <v>4</v>
      </c>
      <c r="IW184" s="60">
        <f t="shared" si="128"/>
        <v>6</v>
      </c>
      <c r="IX184" s="60">
        <f t="shared" si="129"/>
        <v>8</v>
      </c>
      <c r="IY184" s="60">
        <f t="shared" si="130"/>
        <v>10</v>
      </c>
      <c r="IZ184" s="60">
        <f t="shared" si="131"/>
        <v>12</v>
      </c>
      <c r="JA184" s="60">
        <f t="shared" si="132"/>
        <v>14</v>
      </c>
      <c r="JB184" s="60">
        <f t="shared" si="122"/>
        <v>16</v>
      </c>
      <c r="JC184" s="60">
        <f t="shared" si="133"/>
        <v>18</v>
      </c>
      <c r="JD184" s="60">
        <f t="shared" si="134"/>
        <v>20</v>
      </c>
      <c r="JE184" s="60">
        <f t="shared" si="135"/>
        <v>22</v>
      </c>
      <c r="JF184" s="60">
        <f t="shared" si="136"/>
        <v>24</v>
      </c>
      <c r="JG184" s="60">
        <f t="shared" si="137"/>
        <v>26</v>
      </c>
      <c r="JH184" s="60">
        <f t="shared" si="138"/>
        <v>28</v>
      </c>
      <c r="JI184" s="60">
        <f t="shared" si="139"/>
        <v>30</v>
      </c>
      <c r="JJ184" s="60">
        <f t="shared" si="140"/>
        <v>32</v>
      </c>
      <c r="JK184" s="60">
        <f t="shared" si="141"/>
        <v>34</v>
      </c>
      <c r="JL184" s="60">
        <f t="shared" si="142"/>
        <v>36</v>
      </c>
      <c r="JM184" s="60">
        <f t="shared" si="143"/>
        <v>38</v>
      </c>
      <c r="JN184" s="60">
        <f t="shared" si="144"/>
        <v>40</v>
      </c>
    </row>
    <row r="185" spans="1:274" x14ac:dyDescent="0.25">
      <c r="A185" s="8"/>
      <c r="B185" s="5" t="s">
        <v>116</v>
      </c>
      <c r="C185" s="8"/>
      <c r="D185" s="6" t="s">
        <v>510</v>
      </c>
      <c r="E185" s="8">
        <v>0</v>
      </c>
      <c r="F185" s="6"/>
      <c r="G185" s="6"/>
      <c r="H185" s="6"/>
      <c r="I185" s="6"/>
      <c r="J185" s="5" t="s">
        <v>412</v>
      </c>
      <c r="K185" s="9"/>
      <c r="L185" s="6" t="s">
        <v>233</v>
      </c>
      <c r="M185" s="11">
        <f>INDEX(cennik!$C$2:$L$529,MATCH($L185,cennik!$B$2:$B$522,0),MATCH(M$104,cennik!$C$1:$L$1,0))</f>
        <v>898170</v>
      </c>
      <c r="N185" s="11" t="str">
        <f>INDEX(cennik!$C$2:$L$529,MATCH($L185,cennik!$B$2:$B$522,0),MATCH(N$104,cennik!$C$1:$L$1,0))</f>
        <v>szt.</v>
      </c>
      <c r="O185" s="11">
        <f>SUM(W167:W182)</f>
        <v>0</v>
      </c>
      <c r="P185" s="34">
        <f>INDEX(cennik!$C$2:$L$529,MATCH($L185,cennik!$B$2:$B$522,0),MATCH(P$104,cennik!$C$1:$L$1,0))</f>
        <v>63.34</v>
      </c>
      <c r="Q185" s="34">
        <f t="shared" si="149"/>
        <v>0</v>
      </c>
      <c r="R185" s="35">
        <f t="shared" si="147"/>
        <v>0</v>
      </c>
      <c r="S185" s="34">
        <f t="shared" si="148"/>
        <v>63.34</v>
      </c>
      <c r="T185" s="34">
        <f t="shared" si="150"/>
        <v>0</v>
      </c>
      <c r="U185" s="34">
        <f>INDEX(cennik!$C$2:$L$529,MATCH($L185,cennik!$B$2:$B$522,0),MATCH(U$104,cennik!$C$1:$L$1,0))*O185</f>
        <v>0</v>
      </c>
      <c r="V185" s="61"/>
      <c r="W185" s="61"/>
      <c r="X185" s="61"/>
      <c r="Y185" s="61"/>
      <c r="Z185" s="61"/>
      <c r="AA185" s="61"/>
      <c r="AB185" s="61"/>
      <c r="AC185" s="61"/>
      <c r="AD185" s="61"/>
      <c r="AE185" s="61"/>
      <c r="AF185" s="61"/>
      <c r="AG185" s="61"/>
      <c r="AH185" s="61"/>
      <c r="AI185" s="61"/>
      <c r="AJ185" s="61"/>
      <c r="AK185" s="61"/>
      <c r="AL185" s="61"/>
      <c r="AM185" s="61"/>
      <c r="AN185" s="61"/>
      <c r="AO185" s="61"/>
      <c r="AP185" s="61"/>
      <c r="AQ185" s="61"/>
      <c r="AR185" s="61"/>
      <c r="AS185" s="61"/>
      <c r="AT185" s="61"/>
      <c r="AU185" s="61"/>
      <c r="AV185" s="61"/>
      <c r="AW185" s="61"/>
      <c r="AX185" s="61"/>
      <c r="AY185" s="61"/>
      <c r="AZ185" s="61"/>
      <c r="BA185" s="61"/>
      <c r="BB185" s="61"/>
      <c r="BC185" s="61"/>
      <c r="BD185" s="61"/>
      <c r="BE185" s="61"/>
      <c r="BF185" s="61"/>
      <c r="BG185" s="61"/>
      <c r="BH185" s="61"/>
      <c r="BI185" s="61"/>
      <c r="BJ185" s="61"/>
      <c r="BK185" s="61"/>
      <c r="BL185" s="61"/>
      <c r="BM185" s="61"/>
      <c r="BN185" s="61"/>
      <c r="BO185" s="61"/>
      <c r="BP185" s="61"/>
      <c r="BQ185" s="61"/>
      <c r="BR185" s="61"/>
      <c r="BS185" s="61"/>
      <c r="BT185" s="61"/>
      <c r="BU185" s="61"/>
      <c r="BV185" s="61"/>
      <c r="BW185" s="61"/>
      <c r="BX185" s="61"/>
      <c r="BY185" s="61"/>
      <c r="BZ185" s="61"/>
      <c r="CA185" s="61"/>
      <c r="CB185" s="61"/>
      <c r="CC185" s="61"/>
      <c r="CD185" s="61"/>
      <c r="CE185" s="61"/>
      <c r="CF185" s="61"/>
      <c r="CG185" s="61"/>
      <c r="CH185" s="61"/>
      <c r="CI185" s="61"/>
      <c r="CJ185" s="61"/>
      <c r="CK185" s="61"/>
      <c r="CL185" s="61"/>
      <c r="CM185" s="61" t="s">
        <v>127</v>
      </c>
      <c r="CN185" s="61">
        <v>0</v>
      </c>
      <c r="CO185" s="61">
        <v>2</v>
      </c>
      <c r="CP185" s="61">
        <v>2</v>
      </c>
      <c r="CQ185" s="61">
        <v>0</v>
      </c>
      <c r="CR185" s="61">
        <v>4</v>
      </c>
      <c r="CS185" s="61">
        <v>2</v>
      </c>
      <c r="CT185" s="61">
        <v>0</v>
      </c>
      <c r="CU185" s="61">
        <v>4</v>
      </c>
      <c r="CV185" s="61">
        <v>2</v>
      </c>
      <c r="CW185" s="61">
        <v>0</v>
      </c>
      <c r="CX185" s="61">
        <v>4</v>
      </c>
      <c r="CY185" s="61">
        <v>2</v>
      </c>
      <c r="CZ185" s="61">
        <v>0</v>
      </c>
      <c r="DA185" s="61">
        <v>4</v>
      </c>
      <c r="DB185" s="61">
        <v>2</v>
      </c>
      <c r="DC185" s="61">
        <v>0</v>
      </c>
      <c r="DD185" s="61">
        <v>4</v>
      </c>
      <c r="DE185" s="61">
        <v>2</v>
      </c>
      <c r="DF185" s="61">
        <v>0</v>
      </c>
      <c r="DG185" s="61">
        <v>4</v>
      </c>
      <c r="DH185" s="61">
        <v>2</v>
      </c>
      <c r="DI185" s="61"/>
      <c r="DJ185" s="61"/>
      <c r="DK185" s="61"/>
      <c r="DL185" s="61"/>
      <c r="DM185" s="61"/>
      <c r="DN185" s="61">
        <v>0</v>
      </c>
      <c r="DO185" s="61">
        <v>1</v>
      </c>
      <c r="DP185" s="61">
        <v>2</v>
      </c>
      <c r="DQ185" s="61">
        <v>3</v>
      </c>
      <c r="DR185" s="61">
        <v>4</v>
      </c>
      <c r="DS185" s="61">
        <v>5</v>
      </c>
      <c r="DT185" s="61">
        <v>6</v>
      </c>
      <c r="DU185" s="61">
        <v>7</v>
      </c>
      <c r="DV185" s="61">
        <v>8</v>
      </c>
      <c r="DW185" s="61">
        <v>9</v>
      </c>
      <c r="DX185" s="61">
        <v>10</v>
      </c>
      <c r="DY185" s="61">
        <v>11</v>
      </c>
      <c r="DZ185" s="61">
        <v>12</v>
      </c>
      <c r="EA185" s="61">
        <v>13</v>
      </c>
      <c r="EB185" s="61">
        <v>14</v>
      </c>
      <c r="EC185" s="61">
        <v>15</v>
      </c>
      <c r="ED185" s="61">
        <v>16</v>
      </c>
      <c r="EE185" s="61">
        <v>17</v>
      </c>
      <c r="EF185" s="61">
        <v>18</v>
      </c>
      <c r="EG185" s="61">
        <v>19</v>
      </c>
      <c r="EH185" s="61">
        <v>20</v>
      </c>
      <c r="EI185" s="61"/>
      <c r="EJ185" s="61"/>
      <c r="EK185" s="61"/>
      <c r="EL185" s="61"/>
      <c r="EM185" s="61"/>
      <c r="EN185" s="61"/>
      <c r="EO185" s="61"/>
      <c r="EP185" s="61"/>
      <c r="EQ185" s="61"/>
      <c r="ER185" s="61"/>
      <c r="ES185" s="61"/>
      <c r="ET185" s="61"/>
      <c r="EU185" s="61"/>
      <c r="EV185" s="61" t="s">
        <v>10</v>
      </c>
      <c r="EW185" s="61">
        <v>0</v>
      </c>
      <c r="EX185" s="61">
        <v>0</v>
      </c>
      <c r="EY185" s="61">
        <v>0</v>
      </c>
      <c r="EZ185" s="61">
        <v>0</v>
      </c>
      <c r="FA185" s="61">
        <v>0</v>
      </c>
      <c r="FB185" s="61">
        <v>6</v>
      </c>
      <c r="FC185" s="61">
        <v>0</v>
      </c>
      <c r="FD185" s="61">
        <v>6</v>
      </c>
      <c r="FE185" s="61">
        <v>0</v>
      </c>
      <c r="FF185" s="61">
        <v>6</v>
      </c>
      <c r="FG185" s="61">
        <v>0</v>
      </c>
      <c r="FH185" s="61"/>
      <c r="FI185" s="61" t="s">
        <v>293</v>
      </c>
      <c r="FJ185" s="61">
        <v>0</v>
      </c>
      <c r="FK185" s="61">
        <v>2</v>
      </c>
      <c r="FL185" s="61">
        <v>0</v>
      </c>
      <c r="FM185" s="61">
        <v>0</v>
      </c>
      <c r="FN185" s="61">
        <v>0</v>
      </c>
      <c r="FO185" s="61">
        <v>0</v>
      </c>
      <c r="FP185" s="61">
        <v>0</v>
      </c>
      <c r="FQ185" s="61">
        <v>0</v>
      </c>
      <c r="FR185" s="61">
        <v>0</v>
      </c>
      <c r="FS185" s="61">
        <v>0</v>
      </c>
      <c r="FT185" s="61">
        <v>0</v>
      </c>
      <c r="FU185" s="61"/>
      <c r="FV185" s="61"/>
      <c r="FW185" s="61"/>
      <c r="FX185" s="61"/>
      <c r="FY185" s="61"/>
      <c r="FZ185" s="61"/>
      <c r="GA185" s="145" t="s">
        <v>868</v>
      </c>
      <c r="GB185" s="60">
        <v>0</v>
      </c>
      <c r="GC185" s="60">
        <v>0</v>
      </c>
      <c r="GD185" s="60">
        <v>0</v>
      </c>
      <c r="GE185" s="60">
        <v>0</v>
      </c>
      <c r="GF185" s="60">
        <v>0</v>
      </c>
      <c r="GG185" s="60">
        <v>0</v>
      </c>
      <c r="GH185" s="60">
        <v>0</v>
      </c>
      <c r="GI185" s="60">
        <v>0</v>
      </c>
      <c r="GJ185" s="60">
        <v>0</v>
      </c>
      <c r="GK185" s="60">
        <v>0</v>
      </c>
      <c r="GL185" s="60">
        <v>0</v>
      </c>
      <c r="GM185" s="60">
        <v>0</v>
      </c>
      <c r="GN185" s="60">
        <v>0</v>
      </c>
      <c r="GO185" s="60">
        <v>0</v>
      </c>
      <c r="GP185" s="60">
        <v>0</v>
      </c>
      <c r="GQ185" s="60">
        <v>0</v>
      </c>
      <c r="GR185" s="60">
        <v>0</v>
      </c>
      <c r="GS185" s="60">
        <v>0</v>
      </c>
      <c r="GT185" s="60">
        <v>0</v>
      </c>
      <c r="GU185" s="60">
        <v>0</v>
      </c>
      <c r="GV185" s="60">
        <v>0</v>
      </c>
      <c r="GX185" s="145" t="s">
        <v>867</v>
      </c>
      <c r="GY185" s="60">
        <v>0</v>
      </c>
      <c r="GZ185" s="61">
        <v>0</v>
      </c>
      <c r="HA185" s="60">
        <v>0</v>
      </c>
      <c r="HB185" s="60">
        <v>1</v>
      </c>
      <c r="HC185" s="60">
        <v>3</v>
      </c>
      <c r="HD185" s="60">
        <v>5</v>
      </c>
      <c r="HE185" s="60">
        <v>7</v>
      </c>
      <c r="HF185" s="60">
        <v>4</v>
      </c>
      <c r="HG185" s="60">
        <v>6</v>
      </c>
      <c r="HH185" s="60">
        <v>8</v>
      </c>
      <c r="HI185" s="60">
        <v>10</v>
      </c>
      <c r="HJ185" s="60">
        <v>12</v>
      </c>
      <c r="HK185" s="60">
        <v>14</v>
      </c>
      <c r="HL185" s="60">
        <v>11</v>
      </c>
      <c r="HM185" s="60">
        <v>13</v>
      </c>
      <c r="HN185" s="60">
        <v>14</v>
      </c>
      <c r="HO185" s="60">
        <v>17</v>
      </c>
      <c r="HP185" s="60">
        <v>19</v>
      </c>
      <c r="HQ185" s="60">
        <v>21</v>
      </c>
      <c r="HR185" s="60">
        <v>22</v>
      </c>
      <c r="HS185" s="60">
        <v>20</v>
      </c>
      <c r="HV185" s="60" t="s">
        <v>826</v>
      </c>
      <c r="HW185" s="60">
        <v>0</v>
      </c>
      <c r="HX185" s="60">
        <v>2</v>
      </c>
      <c r="HY185" s="60">
        <v>4</v>
      </c>
      <c r="HZ185" s="60">
        <v>0</v>
      </c>
      <c r="IA185" s="60">
        <v>2</v>
      </c>
      <c r="IB185" s="60">
        <v>2</v>
      </c>
      <c r="IC185" s="60">
        <v>4</v>
      </c>
      <c r="ID185" s="60">
        <v>0</v>
      </c>
      <c r="IE185" s="60">
        <v>2</v>
      </c>
      <c r="IF185" s="60">
        <v>4</v>
      </c>
      <c r="IG185" s="60">
        <v>0</v>
      </c>
      <c r="IH185" s="60">
        <v>2</v>
      </c>
      <c r="II185" s="60">
        <v>4</v>
      </c>
      <c r="IJ185" s="60">
        <v>0</v>
      </c>
      <c r="IK185" s="60">
        <v>0</v>
      </c>
      <c r="IL185" s="60">
        <v>2</v>
      </c>
      <c r="IM185" s="60">
        <v>4</v>
      </c>
      <c r="IN185" s="60">
        <v>0</v>
      </c>
      <c r="IO185" s="60">
        <v>2</v>
      </c>
      <c r="IP185" s="60">
        <v>4</v>
      </c>
      <c r="IQ185" s="60">
        <v>0</v>
      </c>
      <c r="IS185" s="60" t="s">
        <v>826</v>
      </c>
      <c r="IT185" s="60">
        <f t="shared" si="125"/>
        <v>0</v>
      </c>
      <c r="IU185" s="60">
        <f t="shared" si="126"/>
        <v>4</v>
      </c>
      <c r="IV185" s="60">
        <f t="shared" si="127"/>
        <v>8</v>
      </c>
      <c r="IW185" s="60">
        <f t="shared" si="128"/>
        <v>0</v>
      </c>
      <c r="IX185" s="60">
        <f t="shared" si="129"/>
        <v>4</v>
      </c>
      <c r="IY185" s="60">
        <f t="shared" si="130"/>
        <v>4</v>
      </c>
      <c r="IZ185" s="60">
        <f t="shared" si="131"/>
        <v>8</v>
      </c>
      <c r="JA185" s="60">
        <f t="shared" si="132"/>
        <v>0</v>
      </c>
      <c r="JB185" s="60">
        <f t="shared" si="122"/>
        <v>4</v>
      </c>
      <c r="JC185" s="60">
        <f t="shared" si="133"/>
        <v>8</v>
      </c>
      <c r="JD185" s="60">
        <f t="shared" si="134"/>
        <v>0</v>
      </c>
      <c r="JE185" s="60">
        <f t="shared" si="135"/>
        <v>4</v>
      </c>
      <c r="JF185" s="60">
        <f t="shared" si="136"/>
        <v>8</v>
      </c>
      <c r="JG185" s="60">
        <f t="shared" si="137"/>
        <v>0</v>
      </c>
      <c r="JH185" s="60">
        <f t="shared" si="138"/>
        <v>0</v>
      </c>
      <c r="JI185" s="60">
        <f t="shared" si="139"/>
        <v>4</v>
      </c>
      <c r="JJ185" s="60">
        <f t="shared" si="140"/>
        <v>8</v>
      </c>
      <c r="JK185" s="60">
        <f t="shared" si="141"/>
        <v>0</v>
      </c>
      <c r="JL185" s="60">
        <f t="shared" si="142"/>
        <v>4</v>
      </c>
      <c r="JM185" s="60">
        <f t="shared" si="143"/>
        <v>8</v>
      </c>
      <c r="JN185" s="60">
        <f t="shared" si="144"/>
        <v>0</v>
      </c>
    </row>
    <row r="186" spans="1:274" x14ac:dyDescent="0.25">
      <c r="A186" s="8"/>
      <c r="B186" s="5" t="s">
        <v>116</v>
      </c>
      <c r="C186" s="8"/>
      <c r="D186" s="6" t="s">
        <v>511</v>
      </c>
      <c r="E186" s="9"/>
      <c r="F186" s="9"/>
      <c r="G186" s="9"/>
      <c r="H186" s="9"/>
      <c r="I186" s="9"/>
      <c r="J186" s="9"/>
      <c r="K186" s="9"/>
      <c r="L186" s="6" t="str">
        <f>IF(E183=W186,"KT850A",IF(E183=X186,"KT1000A",IF(E183=Y186,"KT1150A",0)))</f>
        <v>KT850A</v>
      </c>
      <c r="M186" s="11">
        <f>INDEX(cennik!$C$2:$L$529,MATCH($L186,cennik!$B$2:$B$522,0),MATCH(M$104,cennik!$C$1:$L$1,0))</f>
        <v>898085</v>
      </c>
      <c r="N186" s="11" t="str">
        <f>INDEX(cennik!$C$2:$L$529,MATCH($L186,cennik!$B$2:$B$522,0),MATCH(N$104,cennik!$C$1:$L$1,0))</f>
        <v>szt.</v>
      </c>
      <c r="O186" s="11">
        <f>SUM(W167:W182)</f>
        <v>0</v>
      </c>
      <c r="P186" s="34">
        <f>INDEX(cennik!$C$2:$L$529,MATCH($L186,cennik!$B$2:$B$522,0),MATCH(P$104,cennik!$C$1:$L$1,0))</f>
        <v>31.64</v>
      </c>
      <c r="Q186" s="34">
        <f t="shared" si="149"/>
        <v>0</v>
      </c>
      <c r="R186" s="35">
        <f t="shared" si="147"/>
        <v>0</v>
      </c>
      <c r="S186" s="34">
        <f t="shared" si="148"/>
        <v>31.64</v>
      </c>
      <c r="T186" s="34">
        <f t="shared" si="150"/>
        <v>0</v>
      </c>
      <c r="U186" s="34">
        <f>INDEX(cennik!$C$2:$L$529,MATCH($L186,cennik!$B$2:$B$522,0),MATCH(U$104,cennik!$C$1:$L$1,0))*O186</f>
        <v>0</v>
      </c>
      <c r="V186" s="61"/>
      <c r="W186" s="61">
        <v>25</v>
      </c>
      <c r="X186" s="61">
        <v>30</v>
      </c>
      <c r="Y186" s="61">
        <v>35</v>
      </c>
      <c r="Z186" s="61"/>
      <c r="AA186" s="61"/>
      <c r="AB186" s="61"/>
      <c r="AC186" s="61"/>
      <c r="AD186" s="61"/>
      <c r="AE186" s="61"/>
      <c r="AF186" s="61" t="str">
        <f>INDEX(($AG$132:$AH$141),MATCH(I179,$AF$132:$AF$141,0),MATCH(E180,$AG$131:$AH$131,0))</f>
        <v>suma</v>
      </c>
      <c r="AG186" s="61"/>
      <c r="AH186" s="61"/>
      <c r="AI186" s="61"/>
      <c r="AJ186" s="61"/>
      <c r="AK186" s="61"/>
      <c r="AL186" s="61" t="s">
        <v>138</v>
      </c>
      <c r="AM186" s="61"/>
      <c r="AN186" s="61"/>
      <c r="AO186" s="61"/>
      <c r="AP186" s="61"/>
      <c r="AQ186" s="61"/>
      <c r="AR186" s="61"/>
      <c r="AS186" s="61"/>
      <c r="AT186" s="61"/>
      <c r="AU186" s="61"/>
      <c r="AV186" s="61"/>
      <c r="AW186" s="61"/>
      <c r="AX186" s="61"/>
      <c r="AY186" s="61"/>
      <c r="AZ186" s="61"/>
      <c r="BA186" s="61"/>
      <c r="BB186" s="61"/>
      <c r="BC186" s="61"/>
      <c r="BD186" s="61"/>
      <c r="BE186" s="61"/>
      <c r="BF186" s="61"/>
      <c r="BG186" s="61"/>
      <c r="BH186" s="61"/>
      <c r="BI186" s="61"/>
      <c r="BJ186" s="61"/>
      <c r="BK186" s="61"/>
      <c r="BL186" s="61"/>
      <c r="BM186" s="61"/>
      <c r="BN186" s="61"/>
      <c r="BO186" s="61"/>
      <c r="BP186" s="61"/>
      <c r="BQ186" s="61"/>
      <c r="BR186" s="61"/>
      <c r="BS186" s="61"/>
      <c r="BT186" s="61"/>
      <c r="BU186" s="61"/>
      <c r="BV186" s="61"/>
      <c r="BW186" s="61"/>
      <c r="BX186" s="61"/>
      <c r="BY186" s="61"/>
      <c r="BZ186" s="61"/>
      <c r="CA186" s="61"/>
      <c r="CB186" s="61"/>
      <c r="CC186" s="61"/>
      <c r="CD186" s="61"/>
      <c r="CE186" s="61"/>
      <c r="CF186" s="61"/>
      <c r="CG186" s="61"/>
      <c r="CH186" s="61"/>
      <c r="CI186" s="61"/>
      <c r="CJ186" s="61"/>
      <c r="CK186" s="61"/>
      <c r="CL186" s="61"/>
      <c r="CM186" s="61" t="s">
        <v>19</v>
      </c>
      <c r="CN186" s="61">
        <v>0</v>
      </c>
      <c r="CO186" s="61">
        <v>0</v>
      </c>
      <c r="CP186" s="61">
        <v>0</v>
      </c>
      <c r="CQ186" s="61">
        <v>2</v>
      </c>
      <c r="CR186" s="61">
        <v>0</v>
      </c>
      <c r="CS186" s="61">
        <v>2</v>
      </c>
      <c r="CT186" s="61">
        <v>4</v>
      </c>
      <c r="CU186" s="61">
        <v>2</v>
      </c>
      <c r="CV186" s="61">
        <v>4</v>
      </c>
      <c r="CW186" s="61">
        <v>6</v>
      </c>
      <c r="CX186" s="61">
        <v>4</v>
      </c>
      <c r="CY186" s="61">
        <v>6</v>
      </c>
      <c r="CZ186" s="61">
        <v>8</v>
      </c>
      <c r="DA186" s="61">
        <v>6</v>
      </c>
      <c r="DB186" s="61">
        <v>8</v>
      </c>
      <c r="DC186" s="61">
        <v>10</v>
      </c>
      <c r="DD186" s="61">
        <v>8</v>
      </c>
      <c r="DE186" s="61">
        <v>10</v>
      </c>
      <c r="DF186" s="61">
        <v>12</v>
      </c>
      <c r="DG186" s="61">
        <v>10</v>
      </c>
      <c r="DH186" s="61">
        <v>12</v>
      </c>
      <c r="DI186" s="61"/>
      <c r="DJ186" s="61"/>
      <c r="DK186" s="61"/>
      <c r="DL186" s="61"/>
      <c r="DM186" s="61" t="s">
        <v>293</v>
      </c>
      <c r="DN186" s="61">
        <v>0</v>
      </c>
      <c r="DO186" s="61">
        <v>2</v>
      </c>
      <c r="DP186" s="61">
        <v>0</v>
      </c>
      <c r="DQ186" s="61">
        <v>4</v>
      </c>
      <c r="DR186" s="61">
        <v>2</v>
      </c>
      <c r="DS186" s="61">
        <v>0</v>
      </c>
      <c r="DT186" s="61">
        <v>4</v>
      </c>
      <c r="DU186" s="61">
        <v>2</v>
      </c>
      <c r="DV186" s="61">
        <v>0</v>
      </c>
      <c r="DW186" s="61">
        <v>4</v>
      </c>
      <c r="DX186" s="61">
        <v>2</v>
      </c>
      <c r="DY186" s="61">
        <v>0</v>
      </c>
      <c r="DZ186" s="61">
        <v>4</v>
      </c>
      <c r="EA186" s="61">
        <v>2</v>
      </c>
      <c r="EB186" s="61">
        <v>0</v>
      </c>
      <c r="EC186" s="61">
        <v>4</v>
      </c>
      <c r="ED186" s="61">
        <v>2</v>
      </c>
      <c r="EE186" s="61">
        <v>0</v>
      </c>
      <c r="EF186" s="61">
        <v>4</v>
      </c>
      <c r="EG186" s="61">
        <v>2</v>
      </c>
      <c r="EH186" s="61">
        <v>0</v>
      </c>
      <c r="EI186" s="61"/>
      <c r="EJ186" s="61"/>
      <c r="EK186" s="61"/>
      <c r="EL186" s="61"/>
      <c r="EM186" s="61"/>
      <c r="EN186" s="61"/>
      <c r="EO186" s="61"/>
      <c r="EP186" s="61"/>
      <c r="EQ186" s="61"/>
      <c r="ER186" s="61"/>
      <c r="ES186" s="61"/>
      <c r="ET186" s="61"/>
      <c r="EU186" s="61"/>
      <c r="EV186" s="61" t="s">
        <v>212</v>
      </c>
      <c r="EW186" s="61">
        <v>0</v>
      </c>
      <c r="EX186" s="61">
        <v>0</v>
      </c>
      <c r="EY186" s="61">
        <v>0</v>
      </c>
      <c r="EZ186" s="61">
        <v>0</v>
      </c>
      <c r="FA186" s="61">
        <v>2</v>
      </c>
      <c r="FB186" s="61">
        <v>0</v>
      </c>
      <c r="FC186" s="61">
        <v>4</v>
      </c>
      <c r="FD186" s="61">
        <v>2</v>
      </c>
      <c r="FE186" s="61">
        <v>4</v>
      </c>
      <c r="FF186" s="61">
        <v>4</v>
      </c>
      <c r="FG186" s="61">
        <v>6</v>
      </c>
      <c r="FH186" s="61"/>
      <c r="FI186" s="61" t="s">
        <v>10</v>
      </c>
      <c r="FJ186" s="61">
        <v>0</v>
      </c>
      <c r="FK186" s="61">
        <v>0</v>
      </c>
      <c r="FL186" s="61">
        <v>2</v>
      </c>
      <c r="FM186" s="61">
        <v>4</v>
      </c>
      <c r="FN186" s="61">
        <v>0</v>
      </c>
      <c r="FO186" s="61">
        <v>2</v>
      </c>
      <c r="FP186" s="61">
        <v>8</v>
      </c>
      <c r="FQ186" s="61">
        <v>2</v>
      </c>
      <c r="FR186" s="61">
        <v>6</v>
      </c>
      <c r="FS186" s="61">
        <v>0</v>
      </c>
      <c r="FT186" s="61">
        <v>6</v>
      </c>
      <c r="FU186" s="61"/>
      <c r="FV186" s="61"/>
      <c r="FW186" s="61"/>
      <c r="FX186" s="61"/>
      <c r="FY186" s="61"/>
      <c r="FZ186" s="61"/>
      <c r="GX186" s="145" t="s">
        <v>868</v>
      </c>
      <c r="GY186" s="60">
        <v>0</v>
      </c>
      <c r="GZ186" s="61">
        <v>1</v>
      </c>
      <c r="HA186" s="60">
        <v>0</v>
      </c>
      <c r="HB186" s="60">
        <v>0</v>
      </c>
      <c r="HC186" s="60">
        <v>0</v>
      </c>
      <c r="HD186" s="60">
        <v>0</v>
      </c>
      <c r="HE186" s="60">
        <v>0</v>
      </c>
      <c r="HF186" s="60">
        <v>0</v>
      </c>
      <c r="HG186" s="60">
        <v>0</v>
      </c>
      <c r="HH186" s="60">
        <v>0</v>
      </c>
      <c r="HI186" s="60">
        <v>0</v>
      </c>
      <c r="HJ186" s="60">
        <v>0</v>
      </c>
      <c r="HK186" s="60">
        <v>0</v>
      </c>
      <c r="HL186" s="60">
        <v>0</v>
      </c>
      <c r="HM186" s="60">
        <v>0</v>
      </c>
      <c r="HN186" s="60">
        <v>0</v>
      </c>
      <c r="HO186" s="60">
        <v>0</v>
      </c>
      <c r="HP186" s="60">
        <v>0</v>
      </c>
      <c r="HQ186" s="60">
        <v>0</v>
      </c>
      <c r="HR186" s="60">
        <v>0</v>
      </c>
      <c r="HS186" s="60">
        <v>0</v>
      </c>
      <c r="HV186" s="60" t="s">
        <v>825</v>
      </c>
      <c r="HW186" s="60">
        <v>0</v>
      </c>
      <c r="HX186" s="60">
        <v>0</v>
      </c>
      <c r="HY186" s="60">
        <v>0</v>
      </c>
      <c r="HZ186" s="60">
        <v>4</v>
      </c>
      <c r="IA186" s="60">
        <v>4</v>
      </c>
      <c r="IB186" s="60">
        <v>6</v>
      </c>
      <c r="IC186" s="60">
        <v>6</v>
      </c>
      <c r="ID186" s="60">
        <v>10</v>
      </c>
      <c r="IE186" s="60">
        <v>10</v>
      </c>
      <c r="IF186" s="60">
        <v>10</v>
      </c>
      <c r="IG186" s="60">
        <v>14</v>
      </c>
      <c r="IH186" s="60">
        <v>14</v>
      </c>
      <c r="II186" s="60">
        <v>14</v>
      </c>
      <c r="IJ186" s="60">
        <v>18</v>
      </c>
      <c r="IK186" s="60">
        <v>20</v>
      </c>
      <c r="IL186" s="60">
        <v>20</v>
      </c>
      <c r="IM186" s="60">
        <v>20</v>
      </c>
      <c r="IN186" s="60">
        <v>24</v>
      </c>
      <c r="IO186" s="60">
        <v>24</v>
      </c>
      <c r="IP186" s="60">
        <v>24</v>
      </c>
      <c r="IQ186" s="60">
        <v>28</v>
      </c>
      <c r="IS186" s="60" t="s">
        <v>825</v>
      </c>
      <c r="IT186" s="60">
        <f t="shared" si="125"/>
        <v>0</v>
      </c>
      <c r="IU186" s="60">
        <f t="shared" si="126"/>
        <v>0</v>
      </c>
      <c r="IV186" s="60">
        <f t="shared" si="127"/>
        <v>0</v>
      </c>
      <c r="IW186" s="60">
        <f t="shared" si="128"/>
        <v>8</v>
      </c>
      <c r="IX186" s="60">
        <f t="shared" si="129"/>
        <v>8</v>
      </c>
      <c r="IY186" s="60">
        <f t="shared" si="130"/>
        <v>12</v>
      </c>
      <c r="IZ186" s="60">
        <f t="shared" si="131"/>
        <v>12</v>
      </c>
      <c r="JA186" s="60">
        <f t="shared" si="132"/>
        <v>20</v>
      </c>
      <c r="JB186" s="60">
        <f t="shared" si="122"/>
        <v>20</v>
      </c>
      <c r="JC186" s="60">
        <f t="shared" si="133"/>
        <v>20</v>
      </c>
      <c r="JD186" s="60">
        <f t="shared" si="134"/>
        <v>28</v>
      </c>
      <c r="JE186" s="60">
        <f t="shared" si="135"/>
        <v>28</v>
      </c>
      <c r="JF186" s="60">
        <f t="shared" si="136"/>
        <v>28</v>
      </c>
      <c r="JG186" s="60">
        <f t="shared" si="137"/>
        <v>36</v>
      </c>
      <c r="JH186" s="60">
        <f t="shared" si="138"/>
        <v>40</v>
      </c>
      <c r="JI186" s="60">
        <f t="shared" si="139"/>
        <v>40</v>
      </c>
      <c r="JJ186" s="60">
        <f t="shared" si="140"/>
        <v>40</v>
      </c>
      <c r="JK186" s="60">
        <f t="shared" si="141"/>
        <v>48</v>
      </c>
      <c r="JL186" s="60">
        <f t="shared" si="142"/>
        <v>48</v>
      </c>
      <c r="JM186" s="60">
        <f t="shared" si="143"/>
        <v>48</v>
      </c>
      <c r="JN186" s="60">
        <f t="shared" si="144"/>
        <v>56</v>
      </c>
    </row>
    <row r="187" spans="1:274" x14ac:dyDescent="0.25">
      <c r="A187" s="8"/>
      <c r="B187" s="5" t="s">
        <v>116</v>
      </c>
      <c r="C187" s="8"/>
      <c r="D187" s="6" t="s">
        <v>774</v>
      </c>
      <c r="E187" s="52">
        <f>INDEX((AI213:AM215),MATCH(E188,AH213:AH215,0),MATCH(E189,AI212:AM212,0))</f>
        <v>1000</v>
      </c>
      <c r="F187" s="9"/>
      <c r="G187" s="9"/>
      <c r="H187" s="9"/>
      <c r="I187" s="9"/>
      <c r="J187" s="9"/>
      <c r="K187" s="9"/>
      <c r="L187" s="6" t="s">
        <v>227</v>
      </c>
      <c r="M187" s="11">
        <f>INDEX(cennik!$C$2:$L$529,MATCH($L187,cennik!$B$2:$B$522,0),MATCH(M$104,cennik!$C$1:$L$1,0))</f>
        <v>898175</v>
      </c>
      <c r="N187" s="11" t="str">
        <f>INDEX(cennik!$C$2:$L$529,MATCH($L187,cennik!$B$2:$B$522,0),MATCH(N$104,cennik!$C$1:$L$1,0))</f>
        <v>szt.</v>
      </c>
      <c r="O187" s="11">
        <f>SUM(X167:X182)</f>
        <v>0</v>
      </c>
      <c r="P187" s="34">
        <f>INDEX(cennik!$C$2:$L$529,MATCH($L187,cennik!$B$2:$B$522,0),MATCH(P$104,cennik!$C$1:$L$1,0))</f>
        <v>63.34</v>
      </c>
      <c r="Q187" s="34">
        <f t="shared" si="149"/>
        <v>0</v>
      </c>
      <c r="R187" s="35">
        <f t="shared" si="147"/>
        <v>0</v>
      </c>
      <c r="S187" s="34">
        <f t="shared" si="148"/>
        <v>63.34</v>
      </c>
      <c r="T187" s="34">
        <f t="shared" si="150"/>
        <v>0</v>
      </c>
      <c r="U187" s="34">
        <f>INDEX(cennik!$C$2:$L$529,MATCH($L187,cennik!$B$2:$B$522,0),MATCH(U$104,cennik!$C$1:$L$1,0))*O187</f>
        <v>0</v>
      </c>
      <c r="V187" s="61"/>
      <c r="W187" s="61"/>
      <c r="X187" s="61"/>
      <c r="Y187" s="61"/>
      <c r="Z187" s="61"/>
      <c r="AA187" s="61"/>
      <c r="AB187" s="61"/>
      <c r="AC187" s="61"/>
      <c r="AD187" s="61"/>
      <c r="AE187" s="61"/>
      <c r="AF187" s="61"/>
      <c r="AG187" s="61"/>
      <c r="AH187" s="61"/>
      <c r="AI187" s="61"/>
      <c r="AJ187" s="61"/>
      <c r="AK187" s="61"/>
      <c r="AL187" s="61"/>
      <c r="AM187" s="61">
        <v>0</v>
      </c>
      <c r="AN187" s="61">
        <v>1</v>
      </c>
      <c r="AO187" s="61">
        <v>2</v>
      </c>
      <c r="AP187" s="61">
        <v>3</v>
      </c>
      <c r="AQ187" s="61">
        <v>4</v>
      </c>
      <c r="AR187" s="61">
        <v>5</v>
      </c>
      <c r="AS187" s="61">
        <v>6</v>
      </c>
      <c r="AT187" s="61">
        <v>7</v>
      </c>
      <c r="AU187" s="61">
        <v>8</v>
      </c>
      <c r="AV187" s="61">
        <v>9</v>
      </c>
      <c r="AW187" s="61">
        <v>10</v>
      </c>
      <c r="AX187" s="61">
        <v>11</v>
      </c>
      <c r="AY187" s="61">
        <v>12</v>
      </c>
      <c r="AZ187" s="61">
        <v>13</v>
      </c>
      <c r="BA187" s="61">
        <v>14</v>
      </c>
      <c r="BB187" s="61">
        <v>15</v>
      </c>
      <c r="BC187" s="61">
        <v>16</v>
      </c>
      <c r="BD187" s="61">
        <v>17</v>
      </c>
      <c r="BE187" s="61">
        <v>18</v>
      </c>
      <c r="BF187" s="61">
        <v>19</v>
      </c>
      <c r="BG187" s="61">
        <v>20</v>
      </c>
      <c r="BH187" s="61">
        <v>21</v>
      </c>
      <c r="BI187" s="61">
        <v>22</v>
      </c>
      <c r="BJ187" s="61">
        <v>23</v>
      </c>
      <c r="BK187" s="61">
        <v>24</v>
      </c>
      <c r="BL187" s="61">
        <v>25</v>
      </c>
      <c r="BM187" s="61">
        <v>26</v>
      </c>
      <c r="BN187" s="61">
        <v>27</v>
      </c>
      <c r="BO187" s="61">
        <v>28</v>
      </c>
      <c r="BP187" s="61">
        <v>29</v>
      </c>
      <c r="BQ187" s="61">
        <v>30</v>
      </c>
      <c r="BR187" s="61">
        <v>31</v>
      </c>
      <c r="BS187" s="61">
        <v>32</v>
      </c>
      <c r="BT187" s="61">
        <v>33</v>
      </c>
      <c r="BU187" s="61">
        <v>34</v>
      </c>
      <c r="BV187" s="61">
        <v>35</v>
      </c>
      <c r="BW187" s="61">
        <v>36</v>
      </c>
      <c r="BX187" s="61">
        <v>37</v>
      </c>
      <c r="BY187" s="61">
        <v>38</v>
      </c>
      <c r="BZ187" s="61">
        <v>39</v>
      </c>
      <c r="CA187" s="61">
        <v>40</v>
      </c>
      <c r="CB187" s="61">
        <v>41</v>
      </c>
      <c r="CC187" s="61">
        <v>42</v>
      </c>
      <c r="CD187" s="61">
        <v>43</v>
      </c>
      <c r="CE187" s="61">
        <v>44</v>
      </c>
      <c r="CF187" s="61">
        <v>45</v>
      </c>
      <c r="CG187" s="61">
        <v>46</v>
      </c>
      <c r="CH187" s="61">
        <v>47</v>
      </c>
      <c r="CI187" s="61">
        <v>48</v>
      </c>
      <c r="CJ187" s="61">
        <v>49</v>
      </c>
      <c r="CK187" s="61">
        <v>50</v>
      </c>
      <c r="CL187" s="61"/>
      <c r="CM187" s="61" t="s">
        <v>408</v>
      </c>
      <c r="CN187" s="61">
        <v>0</v>
      </c>
      <c r="CO187" s="61">
        <v>0</v>
      </c>
      <c r="CP187" s="61">
        <v>0</v>
      </c>
      <c r="CQ187" s="61">
        <v>0</v>
      </c>
      <c r="CR187" s="61">
        <v>4</v>
      </c>
      <c r="CS187" s="61">
        <v>4</v>
      </c>
      <c r="CT187" s="61">
        <v>4</v>
      </c>
      <c r="CU187" s="61">
        <v>8</v>
      </c>
      <c r="CV187" s="61">
        <v>8</v>
      </c>
      <c r="CW187" s="61">
        <v>8</v>
      </c>
      <c r="CX187" s="61">
        <v>12</v>
      </c>
      <c r="CY187" s="61">
        <v>12</v>
      </c>
      <c r="CZ187" s="61">
        <v>12</v>
      </c>
      <c r="DA187" s="61">
        <v>16</v>
      </c>
      <c r="DB187" s="61">
        <v>16</v>
      </c>
      <c r="DC187" s="61">
        <v>16</v>
      </c>
      <c r="DD187" s="61">
        <v>20</v>
      </c>
      <c r="DE187" s="61">
        <v>20</v>
      </c>
      <c r="DF187" s="61">
        <v>20</v>
      </c>
      <c r="DG187" s="61">
        <v>24</v>
      </c>
      <c r="DH187" s="61">
        <v>24</v>
      </c>
      <c r="DI187" s="61"/>
      <c r="DJ187" s="61"/>
      <c r="DK187" s="61"/>
      <c r="DL187" s="61"/>
      <c r="DM187" s="61" t="s">
        <v>212</v>
      </c>
      <c r="DN187" s="61">
        <v>0</v>
      </c>
      <c r="DO187" s="61">
        <v>0</v>
      </c>
      <c r="DP187" s="61">
        <v>2</v>
      </c>
      <c r="DQ187" s="61">
        <v>0</v>
      </c>
      <c r="DR187" s="61">
        <v>2</v>
      </c>
      <c r="DS187" s="61">
        <v>4</v>
      </c>
      <c r="DT187" s="61">
        <v>2</v>
      </c>
      <c r="DU187" s="61">
        <v>4</v>
      </c>
      <c r="DV187" s="61">
        <v>6</v>
      </c>
      <c r="DW187" s="61">
        <v>4</v>
      </c>
      <c r="DX187" s="61">
        <v>6</v>
      </c>
      <c r="DY187" s="61">
        <v>8</v>
      </c>
      <c r="DZ187" s="61">
        <v>6</v>
      </c>
      <c r="EA187" s="61">
        <v>8</v>
      </c>
      <c r="EB187" s="61">
        <v>10</v>
      </c>
      <c r="EC187" s="61">
        <v>8</v>
      </c>
      <c r="ED187" s="61">
        <v>10</v>
      </c>
      <c r="EE187" s="61">
        <v>12</v>
      </c>
      <c r="EF187" s="61">
        <v>10</v>
      </c>
      <c r="EG187" s="61">
        <v>12</v>
      </c>
      <c r="EH187" s="61">
        <v>14</v>
      </c>
      <c r="EI187" s="61"/>
      <c r="EJ187" s="61"/>
      <c r="EK187" s="61"/>
      <c r="EL187" s="61"/>
      <c r="EM187" s="61"/>
      <c r="EN187" s="61"/>
      <c r="EO187" s="61"/>
      <c r="EP187" s="61"/>
      <c r="EQ187" s="61"/>
      <c r="ER187" s="61"/>
      <c r="ES187" s="61"/>
      <c r="ET187" s="61"/>
      <c r="EU187" s="61"/>
      <c r="EV187" s="61" t="s">
        <v>214</v>
      </c>
      <c r="EW187" s="61">
        <v>0</v>
      </c>
      <c r="EX187" s="61">
        <v>0</v>
      </c>
      <c r="EY187" s="61">
        <v>2</v>
      </c>
      <c r="EZ187" s="61">
        <v>2</v>
      </c>
      <c r="FA187" s="61">
        <v>2</v>
      </c>
      <c r="FB187" s="61">
        <v>0</v>
      </c>
      <c r="FC187" s="61">
        <v>2</v>
      </c>
      <c r="FD187" s="61">
        <v>0</v>
      </c>
      <c r="FE187" s="61">
        <v>4</v>
      </c>
      <c r="FF187" s="61">
        <v>0</v>
      </c>
      <c r="FG187" s="61">
        <v>4</v>
      </c>
      <c r="FH187" s="61"/>
      <c r="FI187" s="61" t="s">
        <v>212</v>
      </c>
      <c r="FJ187" s="61">
        <v>0</v>
      </c>
      <c r="FK187" s="61">
        <v>0</v>
      </c>
      <c r="FL187" s="61">
        <v>0</v>
      </c>
      <c r="FM187" s="61">
        <v>0</v>
      </c>
      <c r="FN187" s="61">
        <v>4</v>
      </c>
      <c r="FO187" s="61">
        <v>4</v>
      </c>
      <c r="FP187" s="61">
        <v>0</v>
      </c>
      <c r="FQ187" s="61">
        <v>2</v>
      </c>
      <c r="FR187" s="61">
        <v>4</v>
      </c>
      <c r="FS187" s="61">
        <v>6</v>
      </c>
      <c r="FT187" s="61">
        <v>2</v>
      </c>
      <c r="FU187" s="61"/>
      <c r="FV187" s="61"/>
      <c r="FW187" s="61"/>
      <c r="FX187" s="61"/>
      <c r="FY187" s="61"/>
      <c r="FZ187" s="61"/>
      <c r="GA187" s="60" t="s">
        <v>112</v>
      </c>
      <c r="HV187" s="60" t="s">
        <v>853</v>
      </c>
      <c r="HW187" s="60">
        <v>0</v>
      </c>
      <c r="HX187" s="60">
        <v>0</v>
      </c>
      <c r="HY187" s="60">
        <v>2</v>
      </c>
      <c r="HZ187" s="60">
        <v>2</v>
      </c>
      <c r="IA187" s="60">
        <v>4</v>
      </c>
      <c r="IB187" s="60">
        <v>6</v>
      </c>
      <c r="IC187" s="60">
        <v>8</v>
      </c>
      <c r="ID187" s="60">
        <v>8</v>
      </c>
      <c r="IE187" s="60">
        <v>10</v>
      </c>
      <c r="IF187" s="60">
        <v>12</v>
      </c>
      <c r="IG187" s="60">
        <v>12</v>
      </c>
      <c r="IH187" s="60">
        <v>14</v>
      </c>
      <c r="II187" s="60">
        <v>16</v>
      </c>
      <c r="IJ187" s="60">
        <v>16</v>
      </c>
      <c r="IK187" s="60">
        <v>18</v>
      </c>
      <c r="IL187" s="60">
        <v>20</v>
      </c>
      <c r="IM187" s="60">
        <v>22</v>
      </c>
      <c r="IN187" s="60">
        <v>22</v>
      </c>
      <c r="IO187" s="60">
        <v>24</v>
      </c>
      <c r="IP187" s="60">
        <v>26</v>
      </c>
      <c r="IQ187" s="60">
        <v>26</v>
      </c>
      <c r="IS187" s="60" t="s">
        <v>853</v>
      </c>
      <c r="IT187" s="60">
        <f t="shared" si="125"/>
        <v>0</v>
      </c>
      <c r="IU187" s="60">
        <f t="shared" si="126"/>
        <v>0</v>
      </c>
      <c r="IV187" s="60">
        <f t="shared" si="127"/>
        <v>4</v>
      </c>
      <c r="IW187" s="60">
        <f t="shared" si="128"/>
        <v>4</v>
      </c>
      <c r="IX187" s="60">
        <f t="shared" si="129"/>
        <v>8</v>
      </c>
      <c r="IY187" s="60">
        <f t="shared" si="130"/>
        <v>12</v>
      </c>
      <c r="IZ187" s="60">
        <f t="shared" si="131"/>
        <v>16</v>
      </c>
      <c r="JA187" s="60">
        <f t="shared" si="132"/>
        <v>16</v>
      </c>
      <c r="JB187" s="60">
        <f t="shared" si="122"/>
        <v>20</v>
      </c>
      <c r="JC187" s="60">
        <f t="shared" si="133"/>
        <v>24</v>
      </c>
      <c r="JD187" s="60">
        <f t="shared" si="134"/>
        <v>24</v>
      </c>
      <c r="JE187" s="60">
        <f t="shared" si="135"/>
        <v>28</v>
      </c>
      <c r="JF187" s="60">
        <f t="shared" si="136"/>
        <v>32</v>
      </c>
      <c r="JG187" s="60">
        <f t="shared" si="137"/>
        <v>32</v>
      </c>
      <c r="JH187" s="60">
        <f t="shared" si="138"/>
        <v>36</v>
      </c>
      <c r="JI187" s="60">
        <f t="shared" si="139"/>
        <v>40</v>
      </c>
      <c r="JJ187" s="60">
        <f t="shared" si="140"/>
        <v>44</v>
      </c>
      <c r="JK187" s="60">
        <f t="shared" si="141"/>
        <v>44</v>
      </c>
      <c r="JL187" s="60">
        <f t="shared" si="142"/>
        <v>48</v>
      </c>
      <c r="JM187" s="60">
        <f t="shared" si="143"/>
        <v>52</v>
      </c>
      <c r="JN187" s="60">
        <f t="shared" si="144"/>
        <v>52</v>
      </c>
    </row>
    <row r="188" spans="1:274" x14ac:dyDescent="0.25">
      <c r="A188" s="8"/>
      <c r="B188" s="5" t="s">
        <v>116</v>
      </c>
      <c r="C188" s="8"/>
      <c r="D188" s="6" t="s">
        <v>787</v>
      </c>
      <c r="E188" s="8">
        <v>1</v>
      </c>
      <c r="F188" s="39" t="s">
        <v>789</v>
      </c>
      <c r="G188" s="17"/>
      <c r="H188" s="9"/>
      <c r="I188" s="9"/>
      <c r="J188" s="9"/>
      <c r="K188" s="9"/>
      <c r="L188" s="6" t="s">
        <v>225</v>
      </c>
      <c r="M188" s="11">
        <f>INDEX(cennik!$C$2:$L$529,MATCH($L188,cennik!$B$2:$B$522,0),MATCH(M$104,cennik!$C$1:$L$1,0))</f>
        <v>898210</v>
      </c>
      <c r="N188" s="11" t="str">
        <f>INDEX(cennik!$C$2:$L$529,MATCH($L188,cennik!$B$2:$B$522,0),MATCH(N$104,cennik!$C$1:$L$1,0))</f>
        <v>szt.</v>
      </c>
      <c r="O188" s="11">
        <f>O186</f>
        <v>0</v>
      </c>
      <c r="P188" s="34">
        <f>INDEX(cennik!$C$2:$L$529,MATCH($L188,cennik!$B$2:$B$522,0),MATCH(P$104,cennik!$C$1:$L$1,0))</f>
        <v>74.540000000000006</v>
      </c>
      <c r="Q188" s="34">
        <f t="shared" si="149"/>
        <v>0</v>
      </c>
      <c r="R188" s="35">
        <f t="shared" si="147"/>
        <v>0</v>
      </c>
      <c r="S188" s="34">
        <f t="shared" si="148"/>
        <v>74.540000000000006</v>
      </c>
      <c r="T188" s="34">
        <f t="shared" si="150"/>
        <v>0</v>
      </c>
      <c r="U188" s="34">
        <f>INDEX(cennik!$C$2:$L$529,MATCH($L188,cennik!$B$2:$B$522,0),MATCH(U$104,cennik!$C$1:$L$1,0))*O188</f>
        <v>0</v>
      </c>
      <c r="V188" s="61"/>
      <c r="W188" s="61"/>
      <c r="X188" s="61"/>
      <c r="Y188" s="61"/>
      <c r="Z188" s="61"/>
      <c r="AA188" s="61"/>
      <c r="AB188" s="61"/>
      <c r="AC188" s="61"/>
      <c r="AD188" s="61"/>
      <c r="AE188" s="61"/>
      <c r="AF188" s="61"/>
      <c r="AG188" s="61"/>
      <c r="AH188" s="61"/>
      <c r="AI188" s="61"/>
      <c r="AJ188" s="61"/>
      <c r="AK188" s="61"/>
      <c r="AL188" s="61" t="s">
        <v>126</v>
      </c>
      <c r="AM188" s="61">
        <v>0</v>
      </c>
      <c r="AN188" s="61">
        <v>0</v>
      </c>
      <c r="AO188" s="61">
        <v>2</v>
      </c>
      <c r="AP188" s="61">
        <v>0</v>
      </c>
      <c r="AQ188" s="61">
        <v>0</v>
      </c>
      <c r="AR188" s="61">
        <v>0</v>
      </c>
      <c r="AS188" s="61">
        <v>0</v>
      </c>
      <c r="AT188" s="61">
        <v>0</v>
      </c>
      <c r="AU188" s="61">
        <v>0</v>
      </c>
      <c r="AV188" s="61">
        <v>0</v>
      </c>
      <c r="AW188" s="61">
        <v>0</v>
      </c>
      <c r="AX188" s="61">
        <v>0</v>
      </c>
      <c r="AY188" s="61">
        <v>0</v>
      </c>
      <c r="AZ188" s="61">
        <v>0</v>
      </c>
      <c r="BA188" s="61">
        <v>0</v>
      </c>
      <c r="BB188" s="61">
        <v>0</v>
      </c>
      <c r="BC188" s="61">
        <v>0</v>
      </c>
      <c r="BD188" s="61">
        <v>0</v>
      </c>
      <c r="BE188" s="61">
        <v>0</v>
      </c>
      <c r="BF188" s="61">
        <v>0</v>
      </c>
      <c r="BG188" s="61">
        <v>0</v>
      </c>
      <c r="BH188" s="61">
        <v>0</v>
      </c>
      <c r="BI188" s="61">
        <v>0</v>
      </c>
      <c r="BJ188" s="61">
        <v>0</v>
      </c>
      <c r="BK188" s="61">
        <v>0</v>
      </c>
      <c r="BL188" s="61">
        <v>0</v>
      </c>
      <c r="BM188" s="61">
        <v>0</v>
      </c>
      <c r="BN188" s="61">
        <v>0</v>
      </c>
      <c r="BO188" s="61">
        <v>0</v>
      </c>
      <c r="BP188" s="61">
        <v>0</v>
      </c>
      <c r="BQ188" s="61">
        <v>0</v>
      </c>
      <c r="BR188" s="61">
        <v>0</v>
      </c>
      <c r="BS188" s="61">
        <v>0</v>
      </c>
      <c r="BT188" s="61">
        <v>0</v>
      </c>
      <c r="BU188" s="61">
        <v>0</v>
      </c>
      <c r="BV188" s="61">
        <v>0</v>
      </c>
      <c r="BW188" s="61">
        <v>0</v>
      </c>
      <c r="BX188" s="61">
        <v>0</v>
      </c>
      <c r="BY188" s="61">
        <v>0</v>
      </c>
      <c r="BZ188" s="61">
        <v>0</v>
      </c>
      <c r="CA188" s="61">
        <v>0</v>
      </c>
      <c r="CB188" s="61">
        <v>0</v>
      </c>
      <c r="CC188" s="61">
        <v>0</v>
      </c>
      <c r="CD188" s="61">
        <v>0</v>
      </c>
      <c r="CE188" s="61">
        <v>0</v>
      </c>
      <c r="CF188" s="61">
        <v>0</v>
      </c>
      <c r="CG188" s="61">
        <v>0</v>
      </c>
      <c r="CH188" s="61">
        <v>2</v>
      </c>
      <c r="CI188" s="61">
        <v>0</v>
      </c>
      <c r="CJ188" s="61">
        <v>0</v>
      </c>
      <c r="CK188" s="61">
        <v>0</v>
      </c>
      <c r="CL188" s="61"/>
      <c r="CM188" s="61" t="s">
        <v>518</v>
      </c>
      <c r="CN188" s="61">
        <v>0</v>
      </c>
      <c r="CO188" s="61">
        <v>2</v>
      </c>
      <c r="CP188" s="61">
        <v>2</v>
      </c>
      <c r="CQ188" s="61">
        <v>0</v>
      </c>
      <c r="CR188" s="61">
        <v>4</v>
      </c>
      <c r="CS188" s="61">
        <v>2</v>
      </c>
      <c r="CT188" s="61">
        <v>0</v>
      </c>
      <c r="CU188" s="61">
        <v>4</v>
      </c>
      <c r="CV188" s="61">
        <v>2</v>
      </c>
      <c r="CW188" s="61">
        <v>0</v>
      </c>
      <c r="CX188" s="61">
        <v>4</v>
      </c>
      <c r="CY188" s="61">
        <v>2</v>
      </c>
      <c r="CZ188" s="61">
        <v>0</v>
      </c>
      <c r="DA188" s="61">
        <v>4</v>
      </c>
      <c r="DB188" s="61">
        <v>2</v>
      </c>
      <c r="DC188" s="61">
        <v>0</v>
      </c>
      <c r="DD188" s="61">
        <v>4</v>
      </c>
      <c r="DE188" s="61">
        <v>2</v>
      </c>
      <c r="DF188" s="61">
        <v>0</v>
      </c>
      <c r="DG188" s="61">
        <v>4</v>
      </c>
      <c r="DH188" s="61">
        <v>2</v>
      </c>
      <c r="DI188" s="61"/>
      <c r="DJ188" s="61"/>
      <c r="DK188" s="61"/>
      <c r="DL188" s="61"/>
      <c r="DM188" s="61" t="s">
        <v>11</v>
      </c>
      <c r="DN188" s="61">
        <v>0</v>
      </c>
      <c r="DO188" s="61">
        <v>0</v>
      </c>
      <c r="DP188" s="61">
        <v>0</v>
      </c>
      <c r="DQ188" s="61">
        <v>2</v>
      </c>
      <c r="DR188" s="61">
        <v>2</v>
      </c>
      <c r="DS188" s="61">
        <v>2</v>
      </c>
      <c r="DT188" s="61">
        <v>4</v>
      </c>
      <c r="DU188" s="61">
        <v>4</v>
      </c>
      <c r="DV188" s="61">
        <v>4</v>
      </c>
      <c r="DW188" s="61">
        <v>6</v>
      </c>
      <c r="DX188" s="61">
        <v>6</v>
      </c>
      <c r="DY188" s="61">
        <v>6</v>
      </c>
      <c r="DZ188" s="61">
        <v>8</v>
      </c>
      <c r="EA188" s="61">
        <v>8</v>
      </c>
      <c r="EB188" s="61">
        <v>8</v>
      </c>
      <c r="EC188" s="61">
        <v>10</v>
      </c>
      <c r="ED188" s="61">
        <v>10</v>
      </c>
      <c r="EE188" s="61">
        <v>10</v>
      </c>
      <c r="EF188" s="61">
        <v>12</v>
      </c>
      <c r="EG188" s="61">
        <v>12</v>
      </c>
      <c r="EH188" s="61">
        <v>12</v>
      </c>
      <c r="EI188" s="61"/>
      <c r="EJ188" s="61"/>
      <c r="EK188" s="61"/>
      <c r="EL188" s="61"/>
      <c r="EM188" s="61"/>
      <c r="EN188" s="61"/>
      <c r="EO188" s="61"/>
      <c r="EP188" s="61"/>
      <c r="EQ188" s="61"/>
      <c r="ER188" s="61"/>
      <c r="ES188" s="61"/>
      <c r="ET188" s="61"/>
      <c r="EU188" s="61"/>
      <c r="EV188" s="61" t="s">
        <v>11</v>
      </c>
      <c r="EW188" s="61">
        <v>0</v>
      </c>
      <c r="EX188" s="61">
        <v>0</v>
      </c>
      <c r="EY188" s="61">
        <v>0</v>
      </c>
      <c r="EZ188" s="61">
        <v>2</v>
      </c>
      <c r="FA188" s="61">
        <v>2</v>
      </c>
      <c r="FB188" s="61">
        <v>4</v>
      </c>
      <c r="FC188" s="61">
        <v>4</v>
      </c>
      <c r="FD188" s="61">
        <v>6</v>
      </c>
      <c r="FE188" s="61">
        <v>6</v>
      </c>
      <c r="FF188" s="61">
        <v>8</v>
      </c>
      <c r="FG188" s="61">
        <v>8</v>
      </c>
      <c r="FH188" s="61"/>
      <c r="FI188" s="61" t="s">
        <v>214</v>
      </c>
      <c r="FJ188" s="61">
        <v>0</v>
      </c>
      <c r="FK188" s="61">
        <v>0</v>
      </c>
      <c r="FL188" s="61">
        <v>0</v>
      </c>
      <c r="FM188" s="61">
        <v>0</v>
      </c>
      <c r="FN188" s="61">
        <v>0</v>
      </c>
      <c r="FO188" s="61">
        <v>0</v>
      </c>
      <c r="FP188" s="61">
        <v>0</v>
      </c>
      <c r="FQ188" s="61">
        <v>4</v>
      </c>
      <c r="FR188" s="61">
        <v>0</v>
      </c>
      <c r="FS188" s="61">
        <v>4</v>
      </c>
      <c r="FT188" s="61">
        <v>4</v>
      </c>
      <c r="FU188" s="61"/>
      <c r="FV188" s="61"/>
      <c r="FW188" s="61"/>
      <c r="FX188" s="61"/>
      <c r="FY188" s="61"/>
      <c r="FZ188" s="61"/>
      <c r="GB188" s="60">
        <v>0</v>
      </c>
      <c r="GC188" s="60">
        <v>1</v>
      </c>
      <c r="GD188" s="60">
        <v>2</v>
      </c>
      <c r="GE188" s="60">
        <v>3</v>
      </c>
      <c r="GF188" s="60">
        <v>4</v>
      </c>
      <c r="GG188" s="60">
        <v>5</v>
      </c>
      <c r="GH188" s="60">
        <v>6</v>
      </c>
      <c r="GI188" s="60">
        <v>7</v>
      </c>
      <c r="GJ188" s="60">
        <v>8</v>
      </c>
      <c r="GK188" s="60">
        <v>9</v>
      </c>
      <c r="GL188" s="60">
        <v>10</v>
      </c>
      <c r="GM188" s="60">
        <v>11</v>
      </c>
      <c r="GN188" s="60">
        <v>12</v>
      </c>
      <c r="GO188" s="60">
        <v>13</v>
      </c>
      <c r="GP188" s="60">
        <v>14</v>
      </c>
      <c r="GQ188" s="60">
        <v>15</v>
      </c>
      <c r="GR188" s="60">
        <v>16</v>
      </c>
      <c r="GS188" s="60">
        <v>17</v>
      </c>
      <c r="GT188" s="60">
        <v>18</v>
      </c>
      <c r="GU188" s="60">
        <v>19</v>
      </c>
      <c r="GV188" s="60">
        <v>20</v>
      </c>
      <c r="GX188" s="60" t="s">
        <v>508</v>
      </c>
    </row>
    <row r="189" spans="1:274" x14ac:dyDescent="0.25">
      <c r="A189" s="8"/>
      <c r="B189" s="5" t="s">
        <v>116</v>
      </c>
      <c r="C189" s="8"/>
      <c r="D189" s="6" t="s">
        <v>788</v>
      </c>
      <c r="E189" s="8">
        <v>1</v>
      </c>
      <c r="F189" s="39" t="s">
        <v>790</v>
      </c>
      <c r="G189" s="9"/>
      <c r="H189" s="9"/>
      <c r="I189" s="9"/>
      <c r="J189" s="9"/>
      <c r="K189" s="9"/>
      <c r="L189" s="6" t="str">
        <f>INDEX(($Z$191:$AA$201,$AE$191:$AF$201),MATCH(I179,$Y$191:$Y$200,0),MATCH(E181,$Z$190:$AA$190,0),MATCH(E180,$Y$106:$Y$107,0))</f>
        <v>BUF40</v>
      </c>
      <c r="M189" s="11">
        <f>INDEX(cennik!$C$2:$L$529,MATCH($L189,cennik!$B$2:$B$522,0),MATCH(M$104,cennik!$C$1:$L$1,0))</f>
        <v>897340</v>
      </c>
      <c r="N189" s="11" t="str">
        <f>INDEX(cennik!$C$2:$L$529,MATCH($L189,cennik!$B$2:$B$522,0),MATCH(N$104,cennik!$C$1:$L$1,0))</f>
        <v>szt.</v>
      </c>
      <c r="O189" s="11">
        <f>SUM(IF(A178=0,0,IF((A178&gt;0),C178*4)),IF(A179=0,0,IF((A179&gt;0),C179*4)),IF(A180=0,0,IF((A180&gt;0),C180*4)),IF(A181=0,0,IF((A181&gt;0),C181*4)),IF(A182=0,0,IF((A182&gt;0),C182*4)),IF(A183=0,0,IF((A183&gt;0),C183*4)),IF(A184=0,0,IF((A184&gt;0),C184*4)),IF(A185=0,0,IF((A185&gt;0),C185*4)),IF(A186=0,0,IF((A186&gt;0),C186*4)),IF(A187=0,0,IF((A187&gt;0),C187*4)),IF(A188=0,0,IF((A188&gt;0),C188*4)),IF(A189=0,0,IF((A189&gt;0),C189*4)),IF(A190=0,0,IF((A190&gt;0),C190*4)),IF(A191=0,0,IF((A191&gt;0),C191*4)),IF(A192=0,0,IF((A192&gt;0),C192*4)),,IF(A193=0,0,IF((A193&gt;0),C193*4)))</f>
        <v>0</v>
      </c>
      <c r="P189" s="34">
        <f>INDEX(cennik!$C$2:$L$529,MATCH($L189,cennik!$B$2:$B$522,0),MATCH(P$104,cennik!$C$1:$L$1,0))</f>
        <v>1.92</v>
      </c>
      <c r="Q189" s="34">
        <f t="shared" si="149"/>
        <v>0</v>
      </c>
      <c r="R189" s="35">
        <f t="shared" si="147"/>
        <v>0</v>
      </c>
      <c r="S189" s="34">
        <f t="shared" si="148"/>
        <v>1.92</v>
      </c>
      <c r="T189" s="34">
        <f t="shared" si="150"/>
        <v>0</v>
      </c>
      <c r="U189" s="34">
        <f>INDEX(cennik!$C$2:$L$529,MATCH($L189,cennik!$B$2:$B$522,0),MATCH(U$104,cennik!$C$1:$L$1,0))*O189</f>
        <v>0</v>
      </c>
      <c r="V189" s="61"/>
      <c r="W189" s="61"/>
      <c r="X189" s="61"/>
      <c r="Y189" s="61"/>
      <c r="Z189" s="61"/>
      <c r="AA189" s="61"/>
      <c r="AB189" s="61"/>
      <c r="AC189" s="61"/>
      <c r="AD189" s="61"/>
      <c r="AE189" s="61"/>
      <c r="AF189" s="61"/>
      <c r="AG189" s="61"/>
      <c r="AH189" s="61"/>
      <c r="AI189" s="61"/>
      <c r="AJ189" s="61"/>
      <c r="AK189" s="61"/>
      <c r="AL189" s="61" t="s">
        <v>12</v>
      </c>
      <c r="AM189" s="61">
        <v>0</v>
      </c>
      <c r="AN189" s="61">
        <v>0</v>
      </c>
      <c r="AO189" s="61">
        <v>0</v>
      </c>
      <c r="AP189" s="61">
        <v>0</v>
      </c>
      <c r="AQ189" s="61">
        <v>2</v>
      </c>
      <c r="AR189" s="61">
        <v>2</v>
      </c>
      <c r="AS189" s="61">
        <v>0</v>
      </c>
      <c r="AT189" s="61">
        <v>2</v>
      </c>
      <c r="AU189" s="61">
        <v>0</v>
      </c>
      <c r="AV189" s="61">
        <v>0</v>
      </c>
      <c r="AW189" s="61">
        <v>2</v>
      </c>
      <c r="AX189" s="61">
        <v>0</v>
      </c>
      <c r="AY189" s="61">
        <v>0</v>
      </c>
      <c r="AZ189" s="61">
        <v>0</v>
      </c>
      <c r="BA189" s="61">
        <v>4</v>
      </c>
      <c r="BB189" s="61">
        <v>0</v>
      </c>
      <c r="BC189" s="61">
        <v>0</v>
      </c>
      <c r="BD189" s="61">
        <v>0</v>
      </c>
      <c r="BE189" s="61">
        <v>0</v>
      </c>
      <c r="BF189" s="61">
        <v>0</v>
      </c>
      <c r="BG189" s="61">
        <v>0</v>
      </c>
      <c r="BH189" s="61">
        <v>0</v>
      </c>
      <c r="BI189" s="61">
        <v>0</v>
      </c>
      <c r="BJ189" s="61">
        <v>0</v>
      </c>
      <c r="BK189" s="61">
        <v>0</v>
      </c>
      <c r="BL189" s="61">
        <v>0</v>
      </c>
      <c r="BM189" s="61">
        <v>0</v>
      </c>
      <c r="BN189" s="61">
        <v>0</v>
      </c>
      <c r="BO189" s="61">
        <v>0</v>
      </c>
      <c r="BP189" s="61">
        <v>0</v>
      </c>
      <c r="BQ189" s="61">
        <v>0</v>
      </c>
      <c r="BR189" s="61">
        <v>0</v>
      </c>
      <c r="BS189" s="61">
        <v>0</v>
      </c>
      <c r="BT189" s="61">
        <v>0</v>
      </c>
      <c r="BU189" s="61">
        <v>0</v>
      </c>
      <c r="BV189" s="61">
        <v>0</v>
      </c>
      <c r="BW189" s="61">
        <v>0</v>
      </c>
      <c r="BX189" s="61">
        <v>0</v>
      </c>
      <c r="BY189" s="61">
        <v>0</v>
      </c>
      <c r="BZ189" s="61">
        <v>0</v>
      </c>
      <c r="CA189" s="61">
        <v>0</v>
      </c>
      <c r="CB189" s="61">
        <v>0</v>
      </c>
      <c r="CC189" s="61">
        <v>0</v>
      </c>
      <c r="CD189" s="61">
        <v>0</v>
      </c>
      <c r="CE189" s="61">
        <v>0</v>
      </c>
      <c r="CF189" s="61">
        <v>0</v>
      </c>
      <c r="CG189" s="61">
        <v>0</v>
      </c>
      <c r="CH189" s="61">
        <v>0</v>
      </c>
      <c r="CI189" s="61">
        <v>0</v>
      </c>
      <c r="CJ189" s="61">
        <v>0</v>
      </c>
      <c r="CK189" s="61">
        <v>0</v>
      </c>
      <c r="CL189" s="61"/>
      <c r="CM189" s="61" t="s">
        <v>520</v>
      </c>
      <c r="CN189" s="61">
        <v>0</v>
      </c>
      <c r="CO189" s="61">
        <v>0</v>
      </c>
      <c r="CP189" s="61">
        <v>0</v>
      </c>
      <c r="CQ189" s="61">
        <v>2</v>
      </c>
      <c r="CR189" s="61">
        <v>0</v>
      </c>
      <c r="CS189" s="61">
        <v>2</v>
      </c>
      <c r="CT189" s="61">
        <v>4</v>
      </c>
      <c r="CU189" s="61">
        <v>2</v>
      </c>
      <c r="CV189" s="61">
        <v>4</v>
      </c>
      <c r="CW189" s="61">
        <v>6</v>
      </c>
      <c r="CX189" s="61">
        <v>4</v>
      </c>
      <c r="CY189" s="61">
        <v>6</v>
      </c>
      <c r="CZ189" s="61">
        <v>8</v>
      </c>
      <c r="DA189" s="61">
        <v>6</v>
      </c>
      <c r="DB189" s="61">
        <v>8</v>
      </c>
      <c r="DC189" s="61">
        <v>10</v>
      </c>
      <c r="DD189" s="61">
        <v>8</v>
      </c>
      <c r="DE189" s="61">
        <v>10</v>
      </c>
      <c r="DF189" s="61">
        <v>12</v>
      </c>
      <c r="DG189" s="61">
        <v>10</v>
      </c>
      <c r="DH189" s="61">
        <v>12</v>
      </c>
      <c r="DI189" s="61"/>
      <c r="DJ189" s="61"/>
      <c r="DK189" s="61"/>
      <c r="DL189" s="61"/>
      <c r="DM189" s="61"/>
      <c r="DN189" s="61"/>
      <c r="DO189" s="61"/>
      <c r="DP189" s="61"/>
      <c r="DQ189" s="61"/>
      <c r="DR189" s="61"/>
      <c r="DS189" s="61"/>
      <c r="DT189" s="61"/>
      <c r="DU189" s="61"/>
      <c r="DV189" s="61"/>
      <c r="DW189" s="61"/>
      <c r="DX189" s="61"/>
      <c r="DY189" s="61"/>
      <c r="DZ189" s="61"/>
      <c r="EA189" s="61"/>
      <c r="EB189" s="61"/>
      <c r="EC189" s="61"/>
      <c r="ED189" s="61"/>
      <c r="EE189" s="61"/>
      <c r="EF189" s="61"/>
      <c r="EG189" s="61"/>
      <c r="EH189" s="61"/>
      <c r="EI189" s="61"/>
      <c r="EJ189" s="61"/>
      <c r="EK189" s="61"/>
      <c r="EL189" s="61"/>
      <c r="EM189" s="61"/>
      <c r="EN189" s="61"/>
      <c r="EO189" s="61"/>
      <c r="EP189" s="61"/>
      <c r="EQ189" s="61"/>
      <c r="ER189" s="61"/>
      <c r="ES189" s="61"/>
      <c r="ET189" s="61"/>
      <c r="EU189" s="61"/>
      <c r="FH189" s="61"/>
      <c r="FI189" s="61" t="s">
        <v>11</v>
      </c>
      <c r="FJ189" s="61">
        <v>0</v>
      </c>
      <c r="FK189" s="61">
        <v>0</v>
      </c>
      <c r="FL189" s="61">
        <v>2</v>
      </c>
      <c r="FM189" s="61">
        <v>2</v>
      </c>
      <c r="FN189" s="61">
        <v>4</v>
      </c>
      <c r="FO189" s="61">
        <v>4</v>
      </c>
      <c r="FP189" s="61">
        <v>6</v>
      </c>
      <c r="FQ189" s="61">
        <v>6</v>
      </c>
      <c r="FR189" s="61">
        <v>8</v>
      </c>
      <c r="FS189" s="61">
        <v>8</v>
      </c>
      <c r="FT189" s="61">
        <v>10</v>
      </c>
      <c r="FU189" s="61"/>
      <c r="FV189" s="61"/>
      <c r="FW189" s="61"/>
      <c r="FX189" s="61"/>
      <c r="FY189" s="61"/>
      <c r="FZ189" s="61"/>
      <c r="GA189" s="145" t="s">
        <v>866</v>
      </c>
      <c r="GB189" s="60">
        <v>0</v>
      </c>
      <c r="GC189" s="60">
        <v>1</v>
      </c>
      <c r="GD189" s="60">
        <v>1</v>
      </c>
      <c r="GE189" s="60">
        <v>1</v>
      </c>
      <c r="GF189" s="60">
        <v>2</v>
      </c>
      <c r="GG189" s="60">
        <v>3</v>
      </c>
      <c r="GH189" s="60">
        <v>3</v>
      </c>
      <c r="GI189" s="60">
        <v>4</v>
      </c>
      <c r="GJ189" s="60">
        <v>5</v>
      </c>
      <c r="GK189" s="60">
        <v>5</v>
      </c>
      <c r="GL189" s="60">
        <v>6</v>
      </c>
      <c r="GM189" s="60">
        <v>0</v>
      </c>
      <c r="GN189" s="60">
        <v>1</v>
      </c>
      <c r="GO189" s="60">
        <v>2</v>
      </c>
      <c r="GP189" s="60">
        <v>2</v>
      </c>
      <c r="GQ189" s="60">
        <v>3</v>
      </c>
      <c r="GR189" s="60">
        <v>4</v>
      </c>
      <c r="GS189" s="60">
        <v>4</v>
      </c>
      <c r="GT189" s="60">
        <v>5</v>
      </c>
      <c r="GU189" s="60">
        <v>5</v>
      </c>
      <c r="GV189" s="60">
        <v>0</v>
      </c>
      <c r="GY189" s="60">
        <v>0</v>
      </c>
      <c r="GZ189" s="60">
        <v>1</v>
      </c>
      <c r="HA189" s="60">
        <v>2</v>
      </c>
      <c r="HB189" s="60">
        <v>3</v>
      </c>
      <c r="HC189" s="60">
        <v>4</v>
      </c>
      <c r="HD189" s="60">
        <v>5</v>
      </c>
      <c r="HE189" s="60">
        <v>6</v>
      </c>
      <c r="HF189" s="60">
        <v>7</v>
      </c>
      <c r="HG189" s="60">
        <v>8</v>
      </c>
      <c r="HH189" s="60">
        <v>9</v>
      </c>
      <c r="HI189" s="60">
        <v>10</v>
      </c>
      <c r="HJ189" s="60">
        <v>11</v>
      </c>
      <c r="HK189" s="60">
        <v>12</v>
      </c>
      <c r="HL189" s="60">
        <v>13</v>
      </c>
      <c r="HM189" s="60">
        <v>14</v>
      </c>
      <c r="HN189" s="60">
        <v>15</v>
      </c>
      <c r="HO189" s="60">
        <v>16</v>
      </c>
      <c r="HP189" s="60">
        <v>17</v>
      </c>
      <c r="HQ189" s="60">
        <v>18</v>
      </c>
      <c r="HR189" s="60">
        <v>19</v>
      </c>
      <c r="HS189" s="60">
        <v>20</v>
      </c>
      <c r="HV189" s="141" t="s">
        <v>763</v>
      </c>
      <c r="IS189" s="60" t="s">
        <v>763</v>
      </c>
    </row>
    <row r="190" spans="1:274" x14ac:dyDescent="0.25">
      <c r="A190" s="8"/>
      <c r="B190" s="5" t="s">
        <v>116</v>
      </c>
      <c r="C190" s="8"/>
      <c r="D190" s="40" t="s">
        <v>941</v>
      </c>
      <c r="E190" s="32"/>
      <c r="F190" s="31"/>
      <c r="G190" s="31"/>
      <c r="H190" s="9"/>
      <c r="I190" s="9"/>
      <c r="J190" s="9"/>
      <c r="K190" s="9"/>
      <c r="L190" s="6" t="str">
        <f>INDEX(($Z$201:$AA$201,$AE$201:$AF$201),1,MATCH(E181,$Z$190:$AA$190,0),MATCH(E180,$Y$106:$Y$107,0))</f>
        <v>PUF</v>
      </c>
      <c r="M190" s="11">
        <f>INDEX(cennik!$C$2:$L$529,MATCH($L190,cennik!$B$2:$B$522,0),MATCH(M$104,cennik!$C$1:$L$1,0))</f>
        <v>897300</v>
      </c>
      <c r="N190" s="11" t="str">
        <f>INDEX(cennik!$C$2:$L$529,MATCH($L190,cennik!$B$2:$B$522,0),MATCH(N$104,cennik!$C$1:$L$1,0))</f>
        <v>szt.</v>
      </c>
      <c r="O190" s="11">
        <f>SUM(IF(A178=0,0,IF(A178&gt;0,(A178-1)*2*C178)),IF(A179=0,0,IF(A179&gt;0,(A179-1)*2*C179)),IF(A180=0,0,IF(A180&gt;0,(A180-1)*2*C180)),IF(A181=0,0,IF(A181&gt;0,(A181-1)*2*C181)),IF(A182=0,0,IF(A182&gt;0,(A182-1)*2*C182)),IF(A183=0,0,IF(A183&gt;0,(A183-1)*2*C183)),IF(A184=0,0,IF(A184&gt;0,(A184-1)*2*C184)),IF(A185=0,0,IF(A185&gt;0,(A185-1)*2*C185)),IF(A186=0,0,IF(A186&gt;0,(A186-1)*2*C186)),IF(A187=0,0,IF(A187&gt;0,(A187-1)*2*C187)),IF(A188=0,0,IF(A188&gt;0,(A188-1)*2*C188)),IF(A189=0,0,IF(A189&gt;0,(A189-1)*2*C189)),IF(A190=0,0,IF(A190&gt;0,(A190-1)*2*C190)),IF(A191=0,0,IF(A191&gt;0,(A191-1)*2*C191)),IF(A192=0,0,IF(A192&gt;0,(A192-1)*2*C192)),IF(A193=0,0,IF(A193&gt;0,(A193-1)*2*C193)))</f>
        <v>0</v>
      </c>
      <c r="P190" s="34">
        <f>INDEX(cennik!$C$2:$L$529,MATCH($L190,cennik!$B$2:$B$522,0),MATCH(P$104,cennik!$C$1:$L$1,0))</f>
        <v>2.06</v>
      </c>
      <c r="Q190" s="34">
        <f t="shared" si="149"/>
        <v>0</v>
      </c>
      <c r="R190" s="35">
        <f t="shared" si="147"/>
        <v>0</v>
      </c>
      <c r="S190" s="34">
        <f t="shared" si="148"/>
        <v>2.06</v>
      </c>
      <c r="T190" s="34">
        <f t="shared" si="150"/>
        <v>0</v>
      </c>
      <c r="U190" s="34">
        <f>INDEX(cennik!$C$2:$L$529,MATCH($L190,cennik!$B$2:$B$522,0),MATCH(U$104,cennik!$C$1:$L$1,0))*O190</f>
        <v>0</v>
      </c>
      <c r="V190" s="61"/>
      <c r="W190" s="61"/>
      <c r="X190" s="61"/>
      <c r="Y190" s="61" t="s">
        <v>130</v>
      </c>
      <c r="Z190" s="61" t="s">
        <v>125</v>
      </c>
      <c r="AA190" s="61" t="s">
        <v>144</v>
      </c>
      <c r="AB190" s="140"/>
      <c r="AC190" s="140"/>
      <c r="AD190" s="61" t="s">
        <v>140</v>
      </c>
      <c r="AE190" s="61" t="s">
        <v>125</v>
      </c>
      <c r="AF190" s="61" t="s">
        <v>144</v>
      </c>
      <c r="AG190" s="140"/>
      <c r="AH190" s="140"/>
      <c r="AI190" s="61"/>
      <c r="AJ190" s="61"/>
      <c r="AK190" s="61"/>
      <c r="AL190" s="61" t="s">
        <v>127</v>
      </c>
      <c r="AM190" s="61">
        <v>0</v>
      </c>
      <c r="AN190" s="61">
        <v>2</v>
      </c>
      <c r="AO190" s="61">
        <v>0</v>
      </c>
      <c r="AP190" s="61">
        <v>0</v>
      </c>
      <c r="AQ190" s="61">
        <v>0</v>
      </c>
      <c r="AR190" s="61">
        <v>2</v>
      </c>
      <c r="AS190" s="61">
        <v>0</v>
      </c>
      <c r="AT190" s="61">
        <v>0</v>
      </c>
      <c r="AU190" s="61">
        <v>4</v>
      </c>
      <c r="AV190" s="61">
        <v>0</v>
      </c>
      <c r="AW190" s="61">
        <v>0</v>
      </c>
      <c r="AX190" s="61">
        <v>4</v>
      </c>
      <c r="AY190" s="61">
        <v>0</v>
      </c>
      <c r="AZ190" s="61">
        <v>2</v>
      </c>
      <c r="BA190" s="61">
        <v>0</v>
      </c>
      <c r="BB190" s="61">
        <v>0</v>
      </c>
      <c r="BC190" s="61">
        <v>2</v>
      </c>
      <c r="BD190" s="61">
        <v>0</v>
      </c>
      <c r="BE190" s="61">
        <v>0</v>
      </c>
      <c r="BF190" s="61">
        <v>2</v>
      </c>
      <c r="BG190" s="61">
        <v>0</v>
      </c>
      <c r="BH190" s="61">
        <v>0</v>
      </c>
      <c r="BI190" s="61">
        <v>4</v>
      </c>
      <c r="BJ190" s="61">
        <v>0</v>
      </c>
      <c r="BK190" s="61">
        <v>0</v>
      </c>
      <c r="BL190" s="61">
        <v>0</v>
      </c>
      <c r="BM190" s="61">
        <v>0</v>
      </c>
      <c r="BN190" s="61">
        <v>2</v>
      </c>
      <c r="BO190" s="61">
        <v>0</v>
      </c>
      <c r="BP190" s="61">
        <v>0</v>
      </c>
      <c r="BQ190" s="61">
        <v>2</v>
      </c>
      <c r="BR190" s="61">
        <v>0</v>
      </c>
      <c r="BS190" s="61">
        <v>2</v>
      </c>
      <c r="BT190" s="61">
        <v>0</v>
      </c>
      <c r="BU190" s="61">
        <v>0</v>
      </c>
      <c r="BV190" s="61">
        <v>0</v>
      </c>
      <c r="BW190" s="61">
        <v>0</v>
      </c>
      <c r="BX190" s="61">
        <v>0</v>
      </c>
      <c r="BY190" s="61">
        <v>2</v>
      </c>
      <c r="BZ190" s="61">
        <v>0</v>
      </c>
      <c r="CA190" s="61">
        <v>0</v>
      </c>
      <c r="CB190" s="61">
        <v>2</v>
      </c>
      <c r="CC190" s="61">
        <v>0</v>
      </c>
      <c r="CD190" s="61">
        <v>0</v>
      </c>
      <c r="CE190" s="61">
        <v>0</v>
      </c>
      <c r="CF190" s="61">
        <v>0</v>
      </c>
      <c r="CG190" s="61">
        <v>0</v>
      </c>
      <c r="CH190" s="61">
        <v>0</v>
      </c>
      <c r="CI190" s="61">
        <v>0</v>
      </c>
      <c r="CJ190" s="61">
        <v>0</v>
      </c>
      <c r="CK190" s="61">
        <v>0</v>
      </c>
      <c r="CL190" s="61"/>
      <c r="CM190" s="61" t="s">
        <v>521</v>
      </c>
      <c r="CN190" s="61">
        <v>0</v>
      </c>
      <c r="CO190" s="61">
        <v>0</v>
      </c>
      <c r="CP190" s="61">
        <v>0</v>
      </c>
      <c r="CQ190" s="61">
        <v>0</v>
      </c>
      <c r="CR190" s="61">
        <v>4</v>
      </c>
      <c r="CS190" s="61">
        <v>4</v>
      </c>
      <c r="CT190" s="61">
        <v>4</v>
      </c>
      <c r="CU190" s="61">
        <v>8</v>
      </c>
      <c r="CV190" s="61">
        <v>8</v>
      </c>
      <c r="CW190" s="61">
        <v>8</v>
      </c>
      <c r="CX190" s="61">
        <v>12</v>
      </c>
      <c r="CY190" s="61">
        <v>12</v>
      </c>
      <c r="CZ190" s="61">
        <v>12</v>
      </c>
      <c r="DA190" s="61">
        <v>16</v>
      </c>
      <c r="DB190" s="61">
        <v>16</v>
      </c>
      <c r="DC190" s="61">
        <v>16</v>
      </c>
      <c r="DD190" s="61">
        <v>20</v>
      </c>
      <c r="DE190" s="61">
        <v>20</v>
      </c>
      <c r="DF190" s="61">
        <v>20</v>
      </c>
      <c r="DG190" s="61">
        <v>24</v>
      </c>
      <c r="DH190" s="61">
        <v>24</v>
      </c>
      <c r="DI190" s="61"/>
      <c r="DJ190" s="61"/>
      <c r="DK190" s="61"/>
      <c r="DL190" s="61"/>
      <c r="DM190" s="61"/>
      <c r="DN190" s="61"/>
      <c r="DO190" s="61"/>
      <c r="DP190" s="61"/>
      <c r="DQ190" s="61"/>
      <c r="DR190" s="61"/>
      <c r="DS190" s="61"/>
      <c r="DT190" s="61"/>
      <c r="DU190" s="61"/>
      <c r="DV190" s="61"/>
      <c r="DW190" s="61"/>
      <c r="DX190" s="61"/>
      <c r="DY190" s="61"/>
      <c r="DZ190" s="61"/>
      <c r="EA190" s="61"/>
      <c r="EB190" s="61"/>
      <c r="EC190" s="61"/>
      <c r="ED190" s="61"/>
      <c r="EE190" s="61"/>
      <c r="EF190" s="61"/>
      <c r="EG190" s="61"/>
      <c r="EH190" s="61"/>
      <c r="EI190" s="61"/>
      <c r="EJ190" s="61"/>
      <c r="EK190" s="61"/>
      <c r="EL190" s="61"/>
      <c r="EM190" s="61"/>
      <c r="EN190" s="61"/>
      <c r="EO190" s="61"/>
      <c r="EP190" s="61"/>
      <c r="EQ190" s="61"/>
      <c r="ER190" s="61"/>
      <c r="ES190" s="61"/>
      <c r="ET190" s="61"/>
      <c r="EU190" s="61"/>
      <c r="EV190" s="61" t="s">
        <v>470</v>
      </c>
      <c r="EW190" s="61"/>
      <c r="EX190" s="61"/>
      <c r="EY190" s="61"/>
      <c r="EZ190" s="61"/>
      <c r="FA190" s="61"/>
      <c r="FB190" s="61"/>
      <c r="FC190" s="61"/>
      <c r="FD190" s="61"/>
      <c r="FE190" s="61"/>
      <c r="FF190" s="61"/>
      <c r="FG190" s="61"/>
      <c r="FH190" s="61"/>
      <c r="FU190" s="61"/>
      <c r="FV190" s="61"/>
      <c r="FW190" s="61"/>
      <c r="FX190" s="61"/>
      <c r="FY190" s="61"/>
      <c r="FZ190" s="61"/>
      <c r="GA190" s="145" t="s">
        <v>867</v>
      </c>
      <c r="GB190" s="60">
        <v>0</v>
      </c>
      <c r="GC190" s="60">
        <v>0</v>
      </c>
      <c r="GD190" s="60">
        <v>1</v>
      </c>
      <c r="GE190" s="60">
        <v>2</v>
      </c>
      <c r="GF190" s="60">
        <v>2</v>
      </c>
      <c r="GG190" s="60">
        <v>2</v>
      </c>
      <c r="GH190" s="60">
        <v>3</v>
      </c>
      <c r="GI190" s="60">
        <v>3</v>
      </c>
      <c r="GJ190" s="60">
        <v>3</v>
      </c>
      <c r="GK190" s="60">
        <v>4</v>
      </c>
      <c r="GL190" s="60">
        <v>4</v>
      </c>
      <c r="GM190" s="60">
        <v>10</v>
      </c>
      <c r="GN190" s="60">
        <v>10</v>
      </c>
      <c r="GO190" s="60">
        <v>10</v>
      </c>
      <c r="GP190" s="60">
        <v>11</v>
      </c>
      <c r="GQ190" s="60">
        <v>11</v>
      </c>
      <c r="GR190" s="60">
        <v>11</v>
      </c>
      <c r="GS190" s="60">
        <v>12</v>
      </c>
      <c r="GT190" s="60">
        <v>12</v>
      </c>
      <c r="GU190" s="60">
        <v>13</v>
      </c>
      <c r="GV190" s="60">
        <v>18</v>
      </c>
      <c r="GX190" s="145" t="s">
        <v>866</v>
      </c>
      <c r="GY190" s="60">
        <v>0</v>
      </c>
      <c r="GZ190" s="60">
        <v>0</v>
      </c>
      <c r="HA190" s="60">
        <v>3</v>
      </c>
      <c r="HB190" s="60">
        <v>2</v>
      </c>
      <c r="HC190" s="60">
        <v>1</v>
      </c>
      <c r="HD190" s="60">
        <v>0</v>
      </c>
      <c r="HE190" s="60">
        <v>5</v>
      </c>
      <c r="HF190" s="60">
        <v>4</v>
      </c>
      <c r="HG190" s="60">
        <v>3</v>
      </c>
      <c r="HH190" s="60">
        <v>2</v>
      </c>
      <c r="HI190" s="60">
        <v>1</v>
      </c>
      <c r="HJ190" s="60">
        <v>0</v>
      </c>
      <c r="HK190" s="60">
        <v>4</v>
      </c>
      <c r="HL190" s="60">
        <v>3</v>
      </c>
      <c r="HM190" s="60">
        <v>2</v>
      </c>
      <c r="HN190" s="60">
        <v>1</v>
      </c>
      <c r="HO190" s="60">
        <v>0</v>
      </c>
      <c r="HP190" s="60">
        <v>5</v>
      </c>
      <c r="HQ190" s="60">
        <v>4</v>
      </c>
      <c r="HR190" s="60">
        <v>2</v>
      </c>
      <c r="HS190" s="60">
        <v>1</v>
      </c>
      <c r="HW190" s="60">
        <v>0</v>
      </c>
      <c r="HX190" s="60">
        <v>1</v>
      </c>
      <c r="HY190" s="60">
        <v>2</v>
      </c>
      <c r="HZ190" s="60">
        <v>3</v>
      </c>
      <c r="IA190" s="60">
        <v>4</v>
      </c>
      <c r="IB190" s="60">
        <v>5</v>
      </c>
      <c r="IC190" s="60">
        <v>6</v>
      </c>
      <c r="ID190" s="60">
        <v>7</v>
      </c>
      <c r="IE190" s="60">
        <v>8</v>
      </c>
      <c r="IF190" s="60">
        <v>9</v>
      </c>
      <c r="IG190" s="60">
        <v>10</v>
      </c>
      <c r="IH190" s="60">
        <v>11</v>
      </c>
      <c r="II190" s="60">
        <v>12</v>
      </c>
      <c r="IJ190" s="60">
        <v>13</v>
      </c>
      <c r="IK190" s="60">
        <v>14</v>
      </c>
      <c r="IL190" s="60">
        <v>15</v>
      </c>
      <c r="IM190" s="60">
        <v>16</v>
      </c>
      <c r="IN190" s="60">
        <v>17</v>
      </c>
      <c r="IO190" s="60">
        <v>18</v>
      </c>
      <c r="IP190" s="60">
        <v>19</v>
      </c>
      <c r="IQ190" s="60">
        <v>20</v>
      </c>
      <c r="IT190" s="60">
        <f t="shared" si="125"/>
        <v>0</v>
      </c>
      <c r="IU190" s="60">
        <f t="shared" si="126"/>
        <v>2</v>
      </c>
      <c r="IV190" s="60">
        <f t="shared" si="127"/>
        <v>4</v>
      </c>
      <c r="IW190" s="60">
        <f t="shared" si="128"/>
        <v>6</v>
      </c>
      <c r="IX190" s="60">
        <f t="shared" si="129"/>
        <v>8</v>
      </c>
      <c r="IY190" s="60">
        <f t="shared" si="130"/>
        <v>10</v>
      </c>
      <c r="IZ190" s="60">
        <f t="shared" si="131"/>
        <v>12</v>
      </c>
      <c r="JA190" s="60">
        <f t="shared" si="132"/>
        <v>14</v>
      </c>
      <c r="JB190" s="60">
        <f t="shared" si="122"/>
        <v>16</v>
      </c>
      <c r="JC190" s="60">
        <f t="shared" si="133"/>
        <v>18</v>
      </c>
      <c r="JD190" s="60">
        <f t="shared" si="134"/>
        <v>20</v>
      </c>
      <c r="JE190" s="60">
        <f t="shared" si="135"/>
        <v>22</v>
      </c>
      <c r="JF190" s="60">
        <f t="shared" si="136"/>
        <v>24</v>
      </c>
      <c r="JG190" s="60">
        <f t="shared" si="137"/>
        <v>26</v>
      </c>
      <c r="JH190" s="60">
        <f t="shared" si="138"/>
        <v>28</v>
      </c>
      <c r="JI190" s="60">
        <f t="shared" si="139"/>
        <v>30</v>
      </c>
      <c r="JJ190" s="60">
        <f t="shared" si="140"/>
        <v>32</v>
      </c>
      <c r="JK190" s="60">
        <f t="shared" si="141"/>
        <v>34</v>
      </c>
      <c r="JL190" s="60">
        <f t="shared" si="142"/>
        <v>36</v>
      </c>
      <c r="JM190" s="60">
        <f t="shared" si="143"/>
        <v>38</v>
      </c>
      <c r="JN190" s="60">
        <f t="shared" si="144"/>
        <v>40</v>
      </c>
    </row>
    <row r="191" spans="1:274" x14ac:dyDescent="0.25">
      <c r="A191" s="8"/>
      <c r="B191" s="5" t="s">
        <v>116</v>
      </c>
      <c r="C191" s="8"/>
      <c r="D191" s="40" t="s">
        <v>797</v>
      </c>
      <c r="E191" s="9"/>
      <c r="F191" s="9"/>
      <c r="G191" s="9"/>
      <c r="H191" s="9"/>
      <c r="I191" s="9"/>
      <c r="J191" s="9"/>
      <c r="K191" s="9"/>
      <c r="L191" s="6" t="str">
        <f>INDEX(($AB$191:$AB$200,$AG$191:$AG$200),MATCH(I179,$Y$191:$Y$200,0),1,MATCH(E180,$Y$106:$Y$107,0))</f>
        <v>SAM8X35E</v>
      </c>
      <c r="M191" s="11">
        <f>INDEX(cennik!$C$2:$L$529,MATCH($L191,cennik!$B$2:$B$522,0),MATCH(M$104,cennik!$C$1:$L$1,0))</f>
        <v>898535</v>
      </c>
      <c r="N191" s="11" t="str">
        <f>INDEX(cennik!$C$2:$L$529,MATCH($L191,cennik!$B$2:$B$522,0),MATCH(N$104,cennik!$C$1:$L$1,0))</f>
        <v>szt.</v>
      </c>
      <c r="O191" s="11">
        <f>IF(AF186="suma",SUM(O189:O190),IF(AF186="tylko buf",O189,IF(AF186=0,0,0)))</f>
        <v>0</v>
      </c>
      <c r="P191" s="34">
        <f>INDEX(cennik!$C$2:$L$529,MATCH($L191,cennik!$B$2:$B$522,0),MATCH(P$104,cennik!$C$1:$L$1,0))</f>
        <v>0.61</v>
      </c>
      <c r="Q191" s="34">
        <f t="shared" si="149"/>
        <v>0</v>
      </c>
      <c r="R191" s="35">
        <f t="shared" si="147"/>
        <v>0</v>
      </c>
      <c r="S191" s="34">
        <f t="shared" si="148"/>
        <v>0.61</v>
      </c>
      <c r="T191" s="34">
        <f t="shared" si="150"/>
        <v>0</v>
      </c>
      <c r="U191" s="34">
        <f>INDEX(cennik!$C$2:$L$529,MATCH($L191,cennik!$B$2:$B$522,0),MATCH(U$104,cennik!$C$1:$L$1,0))*O191</f>
        <v>0</v>
      </c>
      <c r="V191" s="61"/>
      <c r="W191" s="61"/>
      <c r="X191" s="61"/>
      <c r="Y191" s="63">
        <v>30</v>
      </c>
      <c r="Z191" s="61" t="s">
        <v>475</v>
      </c>
      <c r="AA191" s="61" t="s">
        <v>476</v>
      </c>
      <c r="AB191" s="61" t="s">
        <v>477</v>
      </c>
      <c r="AC191" s="61" t="s">
        <v>67</v>
      </c>
      <c r="AD191" s="61">
        <v>30</v>
      </c>
      <c r="AE191" s="61" t="s">
        <v>1007</v>
      </c>
      <c r="AF191" s="61" t="s">
        <v>1008</v>
      </c>
      <c r="AG191" s="146" t="s">
        <v>477</v>
      </c>
      <c r="AH191" s="146" t="s">
        <v>67</v>
      </c>
      <c r="AI191" s="61" t="s">
        <v>14</v>
      </c>
      <c r="AJ191" s="61"/>
      <c r="AK191" s="61"/>
      <c r="AL191" s="61" t="s">
        <v>15</v>
      </c>
      <c r="AM191" s="61">
        <v>0</v>
      </c>
      <c r="AN191" s="61">
        <v>0</v>
      </c>
      <c r="AO191" s="61">
        <v>2</v>
      </c>
      <c r="AP191" s="61">
        <v>2</v>
      </c>
      <c r="AQ191" s="61">
        <v>2</v>
      </c>
      <c r="AR191" s="61">
        <v>2</v>
      </c>
      <c r="AS191" s="61">
        <v>4</v>
      </c>
      <c r="AT191" s="61">
        <v>4</v>
      </c>
      <c r="AU191" s="61">
        <v>6</v>
      </c>
      <c r="AV191" s="61">
        <v>8</v>
      </c>
      <c r="AW191" s="61">
        <v>6</v>
      </c>
      <c r="AX191" s="61">
        <v>8</v>
      </c>
      <c r="AY191" s="61">
        <v>12</v>
      </c>
      <c r="AZ191" s="61">
        <v>10</v>
      </c>
      <c r="BA191" s="61">
        <v>8</v>
      </c>
      <c r="BB191" s="61">
        <v>12</v>
      </c>
      <c r="BC191" s="61">
        <v>12</v>
      </c>
      <c r="BD191" s="61">
        <v>0</v>
      </c>
      <c r="BE191" s="61">
        <v>14</v>
      </c>
      <c r="BF191" s="61">
        <v>14</v>
      </c>
      <c r="BG191" s="61">
        <v>2</v>
      </c>
      <c r="BH191" s="61">
        <v>16</v>
      </c>
      <c r="BI191" s="61">
        <v>8</v>
      </c>
      <c r="BJ191" s="61">
        <v>4</v>
      </c>
      <c r="BK191" s="61">
        <v>18</v>
      </c>
      <c r="BL191" s="61">
        <v>34</v>
      </c>
      <c r="BM191" s="61">
        <v>6</v>
      </c>
      <c r="BN191" s="61">
        <v>6</v>
      </c>
      <c r="BO191" s="61">
        <v>36</v>
      </c>
      <c r="BP191" s="61">
        <v>8</v>
      </c>
      <c r="BQ191" s="61">
        <v>8</v>
      </c>
      <c r="BR191" s="61">
        <v>0</v>
      </c>
      <c r="BS191" s="61">
        <v>4</v>
      </c>
      <c r="BT191" s="61">
        <v>26</v>
      </c>
      <c r="BU191" s="61">
        <v>0</v>
      </c>
      <c r="BV191" s="61">
        <v>12</v>
      </c>
      <c r="BW191" s="61">
        <v>28</v>
      </c>
      <c r="BX191" s="61">
        <v>0</v>
      </c>
      <c r="BY191" s="61">
        <v>0</v>
      </c>
      <c r="BZ191" s="61">
        <v>30</v>
      </c>
      <c r="CA191" s="61">
        <v>2</v>
      </c>
      <c r="CB191" s="61">
        <v>2</v>
      </c>
      <c r="CC191" s="61">
        <v>0</v>
      </c>
      <c r="CD191" s="61">
        <v>4</v>
      </c>
      <c r="CE191" s="61">
        <v>20</v>
      </c>
      <c r="CF191" s="61">
        <v>0</v>
      </c>
      <c r="CG191" s="61">
        <v>6</v>
      </c>
      <c r="CH191" s="61">
        <v>6</v>
      </c>
      <c r="CI191" s="61">
        <v>0</v>
      </c>
      <c r="CJ191" s="61">
        <v>10</v>
      </c>
      <c r="CK191" s="61">
        <v>24</v>
      </c>
      <c r="CL191" s="61"/>
      <c r="CM191" s="61"/>
      <c r="CN191" s="61"/>
      <c r="CO191" s="61"/>
      <c r="CP191" s="61"/>
      <c r="CQ191" s="61"/>
      <c r="CR191" s="61"/>
      <c r="CS191" s="61"/>
      <c r="CT191" s="61"/>
      <c r="CU191" s="61"/>
      <c r="CV191" s="61"/>
      <c r="CW191" s="61"/>
      <c r="CX191" s="61"/>
      <c r="CY191" s="61"/>
      <c r="CZ191" s="61"/>
      <c r="DA191" s="61"/>
      <c r="DB191" s="61"/>
      <c r="DC191" s="61"/>
      <c r="DD191" s="61"/>
      <c r="DE191" s="61"/>
      <c r="DF191" s="61"/>
      <c r="DG191" s="61"/>
      <c r="DH191" s="61"/>
      <c r="DI191" s="61"/>
      <c r="DJ191" s="61"/>
      <c r="DK191" s="61"/>
      <c r="DL191" s="61"/>
      <c r="DM191" s="61"/>
      <c r="DN191" s="61"/>
      <c r="DO191" s="61"/>
      <c r="DP191" s="61"/>
      <c r="DQ191" s="61"/>
      <c r="DR191" s="61"/>
      <c r="DS191" s="61"/>
      <c r="DT191" s="61"/>
      <c r="DU191" s="61"/>
      <c r="DV191" s="61"/>
      <c r="DW191" s="61"/>
      <c r="DX191" s="61"/>
      <c r="DY191" s="61"/>
      <c r="DZ191" s="61"/>
      <c r="EA191" s="61"/>
      <c r="EB191" s="61"/>
      <c r="EC191" s="61"/>
      <c r="ED191" s="61"/>
      <c r="EE191" s="61"/>
      <c r="EF191" s="61"/>
      <c r="EG191" s="61"/>
      <c r="EH191" s="61"/>
      <c r="EI191" s="61"/>
      <c r="EJ191" s="61"/>
      <c r="EK191" s="61"/>
      <c r="EL191" s="61"/>
      <c r="EM191" s="61"/>
      <c r="EN191" s="61"/>
      <c r="EO191" s="61"/>
      <c r="EP191" s="61"/>
      <c r="EQ191" s="61"/>
      <c r="ER191" s="61"/>
      <c r="ES191" s="61"/>
      <c r="ET191" s="61"/>
      <c r="EU191" s="61"/>
      <c r="EV191" s="61"/>
      <c r="EW191" s="61">
        <v>0</v>
      </c>
      <c r="EX191" s="61">
        <v>1</v>
      </c>
      <c r="EY191" s="61">
        <v>2</v>
      </c>
      <c r="EZ191" s="61">
        <v>3</v>
      </c>
      <c r="FA191" s="61">
        <v>4</v>
      </c>
      <c r="FB191" s="61">
        <v>5</v>
      </c>
      <c r="FC191" s="61">
        <v>6</v>
      </c>
      <c r="FD191" s="61">
        <v>7</v>
      </c>
      <c r="FE191" s="61">
        <v>8</v>
      </c>
      <c r="FF191" s="61">
        <v>9</v>
      </c>
      <c r="FG191" s="61">
        <v>10</v>
      </c>
      <c r="FH191" s="61"/>
      <c r="FI191" s="61" t="s">
        <v>113</v>
      </c>
      <c r="FJ191" s="61"/>
      <c r="FK191" s="61"/>
      <c r="FL191" s="61"/>
      <c r="FM191" s="61"/>
      <c r="FN191" s="61"/>
      <c r="FO191" s="61"/>
      <c r="FP191" s="61"/>
      <c r="FQ191" s="61"/>
      <c r="FR191" s="61"/>
      <c r="FS191" s="61"/>
      <c r="FT191" s="61"/>
      <c r="FU191" s="61"/>
      <c r="FV191" s="61"/>
      <c r="FW191" s="61"/>
      <c r="FX191" s="61"/>
      <c r="FY191" s="61"/>
      <c r="FZ191" s="61"/>
      <c r="GA191" s="145" t="s">
        <v>868</v>
      </c>
      <c r="GB191" s="60">
        <v>0</v>
      </c>
      <c r="GC191" s="60">
        <v>0</v>
      </c>
      <c r="GD191" s="60">
        <v>0</v>
      </c>
      <c r="GE191" s="60">
        <v>0</v>
      </c>
      <c r="GF191" s="60">
        <v>0</v>
      </c>
      <c r="GG191" s="60">
        <v>0</v>
      </c>
      <c r="GH191" s="60">
        <v>0</v>
      </c>
      <c r="GI191" s="60">
        <v>0</v>
      </c>
      <c r="GJ191" s="60">
        <v>0</v>
      </c>
      <c r="GK191" s="60">
        <v>0</v>
      </c>
      <c r="GL191" s="60">
        <v>0</v>
      </c>
      <c r="GM191" s="60">
        <v>0</v>
      </c>
      <c r="GN191" s="60">
        <v>0</v>
      </c>
      <c r="GO191" s="60">
        <v>0</v>
      </c>
      <c r="GP191" s="60">
        <v>0</v>
      </c>
      <c r="GQ191" s="60">
        <v>0</v>
      </c>
      <c r="GR191" s="60">
        <v>0</v>
      </c>
      <c r="GS191" s="60">
        <v>0</v>
      </c>
      <c r="GT191" s="60">
        <v>0</v>
      </c>
      <c r="GU191" s="60">
        <v>0</v>
      </c>
      <c r="GV191" s="60">
        <v>0</v>
      </c>
      <c r="GX191" s="145" t="s">
        <v>867</v>
      </c>
      <c r="GY191" s="60">
        <v>0</v>
      </c>
      <c r="GZ191" s="60">
        <v>0</v>
      </c>
      <c r="HA191" s="60">
        <v>0</v>
      </c>
      <c r="HB191" s="60">
        <v>2</v>
      </c>
      <c r="HC191" s="60">
        <v>4</v>
      </c>
      <c r="HD191" s="60">
        <v>6</v>
      </c>
      <c r="HE191" s="60">
        <v>3</v>
      </c>
      <c r="HF191" s="60">
        <v>5</v>
      </c>
      <c r="HG191" s="60">
        <v>7</v>
      </c>
      <c r="HH191" s="60">
        <v>9</v>
      </c>
      <c r="HI191" s="60">
        <v>11</v>
      </c>
      <c r="HJ191" s="60">
        <v>13</v>
      </c>
      <c r="HK191" s="60">
        <v>11</v>
      </c>
      <c r="HL191" s="60">
        <v>13</v>
      </c>
      <c r="HM191" s="60">
        <v>15</v>
      </c>
      <c r="HN191" s="60">
        <v>17</v>
      </c>
      <c r="HO191" s="60">
        <v>19</v>
      </c>
      <c r="HP191" s="60">
        <v>16</v>
      </c>
      <c r="HQ191" s="60">
        <v>18</v>
      </c>
      <c r="HR191" s="60">
        <v>21</v>
      </c>
      <c r="HS191" s="60">
        <v>23</v>
      </c>
      <c r="HV191" s="60" t="s">
        <v>826</v>
      </c>
      <c r="HW191" s="60">
        <v>0</v>
      </c>
      <c r="HX191" s="60">
        <v>2</v>
      </c>
      <c r="HY191" s="60">
        <v>4</v>
      </c>
      <c r="HZ191" s="60">
        <v>0</v>
      </c>
      <c r="IA191" s="60">
        <v>0</v>
      </c>
      <c r="IB191" s="60">
        <v>2</v>
      </c>
      <c r="IC191" s="60">
        <v>4</v>
      </c>
      <c r="ID191" s="60">
        <v>0</v>
      </c>
      <c r="IE191" s="60">
        <v>2</v>
      </c>
      <c r="IF191" s="60">
        <v>4</v>
      </c>
      <c r="IG191" s="60">
        <v>4</v>
      </c>
      <c r="IH191" s="60">
        <v>0</v>
      </c>
      <c r="II191" s="60">
        <v>2</v>
      </c>
      <c r="IJ191" s="60">
        <v>4</v>
      </c>
      <c r="IK191" s="60">
        <v>0</v>
      </c>
      <c r="IL191" s="60">
        <v>2</v>
      </c>
      <c r="IM191" s="60">
        <v>4</v>
      </c>
      <c r="IN191" s="60">
        <v>4</v>
      </c>
      <c r="IO191" s="60">
        <v>0</v>
      </c>
      <c r="IP191" s="60">
        <v>2</v>
      </c>
      <c r="IQ191" s="60">
        <v>4</v>
      </c>
      <c r="IS191" s="60" t="s">
        <v>826</v>
      </c>
      <c r="IT191" s="60">
        <f t="shared" si="125"/>
        <v>0</v>
      </c>
      <c r="IU191" s="60">
        <f t="shared" si="126"/>
        <v>4</v>
      </c>
      <c r="IV191" s="60">
        <f t="shared" si="127"/>
        <v>8</v>
      </c>
      <c r="IW191" s="60">
        <f t="shared" si="128"/>
        <v>0</v>
      </c>
      <c r="IX191" s="60">
        <f t="shared" si="129"/>
        <v>0</v>
      </c>
      <c r="IY191" s="60">
        <f t="shared" si="130"/>
        <v>4</v>
      </c>
      <c r="IZ191" s="60">
        <f t="shared" si="131"/>
        <v>8</v>
      </c>
      <c r="JA191" s="60">
        <f t="shared" si="132"/>
        <v>0</v>
      </c>
      <c r="JB191" s="60">
        <f t="shared" si="122"/>
        <v>4</v>
      </c>
      <c r="JC191" s="60">
        <f t="shared" si="133"/>
        <v>8</v>
      </c>
      <c r="JD191" s="60">
        <f t="shared" si="134"/>
        <v>8</v>
      </c>
      <c r="JE191" s="60">
        <f t="shared" si="135"/>
        <v>0</v>
      </c>
      <c r="JF191" s="60">
        <f t="shared" si="136"/>
        <v>4</v>
      </c>
      <c r="JG191" s="60">
        <f t="shared" si="137"/>
        <v>8</v>
      </c>
      <c r="JH191" s="60">
        <f t="shared" si="138"/>
        <v>0</v>
      </c>
      <c r="JI191" s="60">
        <f t="shared" si="139"/>
        <v>4</v>
      </c>
      <c r="JJ191" s="60">
        <f t="shared" si="140"/>
        <v>8</v>
      </c>
      <c r="JK191" s="60">
        <f t="shared" si="141"/>
        <v>8</v>
      </c>
      <c r="JL191" s="60">
        <f t="shared" si="142"/>
        <v>0</v>
      </c>
      <c r="JM191" s="60">
        <f t="shared" si="143"/>
        <v>4</v>
      </c>
      <c r="JN191" s="60">
        <f t="shared" si="144"/>
        <v>8</v>
      </c>
    </row>
    <row r="192" spans="1:274" x14ac:dyDescent="0.25">
      <c r="A192" s="8"/>
      <c r="B192" s="5" t="s">
        <v>116</v>
      </c>
      <c r="C192" s="8"/>
      <c r="D192" s="9"/>
      <c r="E192" s="9"/>
      <c r="F192" s="9"/>
      <c r="G192" s="9"/>
      <c r="H192" s="9"/>
      <c r="I192" s="9"/>
      <c r="J192" s="9"/>
      <c r="K192" s="9"/>
      <c r="L192" s="6" t="s">
        <v>14</v>
      </c>
      <c r="M192" s="11">
        <f>INDEX(cennik!$C$2:$L$529,MATCH($L192,cennik!$B$2:$B$522,0),MATCH(M$104,cennik!$C$1:$L$1,0))</f>
        <v>600909</v>
      </c>
      <c r="N192" s="11" t="str">
        <f>INDEX(cennik!$C$2:$L$529,MATCH($L192,cennik!$B$2:$B$522,0),MATCH(N$104,cennik!$C$1:$L$1,0))</f>
        <v>szt.</v>
      </c>
      <c r="O192" s="11">
        <f>O191</f>
        <v>0</v>
      </c>
      <c r="P192" s="34">
        <f>INDEX(cennik!$C$2:$L$529,MATCH($L192,cennik!$B$2:$B$522,0),MATCH(P$104,cennik!$C$1:$L$1,0))</f>
        <v>0.6</v>
      </c>
      <c r="Q192" s="34">
        <f t="shared" si="149"/>
        <v>0</v>
      </c>
      <c r="R192" s="35">
        <f t="shared" si="147"/>
        <v>0</v>
      </c>
      <c r="S192" s="34">
        <f t="shared" si="148"/>
        <v>0.6</v>
      </c>
      <c r="T192" s="34">
        <f t="shared" si="150"/>
        <v>0</v>
      </c>
      <c r="U192" s="34">
        <f>INDEX(cennik!$C$2:$L$529,MATCH($L192,cennik!$B$2:$B$522,0),MATCH(U$104,cennik!$C$1:$L$1,0))*O192</f>
        <v>0</v>
      </c>
      <c r="V192" s="61"/>
      <c r="W192" s="61"/>
      <c r="X192" s="61"/>
      <c r="Y192" s="63">
        <v>32</v>
      </c>
      <c r="Z192" s="61" t="s">
        <v>26</v>
      </c>
      <c r="AA192" s="61" t="s">
        <v>27</v>
      </c>
      <c r="AB192" s="61" t="s">
        <v>110</v>
      </c>
      <c r="AC192" s="61" t="s">
        <v>67</v>
      </c>
      <c r="AD192" s="61">
        <v>32</v>
      </c>
      <c r="AE192" s="61" t="s">
        <v>38</v>
      </c>
      <c r="AF192" s="61" t="s">
        <v>39</v>
      </c>
      <c r="AG192" s="146" t="s">
        <v>151</v>
      </c>
      <c r="AH192" s="146" t="s">
        <v>151</v>
      </c>
      <c r="AI192" s="61" t="s">
        <v>14</v>
      </c>
      <c r="AJ192" s="61"/>
      <c r="AK192" s="61"/>
      <c r="AL192" s="61" t="s">
        <v>19</v>
      </c>
      <c r="AM192" s="61">
        <v>0</v>
      </c>
      <c r="AN192" s="61">
        <v>0</v>
      </c>
      <c r="AO192" s="61">
        <v>0</v>
      </c>
      <c r="AP192" s="61">
        <v>2</v>
      </c>
      <c r="AQ192" s="61">
        <v>2</v>
      </c>
      <c r="AR192" s="61">
        <v>2</v>
      </c>
      <c r="AS192" s="61">
        <v>4</v>
      </c>
      <c r="AT192" s="61">
        <v>4</v>
      </c>
      <c r="AU192" s="61">
        <v>2</v>
      </c>
      <c r="AV192" s="61">
        <v>4</v>
      </c>
      <c r="AW192" s="61">
        <v>6</v>
      </c>
      <c r="AX192" s="61">
        <v>4</v>
      </c>
      <c r="AY192" s="61">
        <v>4</v>
      </c>
      <c r="AZ192" s="61">
        <v>6</v>
      </c>
      <c r="BA192" s="61">
        <v>8</v>
      </c>
      <c r="BB192" s="61">
        <v>8</v>
      </c>
      <c r="BC192" s="61">
        <v>8</v>
      </c>
      <c r="BD192" s="61">
        <v>22</v>
      </c>
      <c r="BE192" s="61">
        <v>10</v>
      </c>
      <c r="BF192" s="61">
        <v>10</v>
      </c>
      <c r="BG192" s="61">
        <v>24</v>
      </c>
      <c r="BH192" s="61">
        <v>12</v>
      </c>
      <c r="BI192" s="61">
        <v>18</v>
      </c>
      <c r="BJ192" s="61">
        <v>26</v>
      </c>
      <c r="BK192" s="61">
        <v>14</v>
      </c>
      <c r="BL192" s="61">
        <v>0</v>
      </c>
      <c r="BM192" s="61">
        <v>28</v>
      </c>
      <c r="BN192" s="61">
        <v>28</v>
      </c>
      <c r="BO192" s="61">
        <v>2</v>
      </c>
      <c r="BP192" s="61">
        <v>30</v>
      </c>
      <c r="BQ192" s="61">
        <v>30</v>
      </c>
      <c r="BR192" s="61">
        <v>40</v>
      </c>
      <c r="BS192" s="61">
        <v>36</v>
      </c>
      <c r="BT192" s="61">
        <v>18</v>
      </c>
      <c r="BU192" s="61">
        <v>44</v>
      </c>
      <c r="BV192" s="61">
        <v>34</v>
      </c>
      <c r="BW192" s="61">
        <v>20</v>
      </c>
      <c r="BX192" s="61">
        <v>48</v>
      </c>
      <c r="BY192" s="61">
        <v>48</v>
      </c>
      <c r="BZ192" s="61">
        <v>22</v>
      </c>
      <c r="CA192" s="61">
        <v>50</v>
      </c>
      <c r="CB192" s="61">
        <v>50</v>
      </c>
      <c r="CC192" s="61">
        <v>54</v>
      </c>
      <c r="CD192" s="61">
        <v>52</v>
      </c>
      <c r="CE192" s="61">
        <v>38</v>
      </c>
      <c r="CF192" s="61">
        <v>58</v>
      </c>
      <c r="CG192" s="61">
        <v>54</v>
      </c>
      <c r="CH192" s="61">
        <v>54</v>
      </c>
      <c r="CI192" s="61">
        <v>62</v>
      </c>
      <c r="CJ192" s="61">
        <v>54</v>
      </c>
      <c r="CK192" s="61">
        <v>42</v>
      </c>
      <c r="CL192" s="61"/>
      <c r="CM192" s="61" t="s">
        <v>474</v>
      </c>
      <c r="CN192" s="61">
        <v>0</v>
      </c>
      <c r="CO192" s="61">
        <v>1</v>
      </c>
      <c r="CP192" s="61">
        <v>2</v>
      </c>
      <c r="CQ192" s="61">
        <v>3</v>
      </c>
      <c r="CR192" s="61">
        <v>4</v>
      </c>
      <c r="CS192" s="61">
        <v>5</v>
      </c>
      <c r="CT192" s="61">
        <v>6</v>
      </c>
      <c r="CU192" s="61">
        <v>7</v>
      </c>
      <c r="CV192" s="61">
        <v>8</v>
      </c>
      <c r="CW192" s="61">
        <v>9</v>
      </c>
      <c r="CX192" s="61">
        <v>10</v>
      </c>
      <c r="CY192" s="61">
        <v>11</v>
      </c>
      <c r="CZ192" s="61">
        <v>12</v>
      </c>
      <c r="DA192" s="61">
        <v>13</v>
      </c>
      <c r="DB192" s="61">
        <v>14</v>
      </c>
      <c r="DC192" s="61">
        <v>15</v>
      </c>
      <c r="DD192" s="61">
        <v>16</v>
      </c>
      <c r="DE192" s="61">
        <v>17</v>
      </c>
      <c r="DF192" s="61">
        <v>18</v>
      </c>
      <c r="DG192" s="61">
        <v>19</v>
      </c>
      <c r="DH192" s="61">
        <v>20</v>
      </c>
      <c r="DI192" s="61"/>
      <c r="DJ192" s="61"/>
      <c r="DK192" s="61"/>
      <c r="DL192" s="61"/>
      <c r="DM192" s="61"/>
      <c r="DN192" s="61"/>
      <c r="DO192" s="61"/>
      <c r="DP192" s="61"/>
      <c r="DQ192" s="61"/>
      <c r="DR192" s="61"/>
      <c r="DS192" s="61"/>
      <c r="DT192" s="61"/>
      <c r="DU192" s="61"/>
      <c r="DV192" s="61"/>
      <c r="DW192" s="61"/>
      <c r="DX192" s="61"/>
      <c r="DY192" s="61"/>
      <c r="DZ192" s="61"/>
      <c r="EA192" s="61"/>
      <c r="EB192" s="61"/>
      <c r="EC192" s="61"/>
      <c r="ED192" s="61"/>
      <c r="EE192" s="61"/>
      <c r="EF192" s="61"/>
      <c r="EG192" s="61"/>
      <c r="EH192" s="61"/>
      <c r="EI192" s="61"/>
      <c r="EJ192" s="61"/>
      <c r="EK192" s="61"/>
      <c r="EL192" s="61"/>
      <c r="EM192" s="61"/>
      <c r="EN192" s="61"/>
      <c r="EO192" s="61"/>
      <c r="EP192" s="61"/>
      <c r="EQ192" s="61"/>
      <c r="ER192" s="61"/>
      <c r="ES192" s="61"/>
      <c r="ET192" s="61"/>
      <c r="EU192" s="61"/>
      <c r="EV192" s="61" t="s">
        <v>210</v>
      </c>
      <c r="EW192" s="61">
        <v>0</v>
      </c>
      <c r="EX192" s="61">
        <v>0</v>
      </c>
      <c r="EY192" s="61">
        <v>0</v>
      </c>
      <c r="EZ192" s="61">
        <v>0</v>
      </c>
      <c r="FA192" s="61">
        <v>0</v>
      </c>
      <c r="FB192" s="61">
        <v>0</v>
      </c>
      <c r="FC192" s="61">
        <v>0</v>
      </c>
      <c r="FD192" s="61">
        <v>0</v>
      </c>
      <c r="FE192" s="61">
        <v>0</v>
      </c>
      <c r="FF192" s="61">
        <v>0</v>
      </c>
      <c r="FG192" s="61">
        <v>0</v>
      </c>
      <c r="FH192" s="61"/>
      <c r="FI192" s="61"/>
      <c r="FJ192" s="61">
        <v>0</v>
      </c>
      <c r="FK192" s="61">
        <v>1</v>
      </c>
      <c r="FL192" s="61">
        <v>2</v>
      </c>
      <c r="FM192" s="61">
        <v>3</v>
      </c>
      <c r="FN192" s="61">
        <v>4</v>
      </c>
      <c r="FO192" s="61">
        <v>5</v>
      </c>
      <c r="FP192" s="61">
        <v>6</v>
      </c>
      <c r="FQ192" s="61">
        <v>7</v>
      </c>
      <c r="FR192" s="61">
        <v>8</v>
      </c>
      <c r="FS192" s="61">
        <v>9</v>
      </c>
      <c r="FT192" s="61">
        <v>10</v>
      </c>
      <c r="FU192" s="61"/>
      <c r="FV192" s="61"/>
      <c r="FW192" s="61"/>
      <c r="FX192" s="61"/>
      <c r="FY192" s="61"/>
      <c r="FZ192" s="61"/>
      <c r="GX192" s="145" t="s">
        <v>868</v>
      </c>
      <c r="GY192" s="60">
        <v>0</v>
      </c>
      <c r="GZ192" s="60">
        <v>1</v>
      </c>
      <c r="HA192" s="60">
        <v>0</v>
      </c>
      <c r="HB192" s="60">
        <v>0</v>
      </c>
      <c r="HC192" s="60">
        <v>0</v>
      </c>
      <c r="HD192" s="60">
        <v>0</v>
      </c>
      <c r="HE192" s="60">
        <v>0</v>
      </c>
      <c r="HF192" s="60">
        <v>0</v>
      </c>
      <c r="HG192" s="60">
        <v>0</v>
      </c>
      <c r="HH192" s="60">
        <v>0</v>
      </c>
      <c r="HI192" s="60">
        <v>0</v>
      </c>
      <c r="HJ192" s="60">
        <v>0</v>
      </c>
      <c r="HK192" s="60">
        <v>0</v>
      </c>
      <c r="HL192" s="60">
        <v>0</v>
      </c>
      <c r="HM192" s="60">
        <v>0</v>
      </c>
      <c r="HN192" s="60">
        <v>0</v>
      </c>
      <c r="HO192" s="60">
        <v>0</v>
      </c>
      <c r="HP192" s="60">
        <v>0</v>
      </c>
      <c r="HQ192" s="60">
        <v>0</v>
      </c>
      <c r="HR192" s="60">
        <v>0</v>
      </c>
      <c r="HS192" s="60">
        <v>0</v>
      </c>
      <c r="HV192" s="60" t="s">
        <v>825</v>
      </c>
      <c r="HW192" s="60">
        <v>0</v>
      </c>
      <c r="HX192" s="60">
        <v>0</v>
      </c>
      <c r="HY192" s="60">
        <v>0</v>
      </c>
      <c r="HZ192" s="60">
        <v>4</v>
      </c>
      <c r="IA192" s="60">
        <v>6</v>
      </c>
      <c r="IB192" s="60">
        <v>6</v>
      </c>
      <c r="IC192" s="60">
        <v>6</v>
      </c>
      <c r="ID192" s="60">
        <v>10</v>
      </c>
      <c r="IE192" s="60">
        <v>10</v>
      </c>
      <c r="IF192" s="60">
        <v>10</v>
      </c>
      <c r="IG192" s="60">
        <v>12</v>
      </c>
      <c r="IH192" s="60">
        <v>16</v>
      </c>
      <c r="II192" s="60">
        <v>16</v>
      </c>
      <c r="IJ192" s="60">
        <v>16</v>
      </c>
      <c r="IK192" s="60">
        <v>20</v>
      </c>
      <c r="IL192" s="60">
        <v>20</v>
      </c>
      <c r="IM192" s="60">
        <v>20</v>
      </c>
      <c r="IN192" s="60">
        <v>22</v>
      </c>
      <c r="IO192" s="60">
        <v>26</v>
      </c>
      <c r="IP192" s="60">
        <v>26</v>
      </c>
      <c r="IQ192" s="60">
        <v>26</v>
      </c>
      <c r="IS192" s="60" t="s">
        <v>825</v>
      </c>
      <c r="IT192" s="60">
        <f t="shared" si="125"/>
        <v>0</v>
      </c>
      <c r="IU192" s="60">
        <f t="shared" si="126"/>
        <v>0</v>
      </c>
      <c r="IV192" s="60">
        <f t="shared" si="127"/>
        <v>0</v>
      </c>
      <c r="IW192" s="60">
        <f t="shared" si="128"/>
        <v>8</v>
      </c>
      <c r="IX192" s="60">
        <f t="shared" si="129"/>
        <v>12</v>
      </c>
      <c r="IY192" s="60">
        <f t="shared" si="130"/>
        <v>12</v>
      </c>
      <c r="IZ192" s="60">
        <f t="shared" si="131"/>
        <v>12</v>
      </c>
      <c r="JA192" s="60">
        <f t="shared" si="132"/>
        <v>20</v>
      </c>
      <c r="JB192" s="60">
        <f t="shared" si="122"/>
        <v>20</v>
      </c>
      <c r="JC192" s="60">
        <f t="shared" si="133"/>
        <v>20</v>
      </c>
      <c r="JD192" s="60">
        <f t="shared" si="134"/>
        <v>24</v>
      </c>
      <c r="JE192" s="60">
        <f t="shared" si="135"/>
        <v>32</v>
      </c>
      <c r="JF192" s="60">
        <f t="shared" si="136"/>
        <v>32</v>
      </c>
      <c r="JG192" s="60">
        <f t="shared" si="137"/>
        <v>32</v>
      </c>
      <c r="JH192" s="60">
        <f t="shared" si="138"/>
        <v>40</v>
      </c>
      <c r="JI192" s="60">
        <f t="shared" si="139"/>
        <v>40</v>
      </c>
      <c r="JJ192" s="60">
        <f t="shared" si="140"/>
        <v>40</v>
      </c>
      <c r="JK192" s="60">
        <f t="shared" si="141"/>
        <v>44</v>
      </c>
      <c r="JL192" s="60">
        <f t="shared" si="142"/>
        <v>52</v>
      </c>
      <c r="JM192" s="60">
        <f t="shared" si="143"/>
        <v>52</v>
      </c>
      <c r="JN192" s="60">
        <f t="shared" si="144"/>
        <v>52</v>
      </c>
    </row>
    <row r="193" spans="1:274" x14ac:dyDescent="0.25">
      <c r="A193" s="8"/>
      <c r="B193" s="5" t="s">
        <v>116</v>
      </c>
      <c r="C193" s="8"/>
      <c r="D193" s="9"/>
      <c r="E193" s="9"/>
      <c r="F193" s="9"/>
      <c r="G193" s="9"/>
      <c r="H193" s="9"/>
      <c r="I193" s="9"/>
      <c r="J193" s="9"/>
      <c r="K193" s="9"/>
      <c r="L193" s="6" t="str">
        <f>IF(E182="balastowa","SBV250X350",IF(E182="kotwiona","SBV50X500",0))</f>
        <v>SBV250X350</v>
      </c>
      <c r="M193" s="11">
        <f>INDEX(cennik!$C$2:$L$529,MATCH($L193,cennik!$B$2:$B$522,0),MATCH(M$104,cennik!$C$1:$L$1,0))</f>
        <v>895507</v>
      </c>
      <c r="N193" s="11" t="str">
        <f>INDEX(cennik!$C$2:$L$529,MATCH($L193,cennik!$B$2:$B$522,0),MATCH(N$104,cennik!$C$1:$L$1,0))</f>
        <v>szt.</v>
      </c>
      <c r="O193" s="11">
        <f>IF(E182=Z104,O186*3,IF(E182=Z105,O186*4,0))</f>
        <v>0</v>
      </c>
      <c r="P193" s="34">
        <f>INDEX(cennik!$C$2:$L$529,MATCH($L193,cennik!$B$2:$B$522,0),MATCH(P$104,cennik!$C$1:$L$1,0))</f>
        <v>4.08</v>
      </c>
      <c r="Q193" s="34">
        <f t="shared" si="149"/>
        <v>0</v>
      </c>
      <c r="R193" s="35">
        <f t="shared" si="147"/>
        <v>0</v>
      </c>
      <c r="S193" s="34">
        <f t="shared" si="148"/>
        <v>4.08</v>
      </c>
      <c r="T193" s="34">
        <f t="shared" si="150"/>
        <v>0</v>
      </c>
      <c r="U193" s="34">
        <f>INDEX(cennik!$C$2:$L$529,MATCH($L193,cennik!$B$2:$B$522,0),MATCH(U$104,cennik!$C$1:$L$1,0))*O193</f>
        <v>0</v>
      </c>
      <c r="V193" s="61"/>
      <c r="W193" s="61"/>
      <c r="X193" s="61"/>
      <c r="Y193" s="63">
        <v>33</v>
      </c>
      <c r="Z193" s="61" t="s">
        <v>28</v>
      </c>
      <c r="AA193" s="61"/>
      <c r="AB193" s="61" t="s">
        <v>110</v>
      </c>
      <c r="AC193" s="61" t="s">
        <v>67</v>
      </c>
      <c r="AD193" s="61">
        <v>33</v>
      </c>
      <c r="AE193" s="61" t="s">
        <v>1291</v>
      </c>
      <c r="AF193" s="61" t="s">
        <v>1292</v>
      </c>
      <c r="AG193" s="146" t="s">
        <v>151</v>
      </c>
      <c r="AH193" s="146" t="s">
        <v>151</v>
      </c>
      <c r="AI193" s="61" t="s">
        <v>14</v>
      </c>
      <c r="AJ193" s="61"/>
      <c r="AK193" s="61"/>
      <c r="AL193" s="61" t="s">
        <v>408</v>
      </c>
      <c r="AM193" s="61">
        <v>0</v>
      </c>
      <c r="AN193" s="61">
        <f>((((SUM(AN188:AN192))/2)-1))*4</f>
        <v>0</v>
      </c>
      <c r="AO193" s="61">
        <f t="shared" ref="AO193:CK193" si="152">((((SUM(AO188:AO192))/2)-1))*4</f>
        <v>4</v>
      </c>
      <c r="AP193" s="61">
        <f t="shared" si="152"/>
        <v>4</v>
      </c>
      <c r="AQ193" s="61">
        <f t="shared" si="152"/>
        <v>8</v>
      </c>
      <c r="AR193" s="61">
        <f t="shared" si="152"/>
        <v>12</v>
      </c>
      <c r="AS193" s="61">
        <f t="shared" si="152"/>
        <v>12</v>
      </c>
      <c r="AT193" s="61">
        <f t="shared" si="152"/>
        <v>16</v>
      </c>
      <c r="AU193" s="61">
        <f t="shared" si="152"/>
        <v>20</v>
      </c>
      <c r="AV193" s="61">
        <f t="shared" si="152"/>
        <v>20</v>
      </c>
      <c r="AW193" s="61">
        <f t="shared" si="152"/>
        <v>24</v>
      </c>
      <c r="AX193" s="61">
        <f t="shared" si="152"/>
        <v>28</v>
      </c>
      <c r="AY193" s="61">
        <f t="shared" si="152"/>
        <v>28</v>
      </c>
      <c r="AZ193" s="61">
        <f t="shared" si="152"/>
        <v>32</v>
      </c>
      <c r="BA193" s="61">
        <f t="shared" si="152"/>
        <v>36</v>
      </c>
      <c r="BB193" s="61">
        <f t="shared" si="152"/>
        <v>36</v>
      </c>
      <c r="BC193" s="61">
        <f t="shared" si="152"/>
        <v>40</v>
      </c>
      <c r="BD193" s="61">
        <f t="shared" si="152"/>
        <v>40</v>
      </c>
      <c r="BE193" s="61">
        <f t="shared" si="152"/>
        <v>44</v>
      </c>
      <c r="BF193" s="61">
        <f t="shared" si="152"/>
        <v>48</v>
      </c>
      <c r="BG193" s="61">
        <f t="shared" si="152"/>
        <v>48</v>
      </c>
      <c r="BH193" s="61">
        <f t="shared" si="152"/>
        <v>52</v>
      </c>
      <c r="BI193" s="61">
        <f t="shared" si="152"/>
        <v>56</v>
      </c>
      <c r="BJ193" s="61">
        <f t="shared" si="152"/>
        <v>56</v>
      </c>
      <c r="BK193" s="61">
        <f t="shared" si="152"/>
        <v>60</v>
      </c>
      <c r="BL193" s="61">
        <f t="shared" si="152"/>
        <v>64</v>
      </c>
      <c r="BM193" s="61">
        <f t="shared" si="152"/>
        <v>64</v>
      </c>
      <c r="BN193" s="61">
        <f t="shared" si="152"/>
        <v>68</v>
      </c>
      <c r="BO193" s="61">
        <f t="shared" si="152"/>
        <v>72</v>
      </c>
      <c r="BP193" s="61">
        <f t="shared" si="152"/>
        <v>72</v>
      </c>
      <c r="BQ193" s="61">
        <f t="shared" si="152"/>
        <v>76</v>
      </c>
      <c r="BR193" s="61">
        <f t="shared" si="152"/>
        <v>76</v>
      </c>
      <c r="BS193" s="61">
        <f t="shared" si="152"/>
        <v>80</v>
      </c>
      <c r="BT193" s="61">
        <f t="shared" si="152"/>
        <v>84</v>
      </c>
      <c r="BU193" s="61">
        <f t="shared" si="152"/>
        <v>84</v>
      </c>
      <c r="BV193" s="61">
        <f t="shared" si="152"/>
        <v>88</v>
      </c>
      <c r="BW193" s="61">
        <f t="shared" si="152"/>
        <v>92</v>
      </c>
      <c r="BX193" s="61">
        <f t="shared" si="152"/>
        <v>92</v>
      </c>
      <c r="BY193" s="61">
        <f t="shared" si="152"/>
        <v>96</v>
      </c>
      <c r="BZ193" s="61">
        <f t="shared" si="152"/>
        <v>100</v>
      </c>
      <c r="CA193" s="61">
        <f t="shared" si="152"/>
        <v>100</v>
      </c>
      <c r="CB193" s="61">
        <f t="shared" si="152"/>
        <v>104</v>
      </c>
      <c r="CC193" s="61">
        <f t="shared" si="152"/>
        <v>104</v>
      </c>
      <c r="CD193" s="61">
        <f t="shared" si="152"/>
        <v>108</v>
      </c>
      <c r="CE193" s="61">
        <f t="shared" si="152"/>
        <v>112</v>
      </c>
      <c r="CF193" s="61">
        <f t="shared" si="152"/>
        <v>112</v>
      </c>
      <c r="CG193" s="61">
        <f t="shared" si="152"/>
        <v>116</v>
      </c>
      <c r="CH193" s="61">
        <f t="shared" si="152"/>
        <v>120</v>
      </c>
      <c r="CI193" s="61">
        <f t="shared" si="152"/>
        <v>120</v>
      </c>
      <c r="CJ193" s="61">
        <f t="shared" si="152"/>
        <v>124</v>
      </c>
      <c r="CK193" s="61">
        <f t="shared" si="152"/>
        <v>128</v>
      </c>
      <c r="CL193" s="61"/>
      <c r="CM193" s="61" t="s">
        <v>127</v>
      </c>
      <c r="CN193" s="61">
        <v>0</v>
      </c>
      <c r="CO193" s="61">
        <v>2</v>
      </c>
      <c r="CP193" s="61">
        <v>0</v>
      </c>
      <c r="CQ193" s="61">
        <v>4</v>
      </c>
      <c r="CR193" s="61">
        <v>2</v>
      </c>
      <c r="CS193" s="61">
        <v>0</v>
      </c>
      <c r="CT193" s="61">
        <v>4</v>
      </c>
      <c r="CU193" s="61">
        <v>2</v>
      </c>
      <c r="CV193" s="61">
        <v>0</v>
      </c>
      <c r="CW193" s="61">
        <v>4</v>
      </c>
      <c r="CX193" s="61">
        <v>2</v>
      </c>
      <c r="CY193" s="61">
        <v>0</v>
      </c>
      <c r="CZ193" s="61">
        <v>4</v>
      </c>
      <c r="DA193" s="61">
        <v>2</v>
      </c>
      <c r="DB193" s="61">
        <v>0</v>
      </c>
      <c r="DC193" s="61">
        <v>4</v>
      </c>
      <c r="DD193" s="61">
        <v>2</v>
      </c>
      <c r="DE193" s="61">
        <v>0</v>
      </c>
      <c r="DF193" s="61">
        <v>4</v>
      </c>
      <c r="DG193" s="61">
        <v>2</v>
      </c>
      <c r="DH193" s="61">
        <v>0</v>
      </c>
      <c r="DI193" s="61"/>
      <c r="DJ193" s="61"/>
      <c r="DK193" s="61"/>
      <c r="DL193" s="61"/>
      <c r="DM193" s="61"/>
      <c r="DN193" s="61"/>
      <c r="DO193" s="61"/>
      <c r="DP193" s="61"/>
      <c r="DQ193" s="61"/>
      <c r="DR193" s="61"/>
      <c r="DS193" s="61"/>
      <c r="DT193" s="61"/>
      <c r="DU193" s="61"/>
      <c r="DV193" s="61"/>
      <c r="DW193" s="61"/>
      <c r="DX193" s="61"/>
      <c r="DY193" s="61"/>
      <c r="DZ193" s="61"/>
      <c r="EA193" s="61"/>
      <c r="EB193" s="61"/>
      <c r="EC193" s="61"/>
      <c r="ED193" s="61"/>
      <c r="EE193" s="61"/>
      <c r="EF193" s="61"/>
      <c r="EG193" s="61"/>
      <c r="EH193" s="61"/>
      <c r="EI193" s="61"/>
      <c r="EJ193" s="61"/>
      <c r="EK193" s="61"/>
      <c r="EL193" s="61"/>
      <c r="EM193" s="61"/>
      <c r="EN193" s="61"/>
      <c r="EO193" s="61"/>
      <c r="EP193" s="61"/>
      <c r="EQ193" s="61"/>
      <c r="ER193" s="61"/>
      <c r="ES193" s="61"/>
      <c r="ET193" s="61"/>
      <c r="EU193" s="61"/>
      <c r="EV193" s="61" t="s">
        <v>9</v>
      </c>
      <c r="EW193" s="61">
        <v>0</v>
      </c>
      <c r="EX193" s="61">
        <v>0</v>
      </c>
      <c r="EY193" s="61">
        <v>0</v>
      </c>
      <c r="EZ193" s="61">
        <v>0</v>
      </c>
      <c r="FA193" s="61">
        <v>0</v>
      </c>
      <c r="FB193" s="61">
        <v>0</v>
      </c>
      <c r="FC193" s="61">
        <v>0</v>
      </c>
      <c r="FD193" s="61">
        <v>0</v>
      </c>
      <c r="FE193" s="61">
        <v>0</v>
      </c>
      <c r="FF193" s="61">
        <v>0</v>
      </c>
      <c r="FG193" s="61">
        <v>0</v>
      </c>
      <c r="FH193" s="61"/>
      <c r="FI193" s="61" t="s">
        <v>210</v>
      </c>
      <c r="FJ193" s="61">
        <v>0</v>
      </c>
      <c r="FK193" s="61">
        <v>0</v>
      </c>
      <c r="FL193" s="61">
        <f t="shared" ref="FL193:FL201" si="153">2*AK332</f>
        <v>0</v>
      </c>
      <c r="FM193" s="61">
        <v>0</v>
      </c>
      <c r="FN193" s="61">
        <v>0</v>
      </c>
      <c r="FO193" s="61">
        <v>0</v>
      </c>
      <c r="FP193" s="61">
        <v>0</v>
      </c>
      <c r="FQ193" s="61">
        <v>0</v>
      </c>
      <c r="FR193" s="61">
        <v>0</v>
      </c>
      <c r="FS193" s="61">
        <v>0</v>
      </c>
      <c r="FT193" s="61">
        <v>0</v>
      </c>
      <c r="FU193" s="61"/>
      <c r="FV193" s="61"/>
      <c r="FW193" s="61"/>
      <c r="FX193" s="61"/>
      <c r="FY193" s="61"/>
      <c r="FZ193" s="61"/>
      <c r="GA193" s="60" t="s">
        <v>132</v>
      </c>
      <c r="HV193" s="60" t="s">
        <v>853</v>
      </c>
      <c r="HW193" s="60">
        <v>0</v>
      </c>
      <c r="HX193" s="60">
        <v>0</v>
      </c>
      <c r="HY193" s="60">
        <v>2</v>
      </c>
      <c r="HZ193" s="60">
        <v>2</v>
      </c>
      <c r="IA193" s="60">
        <v>4</v>
      </c>
      <c r="IB193" s="60">
        <v>6</v>
      </c>
      <c r="IC193" s="60">
        <v>8</v>
      </c>
      <c r="ID193" s="60">
        <v>8</v>
      </c>
      <c r="IE193" s="60">
        <v>10</v>
      </c>
      <c r="IF193" s="60">
        <v>12</v>
      </c>
      <c r="IG193" s="60">
        <v>14</v>
      </c>
      <c r="IH193" s="60">
        <v>14</v>
      </c>
      <c r="II193" s="60">
        <v>16</v>
      </c>
      <c r="IJ193" s="60">
        <v>18</v>
      </c>
      <c r="IK193" s="60">
        <v>18</v>
      </c>
      <c r="IL193" s="60">
        <v>20</v>
      </c>
      <c r="IM193" s="60">
        <v>22</v>
      </c>
      <c r="IN193" s="60">
        <v>24</v>
      </c>
      <c r="IO193" s="60">
        <v>24</v>
      </c>
      <c r="IP193" s="60">
        <v>26</v>
      </c>
      <c r="IQ193" s="60">
        <v>28</v>
      </c>
      <c r="IS193" s="60" t="s">
        <v>853</v>
      </c>
      <c r="IT193" s="60">
        <f t="shared" si="125"/>
        <v>0</v>
      </c>
      <c r="IU193" s="60">
        <f t="shared" si="126"/>
        <v>0</v>
      </c>
      <c r="IV193" s="60">
        <f t="shared" si="127"/>
        <v>4</v>
      </c>
      <c r="IW193" s="60">
        <f t="shared" si="128"/>
        <v>4</v>
      </c>
      <c r="IX193" s="60">
        <f t="shared" si="129"/>
        <v>8</v>
      </c>
      <c r="IY193" s="60">
        <f t="shared" si="130"/>
        <v>12</v>
      </c>
      <c r="IZ193" s="60">
        <f t="shared" si="131"/>
        <v>16</v>
      </c>
      <c r="JA193" s="60">
        <f t="shared" si="132"/>
        <v>16</v>
      </c>
      <c r="JB193" s="60">
        <f t="shared" si="122"/>
        <v>20</v>
      </c>
      <c r="JC193" s="60">
        <f t="shared" si="133"/>
        <v>24</v>
      </c>
      <c r="JD193" s="60">
        <f t="shared" si="134"/>
        <v>28</v>
      </c>
      <c r="JE193" s="60">
        <f t="shared" si="135"/>
        <v>28</v>
      </c>
      <c r="JF193" s="60">
        <f t="shared" si="136"/>
        <v>32</v>
      </c>
      <c r="JG193" s="60">
        <f t="shared" si="137"/>
        <v>36</v>
      </c>
      <c r="JH193" s="60">
        <f t="shared" si="138"/>
        <v>36</v>
      </c>
      <c r="JI193" s="60">
        <f t="shared" si="139"/>
        <v>40</v>
      </c>
      <c r="JJ193" s="60">
        <f t="shared" si="140"/>
        <v>44</v>
      </c>
      <c r="JK193" s="60">
        <f t="shared" si="141"/>
        <v>48</v>
      </c>
      <c r="JL193" s="60">
        <f t="shared" si="142"/>
        <v>48</v>
      </c>
      <c r="JM193" s="60">
        <f t="shared" si="143"/>
        <v>52</v>
      </c>
      <c r="JN193" s="60">
        <f t="shared" si="144"/>
        <v>56</v>
      </c>
    </row>
    <row r="194" spans="1:274" x14ac:dyDescent="0.25">
      <c r="A194" s="9"/>
      <c r="B194" s="6"/>
      <c r="C194" s="9"/>
      <c r="D194" s="9"/>
      <c r="E194" s="9"/>
      <c r="F194" s="9"/>
      <c r="G194" s="9"/>
      <c r="H194" s="9"/>
      <c r="I194" s="9"/>
      <c r="J194" s="9"/>
      <c r="K194" s="9"/>
      <c r="L194" s="6" t="str">
        <f>IF(E182="balastowa","PBKD40MC",IF(E182="kotwiona","-------",0))</f>
        <v>PBKD40MC</v>
      </c>
      <c r="M194" s="11">
        <f>INDEX(cennik!$C$2:$L$529,MATCH($L194,cennik!$B$2:$B$522,0),MATCH(M$104,cennik!$C$1:$L$1,0))</f>
        <v>858441</v>
      </c>
      <c r="N194" s="11" t="str">
        <f>INDEX(cennik!$C$2:$L$529,MATCH($L194,cennik!$B$2:$B$522,0),MATCH(N$104,cennik!$C$1:$L$1,0))</f>
        <v>szt.</v>
      </c>
      <c r="O194" s="11">
        <f>IF(E182=Z104,O186*3,IF(E182=Z105,0,0))</f>
        <v>0</v>
      </c>
      <c r="P194" s="34">
        <f>INDEX(cennik!$C$2:$L$529,MATCH($L194,cennik!$B$2:$B$522,0),MATCH(P$104,cennik!$C$1:$L$1,0))</f>
        <v>34.47</v>
      </c>
      <c r="Q194" s="34">
        <f t="shared" si="149"/>
        <v>0</v>
      </c>
      <c r="R194" s="35">
        <f t="shared" si="147"/>
        <v>0</v>
      </c>
      <c r="S194" s="34">
        <f t="shared" si="148"/>
        <v>34.47</v>
      </c>
      <c r="T194" s="34">
        <f t="shared" si="150"/>
        <v>0</v>
      </c>
      <c r="U194" s="34">
        <f>INDEX(cennik!$C$2:$L$529,MATCH($L194,cennik!$B$2:$B$522,0),MATCH(U$104,cennik!$C$1:$L$1,0))*O194</f>
        <v>0</v>
      </c>
      <c r="V194" s="61"/>
      <c r="W194" s="61"/>
      <c r="X194" s="61"/>
      <c r="Y194" s="63">
        <v>34</v>
      </c>
      <c r="Z194" s="61"/>
      <c r="AA194" s="61"/>
      <c r="AB194" s="61" t="s">
        <v>110</v>
      </c>
      <c r="AC194" s="61" t="s">
        <v>67</v>
      </c>
      <c r="AD194" s="61">
        <v>34</v>
      </c>
      <c r="AE194" s="61" t="s">
        <v>40</v>
      </c>
      <c r="AF194" s="61" t="s">
        <v>1293</v>
      </c>
      <c r="AG194" s="146" t="s">
        <v>151</v>
      </c>
      <c r="AH194" s="146" t="s">
        <v>151</v>
      </c>
      <c r="AI194" s="61" t="s">
        <v>14</v>
      </c>
      <c r="AJ194" s="61"/>
      <c r="AK194" s="61"/>
      <c r="AL194" s="61"/>
      <c r="AM194" s="61"/>
      <c r="AN194" s="61"/>
      <c r="AO194" s="61"/>
      <c r="AP194" s="61"/>
      <c r="AQ194" s="61"/>
      <c r="AR194" s="61"/>
      <c r="AS194" s="61"/>
      <c r="AT194" s="61"/>
      <c r="AU194" s="61"/>
      <c r="AV194" s="61"/>
      <c r="AW194" s="61"/>
      <c r="AX194" s="61"/>
      <c r="AY194" s="61"/>
      <c r="AZ194" s="61"/>
      <c r="BA194" s="61"/>
      <c r="BB194" s="61"/>
      <c r="BC194" s="61"/>
      <c r="BD194" s="61"/>
      <c r="BE194" s="61"/>
      <c r="BF194" s="61"/>
      <c r="BG194" s="61"/>
      <c r="BH194" s="61"/>
      <c r="BI194" s="61"/>
      <c r="BJ194" s="61"/>
      <c r="BK194" s="61"/>
      <c r="BL194" s="61"/>
      <c r="BM194" s="61"/>
      <c r="BN194" s="61"/>
      <c r="BO194" s="61"/>
      <c r="BP194" s="61"/>
      <c r="BQ194" s="61"/>
      <c r="BR194" s="61"/>
      <c r="BS194" s="61"/>
      <c r="BT194" s="61"/>
      <c r="BU194" s="61"/>
      <c r="BV194" s="61"/>
      <c r="BW194" s="61"/>
      <c r="BX194" s="61"/>
      <c r="BY194" s="61"/>
      <c r="BZ194" s="61"/>
      <c r="CA194" s="61"/>
      <c r="CB194" s="61"/>
      <c r="CC194" s="61"/>
      <c r="CD194" s="61"/>
      <c r="CE194" s="61"/>
      <c r="CF194" s="61"/>
      <c r="CG194" s="61"/>
      <c r="CH194" s="61"/>
      <c r="CI194" s="61"/>
      <c r="CJ194" s="61"/>
      <c r="CK194" s="61"/>
      <c r="CL194" s="61"/>
      <c r="CM194" s="61" t="s">
        <v>19</v>
      </c>
      <c r="CN194" s="61">
        <v>0</v>
      </c>
      <c r="CO194" s="61">
        <v>0</v>
      </c>
      <c r="CP194" s="61">
        <v>2</v>
      </c>
      <c r="CQ194" s="61">
        <v>0</v>
      </c>
      <c r="CR194" s="61">
        <v>2</v>
      </c>
      <c r="CS194" s="61">
        <v>4</v>
      </c>
      <c r="CT194" s="61">
        <v>2</v>
      </c>
      <c r="CU194" s="61">
        <v>4</v>
      </c>
      <c r="CV194" s="61">
        <v>6</v>
      </c>
      <c r="CW194" s="61">
        <v>4</v>
      </c>
      <c r="CX194" s="61">
        <v>6</v>
      </c>
      <c r="CY194" s="61">
        <v>8</v>
      </c>
      <c r="CZ194" s="61">
        <v>6</v>
      </c>
      <c r="DA194" s="61">
        <v>8</v>
      </c>
      <c r="DB194" s="61">
        <v>10</v>
      </c>
      <c r="DC194" s="61">
        <v>8</v>
      </c>
      <c r="DD194" s="61">
        <v>10</v>
      </c>
      <c r="DE194" s="61">
        <v>12</v>
      </c>
      <c r="DF194" s="61">
        <v>10</v>
      </c>
      <c r="DG194" s="61">
        <v>12</v>
      </c>
      <c r="DH194" s="61">
        <v>14</v>
      </c>
      <c r="DI194" s="61"/>
      <c r="DJ194" s="61"/>
      <c r="DK194" s="61"/>
      <c r="DL194" s="61"/>
      <c r="DM194" s="61"/>
      <c r="DN194" s="61"/>
      <c r="DO194" s="61"/>
      <c r="DP194" s="61"/>
      <c r="DQ194" s="61"/>
      <c r="DR194" s="61"/>
      <c r="DS194" s="61"/>
      <c r="DT194" s="61"/>
      <c r="DU194" s="61"/>
      <c r="DV194" s="61"/>
      <c r="DW194" s="61"/>
      <c r="DX194" s="61"/>
      <c r="DY194" s="61"/>
      <c r="DZ194" s="61"/>
      <c r="EA194" s="61"/>
      <c r="EB194" s="61"/>
      <c r="EC194" s="61"/>
      <c r="ED194" s="61"/>
      <c r="EE194" s="61"/>
      <c r="EF194" s="61"/>
      <c r="EG194" s="61"/>
      <c r="EH194" s="61"/>
      <c r="EI194" s="61"/>
      <c r="EJ194" s="61"/>
      <c r="EK194" s="61"/>
      <c r="EL194" s="61"/>
      <c r="EM194" s="61"/>
      <c r="EN194" s="61"/>
      <c r="EO194" s="61"/>
      <c r="EP194" s="61"/>
      <c r="EQ194" s="61"/>
      <c r="ER194" s="61"/>
      <c r="ES194" s="61"/>
      <c r="ET194" s="61"/>
      <c r="EU194" s="61"/>
      <c r="EV194" s="61" t="s">
        <v>208</v>
      </c>
      <c r="EW194" s="61">
        <v>0</v>
      </c>
      <c r="EX194" s="61">
        <v>0</v>
      </c>
      <c r="EY194" s="61">
        <v>0</v>
      </c>
      <c r="EZ194" s="61">
        <v>0</v>
      </c>
      <c r="FA194" s="61">
        <v>0</v>
      </c>
      <c r="FB194" s="61">
        <v>0</v>
      </c>
      <c r="FC194" s="61">
        <v>0</v>
      </c>
      <c r="FD194" s="61">
        <v>2</v>
      </c>
      <c r="FE194" s="61">
        <v>0</v>
      </c>
      <c r="FF194" s="61">
        <v>0</v>
      </c>
      <c r="FG194" s="61">
        <v>0</v>
      </c>
      <c r="FH194" s="61"/>
      <c r="FI194" s="61" t="s">
        <v>9</v>
      </c>
      <c r="FJ194" s="61">
        <v>0</v>
      </c>
      <c r="FK194" s="61">
        <v>0</v>
      </c>
      <c r="FL194" s="61">
        <f t="shared" si="153"/>
        <v>0</v>
      </c>
      <c r="FM194" s="61">
        <v>0</v>
      </c>
      <c r="FN194" s="61">
        <v>2</v>
      </c>
      <c r="FO194" s="61">
        <v>0</v>
      </c>
      <c r="FP194" s="61">
        <v>2</v>
      </c>
      <c r="FQ194" s="61">
        <v>0</v>
      </c>
      <c r="FR194" s="61">
        <v>0</v>
      </c>
      <c r="FS194" s="61">
        <v>0</v>
      </c>
      <c r="FT194" s="61">
        <v>0</v>
      </c>
      <c r="FU194" s="61"/>
      <c r="FV194" s="61"/>
      <c r="FW194" s="61"/>
      <c r="FX194" s="61"/>
      <c r="FY194" s="61"/>
      <c r="FZ194" s="61"/>
      <c r="GB194" s="60">
        <v>0</v>
      </c>
      <c r="GC194" s="60">
        <v>1</v>
      </c>
      <c r="GD194" s="60">
        <v>2</v>
      </c>
      <c r="GE194" s="60">
        <v>3</v>
      </c>
      <c r="GF194" s="60">
        <v>4</v>
      </c>
      <c r="GG194" s="60">
        <v>5</v>
      </c>
      <c r="GH194" s="60">
        <v>6</v>
      </c>
      <c r="GI194" s="60">
        <v>7</v>
      </c>
      <c r="GJ194" s="60">
        <v>8</v>
      </c>
      <c r="GK194" s="60">
        <v>9</v>
      </c>
      <c r="GL194" s="60">
        <v>10</v>
      </c>
      <c r="GM194" s="60">
        <v>11</v>
      </c>
      <c r="GN194" s="60">
        <v>12</v>
      </c>
      <c r="GO194" s="60">
        <v>13</v>
      </c>
      <c r="GP194" s="60">
        <v>14</v>
      </c>
      <c r="GQ194" s="60">
        <v>15</v>
      </c>
      <c r="GR194" s="60">
        <v>16</v>
      </c>
      <c r="GS194" s="60">
        <v>17</v>
      </c>
      <c r="GT194" s="60">
        <v>18</v>
      </c>
      <c r="GU194" s="60">
        <v>19</v>
      </c>
      <c r="GV194" s="60">
        <v>20</v>
      </c>
      <c r="GX194" s="60" t="s">
        <v>507</v>
      </c>
    </row>
    <row r="195" spans="1:274" x14ac:dyDescent="0.25">
      <c r="A195" s="9"/>
      <c r="B195" s="9"/>
      <c r="C195" s="9"/>
      <c r="D195" s="9"/>
      <c r="E195" s="9"/>
      <c r="F195" s="9"/>
      <c r="G195" s="9"/>
      <c r="H195" s="9"/>
      <c r="I195" s="9"/>
      <c r="J195" s="9"/>
      <c r="K195" s="9"/>
      <c r="L195" s="6" t="s">
        <v>406</v>
      </c>
      <c r="M195" s="11">
        <f>INDEX(cennik!$C$2:$L$529,MATCH($L195,cennik!$B$2:$B$522,0),MATCH(M$104,cennik!$C$1:$L$1,0))</f>
        <v>991020</v>
      </c>
      <c r="N195" s="11" t="str">
        <f>INDEX(cennik!$C$2:$L$529,MATCH($L195,cennik!$B$2:$B$522,0),MATCH(N$104,cennik!$C$1:$L$1,0))</f>
        <v>100 szt.</v>
      </c>
      <c r="O195" s="11">
        <f>ROUNDUP((IF(E182=Z104,((O188*5)+(SUM(X167:X182)*2)+(O194*2)),IF(E182=Z105,((O188*5)+(SUM(X167:X182)*2)),0)))/100,0)</f>
        <v>0</v>
      </c>
      <c r="P195" s="34">
        <f>INDEX(cennik!$C$2:$L$529,MATCH($L195,cennik!$B$2:$B$522,0),MATCH(P$104,cennik!$C$1:$L$1,0))</f>
        <v>69.75</v>
      </c>
      <c r="Q195" s="34">
        <f t="shared" si="149"/>
        <v>0</v>
      </c>
      <c r="R195" s="35">
        <f t="shared" si="147"/>
        <v>0</v>
      </c>
      <c r="S195" s="34">
        <f t="shared" si="148"/>
        <v>69.75</v>
      </c>
      <c r="T195" s="34">
        <f t="shared" si="150"/>
        <v>0</v>
      </c>
      <c r="U195" s="34">
        <f>INDEX(cennik!$C$2:$L$529,MATCH($L195,cennik!$B$2:$B$522,0),MATCH(U$104,cennik!$C$1:$L$1,0))*O195</f>
        <v>0</v>
      </c>
      <c r="V195" s="61"/>
      <c r="W195" s="61"/>
      <c r="X195" s="61"/>
      <c r="Y195" s="63">
        <v>35</v>
      </c>
      <c r="Z195" s="61" t="s">
        <v>29</v>
      </c>
      <c r="AA195" s="61" t="s">
        <v>30</v>
      </c>
      <c r="AB195" s="61" t="s">
        <v>110</v>
      </c>
      <c r="AC195" s="61" t="s">
        <v>67</v>
      </c>
      <c r="AD195" s="61">
        <v>35</v>
      </c>
      <c r="AE195" s="61" t="s">
        <v>41</v>
      </c>
      <c r="AF195" s="61" t="s">
        <v>42</v>
      </c>
      <c r="AG195" s="146" t="s">
        <v>151</v>
      </c>
      <c r="AH195" s="146" t="s">
        <v>151</v>
      </c>
      <c r="AI195" s="61" t="s">
        <v>14</v>
      </c>
      <c r="AJ195" s="61"/>
      <c r="AK195" s="61"/>
      <c r="AL195" s="61"/>
      <c r="AM195" s="61">
        <v>0</v>
      </c>
      <c r="AN195" s="61">
        <v>2</v>
      </c>
      <c r="AO195" s="61">
        <v>4</v>
      </c>
      <c r="AP195" s="61">
        <v>6</v>
      </c>
      <c r="AQ195" s="61">
        <v>8</v>
      </c>
      <c r="AR195" s="61">
        <v>10</v>
      </c>
      <c r="AS195" s="61">
        <v>12</v>
      </c>
      <c r="AT195" s="61">
        <v>14</v>
      </c>
      <c r="AU195" s="61">
        <v>16</v>
      </c>
      <c r="AV195" s="61">
        <v>18</v>
      </c>
      <c r="AW195" s="61">
        <v>20</v>
      </c>
      <c r="AX195" s="61">
        <v>22</v>
      </c>
      <c r="AY195" s="61">
        <v>24</v>
      </c>
      <c r="AZ195" s="61">
        <v>26</v>
      </c>
      <c r="BA195" s="61">
        <v>28</v>
      </c>
      <c r="BB195" s="61">
        <v>30</v>
      </c>
      <c r="BC195" s="61">
        <v>32</v>
      </c>
      <c r="BD195" s="61">
        <v>34</v>
      </c>
      <c r="BE195" s="61">
        <v>36</v>
      </c>
      <c r="BF195" s="61">
        <v>38</v>
      </c>
      <c r="BG195" s="61">
        <v>40</v>
      </c>
      <c r="BH195" s="61">
        <v>42</v>
      </c>
      <c r="BI195" s="61">
        <v>44</v>
      </c>
      <c r="BJ195" s="61">
        <v>46</v>
      </c>
      <c r="BK195" s="61">
        <v>48</v>
      </c>
      <c r="BL195" s="61">
        <v>50</v>
      </c>
      <c r="BM195" s="61"/>
      <c r="BN195" s="61"/>
      <c r="BO195" s="61"/>
      <c r="BP195" s="61"/>
      <c r="BQ195" s="61"/>
      <c r="BR195" s="61"/>
      <c r="BS195" s="61"/>
      <c r="BT195" s="61"/>
      <c r="BU195" s="61"/>
      <c r="BV195" s="61"/>
      <c r="BW195" s="61"/>
      <c r="BX195" s="61"/>
      <c r="BY195" s="61"/>
      <c r="BZ195" s="61"/>
      <c r="CA195" s="61"/>
      <c r="CB195" s="61"/>
      <c r="CC195" s="61"/>
      <c r="CD195" s="61"/>
      <c r="CE195" s="61"/>
      <c r="CF195" s="61"/>
      <c r="CG195" s="61"/>
      <c r="CH195" s="61"/>
      <c r="CI195" s="61"/>
      <c r="CJ195" s="61"/>
      <c r="CK195" s="61"/>
      <c r="CL195" s="61"/>
      <c r="CM195" s="61" t="s">
        <v>408</v>
      </c>
      <c r="CN195" s="61">
        <v>0</v>
      </c>
      <c r="CO195" s="61">
        <v>0</v>
      </c>
      <c r="CP195" s="61">
        <v>0</v>
      </c>
      <c r="CQ195" s="61">
        <v>4</v>
      </c>
      <c r="CR195" s="61">
        <v>4</v>
      </c>
      <c r="CS195" s="61">
        <v>4</v>
      </c>
      <c r="CT195" s="61">
        <v>8</v>
      </c>
      <c r="CU195" s="61">
        <v>8</v>
      </c>
      <c r="CV195" s="61">
        <v>8</v>
      </c>
      <c r="CW195" s="61">
        <v>12</v>
      </c>
      <c r="CX195" s="61">
        <v>12</v>
      </c>
      <c r="CY195" s="61">
        <v>12</v>
      </c>
      <c r="CZ195" s="61">
        <v>16</v>
      </c>
      <c r="DA195" s="61">
        <v>16</v>
      </c>
      <c r="DB195" s="61">
        <v>16</v>
      </c>
      <c r="DC195" s="61">
        <v>20</v>
      </c>
      <c r="DD195" s="61">
        <v>20</v>
      </c>
      <c r="DE195" s="61">
        <v>20</v>
      </c>
      <c r="DF195" s="61">
        <v>24</v>
      </c>
      <c r="DG195" s="61">
        <v>24</v>
      </c>
      <c r="DH195" s="61">
        <v>24</v>
      </c>
      <c r="DI195" s="61"/>
      <c r="DJ195" s="61"/>
      <c r="DK195" s="61"/>
      <c r="DL195" s="61"/>
      <c r="DM195" s="61"/>
      <c r="DN195" s="61"/>
      <c r="DO195" s="61"/>
      <c r="DP195" s="61"/>
      <c r="DQ195" s="61"/>
      <c r="DR195" s="61"/>
      <c r="DS195" s="61"/>
      <c r="DT195" s="61"/>
      <c r="DU195" s="61"/>
      <c r="DV195" s="61"/>
      <c r="DW195" s="61"/>
      <c r="DX195" s="61"/>
      <c r="DY195" s="61"/>
      <c r="DZ195" s="61"/>
      <c r="EA195" s="61"/>
      <c r="EB195" s="61"/>
      <c r="EC195" s="61"/>
      <c r="ED195" s="61"/>
      <c r="EE195" s="61"/>
      <c r="EF195" s="61"/>
      <c r="EG195" s="61"/>
      <c r="EH195" s="61"/>
      <c r="EI195" s="61"/>
      <c r="EJ195" s="61"/>
      <c r="EK195" s="61"/>
      <c r="EL195" s="61"/>
      <c r="EM195" s="61"/>
      <c r="EN195" s="61"/>
      <c r="EO195" s="61"/>
      <c r="EP195" s="61"/>
      <c r="EQ195" s="61"/>
      <c r="ER195" s="61"/>
      <c r="ES195" s="61"/>
      <c r="ET195" s="61"/>
      <c r="EU195" s="61"/>
      <c r="EV195" s="61" t="s">
        <v>211</v>
      </c>
      <c r="EW195" s="61">
        <v>0</v>
      </c>
      <c r="EX195" s="61">
        <v>2</v>
      </c>
      <c r="EY195" s="61">
        <v>0</v>
      </c>
      <c r="EZ195" s="61">
        <v>2</v>
      </c>
      <c r="FA195" s="61">
        <v>0</v>
      </c>
      <c r="FB195" s="61">
        <v>2</v>
      </c>
      <c r="FC195" s="61">
        <v>0</v>
      </c>
      <c r="FD195" s="61">
        <v>0</v>
      </c>
      <c r="FE195" s="61">
        <v>0</v>
      </c>
      <c r="FF195" s="61">
        <v>0</v>
      </c>
      <c r="FG195" s="61">
        <v>0</v>
      </c>
      <c r="FH195" s="61"/>
      <c r="FI195" s="61" t="s">
        <v>208</v>
      </c>
      <c r="FJ195" s="61">
        <v>0</v>
      </c>
      <c r="FK195" s="61">
        <v>0</v>
      </c>
      <c r="FL195" s="61">
        <f t="shared" si="153"/>
        <v>0</v>
      </c>
      <c r="FM195" s="61">
        <v>0</v>
      </c>
      <c r="FN195" s="61">
        <v>0</v>
      </c>
      <c r="FO195" s="61">
        <v>0</v>
      </c>
      <c r="FP195" s="61">
        <v>0</v>
      </c>
      <c r="FQ195" s="61">
        <v>0</v>
      </c>
      <c r="FR195" s="61">
        <v>0</v>
      </c>
      <c r="FS195" s="61">
        <v>0</v>
      </c>
      <c r="FT195" s="61">
        <v>0</v>
      </c>
      <c r="FU195" s="61"/>
      <c r="FV195" s="61"/>
      <c r="FW195" s="61"/>
      <c r="FX195" s="61"/>
      <c r="FY195" s="61"/>
      <c r="FZ195" s="61"/>
      <c r="GA195" s="145" t="s">
        <v>866</v>
      </c>
      <c r="GB195" s="60">
        <v>0</v>
      </c>
      <c r="GC195" s="60">
        <v>1</v>
      </c>
      <c r="GD195" s="60">
        <v>1</v>
      </c>
      <c r="GE195" s="60">
        <v>1</v>
      </c>
      <c r="GF195" s="60">
        <v>1</v>
      </c>
      <c r="GG195" s="60">
        <v>2</v>
      </c>
      <c r="GH195" s="60">
        <v>2</v>
      </c>
      <c r="GI195" s="60">
        <v>3</v>
      </c>
      <c r="GJ195" s="60">
        <v>3</v>
      </c>
      <c r="GK195" s="60">
        <v>4</v>
      </c>
      <c r="GL195" s="60">
        <v>4</v>
      </c>
      <c r="GM195" s="60">
        <v>5</v>
      </c>
      <c r="GN195" s="60">
        <v>5</v>
      </c>
      <c r="GO195" s="60">
        <v>0</v>
      </c>
      <c r="GP195" s="60">
        <v>0</v>
      </c>
      <c r="GQ195" s="60">
        <v>1</v>
      </c>
      <c r="GR195" s="60">
        <v>1</v>
      </c>
      <c r="GS195" s="60">
        <v>2</v>
      </c>
      <c r="GT195" s="60">
        <v>2</v>
      </c>
      <c r="GU195" s="60">
        <v>2</v>
      </c>
      <c r="GV195" s="60">
        <v>3</v>
      </c>
      <c r="GY195" s="60">
        <v>0</v>
      </c>
      <c r="GZ195" s="60">
        <v>1</v>
      </c>
      <c r="HA195" s="60">
        <v>2</v>
      </c>
      <c r="HB195" s="60">
        <v>3</v>
      </c>
      <c r="HC195" s="60">
        <v>4</v>
      </c>
      <c r="HD195" s="60">
        <v>5</v>
      </c>
      <c r="HE195" s="60">
        <v>6</v>
      </c>
      <c r="HF195" s="60">
        <v>7</v>
      </c>
      <c r="HG195" s="60">
        <v>8</v>
      </c>
      <c r="HH195" s="60">
        <v>9</v>
      </c>
      <c r="HI195" s="60">
        <v>10</v>
      </c>
      <c r="HJ195" s="60">
        <v>11</v>
      </c>
      <c r="HK195" s="60">
        <v>12</v>
      </c>
      <c r="HL195" s="60">
        <v>13</v>
      </c>
      <c r="HM195" s="60">
        <v>14</v>
      </c>
      <c r="HN195" s="60">
        <v>15</v>
      </c>
      <c r="HO195" s="60">
        <v>16</v>
      </c>
      <c r="HP195" s="60">
        <v>17</v>
      </c>
      <c r="HQ195" s="60">
        <v>18</v>
      </c>
      <c r="HR195" s="60">
        <v>19</v>
      </c>
      <c r="HS195" s="60">
        <v>20</v>
      </c>
      <c r="HV195" s="141" t="s">
        <v>764</v>
      </c>
      <c r="IS195" s="60" t="s">
        <v>764</v>
      </c>
    </row>
    <row r="196" spans="1:274" x14ac:dyDescent="0.25">
      <c r="A196" s="9"/>
      <c r="B196" s="9"/>
      <c r="C196" s="9"/>
      <c r="D196" s="9"/>
      <c r="E196" s="9"/>
      <c r="F196" s="9"/>
      <c r="G196" s="9"/>
      <c r="H196" s="9"/>
      <c r="I196" s="9"/>
      <c r="J196" s="9"/>
      <c r="K196" s="9"/>
      <c r="L196" s="6" t="s">
        <v>65</v>
      </c>
      <c r="M196" s="11">
        <f>INDEX(cennik!$C$2:$L$529,MATCH($L196,cennik!$B$2:$B$522,0),MATCH(M$104,cennik!$C$1:$L$1,0))</f>
        <v>890009</v>
      </c>
      <c r="N196" s="11" t="str">
        <f>INDEX(cennik!$C$2:$L$529,MATCH($L196,cennik!$B$2:$B$522,0),MATCH(N$104,cennik!$C$1:$L$1,0))</f>
        <v>100 szt.</v>
      </c>
      <c r="O196" s="11">
        <f>O195</f>
        <v>0</v>
      </c>
      <c r="P196" s="34">
        <f>INDEX(cennik!$C$2:$L$529,MATCH($L196,cennik!$B$2:$B$522,0),MATCH(P$104,cennik!$C$1:$L$1,0))</f>
        <v>46.15</v>
      </c>
      <c r="Q196" s="34">
        <f t="shared" si="149"/>
        <v>0</v>
      </c>
      <c r="R196" s="35">
        <f t="shared" si="147"/>
        <v>0</v>
      </c>
      <c r="S196" s="34">
        <f t="shared" si="148"/>
        <v>46.15</v>
      </c>
      <c r="T196" s="34">
        <f t="shared" si="150"/>
        <v>0</v>
      </c>
      <c r="U196" s="34">
        <f>INDEX(cennik!$C$2:$L$529,MATCH($L196,cennik!$B$2:$B$522,0),MATCH(U$104,cennik!$C$1:$L$1,0))*O196</f>
        <v>0</v>
      </c>
      <c r="V196" s="61"/>
      <c r="W196" s="61"/>
      <c r="X196" s="61"/>
      <c r="Y196" s="63">
        <v>38</v>
      </c>
      <c r="Z196" s="61" t="s">
        <v>31</v>
      </c>
      <c r="AA196" s="61"/>
      <c r="AB196" s="61" t="s">
        <v>110</v>
      </c>
      <c r="AC196" s="61" t="s">
        <v>67</v>
      </c>
      <c r="AD196" s="61">
        <v>38</v>
      </c>
      <c r="AE196" s="61" t="s">
        <v>43</v>
      </c>
      <c r="AF196" s="61" t="s">
        <v>1294</v>
      </c>
      <c r="AG196" s="146" t="s">
        <v>151</v>
      </c>
      <c r="AH196" s="146" t="s">
        <v>151</v>
      </c>
      <c r="AI196" s="61" t="s">
        <v>14</v>
      </c>
      <c r="AJ196" s="61"/>
      <c r="AK196" s="61"/>
      <c r="AL196" s="61"/>
      <c r="AM196" s="61"/>
      <c r="AN196" s="61"/>
      <c r="AO196" s="61"/>
      <c r="AP196" s="61"/>
      <c r="AQ196" s="61"/>
      <c r="AR196" s="61"/>
      <c r="AS196" s="61"/>
      <c r="AT196" s="61"/>
      <c r="AU196" s="61"/>
      <c r="AV196" s="61"/>
      <c r="AW196" s="61"/>
      <c r="AX196" s="61"/>
      <c r="AY196" s="61"/>
      <c r="AZ196" s="61"/>
      <c r="BA196" s="61"/>
      <c r="BB196" s="61"/>
      <c r="BC196" s="61"/>
      <c r="BD196" s="61"/>
      <c r="BE196" s="61"/>
      <c r="BF196" s="61"/>
      <c r="BG196" s="61"/>
      <c r="BH196" s="61"/>
      <c r="BI196" s="61"/>
      <c r="BJ196" s="61"/>
      <c r="BK196" s="61"/>
      <c r="BL196" s="61"/>
      <c r="BM196" s="61"/>
      <c r="BN196" s="61"/>
      <c r="BO196" s="61"/>
      <c r="BP196" s="61"/>
      <c r="BQ196" s="61"/>
      <c r="BR196" s="61"/>
      <c r="BS196" s="61"/>
      <c r="BT196" s="61"/>
      <c r="BU196" s="61"/>
      <c r="BV196" s="61"/>
      <c r="BW196" s="61"/>
      <c r="BX196" s="61"/>
      <c r="BY196" s="61"/>
      <c r="BZ196" s="61"/>
      <c r="CA196" s="61"/>
      <c r="CB196" s="61"/>
      <c r="CC196" s="61"/>
      <c r="CD196" s="61"/>
      <c r="CE196" s="61"/>
      <c r="CF196" s="61"/>
      <c r="CG196" s="61"/>
      <c r="CH196" s="61"/>
      <c r="CI196" s="61"/>
      <c r="CJ196" s="61"/>
      <c r="CK196" s="61"/>
      <c r="CL196" s="61"/>
      <c r="CM196" s="61" t="s">
        <v>518</v>
      </c>
      <c r="CN196" s="61">
        <v>0</v>
      </c>
      <c r="CO196" s="61">
        <v>2</v>
      </c>
      <c r="CP196" s="61">
        <v>0</v>
      </c>
      <c r="CQ196" s="61">
        <v>4</v>
      </c>
      <c r="CR196" s="61">
        <v>2</v>
      </c>
      <c r="CS196" s="61">
        <v>0</v>
      </c>
      <c r="CT196" s="61">
        <v>4</v>
      </c>
      <c r="CU196" s="61">
        <v>2</v>
      </c>
      <c r="CV196" s="61">
        <v>0</v>
      </c>
      <c r="CW196" s="61">
        <v>4</v>
      </c>
      <c r="CX196" s="61">
        <v>2</v>
      </c>
      <c r="CY196" s="61">
        <v>0</v>
      </c>
      <c r="CZ196" s="61">
        <v>4</v>
      </c>
      <c r="DA196" s="61">
        <v>2</v>
      </c>
      <c r="DB196" s="61">
        <v>0</v>
      </c>
      <c r="DC196" s="61">
        <v>4</v>
      </c>
      <c r="DD196" s="61">
        <v>2</v>
      </c>
      <c r="DE196" s="61">
        <v>0</v>
      </c>
      <c r="DF196" s="61">
        <v>4</v>
      </c>
      <c r="DG196" s="61">
        <v>2</v>
      </c>
      <c r="DH196" s="61">
        <v>0</v>
      </c>
      <c r="DI196" s="61"/>
      <c r="DJ196" s="61"/>
      <c r="DK196" s="61"/>
      <c r="DL196" s="61"/>
      <c r="DM196" s="61"/>
      <c r="DN196" s="61"/>
      <c r="DO196" s="61"/>
      <c r="DP196" s="61"/>
      <c r="DQ196" s="61"/>
      <c r="DR196" s="61"/>
      <c r="DS196" s="61"/>
      <c r="DT196" s="61"/>
      <c r="DU196" s="61"/>
      <c r="DV196" s="61"/>
      <c r="DW196" s="61"/>
      <c r="DX196" s="61"/>
      <c r="DY196" s="61"/>
      <c r="DZ196" s="61"/>
      <c r="EA196" s="61"/>
      <c r="EB196" s="61"/>
      <c r="EC196" s="61"/>
      <c r="ED196" s="61"/>
      <c r="EE196" s="61"/>
      <c r="EF196" s="61"/>
      <c r="EG196" s="61"/>
      <c r="EH196" s="61"/>
      <c r="EI196" s="61"/>
      <c r="EJ196" s="61"/>
      <c r="EK196" s="61"/>
      <c r="EL196" s="61"/>
      <c r="EM196" s="61"/>
      <c r="EN196" s="61"/>
      <c r="EO196" s="61"/>
      <c r="EP196" s="61"/>
      <c r="EQ196" s="61"/>
      <c r="ER196" s="61"/>
      <c r="ES196" s="61"/>
      <c r="ET196" s="61"/>
      <c r="EU196" s="61"/>
      <c r="EV196" s="61" t="s">
        <v>293</v>
      </c>
      <c r="EW196" s="61">
        <v>0</v>
      </c>
      <c r="EX196" s="61">
        <v>0</v>
      </c>
      <c r="EY196" s="61">
        <v>0</v>
      </c>
      <c r="EZ196" s="61">
        <v>0</v>
      </c>
      <c r="FA196" s="61">
        <v>0</v>
      </c>
      <c r="FB196" s="61">
        <v>0</v>
      </c>
      <c r="FC196" s="61">
        <v>0</v>
      </c>
      <c r="FD196" s="61">
        <v>0</v>
      </c>
      <c r="FE196" s="61">
        <v>0</v>
      </c>
      <c r="FF196" s="61">
        <v>0</v>
      </c>
      <c r="FG196" s="61">
        <v>0</v>
      </c>
      <c r="FH196" s="61"/>
      <c r="FI196" s="61" t="s">
        <v>211</v>
      </c>
      <c r="FJ196" s="61">
        <v>0</v>
      </c>
      <c r="FK196" s="61">
        <v>0</v>
      </c>
      <c r="FL196" s="61">
        <f t="shared" si="153"/>
        <v>0</v>
      </c>
      <c r="FM196" s="61">
        <v>0</v>
      </c>
      <c r="FN196" s="61">
        <v>0</v>
      </c>
      <c r="FO196" s="61">
        <v>0</v>
      </c>
      <c r="FP196" s="61">
        <v>0</v>
      </c>
      <c r="FQ196" s="61">
        <v>0</v>
      </c>
      <c r="FR196" s="61">
        <v>0</v>
      </c>
      <c r="FS196" s="61">
        <v>0</v>
      </c>
      <c r="FT196" s="61">
        <v>0</v>
      </c>
      <c r="FU196" s="61"/>
      <c r="FV196" s="61"/>
      <c r="FW196" s="61"/>
      <c r="FX196" s="61"/>
      <c r="FY196" s="61"/>
      <c r="FZ196" s="61"/>
      <c r="GA196" s="145" t="s">
        <v>867</v>
      </c>
      <c r="GB196" s="60">
        <v>0</v>
      </c>
      <c r="GC196" s="60">
        <v>0</v>
      </c>
      <c r="GD196" s="60">
        <v>1</v>
      </c>
      <c r="GE196" s="60">
        <v>2</v>
      </c>
      <c r="GF196" s="60">
        <v>3</v>
      </c>
      <c r="GG196" s="60">
        <v>3</v>
      </c>
      <c r="GH196" s="60">
        <v>4</v>
      </c>
      <c r="GI196" s="60">
        <v>4</v>
      </c>
      <c r="GJ196" s="60">
        <v>5</v>
      </c>
      <c r="GK196" s="60">
        <v>5</v>
      </c>
      <c r="GL196" s="60">
        <v>6</v>
      </c>
      <c r="GM196" s="60">
        <v>6</v>
      </c>
      <c r="GN196" s="60">
        <v>7</v>
      </c>
      <c r="GO196" s="60">
        <v>12</v>
      </c>
      <c r="GP196" s="60">
        <v>13</v>
      </c>
      <c r="GQ196" s="60">
        <v>13</v>
      </c>
      <c r="GR196" s="60">
        <v>14</v>
      </c>
      <c r="GS196" s="60">
        <v>14</v>
      </c>
      <c r="GT196" s="60">
        <v>15</v>
      </c>
      <c r="GU196" s="60">
        <v>16</v>
      </c>
      <c r="GV196" s="60">
        <v>16</v>
      </c>
      <c r="GX196" s="145" t="s">
        <v>866</v>
      </c>
      <c r="GY196" s="60">
        <v>0</v>
      </c>
      <c r="GZ196" s="60">
        <v>0</v>
      </c>
      <c r="HA196" s="60">
        <v>3</v>
      </c>
      <c r="HB196" s="60">
        <v>2</v>
      </c>
      <c r="HC196" s="60">
        <v>1</v>
      </c>
      <c r="HD196" s="60">
        <v>5</v>
      </c>
      <c r="HE196" s="60">
        <v>4</v>
      </c>
      <c r="HF196" s="60">
        <v>3</v>
      </c>
      <c r="HG196" s="60">
        <v>2</v>
      </c>
      <c r="HH196" s="60">
        <v>0</v>
      </c>
      <c r="HI196" s="60">
        <v>5</v>
      </c>
      <c r="HJ196" s="60">
        <v>4</v>
      </c>
      <c r="HK196" s="60">
        <v>3</v>
      </c>
      <c r="HL196" s="60">
        <v>1</v>
      </c>
      <c r="HM196" s="60">
        <v>0</v>
      </c>
      <c r="HN196" s="60">
        <v>5</v>
      </c>
      <c r="HO196" s="60">
        <v>3</v>
      </c>
      <c r="HP196" s="60">
        <v>2</v>
      </c>
      <c r="HQ196" s="60">
        <v>1</v>
      </c>
      <c r="HR196" s="60">
        <v>0</v>
      </c>
      <c r="HS196" s="60">
        <v>4</v>
      </c>
      <c r="HW196" s="60">
        <v>0</v>
      </c>
      <c r="HX196" s="60">
        <v>1</v>
      </c>
      <c r="HY196" s="60">
        <v>2</v>
      </c>
      <c r="HZ196" s="60">
        <v>3</v>
      </c>
      <c r="IA196" s="60">
        <v>4</v>
      </c>
      <c r="IB196" s="60">
        <v>5</v>
      </c>
      <c r="IC196" s="60">
        <v>6</v>
      </c>
      <c r="ID196" s="60">
        <v>7</v>
      </c>
      <c r="IE196" s="60">
        <v>8</v>
      </c>
      <c r="IF196" s="60">
        <v>9</v>
      </c>
      <c r="IG196" s="60">
        <v>10</v>
      </c>
      <c r="IH196" s="60">
        <v>11</v>
      </c>
      <c r="II196" s="60">
        <v>12</v>
      </c>
      <c r="IJ196" s="60">
        <v>13</v>
      </c>
      <c r="IK196" s="60">
        <v>14</v>
      </c>
      <c r="IL196" s="60">
        <v>15</v>
      </c>
      <c r="IM196" s="60">
        <v>16</v>
      </c>
      <c r="IN196" s="60">
        <v>17</v>
      </c>
      <c r="IO196" s="60">
        <v>18</v>
      </c>
      <c r="IP196" s="60">
        <v>19</v>
      </c>
      <c r="IQ196" s="60">
        <v>20</v>
      </c>
      <c r="IT196" s="60">
        <f t="shared" si="125"/>
        <v>0</v>
      </c>
      <c r="IU196" s="60">
        <f t="shared" si="126"/>
        <v>2</v>
      </c>
      <c r="IV196" s="60">
        <f t="shared" si="127"/>
        <v>4</v>
      </c>
      <c r="IW196" s="60">
        <f t="shared" si="128"/>
        <v>6</v>
      </c>
      <c r="IX196" s="60">
        <f t="shared" si="129"/>
        <v>8</v>
      </c>
      <c r="IY196" s="60">
        <f t="shared" si="130"/>
        <v>10</v>
      </c>
      <c r="IZ196" s="60">
        <f t="shared" si="131"/>
        <v>12</v>
      </c>
      <c r="JA196" s="60">
        <f t="shared" si="132"/>
        <v>14</v>
      </c>
      <c r="JB196" s="60">
        <f t="shared" si="122"/>
        <v>16</v>
      </c>
      <c r="JC196" s="60">
        <f t="shared" si="133"/>
        <v>18</v>
      </c>
      <c r="JD196" s="60">
        <f t="shared" si="134"/>
        <v>20</v>
      </c>
      <c r="JE196" s="60">
        <f t="shared" si="135"/>
        <v>22</v>
      </c>
      <c r="JF196" s="60">
        <f t="shared" si="136"/>
        <v>24</v>
      </c>
      <c r="JG196" s="60">
        <f t="shared" si="137"/>
        <v>26</v>
      </c>
      <c r="JH196" s="60">
        <f t="shared" si="138"/>
        <v>28</v>
      </c>
      <c r="JI196" s="60">
        <f t="shared" si="139"/>
        <v>30</v>
      </c>
      <c r="JJ196" s="60">
        <f t="shared" si="140"/>
        <v>32</v>
      </c>
      <c r="JK196" s="60">
        <f t="shared" si="141"/>
        <v>34</v>
      </c>
      <c r="JL196" s="60">
        <f t="shared" si="142"/>
        <v>36</v>
      </c>
      <c r="JM196" s="60">
        <f t="shared" si="143"/>
        <v>38</v>
      </c>
      <c r="JN196" s="60">
        <f t="shared" si="144"/>
        <v>40</v>
      </c>
    </row>
    <row r="197" spans="1:274" x14ac:dyDescent="0.25">
      <c r="A197" s="9"/>
      <c r="B197" s="9"/>
      <c r="C197" s="9"/>
      <c r="D197" s="9"/>
      <c r="E197" s="9"/>
      <c r="F197" s="9"/>
      <c r="G197" s="9"/>
      <c r="H197" s="9"/>
      <c r="I197" s="9"/>
      <c r="J197" s="9"/>
      <c r="K197" s="9"/>
      <c r="L197" s="6" t="str">
        <f>IF(E180="standard","PUP",IF(E180="klick","PUPK",0))</f>
        <v>PUP</v>
      </c>
      <c r="M197" s="11">
        <f>INDEX(cennik!$C$2:$L$529,MATCH($L197,cennik!$B$2:$B$522,0),MATCH(M$104,cennik!$C$1:$L$1,0))</f>
        <v>897303</v>
      </c>
      <c r="N197" s="11" t="str">
        <f>INDEX(cennik!$C$2:$L$529,MATCH($L197,cennik!$B$2:$B$522,0),MATCH(N$104,cennik!$C$1:$L$1,0))</f>
        <v>szt.</v>
      </c>
      <c r="O197" s="11">
        <f>SUM((IF(MOD(A178,2)=0,A178/2,IF(MOD(A178,2)=1,FLOOR(A178/2,1)+1,0))*C178),(IF(MOD(A179,2)=0,A179/2,IF(MOD(A179,2)=1,FLOOR(A179/2,1)+1,0))*C179),(IF(MOD(A180,2)=0,A180/2,IF(MOD(A180,2)=1,FLOOR(A180/2,1)+1,0))*C180),(IF(MOD(A181,2)=0,A181/2,IF(MOD(A181,2)=1,FLOOR(A181/2,1)+1,0))*C181),(IF(MOD(A182,2)=0,A182/2,IF(MOD(A182,2)=1,FLOOR(A182/2,1)+1,0))*C182),(IF(MOD(A183,2)=0,A183/2,IF(MOD(A183,2)=1,FLOOR(A183/2,1)+1,0))*C183),(IF(MOD(A184,2)=0,A184/2,IF(MOD(A184,2)=1,FLOOR(A184/2,1)+1,0))*C184),(IF(MOD(A185,2)=0,A185/2,IF(MOD(A185,2)=1,FLOOR(A185/2,1)+1,0))*C185),(IF(MOD(A186,2)=0,A186/2,IF(MOD(A186,2)=1,FLOOR(A186/2,1)+1,0))*C186),(IF(MOD(A187,2)=0,A187/2,IF(MOD(A187,2)=1,FLOOR(A187/2,1)+1,0))*C187),(IF(MOD(A188,2)=0,A188/2,IF(MOD(A188,2)=1,FLOOR(A188/2,1)+1,0))*C188),(IF(MOD(A189,2)=0,A189/2,IF(MOD(A189,2)=1,FLOOR(A189/2,1)+1,0))*C189),(IF(MOD(A190,2)=0,A190/2,IF(MOD(A190,2)=1,FLOOR(A190/2,1)+1,0))*C190),(IF(MOD(A191,2)=0,A191/2,IF(MOD(A191,2)=1,FLOOR(A191/2,1)+1,0))*C191),(IF(MOD(A192,2)=0,A192/2,IF(MOD(A192,2)=1,FLOOR(A192/2,1)+1,0))*C192),(IF(MOD(A193,2)=0,A193/2,IF(MOD(A193,2)=1,FLOOR(A193/2,1)+1,0))*C193))</f>
        <v>0</v>
      </c>
      <c r="P197" s="34">
        <f>INDEX(cennik!$C$2:$L$529,MATCH($L197,cennik!$B$2:$B$522,0),MATCH(P$104,cennik!$C$1:$L$1,0))</f>
        <v>2.4</v>
      </c>
      <c r="Q197" s="34">
        <f t="shared" ref="Q197:Q202" si="154">O197*P197</f>
        <v>0</v>
      </c>
      <c r="R197" s="35">
        <f t="shared" si="147"/>
        <v>0</v>
      </c>
      <c r="S197" s="34">
        <f t="shared" si="148"/>
        <v>2.4</v>
      </c>
      <c r="T197" s="34">
        <f t="shared" ref="T197:T202" si="155">O197*S197</f>
        <v>0</v>
      </c>
      <c r="U197" s="34">
        <f>INDEX(cennik!$C$2:$L$529,MATCH($L197,cennik!$B$2:$B$522,0),MATCH(U$104,cennik!$C$1:$L$1,0))*O197</f>
        <v>0</v>
      </c>
      <c r="V197" s="61"/>
      <c r="W197" s="61"/>
      <c r="X197" s="61"/>
      <c r="Y197" s="63">
        <v>40</v>
      </c>
      <c r="Z197" s="61" t="s">
        <v>32</v>
      </c>
      <c r="AA197" s="61" t="s">
        <v>33</v>
      </c>
      <c r="AB197" s="61" t="s">
        <v>109</v>
      </c>
      <c r="AC197" s="61" t="s">
        <v>67</v>
      </c>
      <c r="AD197" s="61">
        <v>40</v>
      </c>
      <c r="AE197" s="61" t="s">
        <v>44</v>
      </c>
      <c r="AF197" s="61" t="s">
        <v>45</v>
      </c>
      <c r="AG197" s="146" t="s">
        <v>151</v>
      </c>
      <c r="AH197" s="146" t="s">
        <v>151</v>
      </c>
      <c r="AI197" s="61" t="s">
        <v>14</v>
      </c>
      <c r="AJ197" s="61"/>
      <c r="AK197" s="61"/>
      <c r="AL197" s="61"/>
      <c r="AM197" s="61"/>
      <c r="AN197" s="61"/>
      <c r="AO197" s="61"/>
      <c r="AP197" s="61"/>
      <c r="AQ197" s="61"/>
      <c r="AR197" s="61"/>
      <c r="AS197" s="61"/>
      <c r="AT197" s="61"/>
      <c r="AU197" s="61"/>
      <c r="AV197" s="61"/>
      <c r="AW197" s="61"/>
      <c r="AX197" s="61"/>
      <c r="AY197" s="61"/>
      <c r="AZ197" s="61"/>
      <c r="BA197" s="61"/>
      <c r="BB197" s="61"/>
      <c r="BC197" s="61"/>
      <c r="BD197" s="61"/>
      <c r="BE197" s="61"/>
      <c r="BF197" s="61"/>
      <c r="BG197" s="61"/>
      <c r="BH197" s="61"/>
      <c r="BI197" s="61"/>
      <c r="BJ197" s="61"/>
      <c r="BK197" s="61"/>
      <c r="BL197" s="61"/>
      <c r="BM197" s="61"/>
      <c r="BN197" s="61"/>
      <c r="BO197" s="61"/>
      <c r="BP197" s="61"/>
      <c r="BQ197" s="61"/>
      <c r="BR197" s="61"/>
      <c r="BS197" s="61"/>
      <c r="BT197" s="61"/>
      <c r="BU197" s="61"/>
      <c r="BV197" s="61"/>
      <c r="BW197" s="61"/>
      <c r="BX197" s="61"/>
      <c r="BY197" s="61"/>
      <c r="BZ197" s="61"/>
      <c r="CA197" s="61"/>
      <c r="CB197" s="61"/>
      <c r="CC197" s="61"/>
      <c r="CD197" s="61"/>
      <c r="CE197" s="61"/>
      <c r="CF197" s="61"/>
      <c r="CG197" s="61"/>
      <c r="CH197" s="61"/>
      <c r="CI197" s="61"/>
      <c r="CJ197" s="61"/>
      <c r="CK197" s="61"/>
      <c r="CL197" s="61"/>
      <c r="CM197" s="61" t="s">
        <v>520</v>
      </c>
      <c r="CN197" s="61">
        <v>0</v>
      </c>
      <c r="CO197" s="61">
        <v>0</v>
      </c>
      <c r="CP197" s="61">
        <v>2</v>
      </c>
      <c r="CQ197" s="61">
        <v>0</v>
      </c>
      <c r="CR197" s="61">
        <v>2</v>
      </c>
      <c r="CS197" s="61">
        <v>4</v>
      </c>
      <c r="CT197" s="61">
        <v>2</v>
      </c>
      <c r="CU197" s="61">
        <v>4</v>
      </c>
      <c r="CV197" s="61">
        <v>6</v>
      </c>
      <c r="CW197" s="61">
        <v>4</v>
      </c>
      <c r="CX197" s="61">
        <v>6</v>
      </c>
      <c r="CY197" s="61">
        <v>8</v>
      </c>
      <c r="CZ197" s="61">
        <v>6</v>
      </c>
      <c r="DA197" s="61">
        <v>8</v>
      </c>
      <c r="DB197" s="61">
        <v>10</v>
      </c>
      <c r="DC197" s="61">
        <v>8</v>
      </c>
      <c r="DD197" s="61">
        <v>10</v>
      </c>
      <c r="DE197" s="61">
        <v>12</v>
      </c>
      <c r="DF197" s="61">
        <v>10</v>
      </c>
      <c r="DG197" s="61">
        <v>12</v>
      </c>
      <c r="DH197" s="61">
        <v>14</v>
      </c>
      <c r="DI197" s="61"/>
      <c r="DJ197" s="61"/>
      <c r="DK197" s="61"/>
      <c r="DL197" s="61"/>
      <c r="DM197" s="61"/>
      <c r="DN197" s="61"/>
      <c r="DO197" s="61"/>
      <c r="DP197" s="61"/>
      <c r="DQ197" s="61"/>
      <c r="DR197" s="61"/>
      <c r="DS197" s="61"/>
      <c r="DT197" s="61"/>
      <c r="DU197" s="61"/>
      <c r="DV197" s="61"/>
      <c r="DW197" s="61"/>
      <c r="DX197" s="61"/>
      <c r="DY197" s="61"/>
      <c r="DZ197" s="61"/>
      <c r="EA197" s="61"/>
      <c r="EB197" s="61"/>
      <c r="EC197" s="61"/>
      <c r="ED197" s="61"/>
      <c r="EE197" s="61"/>
      <c r="EF197" s="61"/>
      <c r="EG197" s="61"/>
      <c r="EH197" s="61"/>
      <c r="EI197" s="61"/>
      <c r="EJ197" s="61"/>
      <c r="EK197" s="61"/>
      <c r="EL197" s="61"/>
      <c r="EM197" s="61"/>
      <c r="EN197" s="61"/>
      <c r="EO197" s="61"/>
      <c r="EP197" s="61"/>
      <c r="EQ197" s="61"/>
      <c r="ER197" s="61"/>
      <c r="ES197" s="61"/>
      <c r="ET197" s="61"/>
      <c r="EU197" s="61"/>
      <c r="EV197" s="61" t="s">
        <v>10</v>
      </c>
      <c r="EW197" s="61">
        <v>0</v>
      </c>
      <c r="EX197" s="61">
        <v>0</v>
      </c>
      <c r="EY197" s="61">
        <v>0</v>
      </c>
      <c r="EZ197" s="61">
        <v>0</v>
      </c>
      <c r="FA197" s="61">
        <v>0</v>
      </c>
      <c r="FB197" s="61">
        <v>0</v>
      </c>
      <c r="FC197" s="61">
        <v>0</v>
      </c>
      <c r="FD197" s="61">
        <v>0</v>
      </c>
      <c r="FE197" s="61">
        <v>0</v>
      </c>
      <c r="FF197" s="61">
        <v>4</v>
      </c>
      <c r="FG197" s="61">
        <v>0</v>
      </c>
      <c r="FH197" s="61"/>
      <c r="FI197" s="61" t="s">
        <v>293</v>
      </c>
      <c r="FJ197" s="61">
        <v>0</v>
      </c>
      <c r="FK197" s="61">
        <v>2</v>
      </c>
      <c r="FL197" s="61">
        <f t="shared" si="153"/>
        <v>0</v>
      </c>
      <c r="FM197" s="61">
        <v>0</v>
      </c>
      <c r="FN197" s="61">
        <v>0</v>
      </c>
      <c r="FO197" s="61">
        <v>0</v>
      </c>
      <c r="FP197" s="61">
        <v>0</v>
      </c>
      <c r="FQ197" s="61">
        <v>0</v>
      </c>
      <c r="FR197" s="61">
        <v>0</v>
      </c>
      <c r="FS197" s="61">
        <v>0</v>
      </c>
      <c r="FT197" s="61">
        <v>0</v>
      </c>
      <c r="FU197" s="61"/>
      <c r="FV197" s="61"/>
      <c r="FW197" s="61"/>
      <c r="FX197" s="61"/>
      <c r="FY197" s="61"/>
      <c r="FZ197" s="61"/>
      <c r="GA197" s="145" t="s">
        <v>868</v>
      </c>
      <c r="GB197" s="60">
        <v>0</v>
      </c>
      <c r="GC197" s="60">
        <v>0</v>
      </c>
      <c r="GD197" s="60">
        <v>0</v>
      </c>
      <c r="GE197" s="60">
        <v>0</v>
      </c>
      <c r="GF197" s="60">
        <v>0</v>
      </c>
      <c r="GG197" s="60">
        <v>0</v>
      </c>
      <c r="GH197" s="60">
        <v>0</v>
      </c>
      <c r="GI197" s="60">
        <v>0</v>
      </c>
      <c r="GJ197" s="60">
        <v>0</v>
      </c>
      <c r="GK197" s="60">
        <v>0</v>
      </c>
      <c r="GL197" s="60">
        <v>0</v>
      </c>
      <c r="GM197" s="60">
        <v>0</v>
      </c>
      <c r="GN197" s="60">
        <v>0</v>
      </c>
      <c r="GO197" s="60">
        <v>0</v>
      </c>
      <c r="GP197" s="60">
        <v>0</v>
      </c>
      <c r="GQ197" s="60">
        <v>0</v>
      </c>
      <c r="GR197" s="60">
        <v>0</v>
      </c>
      <c r="GS197" s="60">
        <v>0</v>
      </c>
      <c r="GT197" s="60">
        <v>0</v>
      </c>
      <c r="GU197" s="60">
        <v>0</v>
      </c>
      <c r="GV197" s="60">
        <v>0</v>
      </c>
      <c r="GX197" s="145" t="s">
        <v>867</v>
      </c>
      <c r="GY197" s="60">
        <v>0</v>
      </c>
      <c r="GZ197" s="60">
        <v>0</v>
      </c>
      <c r="HA197" s="60">
        <v>0</v>
      </c>
      <c r="HB197" s="60">
        <v>2</v>
      </c>
      <c r="HC197" s="60">
        <v>4</v>
      </c>
      <c r="HD197" s="60">
        <v>2</v>
      </c>
      <c r="HE197" s="60">
        <v>4</v>
      </c>
      <c r="HF197" s="60">
        <v>6</v>
      </c>
      <c r="HG197" s="60">
        <v>8</v>
      </c>
      <c r="HH197" s="60">
        <v>11</v>
      </c>
      <c r="HI197" s="60">
        <v>8</v>
      </c>
      <c r="HJ197" s="60">
        <v>10</v>
      </c>
      <c r="HK197" s="60">
        <v>12</v>
      </c>
      <c r="HL197" s="60">
        <v>15</v>
      </c>
      <c r="HM197" s="60">
        <v>17</v>
      </c>
      <c r="HN197" s="60">
        <v>14</v>
      </c>
      <c r="HO197" s="60">
        <v>17</v>
      </c>
      <c r="HP197" s="60">
        <v>19</v>
      </c>
      <c r="HQ197" s="60">
        <v>21</v>
      </c>
      <c r="HR197" s="60">
        <v>23</v>
      </c>
      <c r="HS197" s="60">
        <v>21</v>
      </c>
      <c r="HV197" s="60" t="s">
        <v>826</v>
      </c>
      <c r="HW197" s="60">
        <v>0</v>
      </c>
      <c r="HX197" s="60">
        <v>2</v>
      </c>
      <c r="HY197" s="60">
        <v>4</v>
      </c>
      <c r="HZ197" s="60">
        <v>4</v>
      </c>
      <c r="IA197" s="60">
        <v>0</v>
      </c>
      <c r="IB197" s="60">
        <v>2</v>
      </c>
      <c r="IC197" s="60">
        <v>4</v>
      </c>
      <c r="ID197" s="60">
        <v>0</v>
      </c>
      <c r="IE197" s="60">
        <v>0</v>
      </c>
      <c r="IF197" s="60">
        <v>2</v>
      </c>
      <c r="IG197" s="60">
        <v>4</v>
      </c>
      <c r="IH197" s="60">
        <v>0</v>
      </c>
      <c r="II197" s="60">
        <v>2</v>
      </c>
      <c r="IJ197" s="60">
        <v>2</v>
      </c>
      <c r="IK197" s="60">
        <v>4</v>
      </c>
      <c r="IL197" s="60">
        <v>0</v>
      </c>
      <c r="IM197" s="60">
        <v>2</v>
      </c>
      <c r="IN197" s="60">
        <v>4</v>
      </c>
      <c r="IO197" s="60">
        <v>4</v>
      </c>
      <c r="IP197" s="60">
        <v>0</v>
      </c>
      <c r="IQ197" s="60">
        <v>2</v>
      </c>
      <c r="IS197" s="60" t="s">
        <v>826</v>
      </c>
      <c r="IT197" s="60">
        <f t="shared" si="125"/>
        <v>0</v>
      </c>
      <c r="IU197" s="60">
        <f t="shared" si="126"/>
        <v>4</v>
      </c>
      <c r="IV197" s="60">
        <f t="shared" si="127"/>
        <v>8</v>
      </c>
      <c r="IW197" s="60">
        <f t="shared" si="128"/>
        <v>8</v>
      </c>
      <c r="IX197" s="60">
        <f t="shared" si="129"/>
        <v>0</v>
      </c>
      <c r="IY197" s="60">
        <f t="shared" si="130"/>
        <v>4</v>
      </c>
      <c r="IZ197" s="60">
        <f t="shared" si="131"/>
        <v>8</v>
      </c>
      <c r="JA197" s="60">
        <f t="shared" si="132"/>
        <v>0</v>
      </c>
      <c r="JB197" s="60">
        <f t="shared" si="122"/>
        <v>0</v>
      </c>
      <c r="JC197" s="60">
        <f t="shared" si="133"/>
        <v>4</v>
      </c>
      <c r="JD197" s="60">
        <f t="shared" si="134"/>
        <v>8</v>
      </c>
      <c r="JE197" s="60">
        <f t="shared" si="135"/>
        <v>0</v>
      </c>
      <c r="JF197" s="60">
        <f t="shared" si="136"/>
        <v>4</v>
      </c>
      <c r="JG197" s="60">
        <f t="shared" si="137"/>
        <v>4</v>
      </c>
      <c r="JH197" s="60">
        <f t="shared" si="138"/>
        <v>8</v>
      </c>
      <c r="JI197" s="60">
        <f t="shared" si="139"/>
        <v>0</v>
      </c>
      <c r="JJ197" s="60">
        <f t="shared" si="140"/>
        <v>4</v>
      </c>
      <c r="JK197" s="60">
        <f t="shared" si="141"/>
        <v>8</v>
      </c>
      <c r="JL197" s="60">
        <f t="shared" si="142"/>
        <v>8</v>
      </c>
      <c r="JM197" s="60">
        <f t="shared" si="143"/>
        <v>0</v>
      </c>
      <c r="JN197" s="60">
        <f t="shared" si="144"/>
        <v>4</v>
      </c>
    </row>
    <row r="198" spans="1:274" x14ac:dyDescent="0.25">
      <c r="A198" s="9"/>
      <c r="B198" s="9"/>
      <c r="C198" s="9"/>
      <c r="D198" s="9"/>
      <c r="E198" s="9"/>
      <c r="F198" s="9"/>
      <c r="G198" s="9"/>
      <c r="H198" s="9"/>
      <c r="I198" s="9"/>
      <c r="J198" s="9"/>
      <c r="K198" s="9"/>
      <c r="L198" s="6" t="s">
        <v>512</v>
      </c>
      <c r="M198" s="11">
        <f>INDEX(cennik!$C$2:$L$529,MATCH($L198,cennik!$B$2:$B$522,0),MATCH(M$104,cennik!$C$1:$L$1,0))</f>
        <v>808251</v>
      </c>
      <c r="N198" s="11" t="str">
        <f>INDEX(cennik!$C$2:$L$529,MATCH($L198,cennik!$B$2:$B$522,0),MATCH(N$104,cennik!$C$1:$L$1,0))</f>
        <v>szt.</v>
      </c>
      <c r="O198" s="11">
        <f>E185</f>
        <v>0</v>
      </c>
      <c r="P198" s="34">
        <f>INDEX(cennik!$C$2:$L$529,MATCH($L198,cennik!$B$2:$B$522,0),MATCH(P$104,cennik!$C$1:$L$1,0))</f>
        <v>0.63</v>
      </c>
      <c r="Q198" s="34">
        <f t="shared" si="154"/>
        <v>0</v>
      </c>
      <c r="R198" s="35">
        <f t="shared" si="147"/>
        <v>0</v>
      </c>
      <c r="S198" s="34">
        <f t="shared" si="148"/>
        <v>0.63</v>
      </c>
      <c r="T198" s="34">
        <f t="shared" si="155"/>
        <v>0</v>
      </c>
      <c r="U198" s="34">
        <f>INDEX(cennik!$C$2:$L$529,MATCH($L198,cennik!$B$2:$B$522,0),MATCH(U$104,cennik!$C$1:$L$1,0))*O198</f>
        <v>0</v>
      </c>
      <c r="V198" s="61"/>
      <c r="W198" s="61"/>
      <c r="X198" s="61"/>
      <c r="Y198" s="63">
        <v>42</v>
      </c>
      <c r="Z198" s="61" t="s">
        <v>34</v>
      </c>
      <c r="AA198" s="61"/>
      <c r="AB198" s="61" t="s">
        <v>109</v>
      </c>
      <c r="AC198" s="61" t="s">
        <v>67</v>
      </c>
      <c r="AD198" s="61">
        <v>42</v>
      </c>
      <c r="AE198" s="61" t="s">
        <v>46</v>
      </c>
      <c r="AF198" s="61" t="s">
        <v>1295</v>
      </c>
      <c r="AG198" s="146" t="s">
        <v>151</v>
      </c>
      <c r="AH198" s="146" t="s">
        <v>151</v>
      </c>
      <c r="AI198" s="61" t="s">
        <v>14</v>
      </c>
      <c r="AJ198" s="61"/>
      <c r="AK198" s="61"/>
      <c r="AL198" s="61"/>
      <c r="AM198" s="61"/>
      <c r="AN198" s="61"/>
      <c r="AO198" s="61"/>
      <c r="AP198" s="61"/>
      <c r="AQ198" s="61"/>
      <c r="AR198" s="61"/>
      <c r="AS198" s="61"/>
      <c r="AT198" s="61"/>
      <c r="AU198" s="61"/>
      <c r="AV198" s="61"/>
      <c r="AW198" s="61"/>
      <c r="AX198" s="61"/>
      <c r="AY198" s="61"/>
      <c r="AZ198" s="61"/>
      <c r="BA198" s="61"/>
      <c r="BB198" s="61"/>
      <c r="BC198" s="61"/>
      <c r="BD198" s="61"/>
      <c r="BE198" s="61"/>
      <c r="BF198" s="61"/>
      <c r="BG198" s="61"/>
      <c r="BH198" s="61"/>
      <c r="BI198" s="61"/>
      <c r="BJ198" s="61"/>
      <c r="BK198" s="61"/>
      <c r="BL198" s="61"/>
      <c r="BM198" s="61"/>
      <c r="BN198" s="61"/>
      <c r="BO198" s="61"/>
      <c r="BP198" s="61"/>
      <c r="BQ198" s="61"/>
      <c r="BR198" s="61"/>
      <c r="BS198" s="61"/>
      <c r="BT198" s="61"/>
      <c r="BU198" s="61"/>
      <c r="BV198" s="61"/>
      <c r="BW198" s="61"/>
      <c r="BX198" s="61"/>
      <c r="BY198" s="61"/>
      <c r="BZ198" s="61"/>
      <c r="CA198" s="61"/>
      <c r="CB198" s="61"/>
      <c r="CC198" s="61"/>
      <c r="CD198" s="61"/>
      <c r="CE198" s="61"/>
      <c r="CF198" s="61"/>
      <c r="CG198" s="61"/>
      <c r="CH198" s="61"/>
      <c r="CI198" s="61"/>
      <c r="CJ198" s="61"/>
      <c r="CK198" s="61"/>
      <c r="CL198" s="61"/>
      <c r="CM198" s="61" t="s">
        <v>521</v>
      </c>
      <c r="CN198" s="61">
        <v>0</v>
      </c>
      <c r="CO198" s="61">
        <v>0</v>
      </c>
      <c r="CP198" s="61">
        <v>0</v>
      </c>
      <c r="CQ198" s="61">
        <v>4</v>
      </c>
      <c r="CR198" s="61">
        <v>4</v>
      </c>
      <c r="CS198" s="61">
        <v>4</v>
      </c>
      <c r="CT198" s="61">
        <v>8</v>
      </c>
      <c r="CU198" s="61">
        <v>8</v>
      </c>
      <c r="CV198" s="61">
        <v>8</v>
      </c>
      <c r="CW198" s="61">
        <v>12</v>
      </c>
      <c r="CX198" s="61">
        <v>12</v>
      </c>
      <c r="CY198" s="61">
        <v>12</v>
      </c>
      <c r="CZ198" s="61">
        <v>16</v>
      </c>
      <c r="DA198" s="61">
        <v>16</v>
      </c>
      <c r="DB198" s="61">
        <v>16</v>
      </c>
      <c r="DC198" s="61">
        <v>20</v>
      </c>
      <c r="DD198" s="61">
        <v>20</v>
      </c>
      <c r="DE198" s="61">
        <v>20</v>
      </c>
      <c r="DF198" s="61">
        <v>24</v>
      </c>
      <c r="DG198" s="61">
        <v>24</v>
      </c>
      <c r="DH198" s="61">
        <v>24</v>
      </c>
      <c r="DI198" s="61"/>
      <c r="DJ198" s="61"/>
      <c r="DK198" s="61"/>
      <c r="DL198" s="61"/>
      <c r="DM198" s="61"/>
      <c r="DN198" s="61"/>
      <c r="DO198" s="61"/>
      <c r="DP198" s="61"/>
      <c r="DQ198" s="61"/>
      <c r="DR198" s="61"/>
      <c r="DS198" s="61"/>
      <c r="DT198" s="61"/>
      <c r="DU198" s="61"/>
      <c r="DV198" s="61"/>
      <c r="DW198" s="61"/>
      <c r="DX198" s="61"/>
      <c r="DY198" s="61"/>
      <c r="DZ198" s="61"/>
      <c r="EA198" s="61"/>
      <c r="EB198" s="61"/>
      <c r="EC198" s="61"/>
      <c r="ED198" s="61"/>
      <c r="EE198" s="61"/>
      <c r="EF198" s="61"/>
      <c r="EG198" s="61"/>
      <c r="EH198" s="61"/>
      <c r="EI198" s="61"/>
      <c r="EJ198" s="61"/>
      <c r="EK198" s="61"/>
      <c r="EL198" s="61"/>
      <c r="EM198" s="61"/>
      <c r="EN198" s="61"/>
      <c r="EO198" s="61"/>
      <c r="EP198" s="61"/>
      <c r="EQ198" s="61"/>
      <c r="ER198" s="61"/>
      <c r="ES198" s="61"/>
      <c r="ET198" s="61"/>
      <c r="EU198" s="61"/>
      <c r="EV198" s="61" t="s">
        <v>212</v>
      </c>
      <c r="EW198" s="61">
        <v>0</v>
      </c>
      <c r="EX198" s="61">
        <v>0</v>
      </c>
      <c r="EY198" s="61">
        <v>0</v>
      </c>
      <c r="EZ198" s="61">
        <v>0</v>
      </c>
      <c r="FA198" s="61">
        <v>0</v>
      </c>
      <c r="FB198" s="61">
        <v>2</v>
      </c>
      <c r="FC198" s="61">
        <v>0</v>
      </c>
      <c r="FD198" s="61">
        <v>0</v>
      </c>
      <c r="FE198" s="61">
        <v>0</v>
      </c>
      <c r="FF198" s="61">
        <v>6</v>
      </c>
      <c r="FG198" s="61">
        <v>2</v>
      </c>
      <c r="FH198" s="61"/>
      <c r="FI198" s="61" t="s">
        <v>10</v>
      </c>
      <c r="FJ198" s="61">
        <v>0</v>
      </c>
      <c r="FK198" s="61">
        <v>0</v>
      </c>
      <c r="FL198" s="61">
        <f t="shared" si="153"/>
        <v>0</v>
      </c>
      <c r="FM198" s="61">
        <v>2</v>
      </c>
      <c r="FN198" s="61">
        <v>0</v>
      </c>
      <c r="FO198" s="61">
        <v>2</v>
      </c>
      <c r="FP198" s="61">
        <v>0</v>
      </c>
      <c r="FQ198" s="61">
        <v>0</v>
      </c>
      <c r="FR198" s="61">
        <v>6</v>
      </c>
      <c r="FS198" s="61">
        <v>0</v>
      </c>
      <c r="FT198" s="61">
        <v>4</v>
      </c>
      <c r="FU198" s="61"/>
      <c r="FV198" s="61"/>
      <c r="FW198" s="61"/>
      <c r="FX198" s="61"/>
      <c r="FY198" s="61"/>
      <c r="FZ198" s="61"/>
      <c r="GX198" s="145" t="s">
        <v>868</v>
      </c>
      <c r="GY198" s="60">
        <v>0</v>
      </c>
      <c r="GZ198" s="60">
        <v>1</v>
      </c>
      <c r="HA198" s="60">
        <v>0</v>
      </c>
      <c r="HB198" s="60">
        <v>0</v>
      </c>
      <c r="HC198" s="60">
        <v>0</v>
      </c>
      <c r="HD198" s="60">
        <v>0</v>
      </c>
      <c r="HE198" s="60">
        <v>0</v>
      </c>
      <c r="HF198" s="60">
        <v>0</v>
      </c>
      <c r="HG198" s="60">
        <v>0</v>
      </c>
      <c r="HH198" s="60">
        <v>0</v>
      </c>
      <c r="HI198" s="60">
        <v>0</v>
      </c>
      <c r="HJ198" s="60">
        <v>0</v>
      </c>
      <c r="HK198" s="60">
        <v>0</v>
      </c>
      <c r="HL198" s="60">
        <v>0</v>
      </c>
      <c r="HM198" s="60">
        <v>0</v>
      </c>
      <c r="HN198" s="60">
        <v>0</v>
      </c>
      <c r="HO198" s="60">
        <v>0</v>
      </c>
      <c r="HP198" s="60">
        <v>0</v>
      </c>
      <c r="HQ198" s="60">
        <v>0</v>
      </c>
      <c r="HR198" s="60">
        <v>0</v>
      </c>
      <c r="HS198" s="60">
        <v>0</v>
      </c>
      <c r="HV198" s="60" t="s">
        <v>825</v>
      </c>
      <c r="HW198" s="60">
        <v>0</v>
      </c>
      <c r="HX198" s="60">
        <v>0</v>
      </c>
      <c r="HY198" s="60">
        <v>0</v>
      </c>
      <c r="HZ198" s="60">
        <v>2</v>
      </c>
      <c r="IA198" s="60">
        <v>6</v>
      </c>
      <c r="IB198" s="60">
        <v>6</v>
      </c>
      <c r="IC198" s="60">
        <v>6</v>
      </c>
      <c r="ID198" s="60">
        <v>10</v>
      </c>
      <c r="IE198" s="60">
        <v>12</v>
      </c>
      <c r="IF198" s="60">
        <v>12</v>
      </c>
      <c r="IG198" s="60">
        <v>12</v>
      </c>
      <c r="IH198" s="60">
        <v>16</v>
      </c>
      <c r="II198" s="60">
        <v>16</v>
      </c>
      <c r="IJ198" s="60">
        <v>18</v>
      </c>
      <c r="IK198" s="60">
        <v>18</v>
      </c>
      <c r="IL198" s="60">
        <v>22</v>
      </c>
      <c r="IM198" s="60">
        <v>22</v>
      </c>
      <c r="IN198" s="60">
        <v>22</v>
      </c>
      <c r="IO198" s="60">
        <v>24</v>
      </c>
      <c r="IP198" s="60">
        <v>28</v>
      </c>
      <c r="IQ198" s="60">
        <v>28</v>
      </c>
      <c r="IS198" s="60" t="s">
        <v>825</v>
      </c>
      <c r="IT198" s="60">
        <f t="shared" si="125"/>
        <v>0</v>
      </c>
      <c r="IU198" s="60">
        <f t="shared" si="126"/>
        <v>0</v>
      </c>
      <c r="IV198" s="60">
        <f t="shared" si="127"/>
        <v>0</v>
      </c>
      <c r="IW198" s="60">
        <f t="shared" si="128"/>
        <v>4</v>
      </c>
      <c r="IX198" s="60">
        <f t="shared" si="129"/>
        <v>12</v>
      </c>
      <c r="IY198" s="60">
        <f t="shared" si="130"/>
        <v>12</v>
      </c>
      <c r="IZ198" s="60">
        <f t="shared" si="131"/>
        <v>12</v>
      </c>
      <c r="JA198" s="60">
        <f t="shared" si="132"/>
        <v>20</v>
      </c>
      <c r="JB198" s="60">
        <f t="shared" si="122"/>
        <v>24</v>
      </c>
      <c r="JC198" s="60">
        <f t="shared" si="133"/>
        <v>24</v>
      </c>
      <c r="JD198" s="60">
        <f t="shared" si="134"/>
        <v>24</v>
      </c>
      <c r="JE198" s="60">
        <f t="shared" si="135"/>
        <v>32</v>
      </c>
      <c r="JF198" s="60">
        <f t="shared" si="136"/>
        <v>32</v>
      </c>
      <c r="JG198" s="60">
        <f t="shared" si="137"/>
        <v>36</v>
      </c>
      <c r="JH198" s="60">
        <f t="shared" si="138"/>
        <v>36</v>
      </c>
      <c r="JI198" s="60">
        <f t="shared" si="139"/>
        <v>44</v>
      </c>
      <c r="JJ198" s="60">
        <f t="shared" si="140"/>
        <v>44</v>
      </c>
      <c r="JK198" s="60">
        <f t="shared" si="141"/>
        <v>44</v>
      </c>
      <c r="JL198" s="60">
        <f t="shared" si="142"/>
        <v>48</v>
      </c>
      <c r="JM198" s="60">
        <f t="shared" si="143"/>
        <v>56</v>
      </c>
      <c r="JN198" s="60">
        <f t="shared" si="144"/>
        <v>56</v>
      </c>
    </row>
    <row r="199" spans="1:274" x14ac:dyDescent="0.25">
      <c r="A199" s="9"/>
      <c r="B199" s="9"/>
      <c r="C199" s="9"/>
      <c r="D199" s="9"/>
      <c r="E199" s="9"/>
      <c r="F199" s="17" t="str">
        <f>IF(L199="PSRM10X90F","PROPOZYCJA KOTEW- DO WERFIKACJI",IF(L199="-------","",""))</f>
        <v/>
      </c>
      <c r="G199" s="9"/>
      <c r="H199" s="9"/>
      <c r="I199" s="9"/>
      <c r="J199" s="9"/>
      <c r="K199" s="9"/>
      <c r="L199" s="6" t="str">
        <f>IF(E182=$Z$104,"-------",IF(E182=$Z$105,"PSRM10X90F",IF(E182=$Z$106,"-------",IF(E182=$Z$107,"SSZ8X25E A2",0))))</f>
        <v>-------</v>
      </c>
      <c r="M199" s="11" t="str">
        <f>INDEX(cennik!$C$2:$L$529,MATCH($L199,cennik!$B$2:$B$522,0),MATCH(M$104,cennik!$C$1:$L$1,0))</f>
        <v>-------</v>
      </c>
      <c r="N199" s="11">
        <f>INDEX(cennik!$C$2:$L$529,MATCH($L199,cennik!$B$2:$B$522,0),MATCH(N$104,cennik!$C$1:$L$1,0))</f>
        <v>0</v>
      </c>
      <c r="O199" s="11">
        <f>IF(L199="-------",0,IF(L199="PSRM10X90F",O188*6,IF(L199="SSZ8X25E A2",O188*6)))</f>
        <v>0</v>
      </c>
      <c r="P199" s="34">
        <f>INDEX(cennik!$C$2:$L$529,MATCH($L199,cennik!$B$2:$B$522,0),MATCH(P$104,cennik!$C$1:$L$1,0))</f>
        <v>0</v>
      </c>
      <c r="Q199" s="34">
        <f t="shared" si="154"/>
        <v>0</v>
      </c>
      <c r="R199" s="35">
        <f t="shared" si="147"/>
        <v>0</v>
      </c>
      <c r="S199" s="34">
        <f t="shared" si="148"/>
        <v>0</v>
      </c>
      <c r="T199" s="34">
        <f t="shared" si="155"/>
        <v>0</v>
      </c>
      <c r="U199" s="34">
        <f>INDEX(cennik!$C$2:$L$529,MATCH($L199,cennik!$B$2:$B$522,0),MATCH(U$104,cennik!$C$1:$L$1,0))*O199</f>
        <v>0</v>
      </c>
      <c r="V199" s="61"/>
      <c r="W199" s="61"/>
      <c r="X199" s="61"/>
      <c r="Y199" s="63">
        <v>45</v>
      </c>
      <c r="Z199" s="61" t="s">
        <v>35</v>
      </c>
      <c r="AA199" s="61"/>
      <c r="AB199" s="61" t="s">
        <v>149</v>
      </c>
      <c r="AC199" s="61" t="s">
        <v>67</v>
      </c>
      <c r="AD199" s="61">
        <v>45</v>
      </c>
      <c r="AE199" s="61" t="s">
        <v>47</v>
      </c>
      <c r="AF199" s="61" t="s">
        <v>1296</v>
      </c>
      <c r="AG199" s="146" t="s">
        <v>151</v>
      </c>
      <c r="AH199" s="146" t="s">
        <v>151</v>
      </c>
      <c r="AI199" s="61" t="s">
        <v>14</v>
      </c>
      <c r="AJ199" s="61"/>
      <c r="AK199" s="61"/>
      <c r="AL199" s="61"/>
      <c r="AM199" s="61"/>
      <c r="AN199" s="61"/>
      <c r="AO199" s="61"/>
      <c r="AP199" s="61"/>
      <c r="AQ199" s="61"/>
      <c r="AR199" s="61"/>
      <c r="AS199" s="61"/>
      <c r="AT199" s="61"/>
      <c r="AU199" s="61"/>
      <c r="AV199" s="61"/>
      <c r="AW199" s="61"/>
      <c r="AX199" s="61"/>
      <c r="AY199" s="61"/>
      <c r="AZ199" s="61"/>
      <c r="BA199" s="61"/>
      <c r="BB199" s="61"/>
      <c r="BC199" s="61"/>
      <c r="BD199" s="61"/>
      <c r="BE199" s="61"/>
      <c r="BF199" s="61"/>
      <c r="BG199" s="61"/>
      <c r="BH199" s="61"/>
      <c r="BI199" s="61"/>
      <c r="BJ199" s="61"/>
      <c r="BK199" s="61"/>
      <c r="BL199" s="61"/>
      <c r="BM199" s="61"/>
      <c r="BN199" s="61"/>
      <c r="BO199" s="61"/>
      <c r="BP199" s="61"/>
      <c r="BQ199" s="61"/>
      <c r="BR199" s="61"/>
      <c r="BS199" s="61"/>
      <c r="BT199" s="61"/>
      <c r="BU199" s="61"/>
      <c r="BV199" s="61"/>
      <c r="BW199" s="61"/>
      <c r="BX199" s="61"/>
      <c r="BY199" s="61"/>
      <c r="BZ199" s="61"/>
      <c r="CA199" s="61"/>
      <c r="CB199" s="61"/>
      <c r="CC199" s="61"/>
      <c r="CD199" s="61"/>
      <c r="CE199" s="61"/>
      <c r="CF199" s="61"/>
      <c r="CG199" s="61"/>
      <c r="CH199" s="61"/>
      <c r="CI199" s="61"/>
      <c r="CJ199" s="61"/>
      <c r="CK199" s="61"/>
      <c r="CL199" s="61"/>
      <c r="CM199" s="61"/>
      <c r="CN199" s="61"/>
      <c r="CO199" s="61"/>
      <c r="CP199" s="61"/>
      <c r="CQ199" s="61"/>
      <c r="CR199" s="61"/>
      <c r="CS199" s="61"/>
      <c r="CT199" s="61"/>
      <c r="CU199" s="61"/>
      <c r="CV199" s="61"/>
      <c r="CW199" s="61"/>
      <c r="CX199" s="61"/>
      <c r="CY199" s="61"/>
      <c r="CZ199" s="61"/>
      <c r="DA199" s="61"/>
      <c r="DB199" s="61"/>
      <c r="DC199" s="61"/>
      <c r="DD199" s="61"/>
      <c r="DE199" s="61"/>
      <c r="DF199" s="61"/>
      <c r="DG199" s="61"/>
      <c r="DH199" s="61"/>
      <c r="DI199" s="61"/>
      <c r="DJ199" s="61"/>
      <c r="DK199" s="61"/>
      <c r="DL199" s="61"/>
      <c r="DM199" s="61"/>
      <c r="DN199" s="61"/>
      <c r="DO199" s="61"/>
      <c r="DP199" s="61"/>
      <c r="DQ199" s="61"/>
      <c r="DR199" s="61"/>
      <c r="DS199" s="61"/>
      <c r="DT199" s="61"/>
      <c r="DU199" s="61"/>
      <c r="DV199" s="61"/>
      <c r="DW199" s="61"/>
      <c r="DX199" s="61"/>
      <c r="DY199" s="61"/>
      <c r="DZ199" s="61"/>
      <c r="EA199" s="61"/>
      <c r="EB199" s="61"/>
      <c r="EC199" s="61"/>
      <c r="ED199" s="61"/>
      <c r="EE199" s="61"/>
      <c r="EF199" s="61"/>
      <c r="EG199" s="61"/>
      <c r="EH199" s="61"/>
      <c r="EI199" s="61"/>
      <c r="EJ199" s="61"/>
      <c r="EK199" s="61"/>
      <c r="EL199" s="61"/>
      <c r="EM199" s="61"/>
      <c r="EN199" s="61"/>
      <c r="EO199" s="61"/>
      <c r="EP199" s="61"/>
      <c r="EQ199" s="61"/>
      <c r="ER199" s="61"/>
      <c r="ES199" s="61"/>
      <c r="ET199" s="61"/>
      <c r="EU199" s="61"/>
      <c r="EV199" s="61" t="s">
        <v>214</v>
      </c>
      <c r="EW199" s="61">
        <v>0</v>
      </c>
      <c r="EX199" s="61">
        <v>0</v>
      </c>
      <c r="EY199" s="61">
        <v>2</v>
      </c>
      <c r="EZ199" s="61">
        <v>2</v>
      </c>
      <c r="FA199" s="61">
        <v>4</v>
      </c>
      <c r="FB199" s="61">
        <v>2</v>
      </c>
      <c r="FC199" s="61">
        <v>6</v>
      </c>
      <c r="FD199" s="61">
        <v>6</v>
      </c>
      <c r="FE199" s="61">
        <v>8</v>
      </c>
      <c r="FF199" s="61">
        <v>0</v>
      </c>
      <c r="FG199" s="61">
        <v>8</v>
      </c>
      <c r="FH199" s="61"/>
      <c r="FI199" s="61" t="s">
        <v>212</v>
      </c>
      <c r="FJ199" s="61">
        <v>0</v>
      </c>
      <c r="FK199" s="61">
        <v>0</v>
      </c>
      <c r="FL199" s="61">
        <f t="shared" si="153"/>
        <v>0</v>
      </c>
      <c r="FM199" s="61">
        <v>2</v>
      </c>
      <c r="FN199" s="61">
        <v>4</v>
      </c>
      <c r="FO199" s="61">
        <v>2</v>
      </c>
      <c r="FP199" s="61">
        <v>0</v>
      </c>
      <c r="FQ199" s="61">
        <v>6</v>
      </c>
      <c r="FR199" s="61">
        <v>0</v>
      </c>
      <c r="FS199" s="61">
        <v>2</v>
      </c>
      <c r="FT199" s="61">
        <v>4</v>
      </c>
      <c r="FU199" s="61"/>
      <c r="FV199" s="61"/>
      <c r="FW199" s="61"/>
      <c r="FX199" s="61"/>
      <c r="FY199" s="61"/>
      <c r="FZ199" s="61"/>
      <c r="GA199" s="60" t="s">
        <v>470</v>
      </c>
      <c r="HV199" s="60" t="s">
        <v>853</v>
      </c>
      <c r="HW199" s="60">
        <v>0</v>
      </c>
      <c r="HX199" s="60">
        <v>0</v>
      </c>
      <c r="HY199" s="60">
        <v>2</v>
      </c>
      <c r="HZ199" s="60">
        <v>4</v>
      </c>
      <c r="IA199" s="60">
        <v>4</v>
      </c>
      <c r="IB199" s="60">
        <v>6</v>
      </c>
      <c r="IC199" s="60">
        <v>8</v>
      </c>
      <c r="ID199" s="60">
        <v>8</v>
      </c>
      <c r="IE199" s="60">
        <v>10</v>
      </c>
      <c r="IF199" s="60">
        <v>12</v>
      </c>
      <c r="IG199" s="60">
        <v>14</v>
      </c>
      <c r="IH199" s="60">
        <v>14</v>
      </c>
      <c r="II199" s="60">
        <v>16</v>
      </c>
      <c r="IJ199" s="60">
        <v>18</v>
      </c>
      <c r="IK199" s="60">
        <v>20</v>
      </c>
      <c r="IL199" s="60">
        <v>20</v>
      </c>
      <c r="IM199" s="60">
        <v>22</v>
      </c>
      <c r="IN199" s="60">
        <v>24</v>
      </c>
      <c r="IO199" s="60">
        <v>26</v>
      </c>
      <c r="IP199" s="60">
        <v>26</v>
      </c>
      <c r="IQ199" s="60">
        <v>28</v>
      </c>
      <c r="IS199" s="60" t="s">
        <v>853</v>
      </c>
      <c r="IT199" s="60">
        <f t="shared" si="125"/>
        <v>0</v>
      </c>
      <c r="IU199" s="60">
        <f t="shared" si="126"/>
        <v>0</v>
      </c>
      <c r="IV199" s="60">
        <f t="shared" si="127"/>
        <v>4</v>
      </c>
      <c r="IW199" s="60">
        <f t="shared" si="128"/>
        <v>8</v>
      </c>
      <c r="IX199" s="60">
        <f t="shared" si="129"/>
        <v>8</v>
      </c>
      <c r="IY199" s="60">
        <f t="shared" si="130"/>
        <v>12</v>
      </c>
      <c r="IZ199" s="60">
        <f t="shared" si="131"/>
        <v>16</v>
      </c>
      <c r="JA199" s="60">
        <f t="shared" si="132"/>
        <v>16</v>
      </c>
      <c r="JB199" s="60">
        <f t="shared" si="122"/>
        <v>20</v>
      </c>
      <c r="JC199" s="60">
        <f t="shared" si="133"/>
        <v>24</v>
      </c>
      <c r="JD199" s="60">
        <f t="shared" si="134"/>
        <v>28</v>
      </c>
      <c r="JE199" s="60">
        <f t="shared" si="135"/>
        <v>28</v>
      </c>
      <c r="JF199" s="60">
        <f t="shared" si="136"/>
        <v>32</v>
      </c>
      <c r="JG199" s="60">
        <f t="shared" si="137"/>
        <v>36</v>
      </c>
      <c r="JH199" s="60">
        <f t="shared" si="138"/>
        <v>40</v>
      </c>
      <c r="JI199" s="60">
        <f t="shared" si="139"/>
        <v>40</v>
      </c>
      <c r="JJ199" s="60">
        <f t="shared" si="140"/>
        <v>44</v>
      </c>
      <c r="JK199" s="60">
        <f t="shared" si="141"/>
        <v>48</v>
      </c>
      <c r="JL199" s="60">
        <f t="shared" si="142"/>
        <v>52</v>
      </c>
      <c r="JM199" s="60">
        <f t="shared" si="143"/>
        <v>52</v>
      </c>
      <c r="JN199" s="60">
        <f t="shared" si="144"/>
        <v>56</v>
      </c>
    </row>
    <row r="200" spans="1:274" x14ac:dyDescent="0.25">
      <c r="A200" s="9"/>
      <c r="B200" s="9"/>
      <c r="C200" s="9"/>
      <c r="D200" s="9"/>
      <c r="E200" s="9"/>
      <c r="F200" s="9"/>
      <c r="G200" s="9"/>
      <c r="H200" s="9"/>
      <c r="I200" s="9"/>
      <c r="J200" s="9"/>
      <c r="K200" s="9"/>
      <c r="L200" s="6" t="s">
        <v>67</v>
      </c>
      <c r="M200" s="11">
        <f>INDEX(cennik!$C$2:$L$529,MATCH($L200,cennik!$B$2:$B$522,0),MATCH(M$104,cennik!$C$1:$L$1,0))</f>
        <v>890008</v>
      </c>
      <c r="N200" s="11" t="str">
        <f>INDEX(cennik!$C$2:$L$529,MATCH($L200,cennik!$B$2:$B$522,0),MATCH(N$104,cennik!$C$1:$L$1,0))</f>
        <v>100 szt.</v>
      </c>
      <c r="O200" s="11">
        <f>ROUNDUP(O198/100,0)</f>
        <v>0</v>
      </c>
      <c r="P200" s="34">
        <f>INDEX(cennik!$C$2:$L$529,MATCH($L200,cennik!$B$2:$B$522,0),MATCH(P$104,cennik!$C$1:$L$1,0))</f>
        <v>28.15</v>
      </c>
      <c r="Q200" s="34">
        <f t="shared" si="154"/>
        <v>0</v>
      </c>
      <c r="R200" s="35">
        <f t="shared" si="147"/>
        <v>0</v>
      </c>
      <c r="S200" s="34">
        <f t="shared" si="148"/>
        <v>28.15</v>
      </c>
      <c r="T200" s="34">
        <f t="shared" si="155"/>
        <v>0</v>
      </c>
      <c r="U200" s="34">
        <f>INDEX(cennik!$C$2:$L$529,MATCH($L200,cennik!$B$2:$B$522,0),MATCH(U$104,cennik!$C$1:$L$1,0))*O200</f>
        <v>0</v>
      </c>
      <c r="V200" s="61"/>
      <c r="W200" s="61">
        <v>2000</v>
      </c>
      <c r="X200" s="61">
        <f t="shared" ref="X200:X215" si="156">(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g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+1,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l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+2,0)))*C205</f>
        <v>0</v>
      </c>
      <c r="Y200" s="63">
        <v>50</v>
      </c>
      <c r="Z200" s="61" t="s">
        <v>36</v>
      </c>
      <c r="AA200" s="61" t="s">
        <v>37</v>
      </c>
      <c r="AB200" s="61" t="s">
        <v>150</v>
      </c>
      <c r="AC200" s="61" t="s">
        <v>67</v>
      </c>
      <c r="AD200" s="61">
        <v>50</v>
      </c>
      <c r="AE200" s="61" t="s">
        <v>48</v>
      </c>
      <c r="AF200" s="61" t="s">
        <v>1297</v>
      </c>
      <c r="AG200" s="146" t="s">
        <v>151</v>
      </c>
      <c r="AH200" s="146" t="s">
        <v>151</v>
      </c>
      <c r="AI200" s="61" t="s">
        <v>14</v>
      </c>
      <c r="AJ200" s="61"/>
      <c r="AK200" s="61"/>
      <c r="AL200" s="61"/>
      <c r="AM200" s="61"/>
      <c r="AN200" s="61"/>
      <c r="AO200" s="61"/>
      <c r="AP200" s="61"/>
      <c r="AQ200" s="61"/>
      <c r="AR200" s="61"/>
      <c r="AS200" s="61"/>
      <c r="AT200" s="61"/>
      <c r="AU200" s="61"/>
      <c r="AV200" s="61"/>
      <c r="AW200" s="142"/>
      <c r="AX200" s="61"/>
      <c r="AY200" s="61"/>
      <c r="AZ200" s="61"/>
      <c r="BA200" s="61"/>
      <c r="BB200" s="61"/>
      <c r="BC200" s="61"/>
      <c r="BD200" s="61"/>
      <c r="BE200" s="61"/>
      <c r="BF200" s="61"/>
      <c r="BG200" s="61"/>
      <c r="BH200" s="61"/>
      <c r="BI200" s="61"/>
      <c r="BJ200" s="61"/>
      <c r="BK200" s="61"/>
      <c r="BL200" s="61"/>
      <c r="BM200" s="61"/>
      <c r="BN200" s="61"/>
      <c r="BO200" s="61"/>
      <c r="BP200" s="61"/>
      <c r="BQ200" s="61"/>
      <c r="BR200" s="61"/>
      <c r="BS200" s="61"/>
      <c r="BT200" s="61"/>
      <c r="BU200" s="61"/>
      <c r="BV200" s="61"/>
      <c r="BW200" s="61"/>
      <c r="BX200" s="61"/>
      <c r="BY200" s="61"/>
      <c r="BZ200" s="61"/>
      <c r="CA200" s="61"/>
      <c r="CB200" s="61"/>
      <c r="CC200" s="61"/>
      <c r="CD200" s="61"/>
      <c r="CE200" s="61"/>
      <c r="CF200" s="61"/>
      <c r="CG200" s="61"/>
      <c r="CH200" s="61"/>
      <c r="CI200" s="61"/>
      <c r="CJ200" s="61"/>
      <c r="CK200" s="61"/>
      <c r="CL200" s="61"/>
      <c r="CM200" s="61" t="s">
        <v>480</v>
      </c>
      <c r="CN200" s="61">
        <v>0</v>
      </c>
      <c r="CO200" s="61">
        <v>1</v>
      </c>
      <c r="CP200" s="61">
        <v>2</v>
      </c>
      <c r="CQ200" s="61">
        <v>3</v>
      </c>
      <c r="CR200" s="61">
        <v>4</v>
      </c>
      <c r="CS200" s="61">
        <v>5</v>
      </c>
      <c r="CT200" s="61">
        <v>6</v>
      </c>
      <c r="CU200" s="61">
        <v>7</v>
      </c>
      <c r="CV200" s="61">
        <v>8</v>
      </c>
      <c r="CW200" s="61">
        <v>9</v>
      </c>
      <c r="CX200" s="61">
        <v>10</v>
      </c>
      <c r="CY200" s="61">
        <v>11</v>
      </c>
      <c r="CZ200" s="61">
        <v>12</v>
      </c>
      <c r="DA200" s="61">
        <v>13</v>
      </c>
      <c r="DB200" s="61">
        <v>14</v>
      </c>
      <c r="DC200" s="61">
        <v>15</v>
      </c>
      <c r="DD200" s="61">
        <v>16</v>
      </c>
      <c r="DE200" s="61">
        <v>17</v>
      </c>
      <c r="DF200" s="61">
        <v>18</v>
      </c>
      <c r="DG200" s="61">
        <v>19</v>
      </c>
      <c r="DH200" s="61">
        <v>20</v>
      </c>
      <c r="DI200" s="61"/>
      <c r="DJ200" s="61"/>
      <c r="DK200" s="61"/>
      <c r="DL200" s="61"/>
      <c r="DM200" s="61"/>
      <c r="DN200" s="61"/>
      <c r="DO200" s="61"/>
      <c r="DP200" s="61"/>
      <c r="DQ200" s="61"/>
      <c r="DR200" s="61"/>
      <c r="DS200" s="61"/>
      <c r="DT200" s="61"/>
      <c r="DU200" s="61"/>
      <c r="DV200" s="61"/>
      <c r="DW200" s="61"/>
      <c r="DX200" s="61"/>
      <c r="DY200" s="61"/>
      <c r="DZ200" s="61"/>
      <c r="EA200" s="61"/>
      <c r="EB200" s="61"/>
      <c r="EC200" s="61"/>
      <c r="ED200" s="61"/>
      <c r="EE200" s="61"/>
      <c r="EF200" s="61"/>
      <c r="EG200" s="61"/>
      <c r="EH200" s="61"/>
      <c r="EI200" s="61"/>
      <c r="EJ200" s="61"/>
      <c r="EK200" s="61"/>
      <c r="EL200" s="61"/>
      <c r="EM200" s="61"/>
      <c r="EN200" s="61"/>
      <c r="EO200" s="61"/>
      <c r="EP200" s="61"/>
      <c r="EQ200" s="61"/>
      <c r="ER200" s="61"/>
      <c r="ES200" s="61"/>
      <c r="ET200" s="61"/>
      <c r="EU200" s="61"/>
      <c r="EV200" s="61" t="s">
        <v>11</v>
      </c>
      <c r="EW200" s="61">
        <v>0</v>
      </c>
      <c r="EX200" s="61">
        <v>0</v>
      </c>
      <c r="EY200" s="61">
        <v>0</v>
      </c>
      <c r="EZ200" s="61">
        <v>2</v>
      </c>
      <c r="FA200" s="61">
        <v>2</v>
      </c>
      <c r="FB200" s="61">
        <v>4</v>
      </c>
      <c r="FC200" s="61">
        <v>4</v>
      </c>
      <c r="FD200" s="61">
        <v>6</v>
      </c>
      <c r="FE200" s="61">
        <v>6</v>
      </c>
      <c r="FF200" s="61">
        <v>8</v>
      </c>
      <c r="FG200" s="61">
        <v>8</v>
      </c>
      <c r="FH200" s="61"/>
      <c r="FI200" s="61" t="s">
        <v>214</v>
      </c>
      <c r="FJ200" s="61">
        <v>0</v>
      </c>
      <c r="FK200" s="61">
        <v>0</v>
      </c>
      <c r="FL200" s="61">
        <f t="shared" si="153"/>
        <v>0</v>
      </c>
      <c r="FM200" s="61">
        <v>0</v>
      </c>
      <c r="FN200" s="61">
        <v>0</v>
      </c>
      <c r="FO200" s="61">
        <v>2</v>
      </c>
      <c r="FP200" s="61">
        <v>6</v>
      </c>
      <c r="FQ200" s="61">
        <v>2</v>
      </c>
      <c r="FR200" s="61">
        <v>4</v>
      </c>
      <c r="FS200" s="61">
        <v>8</v>
      </c>
      <c r="FT200" s="61">
        <v>4</v>
      </c>
      <c r="FU200" s="61"/>
      <c r="FV200" s="61"/>
      <c r="FW200" s="61"/>
      <c r="FX200" s="61"/>
      <c r="FY200" s="61"/>
      <c r="FZ200" s="61"/>
      <c r="GB200" s="60">
        <v>0</v>
      </c>
      <c r="GC200" s="60">
        <v>1</v>
      </c>
      <c r="GD200" s="60">
        <v>2</v>
      </c>
      <c r="GE200" s="60">
        <v>3</v>
      </c>
      <c r="GF200" s="60">
        <v>4</v>
      </c>
      <c r="GG200" s="60">
        <v>5</v>
      </c>
      <c r="GH200" s="60">
        <v>6</v>
      </c>
      <c r="GI200" s="60">
        <v>7</v>
      </c>
      <c r="GJ200" s="60">
        <v>8</v>
      </c>
      <c r="GK200" s="60">
        <v>9</v>
      </c>
      <c r="GL200" s="60">
        <v>10</v>
      </c>
      <c r="GM200" s="60">
        <v>11</v>
      </c>
      <c r="GN200" s="60">
        <v>12</v>
      </c>
      <c r="GO200" s="60">
        <v>13</v>
      </c>
      <c r="GP200" s="60">
        <v>14</v>
      </c>
      <c r="GQ200" s="60">
        <v>15</v>
      </c>
      <c r="GR200" s="60">
        <v>16</v>
      </c>
      <c r="GS200" s="60">
        <v>17</v>
      </c>
      <c r="GT200" s="60">
        <v>18</v>
      </c>
      <c r="GU200" s="60">
        <v>19</v>
      </c>
      <c r="GV200" s="60">
        <v>20</v>
      </c>
      <c r="GX200" s="60" t="s">
        <v>763</v>
      </c>
    </row>
    <row r="201" spans="1:274" x14ac:dyDescent="0.25">
      <c r="A201" s="9"/>
      <c r="B201" s="9"/>
      <c r="C201" s="9"/>
      <c r="D201" s="9"/>
      <c r="E201" s="9"/>
      <c r="F201" s="9"/>
      <c r="G201" s="9"/>
      <c r="H201" s="9"/>
      <c r="I201" s="9"/>
      <c r="J201" s="9"/>
      <c r="K201" s="9"/>
      <c r="L201" s="6" t="s">
        <v>396</v>
      </c>
      <c r="M201" s="11">
        <f>INDEX(cennik!$C$2:$L$529,MATCH($L201,cennik!$B$2:$B$522,0),MATCH(M$104,cennik!$C$1:$L$1,0))</f>
        <v>890404</v>
      </c>
      <c r="N201" s="11" t="str">
        <f>INDEX(cennik!$C$2:$L$529,MATCH($L201,cennik!$B$2:$B$522,0),MATCH(N$104,cennik!$C$1:$L$1,0))</f>
        <v>szt.</v>
      </c>
      <c r="O201" s="11">
        <f>SUM(C178:C193)*4</f>
        <v>0</v>
      </c>
      <c r="P201" s="34">
        <f>INDEX(cennik!$C$2:$L$529,MATCH($L201,cennik!$B$2:$B$522,0),MATCH(P$104,cennik!$C$1:$L$1,0))</f>
        <v>0.7</v>
      </c>
      <c r="Q201" s="34">
        <f t="shared" si="154"/>
        <v>0</v>
      </c>
      <c r="R201" s="35">
        <f t="shared" si="147"/>
        <v>0</v>
      </c>
      <c r="S201" s="34">
        <f t="shared" si="148"/>
        <v>0.7</v>
      </c>
      <c r="T201" s="34">
        <f t="shared" si="155"/>
        <v>0</v>
      </c>
      <c r="U201" s="34">
        <f>INDEX(cennik!$C$2:$L$529,MATCH($L201,cennik!$B$2:$B$522,0),MATCH(U$104,cennik!$C$1:$L$1,0))*O201</f>
        <v>0</v>
      </c>
      <c r="W201" s="61"/>
      <c r="X201" s="61">
        <f t="shared" si="156"/>
        <v>0</v>
      </c>
      <c r="Y201" s="63"/>
      <c r="Z201" s="61" t="s">
        <v>13</v>
      </c>
      <c r="AA201" s="61" t="s">
        <v>77</v>
      </c>
      <c r="AB201" s="61"/>
      <c r="AC201" s="61"/>
      <c r="AD201" s="61"/>
      <c r="AE201" s="61" t="s">
        <v>6</v>
      </c>
      <c r="AF201" s="61" t="s">
        <v>78</v>
      </c>
      <c r="AG201" s="61"/>
      <c r="AH201" s="61"/>
      <c r="AI201" s="61"/>
      <c r="AJ201" s="61"/>
      <c r="AK201" s="61"/>
      <c r="AL201" s="61"/>
      <c r="AM201" s="61"/>
      <c r="AN201" s="61"/>
      <c r="AP201" s="61"/>
      <c r="AQ201" s="61"/>
      <c r="AR201" s="61"/>
      <c r="AS201" s="61"/>
      <c r="AT201" s="61"/>
      <c r="AU201" s="61"/>
      <c r="AV201" s="61"/>
      <c r="AW201" s="61"/>
      <c r="AX201" s="61"/>
      <c r="AY201" s="61"/>
      <c r="AZ201" s="61"/>
      <c r="BA201" s="61"/>
      <c r="BB201" s="61"/>
      <c r="BC201" s="61"/>
      <c r="BD201" s="61"/>
      <c r="BE201" s="61"/>
      <c r="BF201" s="61"/>
      <c r="BG201" s="61"/>
      <c r="BH201" s="61"/>
      <c r="BI201" s="61"/>
      <c r="BJ201" s="61"/>
      <c r="BK201" s="61"/>
      <c r="BL201" s="61"/>
      <c r="BM201" s="61"/>
      <c r="BN201" s="61"/>
      <c r="BO201" s="61"/>
      <c r="BP201" s="61"/>
      <c r="BQ201" s="61"/>
      <c r="BR201" s="61"/>
      <c r="BS201" s="61"/>
      <c r="BT201" s="61"/>
      <c r="BU201" s="61"/>
      <c r="BV201" s="61"/>
      <c r="BW201" s="61"/>
      <c r="BX201" s="61"/>
      <c r="BY201" s="61"/>
      <c r="BZ201" s="61"/>
      <c r="CA201" s="61"/>
      <c r="CB201" s="61"/>
      <c r="CC201" s="61"/>
      <c r="CD201" s="61"/>
      <c r="CE201" s="61"/>
      <c r="CF201" s="61"/>
      <c r="CG201" s="61"/>
      <c r="CH201" s="61"/>
      <c r="CI201" s="61"/>
      <c r="CJ201" s="61"/>
      <c r="CK201" s="61"/>
      <c r="CL201" s="61"/>
      <c r="CM201" s="61" t="s">
        <v>127</v>
      </c>
      <c r="CN201" s="61">
        <v>0</v>
      </c>
      <c r="CO201" s="61">
        <v>2</v>
      </c>
      <c r="CP201" s="61">
        <v>0</v>
      </c>
      <c r="CQ201" s="61">
        <v>4</v>
      </c>
      <c r="CR201" s="61">
        <v>2</v>
      </c>
      <c r="CS201" s="61">
        <v>0</v>
      </c>
      <c r="CT201" s="61">
        <v>4</v>
      </c>
      <c r="CU201" s="61">
        <v>2</v>
      </c>
      <c r="CV201" s="61">
        <v>0</v>
      </c>
      <c r="CW201" s="61">
        <v>4</v>
      </c>
      <c r="CX201" s="61">
        <v>2</v>
      </c>
      <c r="CY201" s="61">
        <v>0</v>
      </c>
      <c r="CZ201" s="61">
        <v>4</v>
      </c>
      <c r="DA201" s="61">
        <v>2</v>
      </c>
      <c r="DB201" s="61">
        <v>0</v>
      </c>
      <c r="DC201" s="61">
        <v>2</v>
      </c>
      <c r="DD201" s="61">
        <v>0</v>
      </c>
      <c r="DE201" s="61">
        <v>4</v>
      </c>
      <c r="DF201" s="61">
        <v>2</v>
      </c>
      <c r="DG201" s="61">
        <v>0</v>
      </c>
      <c r="DH201" s="61">
        <v>4</v>
      </c>
      <c r="DI201" s="61"/>
      <c r="DJ201" s="61"/>
      <c r="DK201" s="61"/>
      <c r="DL201" s="61"/>
      <c r="DM201" s="61"/>
      <c r="DN201" s="61"/>
      <c r="DO201" s="61"/>
      <c r="DP201" s="61"/>
      <c r="DQ201" s="61"/>
      <c r="DR201" s="61"/>
      <c r="DS201" s="61"/>
      <c r="DT201" s="61"/>
      <c r="DU201" s="61"/>
      <c r="DV201" s="61"/>
      <c r="DW201" s="61"/>
      <c r="DX201" s="61"/>
      <c r="DY201" s="61"/>
      <c r="DZ201" s="61"/>
      <c r="EA201" s="61"/>
      <c r="EB201" s="61"/>
      <c r="EC201" s="61"/>
      <c r="ED201" s="61"/>
      <c r="EE201" s="61"/>
      <c r="EF201" s="61"/>
      <c r="EG201" s="61"/>
      <c r="EH201" s="61"/>
      <c r="EI201" s="61"/>
      <c r="EJ201" s="61"/>
      <c r="EK201" s="61"/>
      <c r="EL201" s="61"/>
      <c r="EM201" s="61"/>
      <c r="EN201" s="61"/>
      <c r="EO201" s="61"/>
      <c r="EP201" s="61"/>
      <c r="EQ201" s="61"/>
      <c r="ER201" s="61"/>
      <c r="ES201" s="61"/>
      <c r="ET201" s="61"/>
      <c r="EU201" s="61"/>
      <c r="FH201" s="61"/>
      <c r="FI201" s="61" t="s">
        <v>11</v>
      </c>
      <c r="FJ201" s="61">
        <v>0</v>
      </c>
      <c r="FK201" s="61">
        <v>0</v>
      </c>
      <c r="FL201" s="61">
        <f t="shared" si="153"/>
        <v>0</v>
      </c>
      <c r="FM201" s="61">
        <v>2</v>
      </c>
      <c r="FN201" s="61">
        <v>4</v>
      </c>
      <c r="FO201" s="61">
        <v>4</v>
      </c>
      <c r="FP201" s="61">
        <v>6</v>
      </c>
      <c r="FQ201" s="61">
        <v>6</v>
      </c>
      <c r="FR201" s="61">
        <v>8</v>
      </c>
      <c r="FS201" s="61">
        <v>8</v>
      </c>
      <c r="FT201" s="61">
        <v>10</v>
      </c>
      <c r="FU201" s="61"/>
      <c r="FV201" s="61"/>
      <c r="FW201" s="61"/>
      <c r="FX201" s="61"/>
      <c r="FY201" s="61"/>
      <c r="FZ201" s="61"/>
      <c r="GA201" s="145" t="s">
        <v>866</v>
      </c>
      <c r="GB201" s="60">
        <v>0</v>
      </c>
      <c r="GC201" s="60">
        <v>1</v>
      </c>
      <c r="GD201" s="60">
        <v>0</v>
      </c>
      <c r="GE201" s="60">
        <v>1</v>
      </c>
      <c r="GF201" s="60">
        <v>1</v>
      </c>
      <c r="GG201" s="60">
        <v>1</v>
      </c>
      <c r="GH201" s="60">
        <v>7</v>
      </c>
      <c r="GI201" s="60">
        <v>8</v>
      </c>
      <c r="GJ201" s="60">
        <v>8</v>
      </c>
      <c r="GK201" s="60">
        <v>8</v>
      </c>
      <c r="GL201" s="60">
        <v>3</v>
      </c>
      <c r="GM201" s="60">
        <v>3</v>
      </c>
      <c r="GN201" s="60">
        <v>3</v>
      </c>
      <c r="GO201" s="60">
        <v>4</v>
      </c>
      <c r="GP201" s="60">
        <v>4</v>
      </c>
      <c r="GQ201" s="60">
        <v>4</v>
      </c>
      <c r="GR201" s="60">
        <v>5</v>
      </c>
      <c r="GS201" s="60">
        <v>5</v>
      </c>
      <c r="GT201" s="60">
        <v>5</v>
      </c>
      <c r="GU201" s="60">
        <v>0</v>
      </c>
      <c r="GV201" s="60">
        <v>0</v>
      </c>
      <c r="GY201" s="60">
        <v>0</v>
      </c>
      <c r="GZ201" s="60">
        <v>1</v>
      </c>
      <c r="HA201" s="60">
        <v>2</v>
      </c>
      <c r="HB201" s="60">
        <v>3</v>
      </c>
      <c r="HC201" s="60">
        <v>4</v>
      </c>
      <c r="HD201" s="60">
        <v>5</v>
      </c>
      <c r="HE201" s="60">
        <v>6</v>
      </c>
      <c r="HF201" s="60">
        <v>7</v>
      </c>
      <c r="HG201" s="60">
        <v>8</v>
      </c>
      <c r="HH201" s="60">
        <v>9</v>
      </c>
      <c r="HI201" s="60">
        <v>10</v>
      </c>
      <c r="HJ201" s="60">
        <v>11</v>
      </c>
      <c r="HK201" s="60">
        <v>12</v>
      </c>
      <c r="HL201" s="60">
        <v>13</v>
      </c>
      <c r="HM201" s="60">
        <v>14</v>
      </c>
      <c r="HN201" s="60">
        <v>15</v>
      </c>
      <c r="HO201" s="60">
        <v>16</v>
      </c>
      <c r="HP201" s="60">
        <v>17</v>
      </c>
      <c r="HQ201" s="60">
        <v>18</v>
      </c>
      <c r="HR201" s="60">
        <v>19</v>
      </c>
      <c r="HS201" s="60">
        <v>20</v>
      </c>
      <c r="HU201" s="143"/>
      <c r="HV201" s="141" t="s">
        <v>832</v>
      </c>
      <c r="IS201" s="60" t="s">
        <v>832</v>
      </c>
    </row>
    <row r="202" spans="1:274" x14ac:dyDescent="0.25">
      <c r="A202" s="9"/>
      <c r="B202" s="9"/>
      <c r="C202" s="9"/>
      <c r="D202" s="9"/>
      <c r="E202" s="9"/>
      <c r="F202" s="9"/>
      <c r="G202" s="9"/>
      <c r="H202" s="9"/>
      <c r="I202" s="9"/>
      <c r="J202" s="9"/>
      <c r="K202" s="9"/>
      <c r="L202" s="6" t="s">
        <v>1019</v>
      </c>
      <c r="M202" s="11">
        <f>INDEX(cennik!$C$2:$L$529,MATCH($L202,cennik!$B$2:$B$522,0),MATCH(M$104,cennik!$C$1:$L$1,0))</f>
        <v>166794</v>
      </c>
      <c r="N202" s="11" t="str">
        <f>INDEX(cennik!$C$2:$L$529,MATCH($L202,cennik!$B$2:$B$522,0),MATCH(N$104,cennik!$C$1:$L$1,0))</f>
        <v>100 szt.</v>
      </c>
      <c r="O202" s="11">
        <f>ROUNDUP((O191/100),0)</f>
        <v>0</v>
      </c>
      <c r="P202" s="34">
        <f>INDEX(cennik!$C$2:$L$529,MATCH($L202,cennik!$B$2:$B$522,0),MATCH(P$104,cennik!$C$1:$L$1,0))</f>
        <v>3.95</v>
      </c>
      <c r="Q202" s="34">
        <f t="shared" si="154"/>
        <v>0</v>
      </c>
      <c r="R202" s="35">
        <f t="shared" si="147"/>
        <v>0</v>
      </c>
      <c r="S202" s="34">
        <f t="shared" si="148"/>
        <v>3.95</v>
      </c>
      <c r="T202" s="34">
        <f t="shared" si="155"/>
        <v>0</v>
      </c>
      <c r="U202" s="34">
        <f>INDEX(cennik!$C$2:$L$529,MATCH($L202,cennik!$B$2:$B$522,0),MATCH(U$104,cennik!$C$1:$L$1,0))*O202</f>
        <v>0</v>
      </c>
      <c r="V202" s="61" t="s">
        <v>838</v>
      </c>
      <c r="W202" s="61" t="s">
        <v>837</v>
      </c>
      <c r="X202" s="61">
        <f t="shared" si="156"/>
        <v>0</v>
      </c>
      <c r="Y202" s="61"/>
      <c r="Z202" s="61"/>
      <c r="AA202" s="61"/>
      <c r="AB202" s="61"/>
      <c r="AC202" s="61"/>
      <c r="AD202" s="61" t="s">
        <v>838</v>
      </c>
      <c r="AE202" s="61" t="s">
        <v>837</v>
      </c>
      <c r="AF202" s="61" t="s">
        <v>837</v>
      </c>
      <c r="AG202" s="61" t="s">
        <v>885</v>
      </c>
      <c r="AH202" s="61"/>
      <c r="AI202" s="61"/>
      <c r="AJ202" s="61"/>
      <c r="AK202" s="61"/>
      <c r="AL202" s="61"/>
      <c r="AM202" s="61"/>
      <c r="AN202" s="61"/>
      <c r="AO202" s="61"/>
      <c r="AP202" s="61"/>
      <c r="AQ202" s="61"/>
      <c r="AR202" s="61"/>
      <c r="AS202" s="61" t="s">
        <v>885</v>
      </c>
      <c r="AT202" s="61"/>
      <c r="AV202" s="61"/>
      <c r="AW202" s="61"/>
      <c r="AX202" s="61"/>
      <c r="AY202" s="61"/>
      <c r="AZ202" s="61"/>
      <c r="BA202" s="61"/>
      <c r="BB202" s="61"/>
      <c r="BC202" s="61"/>
      <c r="BD202" s="61"/>
      <c r="BE202" s="61"/>
      <c r="BF202" s="61"/>
      <c r="BG202" s="61"/>
      <c r="BH202" s="61"/>
      <c r="BI202" s="61"/>
      <c r="BJ202" s="61"/>
      <c r="BK202" s="61"/>
      <c r="BL202" s="61"/>
      <c r="BM202" s="61"/>
      <c r="BN202" s="61"/>
      <c r="BO202" s="61"/>
      <c r="BP202" s="61"/>
      <c r="BQ202" s="61"/>
      <c r="BR202" s="61"/>
      <c r="BS202" s="61"/>
      <c r="BT202" s="61"/>
      <c r="BU202" s="61"/>
      <c r="BV202" s="61"/>
      <c r="BW202" s="61"/>
      <c r="BX202" s="61"/>
      <c r="BY202" s="61"/>
      <c r="BZ202" s="61"/>
      <c r="CA202" s="61"/>
      <c r="CB202" s="61"/>
      <c r="CC202" s="61"/>
      <c r="CD202" s="61"/>
      <c r="CE202" s="61"/>
      <c r="CF202" s="61"/>
      <c r="CG202" s="61"/>
      <c r="CH202" s="61"/>
      <c r="CI202" s="61"/>
      <c r="CJ202" s="61"/>
      <c r="CK202" s="61"/>
      <c r="CL202" s="61"/>
      <c r="CM202" s="61" t="s">
        <v>19</v>
      </c>
      <c r="CN202" s="61">
        <v>0</v>
      </c>
      <c r="CO202" s="61">
        <v>0</v>
      </c>
      <c r="CP202" s="61">
        <v>2</v>
      </c>
      <c r="CQ202" s="61">
        <v>0</v>
      </c>
      <c r="CR202" s="61">
        <v>2</v>
      </c>
      <c r="CS202" s="61">
        <v>4</v>
      </c>
      <c r="CT202" s="61">
        <v>2</v>
      </c>
      <c r="CU202" s="61">
        <v>4</v>
      </c>
      <c r="CV202" s="61">
        <v>6</v>
      </c>
      <c r="CW202" s="61">
        <v>4</v>
      </c>
      <c r="CX202" s="61">
        <v>6</v>
      </c>
      <c r="CY202" s="61">
        <v>8</v>
      </c>
      <c r="CZ202" s="61">
        <v>6</v>
      </c>
      <c r="DA202" s="61">
        <v>8</v>
      </c>
      <c r="DB202" s="61">
        <v>10</v>
      </c>
      <c r="DC202" s="61">
        <v>10</v>
      </c>
      <c r="DD202" s="61">
        <v>12</v>
      </c>
      <c r="DE202" s="61">
        <v>10</v>
      </c>
      <c r="DF202" s="61">
        <v>12</v>
      </c>
      <c r="DG202" s="61">
        <v>14</v>
      </c>
      <c r="DH202" s="61">
        <v>12</v>
      </c>
      <c r="DI202" s="61"/>
      <c r="DJ202" s="61"/>
      <c r="DK202" s="61"/>
      <c r="DL202" s="61"/>
      <c r="DM202" s="61"/>
      <c r="DN202" s="61"/>
      <c r="DO202" s="61"/>
      <c r="DP202" s="61"/>
      <c r="DQ202" s="61"/>
      <c r="DR202" s="61"/>
      <c r="DS202" s="61"/>
      <c r="DT202" s="61"/>
      <c r="DU202" s="61"/>
      <c r="DV202" s="61"/>
      <c r="DW202" s="61"/>
      <c r="DX202" s="61"/>
      <c r="DY202" s="61"/>
      <c r="DZ202" s="61"/>
      <c r="EA202" s="61"/>
      <c r="EB202" s="61"/>
      <c r="EC202" s="61"/>
      <c r="ED202" s="61"/>
      <c r="EE202" s="61"/>
      <c r="EF202" s="61"/>
      <c r="EG202" s="61"/>
      <c r="EH202" s="61"/>
      <c r="EI202" s="61"/>
      <c r="EJ202" s="61"/>
      <c r="EK202" s="61"/>
      <c r="EL202" s="61"/>
      <c r="EM202" s="61"/>
      <c r="EN202" s="61"/>
      <c r="EO202" s="61"/>
      <c r="EP202" s="61"/>
      <c r="EQ202" s="61"/>
      <c r="ER202" s="61"/>
      <c r="ES202" s="61"/>
      <c r="ET202" s="61"/>
      <c r="EU202" s="61"/>
      <c r="EV202" s="61"/>
      <c r="EW202" s="61"/>
      <c r="EX202" s="61"/>
      <c r="EY202" s="61"/>
      <c r="EZ202" s="61"/>
      <c r="FA202" s="61"/>
      <c r="FB202" s="61"/>
      <c r="FC202" s="61"/>
      <c r="FD202" s="61"/>
      <c r="FE202" s="61"/>
      <c r="FF202" s="61"/>
      <c r="FG202" s="61"/>
      <c r="FH202" s="61"/>
      <c r="FU202" s="61"/>
      <c r="FV202" s="61"/>
      <c r="FW202" s="61"/>
      <c r="FX202" s="61"/>
      <c r="FY202" s="61"/>
      <c r="FZ202" s="61"/>
      <c r="GA202" s="145" t="s">
        <v>867</v>
      </c>
      <c r="GB202" s="60">
        <v>0</v>
      </c>
      <c r="GC202" s="60">
        <v>0</v>
      </c>
      <c r="GD202" s="60">
        <v>2</v>
      </c>
      <c r="GE202" s="60">
        <v>2</v>
      </c>
      <c r="GF202" s="60">
        <v>3</v>
      </c>
      <c r="GG202" s="60">
        <v>4</v>
      </c>
      <c r="GH202" s="60">
        <v>0</v>
      </c>
      <c r="GI202" s="60">
        <v>0</v>
      </c>
      <c r="GJ202" s="60">
        <v>1</v>
      </c>
      <c r="GK202" s="60">
        <v>2</v>
      </c>
      <c r="GL202" s="60">
        <v>7</v>
      </c>
      <c r="GM202" s="60">
        <v>8</v>
      </c>
      <c r="GN202" s="60">
        <v>9</v>
      </c>
      <c r="GO202" s="60">
        <v>9</v>
      </c>
      <c r="GP202" s="60">
        <v>10</v>
      </c>
      <c r="GQ202" s="60">
        <v>11</v>
      </c>
      <c r="GR202" s="60">
        <v>11</v>
      </c>
      <c r="GS202" s="60">
        <v>12</v>
      </c>
      <c r="GT202" s="60">
        <v>13</v>
      </c>
      <c r="GU202" s="60">
        <v>18</v>
      </c>
      <c r="GV202" s="60">
        <v>19</v>
      </c>
      <c r="GX202" s="145" t="s">
        <v>866</v>
      </c>
      <c r="GY202" s="60">
        <v>0</v>
      </c>
      <c r="GZ202" s="60">
        <v>0</v>
      </c>
      <c r="HA202" s="60">
        <v>3</v>
      </c>
      <c r="HB202" s="60">
        <v>1</v>
      </c>
      <c r="HC202" s="60">
        <v>0</v>
      </c>
      <c r="HD202" s="60">
        <v>5</v>
      </c>
      <c r="HE202" s="60">
        <v>3</v>
      </c>
      <c r="HF202" s="60">
        <v>2</v>
      </c>
      <c r="HG202" s="60">
        <v>0</v>
      </c>
      <c r="HH202" s="60">
        <v>5</v>
      </c>
      <c r="HI202" s="60">
        <v>4</v>
      </c>
      <c r="HJ202" s="60">
        <v>2</v>
      </c>
      <c r="HK202" s="60">
        <v>1</v>
      </c>
      <c r="HL202" s="60">
        <v>5</v>
      </c>
      <c r="HM202" s="60">
        <v>4</v>
      </c>
      <c r="HN202" s="60">
        <v>2</v>
      </c>
      <c r="HO202" s="60">
        <v>1</v>
      </c>
      <c r="HP202" s="60">
        <v>0</v>
      </c>
      <c r="HQ202" s="60">
        <v>4</v>
      </c>
      <c r="HR202" s="60">
        <v>2</v>
      </c>
      <c r="HS202" s="60">
        <v>1</v>
      </c>
      <c r="HW202" s="60">
        <v>0</v>
      </c>
      <c r="HX202" s="60">
        <v>1</v>
      </c>
      <c r="HY202" s="60">
        <v>2</v>
      </c>
      <c r="HZ202" s="60">
        <v>3</v>
      </c>
      <c r="IA202" s="60">
        <v>4</v>
      </c>
      <c r="IB202" s="60">
        <v>5</v>
      </c>
      <c r="IC202" s="60">
        <v>6</v>
      </c>
      <c r="ID202" s="60">
        <v>7</v>
      </c>
      <c r="IE202" s="60">
        <v>8</v>
      </c>
      <c r="IF202" s="60">
        <v>9</v>
      </c>
      <c r="IG202" s="60">
        <v>10</v>
      </c>
      <c r="IH202" s="60">
        <v>11</v>
      </c>
      <c r="II202" s="60">
        <v>12</v>
      </c>
      <c r="IJ202" s="60">
        <v>13</v>
      </c>
      <c r="IK202" s="60">
        <v>14</v>
      </c>
      <c r="IL202" s="60">
        <v>15</v>
      </c>
      <c r="IM202" s="60">
        <v>16</v>
      </c>
      <c r="IN202" s="60">
        <v>17</v>
      </c>
      <c r="IO202" s="60">
        <v>18</v>
      </c>
      <c r="IP202" s="60">
        <v>19</v>
      </c>
      <c r="IQ202" s="60">
        <v>20</v>
      </c>
      <c r="IT202" s="60">
        <f t="shared" si="125"/>
        <v>0</v>
      </c>
      <c r="IU202" s="60">
        <f t="shared" si="126"/>
        <v>2</v>
      </c>
      <c r="IV202" s="60">
        <f t="shared" si="127"/>
        <v>4</v>
      </c>
      <c r="IW202" s="60">
        <f t="shared" si="128"/>
        <v>6</v>
      </c>
      <c r="IX202" s="60">
        <f t="shared" si="129"/>
        <v>8</v>
      </c>
      <c r="IY202" s="60">
        <f t="shared" si="130"/>
        <v>10</v>
      </c>
      <c r="IZ202" s="60">
        <f t="shared" si="131"/>
        <v>12</v>
      </c>
      <c r="JA202" s="60">
        <f t="shared" si="132"/>
        <v>14</v>
      </c>
      <c r="JB202" s="60">
        <f t="shared" si="122"/>
        <v>16</v>
      </c>
      <c r="JC202" s="60">
        <f t="shared" si="133"/>
        <v>18</v>
      </c>
      <c r="JD202" s="60">
        <f t="shared" si="134"/>
        <v>20</v>
      </c>
      <c r="JE202" s="60">
        <f t="shared" si="135"/>
        <v>22</v>
      </c>
      <c r="JF202" s="60">
        <f t="shared" si="136"/>
        <v>24</v>
      </c>
      <c r="JG202" s="60">
        <f t="shared" si="137"/>
        <v>26</v>
      </c>
      <c r="JH202" s="60">
        <f t="shared" si="138"/>
        <v>28</v>
      </c>
      <c r="JI202" s="60">
        <f t="shared" si="139"/>
        <v>30</v>
      </c>
      <c r="JJ202" s="60">
        <f t="shared" si="140"/>
        <v>32</v>
      </c>
      <c r="JK202" s="60">
        <f t="shared" si="141"/>
        <v>34</v>
      </c>
      <c r="JL202" s="60">
        <f t="shared" si="142"/>
        <v>36</v>
      </c>
      <c r="JM202" s="60">
        <f t="shared" si="143"/>
        <v>38</v>
      </c>
      <c r="JN202" s="60">
        <f t="shared" si="144"/>
        <v>40</v>
      </c>
    </row>
    <row r="203" spans="1:274" x14ac:dyDescent="0.25">
      <c r="A203" s="9"/>
      <c r="B203" s="9"/>
      <c r="C203" s="9"/>
      <c r="D203" s="9"/>
      <c r="E203" s="9"/>
      <c r="F203" s="9"/>
      <c r="G203" s="9"/>
      <c r="H203" s="9"/>
      <c r="I203" s="9"/>
      <c r="J203" s="9"/>
      <c r="K203" s="9"/>
      <c r="L203" s="9"/>
      <c r="M203" s="9"/>
      <c r="N203" s="9"/>
      <c r="O203" s="9"/>
      <c r="P203" s="9"/>
      <c r="Q203" s="9"/>
      <c r="R203" s="9"/>
      <c r="S203" s="9"/>
      <c r="T203" s="34">
        <f>SUM(T179:T202)</f>
        <v>0</v>
      </c>
      <c r="U203" s="34">
        <f>SUM(U179:U202)</f>
        <v>0</v>
      </c>
      <c r="V203" s="60">
        <f>IF(V206&gt;=V207,V208,IF(V206&lt;V207,V209,0))</f>
        <v>0</v>
      </c>
      <c r="W203" s="61">
        <f>IF(W206&gt;=W207,W208,IF(W206&lt;W207,W209,0))</f>
        <v>1</v>
      </c>
      <c r="X203" s="61">
        <f t="shared" si="156"/>
        <v>0</v>
      </c>
      <c r="Y203" s="61" t="s">
        <v>130</v>
      </c>
      <c r="Z203" s="61" t="s">
        <v>125</v>
      </c>
      <c r="AA203" s="61"/>
      <c r="AB203" s="61"/>
      <c r="AC203" s="61"/>
      <c r="AD203" s="61">
        <f>ROUNDUP((((IF(((INT((((A205*$Z$213)+((A205-1)*20))/2000))*2000)+200)&gt;=(((A205*$Z$213)+((A205-1)*20))),(INT((((A205*$Z$213)+((A205-1)*20))/2000))),IF(((INT((((A205*$Z$213)+((A205-1)*20))/2000))*2000)+200)&lt;(((A205*$Z$213)+((A205-1)*20))),(INT((((A205*$Z$213)+((A205-1)*20))/2000))+1),0)))*C205)/2),0)</f>
        <v>0</v>
      </c>
      <c r="AE203" s="61">
        <f t="shared" ref="AE203:AE218" si="157">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*C205</f>
        <v>0</v>
      </c>
      <c r="AF203" s="61">
        <f>IF(A205&gt;0,AE203,0)</f>
        <v>0</v>
      </c>
      <c r="AG203" s="61">
        <f t="shared" ref="AG203:AG218" si="158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*C205</f>
        <v>0</v>
      </c>
      <c r="AH203" s="61"/>
      <c r="AI203" s="61"/>
      <c r="AJ203" s="61"/>
      <c r="AK203" s="61"/>
      <c r="AL203" s="61"/>
      <c r="AM203" s="61"/>
      <c r="AN203" s="61"/>
      <c r="AO203" s="61"/>
      <c r="AP203" s="61"/>
      <c r="AQ203" s="61"/>
      <c r="AR203" s="61"/>
      <c r="AS203" s="61">
        <f t="shared" ref="AS203:AS218" si="159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</f>
        <v>0</v>
      </c>
      <c r="AT203" s="61">
        <f>IF(AS203&gt;1,(AS203-1)*4*C205,0)</f>
        <v>0</v>
      </c>
      <c r="AU203" s="61"/>
      <c r="AV203" s="61"/>
      <c r="AW203" s="61"/>
      <c r="AX203" s="61"/>
      <c r="AY203" s="61"/>
      <c r="AZ203" s="61"/>
      <c r="BA203" s="61"/>
      <c r="BB203" s="61"/>
      <c r="BC203" s="61"/>
      <c r="BD203" s="61"/>
      <c r="BE203" s="61"/>
      <c r="BF203" s="61"/>
      <c r="BG203" s="61"/>
      <c r="BH203" s="61"/>
      <c r="BI203" s="61"/>
      <c r="BJ203" s="61"/>
      <c r="BK203" s="61"/>
      <c r="BL203" s="61"/>
      <c r="BM203" s="61"/>
      <c r="BN203" s="61"/>
      <c r="BO203" s="61"/>
      <c r="BP203" s="61"/>
      <c r="BQ203" s="61"/>
      <c r="BR203" s="61"/>
      <c r="BS203" s="61"/>
      <c r="BT203" s="61"/>
      <c r="BU203" s="61"/>
      <c r="BV203" s="61"/>
      <c r="BW203" s="61"/>
      <c r="BX203" s="61"/>
      <c r="BY203" s="61"/>
      <c r="BZ203" s="61"/>
      <c r="CA203" s="61"/>
      <c r="CB203" s="61"/>
      <c r="CC203" s="61"/>
      <c r="CD203" s="61"/>
      <c r="CE203" s="61"/>
      <c r="CF203" s="61"/>
      <c r="CG203" s="61"/>
      <c r="CH203" s="61"/>
      <c r="CI203" s="61"/>
      <c r="CJ203" s="61"/>
      <c r="CK203" s="61"/>
      <c r="CL203" s="61"/>
      <c r="CM203" s="61" t="s">
        <v>408</v>
      </c>
      <c r="CN203" s="61">
        <v>0</v>
      </c>
      <c r="CO203" s="61">
        <v>0</v>
      </c>
      <c r="CP203" s="61">
        <v>0</v>
      </c>
      <c r="CQ203" s="61">
        <v>4</v>
      </c>
      <c r="CR203" s="61">
        <v>4</v>
      </c>
      <c r="CS203" s="61">
        <v>4</v>
      </c>
      <c r="CT203" s="61">
        <v>8</v>
      </c>
      <c r="CU203" s="61">
        <v>8</v>
      </c>
      <c r="CV203" s="61">
        <v>8</v>
      </c>
      <c r="CW203" s="61">
        <v>12</v>
      </c>
      <c r="CX203" s="61">
        <v>12</v>
      </c>
      <c r="CY203" s="61">
        <v>12</v>
      </c>
      <c r="CZ203" s="61">
        <v>16</v>
      </c>
      <c r="DA203" s="61">
        <v>16</v>
      </c>
      <c r="DB203" s="61">
        <v>16</v>
      </c>
      <c r="DC203" s="61">
        <v>20</v>
      </c>
      <c r="DD203" s="61">
        <v>20</v>
      </c>
      <c r="DE203" s="61">
        <v>24</v>
      </c>
      <c r="DF203" s="61">
        <v>24</v>
      </c>
      <c r="DG203" s="61">
        <v>24</v>
      </c>
      <c r="DH203" s="61">
        <v>28</v>
      </c>
      <c r="DI203" s="61"/>
      <c r="DJ203" s="61"/>
      <c r="DK203" s="61"/>
      <c r="DL203" s="61"/>
      <c r="DM203" s="61"/>
      <c r="DN203" s="61"/>
      <c r="DO203" s="61"/>
      <c r="DP203" s="61"/>
      <c r="DQ203" s="61"/>
      <c r="DR203" s="61"/>
      <c r="DS203" s="61"/>
      <c r="DT203" s="61"/>
      <c r="DU203" s="61"/>
      <c r="DV203" s="61"/>
      <c r="DW203" s="61"/>
      <c r="DX203" s="61"/>
      <c r="DY203" s="61"/>
      <c r="DZ203" s="61"/>
      <c r="EA203" s="61"/>
      <c r="EB203" s="61"/>
      <c r="EC203" s="61"/>
      <c r="ED203" s="61"/>
      <c r="EE203" s="61"/>
      <c r="EF203" s="61"/>
      <c r="EG203" s="61"/>
      <c r="EH203" s="61"/>
      <c r="EI203" s="61"/>
      <c r="EJ203" s="61"/>
      <c r="EK203" s="61"/>
      <c r="EL203" s="61"/>
      <c r="EM203" s="61"/>
      <c r="EN203" s="61"/>
      <c r="EO203" s="61"/>
      <c r="EP203" s="61"/>
      <c r="EQ203" s="61"/>
      <c r="ER203" s="61"/>
      <c r="ES203" s="61"/>
      <c r="ET203" s="61"/>
      <c r="EU203" s="61"/>
      <c r="EV203" s="61"/>
      <c r="EW203" s="61"/>
      <c r="EX203" s="61"/>
      <c r="EY203" s="61"/>
      <c r="EZ203" s="61"/>
      <c r="FA203" s="61"/>
      <c r="FB203" s="61"/>
      <c r="FC203" s="61"/>
      <c r="FD203" s="61"/>
      <c r="FE203" s="61"/>
      <c r="FF203" s="61"/>
      <c r="FG203" s="61"/>
      <c r="FH203" s="61"/>
      <c r="FJ203" s="61"/>
      <c r="FK203" s="61"/>
      <c r="FL203" s="61"/>
      <c r="FM203" s="61"/>
      <c r="FN203" s="61"/>
      <c r="FO203" s="61"/>
      <c r="FP203" s="61"/>
      <c r="FQ203" s="61"/>
      <c r="FR203" s="61"/>
      <c r="FS203" s="61"/>
      <c r="FT203" s="61"/>
      <c r="FU203" s="61"/>
      <c r="FV203" s="61"/>
      <c r="FW203" s="61"/>
      <c r="FX203" s="61"/>
      <c r="FY203" s="61"/>
      <c r="FZ203" s="61"/>
      <c r="GA203" s="145" t="s">
        <v>868</v>
      </c>
      <c r="GB203" s="60">
        <v>0</v>
      </c>
      <c r="GC203" s="60">
        <v>0</v>
      </c>
      <c r="GD203" s="60">
        <v>0</v>
      </c>
      <c r="GE203" s="60">
        <v>0</v>
      </c>
      <c r="GF203" s="60">
        <v>0</v>
      </c>
      <c r="GG203" s="60">
        <v>0</v>
      </c>
      <c r="GH203" s="60">
        <v>0</v>
      </c>
      <c r="GI203" s="60">
        <v>0</v>
      </c>
      <c r="GJ203" s="60">
        <v>0</v>
      </c>
      <c r="GK203" s="60">
        <v>0</v>
      </c>
      <c r="GL203" s="60">
        <v>0</v>
      </c>
      <c r="GM203" s="60">
        <v>0</v>
      </c>
      <c r="GN203" s="60">
        <v>0</v>
      </c>
      <c r="GO203" s="60">
        <v>0</v>
      </c>
      <c r="GP203" s="60">
        <v>0</v>
      </c>
      <c r="GQ203" s="60">
        <v>0</v>
      </c>
      <c r="GR203" s="60">
        <v>0</v>
      </c>
      <c r="GS203" s="60">
        <v>0</v>
      </c>
      <c r="GT203" s="60">
        <v>0</v>
      </c>
      <c r="GU203" s="60">
        <v>0</v>
      </c>
      <c r="GV203" s="60">
        <v>0</v>
      </c>
      <c r="GX203" s="145" t="s">
        <v>867</v>
      </c>
      <c r="GY203" s="60">
        <v>0</v>
      </c>
      <c r="GZ203" s="60">
        <v>0</v>
      </c>
      <c r="HA203" s="60">
        <v>0</v>
      </c>
      <c r="HB203" s="60">
        <v>3</v>
      </c>
      <c r="HC203" s="60">
        <v>5</v>
      </c>
      <c r="HD203" s="60">
        <v>2</v>
      </c>
      <c r="HE203" s="60">
        <v>5</v>
      </c>
      <c r="HF203" s="60">
        <v>7</v>
      </c>
      <c r="HG203" s="60">
        <v>10</v>
      </c>
      <c r="HH203" s="60">
        <v>7</v>
      </c>
      <c r="HI203" s="60">
        <v>9</v>
      </c>
      <c r="HJ203" s="60">
        <v>12</v>
      </c>
      <c r="HK203" s="60">
        <v>14</v>
      </c>
      <c r="HL203" s="60">
        <v>12</v>
      </c>
      <c r="HM203" s="60">
        <v>14</v>
      </c>
      <c r="HN203" s="60">
        <v>17</v>
      </c>
      <c r="HO203" s="60">
        <v>19</v>
      </c>
      <c r="HP203" s="60">
        <v>21</v>
      </c>
      <c r="HQ203" s="60">
        <v>19</v>
      </c>
      <c r="HR203" s="60">
        <v>22</v>
      </c>
      <c r="HS203" s="60">
        <v>24</v>
      </c>
      <c r="HV203" s="60" t="s">
        <v>826</v>
      </c>
      <c r="HW203" s="60">
        <v>0</v>
      </c>
      <c r="HX203" s="60">
        <v>2</v>
      </c>
      <c r="HY203" s="60">
        <v>2</v>
      </c>
      <c r="HZ203" s="60">
        <v>4</v>
      </c>
      <c r="IA203" s="60">
        <v>0</v>
      </c>
      <c r="IB203" s="60">
        <v>2</v>
      </c>
      <c r="IC203" s="60">
        <v>4</v>
      </c>
      <c r="ID203" s="60">
        <v>4</v>
      </c>
      <c r="IE203" s="60">
        <v>0</v>
      </c>
      <c r="IF203" s="60">
        <v>2</v>
      </c>
      <c r="IG203" s="60">
        <v>4</v>
      </c>
      <c r="IH203" s="60">
        <v>4</v>
      </c>
      <c r="II203" s="60">
        <v>0</v>
      </c>
      <c r="IJ203" s="60">
        <v>2</v>
      </c>
      <c r="IK203" s="60">
        <v>4</v>
      </c>
      <c r="IL203" s="60">
        <v>4</v>
      </c>
      <c r="IM203" s="60">
        <v>0</v>
      </c>
      <c r="IN203" s="60">
        <v>2</v>
      </c>
      <c r="IO203" s="60">
        <v>4</v>
      </c>
      <c r="IP203" s="60">
        <v>4</v>
      </c>
      <c r="IQ203" s="60">
        <v>0</v>
      </c>
      <c r="IS203" s="60" t="s">
        <v>826</v>
      </c>
      <c r="IT203" s="60">
        <f t="shared" si="125"/>
        <v>0</v>
      </c>
      <c r="IU203" s="60">
        <f t="shared" si="126"/>
        <v>4</v>
      </c>
      <c r="IV203" s="60">
        <f t="shared" si="127"/>
        <v>4</v>
      </c>
      <c r="IW203" s="60">
        <f t="shared" si="128"/>
        <v>8</v>
      </c>
      <c r="IX203" s="60">
        <f t="shared" si="129"/>
        <v>0</v>
      </c>
      <c r="IY203" s="60">
        <f t="shared" si="130"/>
        <v>4</v>
      </c>
      <c r="IZ203" s="60">
        <f t="shared" si="131"/>
        <v>8</v>
      </c>
      <c r="JA203" s="60">
        <f t="shared" si="132"/>
        <v>8</v>
      </c>
      <c r="JB203" s="60">
        <f t="shared" si="122"/>
        <v>0</v>
      </c>
      <c r="JC203" s="60">
        <f t="shared" si="133"/>
        <v>4</v>
      </c>
      <c r="JD203" s="60">
        <f t="shared" si="134"/>
        <v>8</v>
      </c>
      <c r="JE203" s="60">
        <f t="shared" si="135"/>
        <v>8</v>
      </c>
      <c r="JF203" s="60">
        <f t="shared" si="136"/>
        <v>0</v>
      </c>
      <c r="JG203" s="60">
        <f t="shared" si="137"/>
        <v>4</v>
      </c>
      <c r="JH203" s="60">
        <f t="shared" si="138"/>
        <v>8</v>
      </c>
      <c r="JI203" s="60">
        <f t="shared" si="139"/>
        <v>8</v>
      </c>
      <c r="JJ203" s="60">
        <f t="shared" si="140"/>
        <v>0</v>
      </c>
      <c r="JK203" s="60">
        <f t="shared" si="141"/>
        <v>4</v>
      </c>
      <c r="JL203" s="60">
        <f t="shared" si="142"/>
        <v>8</v>
      </c>
      <c r="JM203" s="60">
        <f t="shared" si="143"/>
        <v>8</v>
      </c>
      <c r="JN203" s="60">
        <f t="shared" si="144"/>
        <v>0</v>
      </c>
    </row>
    <row r="204" spans="1:274" ht="51.75" x14ac:dyDescent="0.25">
      <c r="A204" s="3" t="s">
        <v>120</v>
      </c>
      <c r="B204" s="3"/>
      <c r="C204" s="3" t="s">
        <v>121</v>
      </c>
      <c r="D204" s="9"/>
      <c r="E204" s="9"/>
      <c r="F204" s="9"/>
      <c r="G204" s="9"/>
      <c r="H204" s="9"/>
      <c r="I204" s="9"/>
      <c r="J204" s="9"/>
      <c r="K204" s="9"/>
      <c r="L204" s="360" t="str">
        <f>IF(E207=$Z$104,"KONSTRUKCJA DP-DTHBN",IF(E207=$Z$105,"KONSTRUKCJA DP-DTHKN",IF(E207=$Z$106,"KONSTRUKCJA DP-DTHWN",IF(E207=$Z$107,"KONSTRUKCJA DP-DTHKSN"))))</f>
        <v>KONSTRUKCJA DP-DTHKN</v>
      </c>
      <c r="M204" s="360"/>
      <c r="N204" s="360"/>
      <c r="O204" s="360"/>
      <c r="P204" s="360"/>
      <c r="Q204" s="360"/>
      <c r="R204" s="360"/>
      <c r="S204" s="360"/>
      <c r="T204" s="360"/>
      <c r="U204" s="360"/>
      <c r="W204" s="61"/>
      <c r="X204" s="61">
        <f t="shared" si="156"/>
        <v>0</v>
      </c>
      <c r="Y204" s="63">
        <v>30</v>
      </c>
      <c r="Z204" s="61" t="s">
        <v>828</v>
      </c>
      <c r="AA204" s="61"/>
      <c r="AB204" s="61">
        <v>1</v>
      </c>
      <c r="AC204" s="61"/>
      <c r="AD204" s="61">
        <f t="shared" ref="AD204:AD218" si="160">ROUNDUP((((IF(((INT((((A206*$Z$213)+((A206-1)*20))/2000))*2000)+200)&gt;=(((A206*$Z$213)+((A206-1)*20))),(INT((((A206*$Z$213)+((A206-1)*20))/2000))),IF(((INT((((A206*$Z$213)+((A206-1)*20))/2000))*2000)+200)&lt;(((A206*$Z$213)+((A206-1)*20))),(INT((((A206*$Z$213)+((A206-1)*20))/2000))+1),0)))*C206)/2),0)</f>
        <v>0</v>
      </c>
      <c r="AE204" s="61">
        <f t="shared" si="157"/>
        <v>0</v>
      </c>
      <c r="AF204" s="61">
        <f>IF(A206&gt;0,AE204,0)</f>
        <v>0</v>
      </c>
      <c r="AG204" s="61">
        <f t="shared" si="158"/>
        <v>0</v>
      </c>
      <c r="AH204" s="61"/>
      <c r="AI204" s="61"/>
      <c r="AJ204" s="61"/>
      <c r="AK204" s="61"/>
      <c r="AL204" s="61"/>
      <c r="AM204" s="61"/>
      <c r="AN204" s="61"/>
      <c r="AO204" s="61"/>
      <c r="AP204" s="61"/>
      <c r="AQ204" s="61"/>
      <c r="AR204" s="61"/>
      <c r="AS204" s="61">
        <f t="shared" si="159"/>
        <v>0</v>
      </c>
      <c r="AT204" s="61">
        <f t="shared" ref="AT204:AT218" si="161">IF(AS204&gt;1,(AS204-1)*4*C206,0)</f>
        <v>0</v>
      </c>
      <c r="AU204" s="61"/>
      <c r="AV204" s="61"/>
      <c r="AW204" s="61"/>
      <c r="AX204" s="61"/>
      <c r="AY204" s="61"/>
      <c r="AZ204" s="61"/>
      <c r="BA204" s="61"/>
      <c r="BB204" s="61"/>
      <c r="BC204" s="61"/>
      <c r="BD204" s="61"/>
      <c r="BE204" s="61"/>
      <c r="BF204" s="61"/>
      <c r="BG204" s="61"/>
      <c r="BH204" s="61"/>
      <c r="BI204" s="61"/>
      <c r="BJ204" s="61"/>
      <c r="BK204" s="61"/>
      <c r="BL204" s="61"/>
      <c r="BM204" s="61"/>
      <c r="BN204" s="61"/>
      <c r="BO204" s="61"/>
      <c r="BP204" s="61"/>
      <c r="BQ204" s="61"/>
      <c r="BR204" s="61"/>
      <c r="BS204" s="61"/>
      <c r="BT204" s="61"/>
      <c r="BU204" s="61"/>
      <c r="BV204" s="61"/>
      <c r="BW204" s="61"/>
      <c r="BX204" s="61"/>
      <c r="BY204" s="61"/>
      <c r="BZ204" s="61"/>
      <c r="CA204" s="61"/>
      <c r="CB204" s="61"/>
      <c r="CC204" s="61"/>
      <c r="CD204" s="61"/>
      <c r="CE204" s="61"/>
      <c r="CF204" s="61"/>
      <c r="CG204" s="61"/>
      <c r="CH204" s="61"/>
      <c r="CI204" s="61"/>
      <c r="CJ204" s="61"/>
      <c r="CK204" s="61"/>
      <c r="CL204" s="61"/>
      <c r="CM204" s="61" t="s">
        <v>518</v>
      </c>
      <c r="CN204" s="61">
        <v>0</v>
      </c>
      <c r="CO204" s="61">
        <v>2</v>
      </c>
      <c r="CP204" s="61">
        <v>0</v>
      </c>
      <c r="CQ204" s="61">
        <v>4</v>
      </c>
      <c r="CR204" s="61">
        <v>2</v>
      </c>
      <c r="CS204" s="61">
        <v>0</v>
      </c>
      <c r="CT204" s="61">
        <v>4</v>
      </c>
      <c r="CU204" s="61">
        <v>2</v>
      </c>
      <c r="CV204" s="61">
        <v>0</v>
      </c>
      <c r="CW204" s="61">
        <v>4</v>
      </c>
      <c r="CX204" s="61">
        <v>2</v>
      </c>
      <c r="CY204" s="61">
        <v>0</v>
      </c>
      <c r="CZ204" s="61">
        <v>4</v>
      </c>
      <c r="DA204" s="61">
        <v>2</v>
      </c>
      <c r="DB204" s="61">
        <v>0</v>
      </c>
      <c r="DC204" s="61">
        <v>2</v>
      </c>
      <c r="DD204" s="61">
        <v>0</v>
      </c>
      <c r="DE204" s="61">
        <v>4</v>
      </c>
      <c r="DF204" s="61">
        <v>2</v>
      </c>
      <c r="DG204" s="61">
        <v>0</v>
      </c>
      <c r="DH204" s="61">
        <v>4</v>
      </c>
      <c r="DI204" s="61"/>
      <c r="DJ204" s="61"/>
      <c r="DK204" s="61"/>
      <c r="DL204" s="61"/>
      <c r="DM204" s="61"/>
      <c r="DN204" s="61"/>
      <c r="DO204" s="61"/>
      <c r="DP204" s="61"/>
      <c r="DQ204" s="61"/>
      <c r="DR204" s="61"/>
      <c r="DS204" s="61"/>
      <c r="DT204" s="61"/>
      <c r="DU204" s="61"/>
      <c r="DV204" s="61"/>
      <c r="DW204" s="61"/>
      <c r="DX204" s="61"/>
      <c r="DY204" s="61"/>
      <c r="DZ204" s="61"/>
      <c r="EA204" s="61"/>
      <c r="EB204" s="61"/>
      <c r="EC204" s="61"/>
      <c r="ED204" s="61"/>
      <c r="EE204" s="61"/>
      <c r="EF204" s="61"/>
      <c r="EG204" s="61"/>
      <c r="EH204" s="61"/>
      <c r="EI204" s="61"/>
      <c r="EJ204" s="61"/>
      <c r="EK204" s="61"/>
      <c r="EL204" s="61"/>
      <c r="EM204" s="61"/>
      <c r="EN204" s="61"/>
      <c r="EO204" s="61"/>
      <c r="EP204" s="61"/>
      <c r="EQ204" s="61"/>
      <c r="ER204" s="61"/>
      <c r="ES204" s="61"/>
      <c r="ET204" s="61"/>
      <c r="EU204" s="61"/>
      <c r="EV204" s="61"/>
      <c r="EW204" s="61"/>
      <c r="EX204" s="61"/>
      <c r="EY204" s="61"/>
      <c r="EZ204" s="61"/>
      <c r="FA204" s="61"/>
      <c r="FB204" s="61"/>
      <c r="FC204" s="61"/>
      <c r="FD204" s="61"/>
      <c r="FE204" s="61"/>
      <c r="FF204" s="61"/>
      <c r="FG204" s="61"/>
      <c r="FH204" s="61"/>
      <c r="FI204" s="61"/>
      <c r="FJ204" s="61"/>
      <c r="FK204" s="61"/>
      <c r="FL204" s="61"/>
      <c r="FM204" s="61"/>
      <c r="FN204" s="61"/>
      <c r="FO204" s="61"/>
      <c r="FP204" s="61"/>
      <c r="FQ204" s="61"/>
      <c r="FR204" s="61"/>
      <c r="FS204" s="61"/>
      <c r="FT204" s="61"/>
      <c r="FU204" s="61"/>
      <c r="FV204" s="61"/>
      <c r="FW204" s="61"/>
      <c r="FX204" s="61"/>
      <c r="FY204" s="61"/>
      <c r="FZ204" s="61"/>
      <c r="GX204" s="145" t="s">
        <v>868</v>
      </c>
      <c r="GY204" s="60">
        <v>0</v>
      </c>
      <c r="GZ204" s="60">
        <v>1</v>
      </c>
      <c r="HA204" s="60">
        <v>0</v>
      </c>
      <c r="HB204" s="60">
        <v>0</v>
      </c>
      <c r="HC204" s="60">
        <v>0</v>
      </c>
      <c r="HD204" s="60">
        <v>0</v>
      </c>
      <c r="HE204" s="60">
        <v>0</v>
      </c>
      <c r="HF204" s="60">
        <v>0</v>
      </c>
      <c r="HG204" s="60">
        <v>0</v>
      </c>
      <c r="HH204" s="60">
        <v>0</v>
      </c>
      <c r="HI204" s="60">
        <v>0</v>
      </c>
      <c r="HJ204" s="60">
        <v>0</v>
      </c>
      <c r="HK204" s="60">
        <v>0</v>
      </c>
      <c r="HL204" s="60">
        <v>0</v>
      </c>
      <c r="HM204" s="60">
        <v>0</v>
      </c>
      <c r="HN204" s="60">
        <v>0</v>
      </c>
      <c r="HO204" s="60">
        <v>0</v>
      </c>
      <c r="HP204" s="60">
        <v>0</v>
      </c>
      <c r="HQ204" s="60">
        <v>0</v>
      </c>
      <c r="HR204" s="60">
        <v>0</v>
      </c>
      <c r="HS204" s="60">
        <v>0</v>
      </c>
      <c r="HV204" s="60" t="s">
        <v>825</v>
      </c>
      <c r="HW204" s="60">
        <v>0</v>
      </c>
      <c r="HX204" s="60">
        <v>0</v>
      </c>
      <c r="HY204" s="60">
        <v>2</v>
      </c>
      <c r="HZ204" s="60">
        <v>2</v>
      </c>
      <c r="IA204" s="60">
        <v>6</v>
      </c>
      <c r="IB204" s="60">
        <v>6</v>
      </c>
      <c r="IC204" s="60">
        <v>6</v>
      </c>
      <c r="ID204" s="60">
        <v>8</v>
      </c>
      <c r="IE204" s="60">
        <v>12</v>
      </c>
      <c r="IF204" s="60">
        <v>12</v>
      </c>
      <c r="IG204" s="60">
        <v>12</v>
      </c>
      <c r="IH204" s="60">
        <v>14</v>
      </c>
      <c r="II204" s="60">
        <v>18</v>
      </c>
      <c r="IJ204" s="60">
        <v>18</v>
      </c>
      <c r="IK204" s="60">
        <v>18</v>
      </c>
      <c r="IL204" s="60">
        <v>20</v>
      </c>
      <c r="IM204" s="60">
        <v>24</v>
      </c>
      <c r="IN204" s="60">
        <v>24</v>
      </c>
      <c r="IO204" s="60">
        <v>24</v>
      </c>
      <c r="IP204" s="60">
        <v>26</v>
      </c>
      <c r="IQ204" s="60">
        <v>30</v>
      </c>
      <c r="IS204" s="60" t="s">
        <v>825</v>
      </c>
      <c r="IT204" s="60">
        <f t="shared" si="125"/>
        <v>0</v>
      </c>
      <c r="IU204" s="60">
        <f t="shared" si="126"/>
        <v>0</v>
      </c>
      <c r="IV204" s="60">
        <f t="shared" si="127"/>
        <v>4</v>
      </c>
      <c r="IW204" s="60">
        <f t="shared" si="128"/>
        <v>4</v>
      </c>
      <c r="IX204" s="60">
        <f t="shared" si="129"/>
        <v>12</v>
      </c>
      <c r="IY204" s="60">
        <f t="shared" si="130"/>
        <v>12</v>
      </c>
      <c r="IZ204" s="60">
        <f t="shared" si="131"/>
        <v>12</v>
      </c>
      <c r="JA204" s="60">
        <f t="shared" si="132"/>
        <v>16</v>
      </c>
      <c r="JB204" s="60">
        <f t="shared" si="122"/>
        <v>24</v>
      </c>
      <c r="JC204" s="60">
        <f t="shared" si="133"/>
        <v>24</v>
      </c>
      <c r="JD204" s="60">
        <f t="shared" si="134"/>
        <v>24</v>
      </c>
      <c r="JE204" s="60">
        <f t="shared" si="135"/>
        <v>28</v>
      </c>
      <c r="JF204" s="60">
        <f t="shared" si="136"/>
        <v>36</v>
      </c>
      <c r="JG204" s="60">
        <f t="shared" si="137"/>
        <v>36</v>
      </c>
      <c r="JH204" s="60">
        <f t="shared" si="138"/>
        <v>36</v>
      </c>
      <c r="JI204" s="60">
        <f t="shared" si="139"/>
        <v>40</v>
      </c>
      <c r="JJ204" s="60">
        <f t="shared" si="140"/>
        <v>48</v>
      </c>
      <c r="JK204" s="60">
        <f t="shared" si="141"/>
        <v>48</v>
      </c>
      <c r="JL204" s="60">
        <f t="shared" si="142"/>
        <v>48</v>
      </c>
      <c r="JM204" s="60">
        <f t="shared" si="143"/>
        <v>52</v>
      </c>
      <c r="JN204" s="60">
        <f t="shared" si="144"/>
        <v>60</v>
      </c>
    </row>
    <row r="205" spans="1:274" x14ac:dyDescent="0.25">
      <c r="A205" s="8"/>
      <c r="B205" s="5" t="s">
        <v>116</v>
      </c>
      <c r="C205" s="8"/>
      <c r="D205" s="9"/>
      <c r="E205" s="9"/>
      <c r="F205" s="9"/>
      <c r="H205" s="9"/>
      <c r="I205" s="9"/>
      <c r="J205" s="9"/>
      <c r="K205" s="9"/>
      <c r="L205" s="5" t="s">
        <v>103</v>
      </c>
      <c r="M205" s="5" t="s">
        <v>104</v>
      </c>
      <c r="N205" s="5" t="s">
        <v>107</v>
      </c>
      <c r="O205" s="5" t="s">
        <v>290</v>
      </c>
      <c r="P205" s="5" t="s">
        <v>446</v>
      </c>
      <c r="Q205" s="5" t="s">
        <v>448</v>
      </c>
      <c r="R205" s="5" t="s">
        <v>409</v>
      </c>
      <c r="S205" s="5" t="s">
        <v>447</v>
      </c>
      <c r="T205" s="5" t="s">
        <v>449</v>
      </c>
      <c r="U205" s="5" t="s">
        <v>106</v>
      </c>
      <c r="W205" s="61"/>
      <c r="X205" s="61">
        <f t="shared" si="156"/>
        <v>0</v>
      </c>
      <c r="Y205" s="63">
        <v>32</v>
      </c>
      <c r="Z205" s="61" t="s">
        <v>829</v>
      </c>
      <c r="AA205" s="61"/>
      <c r="AB205" s="61">
        <v>2</v>
      </c>
      <c r="AC205" s="61"/>
      <c r="AD205" s="61">
        <f t="shared" si="160"/>
        <v>0</v>
      </c>
      <c r="AE205" s="61">
        <f t="shared" si="157"/>
        <v>0</v>
      </c>
      <c r="AF205" s="61">
        <f t="shared" ref="AF205:AF218" si="162">IF(A207&gt;0,AE205,0)</f>
        <v>0</v>
      </c>
      <c r="AG205" s="61">
        <f t="shared" si="158"/>
        <v>0</v>
      </c>
      <c r="AH205" s="61" t="s">
        <v>834</v>
      </c>
      <c r="AI205" s="61"/>
      <c r="AJ205" s="61"/>
      <c r="AK205" s="61"/>
      <c r="AL205" s="61"/>
      <c r="AM205" s="61"/>
      <c r="AS205" s="61">
        <f t="shared" si="159"/>
        <v>0</v>
      </c>
      <c r="AT205" s="61">
        <f t="shared" si="161"/>
        <v>0</v>
      </c>
      <c r="AU205" s="61"/>
      <c r="AV205" s="61"/>
      <c r="AW205" s="61"/>
      <c r="AX205" s="61"/>
      <c r="AY205" s="61"/>
      <c r="AZ205" s="61"/>
      <c r="BA205" s="61"/>
      <c r="BB205" s="61"/>
      <c r="BC205" s="61"/>
      <c r="BD205" s="61"/>
      <c r="BE205" s="61"/>
      <c r="BF205" s="61"/>
      <c r="BG205" s="61"/>
      <c r="BH205" s="61"/>
      <c r="BI205" s="61"/>
      <c r="BJ205" s="61"/>
      <c r="BK205" s="61"/>
      <c r="BL205" s="61"/>
      <c r="BM205" s="61"/>
      <c r="BN205" s="61"/>
      <c r="BO205" s="61"/>
      <c r="BP205" s="61"/>
      <c r="BQ205" s="61"/>
      <c r="BR205" s="61"/>
      <c r="BS205" s="61"/>
      <c r="BT205" s="61"/>
      <c r="BU205" s="61"/>
      <c r="BV205" s="61"/>
      <c r="BW205" s="61"/>
      <c r="BX205" s="61"/>
      <c r="BY205" s="61"/>
      <c r="BZ205" s="61"/>
      <c r="CA205" s="61"/>
      <c r="CB205" s="61"/>
      <c r="CC205" s="61"/>
      <c r="CD205" s="61"/>
      <c r="CE205" s="61"/>
      <c r="CF205" s="61"/>
      <c r="CG205" s="61"/>
      <c r="CH205" s="61"/>
      <c r="CI205" s="61"/>
      <c r="CJ205" s="61"/>
      <c r="CK205" s="61"/>
      <c r="CL205" s="61"/>
      <c r="CM205" s="61" t="s">
        <v>520</v>
      </c>
      <c r="CN205" s="61">
        <v>0</v>
      </c>
      <c r="CO205" s="61">
        <v>0</v>
      </c>
      <c r="CP205" s="61">
        <v>2</v>
      </c>
      <c r="CQ205" s="61">
        <v>0</v>
      </c>
      <c r="CR205" s="61">
        <v>2</v>
      </c>
      <c r="CS205" s="61">
        <v>4</v>
      </c>
      <c r="CT205" s="61">
        <v>2</v>
      </c>
      <c r="CU205" s="61">
        <v>4</v>
      </c>
      <c r="CV205" s="61">
        <v>6</v>
      </c>
      <c r="CW205" s="61">
        <v>4</v>
      </c>
      <c r="CX205" s="61">
        <v>6</v>
      </c>
      <c r="CY205" s="61">
        <v>8</v>
      </c>
      <c r="CZ205" s="61">
        <v>6</v>
      </c>
      <c r="DA205" s="61">
        <v>8</v>
      </c>
      <c r="DB205" s="61">
        <v>10</v>
      </c>
      <c r="DC205" s="61">
        <v>10</v>
      </c>
      <c r="DD205" s="61">
        <v>12</v>
      </c>
      <c r="DE205" s="61">
        <v>10</v>
      </c>
      <c r="DF205" s="61">
        <v>12</v>
      </c>
      <c r="DG205" s="61">
        <v>14</v>
      </c>
      <c r="DH205" s="61">
        <v>12</v>
      </c>
      <c r="DI205" s="61"/>
      <c r="DJ205" s="61"/>
      <c r="DK205" s="61"/>
      <c r="DL205" s="61"/>
      <c r="DM205" s="61"/>
      <c r="DN205" s="61"/>
      <c r="DO205" s="61"/>
      <c r="DP205" s="61"/>
      <c r="DQ205" s="61"/>
      <c r="DR205" s="61"/>
      <c r="DS205" s="61"/>
      <c r="DT205" s="61"/>
      <c r="DU205" s="61"/>
      <c r="DV205" s="61"/>
      <c r="DW205" s="61"/>
      <c r="DX205" s="61"/>
      <c r="DY205" s="61"/>
      <c r="DZ205" s="61"/>
      <c r="EA205" s="61"/>
      <c r="EB205" s="61"/>
      <c r="EC205" s="61"/>
      <c r="ED205" s="61"/>
      <c r="EE205" s="61"/>
      <c r="EF205" s="61"/>
      <c r="EG205" s="61"/>
      <c r="EH205" s="61"/>
      <c r="EI205" s="61"/>
      <c r="EJ205" s="61"/>
      <c r="EK205" s="61"/>
      <c r="EL205" s="61"/>
      <c r="EM205" s="61"/>
      <c r="EN205" s="61"/>
      <c r="EO205" s="61"/>
      <c r="EP205" s="61"/>
      <c r="EQ205" s="61"/>
      <c r="ER205" s="61"/>
      <c r="ES205" s="61"/>
      <c r="ET205" s="61"/>
      <c r="EU205" s="61"/>
      <c r="EV205" s="61"/>
      <c r="EW205" s="61"/>
      <c r="EX205" s="61"/>
      <c r="EY205" s="61"/>
      <c r="EZ205" s="61"/>
      <c r="FA205" s="61"/>
      <c r="FB205" s="61"/>
      <c r="FC205" s="61"/>
      <c r="FD205" s="61"/>
      <c r="FE205" s="61"/>
      <c r="FF205" s="61"/>
      <c r="FG205" s="61"/>
      <c r="FH205" s="61"/>
      <c r="FI205" s="61"/>
      <c r="FJ205" s="61"/>
      <c r="FK205" s="61"/>
      <c r="FL205" s="61"/>
      <c r="FM205" s="61"/>
      <c r="FN205" s="61"/>
      <c r="FO205" s="61"/>
      <c r="FP205" s="61"/>
      <c r="FQ205" s="61"/>
      <c r="FR205" s="61"/>
      <c r="FS205" s="61"/>
      <c r="FT205" s="61"/>
      <c r="FU205" s="61"/>
      <c r="FV205" s="61"/>
      <c r="FW205" s="61"/>
      <c r="FX205" s="61"/>
      <c r="FY205" s="61"/>
      <c r="FZ205" s="61"/>
      <c r="GA205" s="60" t="s">
        <v>472</v>
      </c>
      <c r="GB205" s="61"/>
      <c r="GC205" s="61"/>
      <c r="GD205" s="61"/>
      <c r="GE205" s="61"/>
      <c r="GF205" s="61"/>
      <c r="GG205" s="61"/>
      <c r="GH205" s="61"/>
      <c r="GI205" s="61"/>
      <c r="GJ205" s="61"/>
      <c r="GK205" s="61"/>
      <c r="GL205" s="61"/>
      <c r="GM205" s="61"/>
      <c r="GN205" s="61"/>
      <c r="GO205" s="61"/>
      <c r="GP205" s="61"/>
      <c r="HV205" s="60" t="s">
        <v>853</v>
      </c>
      <c r="HW205" s="60">
        <v>0</v>
      </c>
      <c r="HX205" s="60">
        <v>0</v>
      </c>
      <c r="HY205" s="60">
        <v>2</v>
      </c>
      <c r="HZ205" s="60">
        <v>4</v>
      </c>
      <c r="IA205" s="60">
        <v>4</v>
      </c>
      <c r="IB205" s="60">
        <v>6</v>
      </c>
      <c r="IC205" s="60">
        <v>8</v>
      </c>
      <c r="ID205" s="60">
        <v>10</v>
      </c>
      <c r="IE205" s="60">
        <v>10</v>
      </c>
      <c r="IF205" s="60">
        <v>12</v>
      </c>
      <c r="IG205" s="60">
        <v>14</v>
      </c>
      <c r="IH205" s="60">
        <v>16</v>
      </c>
      <c r="II205" s="60">
        <v>16</v>
      </c>
      <c r="IJ205" s="60">
        <v>18</v>
      </c>
      <c r="IK205" s="60">
        <v>20</v>
      </c>
      <c r="IL205" s="60">
        <v>22</v>
      </c>
      <c r="IM205" s="60">
        <v>22</v>
      </c>
      <c r="IN205" s="60">
        <v>24</v>
      </c>
      <c r="IO205" s="60">
        <v>26</v>
      </c>
      <c r="IP205" s="60">
        <v>28</v>
      </c>
      <c r="IQ205" s="60">
        <v>28</v>
      </c>
      <c r="IS205" s="60" t="s">
        <v>853</v>
      </c>
      <c r="IT205" s="60">
        <f t="shared" si="125"/>
        <v>0</v>
      </c>
      <c r="IU205" s="60">
        <f t="shared" si="126"/>
        <v>0</v>
      </c>
      <c r="IV205" s="60">
        <f t="shared" si="127"/>
        <v>4</v>
      </c>
      <c r="IW205" s="60">
        <f t="shared" si="128"/>
        <v>8</v>
      </c>
      <c r="IX205" s="60">
        <f t="shared" si="129"/>
        <v>8</v>
      </c>
      <c r="IY205" s="60">
        <f t="shared" si="130"/>
        <v>12</v>
      </c>
      <c r="IZ205" s="60">
        <f t="shared" si="131"/>
        <v>16</v>
      </c>
      <c r="JA205" s="60">
        <f t="shared" si="132"/>
        <v>20</v>
      </c>
      <c r="JB205" s="60">
        <f t="shared" si="122"/>
        <v>20</v>
      </c>
      <c r="JC205" s="60">
        <f t="shared" si="133"/>
        <v>24</v>
      </c>
      <c r="JD205" s="60">
        <f t="shared" si="134"/>
        <v>28</v>
      </c>
      <c r="JE205" s="60">
        <f t="shared" si="135"/>
        <v>32</v>
      </c>
      <c r="JF205" s="60">
        <f t="shared" si="136"/>
        <v>32</v>
      </c>
      <c r="JG205" s="60">
        <f t="shared" si="137"/>
        <v>36</v>
      </c>
      <c r="JH205" s="60">
        <f t="shared" si="138"/>
        <v>40</v>
      </c>
      <c r="JI205" s="60">
        <f t="shared" si="139"/>
        <v>44</v>
      </c>
      <c r="JJ205" s="60">
        <f t="shared" si="140"/>
        <v>44</v>
      </c>
      <c r="JK205" s="60">
        <f t="shared" si="141"/>
        <v>48</v>
      </c>
      <c r="JL205" s="60">
        <f t="shared" si="142"/>
        <v>52</v>
      </c>
      <c r="JM205" s="60">
        <f t="shared" si="143"/>
        <v>56</v>
      </c>
      <c r="JN205" s="60">
        <f t="shared" si="144"/>
        <v>56</v>
      </c>
    </row>
    <row r="206" spans="1:274" x14ac:dyDescent="0.25">
      <c r="A206" s="8"/>
      <c r="B206" s="5" t="s">
        <v>116</v>
      </c>
      <c r="C206" s="8"/>
      <c r="D206" s="6" t="s">
        <v>118</v>
      </c>
      <c r="E206" s="8" t="s">
        <v>138</v>
      </c>
      <c r="F206" s="5" t="s">
        <v>116</v>
      </c>
      <c r="G206" s="8" t="s">
        <v>115</v>
      </c>
      <c r="H206" s="5" t="s">
        <v>116</v>
      </c>
      <c r="I206" s="8">
        <v>40</v>
      </c>
      <c r="J206" s="5" t="s">
        <v>119</v>
      </c>
      <c r="K206" s="9"/>
      <c r="L206" s="6" t="s">
        <v>825</v>
      </c>
      <c r="M206" s="11">
        <f>INDEX(cennik!$C$2:$L$529,MATCH($L206,cennik!$B$2:$B$522,0),MATCH(M$205,cennik!$C$1:$L$1,0))</f>
        <v>895333</v>
      </c>
      <c r="N206" s="11" t="str">
        <f>INDEX(cennik!$C$2:$L$529,MATCH($L206,cennik!$B$2:$B$522,0),MATCH(N$104,cennik!$C$1:$L$1,0))</f>
        <v>szt.</v>
      </c>
      <c r="O206" s="11">
        <f>SUM(AF225:AF240)</f>
        <v>0</v>
      </c>
      <c r="P206" s="34">
        <f>INDEX(cennik!$C$2:$L$529,MATCH($L206,cennik!$B$2:$B$522,0),MATCH(P$104,cennik!$C$1:$L$1,0))</f>
        <v>85.5</v>
      </c>
      <c r="Q206" s="34">
        <f>O206*P206</f>
        <v>0</v>
      </c>
      <c r="R206" s="35">
        <f t="shared" ref="R206:R227" si="163">$E$209</f>
        <v>0</v>
      </c>
      <c r="S206" s="34">
        <f t="shared" ref="S206:S226" si="164">P206*((100-$E$209)/100)</f>
        <v>85.5</v>
      </c>
      <c r="T206" s="34">
        <f>O206*S206</f>
        <v>0</v>
      </c>
      <c r="U206" s="34">
        <f>INDEX(cennik!$C$2:$L$529,MATCH($L206,cennik!$B$2:$B$522,0),MATCH(U$104,cennik!$C$1:$L$1,0))*O206</f>
        <v>0</v>
      </c>
      <c r="V206" s="60">
        <f>((INT((((A205*$Z$213)+((A205-1)*20))/900))*900)+200)</f>
        <v>-700</v>
      </c>
      <c r="W206" s="61">
        <f>((INT((((A205*$Z$213)+((A205-1)*20))/$E$212))*$E$212)+600)</f>
        <v>-1400</v>
      </c>
      <c r="X206" s="61">
        <f t="shared" si="156"/>
        <v>0</v>
      </c>
      <c r="Y206" s="63">
        <v>33</v>
      </c>
      <c r="Z206" s="60" t="s">
        <v>506</v>
      </c>
      <c r="AA206" s="61"/>
      <c r="AB206" s="61">
        <v>3</v>
      </c>
      <c r="AC206" s="61"/>
      <c r="AD206" s="61">
        <f t="shared" si="160"/>
        <v>0</v>
      </c>
      <c r="AE206" s="61">
        <f t="shared" si="157"/>
        <v>0</v>
      </c>
      <c r="AF206" s="61">
        <f t="shared" si="162"/>
        <v>0</v>
      </c>
      <c r="AG206" s="61">
        <f t="shared" si="158"/>
        <v>0</v>
      </c>
      <c r="AH206" s="61" t="s">
        <v>717</v>
      </c>
      <c r="AI206" s="61">
        <v>1</v>
      </c>
      <c r="AJ206" s="61">
        <v>2</v>
      </c>
      <c r="AK206" s="61">
        <v>3</v>
      </c>
      <c r="AL206" s="61">
        <v>4</v>
      </c>
      <c r="AM206" s="61">
        <v>5</v>
      </c>
      <c r="AS206" s="61">
        <f t="shared" si="159"/>
        <v>0</v>
      </c>
      <c r="AT206" s="61">
        <f t="shared" si="161"/>
        <v>0</v>
      </c>
      <c r="AU206" s="61"/>
      <c r="AV206" s="61"/>
      <c r="AW206" s="61"/>
      <c r="AX206" s="61" t="s">
        <v>866</v>
      </c>
      <c r="AY206" s="61" t="s">
        <v>867</v>
      </c>
      <c r="AZ206" s="61" t="s">
        <v>868</v>
      </c>
      <c r="BA206" s="61"/>
      <c r="BB206" s="61"/>
      <c r="BC206" s="61"/>
      <c r="BD206" s="61" t="s">
        <v>866</v>
      </c>
      <c r="BE206" s="61" t="s">
        <v>867</v>
      </c>
      <c r="BF206" s="61" t="s">
        <v>868</v>
      </c>
      <c r="BG206" s="61"/>
      <c r="BH206" s="61"/>
      <c r="BI206" s="61"/>
      <c r="BJ206" s="61"/>
      <c r="BK206" s="61" t="s">
        <v>786</v>
      </c>
      <c r="BL206" s="61" t="s">
        <v>786</v>
      </c>
      <c r="BM206" s="61"/>
      <c r="BN206" s="61"/>
      <c r="BO206" s="61"/>
      <c r="BP206" s="61"/>
      <c r="BQ206" s="61"/>
      <c r="BR206" s="61"/>
      <c r="BS206" s="61">
        <v>10</v>
      </c>
      <c r="BT206" s="61">
        <v>15</v>
      </c>
      <c r="BU206" s="61">
        <v>20</v>
      </c>
      <c r="BV206" s="61"/>
      <c r="BW206" s="61"/>
      <c r="BX206" s="61"/>
      <c r="BY206" s="61"/>
      <c r="BZ206" s="61"/>
      <c r="CA206" s="61"/>
      <c r="CB206" s="61"/>
      <c r="CC206" s="61"/>
      <c r="CD206" s="61"/>
      <c r="CE206" s="61"/>
      <c r="CF206" s="61"/>
      <c r="CG206" s="61"/>
      <c r="CH206" s="61"/>
      <c r="CI206" s="61"/>
      <c r="CJ206" s="61"/>
      <c r="CK206" s="61"/>
      <c r="CL206" s="61"/>
      <c r="CM206" s="61" t="s">
        <v>521</v>
      </c>
      <c r="CN206" s="61">
        <v>0</v>
      </c>
      <c r="CO206" s="61">
        <v>0</v>
      </c>
      <c r="CP206" s="61">
        <v>0</v>
      </c>
      <c r="CQ206" s="61">
        <v>4</v>
      </c>
      <c r="CR206" s="61">
        <v>4</v>
      </c>
      <c r="CS206" s="61">
        <v>4</v>
      </c>
      <c r="CT206" s="61">
        <v>8</v>
      </c>
      <c r="CU206" s="61">
        <v>8</v>
      </c>
      <c r="CV206" s="61">
        <v>8</v>
      </c>
      <c r="CW206" s="61">
        <v>12</v>
      </c>
      <c r="CX206" s="61">
        <v>12</v>
      </c>
      <c r="CY206" s="61">
        <v>12</v>
      </c>
      <c r="CZ206" s="61">
        <v>16</v>
      </c>
      <c r="DA206" s="61">
        <v>16</v>
      </c>
      <c r="DB206" s="61">
        <v>16</v>
      </c>
      <c r="DC206" s="61">
        <v>20</v>
      </c>
      <c r="DD206" s="61">
        <v>20</v>
      </c>
      <c r="DE206" s="61">
        <v>24</v>
      </c>
      <c r="DF206" s="61">
        <v>24</v>
      </c>
      <c r="DG206" s="61">
        <v>24</v>
      </c>
      <c r="DH206" s="61">
        <v>28</v>
      </c>
      <c r="DI206" s="61"/>
      <c r="DJ206" s="61"/>
      <c r="DK206" s="61"/>
      <c r="DL206" s="61"/>
      <c r="DM206" s="61"/>
      <c r="DN206" s="61"/>
      <c r="DO206" s="61"/>
      <c r="DP206" s="61"/>
      <c r="DQ206" s="61"/>
      <c r="DR206" s="61"/>
      <c r="DS206" s="61"/>
      <c r="DT206" s="61"/>
      <c r="DU206" s="61"/>
      <c r="DV206" s="61"/>
      <c r="DW206" s="61"/>
      <c r="DX206" s="61"/>
      <c r="DY206" s="61"/>
      <c r="DZ206" s="61"/>
      <c r="EA206" s="61"/>
      <c r="EB206" s="61"/>
      <c r="EC206" s="61"/>
      <c r="ED206" s="61"/>
      <c r="EE206" s="61"/>
      <c r="EF206" s="61"/>
      <c r="EG206" s="61"/>
      <c r="EH206" s="61"/>
      <c r="EI206" s="61"/>
      <c r="EJ206" s="61"/>
      <c r="EK206" s="61"/>
      <c r="EL206" s="61"/>
      <c r="EM206" s="61"/>
      <c r="EN206" s="61"/>
      <c r="EO206" s="61"/>
      <c r="EP206" s="61"/>
      <c r="EQ206" s="61"/>
      <c r="ER206" s="61"/>
      <c r="ES206" s="61"/>
      <c r="ET206" s="61"/>
      <c r="EU206" s="61"/>
      <c r="EV206" s="61"/>
      <c r="EW206" s="61"/>
      <c r="EX206" s="61"/>
      <c r="EY206" s="61"/>
      <c r="EZ206" s="61"/>
      <c r="FA206" s="61"/>
      <c r="FB206" s="61"/>
      <c r="FC206" s="61"/>
      <c r="FD206" s="61"/>
      <c r="FE206" s="61"/>
      <c r="FF206" s="61"/>
      <c r="FG206" s="61"/>
      <c r="FH206" s="61"/>
      <c r="FI206" s="61"/>
      <c r="FJ206" s="61"/>
      <c r="FK206" s="61"/>
      <c r="FL206" s="61"/>
      <c r="FM206" s="61"/>
      <c r="FN206" s="61"/>
      <c r="FO206" s="61"/>
      <c r="FP206" s="61"/>
      <c r="FQ206" s="61"/>
      <c r="FR206" s="61"/>
      <c r="FS206" s="61"/>
      <c r="FT206" s="61"/>
      <c r="FU206" s="61"/>
      <c r="FV206" s="61"/>
      <c r="FW206" s="61"/>
      <c r="FX206" s="61"/>
      <c r="FY206" s="61"/>
      <c r="FZ206" s="61"/>
      <c r="GB206" s="60">
        <v>0</v>
      </c>
      <c r="GC206" s="60">
        <v>1</v>
      </c>
      <c r="GD206" s="60">
        <v>2</v>
      </c>
      <c r="GE206" s="60">
        <v>3</v>
      </c>
      <c r="GF206" s="60">
        <v>4</v>
      </c>
      <c r="GG206" s="60">
        <v>5</v>
      </c>
      <c r="GH206" s="60">
        <v>6</v>
      </c>
      <c r="GI206" s="60">
        <v>7</v>
      </c>
      <c r="GJ206" s="60">
        <v>8</v>
      </c>
      <c r="GK206" s="60">
        <v>9</v>
      </c>
      <c r="GL206" s="60">
        <v>10</v>
      </c>
      <c r="GM206" s="60">
        <v>11</v>
      </c>
      <c r="GN206" s="60">
        <v>12</v>
      </c>
      <c r="GO206" s="60">
        <v>13</v>
      </c>
      <c r="GP206" s="60">
        <v>14</v>
      </c>
      <c r="GQ206" s="60">
        <v>15</v>
      </c>
      <c r="GR206" s="60">
        <v>16</v>
      </c>
      <c r="GS206" s="60">
        <v>17</v>
      </c>
      <c r="GT206" s="60">
        <v>18</v>
      </c>
      <c r="GU206" s="60">
        <v>19</v>
      </c>
      <c r="GV206" s="60">
        <v>20</v>
      </c>
      <c r="GX206" s="60" t="s">
        <v>764</v>
      </c>
    </row>
    <row r="207" spans="1:274" x14ac:dyDescent="0.25">
      <c r="A207" s="8"/>
      <c r="B207" s="5" t="s">
        <v>116</v>
      </c>
      <c r="C207" s="8"/>
      <c r="D207" s="6" t="s">
        <v>307</v>
      </c>
      <c r="E207" s="8" t="s">
        <v>309</v>
      </c>
      <c r="F207" s="362" t="str">
        <f>IF(E207=$Z$104,"wartość balastu określa konstruktor","")</f>
        <v/>
      </c>
      <c r="G207" s="362"/>
      <c r="H207" s="362"/>
      <c r="I207" s="362"/>
      <c r="J207" s="5" t="s">
        <v>119</v>
      </c>
      <c r="K207" s="9"/>
      <c r="L207" s="6" t="s">
        <v>826</v>
      </c>
      <c r="M207" s="11">
        <f>INDEX(cennik!$C$2:$L$529,MATCH($L207,cennik!$B$2:$B$522,0),MATCH(M$205,cennik!$C$1:$L$1,0))</f>
        <v>895322</v>
      </c>
      <c r="N207" s="11" t="str">
        <f>INDEX(cennik!$C$2:$L$529,MATCH($L207,cennik!$B$2:$B$522,0),MATCH(N$104,cennik!$C$1:$L$1,0))</f>
        <v>szt.</v>
      </c>
      <c r="O207" s="11">
        <f>SUM(AE225:AE240)</f>
        <v>0</v>
      </c>
      <c r="P207" s="34">
        <f>INDEX(cennik!$C$2:$L$529,MATCH($L207,cennik!$B$2:$B$522,0),MATCH(P$104,cennik!$C$1:$L$1,0))</f>
        <v>57</v>
      </c>
      <c r="Q207" s="34">
        <f t="shared" ref="Q207:Q213" si="165">O207*P207</f>
        <v>0</v>
      </c>
      <c r="R207" s="35">
        <f t="shared" si="163"/>
        <v>0</v>
      </c>
      <c r="S207" s="34">
        <f t="shared" si="164"/>
        <v>57</v>
      </c>
      <c r="T207" s="34">
        <f t="shared" ref="T207:T213" si="166">O207*S207</f>
        <v>0</v>
      </c>
      <c r="U207" s="34">
        <f>INDEX(cennik!$C$2:$L$529,MATCH($L207,cennik!$B$2:$B$522,0),MATCH(U$104,cennik!$C$1:$L$1,0))*O207</f>
        <v>0</v>
      </c>
      <c r="V207" s="60">
        <f>(((A205*$Z$213)+((A205-1)*20)))</f>
        <v>-20</v>
      </c>
      <c r="W207" s="61">
        <f>(((A205*$Z$213)+((A205-1)*20)))</f>
        <v>-20</v>
      </c>
      <c r="X207" s="61">
        <f t="shared" si="156"/>
        <v>0</v>
      </c>
      <c r="Y207" s="63">
        <v>34</v>
      </c>
      <c r="Z207" s="60" t="s">
        <v>506</v>
      </c>
      <c r="AA207" s="61"/>
      <c r="AB207" s="61">
        <v>4</v>
      </c>
      <c r="AC207" s="61"/>
      <c r="AD207" s="61">
        <f t="shared" si="160"/>
        <v>0</v>
      </c>
      <c r="AE207" s="61">
        <f t="shared" si="157"/>
        <v>0</v>
      </c>
      <c r="AF207" s="61">
        <f t="shared" si="162"/>
        <v>0</v>
      </c>
      <c r="AG207" s="61">
        <f t="shared" si="158"/>
        <v>0</v>
      </c>
      <c r="AH207" s="61">
        <v>1</v>
      </c>
      <c r="AI207" s="61">
        <v>1400</v>
      </c>
      <c r="AJ207" s="61">
        <v>1400</v>
      </c>
      <c r="AK207" s="61">
        <v>1400</v>
      </c>
      <c r="AL207" s="61">
        <v>1100</v>
      </c>
      <c r="AM207" s="61" t="s">
        <v>719</v>
      </c>
      <c r="AS207" s="61">
        <f t="shared" si="159"/>
        <v>0</v>
      </c>
      <c r="AT207" s="61">
        <f t="shared" si="161"/>
        <v>0</v>
      </c>
      <c r="AU207" s="61"/>
      <c r="AV207" s="61"/>
      <c r="AW207" s="61"/>
      <c r="AX20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</f>
        <v>0</v>
      </c>
      <c r="AY20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</f>
        <v>0</v>
      </c>
      <c r="AZ20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</f>
        <v>0</v>
      </c>
      <c r="BA207" s="61"/>
      <c r="BB207" s="61"/>
      <c r="BC207" s="61"/>
      <c r="BD20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)*$C205</f>
        <v>0</v>
      </c>
      <c r="BE20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)*$C205</f>
        <v>0</v>
      </c>
      <c r="BF20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)*$C205</f>
        <v>0</v>
      </c>
      <c r="BG207" s="61"/>
      <c r="BH207" s="61"/>
      <c r="BI207" s="61"/>
      <c r="BJ207" s="61">
        <f>SUM(AX207:AZ207)</f>
        <v>0</v>
      </c>
      <c r="BK207" s="61">
        <f>IF(BJ207&lt;=1,0,IF(BJ207&gt;1,(BJ207*4-4),0))</f>
        <v>0</v>
      </c>
      <c r="BL207" s="61">
        <f t="shared" ref="BL207:BL222" si="167">BK207*C205</f>
        <v>0</v>
      </c>
      <c r="BM207" s="61"/>
      <c r="BN207" s="61"/>
      <c r="BO207" s="61"/>
      <c r="BP207" s="61"/>
      <c r="BQ207" s="61"/>
      <c r="BR207" s="61">
        <v>1100</v>
      </c>
      <c r="BS207" s="61" t="s">
        <v>866</v>
      </c>
      <c r="BT207" s="61" t="s">
        <v>872</v>
      </c>
      <c r="BU207" s="61" t="s">
        <v>873</v>
      </c>
      <c r="BV207" s="61"/>
      <c r="BW207" s="61"/>
      <c r="BX207" s="61"/>
      <c r="BY207" s="61"/>
      <c r="BZ207" s="61"/>
      <c r="CA207" s="61"/>
      <c r="CB207" s="61"/>
      <c r="CC207" s="61"/>
      <c r="CD207" s="61"/>
      <c r="CE207" s="61"/>
      <c r="CF207" s="61"/>
      <c r="CG207" s="61"/>
      <c r="CH207" s="61"/>
      <c r="CI207" s="61"/>
      <c r="CJ207" s="61"/>
      <c r="CK207" s="61"/>
      <c r="CL207" s="61"/>
      <c r="CM207" s="61"/>
      <c r="CN207" s="61"/>
      <c r="CO207" s="61"/>
      <c r="CP207" s="61"/>
      <c r="CQ207" s="61"/>
      <c r="CR207" s="61"/>
      <c r="CS207" s="61"/>
      <c r="CT207" s="61"/>
      <c r="CU207" s="61"/>
      <c r="CV207" s="61"/>
      <c r="CW207" s="61"/>
      <c r="CX207" s="61"/>
      <c r="CY207" s="61"/>
      <c r="CZ207" s="61"/>
      <c r="DA207" s="61"/>
      <c r="DB207" s="61"/>
      <c r="DC207" s="61"/>
      <c r="DD207" s="61"/>
      <c r="DE207" s="61"/>
      <c r="DF207" s="61"/>
      <c r="DG207" s="61"/>
      <c r="DH207" s="61"/>
      <c r="DI207" s="61"/>
      <c r="DJ207" s="61"/>
      <c r="DK207" s="61"/>
      <c r="DL207" s="61"/>
      <c r="DM207" s="61"/>
      <c r="DN207" s="61"/>
      <c r="DO207" s="61"/>
      <c r="DP207" s="61"/>
      <c r="DQ207" s="61"/>
      <c r="DR207" s="61"/>
      <c r="DS207" s="61"/>
      <c r="DT207" s="61"/>
      <c r="DU207" s="61"/>
      <c r="DV207" s="61"/>
      <c r="DW207" s="61"/>
      <c r="DX207" s="61"/>
      <c r="DY207" s="61"/>
      <c r="DZ207" s="61"/>
      <c r="EA207" s="61"/>
      <c r="EB207" s="61"/>
      <c r="EC207" s="61"/>
      <c r="ED207" s="61"/>
      <c r="EE207" s="61"/>
      <c r="EF207" s="61"/>
      <c r="EG207" s="61"/>
      <c r="EH207" s="61"/>
      <c r="EI207" s="61"/>
      <c r="EJ207" s="61"/>
      <c r="EK207" s="61"/>
      <c r="EL207" s="61"/>
      <c r="EM207" s="61"/>
      <c r="EN207" s="61"/>
      <c r="EO207" s="61"/>
      <c r="EP207" s="61"/>
      <c r="EQ207" s="61"/>
      <c r="ER207" s="61"/>
      <c r="ES207" s="61"/>
      <c r="ET207" s="61"/>
      <c r="EU207" s="61"/>
      <c r="EV207" s="61"/>
      <c r="EW207" s="61"/>
      <c r="EX207" s="61"/>
      <c r="EY207" s="61"/>
      <c r="EZ207" s="61"/>
      <c r="FA207" s="61"/>
      <c r="FB207" s="61"/>
      <c r="FC207" s="61"/>
      <c r="FD207" s="61"/>
      <c r="FE207" s="61"/>
      <c r="FF207" s="61"/>
      <c r="FG207" s="61"/>
      <c r="FH207" s="61"/>
      <c r="FI207" s="61"/>
      <c r="FJ207" s="61"/>
      <c r="FK207" s="61"/>
      <c r="FL207" s="61"/>
      <c r="FM207" s="61"/>
      <c r="FN207" s="61"/>
      <c r="FO207" s="61"/>
      <c r="FP207" s="61"/>
      <c r="FQ207" s="61"/>
      <c r="FR207" s="61"/>
      <c r="FS207" s="61"/>
      <c r="FT207" s="61"/>
      <c r="FU207" s="61"/>
      <c r="FV207" s="61"/>
      <c r="FW207" s="61"/>
      <c r="FX207" s="61"/>
      <c r="FY207" s="61"/>
      <c r="FZ207" s="61"/>
      <c r="GA207" s="145" t="s">
        <v>866</v>
      </c>
      <c r="GB207" s="60">
        <v>0</v>
      </c>
      <c r="GC207" s="60">
        <v>0</v>
      </c>
      <c r="GD207" s="60">
        <v>0</v>
      </c>
      <c r="GE207" s="60">
        <v>0</v>
      </c>
      <c r="GF207" s="60">
        <v>0</v>
      </c>
      <c r="GG207" s="60">
        <v>0</v>
      </c>
      <c r="GH207" s="60">
        <v>1</v>
      </c>
      <c r="GI207" s="60">
        <v>1</v>
      </c>
      <c r="GJ207" s="60">
        <v>1</v>
      </c>
      <c r="GK207" s="60">
        <v>1</v>
      </c>
      <c r="GL207" s="60">
        <v>1</v>
      </c>
      <c r="GM207" s="60">
        <v>1</v>
      </c>
      <c r="GN207" s="60">
        <v>1</v>
      </c>
      <c r="GO207" s="60">
        <v>2</v>
      </c>
      <c r="GP207" s="60">
        <v>2</v>
      </c>
      <c r="GQ207" s="60">
        <v>2</v>
      </c>
      <c r="GR207" s="60">
        <v>2</v>
      </c>
      <c r="GS207" s="60">
        <v>2</v>
      </c>
      <c r="GT207" s="60">
        <v>2</v>
      </c>
      <c r="GU207" s="60">
        <v>2</v>
      </c>
      <c r="GV207" s="60">
        <v>2</v>
      </c>
      <c r="GY207" s="60">
        <v>0</v>
      </c>
      <c r="GZ207" s="60">
        <v>1</v>
      </c>
      <c r="HA207" s="60">
        <v>2</v>
      </c>
      <c r="HB207" s="60">
        <v>3</v>
      </c>
      <c r="HC207" s="60">
        <v>4</v>
      </c>
      <c r="HD207" s="60">
        <v>5</v>
      </c>
      <c r="HE207" s="60">
        <v>6</v>
      </c>
      <c r="HF207" s="60">
        <v>7</v>
      </c>
      <c r="HG207" s="60">
        <v>8</v>
      </c>
      <c r="HH207" s="60">
        <v>9</v>
      </c>
      <c r="HI207" s="60">
        <v>10</v>
      </c>
      <c r="HJ207" s="60">
        <v>11</v>
      </c>
      <c r="HK207" s="60">
        <v>12</v>
      </c>
      <c r="HL207" s="60">
        <v>13</v>
      </c>
      <c r="HM207" s="60">
        <v>14</v>
      </c>
      <c r="HN207" s="60">
        <v>15</v>
      </c>
      <c r="HO207" s="60">
        <v>16</v>
      </c>
      <c r="HP207" s="60">
        <v>17</v>
      </c>
      <c r="HQ207" s="60">
        <v>18</v>
      </c>
      <c r="HR207" s="60">
        <v>19</v>
      </c>
      <c r="HS207" s="60">
        <v>20</v>
      </c>
      <c r="HU207" s="143"/>
      <c r="HV207" s="141" t="s">
        <v>833</v>
      </c>
      <c r="IS207" s="60" t="s">
        <v>833</v>
      </c>
    </row>
    <row r="208" spans="1:274" x14ac:dyDescent="0.25">
      <c r="A208" s="8"/>
      <c r="B208" s="5" t="s">
        <v>116</v>
      </c>
      <c r="C208" s="8"/>
      <c r="D208" s="6" t="s">
        <v>310</v>
      </c>
      <c r="E208" s="8">
        <v>15</v>
      </c>
      <c r="F208" s="362"/>
      <c r="G208" s="362"/>
      <c r="H208" s="362"/>
      <c r="I208" s="362"/>
      <c r="J208" s="5" t="s">
        <v>411</v>
      </c>
      <c r="K208" s="9"/>
      <c r="L208" s="6" t="s">
        <v>853</v>
      </c>
      <c r="M208" s="11">
        <f>INDEX(cennik!$C$2:$L$529,MATCH($L208,cennik!$B$2:$B$522,0),MATCH(M$205,cennik!$C$1:$L$1,0))</f>
        <v>620415</v>
      </c>
      <c r="N208" s="11" t="str">
        <f>INDEX(cennik!$C$2:$L$529,MATCH($L208,cennik!$B$2:$B$522,0),MATCH(N$104,cennik!$C$1:$L$1,0))</f>
        <v>szt.</v>
      </c>
      <c r="O208" s="11">
        <f>SUM(AD225:AD240)</f>
        <v>0</v>
      </c>
      <c r="P208" s="34">
        <f>INDEX(cennik!$C$2:$L$529,MATCH($L208,cennik!$B$2:$B$522,0),MATCH(P$104,cennik!$C$1:$L$1,0))</f>
        <v>8.33</v>
      </c>
      <c r="Q208" s="34">
        <f t="shared" si="165"/>
        <v>0</v>
      </c>
      <c r="R208" s="35">
        <f t="shared" si="163"/>
        <v>0</v>
      </c>
      <c r="S208" s="34">
        <f t="shared" si="164"/>
        <v>8.33</v>
      </c>
      <c r="T208" s="34">
        <f t="shared" si="166"/>
        <v>0</v>
      </c>
      <c r="U208" s="34">
        <f>INDEX(cennik!$C$2:$L$529,MATCH($L208,cennik!$B$2:$B$522,0),MATCH(U$104,cennik!$C$1:$L$1,0))*O208</f>
        <v>0</v>
      </c>
      <c r="V208" s="60">
        <f>(INT((((A205*$Z$213)+((A205-1)*20))/900)))</f>
        <v>-1</v>
      </c>
      <c r="W208" s="61">
        <f>(INT((((A205*$Z$213)+((A205-1)*20))/$E$212))+1)</f>
        <v>0</v>
      </c>
      <c r="X208" s="61">
        <f t="shared" si="156"/>
        <v>0</v>
      </c>
      <c r="Y208" s="63">
        <v>35</v>
      </c>
      <c r="Z208" s="61" t="s">
        <v>830</v>
      </c>
      <c r="AA208" s="61"/>
      <c r="AB208" s="61">
        <v>5</v>
      </c>
      <c r="AC208" s="61"/>
      <c r="AD208" s="61">
        <f t="shared" si="160"/>
        <v>0</v>
      </c>
      <c r="AE208" s="61">
        <f t="shared" si="157"/>
        <v>0</v>
      </c>
      <c r="AF208" s="61">
        <f t="shared" si="162"/>
        <v>0</v>
      </c>
      <c r="AG208" s="61">
        <f t="shared" si="158"/>
        <v>0</v>
      </c>
      <c r="AH208" s="61">
        <v>2</v>
      </c>
      <c r="AI208" s="61" t="s">
        <v>719</v>
      </c>
      <c r="AJ208" s="61">
        <v>700</v>
      </c>
      <c r="AK208" s="61">
        <v>700</v>
      </c>
      <c r="AL208" s="61" t="s">
        <v>719</v>
      </c>
      <c r="AM208" s="61" t="s">
        <v>719</v>
      </c>
      <c r="AS208" s="61">
        <f t="shared" si="159"/>
        <v>0</v>
      </c>
      <c r="AT208" s="61">
        <f t="shared" si="161"/>
        <v>0</v>
      </c>
      <c r="AU208" s="61"/>
      <c r="AV208" s="61"/>
      <c r="AW208" s="61"/>
      <c r="AX20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</f>
        <v>0</v>
      </c>
      <c r="AY20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</f>
        <v>0</v>
      </c>
      <c r="AZ20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</f>
        <v>0</v>
      </c>
      <c r="BA208" s="61"/>
      <c r="BB208" s="61"/>
      <c r="BC208" s="61"/>
      <c r="BD20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)*$C206</f>
        <v>0</v>
      </c>
      <c r="BE20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)*$C206</f>
        <v>0</v>
      </c>
      <c r="BF20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)*$C206</f>
        <v>0</v>
      </c>
      <c r="BG208" s="61"/>
      <c r="BH208" s="61"/>
      <c r="BI208" s="61"/>
      <c r="BJ208" s="61">
        <f>SUM(AX208:AZ208)</f>
        <v>0</v>
      </c>
      <c r="BK208" s="61">
        <f t="shared" ref="BK208:BK222" si="168">IF(BJ208&lt;=1,0,IF(BJ208&gt;1,(BJ208*4-4),0))</f>
        <v>0</v>
      </c>
      <c r="BL208" s="61">
        <f t="shared" si="167"/>
        <v>0</v>
      </c>
      <c r="BM208" s="61"/>
      <c r="BN208" s="61"/>
      <c r="BO208" s="61"/>
      <c r="BP208" s="61"/>
      <c r="BQ208" s="61"/>
      <c r="BR208" s="61">
        <v>1300</v>
      </c>
      <c r="BS208" s="61" t="s">
        <v>866</v>
      </c>
      <c r="BT208" s="61" t="s">
        <v>872</v>
      </c>
      <c r="BU208" s="61" t="s">
        <v>873</v>
      </c>
      <c r="BV208" s="61"/>
      <c r="BW208" s="61"/>
      <c r="BX208" s="61"/>
      <c r="BY208" s="61"/>
      <c r="BZ208" s="61"/>
      <c r="CA208" s="61"/>
      <c r="CB208" s="61"/>
      <c r="CC208" s="61"/>
      <c r="CD208" s="61"/>
      <c r="CE208" s="61"/>
      <c r="CF208" s="61"/>
      <c r="CG208" s="61"/>
      <c r="CH208" s="61"/>
      <c r="CI208" s="61"/>
      <c r="CJ208" s="61"/>
      <c r="CK208" s="61"/>
      <c r="CL208" s="61"/>
      <c r="CM208" s="61"/>
      <c r="CN208" s="61"/>
      <c r="CO208" s="61"/>
      <c r="CP208" s="61"/>
      <c r="CQ208" s="61"/>
      <c r="CR208" s="61"/>
      <c r="CS208" s="61"/>
      <c r="CT208" s="61"/>
      <c r="CU208" s="61"/>
      <c r="CV208" s="61"/>
      <c r="CW208" s="61"/>
      <c r="CX208" s="61"/>
      <c r="CY208" s="61"/>
      <c r="CZ208" s="61"/>
      <c r="DA208" s="61"/>
      <c r="DB208" s="61"/>
      <c r="DC208" s="61"/>
      <c r="DD208" s="61"/>
      <c r="DE208" s="61"/>
      <c r="DF208" s="61"/>
      <c r="DG208" s="61"/>
      <c r="DH208" s="61"/>
      <c r="DI208" s="61"/>
      <c r="DJ208" s="61"/>
      <c r="DK208" s="61"/>
      <c r="DL208" s="61"/>
      <c r="DM208" s="61"/>
      <c r="DN208" s="61"/>
      <c r="DO208" s="61"/>
      <c r="DP208" s="61"/>
      <c r="DQ208" s="61"/>
      <c r="DR208" s="61"/>
      <c r="DS208" s="61"/>
      <c r="DT208" s="61"/>
      <c r="DU208" s="61"/>
      <c r="DV208" s="61"/>
      <c r="DW208" s="61"/>
      <c r="DX208" s="61"/>
      <c r="DY208" s="61"/>
      <c r="DZ208" s="61"/>
      <c r="EA208" s="61"/>
      <c r="EB208" s="61"/>
      <c r="EC208" s="61"/>
      <c r="ED208" s="61"/>
      <c r="EE208" s="61"/>
      <c r="EF208" s="61"/>
      <c r="EG208" s="61"/>
      <c r="EH208" s="61"/>
      <c r="EI208" s="61"/>
      <c r="EJ208" s="61"/>
      <c r="EK208" s="61"/>
      <c r="EL208" s="61"/>
      <c r="EM208" s="61"/>
      <c r="EN208" s="61"/>
      <c r="EO208" s="61"/>
      <c r="EP208" s="61"/>
      <c r="EQ208" s="61"/>
      <c r="ER208" s="61"/>
      <c r="ES208" s="61"/>
      <c r="ET208" s="61"/>
      <c r="EU208" s="61"/>
      <c r="EV208" s="61"/>
      <c r="EW208" s="61"/>
      <c r="EX208" s="61"/>
      <c r="EY208" s="61"/>
      <c r="EZ208" s="61"/>
      <c r="FA208" s="61"/>
      <c r="FB208" s="61"/>
      <c r="FC208" s="61"/>
      <c r="FD208" s="61"/>
      <c r="FE208" s="61"/>
      <c r="FF208" s="61"/>
      <c r="FG208" s="61"/>
      <c r="FH208" s="61"/>
      <c r="FI208" s="61"/>
      <c r="FJ208" s="61"/>
      <c r="FK208" s="61"/>
      <c r="FL208" s="61"/>
      <c r="FM208" s="61"/>
      <c r="FN208" s="61"/>
      <c r="FO208" s="61"/>
      <c r="FP208" s="61"/>
      <c r="FQ208" s="61"/>
      <c r="FR208" s="61"/>
      <c r="FS208" s="61"/>
      <c r="FT208" s="61"/>
      <c r="FU208" s="61"/>
      <c r="FV208" s="61"/>
      <c r="FW208" s="61"/>
      <c r="FX208" s="61"/>
      <c r="FY208" s="61"/>
      <c r="FZ208" s="61"/>
      <c r="GA208" s="145" t="s">
        <v>867</v>
      </c>
      <c r="GB208" s="60">
        <v>0</v>
      </c>
      <c r="GC208" s="60">
        <v>1</v>
      </c>
      <c r="GD208" s="60">
        <v>2</v>
      </c>
      <c r="GE208" s="60">
        <v>3</v>
      </c>
      <c r="GF208" s="60">
        <v>4</v>
      </c>
      <c r="GG208" s="60">
        <v>5</v>
      </c>
      <c r="GH208" s="60">
        <v>5</v>
      </c>
      <c r="GI208" s="60">
        <v>6</v>
      </c>
      <c r="GJ208" s="60">
        <v>7</v>
      </c>
      <c r="GK208" s="60">
        <v>8</v>
      </c>
      <c r="GL208" s="60">
        <v>9</v>
      </c>
      <c r="GM208" s="60">
        <v>10</v>
      </c>
      <c r="GN208" s="60">
        <v>11</v>
      </c>
      <c r="GO208" s="60">
        <v>11</v>
      </c>
      <c r="GP208" s="60">
        <v>12</v>
      </c>
      <c r="GQ208" s="60">
        <v>13</v>
      </c>
      <c r="GR208" s="60">
        <v>14</v>
      </c>
      <c r="GS208" s="60">
        <v>15</v>
      </c>
      <c r="GT208" s="60">
        <v>16</v>
      </c>
      <c r="GU208" s="60">
        <v>17</v>
      </c>
      <c r="GV208" s="60">
        <v>18</v>
      </c>
      <c r="GX208" s="145" t="s">
        <v>866</v>
      </c>
      <c r="GY208" s="60">
        <v>0</v>
      </c>
      <c r="GZ208" s="61">
        <f>FY273</f>
        <v>0</v>
      </c>
      <c r="HA208" s="60">
        <v>2</v>
      </c>
      <c r="HB208" s="60">
        <v>1</v>
      </c>
      <c r="HC208" s="60">
        <v>5</v>
      </c>
      <c r="HD208" s="60">
        <v>4</v>
      </c>
      <c r="HE208" s="60">
        <v>2</v>
      </c>
      <c r="HF208" s="60">
        <v>1</v>
      </c>
      <c r="HG208" s="60">
        <v>5</v>
      </c>
      <c r="HH208" s="60">
        <v>4</v>
      </c>
      <c r="HI208" s="60">
        <v>2</v>
      </c>
      <c r="HJ208" s="60">
        <v>0</v>
      </c>
      <c r="HK208" s="60">
        <v>5</v>
      </c>
      <c r="HL208" s="60">
        <v>3</v>
      </c>
      <c r="HM208" s="60">
        <v>2</v>
      </c>
      <c r="HN208" s="60">
        <v>0</v>
      </c>
      <c r="HO208" s="60">
        <v>4</v>
      </c>
      <c r="HP208" s="60">
        <v>3</v>
      </c>
      <c r="HQ208" s="60">
        <v>1</v>
      </c>
      <c r="HR208" s="60">
        <v>0</v>
      </c>
      <c r="HS208" s="60">
        <v>4</v>
      </c>
      <c r="HW208" s="60">
        <v>0</v>
      </c>
      <c r="HX208" s="60">
        <v>1</v>
      </c>
      <c r="HY208" s="60">
        <v>2</v>
      </c>
      <c r="HZ208" s="60">
        <v>3</v>
      </c>
      <c r="IA208" s="60">
        <v>4</v>
      </c>
      <c r="IB208" s="60">
        <v>5</v>
      </c>
      <c r="IC208" s="60">
        <v>6</v>
      </c>
      <c r="ID208" s="60">
        <v>7</v>
      </c>
      <c r="IE208" s="60">
        <v>8</v>
      </c>
      <c r="IF208" s="60">
        <v>9</v>
      </c>
      <c r="IG208" s="60">
        <v>10</v>
      </c>
      <c r="IH208" s="60">
        <v>11</v>
      </c>
      <c r="II208" s="60">
        <v>12</v>
      </c>
      <c r="IJ208" s="60">
        <v>13</v>
      </c>
      <c r="IK208" s="60">
        <v>14</v>
      </c>
      <c r="IL208" s="60">
        <v>15</v>
      </c>
      <c r="IM208" s="60">
        <v>16</v>
      </c>
      <c r="IN208" s="60">
        <v>17</v>
      </c>
      <c r="IO208" s="60">
        <v>18</v>
      </c>
      <c r="IP208" s="60">
        <v>19</v>
      </c>
      <c r="IQ208" s="60">
        <v>20</v>
      </c>
      <c r="IT208" s="60">
        <f t="shared" si="125"/>
        <v>0</v>
      </c>
      <c r="IU208" s="60">
        <f t="shared" si="126"/>
        <v>2</v>
      </c>
      <c r="IV208" s="60">
        <f t="shared" si="127"/>
        <v>4</v>
      </c>
      <c r="IW208" s="60">
        <f t="shared" si="128"/>
        <v>6</v>
      </c>
      <c r="IX208" s="60">
        <f t="shared" si="129"/>
        <v>8</v>
      </c>
      <c r="IY208" s="60">
        <f t="shared" si="130"/>
        <v>10</v>
      </c>
      <c r="IZ208" s="60">
        <f t="shared" si="131"/>
        <v>12</v>
      </c>
      <c r="JA208" s="60">
        <f t="shared" si="132"/>
        <v>14</v>
      </c>
      <c r="JB208" s="60">
        <f t="shared" si="122"/>
        <v>16</v>
      </c>
      <c r="JC208" s="60">
        <f t="shared" si="133"/>
        <v>18</v>
      </c>
      <c r="JD208" s="60">
        <f t="shared" si="134"/>
        <v>20</v>
      </c>
      <c r="JE208" s="60">
        <f t="shared" si="135"/>
        <v>22</v>
      </c>
      <c r="JF208" s="60">
        <f t="shared" si="136"/>
        <v>24</v>
      </c>
      <c r="JG208" s="60">
        <f t="shared" si="137"/>
        <v>26</v>
      </c>
      <c r="JH208" s="60">
        <f t="shared" si="138"/>
        <v>28</v>
      </c>
      <c r="JI208" s="60">
        <f t="shared" si="139"/>
        <v>30</v>
      </c>
      <c r="JJ208" s="60">
        <f t="shared" si="140"/>
        <v>32</v>
      </c>
      <c r="JK208" s="60">
        <f t="shared" si="141"/>
        <v>34</v>
      </c>
      <c r="JL208" s="60">
        <f t="shared" si="142"/>
        <v>36</v>
      </c>
      <c r="JM208" s="60">
        <f t="shared" si="143"/>
        <v>38</v>
      </c>
      <c r="JN208" s="60">
        <f t="shared" si="144"/>
        <v>40</v>
      </c>
    </row>
    <row r="209" spans="1:274" x14ac:dyDescent="0.25">
      <c r="A209" s="8"/>
      <c r="B209" s="5" t="s">
        <v>116</v>
      </c>
      <c r="C209" s="8"/>
      <c r="D209" s="6" t="s">
        <v>162</v>
      </c>
      <c r="E209" s="8">
        <v>0</v>
      </c>
      <c r="F209" s="5"/>
      <c r="G209" s="5"/>
      <c r="H209" s="5"/>
      <c r="I209" s="5"/>
      <c r="J209" s="5" t="s">
        <v>163</v>
      </c>
      <c r="K209" s="9"/>
      <c r="L209" s="6" t="str">
        <f>IF($G$206=$X$128,"CC55H50/1,35MC",IF($G$206=$X$129,"CC55H50/1,35MC",IF($G$206=$X$130,"CC55H50/1,35MC",IF($G$206=$X$131,"CC55H50/1,35MC",IF($G$206=$X$132,"CC55H50/1,55MC",IF($G$206=$X$133,"CC55H50/1,55MC",IF($G$206=$X$134,"CC55H50/1,55MC",IF($G$206=$X$135,"CC55H50/1,55MC",0))))))))</f>
        <v>CC55H50/1,35MC</v>
      </c>
      <c r="M209" s="11">
        <f>INDEX(cennik!$C$2:$L$529,MATCH($L209,cennik!$B$2:$B$522,0),MATCH(M$205,cennik!$C$1:$L$1,0))</f>
        <v>895535</v>
      </c>
      <c r="N209" s="11" t="str">
        <f>INDEX(cennik!$C$2:$L$529,MATCH($L209,cennik!$B$2:$B$522,0),MATCH(N$104,cennik!$C$1:$L$1,0))</f>
        <v>szt.</v>
      </c>
      <c r="O209" s="11">
        <f>SUM(AF203:AF218)</f>
        <v>0</v>
      </c>
      <c r="P209" s="34">
        <f>INDEX(cennik!$C$2:$L$529,MATCH($L209,cennik!$B$2:$B$522,0),MATCH(P$104,cennik!$C$1:$L$1,0))</f>
        <v>42</v>
      </c>
      <c r="Q209" s="34">
        <f t="shared" si="165"/>
        <v>0</v>
      </c>
      <c r="R209" s="35">
        <f t="shared" si="163"/>
        <v>0</v>
      </c>
      <c r="S209" s="34">
        <f t="shared" si="164"/>
        <v>42</v>
      </c>
      <c r="T209" s="34">
        <f t="shared" si="166"/>
        <v>0</v>
      </c>
      <c r="U209" s="34">
        <f>INDEX(cennik!$C$2:$L$529,MATCH($L209,cennik!$B$2:$B$522,0),MATCH(U$104,cennik!$C$1:$L$1,0))*O209</f>
        <v>0</v>
      </c>
      <c r="V209" s="60">
        <f>(INT((((A205*$Z$213)+((A205-1)*20))/900))+1)</f>
        <v>0</v>
      </c>
      <c r="W209" s="61">
        <f>(INT((((A205*$Z$213)+((A205-1)*20))/$E$212))+2)</f>
        <v>1</v>
      </c>
      <c r="X209" s="61">
        <f t="shared" si="156"/>
        <v>0</v>
      </c>
      <c r="Y209" s="63">
        <v>38</v>
      </c>
      <c r="Z209" s="60" t="s">
        <v>506</v>
      </c>
      <c r="AA209" s="61"/>
      <c r="AB209" s="61"/>
      <c r="AC209" s="61"/>
      <c r="AD209" s="61">
        <f t="shared" si="160"/>
        <v>0</v>
      </c>
      <c r="AE209" s="61">
        <f t="shared" si="157"/>
        <v>0</v>
      </c>
      <c r="AF209" s="61">
        <f t="shared" si="162"/>
        <v>0</v>
      </c>
      <c r="AG209" s="61">
        <f t="shared" si="158"/>
        <v>0</v>
      </c>
      <c r="AH209" s="61" t="s">
        <v>725</v>
      </c>
      <c r="AI209" s="61">
        <v>1000</v>
      </c>
      <c r="AJ209" s="61" t="s">
        <v>719</v>
      </c>
      <c r="AK209" s="61">
        <v>700</v>
      </c>
      <c r="AL209" s="61" t="s">
        <v>719</v>
      </c>
      <c r="AM209" s="61">
        <v>600</v>
      </c>
      <c r="AS209" s="61">
        <f t="shared" si="159"/>
        <v>0</v>
      </c>
      <c r="AT209" s="61">
        <f t="shared" si="161"/>
        <v>0</v>
      </c>
      <c r="AU209" s="61"/>
      <c r="AV209" s="61"/>
      <c r="AW209" s="61"/>
      <c r="AX20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</f>
        <v>0</v>
      </c>
      <c r="AY20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</f>
        <v>0</v>
      </c>
      <c r="AZ20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</f>
        <v>0</v>
      </c>
      <c r="BA209" s="61"/>
      <c r="BB209" s="61"/>
      <c r="BC209" s="61"/>
      <c r="BD20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)*$C207</f>
        <v>0</v>
      </c>
      <c r="BE20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)*$C207</f>
        <v>0</v>
      </c>
      <c r="BF20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)*$C207</f>
        <v>0</v>
      </c>
      <c r="BG209" s="61"/>
      <c r="BH209" s="61"/>
      <c r="BI209" s="61"/>
      <c r="BJ209" s="61">
        <f t="shared" ref="BJ209:BJ222" si="169">SUM(AX209:AZ209)</f>
        <v>0</v>
      </c>
      <c r="BK209" s="61">
        <f t="shared" si="168"/>
        <v>0</v>
      </c>
      <c r="BL209" s="61">
        <f t="shared" si="167"/>
        <v>0</v>
      </c>
      <c r="BM209" s="61"/>
      <c r="BN209" s="61"/>
      <c r="BO209" s="61"/>
      <c r="BP209" s="61"/>
      <c r="BQ209" s="61"/>
      <c r="BR209" s="61">
        <v>1400</v>
      </c>
      <c r="BS209" s="61" t="s">
        <v>866</v>
      </c>
      <c r="BT209" s="61" t="s">
        <v>872</v>
      </c>
      <c r="BU209" s="61" t="s">
        <v>873</v>
      </c>
      <c r="BV209" s="61"/>
      <c r="BW209" s="61"/>
      <c r="BX209" s="61"/>
      <c r="BY209" s="61"/>
      <c r="BZ209" s="61"/>
      <c r="CA209" s="61"/>
      <c r="CB209" s="61"/>
      <c r="CC209" s="61"/>
      <c r="CD209" s="61"/>
      <c r="CE209" s="61"/>
      <c r="CF209" s="61"/>
      <c r="CG209" s="61"/>
      <c r="CH209" s="61"/>
      <c r="CI209" s="61"/>
      <c r="CJ209" s="61"/>
      <c r="CK209" s="61"/>
      <c r="CL209" s="61"/>
      <c r="CM209" s="61"/>
      <c r="CN209" s="61"/>
      <c r="CO209" s="61"/>
      <c r="CP209" s="61"/>
      <c r="CQ209" s="61"/>
      <c r="CR209" s="61"/>
      <c r="CS209" s="61"/>
      <c r="CT209" s="61"/>
      <c r="CU209" s="61"/>
      <c r="CV209" s="61"/>
      <c r="CW209" s="61"/>
      <c r="CX209" s="61"/>
      <c r="CY209" s="61"/>
      <c r="CZ209" s="61"/>
      <c r="DA209" s="61"/>
      <c r="DB209" s="61"/>
      <c r="DC209" s="61"/>
      <c r="DD209" s="61"/>
      <c r="DE209" s="61"/>
      <c r="DF209" s="61"/>
      <c r="DG209" s="61"/>
      <c r="DH209" s="61"/>
      <c r="DI209" s="61"/>
      <c r="DJ209" s="61"/>
      <c r="DK209" s="61"/>
      <c r="DL209" s="61"/>
      <c r="DM209" s="61"/>
      <c r="DN209" s="61"/>
      <c r="DO209" s="61"/>
      <c r="DP209" s="61"/>
      <c r="DQ209" s="61"/>
      <c r="DR209" s="61"/>
      <c r="DS209" s="61"/>
      <c r="DT209" s="61"/>
      <c r="DU209" s="61"/>
      <c r="DV209" s="61"/>
      <c r="DW209" s="61"/>
      <c r="DX209" s="61"/>
      <c r="DY209" s="61"/>
      <c r="DZ209" s="61"/>
      <c r="EA209" s="61"/>
      <c r="EB209" s="61"/>
      <c r="EC209" s="61"/>
      <c r="ED209" s="61"/>
      <c r="EE209" s="61"/>
      <c r="EF209" s="61"/>
      <c r="EG209" s="61"/>
      <c r="EH209" s="61"/>
      <c r="EI209" s="61"/>
      <c r="EJ209" s="61"/>
      <c r="EK209" s="61"/>
      <c r="EL209" s="61"/>
      <c r="EM209" s="61"/>
      <c r="EN209" s="61"/>
      <c r="EO209" s="61"/>
      <c r="EP209" s="61"/>
      <c r="EQ209" s="61"/>
      <c r="ER209" s="61"/>
      <c r="ES209" s="61"/>
      <c r="ET209" s="61"/>
      <c r="EU209" s="61"/>
      <c r="EV209" s="61"/>
      <c r="EW209" s="61"/>
      <c r="EX209" s="61"/>
      <c r="EY209" s="61"/>
      <c r="EZ209" s="61"/>
      <c r="FA209" s="61"/>
      <c r="FB209" s="61"/>
      <c r="FC209" s="61"/>
      <c r="FD209" s="61"/>
      <c r="FE209" s="61"/>
      <c r="FF209" s="61"/>
      <c r="FG209" s="61"/>
      <c r="FH209" s="61"/>
      <c r="FI209" s="61"/>
      <c r="FJ209" s="61"/>
      <c r="FK209" s="61"/>
      <c r="FL209" s="61"/>
      <c r="FM209" s="61"/>
      <c r="FN209" s="61"/>
      <c r="FO209" s="61"/>
      <c r="FP209" s="61"/>
      <c r="FQ209" s="61"/>
      <c r="FR209" s="61"/>
      <c r="FS209" s="61"/>
      <c r="FT209" s="61"/>
      <c r="FU209" s="61"/>
      <c r="FV209" s="61"/>
      <c r="FW209" s="61"/>
      <c r="FX209" s="61"/>
      <c r="FY209" s="61"/>
      <c r="FZ209" s="61"/>
      <c r="GA209" s="145" t="s">
        <v>868</v>
      </c>
      <c r="GB209" s="60">
        <v>0</v>
      </c>
      <c r="GC209" s="60">
        <v>0</v>
      </c>
      <c r="GD209" s="60">
        <v>0</v>
      </c>
      <c r="GE209" s="60">
        <v>0</v>
      </c>
      <c r="GF209" s="60">
        <v>0</v>
      </c>
      <c r="GG209" s="60">
        <v>0</v>
      </c>
      <c r="GH209" s="60">
        <v>0</v>
      </c>
      <c r="GI209" s="60">
        <v>0</v>
      </c>
      <c r="GJ209" s="60">
        <v>0</v>
      </c>
      <c r="GK209" s="60">
        <v>0</v>
      </c>
      <c r="GL209" s="60">
        <v>0</v>
      </c>
      <c r="GM209" s="60">
        <v>0</v>
      </c>
      <c r="GN209" s="60">
        <v>0</v>
      </c>
      <c r="GO209" s="60">
        <v>0</v>
      </c>
      <c r="GP209" s="60">
        <v>0</v>
      </c>
      <c r="GQ209" s="60">
        <v>0</v>
      </c>
      <c r="GR209" s="60">
        <v>0</v>
      </c>
      <c r="GS209" s="60">
        <v>0</v>
      </c>
      <c r="GT209" s="60">
        <v>0</v>
      </c>
      <c r="GU209" s="60">
        <v>0</v>
      </c>
      <c r="GV209" s="60">
        <v>0</v>
      </c>
      <c r="GX209" s="145" t="s">
        <v>867</v>
      </c>
      <c r="GY209" s="60">
        <v>0</v>
      </c>
      <c r="GZ209" s="61">
        <f>FY274</f>
        <v>0</v>
      </c>
      <c r="HA209" s="60">
        <v>1</v>
      </c>
      <c r="HB209" s="60">
        <v>3</v>
      </c>
      <c r="HC209" s="60">
        <v>1</v>
      </c>
      <c r="HD209" s="60">
        <v>3</v>
      </c>
      <c r="HE209" s="60">
        <v>6</v>
      </c>
      <c r="HF209" s="60">
        <v>8</v>
      </c>
      <c r="HG209" s="60">
        <v>6</v>
      </c>
      <c r="HH209" s="60">
        <v>8</v>
      </c>
      <c r="HI209" s="60">
        <v>11</v>
      </c>
      <c r="HJ209" s="60">
        <v>14</v>
      </c>
      <c r="HK209" s="60">
        <v>11</v>
      </c>
      <c r="HL209" s="60">
        <v>14</v>
      </c>
      <c r="HM209" s="60">
        <v>16</v>
      </c>
      <c r="HN209" s="60">
        <v>19</v>
      </c>
      <c r="HO209" s="60">
        <v>17</v>
      </c>
      <c r="HP209" s="60">
        <v>19</v>
      </c>
      <c r="HQ209" s="60">
        <v>22</v>
      </c>
      <c r="HR209" s="60">
        <v>24</v>
      </c>
      <c r="HS209" s="60">
        <v>22</v>
      </c>
      <c r="HV209" s="60" t="s">
        <v>826</v>
      </c>
      <c r="HW209" s="60">
        <v>0</v>
      </c>
      <c r="HX209" s="60">
        <v>2</v>
      </c>
      <c r="HY209" s="60">
        <v>2</v>
      </c>
      <c r="HZ209" s="60">
        <v>4</v>
      </c>
      <c r="IA209" s="60">
        <v>0</v>
      </c>
      <c r="IB209" s="60">
        <v>2</v>
      </c>
      <c r="IC209" s="60">
        <v>2</v>
      </c>
      <c r="ID209" s="60">
        <v>4</v>
      </c>
      <c r="IE209" s="60">
        <v>0</v>
      </c>
      <c r="IF209" s="60">
        <v>0</v>
      </c>
      <c r="IG209" s="60">
        <v>2</v>
      </c>
      <c r="IH209" s="60">
        <v>4</v>
      </c>
      <c r="II209" s="60">
        <v>4</v>
      </c>
      <c r="IJ209" s="60">
        <v>0</v>
      </c>
      <c r="IK209" s="60">
        <v>2</v>
      </c>
      <c r="IL209" s="60">
        <v>4</v>
      </c>
      <c r="IM209" s="60">
        <v>4</v>
      </c>
      <c r="IN209" s="60">
        <v>0</v>
      </c>
      <c r="IO209" s="60">
        <v>2</v>
      </c>
      <c r="IP209" s="60">
        <v>2</v>
      </c>
      <c r="IQ209" s="60">
        <v>4</v>
      </c>
      <c r="IS209" s="60" t="s">
        <v>826</v>
      </c>
      <c r="IT209" s="60">
        <f t="shared" si="125"/>
        <v>0</v>
      </c>
      <c r="IU209" s="60">
        <f t="shared" si="126"/>
        <v>4</v>
      </c>
      <c r="IV209" s="60">
        <f t="shared" si="127"/>
        <v>4</v>
      </c>
      <c r="IW209" s="60">
        <f t="shared" si="128"/>
        <v>8</v>
      </c>
      <c r="IX209" s="60">
        <f t="shared" si="129"/>
        <v>0</v>
      </c>
      <c r="IY209" s="60">
        <f t="shared" si="130"/>
        <v>4</v>
      </c>
      <c r="IZ209" s="60">
        <f t="shared" si="131"/>
        <v>4</v>
      </c>
      <c r="JA209" s="60">
        <f t="shared" si="132"/>
        <v>8</v>
      </c>
      <c r="JB209" s="60">
        <f t="shared" si="122"/>
        <v>0</v>
      </c>
      <c r="JC209" s="60">
        <f t="shared" si="133"/>
        <v>0</v>
      </c>
      <c r="JD209" s="60">
        <f t="shared" si="134"/>
        <v>4</v>
      </c>
      <c r="JE209" s="60">
        <f t="shared" si="135"/>
        <v>8</v>
      </c>
      <c r="JF209" s="60">
        <f t="shared" si="136"/>
        <v>8</v>
      </c>
      <c r="JG209" s="60">
        <f t="shared" si="137"/>
        <v>0</v>
      </c>
      <c r="JH209" s="60">
        <f t="shared" si="138"/>
        <v>4</v>
      </c>
      <c r="JI209" s="60">
        <f t="shared" si="139"/>
        <v>8</v>
      </c>
      <c r="JJ209" s="60">
        <f t="shared" si="140"/>
        <v>8</v>
      </c>
      <c r="JK209" s="60">
        <f t="shared" si="141"/>
        <v>0</v>
      </c>
      <c r="JL209" s="60">
        <f t="shared" si="142"/>
        <v>4</v>
      </c>
      <c r="JM209" s="60">
        <f t="shared" si="143"/>
        <v>4</v>
      </c>
      <c r="JN209" s="60">
        <f t="shared" si="144"/>
        <v>8</v>
      </c>
    </row>
    <row r="210" spans="1:274" x14ac:dyDescent="0.25">
      <c r="A210" s="8"/>
      <c r="B210" s="5" t="s">
        <v>116</v>
      </c>
      <c r="C210" s="8"/>
      <c r="D210" s="6" t="s">
        <v>515</v>
      </c>
      <c r="E210" s="8">
        <v>0</v>
      </c>
      <c r="F210" s="5"/>
      <c r="G210" s="5"/>
      <c r="H210" s="5"/>
      <c r="I210" s="5"/>
      <c r="J210" s="5" t="s">
        <v>412</v>
      </c>
      <c r="K210" s="9"/>
      <c r="L210" s="6" t="str">
        <f>IF($G$206=$X$128,"CP50H35/1,3MC",IF($G$206=$X$129,"CP50H35/1,3MC",IF($G$206=$X$130,"CP50H35/1,3MC",IF($G$206=$X$131,"CP50H35/1,3MC",IF($G$206=$X$132,"CP50H35/1,5MC",IF($G$206=$X$133,"CP50H35/1,5MC",IF($G$206=$X$134,"CP50H35/1,5MC",IF($G$206=$X$135,"CP50H35/1,5MC",0))))))))</f>
        <v>CP50H35/1,3MC</v>
      </c>
      <c r="M210" s="11">
        <f>INDEX(cennik!$C$2:$L$529,MATCH($L210,cennik!$B$2:$B$522,0),MATCH(M$205,cennik!$C$1:$L$1,0))</f>
        <v>895613</v>
      </c>
      <c r="N210" s="11" t="str">
        <f>INDEX(cennik!$C$2:$L$529,MATCH($L210,cennik!$B$2:$B$522,0),MATCH(N$104,cennik!$C$1:$L$1,0))</f>
        <v>szt.</v>
      </c>
      <c r="O210" s="10">
        <f>O209</f>
        <v>0</v>
      </c>
      <c r="P210" s="34">
        <f>INDEX(cennik!$C$2:$L$529,MATCH($L210,cennik!$B$2:$B$522,0),MATCH(P$104,cennik!$C$1:$L$1,0))</f>
        <v>29.56</v>
      </c>
      <c r="Q210" s="34">
        <f t="shared" si="165"/>
        <v>0</v>
      </c>
      <c r="R210" s="35">
        <f t="shared" si="163"/>
        <v>0</v>
      </c>
      <c r="S210" s="34">
        <f t="shared" si="164"/>
        <v>29.56</v>
      </c>
      <c r="T210" s="34">
        <f t="shared" si="166"/>
        <v>0</v>
      </c>
      <c r="U210" s="34">
        <f>INDEX(cennik!$C$2:$L$529,MATCH($L210,cennik!$B$2:$B$522,0),MATCH(U$104,cennik!$C$1:$L$1,0))*O210</f>
        <v>0</v>
      </c>
      <c r="V210" s="61"/>
      <c r="W210" s="61"/>
      <c r="X210" s="61">
        <f t="shared" si="156"/>
        <v>0</v>
      </c>
      <c r="Y210" s="63">
        <v>40</v>
      </c>
      <c r="Z210" s="61" t="s">
        <v>831</v>
      </c>
      <c r="AA210" s="61"/>
      <c r="AB210" s="61">
        <v>1</v>
      </c>
      <c r="AC210" s="61"/>
      <c r="AD210" s="61">
        <f t="shared" si="160"/>
        <v>0</v>
      </c>
      <c r="AE210" s="61">
        <f t="shared" si="157"/>
        <v>0</v>
      </c>
      <c r="AF210" s="61">
        <f t="shared" si="162"/>
        <v>0</v>
      </c>
      <c r="AG210" s="61">
        <f t="shared" si="158"/>
        <v>0</v>
      </c>
      <c r="AH210" s="61"/>
      <c r="AI210" s="61"/>
      <c r="AJ210" s="61"/>
      <c r="AK210" s="61"/>
      <c r="AL210" s="61"/>
      <c r="AM210" s="61"/>
      <c r="AS210" s="61">
        <f t="shared" si="159"/>
        <v>0</v>
      </c>
      <c r="AT210" s="61">
        <f t="shared" si="161"/>
        <v>0</v>
      </c>
      <c r="AU210" s="61"/>
      <c r="AV210" s="61"/>
      <c r="AW210" s="61"/>
      <c r="AX21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</f>
        <v>0</v>
      </c>
      <c r="AY21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</f>
        <v>0</v>
      </c>
      <c r="AZ21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</f>
        <v>0</v>
      </c>
      <c r="BA210" s="61"/>
      <c r="BB210" s="61"/>
      <c r="BC210" s="61"/>
      <c r="BD21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)*$C208</f>
        <v>0</v>
      </c>
      <c r="BE21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)*$C208</f>
        <v>0</v>
      </c>
      <c r="BF21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)*$C208</f>
        <v>0</v>
      </c>
      <c r="BG210" s="61"/>
      <c r="BH210" s="61"/>
      <c r="BI210" s="61"/>
      <c r="BJ210" s="61">
        <f t="shared" si="169"/>
        <v>0</v>
      </c>
      <c r="BK210" s="61">
        <f t="shared" si="168"/>
        <v>0</v>
      </c>
      <c r="BL210" s="61">
        <f t="shared" si="167"/>
        <v>0</v>
      </c>
      <c r="BM210" s="61"/>
      <c r="BN210" s="61"/>
      <c r="BO210" s="61"/>
      <c r="BP210" s="61"/>
      <c r="BQ210" s="61"/>
      <c r="BR210" s="61">
        <v>1600</v>
      </c>
      <c r="BS210" s="61" t="s">
        <v>867</v>
      </c>
      <c r="BT210" s="61" t="s">
        <v>874</v>
      </c>
      <c r="BU210" s="61" t="s">
        <v>875</v>
      </c>
      <c r="BV210" s="61"/>
      <c r="BW210" s="61"/>
      <c r="BX210" s="61"/>
      <c r="BY210" s="61"/>
      <c r="BZ210" s="61"/>
      <c r="CA210" s="61"/>
      <c r="CB210" s="61"/>
      <c r="CC210" s="61"/>
      <c r="CD210" s="61"/>
      <c r="CE210" s="61"/>
      <c r="CF210" s="61"/>
      <c r="CG210" s="61"/>
      <c r="CH210" s="61"/>
      <c r="CI210" s="61"/>
      <c r="CJ210" s="61"/>
      <c r="CK210" s="61"/>
      <c r="CL210" s="61"/>
      <c r="CM210" s="61"/>
      <c r="CN210" s="61"/>
      <c r="CO210" s="61"/>
      <c r="CP210" s="61"/>
      <c r="CQ210" s="61"/>
      <c r="CR210" s="61"/>
      <c r="CS210" s="61"/>
      <c r="CT210" s="61"/>
      <c r="CU210" s="61"/>
      <c r="CV210" s="61"/>
      <c r="CW210" s="61"/>
      <c r="CX210" s="61"/>
      <c r="CY210" s="61"/>
      <c r="CZ210" s="61"/>
      <c r="DA210" s="61"/>
      <c r="DB210" s="61"/>
      <c r="DC210" s="61"/>
      <c r="DD210" s="61"/>
      <c r="DE210" s="61"/>
      <c r="DF210" s="61"/>
      <c r="DG210" s="61"/>
      <c r="DH210" s="61"/>
      <c r="DI210" s="61"/>
      <c r="DJ210" s="61"/>
      <c r="DK210" s="61"/>
      <c r="DL210" s="61"/>
      <c r="DM210" s="61"/>
      <c r="DN210" s="61"/>
      <c r="DO210" s="61"/>
      <c r="DP210" s="61"/>
      <c r="DQ210" s="61"/>
      <c r="DR210" s="61"/>
      <c r="DS210" s="61"/>
      <c r="DT210" s="61"/>
      <c r="DU210" s="61"/>
      <c r="DV210" s="61"/>
      <c r="DW210" s="61"/>
      <c r="DX210" s="61"/>
      <c r="DY210" s="61"/>
      <c r="EA210" s="61"/>
      <c r="EB210" s="61"/>
      <c r="EC210" s="61"/>
      <c r="ED210" s="61"/>
      <c r="EE210" s="61"/>
      <c r="EF210" s="61"/>
      <c r="EG210" s="61"/>
      <c r="EH210" s="61"/>
      <c r="EI210" s="61"/>
      <c r="EJ210" s="61"/>
      <c r="EK210" s="61"/>
      <c r="EL210" s="61"/>
      <c r="EM210" s="61"/>
      <c r="EN210" s="61"/>
      <c r="EO210" s="61"/>
      <c r="EP210" s="61"/>
      <c r="EQ210" s="61"/>
      <c r="ER210" s="61"/>
      <c r="ES210" s="61"/>
      <c r="ET210" s="61"/>
      <c r="EU210" s="61"/>
      <c r="EV210" s="61"/>
      <c r="EW210" s="61"/>
      <c r="EX210" s="61"/>
      <c r="EY210" s="61"/>
      <c r="EZ210" s="61"/>
      <c r="FA210" s="61"/>
      <c r="FB210" s="61"/>
      <c r="FC210" s="61"/>
      <c r="FD210" s="61"/>
      <c r="FE210" s="61"/>
      <c r="FF210" s="61"/>
      <c r="FG210" s="61"/>
      <c r="FH210" s="61"/>
      <c r="FI210" s="61"/>
      <c r="FJ210" s="61"/>
      <c r="FK210" s="61"/>
      <c r="FL210" s="61"/>
      <c r="FM210" s="61"/>
      <c r="FN210" s="61"/>
      <c r="FO210" s="61"/>
      <c r="FP210" s="61"/>
      <c r="FQ210" s="61"/>
      <c r="FR210" s="61"/>
      <c r="FS210" s="61"/>
      <c r="FT210" s="61"/>
      <c r="FU210" s="61"/>
      <c r="FV210" s="61"/>
      <c r="FW210" s="61"/>
      <c r="FX210" s="61"/>
      <c r="FY210" s="61"/>
      <c r="FZ210" s="61"/>
      <c r="GX210" s="145" t="s">
        <v>868</v>
      </c>
      <c r="GY210" s="60">
        <v>0</v>
      </c>
      <c r="GZ210" s="61">
        <v>1</v>
      </c>
      <c r="HA210" s="60">
        <v>0</v>
      </c>
      <c r="HB210" s="60">
        <v>0</v>
      </c>
      <c r="HC210" s="60">
        <v>0</v>
      </c>
      <c r="HD210" s="60">
        <v>0</v>
      </c>
      <c r="HE210" s="60">
        <v>0</v>
      </c>
      <c r="HF210" s="60">
        <v>0</v>
      </c>
      <c r="HG210" s="60">
        <v>0</v>
      </c>
      <c r="HH210" s="60">
        <v>0</v>
      </c>
      <c r="HI210" s="60">
        <v>0</v>
      </c>
      <c r="HJ210" s="60">
        <v>0</v>
      </c>
      <c r="HK210" s="60">
        <v>0</v>
      </c>
      <c r="HL210" s="60">
        <v>0</v>
      </c>
      <c r="HM210" s="60">
        <v>0</v>
      </c>
      <c r="HN210" s="60">
        <v>0</v>
      </c>
      <c r="HO210" s="60">
        <v>0</v>
      </c>
      <c r="HP210" s="60">
        <v>0</v>
      </c>
      <c r="HQ210" s="60">
        <v>0</v>
      </c>
      <c r="HR210" s="60">
        <v>0</v>
      </c>
      <c r="HS210" s="60">
        <v>0</v>
      </c>
      <c r="HV210" s="60" t="s">
        <v>825</v>
      </c>
      <c r="HW210" s="60">
        <v>0</v>
      </c>
      <c r="HX210" s="60">
        <v>0</v>
      </c>
      <c r="HY210" s="60">
        <v>2</v>
      </c>
      <c r="HZ210" s="60">
        <v>2</v>
      </c>
      <c r="IA210" s="60">
        <v>6</v>
      </c>
      <c r="IB210" s="60">
        <v>6</v>
      </c>
      <c r="IC210" s="60">
        <v>8</v>
      </c>
      <c r="ID210" s="60">
        <v>8</v>
      </c>
      <c r="IE210" s="60">
        <v>12</v>
      </c>
      <c r="IF210" s="60">
        <v>14</v>
      </c>
      <c r="IG210" s="60">
        <v>14</v>
      </c>
      <c r="IH210" s="60">
        <v>14</v>
      </c>
      <c r="II210" s="60">
        <v>16</v>
      </c>
      <c r="IJ210" s="60">
        <v>20</v>
      </c>
      <c r="IK210" s="60">
        <v>20</v>
      </c>
      <c r="IL210" s="60">
        <v>20</v>
      </c>
      <c r="IM210" s="60">
        <v>22</v>
      </c>
      <c r="IN210" s="60">
        <v>26</v>
      </c>
      <c r="IO210" s="60">
        <v>26</v>
      </c>
      <c r="IP210" s="60">
        <v>28</v>
      </c>
      <c r="IQ210" s="60">
        <v>28</v>
      </c>
      <c r="IS210" s="60" t="s">
        <v>825</v>
      </c>
      <c r="IT210" s="60">
        <f t="shared" si="125"/>
        <v>0</v>
      </c>
      <c r="IU210" s="60">
        <f t="shared" si="126"/>
        <v>0</v>
      </c>
      <c r="IV210" s="60">
        <f t="shared" si="127"/>
        <v>4</v>
      </c>
      <c r="IW210" s="60">
        <f t="shared" si="128"/>
        <v>4</v>
      </c>
      <c r="IX210" s="60">
        <f t="shared" si="129"/>
        <v>12</v>
      </c>
      <c r="IY210" s="60">
        <f t="shared" si="130"/>
        <v>12</v>
      </c>
      <c r="IZ210" s="60">
        <f t="shared" si="131"/>
        <v>16</v>
      </c>
      <c r="JA210" s="60">
        <f t="shared" si="132"/>
        <v>16</v>
      </c>
      <c r="JB210" s="60">
        <f t="shared" si="122"/>
        <v>24</v>
      </c>
      <c r="JC210" s="60">
        <f t="shared" si="133"/>
        <v>28</v>
      </c>
      <c r="JD210" s="60">
        <f t="shared" si="134"/>
        <v>28</v>
      </c>
      <c r="JE210" s="60">
        <f t="shared" si="135"/>
        <v>28</v>
      </c>
      <c r="JF210" s="60">
        <f t="shared" si="136"/>
        <v>32</v>
      </c>
      <c r="JG210" s="60">
        <f t="shared" si="137"/>
        <v>40</v>
      </c>
      <c r="JH210" s="60">
        <f t="shared" si="138"/>
        <v>40</v>
      </c>
      <c r="JI210" s="60">
        <f t="shared" si="139"/>
        <v>40</v>
      </c>
      <c r="JJ210" s="60">
        <f t="shared" si="140"/>
        <v>44</v>
      </c>
      <c r="JK210" s="60">
        <f t="shared" si="141"/>
        <v>52</v>
      </c>
      <c r="JL210" s="60">
        <f t="shared" si="142"/>
        <v>52</v>
      </c>
      <c r="JM210" s="60">
        <f t="shared" si="143"/>
        <v>56</v>
      </c>
      <c r="JN210" s="60">
        <f t="shared" si="144"/>
        <v>56</v>
      </c>
    </row>
    <row r="211" spans="1:274" x14ac:dyDescent="0.25">
      <c r="A211" s="8"/>
      <c r="B211" s="5" t="s">
        <v>116</v>
      </c>
      <c r="C211" s="8"/>
      <c r="D211" s="6" t="s">
        <v>511</v>
      </c>
      <c r="E211" s="4"/>
      <c r="F211" s="5"/>
      <c r="G211" s="5"/>
      <c r="H211" s="5"/>
      <c r="I211" s="5"/>
      <c r="K211" s="9"/>
      <c r="L211" s="6" t="str">
        <f>INDEX((BS216:BU223),MATCH(G206,BR216:BR223,0),MATCH(E208,BS215:BU215,0),1)</f>
        <v>CP50H35/0,35MC</v>
      </c>
      <c r="M211" s="11">
        <f>INDEX(cennik!$C$2:$L$529,MATCH($L211,cennik!$B$2:$B$522,0),MATCH(M$205,cennik!$C$1:$L$1,0))</f>
        <v>895635</v>
      </c>
      <c r="N211" s="11" t="str">
        <f>INDEX(cennik!$C$2:$L$529,MATCH($L211,cennik!$B$2:$B$522,0),MATCH(N$104,cennik!$C$1:$L$1,0))</f>
        <v>szt.</v>
      </c>
      <c r="O211" s="11">
        <f>O209</f>
        <v>0</v>
      </c>
      <c r="P211" s="34">
        <f>INDEX(cennik!$C$2:$L$529,MATCH($L211,cennik!$B$2:$B$522,0),MATCH(P$104,cennik!$C$1:$L$1,0))</f>
        <v>8.3800000000000008</v>
      </c>
      <c r="Q211" s="34">
        <f t="shared" si="165"/>
        <v>0</v>
      </c>
      <c r="R211" s="35">
        <f t="shared" si="163"/>
        <v>0</v>
      </c>
      <c r="S211" s="34">
        <f t="shared" si="164"/>
        <v>8.3800000000000008</v>
      </c>
      <c r="T211" s="34">
        <f t="shared" si="166"/>
        <v>0</v>
      </c>
      <c r="U211" s="34">
        <f>INDEX(cennik!$C$2:$L$529,MATCH($L211,cennik!$B$2:$B$522,0),MATCH(U$104,cennik!$C$1:$L$1,0))*O211</f>
        <v>0</v>
      </c>
      <c r="X211" s="61">
        <f t="shared" si="156"/>
        <v>0</v>
      </c>
      <c r="Y211" s="63">
        <v>42</v>
      </c>
      <c r="Z211" s="60" t="s">
        <v>506</v>
      </c>
      <c r="AB211" s="60">
        <v>2</v>
      </c>
      <c r="AD211" s="61">
        <f t="shared" si="160"/>
        <v>0</v>
      </c>
      <c r="AE211" s="61">
        <f t="shared" si="157"/>
        <v>0</v>
      </c>
      <c r="AF211" s="61">
        <f t="shared" si="162"/>
        <v>0</v>
      </c>
      <c r="AG211" s="61">
        <f t="shared" si="158"/>
        <v>0</v>
      </c>
      <c r="AH211" s="60" t="s">
        <v>835</v>
      </c>
      <c r="AS211" s="61">
        <f t="shared" si="159"/>
        <v>0</v>
      </c>
      <c r="AT211" s="61">
        <f t="shared" si="161"/>
        <v>0</v>
      </c>
      <c r="AU211" s="61"/>
      <c r="AW211" s="61"/>
      <c r="AX21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</f>
        <v>0</v>
      </c>
      <c r="AY21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</f>
        <v>0</v>
      </c>
      <c r="AZ21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</f>
        <v>0</v>
      </c>
      <c r="BD21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)*$C209</f>
        <v>0</v>
      </c>
      <c r="BE21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)*$C209</f>
        <v>0</v>
      </c>
      <c r="BF21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)*$C209</f>
        <v>0</v>
      </c>
      <c r="BJ211" s="61">
        <f t="shared" si="169"/>
        <v>0</v>
      </c>
      <c r="BK211" s="61">
        <f t="shared" si="168"/>
        <v>0</v>
      </c>
      <c r="BL211" s="61">
        <f t="shared" si="167"/>
        <v>0</v>
      </c>
      <c r="BR211" s="60">
        <v>1800</v>
      </c>
      <c r="BS211" s="61" t="s">
        <v>867</v>
      </c>
      <c r="BT211" s="61" t="s">
        <v>874</v>
      </c>
      <c r="BU211" s="61" t="s">
        <v>875</v>
      </c>
      <c r="GA211" s="60" t="s">
        <v>471</v>
      </c>
      <c r="HV211" s="60" t="s">
        <v>853</v>
      </c>
      <c r="HW211" s="60">
        <v>0</v>
      </c>
      <c r="HX211" s="60">
        <v>0</v>
      </c>
      <c r="HY211" s="60">
        <v>2</v>
      </c>
      <c r="HZ211" s="60">
        <v>4</v>
      </c>
      <c r="IA211" s="60">
        <v>4</v>
      </c>
      <c r="IB211" s="60">
        <v>6</v>
      </c>
      <c r="IC211" s="60">
        <v>8</v>
      </c>
      <c r="ID211" s="60">
        <v>10</v>
      </c>
      <c r="IE211" s="60">
        <v>10</v>
      </c>
      <c r="IF211" s="60">
        <v>12</v>
      </c>
      <c r="IG211" s="60">
        <v>14</v>
      </c>
      <c r="IH211" s="60">
        <v>16</v>
      </c>
      <c r="II211" s="60">
        <v>18</v>
      </c>
      <c r="IJ211" s="60">
        <v>18</v>
      </c>
      <c r="IK211" s="60">
        <v>20</v>
      </c>
      <c r="IL211" s="60">
        <v>22</v>
      </c>
      <c r="IM211" s="60">
        <v>24</v>
      </c>
      <c r="IN211" s="60">
        <v>24</v>
      </c>
      <c r="IO211" s="60">
        <v>26</v>
      </c>
      <c r="IP211" s="60">
        <v>28</v>
      </c>
      <c r="IQ211" s="60">
        <v>30</v>
      </c>
      <c r="IS211" s="60" t="s">
        <v>853</v>
      </c>
      <c r="IT211" s="60">
        <f t="shared" si="125"/>
        <v>0</v>
      </c>
      <c r="IU211" s="60">
        <f t="shared" si="126"/>
        <v>0</v>
      </c>
      <c r="IV211" s="60">
        <f t="shared" si="127"/>
        <v>4</v>
      </c>
      <c r="IW211" s="60">
        <f t="shared" si="128"/>
        <v>8</v>
      </c>
      <c r="IX211" s="60">
        <f t="shared" si="129"/>
        <v>8</v>
      </c>
      <c r="IY211" s="60">
        <f t="shared" si="130"/>
        <v>12</v>
      </c>
      <c r="IZ211" s="60">
        <f t="shared" si="131"/>
        <v>16</v>
      </c>
      <c r="JA211" s="60">
        <f t="shared" si="132"/>
        <v>20</v>
      </c>
      <c r="JB211" s="60">
        <f t="shared" si="122"/>
        <v>20</v>
      </c>
      <c r="JC211" s="60">
        <f t="shared" si="133"/>
        <v>24</v>
      </c>
      <c r="JD211" s="60">
        <f t="shared" si="134"/>
        <v>28</v>
      </c>
      <c r="JE211" s="60">
        <f t="shared" si="135"/>
        <v>32</v>
      </c>
      <c r="JF211" s="60">
        <f t="shared" si="136"/>
        <v>36</v>
      </c>
      <c r="JG211" s="60">
        <f t="shared" si="137"/>
        <v>36</v>
      </c>
      <c r="JH211" s="60">
        <f t="shared" si="138"/>
        <v>40</v>
      </c>
      <c r="JI211" s="60">
        <f t="shared" si="139"/>
        <v>44</v>
      </c>
      <c r="JJ211" s="60">
        <f t="shared" si="140"/>
        <v>48</v>
      </c>
      <c r="JK211" s="60">
        <f t="shared" si="141"/>
        <v>48</v>
      </c>
      <c r="JL211" s="60">
        <f t="shared" si="142"/>
        <v>52</v>
      </c>
      <c r="JM211" s="60">
        <f t="shared" si="143"/>
        <v>56</v>
      </c>
      <c r="JN211" s="60">
        <f t="shared" si="144"/>
        <v>60</v>
      </c>
    </row>
    <row r="212" spans="1:274" x14ac:dyDescent="0.25">
      <c r="A212" s="8"/>
      <c r="B212" s="5" t="s">
        <v>116</v>
      </c>
      <c r="C212" s="8"/>
      <c r="D212" s="6" t="s">
        <v>774</v>
      </c>
      <c r="E212" s="52">
        <f>INDEX((AI219:AM221),MATCH(E213,AH219:AH221,0),MATCH(E214,AI218:AM218,0))</f>
        <v>2000</v>
      </c>
      <c r="F212" s="6"/>
      <c r="G212" s="6"/>
      <c r="H212" s="6"/>
      <c r="I212" s="6"/>
      <c r="J212" s="5" t="s">
        <v>119</v>
      </c>
      <c r="K212" s="9"/>
      <c r="L212" s="6" t="s">
        <v>859</v>
      </c>
      <c r="M212" s="11">
        <f>INDEX(cennik!$C$2:$L$529,MATCH($L212,cennik!$B$2:$B$522,0),MATCH(M$205,cennik!$C$1:$L$1,0))</f>
        <v>897334</v>
      </c>
      <c r="N212" s="11" t="str">
        <f>INDEX(cennik!$C$2:$L$529,MATCH($L212,cennik!$B$2:$B$522,0),MATCH(N$104,cennik!$C$1:$L$1,0))</f>
        <v>szt.</v>
      </c>
      <c r="O212" s="11">
        <f>SUM(A205*4*C205,A206*4*C206,A207*4*C207,A208*4*C208,A209*4*C209,A210*4*C210,A211*4*C211,A212*4*C212,A213*4*C213,A214*4*C214,A215*4*C215,A216*4*C216,A217*4*C217,A218*4*C218,A219*4*C219,A220*4*C220)</f>
        <v>0</v>
      </c>
      <c r="P212" s="34">
        <f>INDEX(cennik!$C$2:$L$529,MATCH($L212,cennik!$B$2:$B$522,0),MATCH(P$104,cennik!$C$1:$L$1,0))</f>
        <v>5.18</v>
      </c>
      <c r="Q212" s="34">
        <f t="shared" si="165"/>
        <v>0</v>
      </c>
      <c r="R212" s="35">
        <f t="shared" si="163"/>
        <v>0</v>
      </c>
      <c r="S212" s="34">
        <f t="shared" si="164"/>
        <v>5.18</v>
      </c>
      <c r="T212" s="34">
        <f t="shared" si="166"/>
        <v>0</v>
      </c>
      <c r="U212" s="34">
        <f>INDEX(cennik!$C$2:$L$529,MATCH($L212,cennik!$B$2:$B$522,0),MATCH(U$104,cennik!$C$1:$L$1,0))*O212</f>
        <v>0</v>
      </c>
      <c r="X212" s="61">
        <f t="shared" si="156"/>
        <v>0</v>
      </c>
      <c r="AB212" s="60" t="s">
        <v>725</v>
      </c>
      <c r="AD212" s="61">
        <f t="shared" si="160"/>
        <v>0</v>
      </c>
      <c r="AE212" s="61">
        <f t="shared" si="157"/>
        <v>0</v>
      </c>
      <c r="AF212" s="61">
        <f t="shared" si="162"/>
        <v>0</v>
      </c>
      <c r="AG212" s="61">
        <f t="shared" si="158"/>
        <v>0</v>
      </c>
      <c r="AH212" s="60" t="s">
        <v>717</v>
      </c>
      <c r="AI212" s="60">
        <v>1</v>
      </c>
      <c r="AJ212" s="60">
        <v>2</v>
      </c>
      <c r="AK212" s="60">
        <v>3</v>
      </c>
      <c r="AL212" s="60">
        <v>4</v>
      </c>
      <c r="AM212" s="60">
        <v>5</v>
      </c>
      <c r="AS212" s="61">
        <f t="shared" si="159"/>
        <v>0</v>
      </c>
      <c r="AT212" s="61">
        <f t="shared" si="161"/>
        <v>0</v>
      </c>
      <c r="AU212" s="61"/>
      <c r="AW212" s="61"/>
      <c r="AX21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</f>
        <v>0</v>
      </c>
      <c r="AY21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</f>
        <v>0</v>
      </c>
      <c r="AZ21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</f>
        <v>0</v>
      </c>
      <c r="BD21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)*$C210</f>
        <v>0</v>
      </c>
      <c r="BE21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)*$C210</f>
        <v>0</v>
      </c>
      <c r="BF21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)*$C210</f>
        <v>0</v>
      </c>
      <c r="BJ212" s="61">
        <f t="shared" si="169"/>
        <v>0</v>
      </c>
      <c r="BK212" s="61">
        <f t="shared" si="168"/>
        <v>0</v>
      </c>
      <c r="BL212" s="61">
        <f t="shared" si="167"/>
        <v>0</v>
      </c>
      <c r="BR212" s="60">
        <v>2000</v>
      </c>
      <c r="BS212" s="61" t="s">
        <v>868</v>
      </c>
      <c r="BT212" s="61" t="s">
        <v>876</v>
      </c>
      <c r="BU212" s="61" t="s">
        <v>877</v>
      </c>
      <c r="GB212" s="60">
        <v>0</v>
      </c>
      <c r="GC212" s="60">
        <v>1</v>
      </c>
      <c r="GD212" s="60">
        <v>2</v>
      </c>
      <c r="GE212" s="60">
        <v>3</v>
      </c>
      <c r="GF212" s="60">
        <v>4</v>
      </c>
      <c r="GG212" s="60">
        <v>5</v>
      </c>
      <c r="GH212" s="60">
        <v>6</v>
      </c>
      <c r="GI212" s="60">
        <v>7</v>
      </c>
      <c r="GJ212" s="60">
        <v>8</v>
      </c>
      <c r="GK212" s="60">
        <v>9</v>
      </c>
      <c r="GL212" s="60">
        <v>10</v>
      </c>
      <c r="GM212" s="60">
        <v>11</v>
      </c>
      <c r="GN212" s="60">
        <v>12</v>
      </c>
      <c r="GO212" s="60">
        <v>13</v>
      </c>
      <c r="GP212" s="60">
        <v>14</v>
      </c>
      <c r="GQ212" s="60">
        <v>15</v>
      </c>
      <c r="GR212" s="60">
        <v>16</v>
      </c>
      <c r="GS212" s="60">
        <v>17</v>
      </c>
      <c r="GT212" s="60">
        <v>18</v>
      </c>
      <c r="GU212" s="60">
        <v>19</v>
      </c>
      <c r="GV212" s="60">
        <v>20</v>
      </c>
      <c r="GX212" s="60" t="s">
        <v>832</v>
      </c>
    </row>
    <row r="213" spans="1:274" x14ac:dyDescent="0.25">
      <c r="A213" s="8"/>
      <c r="B213" s="5" t="s">
        <v>116</v>
      </c>
      <c r="C213" s="8"/>
      <c r="D213" s="6" t="s">
        <v>787</v>
      </c>
      <c r="E213" s="8">
        <v>1</v>
      </c>
      <c r="F213" s="39" t="s">
        <v>789</v>
      </c>
      <c r="G213" s="17"/>
      <c r="H213" s="9"/>
      <c r="I213" s="9"/>
      <c r="J213" s="30"/>
      <c r="K213" s="9"/>
      <c r="L213" s="6" t="str">
        <f>INDEX((BS207:BU213),MATCH(E212,BR207:BR213,0),MATCH(E208,BS206:BU206,0),1)</f>
        <v>OWN15/2,4MC</v>
      </c>
      <c r="M213" s="11" t="e">
        <f>INDEX(cennik!$C$2:$L$529,MATCH($L213,cennik!$B$2:$B$522,0),MATCH(M$205,cennik!$C$1:$L$1,0))</f>
        <v>#N/A</v>
      </c>
      <c r="N213" s="11" t="e">
        <f>INDEX(cennik!$C$2:$L$529,MATCH($L213,cennik!$B$2:$B$522,0),MATCH(N$104,cennik!$C$1:$L$1,0))</f>
        <v>#N/A</v>
      </c>
      <c r="O213" s="10">
        <f>SUM(AG203:AG218)</f>
        <v>0</v>
      </c>
      <c r="P213" s="34" t="e">
        <f>INDEX(cennik!$C$2:$L$529,MATCH($L213,cennik!$B$2:$B$522,0),MATCH(P$104,cennik!$C$1:$L$1,0))</f>
        <v>#N/A</v>
      </c>
      <c r="Q213" s="34" t="e">
        <f t="shared" si="165"/>
        <v>#N/A</v>
      </c>
      <c r="R213" s="35">
        <f t="shared" si="163"/>
        <v>0</v>
      </c>
      <c r="S213" s="34" t="e">
        <f t="shared" si="164"/>
        <v>#N/A</v>
      </c>
      <c r="T213" s="34" t="e">
        <f t="shared" si="166"/>
        <v>#N/A</v>
      </c>
      <c r="U213" s="34" t="e">
        <f>INDEX(cennik!$C$2:$L$529,MATCH($L213,cennik!$B$2:$B$522,0),MATCH(U$104,cennik!$C$1:$L$1,0))*O213</f>
        <v>#N/A</v>
      </c>
      <c r="X213" s="61">
        <f t="shared" si="156"/>
        <v>0</v>
      </c>
      <c r="Z213" s="60">
        <f>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</f>
        <v>2100</v>
      </c>
      <c r="AD213" s="61">
        <f t="shared" si="160"/>
        <v>0</v>
      </c>
      <c r="AE213" s="61">
        <f t="shared" si="157"/>
        <v>0</v>
      </c>
      <c r="AF213" s="61">
        <f t="shared" si="162"/>
        <v>0</v>
      </c>
      <c r="AG213" s="61">
        <f t="shared" si="158"/>
        <v>0</v>
      </c>
      <c r="AH213" s="60">
        <v>1</v>
      </c>
      <c r="AI213" s="60">
        <v>1000</v>
      </c>
      <c r="AJ213" s="60">
        <v>1000</v>
      </c>
      <c r="AK213" s="60">
        <v>1000</v>
      </c>
      <c r="AL213" s="60">
        <v>800</v>
      </c>
      <c r="AM213" s="60" t="s">
        <v>719</v>
      </c>
      <c r="AS213" s="61">
        <f t="shared" si="159"/>
        <v>0</v>
      </c>
      <c r="AT213" s="61">
        <f t="shared" si="161"/>
        <v>0</v>
      </c>
      <c r="AU213" s="61"/>
      <c r="AW213" s="61"/>
      <c r="AX21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</f>
        <v>0</v>
      </c>
      <c r="AY21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</f>
        <v>0</v>
      </c>
      <c r="AZ213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</f>
        <v>0</v>
      </c>
      <c r="BD21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)*$C211</f>
        <v>0</v>
      </c>
      <c r="BE21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)*$C211</f>
        <v>0</v>
      </c>
      <c r="BF213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)*$C211</f>
        <v>0</v>
      </c>
      <c r="BJ213" s="61">
        <f t="shared" si="169"/>
        <v>0</v>
      </c>
      <c r="BK213" s="61">
        <f t="shared" si="168"/>
        <v>0</v>
      </c>
      <c r="BL213" s="61">
        <f t="shared" si="167"/>
        <v>0</v>
      </c>
      <c r="BR213" s="60">
        <v>2150</v>
      </c>
      <c r="BS213" s="61" t="s">
        <v>868</v>
      </c>
      <c r="BT213" s="61" t="s">
        <v>876</v>
      </c>
      <c r="BU213" s="61" t="s">
        <v>877</v>
      </c>
      <c r="GA213" s="145" t="s">
        <v>866</v>
      </c>
      <c r="GB213" s="60">
        <v>0</v>
      </c>
      <c r="GC213" s="60">
        <v>0</v>
      </c>
      <c r="GD213" s="60">
        <v>0</v>
      </c>
      <c r="GE213" s="60">
        <v>0</v>
      </c>
      <c r="GF213" s="60">
        <v>0</v>
      </c>
      <c r="GG213" s="60">
        <v>0</v>
      </c>
      <c r="GH213" s="60">
        <v>0</v>
      </c>
      <c r="GI213" s="60">
        <v>0</v>
      </c>
      <c r="GJ213" s="60">
        <v>0</v>
      </c>
      <c r="GK213" s="60">
        <v>0</v>
      </c>
      <c r="GL213" s="60">
        <v>0</v>
      </c>
      <c r="GM213" s="60">
        <v>0</v>
      </c>
      <c r="GN213" s="60">
        <v>0</v>
      </c>
      <c r="GO213" s="60">
        <v>0</v>
      </c>
      <c r="GP213" s="60">
        <v>0</v>
      </c>
      <c r="GQ213" s="60">
        <v>0</v>
      </c>
      <c r="GR213" s="60">
        <v>0</v>
      </c>
      <c r="GS213" s="60">
        <v>0</v>
      </c>
      <c r="GT213" s="60">
        <v>0</v>
      </c>
      <c r="GU213" s="60">
        <v>0</v>
      </c>
      <c r="GV213" s="60">
        <v>0</v>
      </c>
      <c r="GY213" s="60">
        <v>0</v>
      </c>
      <c r="GZ213" s="60">
        <v>1</v>
      </c>
      <c r="HA213" s="60">
        <v>2</v>
      </c>
      <c r="HB213" s="60">
        <v>3</v>
      </c>
      <c r="HC213" s="60">
        <v>4</v>
      </c>
      <c r="HD213" s="60">
        <v>5</v>
      </c>
      <c r="HE213" s="60">
        <v>6</v>
      </c>
      <c r="HF213" s="60">
        <v>7</v>
      </c>
      <c r="HG213" s="60">
        <v>8</v>
      </c>
      <c r="HH213" s="60">
        <v>9</v>
      </c>
      <c r="HI213" s="60">
        <v>10</v>
      </c>
      <c r="HJ213" s="60">
        <v>11</v>
      </c>
      <c r="HK213" s="60">
        <v>12</v>
      </c>
      <c r="HL213" s="60">
        <v>13</v>
      </c>
      <c r="HM213" s="60">
        <v>14</v>
      </c>
      <c r="HN213" s="60">
        <v>15</v>
      </c>
      <c r="HO213" s="60">
        <v>16</v>
      </c>
      <c r="HP213" s="60">
        <v>17</v>
      </c>
      <c r="HQ213" s="60">
        <v>18</v>
      </c>
      <c r="HR213" s="60">
        <v>19</v>
      </c>
      <c r="HS213" s="60">
        <v>20</v>
      </c>
    </row>
    <row r="214" spans="1:274" x14ac:dyDescent="0.25">
      <c r="A214" s="8"/>
      <c r="B214" s="5" t="s">
        <v>116</v>
      </c>
      <c r="C214" s="8"/>
      <c r="D214" s="6" t="s">
        <v>788</v>
      </c>
      <c r="E214" s="8">
        <v>2</v>
      </c>
      <c r="F214" s="39" t="s">
        <v>790</v>
      </c>
      <c r="G214" s="9"/>
      <c r="H214" s="9"/>
      <c r="I214" s="9"/>
      <c r="J214" s="9"/>
      <c r="K214" s="9"/>
      <c r="L214" s="6" t="s">
        <v>477</v>
      </c>
      <c r="M214" s="11">
        <f>INDEX(cennik!$C$2:$L$529,MATCH($L214,cennik!$B$2:$B$522,0),MATCH(M$205,cennik!$C$1:$L$1,0))</f>
        <v>898525</v>
      </c>
      <c r="N214" s="11" t="str">
        <f>INDEX(cennik!$C$2:$L$529,MATCH($L214,cennik!$B$2:$B$522,0),MATCH(N$104,cennik!$C$1:$L$1,0))</f>
        <v>szt.</v>
      </c>
      <c r="O214" s="10">
        <f>O211*2+O212</f>
        <v>0</v>
      </c>
      <c r="P214" s="34">
        <f>INDEX(cennik!$C$2:$L$529,MATCH($L214,cennik!$B$2:$B$522,0),MATCH(P$104,cennik!$C$1:$L$1,0))</f>
        <v>0.45</v>
      </c>
      <c r="Q214" s="12">
        <f t="shared" ref="Q214:Q220" si="170">O214*P214</f>
        <v>0</v>
      </c>
      <c r="R214" s="35">
        <f t="shared" si="163"/>
        <v>0</v>
      </c>
      <c r="S214" s="34">
        <f t="shared" si="164"/>
        <v>0.45</v>
      </c>
      <c r="T214" s="12">
        <f t="shared" ref="T214:T220" si="171">O214*S214</f>
        <v>0</v>
      </c>
      <c r="U214" s="34">
        <f>INDEX(cennik!$C$2:$L$529,MATCH($L214,cennik!$B$2:$B$522,0),MATCH(U$104,cennik!$C$1:$L$1,0))*O214</f>
        <v>0</v>
      </c>
      <c r="X214" s="61">
        <f t="shared" si="156"/>
        <v>0</v>
      </c>
      <c r="AD214" s="61">
        <f t="shared" si="160"/>
        <v>0</v>
      </c>
      <c r="AE214" s="61">
        <f t="shared" si="157"/>
        <v>0</v>
      </c>
      <c r="AF214" s="61">
        <f t="shared" si="162"/>
        <v>0</v>
      </c>
      <c r="AG214" s="61">
        <f t="shared" si="158"/>
        <v>0</v>
      </c>
      <c r="AH214" s="60">
        <v>2</v>
      </c>
      <c r="AI214" s="60" t="s">
        <v>719</v>
      </c>
      <c r="AJ214" s="60">
        <v>600</v>
      </c>
      <c r="AK214" s="60">
        <v>600</v>
      </c>
      <c r="AL214" s="60" t="s">
        <v>719</v>
      </c>
      <c r="AM214" s="60" t="s">
        <v>719</v>
      </c>
      <c r="AS214" s="61">
        <f t="shared" si="159"/>
        <v>0</v>
      </c>
      <c r="AT214" s="61">
        <f t="shared" si="161"/>
        <v>0</v>
      </c>
      <c r="AU214" s="61"/>
      <c r="AW214" s="61"/>
      <c r="AX2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</f>
        <v>0</v>
      </c>
      <c r="AY2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</f>
        <v>0</v>
      </c>
      <c r="AZ214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</f>
        <v>0</v>
      </c>
      <c r="BD2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)*$C212</f>
        <v>0</v>
      </c>
      <c r="BE2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)*$C212</f>
        <v>0</v>
      </c>
      <c r="BF214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)*$C212</f>
        <v>0</v>
      </c>
      <c r="BJ214" s="61">
        <f t="shared" si="169"/>
        <v>0</v>
      </c>
      <c r="BK214" s="61">
        <f t="shared" si="168"/>
        <v>0</v>
      </c>
      <c r="BL214" s="61">
        <f t="shared" si="167"/>
        <v>0</v>
      </c>
      <c r="GA214" s="145" t="s">
        <v>867</v>
      </c>
      <c r="GB214" s="60">
        <v>0</v>
      </c>
      <c r="GC214" s="60">
        <v>1</v>
      </c>
      <c r="GD214" s="60">
        <v>2</v>
      </c>
      <c r="GE214" s="60">
        <v>3</v>
      </c>
      <c r="GF214" s="60">
        <v>4</v>
      </c>
      <c r="GG214" s="60">
        <v>5</v>
      </c>
      <c r="GH214" s="60">
        <v>6</v>
      </c>
      <c r="GI214" s="60">
        <v>7</v>
      </c>
      <c r="GJ214" s="60">
        <v>8</v>
      </c>
      <c r="GK214" s="60">
        <v>9</v>
      </c>
      <c r="GL214" s="60">
        <v>10</v>
      </c>
      <c r="GM214" s="60">
        <v>11</v>
      </c>
      <c r="GN214" s="60">
        <v>12</v>
      </c>
      <c r="GO214" s="60">
        <v>13</v>
      </c>
      <c r="GP214" s="60">
        <v>14</v>
      </c>
      <c r="GQ214" s="60">
        <v>15</v>
      </c>
      <c r="GR214" s="60">
        <v>16</v>
      </c>
      <c r="GS214" s="60">
        <v>17</v>
      </c>
      <c r="GT214" s="60">
        <v>18</v>
      </c>
      <c r="GU214" s="60">
        <v>19</v>
      </c>
      <c r="GV214" s="60">
        <v>20</v>
      </c>
      <c r="GX214" s="145" t="s">
        <v>866</v>
      </c>
      <c r="GY214" s="60">
        <v>0</v>
      </c>
      <c r="GZ214" s="60">
        <v>2</v>
      </c>
      <c r="HA214" s="60">
        <v>2</v>
      </c>
      <c r="HB214" s="60">
        <v>0</v>
      </c>
      <c r="HC214" s="60">
        <v>5</v>
      </c>
      <c r="HD214" s="60">
        <v>3</v>
      </c>
      <c r="HE214" s="60">
        <v>1</v>
      </c>
      <c r="HF214" s="60">
        <v>0</v>
      </c>
      <c r="HG214" s="60">
        <v>4</v>
      </c>
      <c r="HH214" s="60">
        <v>2</v>
      </c>
      <c r="HI214" s="60">
        <v>0</v>
      </c>
      <c r="HJ214" s="60">
        <v>5</v>
      </c>
      <c r="HK214" s="60">
        <v>3</v>
      </c>
      <c r="HL214" s="60">
        <v>1</v>
      </c>
      <c r="HM214" s="60">
        <v>0</v>
      </c>
      <c r="HN214" s="60">
        <v>4</v>
      </c>
      <c r="HO214" s="60">
        <v>2</v>
      </c>
      <c r="HP214" s="60">
        <v>0</v>
      </c>
      <c r="HQ214" s="60">
        <v>0</v>
      </c>
      <c r="HR214" s="60">
        <v>2</v>
      </c>
      <c r="HS214" s="60">
        <v>1</v>
      </c>
      <c r="HV214" s="141" t="s">
        <v>111</v>
      </c>
      <c r="HW214" s="60">
        <v>0</v>
      </c>
      <c r="HX214" s="60">
        <v>1</v>
      </c>
      <c r="HY214" s="60">
        <v>2</v>
      </c>
      <c r="HZ214" s="60">
        <v>3</v>
      </c>
      <c r="IA214" s="60">
        <v>4</v>
      </c>
      <c r="IB214" s="60">
        <v>5</v>
      </c>
      <c r="IC214" s="60">
        <v>6</v>
      </c>
      <c r="ID214" s="60">
        <v>7</v>
      </c>
      <c r="IE214" s="60">
        <v>8</v>
      </c>
      <c r="IF214" s="60">
        <v>9</v>
      </c>
      <c r="IG214" s="60">
        <v>10</v>
      </c>
      <c r="IH214" s="60">
        <v>11</v>
      </c>
      <c r="II214" s="60">
        <v>12</v>
      </c>
      <c r="IJ214" s="60">
        <v>13</v>
      </c>
      <c r="IK214" s="60">
        <v>14</v>
      </c>
      <c r="IL214" s="60">
        <v>15</v>
      </c>
      <c r="IM214" s="60">
        <v>16</v>
      </c>
      <c r="IN214" s="60">
        <v>17</v>
      </c>
      <c r="IO214" s="60">
        <v>18</v>
      </c>
      <c r="IP214" s="60">
        <v>19</v>
      </c>
      <c r="IQ214" s="60">
        <v>20</v>
      </c>
    </row>
    <row r="215" spans="1:274" ht="15" customHeight="1" x14ac:dyDescent="0.25">
      <c r="A215" s="8"/>
      <c r="B215" s="5" t="s">
        <v>116</v>
      </c>
      <c r="C215" s="8"/>
      <c r="D215" s="40" t="s">
        <v>941</v>
      </c>
      <c r="E215" s="32"/>
      <c r="F215" s="31"/>
      <c r="G215" s="31"/>
      <c r="H215" s="9"/>
      <c r="I215" s="9"/>
      <c r="J215" s="9"/>
      <c r="K215" s="9"/>
      <c r="L215" s="6" t="s">
        <v>849</v>
      </c>
      <c r="M215" s="11">
        <f>INDEX(cennik!$C$2:$L$529,MATCH($L215,cennik!$B$2:$B$522,0),MATCH(M$205,cennik!$C$1:$L$1,0))</f>
        <v>660246</v>
      </c>
      <c r="N215" s="11" t="str">
        <f>INDEX(cennik!$C$2:$L$529,MATCH($L215,cennik!$B$2:$B$522,0),MATCH(N$104,cennik!$C$1:$L$1,0))</f>
        <v>szt.</v>
      </c>
      <c r="O215" s="11">
        <f>O214</f>
        <v>0</v>
      </c>
      <c r="P215" s="34">
        <f>INDEX(cennik!$C$2:$L$529,MATCH($L215,cennik!$B$2:$B$522,0),MATCH(P$104,cennik!$C$1:$L$1,0))</f>
        <v>1.56</v>
      </c>
      <c r="Q215" s="34">
        <f t="shared" si="170"/>
        <v>0</v>
      </c>
      <c r="R215" s="35">
        <f t="shared" si="163"/>
        <v>0</v>
      </c>
      <c r="S215" s="34">
        <f t="shared" si="164"/>
        <v>1.56</v>
      </c>
      <c r="T215" s="34">
        <f t="shared" si="171"/>
        <v>0</v>
      </c>
      <c r="U215" s="34">
        <f>INDEX(cennik!$C$2:$L$529,MATCH($L215,cennik!$B$2:$B$522,0),MATCH(U$104,cennik!$C$1:$L$1,0))*O215</f>
        <v>0</v>
      </c>
      <c r="X215" s="61">
        <f t="shared" si="156"/>
        <v>0</v>
      </c>
      <c r="AD215" s="61">
        <f t="shared" si="160"/>
        <v>0</v>
      </c>
      <c r="AE215" s="61">
        <f t="shared" si="157"/>
        <v>0</v>
      </c>
      <c r="AF215" s="61">
        <f t="shared" si="162"/>
        <v>0</v>
      </c>
      <c r="AG215" s="61">
        <f t="shared" si="158"/>
        <v>0</v>
      </c>
      <c r="AH215" s="60" t="s">
        <v>725</v>
      </c>
      <c r="AI215" s="60">
        <v>800</v>
      </c>
      <c r="AJ215" s="60" t="s">
        <v>719</v>
      </c>
      <c r="AK215" s="60">
        <v>600</v>
      </c>
      <c r="AL215" s="60" t="s">
        <v>719</v>
      </c>
      <c r="AM215" s="60">
        <v>500</v>
      </c>
      <c r="AS215" s="61">
        <f t="shared" si="159"/>
        <v>0</v>
      </c>
      <c r="AT215" s="61">
        <f t="shared" si="161"/>
        <v>0</v>
      </c>
      <c r="AU215" s="61"/>
      <c r="AW215" s="61"/>
      <c r="AX2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</f>
        <v>0</v>
      </c>
      <c r="AY2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</f>
        <v>0</v>
      </c>
      <c r="AZ215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</f>
        <v>0</v>
      </c>
      <c r="BD2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)*$C213</f>
        <v>0</v>
      </c>
      <c r="BE2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)*$C213</f>
        <v>0</v>
      </c>
      <c r="BF215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)*$C213</f>
        <v>0</v>
      </c>
      <c r="BJ215" s="61">
        <f t="shared" si="169"/>
        <v>0</v>
      </c>
      <c r="BK215" s="61">
        <f t="shared" si="168"/>
        <v>0</v>
      </c>
      <c r="BL215" s="61">
        <f t="shared" si="167"/>
        <v>0</v>
      </c>
      <c r="BR215" s="147"/>
      <c r="BS215" s="147">
        <v>10</v>
      </c>
      <c r="BT215" s="147">
        <v>15</v>
      </c>
      <c r="BU215" s="147">
        <v>20</v>
      </c>
      <c r="GA215" s="145" t="s">
        <v>868</v>
      </c>
      <c r="GB215" s="60">
        <v>0</v>
      </c>
      <c r="GC215" s="60">
        <v>0</v>
      </c>
      <c r="GD215" s="60">
        <v>0</v>
      </c>
      <c r="GE215" s="60">
        <v>0</v>
      </c>
      <c r="GF215" s="60">
        <v>0</v>
      </c>
      <c r="GG215" s="60">
        <v>0</v>
      </c>
      <c r="GH215" s="60">
        <v>0</v>
      </c>
      <c r="GI215" s="60">
        <v>0</v>
      </c>
      <c r="GJ215" s="60">
        <v>0</v>
      </c>
      <c r="GK215" s="60">
        <v>0</v>
      </c>
      <c r="GL215" s="60">
        <v>0</v>
      </c>
      <c r="GM215" s="60">
        <v>0</v>
      </c>
      <c r="GN215" s="60">
        <v>0</v>
      </c>
      <c r="GO215" s="60">
        <v>0</v>
      </c>
      <c r="GP215" s="60">
        <v>0</v>
      </c>
      <c r="GQ215" s="60">
        <v>0</v>
      </c>
      <c r="GR215" s="60">
        <v>0</v>
      </c>
      <c r="GS215" s="60">
        <v>0</v>
      </c>
      <c r="GT215" s="60">
        <v>0</v>
      </c>
      <c r="GU215" s="60">
        <v>0</v>
      </c>
      <c r="GV215" s="60">
        <v>0</v>
      </c>
      <c r="GX215" s="145" t="s">
        <v>867</v>
      </c>
      <c r="GY215" s="60">
        <v>0</v>
      </c>
      <c r="GZ215" s="60">
        <v>0</v>
      </c>
      <c r="HA215" s="60">
        <v>1</v>
      </c>
      <c r="HB215" s="60">
        <v>4</v>
      </c>
      <c r="HC215" s="60">
        <v>1</v>
      </c>
      <c r="HD215" s="60">
        <v>4</v>
      </c>
      <c r="HE215" s="60">
        <v>7</v>
      </c>
      <c r="HF215" s="60">
        <v>9</v>
      </c>
      <c r="HG215" s="60">
        <v>7</v>
      </c>
      <c r="HH215" s="60">
        <v>10</v>
      </c>
      <c r="HI215" s="60">
        <v>13</v>
      </c>
      <c r="HJ215" s="60">
        <v>10</v>
      </c>
      <c r="HK215" s="60">
        <v>13</v>
      </c>
      <c r="HL215" s="60">
        <v>16</v>
      </c>
      <c r="HM215" s="60">
        <v>18</v>
      </c>
      <c r="HN215" s="60">
        <v>16</v>
      </c>
      <c r="HO215" s="60">
        <v>19</v>
      </c>
      <c r="HP215" s="60">
        <v>22</v>
      </c>
      <c r="HQ215" s="60">
        <v>22</v>
      </c>
      <c r="HR215" s="60">
        <v>23</v>
      </c>
      <c r="HS215" s="60">
        <v>25</v>
      </c>
      <c r="HV215" s="141" t="s">
        <v>866</v>
      </c>
      <c r="HW215" s="60">
        <v>0</v>
      </c>
    </row>
    <row r="216" spans="1:274" ht="15" customHeight="1" x14ac:dyDescent="0.25">
      <c r="A216" s="8"/>
      <c r="B216" s="5" t="s">
        <v>116</v>
      </c>
      <c r="C216" s="8"/>
      <c r="D216" s="40" t="s">
        <v>797</v>
      </c>
      <c r="E216" s="9"/>
      <c r="F216" s="9"/>
      <c r="G216" s="9"/>
      <c r="H216" s="9"/>
      <c r="I216" s="9"/>
      <c r="J216" s="9"/>
      <c r="K216" s="9"/>
      <c r="L216" s="6" t="s">
        <v>1019</v>
      </c>
      <c r="M216" s="11">
        <f>INDEX(cennik!$C$2:$L$529,MATCH($L216,cennik!$B$2:$B$522,0),MATCH(M$205,cennik!$C$1:$L$1,0))</f>
        <v>166794</v>
      </c>
      <c r="N216" s="11" t="str">
        <f>INDEX(cennik!$C$2:$L$529,MATCH($L216,cennik!$B$2:$B$522,0),MATCH(N$104,cennik!$C$1:$L$1,0))</f>
        <v>100 szt.</v>
      </c>
      <c r="O216" s="11">
        <f>ROUNDUP((O214)/100,0)</f>
        <v>0</v>
      </c>
      <c r="P216" s="34">
        <f>INDEX(cennik!$C$2:$L$529,MATCH($L216,cennik!$B$2:$B$522,0),MATCH(P$104,cennik!$C$1:$L$1,0))</f>
        <v>3.95</v>
      </c>
      <c r="Q216" s="34">
        <f t="shared" si="170"/>
        <v>0</v>
      </c>
      <c r="R216" s="35">
        <f t="shared" si="163"/>
        <v>0</v>
      </c>
      <c r="S216" s="34">
        <f t="shared" si="164"/>
        <v>3.95</v>
      </c>
      <c r="T216" s="34">
        <f t="shared" si="171"/>
        <v>0</v>
      </c>
      <c r="U216" s="34">
        <f>INDEX(cennik!$C$2:$L$529,MATCH($L216,cennik!$B$2:$B$522,0),MATCH(U$104,cennik!$C$1:$L$1,0))*O216</f>
        <v>0</v>
      </c>
      <c r="X216" s="61"/>
      <c r="AD216" s="61">
        <f t="shared" si="160"/>
        <v>0</v>
      </c>
      <c r="AE216" s="61">
        <f t="shared" si="157"/>
        <v>0</v>
      </c>
      <c r="AF216" s="61">
        <f t="shared" si="162"/>
        <v>0</v>
      </c>
      <c r="AG216" s="61">
        <f t="shared" si="158"/>
        <v>0</v>
      </c>
      <c r="AS216" s="61">
        <f t="shared" si="159"/>
        <v>0</v>
      </c>
      <c r="AT216" s="61">
        <f t="shared" si="161"/>
        <v>0</v>
      </c>
      <c r="AU216" s="61"/>
      <c r="AW216" s="61"/>
      <c r="AX2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</f>
        <v>0</v>
      </c>
      <c r="AY2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</f>
        <v>0</v>
      </c>
      <c r="AZ216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</f>
        <v>0</v>
      </c>
      <c r="BD2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)*$C214</f>
        <v>0</v>
      </c>
      <c r="BE2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)*$C214</f>
        <v>0</v>
      </c>
      <c r="BF216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)*$C214</f>
        <v>0</v>
      </c>
      <c r="BJ216" s="61">
        <f t="shared" si="169"/>
        <v>0</v>
      </c>
      <c r="BK216" s="61">
        <f t="shared" si="168"/>
        <v>0</v>
      </c>
      <c r="BL216" s="61">
        <f t="shared" si="167"/>
        <v>0</v>
      </c>
      <c r="BR216" s="147" t="s">
        <v>114</v>
      </c>
      <c r="BS216" s="147" t="s">
        <v>928</v>
      </c>
      <c r="BT216" s="147" t="s">
        <v>929</v>
      </c>
      <c r="BU216" s="147" t="s">
        <v>905</v>
      </c>
      <c r="GX216" s="145" t="s">
        <v>868</v>
      </c>
      <c r="GY216" s="60">
        <v>0</v>
      </c>
      <c r="GZ216" s="60">
        <v>0</v>
      </c>
      <c r="HA216" s="60">
        <v>0</v>
      </c>
      <c r="HB216" s="60">
        <v>0</v>
      </c>
      <c r="HC216" s="60">
        <v>0</v>
      </c>
      <c r="HD216" s="60">
        <v>0</v>
      </c>
      <c r="HE216" s="60">
        <v>0</v>
      </c>
      <c r="HF216" s="60">
        <v>0</v>
      </c>
      <c r="HG216" s="60">
        <v>0</v>
      </c>
      <c r="HH216" s="60">
        <v>0</v>
      </c>
      <c r="HI216" s="60">
        <v>0</v>
      </c>
      <c r="HJ216" s="60">
        <v>0</v>
      </c>
      <c r="HK216" s="60">
        <v>0</v>
      </c>
      <c r="HL216" s="60">
        <v>0</v>
      </c>
      <c r="HM216" s="60">
        <v>0</v>
      </c>
      <c r="HN216" s="60">
        <v>0</v>
      </c>
      <c r="HO216" s="60">
        <v>0</v>
      </c>
      <c r="HP216" s="60">
        <v>0</v>
      </c>
      <c r="HQ216" s="60">
        <v>1</v>
      </c>
      <c r="HR216" s="60">
        <v>0</v>
      </c>
      <c r="HS216" s="60">
        <v>0</v>
      </c>
      <c r="HV216" s="141" t="s">
        <v>867</v>
      </c>
      <c r="HW216" s="60">
        <v>0</v>
      </c>
    </row>
    <row r="217" spans="1:274" ht="15" customHeight="1" x14ac:dyDescent="0.25">
      <c r="A217" s="8"/>
      <c r="B217" s="5" t="s">
        <v>116</v>
      </c>
      <c r="C217" s="8"/>
      <c r="D217" s="40" t="s">
        <v>942</v>
      </c>
      <c r="E217" s="9"/>
      <c r="F217" s="9"/>
      <c r="G217" s="9"/>
      <c r="H217" s="9"/>
      <c r="I217" s="9"/>
      <c r="J217" s="9"/>
      <c r="K217" s="9"/>
      <c r="L217" s="6" t="s">
        <v>623</v>
      </c>
      <c r="M217" s="11">
        <f>INDEX(cennik!$C$2:$L$529,MATCH($L217,cennik!$B$2:$B$522,0),MATCH(M$205,cennik!$C$1:$L$1,0))</f>
        <v>660944</v>
      </c>
      <c r="N217" s="11" t="str">
        <f>INDEX(cennik!$C$2:$L$529,MATCH($L217,cennik!$B$2:$B$522,0),MATCH(N$104,cennik!$C$1:$L$1,0))</f>
        <v>100 szt.</v>
      </c>
      <c r="O217" s="11">
        <f>ROUNDUP((O214+(((SUM(AT203:AT218))*2)))/100,0)</f>
        <v>0</v>
      </c>
      <c r="P217" s="34">
        <f>INDEX(cennik!$C$2:$L$529,MATCH($L217,cennik!$B$2:$B$522,0),MATCH(P$104,cennik!$C$1:$L$1,0))</f>
        <v>21.26</v>
      </c>
      <c r="Q217" s="34">
        <f t="shared" si="170"/>
        <v>0</v>
      </c>
      <c r="R217" s="35">
        <f t="shared" si="163"/>
        <v>0</v>
      </c>
      <c r="S217" s="34">
        <f t="shared" si="164"/>
        <v>21.26</v>
      </c>
      <c r="T217" s="34">
        <f t="shared" si="171"/>
        <v>0</v>
      </c>
      <c r="U217" s="34">
        <f>INDEX(cennik!$C$2:$L$529,MATCH($L217,cennik!$B$2:$B$522,0),MATCH(U$104,cennik!$C$1:$L$1,0))*O217</f>
        <v>0</v>
      </c>
      <c r="X217" s="61"/>
      <c r="AD217" s="61">
        <f t="shared" si="160"/>
        <v>0</v>
      </c>
      <c r="AE217" s="61">
        <f t="shared" si="157"/>
        <v>0</v>
      </c>
      <c r="AF217" s="61">
        <f t="shared" si="162"/>
        <v>0</v>
      </c>
      <c r="AG217" s="61">
        <f t="shared" si="158"/>
        <v>0</v>
      </c>
      <c r="AH217" s="60" t="s">
        <v>836</v>
      </c>
      <c r="AS217" s="61">
        <f t="shared" si="159"/>
        <v>0</v>
      </c>
      <c r="AT217" s="61">
        <f t="shared" si="161"/>
        <v>0</v>
      </c>
      <c r="AU217" s="61"/>
      <c r="AX2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</f>
        <v>0</v>
      </c>
      <c r="AY2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</f>
        <v>0</v>
      </c>
      <c r="AZ217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</f>
        <v>0</v>
      </c>
      <c r="BD2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)*$C215</f>
        <v>0</v>
      </c>
      <c r="BE2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)*$C215</f>
        <v>0</v>
      </c>
      <c r="BF217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)*$C215</f>
        <v>0</v>
      </c>
      <c r="BJ217" s="61">
        <f t="shared" si="169"/>
        <v>0</v>
      </c>
      <c r="BK217" s="61">
        <f t="shared" si="168"/>
        <v>0</v>
      </c>
      <c r="BL217" s="61">
        <f t="shared" si="167"/>
        <v>0</v>
      </c>
      <c r="BR217" s="147" t="s">
        <v>115</v>
      </c>
      <c r="BS217" s="147" t="s">
        <v>928</v>
      </c>
      <c r="BT217" s="147" t="s">
        <v>929</v>
      </c>
      <c r="BU217" s="147" t="s">
        <v>905</v>
      </c>
      <c r="GA217" s="60" t="s">
        <v>473</v>
      </c>
      <c r="HV217" s="141" t="s">
        <v>868</v>
      </c>
      <c r="HW217" s="60">
        <v>0</v>
      </c>
    </row>
    <row r="218" spans="1:274" ht="15" customHeight="1" x14ac:dyDescent="0.25">
      <c r="A218" s="8"/>
      <c r="B218" s="5" t="s">
        <v>116</v>
      </c>
      <c r="C218" s="8"/>
      <c r="D218" s="40" t="s">
        <v>943</v>
      </c>
      <c r="E218" s="9"/>
      <c r="F218" s="9"/>
      <c r="G218" s="9"/>
      <c r="H218" s="9"/>
      <c r="I218" s="9"/>
      <c r="J218" s="9"/>
      <c r="K218" s="9"/>
      <c r="L218" s="6" t="str">
        <f>IF(E207=$Z$104,"SBV250X350",IF(E207=$Z$105,"SBV50X500",IF(E207=$Z$106,"-------",IF(E207=$Z$107,"-------",0))))</f>
        <v>SBV50X500</v>
      </c>
      <c r="M218" s="11">
        <f>INDEX(cennik!$C$2:$L$529,MATCH($L218,cennik!$B$2:$B$522,0),MATCH(M$205,cennik!$C$1:$L$1,0))</f>
        <v>895501</v>
      </c>
      <c r="N218" s="11" t="str">
        <f>INDEX(cennik!$C$2:$L$529,MATCH($L218,cennik!$B$2:$B$522,0),MATCH(N$104,cennik!$C$1:$L$1,0))</f>
        <v>szt.</v>
      </c>
      <c r="O218" s="11">
        <f>IF(E207=$Z$104,O209*2,IF(E207=$Z$105,O209,IF(E207=$Z$106,0,IF(E207=$Z$107,0))))</f>
        <v>0</v>
      </c>
      <c r="P218" s="34">
        <f>INDEX(cennik!$C$2:$L$529,MATCH($L218,cennik!$B$2:$B$522,0),MATCH(P$104,cennik!$C$1:$L$1,0))</f>
        <v>1.24</v>
      </c>
      <c r="Q218" s="34">
        <f t="shared" si="170"/>
        <v>0</v>
      </c>
      <c r="R218" s="35">
        <f t="shared" si="163"/>
        <v>0</v>
      </c>
      <c r="S218" s="34">
        <f t="shared" si="164"/>
        <v>1.24</v>
      </c>
      <c r="T218" s="34">
        <f t="shared" si="171"/>
        <v>0</v>
      </c>
      <c r="U218" s="34">
        <f>INDEX(cennik!$C$2:$L$529,MATCH($L218,cennik!$B$2:$B$522,0),MATCH(U$104,cennik!$C$1:$L$1,0))*O218</f>
        <v>0</v>
      </c>
      <c r="AD218" s="61">
        <f t="shared" si="160"/>
        <v>0</v>
      </c>
      <c r="AE218" s="61">
        <f t="shared" si="157"/>
        <v>0</v>
      </c>
      <c r="AF218" s="61">
        <f t="shared" si="162"/>
        <v>0</v>
      </c>
      <c r="AG218" s="61">
        <f t="shared" si="158"/>
        <v>0</v>
      </c>
      <c r="AH218" s="60" t="s">
        <v>717</v>
      </c>
      <c r="AI218" s="60">
        <v>1</v>
      </c>
      <c r="AJ218" s="60">
        <v>2</v>
      </c>
      <c r="AK218" s="60">
        <v>3</v>
      </c>
      <c r="AL218" s="60">
        <v>4</v>
      </c>
      <c r="AM218" s="60">
        <v>5</v>
      </c>
      <c r="AS218" s="61">
        <f t="shared" si="159"/>
        <v>0</v>
      </c>
      <c r="AT218" s="61">
        <f t="shared" si="161"/>
        <v>0</v>
      </c>
      <c r="AU218" s="61"/>
      <c r="AX2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</f>
        <v>0</v>
      </c>
      <c r="AY2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</f>
        <v>0</v>
      </c>
      <c r="AZ218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</f>
        <v>0</v>
      </c>
      <c r="BD2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)*$C216</f>
        <v>0</v>
      </c>
      <c r="BE2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)*$C216</f>
        <v>0</v>
      </c>
      <c r="BF218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)*$C216</f>
        <v>0</v>
      </c>
      <c r="BJ218" s="61">
        <f t="shared" si="169"/>
        <v>0</v>
      </c>
      <c r="BK218" s="61">
        <f t="shared" si="168"/>
        <v>0</v>
      </c>
      <c r="BL218" s="61">
        <f t="shared" si="167"/>
        <v>0</v>
      </c>
      <c r="BR218" s="147" t="s">
        <v>474</v>
      </c>
      <c r="BS218" s="147" t="s">
        <v>928</v>
      </c>
      <c r="BT218" s="147" t="s">
        <v>929</v>
      </c>
      <c r="BU218" s="147" t="s">
        <v>905</v>
      </c>
      <c r="GB218" s="60">
        <v>0</v>
      </c>
      <c r="GC218" s="60">
        <v>1</v>
      </c>
      <c r="GD218" s="60">
        <v>2</v>
      </c>
      <c r="GE218" s="60">
        <v>3</v>
      </c>
      <c r="GF218" s="60">
        <v>4</v>
      </c>
      <c r="GG218" s="60">
        <v>5</v>
      </c>
      <c r="GH218" s="60">
        <v>6</v>
      </c>
      <c r="GI218" s="60">
        <v>7</v>
      </c>
      <c r="GJ218" s="60">
        <v>8</v>
      </c>
      <c r="GK218" s="60">
        <v>9</v>
      </c>
      <c r="GL218" s="60">
        <v>10</v>
      </c>
      <c r="GM218" s="60">
        <v>11</v>
      </c>
      <c r="GN218" s="60">
        <v>12</v>
      </c>
      <c r="GO218" s="60">
        <v>13</v>
      </c>
      <c r="GP218" s="60">
        <v>14</v>
      </c>
      <c r="GQ218" s="60">
        <v>15</v>
      </c>
      <c r="GR218" s="60">
        <v>16</v>
      </c>
      <c r="GS218" s="60">
        <v>17</v>
      </c>
      <c r="GT218" s="60">
        <v>18</v>
      </c>
      <c r="GU218" s="60">
        <v>19</v>
      </c>
      <c r="GV218" s="60">
        <v>20</v>
      </c>
      <c r="GX218" s="60" t="s">
        <v>833</v>
      </c>
    </row>
    <row r="219" spans="1:274" ht="15" customHeight="1" x14ac:dyDescent="0.25">
      <c r="A219" s="8"/>
      <c r="B219" s="5" t="s">
        <v>116</v>
      </c>
      <c r="C219" s="8"/>
      <c r="D219" s="9"/>
      <c r="E219" s="9"/>
      <c r="F219" s="9"/>
      <c r="G219" s="9"/>
      <c r="H219" s="9"/>
      <c r="I219" s="9"/>
      <c r="J219" s="9"/>
      <c r="K219" s="9"/>
      <c r="L219" s="6" t="str">
        <f>IF(E207=$Z$104,"PBK50MC",IF(E207=$Z$105,"-------",IF(E207=$Z$106,"SPM2",IF(E207=$Z$107,"SMA40/033",0))))</f>
        <v>-------</v>
      </c>
      <c r="M219" s="11" t="str">
        <f>INDEX(cennik!$C$2:$L$529,MATCH($L219,cennik!$B$2:$B$522,0),MATCH(M$205,cennik!$C$1:$L$1,0))</f>
        <v>-------</v>
      </c>
      <c r="N219" s="11">
        <f>INDEX(cennik!$C$2:$L$529,MATCH($L219,cennik!$B$2:$B$522,0),MATCH(N$104,cennik!$C$1:$L$1,0))</f>
        <v>0</v>
      </c>
      <c r="O219" s="11">
        <f>IF(E207=$Z$104,$O$209*2,IF(E207=$Z$105,0,IF(E207=$Z$106,O209,IF(E207=$Z$107,O209*3,0))))</f>
        <v>0</v>
      </c>
      <c r="P219" s="34">
        <f>INDEX(cennik!$C$2:$L$529,MATCH($L219,cennik!$B$2:$B$522,0),MATCH(P$104,cennik!$C$1:$L$1,0))</f>
        <v>0</v>
      </c>
      <c r="Q219" s="34">
        <f t="shared" si="170"/>
        <v>0</v>
      </c>
      <c r="R219" s="35">
        <f t="shared" si="163"/>
        <v>0</v>
      </c>
      <c r="S219" s="34">
        <f t="shared" si="164"/>
        <v>0</v>
      </c>
      <c r="T219" s="34">
        <f t="shared" si="171"/>
        <v>0</v>
      </c>
      <c r="U219" s="34">
        <f>INDEX(cennik!$C$2:$L$529,MATCH($L219,cennik!$B$2:$B$522,0),MATCH(U$104,cennik!$C$1:$L$1,0))*O219</f>
        <v>0</v>
      </c>
      <c r="AD219" s="61"/>
      <c r="AH219" s="60">
        <v>1</v>
      </c>
      <c r="AI219" s="60">
        <v>2000</v>
      </c>
      <c r="AJ219" s="60">
        <v>2000</v>
      </c>
      <c r="AK219" s="60">
        <v>2000</v>
      </c>
      <c r="AL219" s="60">
        <v>1800</v>
      </c>
      <c r="AM219" s="60" t="s">
        <v>719</v>
      </c>
      <c r="AS219" s="61"/>
      <c r="AU219" s="61"/>
      <c r="AX2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</f>
        <v>0</v>
      </c>
      <c r="AY2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</f>
        <v>0</v>
      </c>
      <c r="AZ219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</f>
        <v>0</v>
      </c>
      <c r="BD2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)*$C217</f>
        <v>0</v>
      </c>
      <c r="BE2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)*$C217</f>
        <v>0</v>
      </c>
      <c r="BF219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)*$C217</f>
        <v>0</v>
      </c>
      <c r="BJ219" s="61">
        <f t="shared" si="169"/>
        <v>0</v>
      </c>
      <c r="BK219" s="61">
        <f t="shared" si="168"/>
        <v>0</v>
      </c>
      <c r="BL219" s="61">
        <f t="shared" si="167"/>
        <v>0</v>
      </c>
      <c r="BR219" s="147" t="s">
        <v>480</v>
      </c>
      <c r="BS219" s="147" t="s">
        <v>928</v>
      </c>
      <c r="BT219" s="147" t="s">
        <v>929</v>
      </c>
      <c r="BU219" s="147" t="s">
        <v>905</v>
      </c>
      <c r="GA219" s="145" t="s">
        <v>866</v>
      </c>
      <c r="GB219" s="60">
        <v>0</v>
      </c>
      <c r="GC219" s="60">
        <v>0</v>
      </c>
      <c r="GD219" s="60">
        <v>0</v>
      </c>
      <c r="GE219" s="60">
        <v>0</v>
      </c>
      <c r="GF219" s="60">
        <v>5</v>
      </c>
      <c r="GG219" s="60">
        <v>5</v>
      </c>
      <c r="GH219" s="60">
        <v>0</v>
      </c>
      <c r="GI219" s="60">
        <v>4</v>
      </c>
      <c r="GJ219" s="60">
        <v>4</v>
      </c>
      <c r="GK219" s="60">
        <v>4</v>
      </c>
      <c r="GL219" s="60">
        <v>4</v>
      </c>
      <c r="GM219" s="60">
        <v>4</v>
      </c>
      <c r="GN219" s="60">
        <v>4</v>
      </c>
      <c r="GO219" s="60">
        <v>4</v>
      </c>
      <c r="GP219" s="60">
        <v>3</v>
      </c>
      <c r="GQ219" s="60">
        <v>3</v>
      </c>
      <c r="GR219" s="60">
        <v>3</v>
      </c>
      <c r="GS219" s="60">
        <v>3</v>
      </c>
      <c r="GT219" s="60">
        <v>3</v>
      </c>
      <c r="GU219" s="60">
        <v>2</v>
      </c>
      <c r="GV219" s="60">
        <v>2</v>
      </c>
      <c r="GY219" s="60">
        <v>0</v>
      </c>
      <c r="GZ219" s="60">
        <v>1</v>
      </c>
      <c r="HA219" s="60">
        <v>2</v>
      </c>
      <c r="HB219" s="60">
        <v>3</v>
      </c>
      <c r="HC219" s="60">
        <v>4</v>
      </c>
      <c r="HD219" s="60">
        <v>5</v>
      </c>
      <c r="HE219" s="60">
        <v>6</v>
      </c>
      <c r="HF219" s="60">
        <v>7</v>
      </c>
      <c r="HG219" s="60">
        <v>8</v>
      </c>
      <c r="HH219" s="60">
        <v>9</v>
      </c>
      <c r="HI219" s="60">
        <v>10</v>
      </c>
      <c r="HJ219" s="60">
        <v>11</v>
      </c>
      <c r="HK219" s="60">
        <v>12</v>
      </c>
      <c r="HL219" s="60">
        <v>13</v>
      </c>
      <c r="HM219" s="60">
        <v>14</v>
      </c>
      <c r="HN219" s="60">
        <v>15</v>
      </c>
      <c r="HO219" s="60">
        <v>16</v>
      </c>
      <c r="HP219" s="60">
        <v>17</v>
      </c>
      <c r="HQ219" s="60">
        <v>18</v>
      </c>
      <c r="HR219" s="60">
        <v>19</v>
      </c>
      <c r="HS219" s="60">
        <v>20</v>
      </c>
    </row>
    <row r="220" spans="1:274" ht="15" customHeight="1" x14ac:dyDescent="0.25">
      <c r="A220" s="8"/>
      <c r="B220" s="5" t="s">
        <v>116</v>
      </c>
      <c r="C220" s="8"/>
      <c r="D220" s="9"/>
      <c r="E220" s="9"/>
      <c r="F220" s="9"/>
      <c r="G220" s="9"/>
      <c r="H220" s="9"/>
      <c r="I220" s="9"/>
      <c r="J220" s="9"/>
      <c r="K220" s="9"/>
      <c r="L220" s="6" t="str">
        <f>IF(E207=$Z$104,"-------",IF(E207=$Z$105,"-------",IF(E207=$Z$106,"-------",IF(E207=$Z$107,"SMDP6,0X25E",0))))</f>
        <v>-------</v>
      </c>
      <c r="M220" s="11" t="str">
        <f>INDEX(cennik!$C$2:$L$529,MATCH($L220,cennik!$B$2:$B$522,0),MATCH(M$205,cennik!$C$1:$L$1,0))</f>
        <v>-------</v>
      </c>
      <c r="N220" s="11">
        <f>INDEX(cennik!$C$2:$L$529,MATCH($L220,cennik!$B$2:$B$522,0),MATCH(N$104,cennik!$C$1:$L$1,0))</f>
        <v>0</v>
      </c>
      <c r="O220" s="11">
        <f>IF(E207=$Z$107,O219*4,0)</f>
        <v>0</v>
      </c>
      <c r="P220" s="34">
        <f>INDEX(cennik!$C$2:$L$529,MATCH($L220,cennik!$B$2:$B$522,0),MATCH(P$104,cennik!$C$1:$L$1,0))</f>
        <v>0</v>
      </c>
      <c r="Q220" s="34">
        <f t="shared" si="170"/>
        <v>0</v>
      </c>
      <c r="R220" s="35">
        <f t="shared" si="163"/>
        <v>0</v>
      </c>
      <c r="S220" s="34">
        <f t="shared" si="164"/>
        <v>0</v>
      </c>
      <c r="T220" s="34">
        <f t="shared" si="171"/>
        <v>0</v>
      </c>
      <c r="U220" s="34">
        <f>INDEX(cennik!$C$2:$L$529,MATCH($L220,cennik!$B$2:$B$522,0),MATCH(U$104,cennik!$C$1:$L$1,0))*O220</f>
        <v>0</v>
      </c>
      <c r="AH220" s="60">
        <v>2</v>
      </c>
      <c r="AI220" s="60" t="s">
        <v>719</v>
      </c>
      <c r="AJ220" s="60">
        <v>1400</v>
      </c>
      <c r="AK220" s="60">
        <v>1400</v>
      </c>
      <c r="AL220" s="60" t="s">
        <v>719</v>
      </c>
      <c r="AM220" s="60" t="s">
        <v>719</v>
      </c>
      <c r="AS220" s="61"/>
      <c r="AX2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</f>
        <v>0</v>
      </c>
      <c r="AY2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</f>
        <v>0</v>
      </c>
      <c r="AZ220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</f>
        <v>0</v>
      </c>
      <c r="BD2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)*$C218</f>
        <v>0</v>
      </c>
      <c r="BE2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)*$C218</f>
        <v>0</v>
      </c>
      <c r="BF220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)*$C218</f>
        <v>0</v>
      </c>
      <c r="BJ220" s="61">
        <f t="shared" si="169"/>
        <v>0</v>
      </c>
      <c r="BK220" s="61">
        <f t="shared" si="168"/>
        <v>0</v>
      </c>
      <c r="BL220" s="61">
        <f t="shared" si="167"/>
        <v>0</v>
      </c>
      <c r="BR220" s="147" t="s">
        <v>713</v>
      </c>
      <c r="BS220" s="147" t="s">
        <v>903</v>
      </c>
      <c r="BT220" s="147" t="s">
        <v>905</v>
      </c>
      <c r="BU220" s="147" t="s">
        <v>907</v>
      </c>
      <c r="GA220" s="145" t="s">
        <v>867</v>
      </c>
      <c r="GB220" s="60">
        <v>0</v>
      </c>
      <c r="GC220" s="60">
        <v>1</v>
      </c>
      <c r="GD220" s="60">
        <v>1</v>
      </c>
      <c r="GE220" s="60">
        <v>2</v>
      </c>
      <c r="GF220" s="60">
        <v>0</v>
      </c>
      <c r="GG220" s="60">
        <v>1</v>
      </c>
      <c r="GH220" s="60">
        <v>5</v>
      </c>
      <c r="GI220" s="60">
        <v>4</v>
      </c>
      <c r="GJ220" s="60">
        <v>5</v>
      </c>
      <c r="GK220" s="60">
        <v>6</v>
      </c>
      <c r="GL220" s="60">
        <v>7</v>
      </c>
      <c r="GM220" s="60">
        <v>8</v>
      </c>
      <c r="GN220" s="60">
        <v>9</v>
      </c>
      <c r="GO220" s="60">
        <v>10</v>
      </c>
      <c r="GP220" s="60">
        <v>12</v>
      </c>
      <c r="GQ220" s="60">
        <v>13</v>
      </c>
      <c r="GR220" s="60">
        <v>14</v>
      </c>
      <c r="GS220" s="60">
        <v>15</v>
      </c>
      <c r="GT220" s="60">
        <v>16</v>
      </c>
      <c r="GU220" s="60">
        <v>18</v>
      </c>
      <c r="GV220" s="60">
        <v>19</v>
      </c>
      <c r="GX220" s="145" t="s">
        <v>866</v>
      </c>
      <c r="GY220" s="60">
        <v>0</v>
      </c>
      <c r="GZ220" s="60">
        <v>2</v>
      </c>
      <c r="HA220" s="60">
        <v>2</v>
      </c>
      <c r="HB220" s="60">
        <v>0</v>
      </c>
      <c r="HC220" s="60">
        <v>4</v>
      </c>
      <c r="HD220" s="60">
        <v>2</v>
      </c>
      <c r="HE220" s="60">
        <v>0</v>
      </c>
      <c r="HF220" s="60">
        <v>4</v>
      </c>
      <c r="HG220" s="60">
        <v>3</v>
      </c>
      <c r="HH220" s="60">
        <v>1</v>
      </c>
      <c r="HI220" s="60">
        <v>5</v>
      </c>
      <c r="HJ220" s="60">
        <v>3</v>
      </c>
      <c r="HK220" s="60">
        <v>1</v>
      </c>
      <c r="HL220" s="60">
        <v>5</v>
      </c>
      <c r="HM220" s="60">
        <v>3</v>
      </c>
      <c r="HN220" s="60">
        <v>1</v>
      </c>
      <c r="HO220" s="60">
        <v>0</v>
      </c>
      <c r="HP220" s="60">
        <v>3</v>
      </c>
      <c r="HQ220" s="60">
        <v>1</v>
      </c>
      <c r="HR220" s="60">
        <v>0</v>
      </c>
      <c r="HS220" s="60">
        <v>3</v>
      </c>
    </row>
    <row r="221" spans="1:274" ht="15" customHeight="1" x14ac:dyDescent="0.25">
      <c r="A221" s="9"/>
      <c r="B221" s="6"/>
      <c r="C221" s="9"/>
      <c r="D221" s="9"/>
      <c r="E221" s="9"/>
      <c r="F221" s="17" t="str">
        <f>IF(L221="PSRM10X90F","PROPOZYCJA KOTEW- DO WERFIKACJI","")</f>
        <v>PROPOZYCJA KOTEW- DO WERFIKACJI</v>
      </c>
      <c r="G221" s="9"/>
      <c r="H221" s="9"/>
      <c r="I221" s="9"/>
      <c r="J221" s="9"/>
      <c r="K221" s="9"/>
      <c r="L221" s="6" t="str">
        <f>IF(E207=$Z$104,"-------",IF(E207=$Z$105,"PSRM10X90F",IF(E207=$Z$106,"-------",IF(E207=$Z$107,"SSZ8X30E A2",0))))</f>
        <v>PSRM10X90F</v>
      </c>
      <c r="M221" s="11">
        <f>INDEX(cennik!$C$2:$L$529,MATCH($L221,cennik!$B$2:$B$522,0),MATCH(M$205,cennik!$C$1:$L$1,0))</f>
        <v>650093</v>
      </c>
      <c r="N221" s="11" t="str">
        <f>INDEX(cennik!$C$2:$L$529,MATCH($L221,cennik!$B$2:$B$522,0),MATCH(N$104,cennik!$C$1:$L$1,0))</f>
        <v>szt.</v>
      </c>
      <c r="O221" s="11">
        <f>IF(E207=$Z$104,0,IF(E207=$Z$105,O209*4,IF(E207=$Z$106,0,IF(E207=$Z$107,ROUNDUP((O209*3)/100,0),0))))</f>
        <v>0</v>
      </c>
      <c r="P221" s="34">
        <f>INDEX(cennik!$C$2:$L$529,MATCH($L221,cennik!$B$2:$B$522,0),MATCH(P$104,cennik!$C$1:$L$1,0))</f>
        <v>3.29</v>
      </c>
      <c r="Q221" s="34">
        <f t="shared" ref="Q221:Q222" si="172">O221*P221</f>
        <v>0</v>
      </c>
      <c r="R221" s="35">
        <f t="shared" si="163"/>
        <v>0</v>
      </c>
      <c r="S221" s="34">
        <f t="shared" si="164"/>
        <v>3.29</v>
      </c>
      <c r="T221" s="34">
        <f t="shared" ref="T221:T222" si="173">O221*S221</f>
        <v>0</v>
      </c>
      <c r="U221" s="34">
        <f>INDEX(cennik!$C$2:$L$529,MATCH($L221,cennik!$B$2:$B$522,0),MATCH(U$104,cennik!$C$1:$L$1,0))*O221</f>
        <v>0</v>
      </c>
      <c r="AH221" s="60" t="s">
        <v>725</v>
      </c>
      <c r="AI221" s="60">
        <v>1600</v>
      </c>
      <c r="AJ221" s="60" t="s">
        <v>719</v>
      </c>
      <c r="AK221" s="60">
        <v>1300</v>
      </c>
      <c r="AL221" s="60" t="s">
        <v>719</v>
      </c>
      <c r="AM221" s="60">
        <v>1100</v>
      </c>
      <c r="AX2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</f>
        <v>0</v>
      </c>
      <c r="AY2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</f>
        <v>0</v>
      </c>
      <c r="AZ221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</f>
        <v>0</v>
      </c>
      <c r="BD2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)*$C219</f>
        <v>0</v>
      </c>
      <c r="BE2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)*$C219</f>
        <v>0</v>
      </c>
      <c r="BF221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)*$C219</f>
        <v>0</v>
      </c>
      <c r="BJ221" s="61">
        <f t="shared" si="169"/>
        <v>0</v>
      </c>
      <c r="BK221" s="61">
        <f t="shared" si="168"/>
        <v>0</v>
      </c>
      <c r="BL221" s="61">
        <f t="shared" si="167"/>
        <v>0</v>
      </c>
      <c r="BR221" s="147" t="s">
        <v>714</v>
      </c>
      <c r="BS221" s="147" t="s">
        <v>903</v>
      </c>
      <c r="BT221" s="147" t="s">
        <v>905</v>
      </c>
      <c r="BU221" s="147" t="s">
        <v>907</v>
      </c>
      <c r="GA221" s="145" t="s">
        <v>868</v>
      </c>
      <c r="GB221" s="60">
        <v>0</v>
      </c>
      <c r="GC221" s="60">
        <v>0</v>
      </c>
      <c r="GD221" s="60">
        <v>1</v>
      </c>
      <c r="GE221" s="60">
        <v>1</v>
      </c>
      <c r="GF221" s="60">
        <v>0</v>
      </c>
      <c r="GG221" s="60">
        <v>0</v>
      </c>
      <c r="GH221" s="60">
        <v>1</v>
      </c>
      <c r="GI221" s="60">
        <v>0</v>
      </c>
      <c r="GJ221" s="60">
        <v>0</v>
      </c>
      <c r="GK221" s="60">
        <v>0</v>
      </c>
      <c r="GL221" s="60">
        <v>0</v>
      </c>
      <c r="GM221" s="60">
        <v>0</v>
      </c>
      <c r="GN221" s="60">
        <v>0</v>
      </c>
      <c r="GO221" s="60">
        <v>0</v>
      </c>
      <c r="GP221" s="60">
        <v>0</v>
      </c>
      <c r="GQ221" s="60">
        <v>0</v>
      </c>
      <c r="GR221" s="60">
        <v>0</v>
      </c>
      <c r="GS221" s="60">
        <v>0</v>
      </c>
      <c r="GT221" s="60">
        <v>0</v>
      </c>
      <c r="GU221" s="60">
        <v>0</v>
      </c>
      <c r="GV221" s="60">
        <v>0</v>
      </c>
      <c r="GX221" s="145" t="s">
        <v>867</v>
      </c>
      <c r="GY221" s="60">
        <v>0</v>
      </c>
      <c r="GZ221" s="60">
        <v>0</v>
      </c>
      <c r="HA221" s="60">
        <v>1</v>
      </c>
      <c r="HB221" s="60">
        <v>4</v>
      </c>
      <c r="HC221" s="60">
        <v>2</v>
      </c>
      <c r="HD221" s="60">
        <v>5</v>
      </c>
      <c r="HE221" s="60">
        <v>8</v>
      </c>
      <c r="HF221" s="60">
        <v>6</v>
      </c>
      <c r="HG221" s="60">
        <v>8</v>
      </c>
      <c r="HH221" s="60">
        <v>11</v>
      </c>
      <c r="HI221" s="60">
        <v>9</v>
      </c>
      <c r="HJ221" s="60">
        <v>12</v>
      </c>
      <c r="HK221" s="60">
        <v>15</v>
      </c>
      <c r="HL221" s="60">
        <v>13</v>
      </c>
      <c r="HM221" s="60">
        <v>16</v>
      </c>
      <c r="HN221" s="60">
        <v>19</v>
      </c>
      <c r="HO221" s="60">
        <v>21</v>
      </c>
      <c r="HP221" s="60">
        <v>20</v>
      </c>
      <c r="HQ221" s="60">
        <v>23</v>
      </c>
      <c r="HR221" s="60">
        <v>25</v>
      </c>
      <c r="HS221" s="60">
        <v>24</v>
      </c>
    </row>
    <row r="222" spans="1:274" ht="15" customHeight="1" x14ac:dyDescent="0.25">
      <c r="A222" s="9"/>
      <c r="B222" s="9"/>
      <c r="C222" s="9"/>
      <c r="D222" s="9"/>
      <c r="E222" s="9"/>
      <c r="G222" s="9"/>
      <c r="H222" s="9"/>
      <c r="I222" s="9"/>
      <c r="J222" s="9"/>
      <c r="K222" s="9"/>
      <c r="L222" s="6" t="str">
        <f>IF(E207=$Z$104,"-------",IF(E207=$Z$105,"-------",IF(E207=$Z$106,"-------",IF(E207=$Z$107,"NKZM8E A2",0))))</f>
        <v>-------</v>
      </c>
      <c r="M222" s="11" t="str">
        <f>INDEX(cennik!$C$2:$L$529,MATCH($L222,cennik!$B$2:$B$522,0),MATCH(M$205,cennik!$C$1:$L$1,0))</f>
        <v>-------</v>
      </c>
      <c r="N222" s="11">
        <f>INDEX(cennik!$C$2:$L$529,MATCH($L222,cennik!$B$2:$B$522,0),MATCH(N$104,cennik!$C$1:$L$1,0))</f>
        <v>0</v>
      </c>
      <c r="O222" s="11">
        <f>ROUNDUP((IF(L222="NKZM8E A2",O209*3,0))/100,0)</f>
        <v>0</v>
      </c>
      <c r="P222" s="34">
        <f>INDEX(cennik!$C$2:$L$529,MATCH($L222,cennik!$B$2:$B$522,0),MATCH(P$104,cennik!$C$1:$L$1,0))</f>
        <v>0</v>
      </c>
      <c r="Q222" s="34">
        <f t="shared" si="172"/>
        <v>0</v>
      </c>
      <c r="R222" s="35">
        <f t="shared" si="163"/>
        <v>0</v>
      </c>
      <c r="S222" s="34">
        <f t="shared" si="164"/>
        <v>0</v>
      </c>
      <c r="T222" s="34">
        <f t="shared" si="173"/>
        <v>0</v>
      </c>
      <c r="U222" s="34">
        <f>INDEX(cennik!$C$2:$L$529,MATCH($L222,cennik!$B$2:$B$522,0),MATCH(U$104,cennik!$C$1:$L$1,0))*O222</f>
        <v>0</v>
      </c>
      <c r="AX2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</f>
        <v>0</v>
      </c>
      <c r="AY2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</f>
        <v>0</v>
      </c>
      <c r="AZ222" s="60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</f>
        <v>0</v>
      </c>
      <c r="BD2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)*$C220</f>
        <v>0</v>
      </c>
      <c r="BE2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)*$C220</f>
        <v>0</v>
      </c>
      <c r="BF222" s="60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)*$C220</f>
        <v>0</v>
      </c>
      <c r="BJ222" s="61">
        <f t="shared" si="169"/>
        <v>0</v>
      </c>
      <c r="BK222" s="61">
        <f t="shared" si="168"/>
        <v>0</v>
      </c>
      <c r="BL222" s="61">
        <f t="shared" si="167"/>
        <v>0</v>
      </c>
      <c r="BR222" s="147" t="s">
        <v>715</v>
      </c>
      <c r="BS222" s="147" t="s">
        <v>903</v>
      </c>
      <c r="BT222" s="147" t="s">
        <v>905</v>
      </c>
      <c r="BU222" s="147" t="s">
        <v>907</v>
      </c>
      <c r="GX222" s="145" t="s">
        <v>868</v>
      </c>
      <c r="GY222" s="60">
        <v>0</v>
      </c>
      <c r="GZ222" s="60">
        <v>0</v>
      </c>
      <c r="HA222" s="60">
        <v>0</v>
      </c>
      <c r="HB222" s="60">
        <v>0</v>
      </c>
      <c r="HC222" s="60">
        <v>0</v>
      </c>
      <c r="HD222" s="60">
        <v>0</v>
      </c>
      <c r="HE222" s="60">
        <v>0</v>
      </c>
      <c r="HF222" s="60">
        <v>0</v>
      </c>
      <c r="HG222" s="60">
        <v>0</v>
      </c>
      <c r="HH222" s="60">
        <v>0</v>
      </c>
      <c r="HI222" s="60">
        <v>0</v>
      </c>
      <c r="HJ222" s="60">
        <v>0</v>
      </c>
      <c r="HK222" s="60">
        <v>0</v>
      </c>
      <c r="HL222" s="60">
        <v>0</v>
      </c>
      <c r="HM222" s="60">
        <v>0</v>
      </c>
      <c r="HN222" s="60">
        <v>0</v>
      </c>
      <c r="HO222" s="60">
        <v>0</v>
      </c>
      <c r="HP222" s="60">
        <v>0</v>
      </c>
      <c r="HQ222" s="60">
        <v>0</v>
      </c>
      <c r="HR222" s="60">
        <v>0</v>
      </c>
      <c r="HS222" s="60">
        <v>0</v>
      </c>
    </row>
    <row r="223" spans="1:274" ht="15" customHeight="1" x14ac:dyDescent="0.25">
      <c r="A223" s="9"/>
      <c r="B223" s="9"/>
      <c r="C223" s="9"/>
      <c r="D223" s="9"/>
      <c r="E223" s="9"/>
      <c r="F223" s="9"/>
      <c r="G223" s="9"/>
      <c r="H223" s="9"/>
      <c r="I223" s="9"/>
      <c r="J223" s="9"/>
      <c r="K223" s="9"/>
      <c r="L223" s="6" t="str">
        <f>IF(E207=$Z$104,"PC100C",IF(E207=$Z$105,"PC100C",IF(E207=$Z$106,"PC100C",IF(E207=$Z$107,"-------",0))))</f>
        <v>PC100C</v>
      </c>
      <c r="M223" s="11">
        <f>INDEX(cennik!$C$2:$L$529,MATCH($L223,cennik!$B$2:$B$522,0),MATCH(M$205,cennik!$C$1:$L$1,0))</f>
        <v>858433</v>
      </c>
      <c r="N223" s="11" t="str">
        <f>INDEX(cennik!$C$2:$L$529,MATCH($L223,cennik!$B$2:$B$522,0),MATCH(N$104,cennik!$C$1:$L$1,0))</f>
        <v>szt.</v>
      </c>
      <c r="O223" s="11">
        <f>IF(L223="PC100C",O209*2,0)</f>
        <v>0</v>
      </c>
      <c r="P223" s="34">
        <f>INDEX(cennik!$C$2:$L$529,MATCH($L223,cennik!$B$2:$B$522,0),MATCH(P$104,cennik!$C$1:$L$1,0))</f>
        <v>6.8</v>
      </c>
      <c r="Q223" s="34">
        <f>O223*P223</f>
        <v>0</v>
      </c>
      <c r="R223" s="35">
        <f t="shared" si="163"/>
        <v>0</v>
      </c>
      <c r="S223" s="34">
        <f t="shared" si="164"/>
        <v>6.8</v>
      </c>
      <c r="T223" s="34">
        <f>O223*S223</f>
        <v>0</v>
      </c>
      <c r="U223" s="34">
        <f>INDEX(cennik!$C$2:$L$529,MATCH($L223,cennik!$B$2:$B$522,0),MATCH(U$104,cennik!$C$1:$L$1,0))*O223</f>
        <v>0</v>
      </c>
      <c r="AD223" s="361" t="s">
        <v>839</v>
      </c>
      <c r="AE223" s="361"/>
      <c r="AF223" s="361"/>
      <c r="AH223" s="361" t="s">
        <v>840</v>
      </c>
      <c r="AI223" s="361"/>
      <c r="AJ223" s="361"/>
      <c r="BR223" s="147" t="s">
        <v>762</v>
      </c>
      <c r="BS223" s="147" t="s">
        <v>903</v>
      </c>
      <c r="BT223" s="147" t="s">
        <v>905</v>
      </c>
      <c r="BU223" s="147" t="s">
        <v>907</v>
      </c>
      <c r="GA223" s="60" t="s">
        <v>113</v>
      </c>
    </row>
    <row r="224" spans="1:274" ht="15" customHeight="1" x14ac:dyDescent="0.25">
      <c r="A224" s="9"/>
      <c r="B224" s="9"/>
      <c r="C224" s="9"/>
      <c r="D224" s="9"/>
      <c r="E224" s="9"/>
      <c r="G224" s="9"/>
      <c r="H224" s="9"/>
      <c r="I224" s="9"/>
      <c r="J224" s="9"/>
      <c r="K224" s="9"/>
      <c r="L224" s="6" t="s">
        <v>407</v>
      </c>
      <c r="M224" s="11">
        <f>INDEX(cennik!$C$2:$L$529,MATCH($L224,cennik!$B$2:$B$522,0),MATCH(M$205,cennik!$C$1:$L$1,0))</f>
        <v>651643</v>
      </c>
      <c r="N224" s="11" t="str">
        <f>INDEX(cennik!$C$2:$L$529,MATCH($L224,cennik!$B$2:$B$522,0),MATCH(N$104,cennik!$C$1:$L$1,0))</f>
        <v>100 szt.</v>
      </c>
      <c r="O224" s="11">
        <f>ROUNDUP((O209*2+O208*8)/100,0)</f>
        <v>0</v>
      </c>
      <c r="P224" s="34">
        <f>INDEX(cennik!$C$2:$L$529,MATCH($L224,cennik!$B$2:$B$522,0),MATCH(P$104,cennik!$C$1:$L$1,0))</f>
        <v>144.19</v>
      </c>
      <c r="Q224" s="34">
        <f>O224*P224</f>
        <v>0</v>
      </c>
      <c r="R224" s="35">
        <f t="shared" si="163"/>
        <v>0</v>
      </c>
      <c r="S224" s="34">
        <f t="shared" si="164"/>
        <v>144.19</v>
      </c>
      <c r="T224" s="34">
        <f>O224*S224</f>
        <v>0</v>
      </c>
      <c r="U224" s="34">
        <f>INDEX(cennik!$C$2:$L$529,MATCH($L224,cennik!$B$2:$B$522,0),MATCH(U$104,cennik!$C$1:$L$1,0))*O224</f>
        <v>0</v>
      </c>
      <c r="W224" s="60">
        <f>IF($E$233=$X$109,$Y$109,IF($E$233=$X$110,$Y$110,IF($E$233=$X$111,$Y$111,IF($E$233=$X$112,$Y$112,IF($E$233=$X$113,$Y$113,IF($E$233=$X$114,$Y$114,IF($E$233=$X$115,$Y$115,IF($E$233=$X$116,$Y$116,IF($E$233=$X$117,$Y$117,IF($E$233=$X$118,$Y$118,IF($E$233=$X$119,$Y$119,IF($E$233=$X$120,$Y$120,IF($E$233=$X$121,$Y$121,IF($E$233=$X$122,$Y$122,IF($E$233=$X$123,$Y$123,IF($E$233=$X$124,$Y$124,IF($E$233=$X$125,$Y$125,IF($E$233=$X$126,$Y$126,0))))))))))))))))))</f>
        <v>1900</v>
      </c>
      <c r="Y224" s="61"/>
      <c r="Z224" s="61" t="s">
        <v>838</v>
      </c>
      <c r="AA224" s="61" t="s">
        <v>837</v>
      </c>
      <c r="AB224" s="61" t="s">
        <v>837</v>
      </c>
      <c r="AD224" s="60" t="s">
        <v>827</v>
      </c>
      <c r="AE224" s="60" t="s">
        <v>826</v>
      </c>
      <c r="AF224" s="60" t="s">
        <v>825</v>
      </c>
      <c r="AH224" s="60" t="s">
        <v>827</v>
      </c>
      <c r="AI224" s="60" t="s">
        <v>826</v>
      </c>
      <c r="AJ224" s="60" t="s">
        <v>825</v>
      </c>
      <c r="GB224" s="60">
        <v>0</v>
      </c>
      <c r="GC224" s="60">
        <v>1</v>
      </c>
      <c r="GD224" s="60">
        <v>2</v>
      </c>
      <c r="GE224" s="60">
        <v>3</v>
      </c>
      <c r="GF224" s="60">
        <v>4</v>
      </c>
      <c r="GG224" s="60">
        <v>5</v>
      </c>
      <c r="GH224" s="60">
        <v>6</v>
      </c>
      <c r="GI224" s="60">
        <v>7</v>
      </c>
      <c r="GJ224" s="60">
        <v>8</v>
      </c>
      <c r="GK224" s="60">
        <v>9</v>
      </c>
      <c r="GL224" s="60">
        <v>10</v>
      </c>
      <c r="GM224" s="60">
        <v>11</v>
      </c>
      <c r="GN224" s="60">
        <v>12</v>
      </c>
      <c r="GO224" s="60">
        <v>13</v>
      </c>
      <c r="GP224" s="60">
        <v>14</v>
      </c>
      <c r="GQ224" s="60">
        <v>15</v>
      </c>
      <c r="GR224" s="60">
        <v>16</v>
      </c>
      <c r="GS224" s="60">
        <v>17</v>
      </c>
      <c r="GT224" s="60">
        <v>18</v>
      </c>
      <c r="GU224" s="60">
        <v>19</v>
      </c>
      <c r="GV224" s="60">
        <v>20</v>
      </c>
    </row>
    <row r="225" spans="1:204" ht="15" customHeight="1" x14ac:dyDescent="0.25">
      <c r="A225" s="9"/>
      <c r="B225" s="9"/>
      <c r="C225" s="9"/>
      <c r="D225" s="9"/>
      <c r="E225" s="9"/>
      <c r="F225" s="9"/>
      <c r="G225" s="9"/>
      <c r="H225" s="9"/>
      <c r="I225" s="9"/>
      <c r="J225" s="9"/>
      <c r="K225" s="9"/>
      <c r="L225" s="6" t="s">
        <v>850</v>
      </c>
      <c r="M225" s="11">
        <f>INDEX(cennik!$C$2:$L$529,MATCH($L225,cennik!$B$2:$B$522,0),MATCH(M$205,cennik!$C$1:$L$1,0))</f>
        <v>65114197</v>
      </c>
      <c r="N225" s="11" t="str">
        <f>INDEX(cennik!$C$2:$L$529,MATCH($L225,cennik!$B$2:$B$522,0),MATCH(N$104,cennik!$C$1:$L$1,0))</f>
        <v>100 szt.</v>
      </c>
      <c r="O225" s="11">
        <f>ROUNDUP((O209*3)/100,0)</f>
        <v>0</v>
      </c>
      <c r="P225" s="34">
        <f>INDEX(cennik!$C$2:$L$529,MATCH($L225,cennik!$B$2:$B$522,0),MATCH(P$104,cennik!$C$1:$L$1,0))</f>
        <v>184.49</v>
      </c>
      <c r="Q225" s="34">
        <f t="shared" ref="Q225:Q226" si="174">O225*P225</f>
        <v>0</v>
      </c>
      <c r="R225" s="35">
        <f t="shared" si="163"/>
        <v>0</v>
      </c>
      <c r="S225" s="34">
        <f t="shared" si="164"/>
        <v>184.49</v>
      </c>
      <c r="T225" s="34">
        <f t="shared" ref="T225:T226" si="175">O225*S225</f>
        <v>0</v>
      </c>
      <c r="U225" s="34">
        <f>INDEX(cennik!$C$2:$L$529,MATCH($L225,cennik!$B$2:$B$522,0),MATCH(U$104,cennik!$C$1:$L$1,0))*O225</f>
        <v>0</v>
      </c>
      <c r="Y225" s="61"/>
      <c r="Z225" s="61">
        <f t="shared" ref="Z225:Z240" si="176">ROUNDUP((((IF(((INT((((A232*$W$224)+((A232-1)*20))/900))*900)+200)&gt;=(((A232*$W$224)+((A232-1)*20))),(INT((((A232*$W$224)+((A232-1)*20))/900))),IF(((INT((((A232*$W$224)+((A232-1)*20))/900))*900)+200)&lt;(((A232*$W$224)+((A232-1)*20))),(INT((((A232*$W$224)+((A232-1)*20))/900))+1),0)))*C232)/2),0)</f>
        <v>0</v>
      </c>
      <c r="AA225" s="61">
        <f t="shared" ref="AA225:AA240" si="177">(IF(((INT(((((A232/2)*$W$224)+(((A232/2)-1)*20))/$E$239))*$E$239)+600)&gt;=((((A232/2)*$W$224)+(((A232/2)-1)*20))),(INT(((((A232/2)*$W$224)+(((A232/2)-1)*20))/$E$239))+1),IF(((INT(((((A232/2)*$W$224)+(((A232/2)-1)*20))/$E$239))*$E$239)+600)&lt;((((A232/2)*$W$224)+(((A232/2)-1)*20))),(INT(((((A232/2)*$W$224)+(((A232/2)-1)*20))/$E$239))+2),0)))*C232</f>
        <v>0</v>
      </c>
      <c r="AB225" s="61">
        <f t="shared" ref="AB225:AB240" si="178">IF(A232&gt;0,AA225,0)</f>
        <v>0</v>
      </c>
      <c r="AD22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205,$HW$106:$IQ$106,0),MATCH($E$206,$X$109:$X$126,0)))*C205</f>
        <v>0</v>
      </c>
      <c r="AE22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205,$HW$106:$IQ$106,0),MATCH($E$206,$X$109:$X$126,0)))*C205</f>
        <v>0</v>
      </c>
      <c r="AF22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205,$HW$106:$IQ$106,0),MATCH($E$206,$X$109:$X$126,0)))*C205</f>
        <v>0</v>
      </c>
      <c r="AH22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232,$IT$106:$JN$106,0),MATCH($E$233,$X$109:$X$126,0))*C232</f>
        <v>0</v>
      </c>
      <c r="AI22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232,$IT$106:$JN$106,0),MATCH($E$233,$X$109:$X$126,0))*C232</f>
        <v>0</v>
      </c>
      <c r="AJ22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232,$IT$106:$JN$106,0),MATCH($E$233,$X$109:$X$126,0))*C232</f>
        <v>0</v>
      </c>
      <c r="GA225" s="145" t="s">
        <v>866</v>
      </c>
      <c r="GB225" s="60">
        <v>0</v>
      </c>
      <c r="GC225" s="60">
        <v>0</v>
      </c>
      <c r="GD225" s="60">
        <v>0</v>
      </c>
      <c r="GE225" s="60">
        <v>0</v>
      </c>
      <c r="GF225" s="60">
        <v>4</v>
      </c>
      <c r="GG225" s="60">
        <v>4</v>
      </c>
      <c r="GH225" s="60">
        <v>4</v>
      </c>
      <c r="GI225" s="60">
        <v>3</v>
      </c>
      <c r="GJ225" s="60">
        <v>3</v>
      </c>
      <c r="GK225" s="60">
        <v>3</v>
      </c>
      <c r="GL225" s="60">
        <v>2</v>
      </c>
      <c r="GM225" s="60">
        <v>2</v>
      </c>
      <c r="GN225" s="60">
        <v>2</v>
      </c>
      <c r="GO225" s="60">
        <v>2</v>
      </c>
      <c r="GP225" s="60">
        <v>1</v>
      </c>
      <c r="GQ225" s="60">
        <v>1</v>
      </c>
      <c r="GR225" s="60">
        <v>0</v>
      </c>
      <c r="GS225" s="60">
        <v>0</v>
      </c>
      <c r="GT225" s="60">
        <v>0</v>
      </c>
      <c r="GU225" s="60">
        <v>0</v>
      </c>
      <c r="GV225" s="60">
        <v>5</v>
      </c>
    </row>
    <row r="226" spans="1:204" x14ac:dyDescent="0.25">
      <c r="A226" s="9"/>
      <c r="B226" s="9"/>
      <c r="C226" s="9"/>
      <c r="D226" s="9"/>
      <c r="E226" s="9"/>
      <c r="F226" s="17" t="str">
        <f>IF(L218="PSRM10X90F","PROPOZYCJA KOTEW- DO WERFIKACJI",IF(L218="-------","",""))</f>
        <v/>
      </c>
      <c r="G226" s="9"/>
      <c r="H226" s="9"/>
      <c r="I226" s="9"/>
      <c r="J226" s="9"/>
      <c r="K226" s="9"/>
      <c r="L226" s="6" t="s">
        <v>851</v>
      </c>
      <c r="M226" s="11">
        <f>INDEX(cennik!$C$2:$L$529,MATCH($L226,cennik!$B$2:$B$522,0),MATCH(M$205,cennik!$C$1:$L$1,0))</f>
        <v>6505443</v>
      </c>
      <c r="N226" s="11" t="str">
        <f>INDEX(cennik!$C$2:$L$529,MATCH($L226,cennik!$B$2:$B$522,0),MATCH(N$104,cennik!$C$1:$L$1,0))</f>
        <v>100 szt.</v>
      </c>
      <c r="O226" s="11">
        <f>O225</f>
        <v>0</v>
      </c>
      <c r="P226" s="34">
        <f>INDEX(cennik!$C$2:$L$529,MATCH($L226,cennik!$B$2:$B$522,0),MATCH(P$104,cennik!$C$1:$L$1,0))</f>
        <v>12.95</v>
      </c>
      <c r="Q226" s="34">
        <f t="shared" si="174"/>
        <v>0</v>
      </c>
      <c r="R226" s="35">
        <f t="shared" si="163"/>
        <v>0</v>
      </c>
      <c r="S226" s="34">
        <f t="shared" si="164"/>
        <v>12.95</v>
      </c>
      <c r="T226" s="34">
        <f t="shared" si="175"/>
        <v>0</v>
      </c>
      <c r="U226" s="34">
        <f>INDEX(cennik!$C$2:$L$529,MATCH($L226,cennik!$B$2:$B$522,0),MATCH(U$104,cennik!$C$1:$L$1,0))*O226</f>
        <v>0</v>
      </c>
      <c r="Y226" s="61"/>
      <c r="Z226" s="61">
        <f t="shared" si="176"/>
        <v>0</v>
      </c>
      <c r="AA226" s="61">
        <f t="shared" si="177"/>
        <v>0</v>
      </c>
      <c r="AB226" s="61">
        <f t="shared" si="178"/>
        <v>0</v>
      </c>
      <c r="AD22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206,$HW$106:$IQ$106,0),MATCH($E$206,$X$109:$X$126,0)))*C206</f>
        <v>0</v>
      </c>
      <c r="AE22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206,$HW$106:$IQ$106,0),MATCH($E$206,$X$109:$X$126,0)))*C206</f>
        <v>0</v>
      </c>
      <c r="AF22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206,$HW$106:$IQ$106,0),MATCH($E$206,$X$109:$X$126,0)))*C206</f>
        <v>0</v>
      </c>
      <c r="AH22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233,$IT$106:$JN$106,0),MATCH($E$233,$X$109:$X$126,0))*C233</f>
        <v>0</v>
      </c>
      <c r="AI22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233,$IT$106:$JN$106,0),MATCH($E$233,$X$109:$X$126,0))*C233</f>
        <v>0</v>
      </c>
      <c r="AJ22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233,$IT$106:$JN$106,0),MATCH($E$233,$X$109:$X$126,0))*C233</f>
        <v>0</v>
      </c>
      <c r="GA226" s="145" t="s">
        <v>867</v>
      </c>
      <c r="GB226" s="60">
        <v>0</v>
      </c>
      <c r="GC226" s="60">
        <v>1</v>
      </c>
      <c r="GD226" s="60">
        <v>1</v>
      </c>
      <c r="GE226" s="60">
        <v>2</v>
      </c>
      <c r="GF226" s="60">
        <v>1</v>
      </c>
      <c r="GG226" s="60">
        <v>2</v>
      </c>
      <c r="GH226" s="60">
        <v>3</v>
      </c>
      <c r="GI226" s="60">
        <v>5</v>
      </c>
      <c r="GJ226" s="60">
        <v>6</v>
      </c>
      <c r="GK226" s="60">
        <v>7</v>
      </c>
      <c r="GL226" s="60">
        <v>9</v>
      </c>
      <c r="GM226" s="60">
        <v>10</v>
      </c>
      <c r="GN226" s="60">
        <v>11</v>
      </c>
      <c r="GO226" s="60">
        <v>12</v>
      </c>
      <c r="GP226" s="60">
        <v>14</v>
      </c>
      <c r="GQ226" s="60">
        <v>15</v>
      </c>
      <c r="GR226" s="60">
        <v>17</v>
      </c>
      <c r="GS226" s="60">
        <v>18</v>
      </c>
      <c r="GT226" s="60">
        <v>19</v>
      </c>
      <c r="GU226" s="60">
        <v>20</v>
      </c>
      <c r="GV226" s="60">
        <v>17</v>
      </c>
    </row>
    <row r="227" spans="1:204" x14ac:dyDescent="0.25">
      <c r="A227" s="9"/>
      <c r="B227" s="9"/>
      <c r="C227" s="9"/>
      <c r="D227" s="9"/>
      <c r="E227" s="9"/>
      <c r="F227" s="17"/>
      <c r="G227" s="9"/>
      <c r="H227" s="9"/>
      <c r="I227" s="9"/>
      <c r="J227" s="9"/>
      <c r="K227" s="9"/>
      <c r="L227" s="6" t="s">
        <v>883</v>
      </c>
      <c r="M227" s="11">
        <f>INDEX(cennik!$C$2:$L$529,MATCH($L227,cennik!$B$2:$B$522,0),MATCH(M$205,cennik!$C$1:$L$1,0))</f>
        <v>6505414</v>
      </c>
      <c r="N227" s="11" t="str">
        <f>INDEX(cennik!$C$2:$L$529,MATCH($L227,cennik!$B$2:$B$522,0),MATCH(N$104,cennik!$C$1:$L$1,0))</f>
        <v>100 szt.</v>
      </c>
      <c r="O227" s="11">
        <f>ROUNDUP((SUM(AT203:AT218))/100,0)</f>
        <v>0</v>
      </c>
      <c r="P227" s="34">
        <f>INDEX(cennik!$C$2:$L$529,MATCH($L227,cennik!$B$2:$B$522,0),MATCH(P$104,cennik!$C$1:$L$1,0))</f>
        <v>60.87</v>
      </c>
      <c r="Q227" s="34">
        <f t="shared" ref="Q227" si="179">O227*P227</f>
        <v>0</v>
      </c>
      <c r="R227" s="35">
        <f t="shared" si="163"/>
        <v>0</v>
      </c>
      <c r="S227" s="34">
        <f t="shared" ref="S227" si="180">P227*((100-$E$209)/100)</f>
        <v>60.87</v>
      </c>
      <c r="T227" s="34">
        <f t="shared" ref="T227" si="181">O227*S227</f>
        <v>0</v>
      </c>
      <c r="U227" s="34">
        <f>INDEX(cennik!$C$2:$L$529,MATCH($L227,cennik!$B$2:$B$522,0),MATCH(U$104,cennik!$C$1:$L$1,0))*O227</f>
        <v>0</v>
      </c>
      <c r="Y227" s="61"/>
      <c r="Z227" s="61">
        <f t="shared" si="176"/>
        <v>0</v>
      </c>
      <c r="AA227" s="61">
        <f t="shared" si="177"/>
        <v>0</v>
      </c>
      <c r="AB227" s="61">
        <f t="shared" si="178"/>
        <v>0</v>
      </c>
      <c r="AD22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207,$HW$106:$IQ$106,0),MATCH($E$206,$X$109:$X$126,0)))*C207</f>
        <v>0</v>
      </c>
      <c r="AE22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207,$HW$106:$IQ$106,0),MATCH($E$206,$X$109:$X$126,0)))*C207</f>
        <v>0</v>
      </c>
      <c r="AF22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207,$HW$106:$IQ$106,0),MATCH($E$206,$X$109:$X$126,0)))*C207</f>
        <v>0</v>
      </c>
      <c r="AH22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234,$IT$106:$JN$106,0),MATCH($E$233,$X$109:$X$126,0))*C234</f>
        <v>0</v>
      </c>
      <c r="AI22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234,$IT$106:$JN$106,0),MATCH($E$233,$X$109:$X$126,0))*C234</f>
        <v>0</v>
      </c>
      <c r="AJ22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234,$IT$106:$JN$106,0),MATCH($E$233,$X$109:$X$126,0))*C234</f>
        <v>0</v>
      </c>
      <c r="GA227" s="145" t="s">
        <v>868</v>
      </c>
      <c r="GB227" s="60">
        <v>0</v>
      </c>
      <c r="GC227" s="60">
        <v>0</v>
      </c>
      <c r="GD227" s="60">
        <v>1</v>
      </c>
      <c r="GE227" s="60">
        <v>1</v>
      </c>
      <c r="GF227" s="60">
        <v>0</v>
      </c>
      <c r="GG227" s="60">
        <v>0</v>
      </c>
      <c r="GH227" s="60">
        <v>0</v>
      </c>
      <c r="GI227" s="60">
        <v>0</v>
      </c>
      <c r="GJ227" s="60">
        <v>0</v>
      </c>
      <c r="GK227" s="60">
        <v>0</v>
      </c>
      <c r="GL227" s="60">
        <v>0</v>
      </c>
      <c r="GM227" s="60">
        <v>0</v>
      </c>
      <c r="GN227" s="60">
        <v>0</v>
      </c>
      <c r="GO227" s="60">
        <v>0</v>
      </c>
      <c r="GP227" s="60">
        <v>0</v>
      </c>
      <c r="GQ227" s="60">
        <v>0</v>
      </c>
      <c r="GR227" s="60">
        <v>0</v>
      </c>
      <c r="GS227" s="60">
        <v>0</v>
      </c>
      <c r="GT227" s="60">
        <v>0</v>
      </c>
      <c r="GU227" s="60">
        <v>0</v>
      </c>
      <c r="GV227" s="60">
        <v>0</v>
      </c>
    </row>
    <row r="228" spans="1:204" x14ac:dyDescent="0.25">
      <c r="A228" s="9"/>
      <c r="B228" s="9"/>
      <c r="C228" s="9"/>
      <c r="D228" s="9"/>
      <c r="E228" s="9"/>
      <c r="F228" s="17"/>
      <c r="G228" s="9"/>
      <c r="H228" s="9"/>
      <c r="I228" s="9"/>
      <c r="J228" s="9"/>
      <c r="K228" s="9"/>
      <c r="L228" s="6"/>
      <c r="M228" s="11"/>
      <c r="N228" s="11"/>
      <c r="O228" s="11"/>
      <c r="P228" s="34"/>
      <c r="Q228" s="34"/>
      <c r="R228" s="35"/>
      <c r="S228" s="34"/>
      <c r="T228" s="34" t="e">
        <f>SUM(T206:T227)</f>
        <v>#N/A</v>
      </c>
      <c r="U228" s="34" t="e">
        <f>SUM(U206:U227)</f>
        <v>#N/A</v>
      </c>
      <c r="Y228" s="61"/>
      <c r="Z228" s="61">
        <f t="shared" si="176"/>
        <v>0</v>
      </c>
      <c r="AA228" s="61">
        <f t="shared" si="177"/>
        <v>0</v>
      </c>
      <c r="AB228" s="61">
        <f t="shared" si="178"/>
        <v>0</v>
      </c>
      <c r="AD22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208,$HW$106:$IQ$106,0),MATCH($E$206,$X$109:$X$126,0)))*C208</f>
        <v>0</v>
      </c>
      <c r="AE22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208,$HW$106:$IQ$106,0),MATCH($E$206,$X$109:$X$126,0)))*C208</f>
        <v>0</v>
      </c>
      <c r="AF22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208,$HW$106:$IQ$106,0),MATCH($E$206,$X$109:$X$126,0)))*C208</f>
        <v>0</v>
      </c>
      <c r="AH22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235,$IT$106:$JN$106,0),MATCH($E$233,$X$109:$X$126,0))*C235</f>
        <v>0</v>
      </c>
      <c r="AI22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235,$IT$106:$JN$106,0),MATCH($E$233,$X$109:$X$126,0))*C235</f>
        <v>0</v>
      </c>
      <c r="AJ22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235,$IT$106:$JN$106,0),MATCH($E$233,$X$109:$X$126,0))*C235</f>
        <v>0</v>
      </c>
    </row>
    <row r="229" spans="1:204" x14ac:dyDescent="0.25">
      <c r="A229" s="9"/>
      <c r="B229" s="9"/>
      <c r="C229" s="9"/>
      <c r="D229" s="9"/>
      <c r="E229" s="9"/>
      <c r="F229" s="17"/>
      <c r="G229" s="68"/>
      <c r="H229" s="9"/>
      <c r="I229" s="9"/>
      <c r="J229" s="9"/>
      <c r="K229" s="9"/>
      <c r="L229" s="6"/>
      <c r="M229" s="11"/>
      <c r="N229" s="11"/>
      <c r="O229" s="11"/>
      <c r="P229" s="34"/>
      <c r="Q229" s="34"/>
      <c r="R229" s="35"/>
      <c r="S229" s="34"/>
      <c r="T229" s="34"/>
      <c r="U229" s="34"/>
      <c r="Y229" s="61"/>
      <c r="Z229" s="61">
        <f t="shared" si="176"/>
        <v>0</v>
      </c>
      <c r="AA229" s="61">
        <f t="shared" si="177"/>
        <v>0</v>
      </c>
      <c r="AB229" s="61">
        <f t="shared" si="178"/>
        <v>0</v>
      </c>
      <c r="AD22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209,$HW$106:$IQ$106,0),MATCH($E$206,$X$109:$X$126,0)))*C209</f>
        <v>0</v>
      </c>
      <c r="AE22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209,$HW$106:$IQ$106,0),MATCH($E$206,$X$109:$X$126,0)))*C209</f>
        <v>0</v>
      </c>
      <c r="AF22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209,$HW$106:$IQ$106,0),MATCH($E$206,$X$109:$X$126,0)))*C209</f>
        <v>0</v>
      </c>
      <c r="AH22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236,$IT$106:$JN$106,0),MATCH($E$233,$X$109:$X$126,0))*C236</f>
        <v>0</v>
      </c>
      <c r="AI22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236,$IT$106:$JN$106,0),MATCH($E$233,$X$109:$X$126,0))*C236</f>
        <v>0</v>
      </c>
      <c r="AJ22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236,$IT$106:$JN$106,0),MATCH($E$233,$X$109:$X$126,0))*C236</f>
        <v>0</v>
      </c>
      <c r="GA229" s="60" t="s">
        <v>137</v>
      </c>
      <c r="GB229" s="61"/>
      <c r="GC229" s="61"/>
      <c r="GD229" s="61"/>
      <c r="GE229" s="61"/>
      <c r="GF229" s="61"/>
      <c r="GG229" s="61"/>
      <c r="GH229" s="61"/>
      <c r="GI229" s="61"/>
      <c r="GJ229" s="61"/>
      <c r="GK229" s="61"/>
      <c r="GL229" s="61"/>
      <c r="GM229" s="61"/>
      <c r="GN229" s="61"/>
      <c r="GO229" s="61"/>
      <c r="GP229" s="61"/>
      <c r="GQ229" s="61"/>
      <c r="GR229" s="61"/>
      <c r="GS229" s="61"/>
      <c r="GT229" s="61"/>
      <c r="GU229" s="61"/>
      <c r="GV229" s="61"/>
    </row>
    <row r="230" spans="1:204" x14ac:dyDescent="0.25">
      <c r="A230" s="9"/>
      <c r="B230" s="9"/>
      <c r="C230" s="9"/>
      <c r="D230" s="9"/>
      <c r="E230" s="9"/>
      <c r="F230" s="17"/>
      <c r="G230" s="9"/>
      <c r="H230" s="9"/>
      <c r="I230" s="9"/>
      <c r="J230" s="9"/>
      <c r="K230" s="9"/>
      <c r="L230" s="9"/>
      <c r="M230" s="9"/>
      <c r="N230" s="9"/>
      <c r="O230" s="9"/>
      <c r="P230" s="9"/>
      <c r="Q230" s="9"/>
      <c r="R230" s="9"/>
      <c r="S230" s="9"/>
      <c r="U230" s="34"/>
      <c r="Y230" s="61"/>
      <c r="Z230" s="61">
        <f t="shared" si="176"/>
        <v>0</v>
      </c>
      <c r="AA230" s="61">
        <f t="shared" si="177"/>
        <v>0</v>
      </c>
      <c r="AB230" s="61">
        <f t="shared" si="178"/>
        <v>0</v>
      </c>
      <c r="AD23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210,$HW$106:$IQ$106,0),MATCH($E$206,$X$109:$X$126,0)))*C210</f>
        <v>0</v>
      </c>
      <c r="AE23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210,$HW$106:$IQ$106,0),MATCH($E$206,$X$109:$X$126,0)))*C210</f>
        <v>0</v>
      </c>
      <c r="AF23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210,$HW$106:$IQ$106,0),MATCH($E$206,$X$109:$X$126,0)))*C210</f>
        <v>0</v>
      </c>
      <c r="AH23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237,$IT$106:$JN$106,0),MATCH($E$233,$X$109:$X$126,0))*C237</f>
        <v>0</v>
      </c>
      <c r="AI23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237,$IT$106:$JN$106,0),MATCH($E$233,$X$109:$X$126,0))*C237</f>
        <v>0</v>
      </c>
      <c r="AJ23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237,$IT$106:$JN$106,0),MATCH($E$233,$X$109:$X$126,0))*C237</f>
        <v>0</v>
      </c>
      <c r="GB230" s="60">
        <v>0</v>
      </c>
      <c r="GC230" s="60">
        <v>1</v>
      </c>
      <c r="GD230" s="60">
        <v>2</v>
      </c>
      <c r="GE230" s="60">
        <v>3</v>
      </c>
      <c r="GF230" s="60">
        <v>4</v>
      </c>
      <c r="GG230" s="60">
        <v>5</v>
      </c>
      <c r="GH230" s="60">
        <v>6</v>
      </c>
      <c r="GI230" s="60">
        <v>7</v>
      </c>
      <c r="GJ230" s="60">
        <v>8</v>
      </c>
      <c r="GK230" s="60">
        <v>9</v>
      </c>
      <c r="GL230" s="60">
        <v>10</v>
      </c>
      <c r="GM230" s="60">
        <v>11</v>
      </c>
      <c r="GN230" s="60">
        <v>12</v>
      </c>
      <c r="GO230" s="60">
        <v>13</v>
      </c>
      <c r="GP230" s="60">
        <v>14</v>
      </c>
      <c r="GQ230" s="60">
        <v>15</v>
      </c>
      <c r="GR230" s="60">
        <v>16</v>
      </c>
      <c r="GS230" s="60">
        <v>17</v>
      </c>
      <c r="GT230" s="60">
        <v>18</v>
      </c>
      <c r="GU230" s="60">
        <v>19</v>
      </c>
      <c r="GV230" s="60">
        <v>20</v>
      </c>
    </row>
    <row r="231" spans="1:204" ht="51.75" x14ac:dyDescent="0.25">
      <c r="A231" s="3" t="s">
        <v>410</v>
      </c>
      <c r="B231" s="3"/>
      <c r="C231" s="3" t="s">
        <v>121</v>
      </c>
      <c r="D231" s="9"/>
      <c r="E231" s="9"/>
      <c r="F231" s="9"/>
      <c r="G231" s="9"/>
      <c r="H231" s="9"/>
      <c r="I231" s="9"/>
      <c r="J231" s="9"/>
      <c r="K231" s="9"/>
      <c r="L231" s="360" t="str">
        <f>IF(E234=$Z$104,"KONSTRUKCJA DP-DTHBN-WSCHÓD/ZACHÓD",IF(E234=$Z$105,"KONSTRUKCJA DP-DTHKN-WSCHÓD/ZACHÓD",IF(E234=$Z$106,"KONSTRUKCJA DP-DTHWN-WSCHÓD/ZACHÓD",IF(E234=$Z$107,"KONSTRUKCJA DP-DTHKSN-WSCHÓD/ZACHÓD"))))</f>
        <v>KONSTRUKCJA DP-DTHBN-WSCHÓD/ZACHÓD</v>
      </c>
      <c r="M231" s="360"/>
      <c r="N231" s="360"/>
      <c r="O231" s="360"/>
      <c r="P231" s="360"/>
      <c r="Q231" s="360"/>
      <c r="R231" s="360"/>
      <c r="S231" s="360"/>
      <c r="T231" s="360"/>
      <c r="U231" s="360"/>
      <c r="Y231" s="61"/>
      <c r="Z231" s="61">
        <f t="shared" si="176"/>
        <v>0</v>
      </c>
      <c r="AA231" s="61">
        <f t="shared" si="177"/>
        <v>0</v>
      </c>
      <c r="AB231" s="61">
        <f t="shared" si="178"/>
        <v>0</v>
      </c>
      <c r="AD231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211,$HW$106:$IQ$106,0),MATCH($E$206,$X$109:$X$126,0)))*C211</f>
        <v>0</v>
      </c>
      <c r="AE231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211,$HW$106:$IQ$106,0),MATCH($E$206,$X$109:$X$126,0)))*C211</f>
        <v>0</v>
      </c>
      <c r="AF231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211,$HW$106:$IQ$106,0),MATCH($E$206,$X$109:$X$126,0)))*C211</f>
        <v>0</v>
      </c>
      <c r="AH231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238,$IT$106:$JN$106,0),MATCH($E$233,$X$109:$X$126,0))*C238</f>
        <v>0</v>
      </c>
      <c r="AI231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238,$IT$106:$JN$106,0),MATCH($E$233,$X$109:$X$126,0))*C238</f>
        <v>0</v>
      </c>
      <c r="AJ231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238,$IT$106:$JN$106,0),MATCH($E$233,$X$109:$X$126,0))*C238</f>
        <v>0</v>
      </c>
      <c r="GA231" s="145" t="s">
        <v>866</v>
      </c>
      <c r="GB231" s="60">
        <v>0</v>
      </c>
      <c r="GC231" s="61">
        <v>0</v>
      </c>
      <c r="GD231" s="60">
        <v>0</v>
      </c>
      <c r="GE231" s="60">
        <v>4</v>
      </c>
      <c r="GF231" s="60">
        <v>4</v>
      </c>
      <c r="GG231" s="60">
        <v>3</v>
      </c>
      <c r="GH231" s="60">
        <v>3</v>
      </c>
      <c r="GI231" s="60">
        <v>2</v>
      </c>
      <c r="GJ231" s="60">
        <v>2</v>
      </c>
      <c r="GK231" s="60">
        <v>1</v>
      </c>
      <c r="GL231" s="60">
        <v>1</v>
      </c>
      <c r="GM231" s="60">
        <v>0</v>
      </c>
      <c r="GN231" s="60">
        <v>0</v>
      </c>
      <c r="GO231" s="60">
        <v>5</v>
      </c>
      <c r="GP231" s="60">
        <v>5</v>
      </c>
      <c r="GQ231" s="60">
        <v>4</v>
      </c>
      <c r="GR231" s="60">
        <v>4</v>
      </c>
      <c r="GS231" s="60">
        <v>3</v>
      </c>
      <c r="GT231" s="60">
        <v>3</v>
      </c>
      <c r="GU231" s="60">
        <v>2</v>
      </c>
      <c r="GV231" s="60">
        <v>2</v>
      </c>
    </row>
    <row r="232" spans="1:204" x14ac:dyDescent="0.25">
      <c r="A232" s="8"/>
      <c r="B232" s="5" t="s">
        <v>116</v>
      </c>
      <c r="C232" s="8"/>
      <c r="D232" s="9"/>
      <c r="E232" s="9"/>
      <c r="F232" s="9"/>
      <c r="H232" s="9"/>
      <c r="I232" s="9"/>
      <c r="J232" s="9"/>
      <c r="K232" s="9"/>
      <c r="L232" s="5" t="s">
        <v>103</v>
      </c>
      <c r="M232" s="5" t="s">
        <v>104</v>
      </c>
      <c r="N232" s="5" t="s">
        <v>107</v>
      </c>
      <c r="O232" s="5" t="s">
        <v>290</v>
      </c>
      <c r="P232" s="5" t="s">
        <v>446</v>
      </c>
      <c r="Q232" s="5" t="s">
        <v>448</v>
      </c>
      <c r="R232" s="5" t="s">
        <v>409</v>
      </c>
      <c r="S232" s="5" t="s">
        <v>447</v>
      </c>
      <c r="T232" s="5" t="s">
        <v>449</v>
      </c>
      <c r="U232" s="5" t="s">
        <v>106</v>
      </c>
      <c r="Y232" s="61"/>
      <c r="Z232" s="61">
        <f t="shared" si="176"/>
        <v>0</v>
      </c>
      <c r="AA232" s="61">
        <f t="shared" si="177"/>
        <v>0</v>
      </c>
      <c r="AB232" s="61">
        <f t="shared" si="178"/>
        <v>0</v>
      </c>
      <c r="AD232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212,$HW$106:$IQ$106,0),MATCH($E$206,$X$109:$X$126,0)))*C212</f>
        <v>0</v>
      </c>
      <c r="AE232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212,$HW$106:$IQ$106,0),MATCH($E$206,$X$109:$X$126,0)))*C212</f>
        <v>0</v>
      </c>
      <c r="AF232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212,$HW$106:$IQ$106,0),MATCH($E$206,$X$109:$X$126,0)))*C212</f>
        <v>0</v>
      </c>
      <c r="AH232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239,$IT$106:$JN$106,0),MATCH($E$233,$X$109:$X$126,0))*C239</f>
        <v>0</v>
      </c>
      <c r="AI232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239,$IT$106:$JN$106,0),MATCH($E$233,$X$109:$X$126,0))*C239</f>
        <v>0</v>
      </c>
      <c r="AJ232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239,$IT$106:$JN$106,0),MATCH($E$233,$X$109:$X$126,0))*C239</f>
        <v>0</v>
      </c>
      <c r="GA232" s="145" t="s">
        <v>867</v>
      </c>
      <c r="GB232" s="60">
        <v>0</v>
      </c>
      <c r="GC232" s="61">
        <v>1</v>
      </c>
      <c r="GD232" s="60">
        <v>1</v>
      </c>
      <c r="GE232" s="60">
        <v>0</v>
      </c>
      <c r="GF232" s="60">
        <v>1</v>
      </c>
      <c r="GG232" s="60">
        <v>3</v>
      </c>
      <c r="GH232" s="60">
        <v>4</v>
      </c>
      <c r="GI232" s="60">
        <v>6</v>
      </c>
      <c r="GJ232" s="60">
        <v>7</v>
      </c>
      <c r="GK232" s="60">
        <v>9</v>
      </c>
      <c r="GL232" s="60">
        <v>10</v>
      </c>
      <c r="GM232" s="60">
        <v>12</v>
      </c>
      <c r="GN232" s="60">
        <v>13</v>
      </c>
      <c r="GO232" s="60">
        <v>10</v>
      </c>
      <c r="GP232" s="60">
        <v>11</v>
      </c>
      <c r="GQ232" s="60">
        <v>13</v>
      </c>
      <c r="GR232" s="60">
        <v>14</v>
      </c>
      <c r="GS232" s="60">
        <v>16</v>
      </c>
      <c r="GT232" s="60">
        <v>17</v>
      </c>
      <c r="GU232" s="60">
        <v>19</v>
      </c>
      <c r="GV232" s="60">
        <v>20</v>
      </c>
    </row>
    <row r="233" spans="1:204" x14ac:dyDescent="0.25">
      <c r="A233" s="8"/>
      <c r="B233" s="5" t="s">
        <v>116</v>
      </c>
      <c r="C233" s="8"/>
      <c r="D233" s="6" t="s">
        <v>118</v>
      </c>
      <c r="E233" s="8" t="s">
        <v>471</v>
      </c>
      <c r="F233" s="5" t="s">
        <v>116</v>
      </c>
      <c r="G233" s="8" t="s">
        <v>480</v>
      </c>
      <c r="H233" s="5" t="s">
        <v>116</v>
      </c>
      <c r="I233" s="8">
        <v>30</v>
      </c>
      <c r="J233" s="5" t="s">
        <v>119</v>
      </c>
      <c r="K233" s="9"/>
      <c r="L233" s="6" t="s">
        <v>825</v>
      </c>
      <c r="M233" s="11">
        <f>INDEX(cennik!$C$2:$L$529,MATCH($L233,cennik!$B$2:$B$522,0),MATCH(M$205,cennik!$C$1:$L$1,0))</f>
        <v>895333</v>
      </c>
      <c r="N233" s="11" t="str">
        <f>INDEX(cennik!$C$2:$L$529,MATCH($L233,cennik!$B$2:$B$522,0),MATCH(N$104,cennik!$C$1:$L$1,0))</f>
        <v>szt.</v>
      </c>
      <c r="O233" s="11">
        <f>SUM(AJ225:AJ240)</f>
        <v>0</v>
      </c>
      <c r="P233" s="34">
        <f>INDEX(cennik!$C$2:$L$529,MATCH($L233,cennik!$B$2:$B$522,0),MATCH(P$104,cennik!$C$1:$L$1,0))</f>
        <v>85.5</v>
      </c>
      <c r="Q233" s="34">
        <f>O233*P233</f>
        <v>0</v>
      </c>
      <c r="R233" s="35">
        <f t="shared" ref="R233:R240" si="182">$E$236</f>
        <v>0</v>
      </c>
      <c r="S233" s="34">
        <f>P233*((100-$E$236)/100)</f>
        <v>85.5</v>
      </c>
      <c r="T233" s="34">
        <f>O233*S233</f>
        <v>0</v>
      </c>
      <c r="U233" s="34">
        <f>INDEX(cennik!$C$2:$L$529,MATCH($L233,cennik!$B$2:$B$522,0),MATCH(U$104,cennik!$C$1:$L$1,0))*O233</f>
        <v>0</v>
      </c>
      <c r="Y233" s="61"/>
      <c r="Z233" s="61">
        <f t="shared" si="176"/>
        <v>0</v>
      </c>
      <c r="AA233" s="61">
        <f t="shared" si="177"/>
        <v>0</v>
      </c>
      <c r="AB233" s="61">
        <f t="shared" si="178"/>
        <v>0</v>
      </c>
      <c r="AD233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213,$HW$106:$IQ$106,0),MATCH($E$206,$X$109:$X$126,0)))*C213</f>
        <v>0</v>
      </c>
      <c r="AE233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213,$HW$106:$IQ$106,0),MATCH($E$206,$X$109:$X$126,0)))*C213</f>
        <v>0</v>
      </c>
      <c r="AF233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213,$HW$106:$IQ$106,0),MATCH($E$206,$X$109:$X$126,0)))*C213</f>
        <v>0</v>
      </c>
      <c r="AH233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240,$IT$106:$JN$106,0),MATCH($E$233,$X$109:$X$126,0))*C240</f>
        <v>0</v>
      </c>
      <c r="AI233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240,$IT$106:$JN$106,0),MATCH($E$233,$X$109:$X$126,0))*C240</f>
        <v>0</v>
      </c>
      <c r="AJ233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240,$IT$106:$JN$106,0),MATCH($E$233,$X$109:$X$126,0))*C240</f>
        <v>0</v>
      </c>
      <c r="GA233" s="145" t="s">
        <v>868</v>
      </c>
      <c r="GB233" s="60">
        <v>0</v>
      </c>
      <c r="GC233" s="61">
        <v>0</v>
      </c>
      <c r="GD233" s="60">
        <v>1</v>
      </c>
      <c r="GE233" s="60">
        <v>0</v>
      </c>
      <c r="GF233" s="60">
        <v>0</v>
      </c>
      <c r="GG233" s="60">
        <v>0</v>
      </c>
      <c r="GH233" s="60">
        <v>0</v>
      </c>
      <c r="GI233" s="60">
        <v>0</v>
      </c>
      <c r="GJ233" s="60">
        <v>0</v>
      </c>
      <c r="GK233" s="60">
        <v>0</v>
      </c>
      <c r="GL233" s="60">
        <v>0</v>
      </c>
      <c r="GM233" s="60">
        <v>0</v>
      </c>
      <c r="GN233" s="60">
        <v>0</v>
      </c>
      <c r="GO233" s="60">
        <v>0</v>
      </c>
      <c r="GP233" s="60">
        <v>0</v>
      </c>
      <c r="GQ233" s="60">
        <v>0</v>
      </c>
      <c r="GR233" s="60">
        <v>0</v>
      </c>
      <c r="GS233" s="60">
        <v>0</v>
      </c>
      <c r="GT233" s="60">
        <v>0</v>
      </c>
      <c r="GU233" s="60">
        <v>0</v>
      </c>
      <c r="GV233" s="60">
        <v>0</v>
      </c>
    </row>
    <row r="234" spans="1:204" x14ac:dyDescent="0.25">
      <c r="A234" s="8"/>
      <c r="B234" s="5" t="s">
        <v>116</v>
      </c>
      <c r="C234" s="8"/>
      <c r="D234" s="6" t="s">
        <v>307</v>
      </c>
      <c r="E234" s="8" t="s">
        <v>308</v>
      </c>
      <c r="F234" s="362" t="str">
        <f>IF(E234=$Z$104,"wartość balastu określa konstruktor","")</f>
        <v>wartość balastu określa konstruktor</v>
      </c>
      <c r="G234" s="362"/>
      <c r="H234" s="362"/>
      <c r="I234" s="362"/>
      <c r="J234" s="5" t="s">
        <v>119</v>
      </c>
      <c r="K234" s="9"/>
      <c r="L234" s="6" t="s">
        <v>826</v>
      </c>
      <c r="M234" s="11">
        <f>INDEX(cennik!$C$2:$L$529,MATCH($L234,cennik!$B$2:$B$522,0),MATCH(M$205,cennik!$C$1:$L$1,0))</f>
        <v>895322</v>
      </c>
      <c r="N234" s="11" t="str">
        <f>INDEX(cennik!$C$2:$L$529,MATCH($L234,cennik!$B$2:$B$522,0),MATCH(N$104,cennik!$C$1:$L$1,0))</f>
        <v>szt.</v>
      </c>
      <c r="O234" s="11">
        <f>SUM(AI225:AI240)</f>
        <v>0</v>
      </c>
      <c r="P234" s="34">
        <f>INDEX(cennik!$C$2:$L$529,MATCH($L234,cennik!$B$2:$B$522,0),MATCH(P$104,cennik!$C$1:$L$1,0))</f>
        <v>57</v>
      </c>
      <c r="Q234" s="34">
        <f t="shared" ref="Q234:Q240" si="183">O234*P234</f>
        <v>0</v>
      </c>
      <c r="R234" s="35">
        <f t="shared" si="182"/>
        <v>0</v>
      </c>
      <c r="S234" s="34">
        <f t="shared" ref="S234:S255" si="184">P234*((100-$E$236)/100)</f>
        <v>57</v>
      </c>
      <c r="T234" s="34">
        <f>O234*S234</f>
        <v>0</v>
      </c>
      <c r="U234" s="34">
        <f>INDEX(cennik!$C$2:$L$529,MATCH($L234,cennik!$B$2:$B$522,0),MATCH(U$104,cennik!$C$1:$L$1,0))*O234</f>
        <v>0</v>
      </c>
      <c r="Y234" s="61"/>
      <c r="Z234" s="61">
        <f t="shared" si="176"/>
        <v>0</v>
      </c>
      <c r="AA234" s="61">
        <f t="shared" si="177"/>
        <v>0</v>
      </c>
      <c r="AB234" s="61">
        <f t="shared" si="178"/>
        <v>0</v>
      </c>
      <c r="AD234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214,$HW$106:$IQ$106,0),MATCH($E$206,$X$109:$X$126,0)))*C214</f>
        <v>0</v>
      </c>
      <c r="AE234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214,$HW$106:$IQ$106,0),MATCH($E$206,$X$109:$X$126,0)))*C214</f>
        <v>0</v>
      </c>
      <c r="AF234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214,$HW$106:$IQ$106,0),MATCH($E$206,$X$109:$X$126,0)))*C214</f>
        <v>0</v>
      </c>
      <c r="AH234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241,$IT$106:$JN$106,0),MATCH($E$233,$X$109:$X$126,0))*C241</f>
        <v>0</v>
      </c>
      <c r="AI234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241,$IT$106:$JN$106,0),MATCH($E$233,$X$109:$X$126,0))*C241</f>
        <v>0</v>
      </c>
      <c r="AJ234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241,$IT$106:$JN$106,0),MATCH($E$233,$X$109:$X$126,0))*C241</f>
        <v>0</v>
      </c>
    </row>
    <row r="235" spans="1:204" x14ac:dyDescent="0.25">
      <c r="A235" s="8"/>
      <c r="B235" s="5" t="s">
        <v>116</v>
      </c>
      <c r="C235" s="8"/>
      <c r="D235" s="6" t="s">
        <v>310</v>
      </c>
      <c r="E235" s="8">
        <v>10</v>
      </c>
      <c r="F235" s="362"/>
      <c r="G235" s="362"/>
      <c r="H235" s="362"/>
      <c r="I235" s="362"/>
      <c r="J235" s="5" t="s">
        <v>411</v>
      </c>
      <c r="K235" s="9"/>
      <c r="L235" s="6" t="s">
        <v>853</v>
      </c>
      <c r="M235" s="11">
        <f>INDEX(cennik!$C$2:$L$529,MATCH($L235,cennik!$B$2:$B$522,0),MATCH(M$205,cennik!$C$1:$L$1,0))</f>
        <v>620415</v>
      </c>
      <c r="N235" s="11" t="str">
        <f>INDEX(cennik!$C$2:$L$529,MATCH($L235,cennik!$B$2:$B$522,0),MATCH(N$104,cennik!$C$1:$L$1,0))</f>
        <v>szt.</v>
      </c>
      <c r="O235" s="11">
        <f>SUM(AH225:AH240)</f>
        <v>0</v>
      </c>
      <c r="P235" s="34">
        <f>INDEX(cennik!$C$2:$L$529,MATCH($L235,cennik!$B$2:$B$522,0),MATCH(P$104,cennik!$C$1:$L$1,0))</f>
        <v>8.33</v>
      </c>
      <c r="Q235" s="34">
        <f t="shared" si="183"/>
        <v>0</v>
      </c>
      <c r="R235" s="35">
        <f t="shared" si="182"/>
        <v>0</v>
      </c>
      <c r="S235" s="34">
        <f t="shared" si="184"/>
        <v>8.33</v>
      </c>
      <c r="T235" s="34">
        <f t="shared" ref="T235:T240" si="185">O235*S235</f>
        <v>0</v>
      </c>
      <c r="U235" s="34">
        <f>INDEX(cennik!$C$2:$L$529,MATCH($L235,cennik!$B$2:$B$522,0),MATCH(U$104,cennik!$C$1:$L$1,0))*O235</f>
        <v>0</v>
      </c>
      <c r="Y235" s="61"/>
      <c r="Z235" s="61">
        <f t="shared" si="176"/>
        <v>0</v>
      </c>
      <c r="AA235" s="61">
        <f t="shared" si="177"/>
        <v>0</v>
      </c>
      <c r="AB235" s="61">
        <f t="shared" si="178"/>
        <v>0</v>
      </c>
      <c r="AD23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215,$HW$106:$IQ$106,0),MATCH($E$206,$X$109:$X$126,0)))*C215</f>
        <v>0</v>
      </c>
      <c r="AE23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215,$HW$106:$IQ$106,0),MATCH($E$206,$X$109:$X$126,0)))*C215</f>
        <v>0</v>
      </c>
      <c r="AF235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215,$HW$106:$IQ$106,0),MATCH($E$206,$X$109:$X$126,0)))*C215</f>
        <v>0</v>
      </c>
      <c r="AH23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242,$IT$106:$JN$106,0),MATCH($E$233,$X$109:$X$126,0))*C242</f>
        <v>0</v>
      </c>
      <c r="AI23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242,$IT$106:$JN$106,0),MATCH($E$233,$X$109:$X$126,0))*C242</f>
        <v>0</v>
      </c>
      <c r="AJ235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242,$IT$106:$JN$106,0),MATCH($E$233,$X$109:$X$126,0))*C242</f>
        <v>0</v>
      </c>
      <c r="GA235" s="60" t="s">
        <v>138</v>
      </c>
    </row>
    <row r="236" spans="1:204" x14ac:dyDescent="0.25">
      <c r="A236" s="8"/>
      <c r="B236" s="5" t="s">
        <v>116</v>
      </c>
      <c r="C236" s="8"/>
      <c r="D236" s="6" t="s">
        <v>162</v>
      </c>
      <c r="E236" s="8">
        <v>0</v>
      </c>
      <c r="F236" s="5"/>
      <c r="G236" s="5"/>
      <c r="H236" s="5"/>
      <c r="I236" s="5"/>
      <c r="J236" s="5" t="s">
        <v>163</v>
      </c>
      <c r="K236" s="9"/>
      <c r="L236" s="6" t="str">
        <f>IF($G$233=$X$128,"CC55H50/2,6MC",IF($G$233=$X$129,"CC55H50/2,6MC",IF($G$233=$X$130,"CC55H50/2,6MC",IF($G$233=$X$131,"CC55H50/2,6MC",IF($G$233=$X$132,"CC55H50/3MC",IF($G$233=$X$133,"CC55H50/3MC",IF($G$233=$X$134,"CC55H50/3MC",IF($G$233=$X$135,"CC55H50/3MC",0))))))))</f>
        <v>CC55H50/2,6MC</v>
      </c>
      <c r="M236" s="11">
        <f>INDEX(cennik!$C$2:$L$529,MATCH($L236,cennik!$B$2:$B$522,0),MATCH(M$205,cennik!$C$1:$L$1,0))</f>
        <v>895327</v>
      </c>
      <c r="N236" s="11" t="str">
        <f>INDEX(cennik!$C$2:$L$529,MATCH($L236,cennik!$B$2:$B$522,0),MATCH(N$104,cennik!$C$1:$L$1,0))</f>
        <v>szt.</v>
      </c>
      <c r="O236" s="11">
        <f>SUM(AB225:AB240)</f>
        <v>0</v>
      </c>
      <c r="P236" s="34">
        <f>INDEX(cennik!$C$2:$L$529,MATCH($L236,cennik!$B$2:$B$522,0),MATCH(P$104,cennik!$C$1:$L$1,0))</f>
        <v>81.400000000000006</v>
      </c>
      <c r="Q236" s="34">
        <f t="shared" si="183"/>
        <v>0</v>
      </c>
      <c r="R236" s="35">
        <f t="shared" si="182"/>
        <v>0</v>
      </c>
      <c r="S236" s="34">
        <f t="shared" si="184"/>
        <v>81.400000000000006</v>
      </c>
      <c r="T236" s="34">
        <f t="shared" si="185"/>
        <v>0</v>
      </c>
      <c r="U236" s="34">
        <f>INDEX(cennik!$C$2:$L$529,MATCH($L236,cennik!$B$2:$B$522,0),MATCH(U$104,cennik!$C$1:$L$1,0))*O236</f>
        <v>0</v>
      </c>
      <c r="Y236" s="61"/>
      <c r="Z236" s="61">
        <f t="shared" si="176"/>
        <v>0</v>
      </c>
      <c r="AA236" s="61">
        <f t="shared" si="177"/>
        <v>0</v>
      </c>
      <c r="AB236" s="61">
        <f t="shared" si="178"/>
        <v>0</v>
      </c>
      <c r="AD23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216,$HW$106:$IQ$106,0),MATCH($E$206,$X$109:$X$126,0)))*C216</f>
        <v>0</v>
      </c>
      <c r="AE23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216,$HW$106:$IQ$106,0),MATCH($E$206,$X$109:$X$126,0)))*C216</f>
        <v>0</v>
      </c>
      <c r="AF236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216,$HW$106:$IQ$106,0),MATCH($E$206,$X$109:$X$126,0)))*C216</f>
        <v>0</v>
      </c>
      <c r="AH23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243,$IT$106:$JN$106,0),MATCH($E$233,$X$109:$X$126,0))*C243</f>
        <v>0</v>
      </c>
      <c r="AI23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243,$IT$106:$JN$106,0),MATCH($E$233,$X$109:$X$126,0))*C243</f>
        <v>0</v>
      </c>
      <c r="AJ236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243,$IT$106:$JN$106,0),MATCH($E$233,$X$109:$X$126,0))*C243</f>
        <v>0</v>
      </c>
      <c r="GB236" s="60">
        <v>0</v>
      </c>
      <c r="GC236" s="60">
        <v>1</v>
      </c>
      <c r="GD236" s="60">
        <v>2</v>
      </c>
      <c r="GE236" s="60">
        <v>3</v>
      </c>
      <c r="GF236" s="60">
        <v>4</v>
      </c>
      <c r="GG236" s="60">
        <v>5</v>
      </c>
      <c r="GH236" s="60">
        <v>6</v>
      </c>
      <c r="GI236" s="60">
        <v>7</v>
      </c>
      <c r="GJ236" s="60">
        <v>8</v>
      </c>
      <c r="GK236" s="60">
        <v>9</v>
      </c>
      <c r="GL236" s="60">
        <v>10</v>
      </c>
      <c r="GM236" s="60">
        <v>11</v>
      </c>
      <c r="GN236" s="60">
        <v>12</v>
      </c>
      <c r="GO236" s="60">
        <v>13</v>
      </c>
      <c r="GP236" s="60">
        <v>14</v>
      </c>
      <c r="GQ236" s="60">
        <v>15</v>
      </c>
      <c r="GR236" s="60">
        <v>16</v>
      </c>
      <c r="GS236" s="60">
        <v>17</v>
      </c>
      <c r="GT236" s="60">
        <v>18</v>
      </c>
      <c r="GU236" s="60">
        <v>19</v>
      </c>
      <c r="GV236" s="60">
        <v>20</v>
      </c>
    </row>
    <row r="237" spans="1:204" x14ac:dyDescent="0.25">
      <c r="A237" s="8"/>
      <c r="B237" s="5" t="s">
        <v>116</v>
      </c>
      <c r="C237" s="8"/>
      <c r="D237" s="6" t="s">
        <v>515</v>
      </c>
      <c r="E237" s="8">
        <v>0</v>
      </c>
      <c r="F237" s="5"/>
      <c r="G237" s="5"/>
      <c r="H237" s="5"/>
      <c r="I237" s="5"/>
      <c r="J237" s="5" t="s">
        <v>412</v>
      </c>
      <c r="K237" s="9"/>
      <c r="L237" s="6" t="str">
        <f>IF($G$233=$X$128,"CP50H35/1,3MC",IF($G$233=$X$129,"CP50H35/1,3MC",IF($G$233=$X$130,"CP50H35/1,3MC",IF($G$233=$X$131,"CP50H35/1,3MC",IF($G$233=$X$132,"CP50H35/1,5MC",IF($G$233=$X$133,"CP50H35/1,5MC",IF($G$233=$X$134,"CP50H35/1,5MC",IF($G$233=$X$135,"CP50H35/1,5MC",0))))))))</f>
        <v>CP50H35/1,3MC</v>
      </c>
      <c r="M237" s="11">
        <f>INDEX(cennik!$C$2:$L$529,MATCH($L237,cennik!$B$2:$B$522,0),MATCH(M$205,cennik!$C$1:$L$1,0))</f>
        <v>895613</v>
      </c>
      <c r="N237" s="11" t="str">
        <f>INDEX(cennik!$C$2:$L$529,MATCH($L237,cennik!$B$2:$B$522,0),MATCH(N$104,cennik!$C$1:$L$1,0))</f>
        <v>szt.</v>
      </c>
      <c r="O237" s="10">
        <f>O236*2</f>
        <v>0</v>
      </c>
      <c r="P237" s="34">
        <f>INDEX(cennik!$C$2:$L$529,MATCH($L237,cennik!$B$2:$B$522,0),MATCH(P$104,cennik!$C$1:$L$1,0))</f>
        <v>29.56</v>
      </c>
      <c r="Q237" s="34">
        <f t="shared" si="183"/>
        <v>0</v>
      </c>
      <c r="R237" s="35">
        <f>$E$236</f>
        <v>0</v>
      </c>
      <c r="S237" s="34">
        <f t="shared" si="184"/>
        <v>29.56</v>
      </c>
      <c r="T237" s="34">
        <f t="shared" si="185"/>
        <v>0</v>
      </c>
      <c r="U237" s="34">
        <f>INDEX(cennik!$C$2:$L$529,MATCH($L237,cennik!$B$2:$B$522,0),MATCH(U$104,cennik!$C$1:$L$1,0))*O237</f>
        <v>0</v>
      </c>
      <c r="Y237" s="61"/>
      <c r="Z237" s="61">
        <f t="shared" si="176"/>
        <v>0</v>
      </c>
      <c r="AA237" s="61">
        <f t="shared" si="177"/>
        <v>0</v>
      </c>
      <c r="AB237" s="61">
        <f t="shared" si="178"/>
        <v>0</v>
      </c>
      <c r="AD23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217,$HW$106:$IQ$106,0),MATCH($E$206,$X$109:$X$126,0)))*C217</f>
        <v>0</v>
      </c>
      <c r="AE23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217,$HW$106:$IQ$106,0),MATCH($E$206,$X$109:$X$126,0)))*C217</f>
        <v>0</v>
      </c>
      <c r="AF237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217,$HW$106:$IQ$106,0),MATCH($E$206,$X$109:$X$126,0)))*C217</f>
        <v>0</v>
      </c>
      <c r="AH23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244,$IT$106:$JN$106,0),MATCH($E$233,$X$109:$X$126,0))*C244</f>
        <v>0</v>
      </c>
      <c r="AI23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244,$IT$106:$JN$106,0),MATCH($E$233,$X$109:$X$126,0))*C244</f>
        <v>0</v>
      </c>
      <c r="AJ237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244,$IT$106:$JN$106,0),MATCH($E$233,$X$109:$X$126,0))*C244</f>
        <v>0</v>
      </c>
      <c r="GA237" s="145" t="s">
        <v>866</v>
      </c>
      <c r="GB237" s="60">
        <v>0</v>
      </c>
      <c r="GC237" s="60">
        <v>0</v>
      </c>
      <c r="GD237" s="60">
        <v>0</v>
      </c>
      <c r="GE237" s="60">
        <v>4</v>
      </c>
      <c r="GF237" s="60">
        <v>3</v>
      </c>
      <c r="GG237" s="60">
        <v>2</v>
      </c>
      <c r="GH237" s="60">
        <v>2</v>
      </c>
      <c r="GI237" s="60">
        <v>1</v>
      </c>
      <c r="GJ237" s="60">
        <v>1</v>
      </c>
      <c r="GK237" s="60">
        <v>0</v>
      </c>
      <c r="GL237" s="60">
        <v>5</v>
      </c>
      <c r="GM237" s="60">
        <v>5</v>
      </c>
      <c r="GN237" s="60">
        <v>4</v>
      </c>
      <c r="GO237" s="60">
        <v>3</v>
      </c>
      <c r="GP237" s="60">
        <v>3</v>
      </c>
      <c r="GQ237" s="60">
        <v>2</v>
      </c>
      <c r="GR237" s="60">
        <v>1</v>
      </c>
      <c r="GS237" s="60">
        <v>1</v>
      </c>
      <c r="GT237" s="60">
        <v>0</v>
      </c>
      <c r="GU237" s="60">
        <v>0</v>
      </c>
      <c r="GV237" s="60">
        <v>5</v>
      </c>
    </row>
    <row r="238" spans="1:204" x14ac:dyDescent="0.25">
      <c r="A238" s="8"/>
      <c r="B238" s="5" t="s">
        <v>116</v>
      </c>
      <c r="C238" s="8"/>
      <c r="D238" s="6" t="s">
        <v>511</v>
      </c>
      <c r="E238" s="4"/>
      <c r="F238" s="5"/>
      <c r="G238" s="5"/>
      <c r="H238" s="5"/>
      <c r="I238" s="5"/>
      <c r="K238" s="9"/>
      <c r="L238" s="6" t="str">
        <f>INDEX(($BS$216:$BU$223),MATCH(G233,$BR$216:$BR$223,0),MATCH(E235,$BS$215:$BU$215,0),1)</f>
        <v>CP50H35/0,25MC</v>
      </c>
      <c r="M238" s="11">
        <f>INDEX(cennik!$C$2:$L$529,MATCH($L238,cennik!$B$2:$B$522,0),MATCH(M$205,cennik!$C$1:$L$1,0))</f>
        <v>895625</v>
      </c>
      <c r="N238" s="11" t="str">
        <f>INDEX(cennik!$C$2:$L$529,MATCH($L238,cennik!$B$2:$B$522,0),MATCH(N$104,cennik!$C$1:$L$1,0))</f>
        <v>szt.</v>
      </c>
      <c r="O238" s="11">
        <f>O236</f>
        <v>0</v>
      </c>
      <c r="P238" s="34">
        <f>INDEX(cennik!$C$2:$L$529,MATCH($L238,cennik!$B$2:$B$522,0),MATCH(P$104,cennik!$C$1:$L$1,0))</f>
        <v>5.99</v>
      </c>
      <c r="Q238" s="34">
        <f t="shared" si="183"/>
        <v>0</v>
      </c>
      <c r="R238" s="35">
        <f>$E$236</f>
        <v>0</v>
      </c>
      <c r="S238" s="34">
        <f t="shared" si="184"/>
        <v>5.99</v>
      </c>
      <c r="T238" s="34">
        <f t="shared" si="185"/>
        <v>0</v>
      </c>
      <c r="U238" s="34">
        <f>INDEX(cennik!$C$2:$L$529,MATCH($L238,cennik!$B$2:$B$522,0),MATCH(U$104,cennik!$C$1:$L$1,0))*O238</f>
        <v>0</v>
      </c>
      <c r="Y238" s="61"/>
      <c r="Z238" s="61">
        <f t="shared" si="176"/>
        <v>0</v>
      </c>
      <c r="AA238" s="61">
        <f t="shared" si="177"/>
        <v>0</v>
      </c>
      <c r="AB238" s="61">
        <f t="shared" si="178"/>
        <v>0</v>
      </c>
      <c r="AD23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218,$HW$106:$IQ$106,0),MATCH($E$206,$X$109:$X$126,0)))*C218</f>
        <v>0</v>
      </c>
      <c r="AE23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218,$HW$106:$IQ$106,0),MATCH($E$206,$X$109:$X$126,0)))*C218</f>
        <v>0</v>
      </c>
      <c r="AF238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218,$HW$106:$IQ$106,0),MATCH($E$206,$X$109:$X$126,0)))*C218</f>
        <v>0</v>
      </c>
      <c r="AH23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245,$IT$106:$JN$106,0),MATCH($E$233,$X$109:$X$126,0))*C245</f>
        <v>0</v>
      </c>
      <c r="AI23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245,$IT$106:$JN$106,0),MATCH($E$233,$X$109:$X$126,0))*C245</f>
        <v>0</v>
      </c>
      <c r="AJ238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245,$IT$106:$JN$106,0),MATCH($E$233,$X$109:$X$126,0))*C245</f>
        <v>0</v>
      </c>
      <c r="GA238" s="145" t="s">
        <v>867</v>
      </c>
      <c r="GB238" s="60">
        <v>0</v>
      </c>
      <c r="GC238" s="60">
        <v>1</v>
      </c>
      <c r="GD238" s="60">
        <v>0</v>
      </c>
      <c r="GE238" s="60">
        <v>0</v>
      </c>
      <c r="GF238" s="60">
        <v>2</v>
      </c>
      <c r="GG238" s="60">
        <v>4</v>
      </c>
      <c r="GH238" s="60">
        <v>5</v>
      </c>
      <c r="GI238" s="60">
        <v>7</v>
      </c>
      <c r="GJ238" s="60">
        <v>8</v>
      </c>
      <c r="GK238" s="60">
        <v>10</v>
      </c>
      <c r="GL238" s="60">
        <v>7</v>
      </c>
      <c r="GM238" s="60">
        <v>8</v>
      </c>
      <c r="GN238" s="60">
        <v>10</v>
      </c>
      <c r="GO238" s="60">
        <v>12</v>
      </c>
      <c r="GP238" s="60">
        <v>13</v>
      </c>
      <c r="GQ238" s="60">
        <v>15</v>
      </c>
      <c r="GR238" s="60">
        <v>17</v>
      </c>
      <c r="GS238" s="60">
        <v>18</v>
      </c>
      <c r="GT238" s="60">
        <v>20</v>
      </c>
      <c r="GU238" s="60">
        <v>21</v>
      </c>
      <c r="GV238" s="60">
        <v>18</v>
      </c>
    </row>
    <row r="239" spans="1:204" x14ac:dyDescent="0.25">
      <c r="A239" s="8"/>
      <c r="B239" s="5" t="s">
        <v>116</v>
      </c>
      <c r="C239" s="8"/>
      <c r="D239" s="6" t="s">
        <v>774</v>
      </c>
      <c r="E239" s="52">
        <f>INDEX((AI219:AM221),MATCH(E240,AH219:AH221,0),MATCH(E241,AI218:AM218,0))</f>
        <v>2000</v>
      </c>
      <c r="F239" s="6"/>
      <c r="G239" s="6"/>
      <c r="H239" s="6"/>
      <c r="I239" s="6"/>
      <c r="J239" s="5" t="s">
        <v>119</v>
      </c>
      <c r="K239" s="9"/>
      <c r="L239" s="6" t="s">
        <v>864</v>
      </c>
      <c r="M239" s="11">
        <v>878000</v>
      </c>
      <c r="N239" s="11" t="str">
        <f>INDEX(cennik!$C$2:$L$529,MATCH($L239,cennik!$B$2:$B$522,0),MATCH(N$104,cennik!$C$1:$L$1,0))</f>
        <v>szt.</v>
      </c>
      <c r="O239" s="11">
        <f>O236</f>
        <v>0</v>
      </c>
      <c r="P239" s="34">
        <f>INDEX(cennik!$C$2:$L$529,MATCH($L239,cennik!$B$2:$B$522,0),MATCH(P$104,cennik!$C$1:$L$1,0))</f>
        <v>15.64</v>
      </c>
      <c r="Q239" s="34">
        <f t="shared" ref="Q239" si="186">O239*P239</f>
        <v>0</v>
      </c>
      <c r="R239" s="35">
        <f>$E$236</f>
        <v>0</v>
      </c>
      <c r="S239" s="34">
        <f t="shared" si="184"/>
        <v>15.64</v>
      </c>
      <c r="T239" s="34">
        <f t="shared" ref="T239" si="187">O239*S239</f>
        <v>0</v>
      </c>
      <c r="U239" s="34">
        <f>INDEX(cennik!$C$2:$L$529,MATCH($L239,cennik!$B$2:$B$522,0),MATCH(U$104,cennik!$C$1:$L$1,0))*O239</f>
        <v>0</v>
      </c>
      <c r="Y239" s="61"/>
      <c r="Z239" s="61">
        <f t="shared" si="176"/>
        <v>0</v>
      </c>
      <c r="AA239" s="61">
        <f t="shared" si="177"/>
        <v>0</v>
      </c>
      <c r="AB239" s="61">
        <f t="shared" si="178"/>
        <v>0</v>
      </c>
      <c r="AD23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219,$HW$106:$IQ$106,0),MATCH($E$206,$X$109:$X$126,0)))*C219</f>
        <v>0</v>
      </c>
      <c r="AE23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219,$HW$106:$IQ$106,0),MATCH($E$206,$X$109:$X$126,0)))*C219</f>
        <v>0</v>
      </c>
      <c r="AF239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219,$HW$106:$IQ$106,0),MATCH($E$206,$X$109:$X$126,0)))*C219</f>
        <v>0</v>
      </c>
      <c r="AH23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246,$IT$106:$JN$106,0),MATCH($E$233,$X$109:$X$126,0))*C246</f>
        <v>0</v>
      </c>
      <c r="AI23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246,$IT$106:$JN$106,0),MATCH($E$233,$X$109:$X$126,0))*C246</f>
        <v>0</v>
      </c>
      <c r="AJ239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246,$IT$106:$JN$106,0),MATCH($E$233,$X$109:$X$126,0))*C246</f>
        <v>0</v>
      </c>
      <c r="GA239" s="145" t="s">
        <v>868</v>
      </c>
      <c r="GB239" s="60">
        <v>0</v>
      </c>
      <c r="GC239" s="60">
        <v>0</v>
      </c>
      <c r="GD239" s="60">
        <v>2</v>
      </c>
      <c r="GE239" s="60">
        <v>0</v>
      </c>
      <c r="GF239" s="60">
        <v>0</v>
      </c>
      <c r="GG239" s="60">
        <v>0</v>
      </c>
      <c r="GH239" s="60">
        <v>0</v>
      </c>
      <c r="GI239" s="60">
        <v>0</v>
      </c>
      <c r="GJ239" s="60">
        <v>0</v>
      </c>
      <c r="GK239" s="60">
        <v>0</v>
      </c>
      <c r="GL239" s="60">
        <v>0</v>
      </c>
      <c r="GM239" s="60">
        <v>0</v>
      </c>
      <c r="GN239" s="60">
        <v>0</v>
      </c>
      <c r="GO239" s="60">
        <v>0</v>
      </c>
      <c r="GP239" s="60">
        <v>0</v>
      </c>
      <c r="GQ239" s="60">
        <v>0</v>
      </c>
      <c r="GR239" s="60">
        <v>0</v>
      </c>
      <c r="GS239" s="60">
        <v>0</v>
      </c>
      <c r="GT239" s="60">
        <v>0</v>
      </c>
      <c r="GU239" s="60">
        <v>0</v>
      </c>
      <c r="GV239" s="60">
        <v>0</v>
      </c>
    </row>
    <row r="240" spans="1:204" x14ac:dyDescent="0.25">
      <c r="A240" s="8"/>
      <c r="B240" s="5" t="s">
        <v>116</v>
      </c>
      <c r="C240" s="8"/>
      <c r="D240" s="6" t="s">
        <v>787</v>
      </c>
      <c r="E240" s="8">
        <v>1</v>
      </c>
      <c r="F240" s="39" t="s">
        <v>789</v>
      </c>
      <c r="G240" s="17"/>
      <c r="H240" s="9"/>
      <c r="I240" s="9"/>
      <c r="J240" s="30"/>
      <c r="K240" s="9"/>
      <c r="L240" s="6" t="s">
        <v>859</v>
      </c>
      <c r="M240" s="11">
        <f>INDEX(cennik!$C$2:$L$529,MATCH($L240,cennik!$B$2:$B$522,0),MATCH(M$205,cennik!$C$1:$L$1,0))</f>
        <v>897334</v>
      </c>
      <c r="N240" s="11" t="str">
        <f>INDEX(cennik!$C$2:$L$529,MATCH($L240,cennik!$B$2:$B$522,0),MATCH(N$104,cennik!$C$1:$L$1,0))</f>
        <v>szt.</v>
      </c>
      <c r="O240" s="11">
        <f>SUM(A232*4*C232,A233*4*C233,A234*4*C234,A235*4*C235,A236*4*C236,A237*4*C237,A238*4*C238,A239*4*C239,A240*4*C240,A241*4*C241,A242*4*C242,A243*4*C243,A244*4*C244,A245*4*C245,A246*4*C246,A247*4*C247)</f>
        <v>0</v>
      </c>
      <c r="P240" s="34">
        <f>INDEX(cennik!$C$2:$L$529,MATCH($L240,cennik!$B$2:$B$522,0),MATCH(P$104,cennik!$C$1:$L$1,0))</f>
        <v>5.18</v>
      </c>
      <c r="Q240" s="34">
        <f t="shared" si="183"/>
        <v>0</v>
      </c>
      <c r="R240" s="35">
        <f t="shared" si="182"/>
        <v>0</v>
      </c>
      <c r="S240" s="34">
        <f t="shared" si="184"/>
        <v>5.18</v>
      </c>
      <c r="T240" s="34">
        <f t="shared" si="185"/>
        <v>0</v>
      </c>
      <c r="U240" s="34">
        <f>INDEX(cennik!$C$2:$L$529,MATCH($L240,cennik!$B$2:$B$522,0),MATCH(U$104,cennik!$C$1:$L$1,0))*O240</f>
        <v>0</v>
      </c>
      <c r="Y240" s="61"/>
      <c r="Z240" s="61">
        <f t="shared" si="176"/>
        <v>0</v>
      </c>
      <c r="AA240" s="61">
        <f t="shared" si="177"/>
        <v>0</v>
      </c>
      <c r="AB240" s="61">
        <f t="shared" si="178"/>
        <v>0</v>
      </c>
      <c r="AD24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220,$HW$106:$IQ$106,0),MATCH($E$206,$X$109:$X$126,0)))*C220</f>
        <v>0</v>
      </c>
      <c r="AE24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220,$HW$106:$IQ$106,0),MATCH($E$206,$X$109:$X$126,0)))*C220</f>
        <v>0</v>
      </c>
      <c r="AF240" s="60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220,$HW$106:$IQ$106,0),MATCH($E$206,$X$109:$X$126,0)))*C220</f>
        <v>0</v>
      </c>
      <c r="AH24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247,$IT$106:$JN$106,0),MATCH($E$233,$X$109:$X$126,0))*C247</f>
        <v>0</v>
      </c>
      <c r="AI24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247,$IT$106:$JN$106,0),MATCH($E$233,$X$109:$X$126,0))*C247</f>
        <v>0</v>
      </c>
      <c r="AJ240" s="60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247,$IT$106:$JN$106,0),MATCH($E$233,$X$109:$X$126,0))*C247</f>
        <v>0</v>
      </c>
    </row>
    <row r="241" spans="1:204" x14ac:dyDescent="0.25">
      <c r="A241" s="8"/>
      <c r="B241" s="5" t="s">
        <v>116</v>
      </c>
      <c r="C241" s="8"/>
      <c r="D241" s="6" t="s">
        <v>788</v>
      </c>
      <c r="E241" s="8">
        <v>1</v>
      </c>
      <c r="F241" s="39" t="s">
        <v>790</v>
      </c>
      <c r="G241" s="9"/>
      <c r="H241" s="9"/>
      <c r="I241" s="9"/>
      <c r="J241" s="9"/>
      <c r="K241" s="9"/>
      <c r="L241" s="6" t="s">
        <v>477</v>
      </c>
      <c r="M241" s="11">
        <f>INDEX(cennik!$C$2:$L$529,MATCH($L241,cennik!$B$2:$B$522,0),MATCH(M$205,cennik!$C$1:$L$1,0))</f>
        <v>898525</v>
      </c>
      <c r="N241" s="11" t="str">
        <f>INDEX(cennik!$C$2:$L$529,MATCH($L241,cennik!$B$2:$B$522,0),MATCH(N$104,cennik!$C$1:$L$1,0))</f>
        <v>szt.</v>
      </c>
      <c r="O241" s="11">
        <f>O240</f>
        <v>0</v>
      </c>
      <c r="P241" s="34">
        <f>INDEX(cennik!$C$2:$L$529,MATCH($L241,cennik!$B$2:$B$522,0),MATCH(P$104,cennik!$C$1:$L$1,0))</f>
        <v>0.45</v>
      </c>
      <c r="Q241" s="34">
        <f t="shared" ref="Q241:Q244" si="188">O241*P241</f>
        <v>0</v>
      </c>
      <c r="R241" s="35">
        <f t="shared" ref="R241:R244" si="189">$E$236</f>
        <v>0</v>
      </c>
      <c r="S241" s="34">
        <f>P241*((100-$E$236)/100)</f>
        <v>0.45</v>
      </c>
      <c r="T241" s="34">
        <f t="shared" ref="T241:T244" si="190">O241*S241</f>
        <v>0</v>
      </c>
      <c r="U241" s="34">
        <f>INDEX(cennik!$C$2:$L$529,MATCH($L241,cennik!$B$2:$B$522,0),MATCH(U$104,cennik!$C$1:$L$1,0))*O241</f>
        <v>0</v>
      </c>
      <c r="GA241" s="60" t="s">
        <v>478</v>
      </c>
    </row>
    <row r="242" spans="1:204" x14ac:dyDescent="0.25">
      <c r="A242" s="8"/>
      <c r="B242" s="5" t="s">
        <v>116</v>
      </c>
      <c r="C242" s="8"/>
      <c r="D242" s="40" t="s">
        <v>941</v>
      </c>
      <c r="E242" s="32"/>
      <c r="F242" s="31"/>
      <c r="G242" s="31"/>
      <c r="H242" s="9"/>
      <c r="I242" s="9"/>
      <c r="J242" s="9"/>
      <c r="K242" s="9"/>
      <c r="L242" s="6" t="s">
        <v>849</v>
      </c>
      <c r="M242" s="11">
        <f>INDEX(cennik!$C$2:$L$529,MATCH($L242,cennik!$B$2:$B$522,0),MATCH(M$205,cennik!$C$1:$L$1,0))</f>
        <v>660246</v>
      </c>
      <c r="N242" s="11" t="str">
        <f>INDEX(cennik!$C$2:$L$529,MATCH($L242,cennik!$B$2:$B$522,0),MATCH(N$104,cennik!$C$1:$L$1,0))</f>
        <v>szt.</v>
      </c>
      <c r="O242" s="11">
        <f>O240</f>
        <v>0</v>
      </c>
      <c r="P242" s="34">
        <f>INDEX(cennik!$C$2:$L$529,MATCH($L242,cennik!$B$2:$B$522,0),MATCH(P$104,cennik!$C$1:$L$1,0))</f>
        <v>1.56</v>
      </c>
      <c r="Q242" s="34">
        <f t="shared" si="188"/>
        <v>0</v>
      </c>
      <c r="R242" s="35">
        <f t="shared" si="189"/>
        <v>0</v>
      </c>
      <c r="S242" s="34">
        <f t="shared" si="184"/>
        <v>1.56</v>
      </c>
      <c r="T242" s="34">
        <f t="shared" si="190"/>
        <v>0</v>
      </c>
      <c r="U242" s="34">
        <f>INDEX(cennik!$C$2:$L$529,MATCH($L242,cennik!$B$2:$B$522,0),MATCH(U$104,cennik!$C$1:$L$1,0))*O242</f>
        <v>0</v>
      </c>
      <c r="GB242" s="60">
        <v>0</v>
      </c>
      <c r="GC242" s="60">
        <v>1</v>
      </c>
      <c r="GD242" s="60">
        <v>2</v>
      </c>
      <c r="GE242" s="60">
        <v>3</v>
      </c>
      <c r="GF242" s="60">
        <v>4</v>
      </c>
      <c r="GG242" s="60">
        <v>5</v>
      </c>
      <c r="GH242" s="60">
        <v>6</v>
      </c>
      <c r="GI242" s="60">
        <v>7</v>
      </c>
      <c r="GJ242" s="60">
        <v>8</v>
      </c>
      <c r="GK242" s="60">
        <v>9</v>
      </c>
      <c r="GL242" s="60">
        <v>10</v>
      </c>
      <c r="GM242" s="60">
        <v>11</v>
      </c>
      <c r="GN242" s="60">
        <v>12</v>
      </c>
      <c r="GO242" s="60">
        <v>13</v>
      </c>
      <c r="GP242" s="60">
        <v>14</v>
      </c>
      <c r="GQ242" s="60">
        <v>15</v>
      </c>
      <c r="GR242" s="60">
        <v>16</v>
      </c>
      <c r="GS242" s="60">
        <v>17</v>
      </c>
      <c r="GT242" s="60">
        <v>18</v>
      </c>
      <c r="GU242" s="60">
        <v>19</v>
      </c>
      <c r="GV242" s="60">
        <v>20</v>
      </c>
    </row>
    <row r="243" spans="1:204" x14ac:dyDescent="0.25">
      <c r="A243" s="8"/>
      <c r="B243" s="5" t="s">
        <v>116</v>
      </c>
      <c r="C243" s="8"/>
      <c r="D243" s="40" t="s">
        <v>797</v>
      </c>
      <c r="E243" s="9"/>
      <c r="G243" s="9"/>
      <c r="H243" s="9"/>
      <c r="I243" s="9"/>
      <c r="J243" s="9"/>
      <c r="K243" s="9"/>
      <c r="L243" s="6" t="s">
        <v>1019</v>
      </c>
      <c r="M243" s="11">
        <f>INDEX(cennik!$C$2:$L$529,MATCH($L243,cennik!$B$2:$B$522,0),MATCH(M$205,cennik!$C$1:$L$1,0))</f>
        <v>166794</v>
      </c>
      <c r="N243" s="11" t="str">
        <f>INDEX(cennik!$C$2:$L$529,MATCH($L243,cennik!$B$2:$B$522,0),MATCH(N$104,cennik!$C$1:$L$1,0))</f>
        <v>100 szt.</v>
      </c>
      <c r="O243" s="11">
        <f>ROUNDUP(O240/100,0)</f>
        <v>0</v>
      </c>
      <c r="P243" s="34">
        <f>INDEX(cennik!$C$2:$L$529,MATCH($L243,cennik!$B$2:$B$522,0),MATCH(P$104,cennik!$C$1:$L$1,0))</f>
        <v>3.95</v>
      </c>
      <c r="Q243" s="34">
        <f t="shared" si="188"/>
        <v>0</v>
      </c>
      <c r="R243" s="35">
        <f t="shared" si="189"/>
        <v>0</v>
      </c>
      <c r="S243" s="34">
        <f t="shared" si="184"/>
        <v>3.95</v>
      </c>
      <c r="T243" s="34">
        <f t="shared" si="190"/>
        <v>0</v>
      </c>
      <c r="U243" s="34">
        <f>INDEX(cennik!$C$2:$L$529,MATCH($L243,cennik!$B$2:$B$522,0),MATCH(U$104,cennik!$C$1:$L$1,0))*O243</f>
        <v>0</v>
      </c>
      <c r="GA243" s="145" t="s">
        <v>866</v>
      </c>
      <c r="GB243" s="60">
        <v>0</v>
      </c>
      <c r="GC243" s="60">
        <v>0</v>
      </c>
      <c r="GD243" s="60">
        <v>0</v>
      </c>
      <c r="GE243" s="60">
        <v>3</v>
      </c>
      <c r="GF243" s="60">
        <v>2</v>
      </c>
      <c r="GG243" s="60">
        <v>2</v>
      </c>
      <c r="GH243" s="60">
        <v>1</v>
      </c>
      <c r="GI243" s="60">
        <v>0</v>
      </c>
      <c r="GJ243" s="60">
        <v>5</v>
      </c>
      <c r="GK243" s="60">
        <v>5</v>
      </c>
      <c r="GL243" s="60">
        <v>4</v>
      </c>
      <c r="GM243" s="60">
        <v>3</v>
      </c>
      <c r="GN243" s="60">
        <v>2</v>
      </c>
      <c r="GO243" s="60">
        <v>1</v>
      </c>
      <c r="GP243" s="60">
        <v>1</v>
      </c>
      <c r="GQ243" s="60">
        <v>0</v>
      </c>
      <c r="GR243" s="60">
        <v>5</v>
      </c>
      <c r="GS243" s="60">
        <v>4</v>
      </c>
      <c r="GT243" s="60">
        <v>4</v>
      </c>
      <c r="GU243" s="60">
        <v>2</v>
      </c>
      <c r="GV243" s="60">
        <v>2</v>
      </c>
    </row>
    <row r="244" spans="1:204" x14ac:dyDescent="0.25">
      <c r="A244" s="8"/>
      <c r="B244" s="5" t="s">
        <v>116</v>
      </c>
      <c r="C244" s="8"/>
      <c r="D244" s="40" t="s">
        <v>942</v>
      </c>
      <c r="E244" s="9"/>
      <c r="F244" s="9"/>
      <c r="G244" s="9"/>
      <c r="H244" s="9"/>
      <c r="I244" s="9"/>
      <c r="J244" s="9"/>
      <c r="K244" s="9"/>
      <c r="L244" s="6" t="s">
        <v>623</v>
      </c>
      <c r="M244" s="11">
        <f>INDEX(cennik!$C$2:$L$529,MATCH($L244,cennik!$B$2:$B$522,0),MATCH(M$205,cennik!$C$1:$L$1,0))</f>
        <v>660944</v>
      </c>
      <c r="N244" s="11" t="str">
        <f>INDEX(cennik!$C$2:$L$529,MATCH($L244,cennik!$B$2:$B$522,0),MATCH(N$104,cennik!$C$1:$L$1,0))</f>
        <v>100 szt.</v>
      </c>
      <c r="O244" s="11">
        <f>ROUNDUP(O240/100,0)</f>
        <v>0</v>
      </c>
      <c r="P244" s="34">
        <f>INDEX(cennik!$C$2:$L$529,MATCH($L244,cennik!$B$2:$B$522,0),MATCH(P$104,cennik!$C$1:$L$1,0))</f>
        <v>21.26</v>
      </c>
      <c r="Q244" s="34">
        <f t="shared" si="188"/>
        <v>0</v>
      </c>
      <c r="R244" s="35">
        <f t="shared" si="189"/>
        <v>0</v>
      </c>
      <c r="S244" s="34">
        <f t="shared" si="184"/>
        <v>21.26</v>
      </c>
      <c r="T244" s="34">
        <f t="shared" si="190"/>
        <v>0</v>
      </c>
      <c r="U244" s="34">
        <f>INDEX(cennik!$C$2:$L$529,MATCH($L244,cennik!$B$2:$B$522,0),MATCH(U$104,cennik!$C$1:$L$1,0))*O244</f>
        <v>0</v>
      </c>
      <c r="GA244" s="145" t="s">
        <v>867</v>
      </c>
      <c r="GB244" s="60">
        <v>0</v>
      </c>
      <c r="GC244" s="60">
        <v>0</v>
      </c>
      <c r="GD244" s="60">
        <v>0</v>
      </c>
      <c r="GE244" s="60">
        <v>1</v>
      </c>
      <c r="GF244" s="60">
        <v>3</v>
      </c>
      <c r="GG244" s="60">
        <v>4</v>
      </c>
      <c r="GH244" s="60">
        <v>6</v>
      </c>
      <c r="GI244" s="60">
        <v>8</v>
      </c>
      <c r="GJ244" s="60">
        <v>5</v>
      </c>
      <c r="GK244" s="60">
        <v>6</v>
      </c>
      <c r="GL244" s="60">
        <v>8</v>
      </c>
      <c r="GM244" s="60">
        <v>10</v>
      </c>
      <c r="GN244" s="60">
        <v>12</v>
      </c>
      <c r="GO244" s="60">
        <v>14</v>
      </c>
      <c r="GP244" s="60">
        <v>15</v>
      </c>
      <c r="GQ244" s="60">
        <v>17</v>
      </c>
      <c r="GR244" s="60">
        <v>14</v>
      </c>
      <c r="GS244" s="60">
        <v>16</v>
      </c>
      <c r="GT244" s="60">
        <v>17</v>
      </c>
      <c r="GU244" s="60">
        <v>20</v>
      </c>
      <c r="GV244" s="60">
        <v>21</v>
      </c>
    </row>
    <row r="245" spans="1:204" x14ac:dyDescent="0.25">
      <c r="A245" s="8"/>
      <c r="B245" s="5" t="s">
        <v>116</v>
      </c>
      <c r="C245" s="8"/>
      <c r="D245" s="40" t="s">
        <v>943</v>
      </c>
      <c r="E245" s="9"/>
      <c r="F245" s="9"/>
      <c r="G245" s="9"/>
      <c r="H245" s="9"/>
      <c r="I245" s="9"/>
      <c r="J245" s="9"/>
      <c r="K245" s="9"/>
      <c r="L245" s="6" t="str">
        <f>IF(E234=$Z$104,"SBV250X350",IF(E234=$Z$105,"SBV50X500",IF(E234=$Z$106,"-------",IF(E234=$Z$107,"-------",0))))</f>
        <v>SBV250X350</v>
      </c>
      <c r="M245" s="11">
        <f>INDEX(cennik!$C$2:$L$529,MATCH($L245,cennik!$B$2:$B$522,0),MATCH(M$205,cennik!$C$1:$L$1,0))</f>
        <v>895507</v>
      </c>
      <c r="N245" s="11" t="str">
        <f>INDEX(cennik!$C$2:$L$529,MATCH($L245,cennik!$B$2:$B$522,0),MATCH(N$104,cennik!$C$1:$L$1,0))</f>
        <v>szt.</v>
      </c>
      <c r="O245" s="11">
        <f>IF(E234=$Z$104,O236*2,IF(E234=$Z$105,O236*2,IF(E234=$Z$106,0,IF(E234=$Z$107,0,0))))</f>
        <v>0</v>
      </c>
      <c r="P245" s="34">
        <f>INDEX(cennik!$C$2:$L$529,MATCH($L245,cennik!$B$2:$B$522,0),MATCH(P$104,cennik!$C$1:$L$1,0))</f>
        <v>4.08</v>
      </c>
      <c r="Q245" s="34">
        <f>O245*P245</f>
        <v>0</v>
      </c>
      <c r="R245" s="35">
        <f t="shared" ref="R245:R251" si="191">$E$236</f>
        <v>0</v>
      </c>
      <c r="S245" s="34">
        <f t="shared" si="184"/>
        <v>4.08</v>
      </c>
      <c r="T245" s="34">
        <f>O245*S245</f>
        <v>0</v>
      </c>
      <c r="U245" s="34">
        <f>INDEX(cennik!$C$2:$L$529,MATCH($L245,cennik!$B$2:$B$522,0),MATCH(U$104,cennik!$C$1:$L$1,0))*O245</f>
        <v>0</v>
      </c>
      <c r="GA245" s="145" t="s">
        <v>868</v>
      </c>
      <c r="GB245" s="60">
        <v>0</v>
      </c>
      <c r="GC245" s="60">
        <v>1</v>
      </c>
      <c r="GD245" s="60">
        <v>2</v>
      </c>
      <c r="GE245" s="60">
        <v>0</v>
      </c>
      <c r="GF245" s="60">
        <v>0</v>
      </c>
      <c r="GG245" s="60">
        <v>0</v>
      </c>
      <c r="GH245" s="60">
        <v>0</v>
      </c>
      <c r="GI245" s="60">
        <v>0</v>
      </c>
      <c r="GJ245" s="60">
        <v>0</v>
      </c>
      <c r="GK245" s="60">
        <v>0</v>
      </c>
      <c r="GL245" s="60">
        <v>0</v>
      </c>
      <c r="GM245" s="60">
        <v>0</v>
      </c>
      <c r="GN245" s="60">
        <v>0</v>
      </c>
      <c r="GO245" s="60">
        <v>0</v>
      </c>
      <c r="GP245" s="60">
        <v>0</v>
      </c>
      <c r="GQ245" s="60">
        <v>0</v>
      </c>
      <c r="GR245" s="60">
        <v>0</v>
      </c>
      <c r="GS245" s="60">
        <v>0</v>
      </c>
      <c r="GT245" s="60">
        <v>0</v>
      </c>
      <c r="GU245" s="60">
        <v>0</v>
      </c>
      <c r="GV245" s="60">
        <v>0</v>
      </c>
    </row>
    <row r="246" spans="1:204" x14ac:dyDescent="0.25">
      <c r="A246" s="8"/>
      <c r="B246" s="5" t="s">
        <v>116</v>
      </c>
      <c r="C246" s="8"/>
      <c r="D246" s="9"/>
      <c r="E246" s="9"/>
      <c r="F246" s="9"/>
      <c r="G246" s="9"/>
      <c r="H246" s="9"/>
      <c r="I246" s="9"/>
      <c r="J246" s="9"/>
      <c r="K246" s="9"/>
      <c r="L246" s="6" t="str">
        <f>IF(E234=$Z$104,"PBK50MC",IF(E234=$Z$105,"-------",IF(E234=$Z$106,"SPM1",IF(E234=$Z$107,"SMA40/033",0))))</f>
        <v>PBK50MC</v>
      </c>
      <c r="M246" s="11">
        <f>INDEX(cennik!$C$2:$L$529,MATCH($L246,cennik!$B$2:$B$522,0),MATCH(M$205,cennik!$C$1:$L$1,0))</f>
        <v>858450</v>
      </c>
      <c r="N246" s="11" t="str">
        <f>INDEX(cennik!$C$2:$L$529,MATCH($L246,cennik!$B$2:$B$522,0),MATCH(N$104,cennik!$C$1:$L$1,0))</f>
        <v>szt.</v>
      </c>
      <c r="O246" s="11">
        <f>IF(E234=$Z$104,$O$236*2,IF(E234=$Z$105,0,IF(E234=$Z$106,O236*2,IF(E234=$Z$107,O236*4,0))))</f>
        <v>0</v>
      </c>
      <c r="P246" s="34">
        <f>INDEX(cennik!$C$2:$L$529,MATCH($L246,cennik!$B$2:$B$522,0),MATCH(P$104,cennik!$C$1:$L$1,0))</f>
        <v>17.18</v>
      </c>
      <c r="Q246" s="34">
        <f>O246*P246</f>
        <v>0</v>
      </c>
      <c r="R246" s="35">
        <f t="shared" si="191"/>
        <v>0</v>
      </c>
      <c r="S246" s="34">
        <f t="shared" si="184"/>
        <v>17.18</v>
      </c>
      <c r="T246" s="34">
        <f>O246*S246</f>
        <v>0</v>
      </c>
      <c r="U246" s="34">
        <f>INDEX(cennik!$C$2:$L$529,MATCH($L246,cennik!$B$2:$B$522,0),MATCH(U$104,cennik!$C$1:$L$1,0))*O246</f>
        <v>0</v>
      </c>
    </row>
    <row r="247" spans="1:204" x14ac:dyDescent="0.25">
      <c r="A247" s="8"/>
      <c r="B247" s="5" t="s">
        <v>116</v>
      </c>
      <c r="C247" s="8"/>
      <c r="D247" s="9"/>
      <c r="E247" s="9"/>
      <c r="F247" s="9"/>
      <c r="G247" s="9"/>
      <c r="H247" s="9"/>
      <c r="I247" s="9"/>
      <c r="J247" s="9"/>
      <c r="K247" s="9"/>
      <c r="L247" s="6" t="str">
        <f>IF(E234=$Z$104,"-------",IF(E234=$Z$105,"-------",IF(E234=$Z$106,"-------",IF(E234=$Z$107,"SMDP6,0X25E",0))))</f>
        <v>-------</v>
      </c>
      <c r="M247" s="11" t="str">
        <f>INDEX(cennik!$C$2:$L$529,MATCH($L247,cennik!$B$2:$B$522,0),MATCH(M$205,cennik!$C$1:$L$1,0))</f>
        <v>-------</v>
      </c>
      <c r="N247" s="11">
        <f>INDEX(cennik!$C$2:$L$529,MATCH($L247,cennik!$B$2:$B$522,0),MATCH(N$104,cennik!$C$1:$L$1,0))</f>
        <v>0</v>
      </c>
      <c r="O247" s="11">
        <f>IF(E234=$Z$107,O246*4,0)</f>
        <v>0</v>
      </c>
      <c r="P247" s="34">
        <f>INDEX(cennik!$C$2:$L$529,MATCH($L247,cennik!$B$2:$B$522,0),MATCH(P$104,cennik!$C$1:$L$1,0))</f>
        <v>0</v>
      </c>
      <c r="Q247" s="34">
        <f>O247*P247</f>
        <v>0</v>
      </c>
      <c r="R247" s="35">
        <f t="shared" si="191"/>
        <v>0</v>
      </c>
      <c r="S247" s="34">
        <f t="shared" si="184"/>
        <v>0</v>
      </c>
      <c r="T247" s="34">
        <f>O247*S247</f>
        <v>0</v>
      </c>
      <c r="U247" s="34">
        <f>INDEX(cennik!$C$2:$L$529,MATCH($L247,cennik!$B$2:$B$522,0),MATCH(U$104,cennik!$C$1:$L$1,0))*O247</f>
        <v>0</v>
      </c>
    </row>
    <row r="248" spans="1:204" x14ac:dyDescent="0.25">
      <c r="A248" s="9"/>
      <c r="B248" s="6"/>
      <c r="C248" s="9"/>
      <c r="D248" s="9"/>
      <c r="E248" s="9"/>
      <c r="F248" s="17" t="str">
        <f>IF(L248="PSRM10X90F","PROPOZYCJA KOTEW- DO WERFIKACJI","")</f>
        <v/>
      </c>
      <c r="G248" s="9"/>
      <c r="H248" s="9"/>
      <c r="I248" s="9"/>
      <c r="J248" s="9"/>
      <c r="K248" s="9"/>
      <c r="L248" s="6" t="str">
        <f>IF(E234=$Z$104,"-------",IF(E234=$Z$105,"PSRM10X90F",IF(E234=$Z$106,"-------",IF(E234=$Z$107,"SSZ8X30E A2",0))))</f>
        <v>-------</v>
      </c>
      <c r="M248" s="11" t="str">
        <f>INDEX(cennik!$C$2:$L$529,MATCH($L248,cennik!$B$2:$B$522,0),MATCH(M$205,cennik!$C$1:$L$1,0))</f>
        <v>-------</v>
      </c>
      <c r="N248" s="11">
        <f>INDEX(cennik!$C$2:$L$529,MATCH($L248,cennik!$B$2:$B$522,0),MATCH(N$104,cennik!$C$1:$L$1,0))</f>
        <v>0</v>
      </c>
      <c r="O248" s="11">
        <f>IF(E234=$Z$104,0,IF(E234=$Z$105,O236*6,IF(E234=$Z$106,0,IF(E234=$Z$107,ROUNDUP((O236*4)/100,0),0))))</f>
        <v>0</v>
      </c>
      <c r="P248" s="34">
        <f>INDEX(cennik!$C$2:$L$529,MATCH($L248,cennik!$B$2:$B$522,0),MATCH(P$104,cennik!$C$1:$L$1,0))</f>
        <v>0</v>
      </c>
      <c r="Q248" s="34">
        <f t="shared" ref="Q248" si="192">O248*P248</f>
        <v>0</v>
      </c>
      <c r="R248" s="35">
        <f t="shared" si="191"/>
        <v>0</v>
      </c>
      <c r="S248" s="34">
        <f t="shared" si="184"/>
        <v>0</v>
      </c>
      <c r="T248" s="34">
        <f t="shared" ref="T248:T250" si="193">O248*S248</f>
        <v>0</v>
      </c>
      <c r="U248" s="34">
        <f>INDEX(cennik!$C$2:$L$529,MATCH($L248,cennik!$B$2:$B$522,0),MATCH(U$104,cennik!$C$1:$L$1,0))*O248</f>
        <v>0</v>
      </c>
    </row>
    <row r="249" spans="1:204" x14ac:dyDescent="0.25">
      <c r="A249" s="9"/>
      <c r="B249" s="9"/>
      <c r="C249" s="9"/>
      <c r="D249" s="9"/>
      <c r="E249" s="9"/>
      <c r="G249" s="9"/>
      <c r="H249" s="9"/>
      <c r="I249" s="9"/>
      <c r="J249" s="9"/>
      <c r="K249" s="9"/>
      <c r="L249" s="6" t="str">
        <f>IF(E234=$Z$104,"-------",IF(E234=$Z$105,"-------",IF(E234=$Z$106,"-------",IF(E234=$Z$107,"PW8E A2",0))))</f>
        <v>-------</v>
      </c>
      <c r="M249" s="11" t="str">
        <f>INDEX(cennik!$C$2:$L$529,MATCH($L249,cennik!$B$2:$B$522,0),MATCH(M$205,cennik!$C$1:$L$1,0))</f>
        <v>-------</v>
      </c>
      <c r="N249" s="11">
        <f>INDEX(cennik!$C$2:$L$529,MATCH($L249,cennik!$B$2:$B$522,0),MATCH(N$104,cennik!$C$1:$L$1,0))</f>
        <v>0</v>
      </c>
      <c r="O249" s="11">
        <f>IF(E234=$Z$104,0,IF(E234=$Z$105,0,IF(E234=$Z$106,0,IF(E234=$Z$107,ROUNDUP((O236*4)/100,0),0))))</f>
        <v>0</v>
      </c>
      <c r="P249" s="34">
        <f>INDEX(cennik!$C$2:$L$529,MATCH($L249,cennik!$B$2:$B$522,0),MATCH(P$104,cennik!$C$1:$L$1,0))</f>
        <v>0</v>
      </c>
      <c r="Q249" s="34">
        <f>O249*P249</f>
        <v>0</v>
      </c>
      <c r="R249" s="35">
        <f t="shared" si="191"/>
        <v>0</v>
      </c>
      <c r="S249" s="34">
        <f t="shared" si="184"/>
        <v>0</v>
      </c>
      <c r="T249" s="34">
        <f t="shared" si="193"/>
        <v>0</v>
      </c>
      <c r="U249" s="34">
        <f>INDEX(cennik!$C$2:$L$529,MATCH($L249,cennik!$B$2:$B$522,0),MATCH(U$104,cennik!$C$1:$L$1,0))*O249</f>
        <v>0</v>
      </c>
    </row>
    <row r="250" spans="1:204" x14ac:dyDescent="0.25">
      <c r="A250" s="9"/>
      <c r="B250" s="9"/>
      <c r="C250" s="9"/>
      <c r="D250" s="9"/>
      <c r="E250" s="9"/>
      <c r="F250" s="9"/>
      <c r="G250" s="9"/>
      <c r="H250" s="9"/>
      <c r="I250" s="9"/>
      <c r="J250" s="9"/>
      <c r="K250" s="9"/>
      <c r="L250" s="6" t="str">
        <f>IF(E234=$Z$104,"-------",IF(E234=$Z$105,"-------",IF(E234=$Z$106,"-------",IF(E234=$Z$107,"NKZM8E A2",0))))</f>
        <v>-------</v>
      </c>
      <c r="M250" s="11" t="str">
        <f>INDEX(cennik!$C$2:$L$529,MATCH($L250,cennik!$B$2:$B$522,0),MATCH(M$205,cennik!$C$1:$L$1,0))</f>
        <v>-------</v>
      </c>
      <c r="N250" s="11">
        <f>INDEX(cennik!$C$2:$L$529,MATCH($L250,cennik!$B$2:$B$522,0),MATCH(N$104,cennik!$C$1:$L$1,0))</f>
        <v>0</v>
      </c>
      <c r="O250" s="11">
        <f>ROUNDUP((IF(L250="NKZM8E A2",O236*4,0)/100),0)</f>
        <v>0</v>
      </c>
      <c r="P250" s="34">
        <f>INDEX(cennik!$C$2:$L$529,MATCH($L250,cennik!$B$2:$B$522,0),MATCH(P$104,cennik!$C$1:$L$1,0))</f>
        <v>0</v>
      </c>
      <c r="Q250" s="34">
        <f t="shared" ref="Q250" si="194">O250*P250</f>
        <v>0</v>
      </c>
      <c r="R250" s="35">
        <f t="shared" si="191"/>
        <v>0</v>
      </c>
      <c r="S250" s="34">
        <f t="shared" si="184"/>
        <v>0</v>
      </c>
      <c r="T250" s="34">
        <f t="shared" si="193"/>
        <v>0</v>
      </c>
      <c r="U250" s="34">
        <f>INDEX(cennik!$C$2:$L$529,MATCH($L250,cennik!$B$2:$B$522,0),MATCH(U$104,cennik!$C$1:$L$1,0))*O250</f>
        <v>0</v>
      </c>
    </row>
    <row r="251" spans="1:204" x14ac:dyDescent="0.25">
      <c r="A251" s="9"/>
      <c r="B251" s="9"/>
      <c r="C251" s="9"/>
      <c r="D251" s="9"/>
      <c r="E251" s="9"/>
      <c r="F251" s="9"/>
      <c r="G251" s="9"/>
      <c r="H251" s="9"/>
      <c r="I251" s="9"/>
      <c r="J251" s="9"/>
      <c r="K251" s="9"/>
      <c r="L251" s="6" t="str">
        <f>IF(E234=$Z$104,"PC100C",IF(E234=$Z$105,"PC100C",IF(E234=$Z$106,"PC100C",IF(E234=$Z$107,"-------",0))))</f>
        <v>PC100C</v>
      </c>
      <c r="M251" s="11">
        <f>INDEX(cennik!$C$2:$L$529,MATCH($L251,cennik!$B$2:$B$522,0),MATCH(M$205,cennik!$C$1:$L$1,0))</f>
        <v>858433</v>
      </c>
      <c r="N251" s="11" t="str">
        <f>INDEX(cennik!$C$2:$L$529,MATCH($L251,cennik!$B$2:$B$522,0),MATCH(N$104,cennik!$C$1:$L$1,0))</f>
        <v>szt.</v>
      </c>
      <c r="O251" s="11">
        <f>IF(E234=$Z$104,O236*3,IF(E234=$Z$105,O236*3,IF(E234=$Z$106,O236*3,0)))</f>
        <v>0</v>
      </c>
      <c r="P251" s="34">
        <f>INDEX(cennik!$C$2:$L$529,MATCH($L251,cennik!$B$2:$B$522,0),MATCH(P$104,cennik!$C$1:$L$1,0))</f>
        <v>6.8</v>
      </c>
      <c r="Q251" s="34">
        <f>O251*P251</f>
        <v>0</v>
      </c>
      <c r="R251" s="35">
        <f t="shared" si="191"/>
        <v>0</v>
      </c>
      <c r="S251" s="34">
        <f t="shared" si="184"/>
        <v>6.8</v>
      </c>
      <c r="T251" s="34">
        <f>O251*S251</f>
        <v>0</v>
      </c>
      <c r="U251" s="34">
        <f>INDEX(cennik!$C$2:$L$529,MATCH($L251,cennik!$B$2:$B$522,0),MATCH(U$104,cennik!$C$1:$L$1,0))*O251</f>
        <v>0</v>
      </c>
    </row>
    <row r="252" spans="1:204" x14ac:dyDescent="0.25">
      <c r="A252" s="9"/>
      <c r="B252" s="9"/>
      <c r="C252" s="9"/>
      <c r="D252" s="9"/>
      <c r="E252" s="9"/>
      <c r="F252" s="9"/>
      <c r="G252" s="9"/>
      <c r="H252" s="9"/>
      <c r="I252" s="9"/>
      <c r="J252" s="9"/>
      <c r="K252" s="9"/>
      <c r="L252" s="6" t="s">
        <v>407</v>
      </c>
      <c r="M252" s="11">
        <f>INDEX(cennik!$C$2:$L$529,MATCH($L252,cennik!$B$2:$B$522,0),MATCH(M$205,cennik!$C$1:$L$1,0))</f>
        <v>651643</v>
      </c>
      <c r="N252" s="11" t="str">
        <f>INDEX(cennik!$C$2:$L$529,MATCH($L252,cennik!$B$2:$B$522,0),MATCH(N$104,cennik!$C$1:$L$1,0))</f>
        <v>100 szt.</v>
      </c>
      <c r="O252" s="11">
        <f>ROUNDUP((O236*6+O235*8+IF(E234=$Z$104,O246*0,0)+E237)/100,0)</f>
        <v>0</v>
      </c>
      <c r="P252" s="34">
        <f>INDEX(cennik!$C$2:$L$529,MATCH($L252,cennik!$B$2:$B$522,0),MATCH(P$104,cennik!$C$1:$L$1,0))</f>
        <v>144.19</v>
      </c>
      <c r="Q252" s="34">
        <f>O252*P252</f>
        <v>0</v>
      </c>
      <c r="R252" s="35">
        <f t="shared" ref="R252:R255" si="195">$E$209</f>
        <v>0</v>
      </c>
      <c r="S252" s="34">
        <f t="shared" si="184"/>
        <v>144.19</v>
      </c>
      <c r="T252" s="34">
        <f>O252*S252</f>
        <v>0</v>
      </c>
      <c r="U252" s="34">
        <f>INDEX(cennik!$C$2:$L$529,MATCH($L252,cennik!$B$2:$B$522,0),MATCH(U$104,cennik!$C$1:$L$1,0))*O252</f>
        <v>0</v>
      </c>
    </row>
    <row r="253" spans="1:204" x14ac:dyDescent="0.25">
      <c r="A253" s="9"/>
      <c r="B253" s="9"/>
      <c r="C253" s="9"/>
      <c r="D253" s="9"/>
      <c r="E253" s="9"/>
      <c r="F253" s="9"/>
      <c r="G253" s="9"/>
      <c r="H253" s="9"/>
      <c r="I253" s="9"/>
      <c r="J253" s="9"/>
      <c r="K253" s="9"/>
      <c r="L253" s="6" t="s">
        <v>850</v>
      </c>
      <c r="M253" s="11">
        <f>INDEX(cennik!$C$2:$L$529,MATCH($L253,cennik!$B$2:$B$522,0),MATCH(M$205,cennik!$C$1:$L$1,0))</f>
        <v>65114197</v>
      </c>
      <c r="N253" s="11" t="str">
        <f>INDEX(cennik!$C$2:$L$529,MATCH($L253,cennik!$B$2:$B$522,0),MATCH(N$104,cennik!$C$1:$L$1,0))</f>
        <v>100 szt.</v>
      </c>
      <c r="O253" s="11">
        <f>ROUNDUP((O236*4)/100,0)</f>
        <v>0</v>
      </c>
      <c r="P253" s="34">
        <f>INDEX(cennik!$C$2:$L$529,MATCH($L253,cennik!$B$2:$B$522,0),MATCH(P$104,cennik!$C$1:$L$1,0))</f>
        <v>184.49</v>
      </c>
      <c r="Q253" s="34">
        <f t="shared" ref="Q253:Q254" si="196">O253*P253</f>
        <v>0</v>
      </c>
      <c r="R253" s="35">
        <f t="shared" si="195"/>
        <v>0</v>
      </c>
      <c r="S253" s="34">
        <f t="shared" si="184"/>
        <v>184.49</v>
      </c>
      <c r="T253" s="34">
        <f t="shared" ref="T253:T254" si="197">O253*S253</f>
        <v>0</v>
      </c>
      <c r="U253" s="34">
        <f>INDEX(cennik!$C$2:$L$529,MATCH($L253,cennik!$B$2:$B$522,0),MATCH(U$104,cennik!$C$1:$L$1,0))*O253</f>
        <v>0</v>
      </c>
    </row>
    <row r="254" spans="1:204" x14ac:dyDescent="0.25">
      <c r="A254" s="9"/>
      <c r="B254" s="9"/>
      <c r="C254" s="9"/>
      <c r="D254" s="9"/>
      <c r="E254" s="9"/>
      <c r="F254" s="17" t="str">
        <f>IF(L245="PSRM10X90F","PROPOZYCJA KOTEW- DO WERFIKACJI",IF(L245="-------","",""))</f>
        <v/>
      </c>
      <c r="G254" s="9"/>
      <c r="H254" s="9"/>
      <c r="I254" s="9"/>
      <c r="J254" s="9"/>
      <c r="K254" s="9"/>
      <c r="L254" s="6" t="s">
        <v>851</v>
      </c>
      <c r="M254" s="11">
        <f>INDEX(cennik!$C$2:$L$529,MATCH($L254,cennik!$B$2:$B$522,0),MATCH(M$205,cennik!$C$1:$L$1,0))</f>
        <v>6505443</v>
      </c>
      <c r="N254" s="11" t="str">
        <f>INDEX(cennik!$C$2:$L$529,MATCH($L254,cennik!$B$2:$B$522,0),MATCH(N$104,cennik!$C$1:$L$1,0))</f>
        <v>100 szt.</v>
      </c>
      <c r="O254" s="11">
        <f>O253</f>
        <v>0</v>
      </c>
      <c r="P254" s="34">
        <f>INDEX(cennik!$C$2:$L$529,MATCH($L254,cennik!$B$2:$B$522,0),MATCH(P$104,cennik!$C$1:$L$1,0))</f>
        <v>12.95</v>
      </c>
      <c r="Q254" s="34">
        <f t="shared" si="196"/>
        <v>0</v>
      </c>
      <c r="R254" s="35">
        <f t="shared" si="195"/>
        <v>0</v>
      </c>
      <c r="S254" s="34">
        <f t="shared" si="184"/>
        <v>12.95</v>
      </c>
      <c r="T254" s="34">
        <f t="shared" si="197"/>
        <v>0</v>
      </c>
      <c r="U254" s="34">
        <f>INDEX(cennik!$C$2:$L$529,MATCH($L254,cennik!$B$2:$B$522,0),MATCH(U$104,cennik!$C$1:$L$1,0))*O254</f>
        <v>0</v>
      </c>
    </row>
    <row r="255" spans="1:204" x14ac:dyDescent="0.25">
      <c r="L255" s="6" t="s">
        <v>865</v>
      </c>
      <c r="M255" s="11" t="e">
        <f>INDEX(cennik!$C$2:$L$529,MATCH($L255,cennik!$B$2:$B$522,0),MATCH(M$205,cennik!$C$1:$L$1,0))</f>
        <v>#N/A</v>
      </c>
      <c r="N255" s="11" t="e">
        <f>INDEX(cennik!$C$2:$L$529,MATCH($L255,cennik!$B$2:$B$522,0),MATCH(N$104,cennik!$C$1:$L$1,0))</f>
        <v>#N/A</v>
      </c>
      <c r="O255" s="14">
        <f>O239</f>
        <v>0</v>
      </c>
      <c r="P255" s="34" t="e">
        <f>INDEX(cennik!$C$2:$L$529,MATCH($L255,cennik!$B$2:$B$522,0),MATCH(P$104,cennik!$C$1:$L$1,0))</f>
        <v>#N/A</v>
      </c>
      <c r="Q255" s="34" t="e">
        <f t="shared" ref="Q255" si="198">O255*P255</f>
        <v>#N/A</v>
      </c>
      <c r="R255" s="35">
        <f t="shared" si="195"/>
        <v>0</v>
      </c>
      <c r="S255" s="34" t="e">
        <f t="shared" si="184"/>
        <v>#N/A</v>
      </c>
      <c r="T255" s="34" t="e">
        <f t="shared" ref="T255" si="199">O255*S255</f>
        <v>#N/A</v>
      </c>
      <c r="U255" s="34" t="e">
        <f>INDEX(cennik!$C$2:$L$529,MATCH($L255,cennik!$B$2:$B$522,0),MATCH(U$104,cennik!$C$1:$L$1,0))*O255</f>
        <v>#N/A</v>
      </c>
    </row>
    <row r="256" spans="1:204" x14ac:dyDescent="0.25">
      <c r="T256" s="34" t="e">
        <f>SUM(T233:T255)</f>
        <v>#N/A</v>
      </c>
      <c r="U256" s="34" t="e">
        <f>SUM(U233:U255)</f>
        <v>#N/A</v>
      </c>
    </row>
    <row r="257" spans="205:206" x14ac:dyDescent="0.25"/>
    <row r="258" spans="205:206" x14ac:dyDescent="0.25"/>
    <row r="259" spans="205:206" x14ac:dyDescent="0.25"/>
    <row r="260" spans="205:206" x14ac:dyDescent="0.25"/>
    <row r="261" spans="205:206" x14ac:dyDescent="0.25"/>
    <row r="262" spans="205:206" x14ac:dyDescent="0.25">
      <c r="GW262" s="61"/>
      <c r="GX262" s="61"/>
    </row>
    <row r="263" spans="205:206" x14ac:dyDescent="0.25"/>
    <row r="264" spans="205:206" x14ac:dyDescent="0.25"/>
    <row r="265" spans="205:206" x14ac:dyDescent="0.25"/>
    <row r="266" spans="205:206" x14ac:dyDescent="0.25"/>
    <row r="267" spans="205:206" x14ac:dyDescent="0.25"/>
    <row r="268" spans="205:206" x14ac:dyDescent="0.25"/>
    <row r="269" spans="205:206" x14ac:dyDescent="0.25"/>
    <row r="270" spans="205:206" x14ac:dyDescent="0.25"/>
    <row r="271" spans="205:206" x14ac:dyDescent="0.25"/>
    <row r="272" spans="205:206" x14ac:dyDescent="0.25"/>
    <row r="273" x14ac:dyDescent="0.25"/>
    <row r="274" x14ac:dyDescent="0.25"/>
    <row r="275" x14ac:dyDescent="0.25"/>
  </sheetData>
  <sheetProtection algorithmName="SHA-512" hashValue="KI42BAifrMGceqp9uRjmg+h+A5eDnRxZzWoZt5O2qlc+MAOs0t9npwL+ppgT5y//ZSwiLPqqSL+h2c9DXYDb5g==" saltValue="4feTnHrZXdqP2EsRXotbow==" spinCount="100000" sheet="1" objects="1" scenarios="1"/>
  <mergeCells count="14">
    <mergeCell ref="L231:U231"/>
    <mergeCell ref="F234:I235"/>
    <mergeCell ref="F207:I208"/>
    <mergeCell ref="L52:U52"/>
    <mergeCell ref="L103:U103"/>
    <mergeCell ref="L128:U128"/>
    <mergeCell ref="L150:U150"/>
    <mergeCell ref="L177:U177"/>
    <mergeCell ref="L78:U78"/>
    <mergeCell ref="L1:U1"/>
    <mergeCell ref="L27:U27"/>
    <mergeCell ref="L204:U204"/>
    <mergeCell ref="AD223:AF223"/>
    <mergeCell ref="AH223:AJ223"/>
  </mergeCells>
  <phoneticPr fontId="40" type="noConversion"/>
  <conditionalFormatting sqref="AC142:AH142 Z142">
    <cfRule type="duplicateValues" dxfId="30" priority="3"/>
  </conditionalFormatting>
  <conditionalFormatting sqref="AF131:AH131 AC166:AE166 Z166">
    <cfRule type="duplicateValues" dxfId="29" priority="907"/>
  </conditionalFormatting>
  <conditionalFormatting sqref="AW200">
    <cfRule type="duplicateValues" dxfId="28" priority="1"/>
  </conditionalFormatting>
  <dataValidations count="37">
    <dataValidation type="list" allowBlank="1" showInputMessage="1" showErrorMessage="1" sqref="A129:A145 A79 A28" xr:uid="{4FF68090-9709-4672-B523-12CCBFCC20A5}">
      <formula1>$EA$103:$EA$128</formula1>
    </dataValidation>
    <dataValidation type="list" allowBlank="1" showInputMessage="1" showErrorMessage="1" sqref="E130 E105" xr:uid="{F2F0D44A-A076-42F5-9045-7E4FAAEB37D8}">
      <formula1>$X$109:$X$118</formula1>
    </dataValidation>
    <dataValidation type="whole" allowBlank="1" showInputMessage="1" showErrorMessage="1" sqref="E157 E210 E237" xr:uid="{EF2D655F-C795-4754-8B4D-857C9407247D}">
      <formula1>0</formula1>
      <formula2>5000</formula2>
    </dataValidation>
    <dataValidation type="whole" allowBlank="1" showInputMessage="1" showErrorMessage="1" sqref="E185" xr:uid="{6003F422-A3A0-4BDF-AC3B-5490C4AC86DC}">
      <formula1>0</formula1>
      <formula2>1000</formula2>
    </dataValidation>
    <dataValidation type="list" allowBlank="1" showInputMessage="1" showErrorMessage="1" sqref="E108 E234 E207 E132" xr:uid="{5F81641C-F7AC-49B9-8E93-5022A98B133B}">
      <formula1>$Z$104:$Z$107</formula1>
    </dataValidation>
    <dataValidation type="list" allowBlank="1" showInputMessage="1" showErrorMessage="1" sqref="E154 E182" xr:uid="{7D815BEC-8441-42A9-A098-1C07BAEDD68B}">
      <formula1>$Z$104:$Z$105</formula1>
    </dataValidation>
    <dataValidation type="list" allowBlank="1" showInputMessage="1" showErrorMessage="1" sqref="E152 E179" xr:uid="{6DA105C9-A96F-47BF-AF73-536C15AD402D}">
      <formula1>$X$109:$X$111</formula1>
    </dataValidation>
    <dataValidation type="custom" showInputMessage="1" showErrorMessage="1" error="W pierwszej kolejności należy uzupełnić ilość modułów w rzędzie" sqref="C104:C119 C151:C166 C178 C129:C145 C205:C220 C232:C247 C53:C68 C79:C94 C2:C17 C28:C43" xr:uid="{395DCEE3-06EB-4F10-92CB-42F51B6100FC}">
      <formula1>A2&gt;0</formula1>
    </dataValidation>
    <dataValidation type="list" allowBlank="1" showInputMessage="1" showErrorMessage="1" sqref="E155 E183" xr:uid="{DA8CE98C-5875-45E0-ABD1-EE856E00C1CA}">
      <formula1>$EB$107:$EB$109</formula1>
    </dataValidation>
    <dataValidation type="list" allowBlank="1" showInputMessage="1" showErrorMessage="1" sqref="E133 E235 E208 E109 E86 E35" xr:uid="{05A43565-325A-46FA-8078-897503FB84BC}">
      <formula1>$EB$104:$EB$106</formula1>
    </dataValidation>
    <dataValidation type="list" allowBlank="1" showInputMessage="1" showErrorMessage="1" sqref="E106 E180" xr:uid="{6E29CC95-69D7-4170-A1F3-64457761CF64}">
      <formula1>$Y$106:$Y$107</formula1>
    </dataValidation>
    <dataValidation type="list" allowBlank="1" showInputMessage="1" showErrorMessage="1" sqref="E107 E181 E131 E153 E11 E38 E62 E89" xr:uid="{FC55CDF6-FF97-4903-8AB7-8CC7B822DB3C}">
      <formula1>$X$106:$X$107</formula1>
    </dataValidation>
    <dataValidation type="list" allowBlank="1" showInputMessage="1" showErrorMessage="1" sqref="I105 I80 I54 I130 I152 I179 I29 I3" xr:uid="{9FA1848A-A6B4-4CBA-B6B0-F73DF649F329}">
      <formula1>$EB$132:$EB$139</formula1>
    </dataValidation>
    <dataValidation type="list" allowBlank="1" showInputMessage="1" showErrorMessage="1" sqref="E233 E80 E54 E206 E29 E3" xr:uid="{49F11EA9-80D8-474C-9853-064DA426D88A}">
      <formula1>$X$109:$X$126</formula1>
    </dataValidation>
    <dataValidation type="list" allowBlank="1" showInputMessage="1" showErrorMessage="1" sqref="I206 I233" xr:uid="{08833E70-7AC3-45E3-9019-6653483A541F}">
      <formula1>$EB$132:$EB$136</formula1>
    </dataValidation>
    <dataValidation type="list" allowBlank="1" showInputMessage="1" showErrorMessage="1" sqref="G179 G152 G54 G130 G105 G80 G3 G29" xr:uid="{1A67B0DF-1DEB-47D8-BCF9-FB932A75B52B}">
      <formula1>$X$128:$X$131</formula1>
    </dataValidation>
    <dataValidation type="list" allowBlank="1" showInputMessage="1" showErrorMessage="1" sqref="G206 G233" xr:uid="{05EC3D20-E5E2-4391-8128-62AFC0C96582}">
      <formula1>$X$128:$X$135</formula1>
    </dataValidation>
    <dataValidation type="list" allowBlank="1" showInputMessage="1" showErrorMessage="1" sqref="E161 E241 E214 E189" xr:uid="{7ED7DA71-BC7D-4152-BAEB-23DC6D004C77}">
      <formula1>$EB$142:$EB$146</formula1>
    </dataValidation>
    <dataValidation type="list" allowBlank="1" showInputMessage="1" showErrorMessage="1" sqref="E160 E240 E213 E188" xr:uid="{F5D6E251-FA16-46FD-9CBE-206F376BA9F9}">
      <formula1>$EB$148:$EB$150</formula1>
    </dataValidation>
    <dataValidation type="list" allowBlank="1" showInputMessage="1" showErrorMessage="1" sqref="A104:A119 A205:A220 A53:A68 A80:A94 A2:A17 A29:A43" xr:uid="{92EF40A1-6271-491C-A0C6-279B78A927F9}">
      <formula1>$DZ$103:$DZ$123</formula1>
    </dataValidation>
    <dataValidation type="list" allowBlank="1" showInputMessage="1" showErrorMessage="1" sqref="A232:A247" xr:uid="{99DE34ED-BCDA-414C-9720-7504FD93B878}">
      <formula1>$EA$103:$EA$123</formula1>
    </dataValidation>
    <dataValidation type="list" allowBlank="1" showInputMessage="1" showErrorMessage="1" sqref="A151:A166 A178:A193" xr:uid="{9BCD8745-E4D7-4A8A-814D-AF533CDEA804}">
      <formula1>$DZ$103:$DZ$133</formula1>
    </dataValidation>
    <dataValidation type="list" allowBlank="1" showInputMessage="1" showErrorMessage="1" sqref="E5 E56" xr:uid="{11BC1F9B-0735-44C4-A235-049EB2DC91AC}">
      <formula1>OFFSET(AZ1,MATCH(E4,AY2:AY4,0),0,COUNTIF(AY2:AY4,E4),1)</formula1>
    </dataValidation>
    <dataValidation type="list" allowBlank="1" showInputMessage="1" showErrorMessage="1" sqref="E55 E81 E4 E30" xr:uid="{8E2DB9C2-C888-41CB-8C00-DE3EC550D14F}">
      <formula1>$AF$52:$AF$53</formula1>
    </dataValidation>
    <dataValidation type="list" allowBlank="1" showInputMessage="1" showErrorMessage="1" sqref="E57 E83 E32" xr:uid="{F9B2A6AF-6E05-472A-A7A4-5AF8A41E8E9A}">
      <formula1>$AF$58:$AF$61</formula1>
    </dataValidation>
    <dataValidation type="whole" allowBlank="1" showInputMessage="1" showErrorMessage="1" sqref="E60 E87 E9 E36" xr:uid="{3AB69828-6BEE-45C8-B235-26E61CC2CA1F}">
      <formula1>0</formula1>
      <formula2>200</formula2>
    </dataValidation>
    <dataValidation type="list" allowBlank="1" showInputMessage="1" showErrorMessage="1" sqref="E82 E31" xr:uid="{4CCB0AA0-0000-49B1-8DA0-6D7123F3CA7E}">
      <formula1>OFFSET(AZ1,MATCH(E30,AY2:AY4,0),0,COUNTIF(AY2:AY4,E30),1)</formula1>
    </dataValidation>
    <dataValidation type="list" allowBlank="1" showInputMessage="1" showErrorMessage="1" sqref="E84" xr:uid="{6693945F-BFAE-4A77-88C2-650CA56632F2}">
      <formula1>OFFSET(AP65,MATCH(E83,AO66:AO71,0),0,COUNTIF(AO66:AO71,E83),1)</formula1>
    </dataValidation>
    <dataValidation type="list" allowBlank="1" showInputMessage="1" showErrorMessage="1" sqref="E85" xr:uid="{102E40E4-8C81-465C-8209-6888625456C8}">
      <formula1>OFFSET(AP52,MATCH(E84,AO53:AO59,0),0,COUNTIF(AO53:AO59,E84),1)</formula1>
    </dataValidation>
    <dataValidation type="whole" allowBlank="1" showInputMessage="1" showErrorMessage="1" sqref="E88 E61 E37 E10" xr:uid="{A5F1EDF8-F8C9-478D-A137-E357BFBFD446}">
      <formula1>0</formula1>
      <formula2>100</formula2>
    </dataValidation>
    <dataValidation type="list" allowBlank="1" showInputMessage="1" showErrorMessage="1" sqref="E7" xr:uid="{56EA2042-E15B-48F2-8462-97AD4436BD0F}">
      <formula1>OFFSET(AP14,MATCH(E6,AO15:AO21,0),0,COUNTIF(AO15:AO21,E6),1)</formula1>
    </dataValidation>
    <dataValidation type="list" allowBlank="1" showInputMessage="1" showErrorMessage="1" sqref="E6" xr:uid="{FADB493C-7100-4E2B-AA97-548052416189}">
      <formula1>$AF$7:$AF$10</formula1>
    </dataValidation>
    <dataValidation type="list" allowBlank="1" showInputMessage="1" showErrorMessage="1" sqref="E8" xr:uid="{0084E1E9-8D9C-4347-B1F6-A4C685CB0351}">
      <formula1>OFFSET(AP1,MATCH(E7,AO2:AO9,0),0,COUNTIF(AO2:AO9,E7),1)</formula1>
    </dataValidation>
    <dataValidation type="list" allowBlank="1" showInputMessage="1" showErrorMessage="1" sqref="E59" xr:uid="{8C551532-DD5B-49EF-A71E-C34F480B948D}">
      <formula1>OFFSET(AP52,MATCH(E58,AO53:AO59,0),0,COUNTIF(AO53:AO59,E58),1)</formula1>
    </dataValidation>
    <dataValidation type="list" allowBlank="1" showInputMessage="1" showErrorMessage="1" sqref="E58" xr:uid="{793261E7-19E0-4837-A636-46CE0813F828}">
      <formula1>OFFSET(AP65,MATCH(E57,AO66:AO71,0),0,COUNTIF(AO66:AO71,E57),1)</formula1>
    </dataValidation>
    <dataValidation type="list" allowBlank="1" showInputMessage="1" showErrorMessage="1" sqref="E33" xr:uid="{00375F5E-FC4F-4167-B8D7-4F3A4F32B7BE}">
      <formula1>OFFSET(AP14,MATCH(E32,AO15:AO21,0),0,COUNTIF(AO15:AO21,E32),1)</formula1>
    </dataValidation>
    <dataValidation type="list" allowBlank="1" showInputMessage="1" showErrorMessage="1" sqref="E34" xr:uid="{BFFFBA93-A4C9-49BB-B35E-ACF21B6BAD0C}">
      <formula1>OFFSET(AP1,MATCH(E33,AO2:AO9,0),0,COUNTIF(AO2:AO9,E33),1)</formula1>
    </dataValidation>
  </dataValidations>
  <hyperlinks>
    <hyperlink ref="D113" r:id="rId1" xr:uid="{6D772FD4-643E-4AE7-88E2-0AB44DF23413}"/>
    <hyperlink ref="D114" r:id="rId2" xr:uid="{FA5F7712-064A-4DC9-8CCD-A1FB4249815E}"/>
    <hyperlink ref="D116" r:id="rId3" xr:uid="{3EFB3F13-B747-436F-94B7-A0BC29558DC4}"/>
    <hyperlink ref="D115" r:id="rId4" xr:uid="{22FFBCDD-3CBC-4274-B894-8F26B8889B6C}"/>
    <hyperlink ref="D137" r:id="rId5" xr:uid="{0D99F61B-50C5-4DEA-A43D-1D6DB106EE76}"/>
    <hyperlink ref="D138" r:id="rId6" xr:uid="{D3B6B7AC-2D51-49FB-8E4C-EBED97838D0E}"/>
    <hyperlink ref="D140" r:id="rId7" xr:uid="{7759E875-FD60-4BB7-A02F-C4EBEF57241A}"/>
    <hyperlink ref="D139" r:id="rId8" xr:uid="{101815DD-464C-4AA5-89C5-FE466FB62C1A}"/>
    <hyperlink ref="D162" r:id="rId9" xr:uid="{87E1D40A-C303-4197-8DC4-BA5A62A24F0B}"/>
    <hyperlink ref="D163" r:id="rId10" xr:uid="{544C291D-885B-4AC4-A5DB-02DA0548B0CB}"/>
    <hyperlink ref="D190" r:id="rId11" xr:uid="{23CCBE0B-601F-45C1-A48E-1A8E3DD9D1BC}"/>
    <hyperlink ref="D191" r:id="rId12" xr:uid="{D8C70051-1DBC-4208-9969-62D7D4C714A6}"/>
    <hyperlink ref="D215" r:id="rId13" xr:uid="{2FDCA65D-908A-4B43-88DC-4B1FE97B80C9}"/>
    <hyperlink ref="D216" r:id="rId14" xr:uid="{B50E2B3B-CC7B-48D1-8747-CA7254F4F041}"/>
    <hyperlink ref="D218" r:id="rId15" xr:uid="{F7617639-EF35-45A3-8920-AB965F4CE06B}"/>
    <hyperlink ref="D217" r:id="rId16" xr:uid="{7E852C2B-2E19-4101-BD10-EA70AAE55FE8}"/>
    <hyperlink ref="D242" r:id="rId17" xr:uid="{4547A071-D1FA-49A9-B62D-4251EA75D063}"/>
    <hyperlink ref="D243" r:id="rId18" xr:uid="{8B794CB5-E313-4994-A3ED-649A9FA4B18D}"/>
    <hyperlink ref="D245" r:id="rId19" xr:uid="{86AC697C-D715-4D9A-B9C3-C9ACFCCC24DE}"/>
    <hyperlink ref="D244" r:id="rId20" xr:uid="{89DF35B0-6E16-462D-A245-82910DB7DBBC}"/>
  </hyperlinks>
  <pageMargins left="0.7" right="0.7" top="0.75" bottom="0.75" header="0.3" footer="0.3"/>
  <pageSetup paperSize="9" orientation="portrait" r:id="rId21"/>
  <drawing r:id="rId22"/>
  <legacyDrawing r:id="rId2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6827F6-EA2A-4A43-9092-91DFC08F8093}">
  <sheetPr codeName="Arkusz8"/>
  <dimension ref="A1:KH340"/>
  <sheetViews>
    <sheetView showGridLines="0" zoomScale="70" zoomScaleNormal="70" workbookViewId="0">
      <selection activeCell="A2" sqref="A2"/>
    </sheetView>
  </sheetViews>
  <sheetFormatPr defaultColWidth="0" defaultRowHeight="15" zeroHeight="1" x14ac:dyDescent="0.25"/>
  <cols>
    <col min="1" max="1" width="8.42578125" bestFit="1" customWidth="1"/>
    <col min="2" max="2" width="1.85546875" bestFit="1" customWidth="1"/>
    <col min="3" max="3" width="8.140625" customWidth="1"/>
    <col min="4" max="4" width="24.42578125" customWidth="1"/>
    <col min="5" max="5" width="22.5703125" bestFit="1" customWidth="1"/>
    <col min="6" max="6" width="1.7109375" customWidth="1"/>
    <col min="7" max="7" width="9.140625" customWidth="1"/>
    <col min="8" max="8" width="1.42578125" customWidth="1"/>
    <col min="9" max="9" width="6.7109375" customWidth="1"/>
    <col min="10" max="10" width="6.42578125" customWidth="1"/>
    <col min="11" max="11" width="10.85546875" customWidth="1"/>
    <col min="12" max="12" width="16.42578125" bestFit="1" customWidth="1"/>
    <col min="13" max="13" width="12.28515625" bestFit="1" customWidth="1"/>
    <col min="14" max="15" width="9.140625" customWidth="1"/>
    <col min="16" max="16" width="12.42578125" bestFit="1" customWidth="1"/>
    <col min="17" max="17" width="15" bestFit="1" customWidth="1"/>
    <col min="18" max="18" width="9.140625" customWidth="1"/>
    <col min="19" max="19" width="21.140625" bestFit="1" customWidth="1"/>
    <col min="20" max="20" width="23.85546875" bestFit="1" customWidth="1"/>
    <col min="21" max="21" width="13.5703125" bestFit="1" customWidth="1"/>
    <col min="22" max="33" width="9.140625" style="180" customWidth="1"/>
    <col min="34" max="40" width="9.140625" style="180" hidden="1" customWidth="1"/>
    <col min="41" max="41" width="22.7109375" style="180" hidden="1" customWidth="1"/>
    <col min="42" max="66" width="9.140625" style="180" hidden="1" customWidth="1"/>
    <col min="67" max="67" width="17.28515625" style="180" hidden="1" customWidth="1"/>
    <col min="68" max="129" width="9.140625" style="180" hidden="1" customWidth="1"/>
    <col min="130" max="132" width="9.140625" style="190" hidden="1" customWidth="1"/>
    <col min="133" max="294" width="0" style="180" hidden="1" customWidth="1"/>
    <col min="295" max="16384" width="9.140625" style="180" hidden="1"/>
  </cols>
  <sheetData>
    <row r="1" spans="1:294" ht="51.75" x14ac:dyDescent="0.25">
      <c r="A1" s="3" t="s">
        <v>120</v>
      </c>
      <c r="B1" s="3"/>
      <c r="C1" s="3" t="s">
        <v>121</v>
      </c>
      <c r="D1" s="1"/>
      <c r="E1" s="1"/>
      <c r="F1" s="1"/>
      <c r="G1" s="1"/>
      <c r="H1" s="1"/>
      <c r="I1" s="1"/>
      <c r="J1" s="1"/>
      <c r="K1" s="1"/>
      <c r="L1" s="360" t="str">
        <f>IF(E7=$AF$7,"KONSTRUKCJA DP-DTHBS",IF(E7=$AF$9,"KONSTRUKCJA DP-DTHKS",IF(E7=$AF$8,"KONSTRUKCJA DP-DTHWS",IF(E7=$AF$10,"KONSTRUKCJA DP-DTHSS"))))</f>
        <v>KONSTRUKCJA DP-DTHBS</v>
      </c>
      <c r="M1" s="360"/>
      <c r="N1" s="360"/>
      <c r="O1" s="360"/>
      <c r="P1" s="360"/>
      <c r="Q1" s="360"/>
      <c r="R1" s="360"/>
      <c r="S1" s="360"/>
      <c r="T1" s="360"/>
      <c r="U1" s="360"/>
      <c r="V1" s="21"/>
      <c r="W1" s="21"/>
      <c r="X1" s="21"/>
      <c r="Y1" s="21"/>
      <c r="Z1" s="21"/>
      <c r="AA1" s="21"/>
      <c r="AB1" s="21"/>
      <c r="AC1" s="21"/>
      <c r="AD1" s="21"/>
      <c r="AE1" s="21"/>
      <c r="AF1" s="26" t="s">
        <v>1231</v>
      </c>
      <c r="AG1" s="21"/>
      <c r="AH1" s="21"/>
      <c r="AI1" s="21"/>
      <c r="AJ1" s="21"/>
      <c r="AK1" s="21" t="s">
        <v>1463</v>
      </c>
      <c r="AL1" s="21"/>
      <c r="AM1" s="21"/>
      <c r="AN1" s="21"/>
      <c r="AO1" s="26" t="s">
        <v>1205</v>
      </c>
      <c r="AP1" s="26" t="s">
        <v>1206</v>
      </c>
      <c r="AQ1" s="21"/>
      <c r="AR1" s="26"/>
      <c r="AS1" s="21"/>
      <c r="AT1" s="26" t="s">
        <v>118</v>
      </c>
      <c r="AU1" s="26" t="s">
        <v>1203</v>
      </c>
      <c r="AW1" s="21"/>
      <c r="AX1" s="21"/>
      <c r="AY1" s="26" t="s">
        <v>1203</v>
      </c>
      <c r="AZ1" s="26" t="s">
        <v>1204</v>
      </c>
      <c r="BA1" s="21"/>
      <c r="BB1" s="21"/>
      <c r="BC1" s="21"/>
      <c r="BD1" s="21"/>
      <c r="BE1" s="21"/>
      <c r="BF1" s="21"/>
      <c r="BG1" s="21"/>
      <c r="BH1" s="27" t="s">
        <v>1234</v>
      </c>
      <c r="BI1" s="27" t="s">
        <v>1233</v>
      </c>
      <c r="BK1" s="21"/>
      <c r="BL1" s="21"/>
      <c r="BM1" s="21"/>
      <c r="BN1" s="21"/>
      <c r="BO1" s="21"/>
      <c r="BP1" s="21" t="s">
        <v>869</v>
      </c>
      <c r="BQ1" s="21" t="s">
        <v>1289</v>
      </c>
      <c r="BR1" s="21" t="s">
        <v>1429</v>
      </c>
      <c r="BS1" s="21" t="s">
        <v>1430</v>
      </c>
      <c r="BT1" s="21" t="s">
        <v>1431</v>
      </c>
      <c r="BU1" s="21"/>
      <c r="BV1" s="21"/>
      <c r="BW1" s="21"/>
      <c r="BX1" s="21"/>
      <c r="BY1" s="21"/>
      <c r="BZ1" s="21"/>
      <c r="CA1" s="21"/>
      <c r="CB1" s="21"/>
      <c r="CC1" s="21"/>
      <c r="CD1" s="21"/>
      <c r="CE1" s="21"/>
      <c r="CF1" s="21"/>
      <c r="CG1" s="21"/>
      <c r="CH1" s="21"/>
      <c r="CI1" s="21"/>
      <c r="CJ1" s="21"/>
      <c r="CK1" s="21"/>
      <c r="CL1" s="21"/>
      <c r="CM1" s="21"/>
      <c r="CN1" s="21"/>
      <c r="CO1" s="21"/>
      <c r="CP1" s="21"/>
      <c r="CQ1" s="21"/>
      <c r="CR1" s="21"/>
      <c r="CS1" s="21"/>
      <c r="CT1" s="21"/>
      <c r="CU1" s="21"/>
      <c r="CV1" s="21"/>
      <c r="CW1" s="21"/>
      <c r="CX1" s="21"/>
      <c r="CY1" s="21"/>
      <c r="CZ1" s="21"/>
      <c r="DA1" s="21"/>
      <c r="DB1" s="21"/>
      <c r="DC1" s="21"/>
      <c r="DD1" s="21"/>
      <c r="DE1" s="21"/>
      <c r="DF1" s="21"/>
      <c r="DG1" s="21"/>
      <c r="DH1" s="21"/>
      <c r="DI1" s="21"/>
      <c r="DJ1" s="21"/>
      <c r="DK1" s="21"/>
      <c r="DL1" s="21"/>
      <c r="DM1" s="21"/>
      <c r="DN1" s="21"/>
      <c r="DO1" s="21"/>
      <c r="DP1" s="21"/>
      <c r="DQ1" s="21"/>
      <c r="DR1" s="21"/>
      <c r="DS1" s="21"/>
      <c r="DT1" s="21"/>
      <c r="DU1" s="21"/>
      <c r="DV1" s="21"/>
      <c r="DW1" s="21"/>
      <c r="DX1" s="21"/>
      <c r="DY1" s="21"/>
      <c r="DZ1" s="87"/>
      <c r="EA1" s="87"/>
      <c r="EB1" s="87"/>
      <c r="EC1" s="21"/>
      <c r="ED1" s="21"/>
      <c r="EE1" s="21"/>
      <c r="EF1" s="21"/>
      <c r="EG1" s="21"/>
      <c r="EH1" s="21"/>
      <c r="EI1" s="21"/>
      <c r="EJ1" s="21"/>
      <c r="EK1" s="21"/>
      <c r="EL1" s="21"/>
      <c r="EM1" s="21"/>
      <c r="EN1" s="21"/>
      <c r="EO1" s="21"/>
      <c r="EP1" s="21"/>
      <c r="EQ1" s="21"/>
      <c r="ER1" s="21"/>
      <c r="ES1" s="21"/>
      <c r="ET1" s="21"/>
      <c r="EU1" s="21"/>
      <c r="EV1" s="21"/>
      <c r="EW1" s="21"/>
      <c r="EX1" s="21"/>
      <c r="EY1" s="21"/>
      <c r="EZ1" s="21"/>
      <c r="FA1" s="21"/>
      <c r="FB1" s="21"/>
      <c r="FC1" s="21"/>
      <c r="FD1" s="21"/>
      <c r="FE1" s="21"/>
      <c r="FF1" s="21"/>
      <c r="FG1" s="21"/>
      <c r="FH1" s="21"/>
      <c r="FI1" s="21"/>
      <c r="FJ1" s="21"/>
      <c r="FK1" s="21"/>
      <c r="FL1" s="21"/>
      <c r="FM1" s="21"/>
      <c r="FN1" s="21"/>
      <c r="FO1" s="21"/>
      <c r="FP1" s="21"/>
      <c r="FQ1" s="21"/>
      <c r="FR1" s="21"/>
      <c r="FS1" s="21"/>
      <c r="FT1" s="21"/>
      <c r="FU1" s="21"/>
      <c r="FV1" s="21"/>
      <c r="FW1" s="21"/>
      <c r="FX1" s="21"/>
      <c r="FY1" s="21"/>
      <c r="FZ1" s="21"/>
      <c r="GA1" s="21"/>
      <c r="GB1" s="21"/>
      <c r="GC1" s="21"/>
      <c r="GD1" s="21"/>
      <c r="GE1" s="21"/>
      <c r="GF1" s="21"/>
      <c r="GG1" s="21"/>
      <c r="GH1" s="21"/>
      <c r="GI1" s="21"/>
      <c r="GJ1" s="21"/>
      <c r="GK1" s="21"/>
      <c r="GL1" s="21"/>
      <c r="GM1" s="21"/>
      <c r="GN1" s="21"/>
      <c r="GO1" s="21"/>
      <c r="GP1" s="21"/>
      <c r="GQ1" s="21"/>
      <c r="GR1" s="21"/>
      <c r="GS1" s="21"/>
      <c r="GT1" s="21"/>
      <c r="GU1" s="21"/>
      <c r="GV1" s="21"/>
      <c r="GW1" s="21"/>
      <c r="GX1" s="21"/>
      <c r="GY1" s="21"/>
      <c r="GZ1" s="21"/>
      <c r="HA1" s="21"/>
      <c r="HB1" s="21"/>
      <c r="HC1" s="21"/>
      <c r="HD1" s="21"/>
      <c r="HE1" s="21"/>
      <c r="HF1" s="21"/>
      <c r="HG1" s="21"/>
      <c r="HH1" s="21"/>
      <c r="HI1" s="21"/>
      <c r="HJ1" s="21"/>
      <c r="HK1" s="21"/>
      <c r="HL1" s="21"/>
      <c r="HM1" s="21"/>
      <c r="HN1" s="21"/>
      <c r="HO1" s="21"/>
      <c r="HP1" s="21"/>
      <c r="HQ1" s="21"/>
      <c r="HR1" s="21"/>
      <c r="HS1" s="21"/>
      <c r="HT1" s="21"/>
      <c r="HU1" s="21"/>
      <c r="HV1" s="186"/>
      <c r="HW1" s="21"/>
      <c r="HX1" s="21"/>
      <c r="HY1" s="21"/>
      <c r="HZ1" s="21"/>
      <c r="IA1" s="21"/>
      <c r="IB1" s="21"/>
      <c r="IC1" s="21"/>
      <c r="ID1" s="21"/>
      <c r="IE1" s="21"/>
      <c r="IF1" s="21"/>
      <c r="IG1" s="21"/>
      <c r="IH1" s="21"/>
      <c r="II1" s="21"/>
      <c r="IJ1" s="21"/>
      <c r="IK1" s="21"/>
      <c r="IL1" s="21"/>
      <c r="IM1" s="21"/>
      <c r="IN1" s="21"/>
      <c r="IO1" s="21"/>
      <c r="IP1" s="21"/>
      <c r="IQ1" s="21"/>
      <c r="IR1" s="21"/>
      <c r="IS1" s="21"/>
      <c r="IT1" s="21"/>
      <c r="IU1" s="21"/>
      <c r="IV1" s="21"/>
      <c r="IW1" s="21"/>
      <c r="IX1" s="21"/>
      <c r="IY1" s="21"/>
      <c r="IZ1" s="21"/>
      <c r="JA1" s="21"/>
      <c r="JB1" s="21"/>
      <c r="JC1" s="21"/>
      <c r="JD1" s="21"/>
      <c r="JE1" s="21"/>
      <c r="JF1" s="21"/>
      <c r="JG1" s="21"/>
      <c r="JH1" s="21"/>
      <c r="JI1" s="21"/>
      <c r="JJ1" s="21"/>
      <c r="JK1" s="21"/>
      <c r="JL1" s="21"/>
      <c r="JM1" s="21"/>
      <c r="JN1" s="21"/>
      <c r="JO1" s="21"/>
      <c r="JP1" s="21"/>
      <c r="JQ1" s="21"/>
      <c r="JR1" s="21"/>
      <c r="JS1" s="21"/>
      <c r="JT1" s="21"/>
      <c r="JU1" s="21"/>
      <c r="JV1" s="21"/>
      <c r="JW1" s="21"/>
      <c r="JX1" s="21"/>
      <c r="JY1" s="21"/>
      <c r="JZ1" s="21"/>
      <c r="KA1" s="21"/>
      <c r="KB1" s="21"/>
      <c r="KC1" s="21"/>
      <c r="KD1" s="21"/>
      <c r="KE1" s="21"/>
      <c r="KF1" s="21"/>
      <c r="KG1" s="21"/>
      <c r="KH1" s="21"/>
    </row>
    <row r="2" spans="1:294" x14ac:dyDescent="0.25">
      <c r="A2" s="8"/>
      <c r="B2" s="5" t="s">
        <v>116</v>
      </c>
      <c r="C2" s="8"/>
      <c r="D2" s="1"/>
      <c r="E2" s="1"/>
      <c r="F2" s="1"/>
      <c r="G2" s="1"/>
      <c r="H2" s="1"/>
      <c r="I2" s="1"/>
      <c r="J2" s="1"/>
      <c r="K2" s="1"/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V2" s="21"/>
      <c r="W2" s="21"/>
      <c r="X2" s="21"/>
      <c r="Y2" s="21"/>
      <c r="Z2" s="21"/>
      <c r="AA2" s="21"/>
      <c r="AB2" s="21"/>
      <c r="AC2" s="21"/>
      <c r="AD2" s="21"/>
      <c r="AE2" s="21"/>
      <c r="AF2" s="26" t="s">
        <v>1232</v>
      </c>
      <c r="AG2" s="21"/>
      <c r="AH2" s="21"/>
      <c r="AI2" s="21"/>
      <c r="AJ2" s="21"/>
      <c r="AK2" s="21" t="s">
        <v>1464</v>
      </c>
      <c r="AL2" s="21"/>
      <c r="AM2" s="21"/>
      <c r="AN2" s="21"/>
      <c r="AO2" s="186" t="s">
        <v>1215</v>
      </c>
      <c r="AP2" s="186" t="s">
        <v>1218</v>
      </c>
      <c r="AQ2" s="21"/>
      <c r="AR2" s="21"/>
      <c r="AS2" s="21"/>
      <c r="AT2" s="20" t="s">
        <v>111</v>
      </c>
      <c r="AU2" s="26" t="s">
        <v>1231</v>
      </c>
      <c r="AV2" s="21"/>
      <c r="AW2" s="21"/>
      <c r="AX2" s="21"/>
      <c r="AY2" s="26" t="s">
        <v>1209</v>
      </c>
      <c r="AZ2" s="26" t="s">
        <v>1207</v>
      </c>
      <c r="BA2" s="21"/>
      <c r="BB2" s="21"/>
      <c r="BC2" s="21"/>
      <c r="BD2" s="21"/>
      <c r="BE2" s="21"/>
      <c r="BF2" s="21"/>
      <c r="BG2" s="21"/>
      <c r="BH2" s="21">
        <f>IF(A2=0,0,IF(A2&gt;0,(A2+1)*C2))</f>
        <v>0</v>
      </c>
      <c r="BI2" s="21">
        <f>IF(A2=0,0,IF(A2&gt;0,(A2*2)*C2))</f>
        <v>0</v>
      </c>
      <c r="BJ2" s="21"/>
      <c r="BK2" s="21"/>
      <c r="BL2" s="21"/>
      <c r="BM2" s="21"/>
      <c r="BN2" s="20" t="s">
        <v>111</v>
      </c>
      <c r="BO2" s="20" t="s">
        <v>1286</v>
      </c>
      <c r="BP2" s="21">
        <f>SUM((A2*C2),(A3*C3),(A4*C4),(A5*C5),(A6*C6),(A7*C7),(A8*C8),(A9*C9),(A10*C10),(A11*C11),(A12*C12),(A13*C13),(A14*C14),(A15*C15),(A16*C16),(A17*C17))</f>
        <v>0</v>
      </c>
      <c r="BQ2" s="21">
        <f>$O$3*2</f>
        <v>0</v>
      </c>
      <c r="BR2" s="21">
        <f>BI2*2</f>
        <v>0</v>
      </c>
      <c r="BS2" s="21">
        <f>BH2*2</f>
        <v>0</v>
      </c>
      <c r="BT2" s="21">
        <f>(A2-1)*2*C2</f>
        <v>0</v>
      </c>
      <c r="BU2" s="21">
        <f>SUM(BT2:BT17)</f>
        <v>0</v>
      </c>
      <c r="BV2" s="21"/>
      <c r="BW2" s="21"/>
      <c r="BX2" s="21"/>
      <c r="BY2" s="21"/>
      <c r="BZ2" s="21"/>
      <c r="CA2" s="21"/>
      <c r="CB2" s="21"/>
      <c r="CC2" s="21"/>
      <c r="CD2" s="21"/>
      <c r="CE2" s="21"/>
      <c r="CF2" s="21"/>
      <c r="CG2" s="21"/>
      <c r="CH2" s="21"/>
      <c r="CI2" s="21"/>
      <c r="CJ2" s="21"/>
      <c r="CK2" s="21"/>
      <c r="CL2" s="21"/>
      <c r="CM2" s="21"/>
      <c r="CN2" s="21"/>
      <c r="CO2" s="21"/>
      <c r="CP2" s="21"/>
      <c r="CQ2" s="21"/>
      <c r="CR2" s="21"/>
      <c r="CS2" s="21"/>
      <c r="CT2" s="21"/>
      <c r="CU2" s="21"/>
      <c r="CV2" s="21"/>
      <c r="CW2" s="21"/>
      <c r="CX2" s="21"/>
      <c r="CY2" s="21"/>
      <c r="CZ2" s="21"/>
      <c r="DA2" s="21"/>
      <c r="DB2" s="21"/>
      <c r="DC2" s="21"/>
      <c r="DD2" s="21"/>
      <c r="DE2" s="21"/>
      <c r="DF2" s="21"/>
      <c r="DG2" s="21"/>
      <c r="DH2" s="21"/>
      <c r="DI2" s="21"/>
      <c r="DJ2" s="21"/>
      <c r="DK2" s="21"/>
      <c r="DL2" s="21"/>
      <c r="DM2" s="21"/>
      <c r="DN2" s="21"/>
      <c r="DO2" s="21"/>
      <c r="DP2" s="21"/>
      <c r="DQ2" s="21"/>
      <c r="DR2" s="21"/>
      <c r="DS2" s="21"/>
      <c r="DT2" s="21"/>
      <c r="DU2" s="21"/>
      <c r="DV2" s="21"/>
      <c r="DW2" s="21"/>
      <c r="DX2" s="21"/>
      <c r="DY2" s="21"/>
      <c r="DZ2" s="87"/>
      <c r="EA2" s="87"/>
      <c r="EB2" s="87"/>
      <c r="EC2" s="21"/>
      <c r="ED2" s="21"/>
      <c r="EE2" s="21"/>
      <c r="EF2" s="21"/>
      <c r="EG2" s="21"/>
      <c r="EH2" s="21"/>
      <c r="EI2" s="21"/>
      <c r="EJ2" s="21"/>
      <c r="EK2" s="21"/>
      <c r="EL2" s="21"/>
      <c r="EM2" s="21"/>
      <c r="EN2" s="21"/>
      <c r="EO2" s="21"/>
      <c r="EP2" s="21"/>
      <c r="EQ2" s="21"/>
      <c r="ER2" s="21"/>
      <c r="ES2" s="21"/>
      <c r="ET2" s="21"/>
      <c r="EU2" s="21"/>
      <c r="EV2" s="21"/>
      <c r="EW2" s="21"/>
      <c r="EX2" s="21"/>
      <c r="EY2" s="21"/>
      <c r="EZ2" s="21"/>
      <c r="FA2" s="21"/>
      <c r="FB2" s="21"/>
      <c r="FC2" s="21"/>
      <c r="FD2" s="21"/>
      <c r="FE2" s="21"/>
      <c r="FF2" s="21"/>
      <c r="FG2" s="21"/>
      <c r="FH2" s="21"/>
      <c r="FI2" s="21"/>
      <c r="FJ2" s="21"/>
      <c r="FK2" s="21"/>
      <c r="FL2" s="21"/>
      <c r="FM2" s="21"/>
      <c r="FN2" s="21"/>
      <c r="FO2" s="21"/>
      <c r="FP2" s="21"/>
      <c r="FQ2" s="21"/>
      <c r="FR2" s="21"/>
      <c r="FS2" s="21"/>
      <c r="FT2" s="21"/>
      <c r="FU2" s="21"/>
      <c r="FV2" s="21"/>
      <c r="FW2" s="21"/>
      <c r="FX2" s="21"/>
      <c r="FY2" s="21"/>
      <c r="FZ2" s="21"/>
      <c r="GA2" s="21"/>
      <c r="GB2" s="21"/>
      <c r="GC2" s="21"/>
      <c r="GD2" s="21"/>
      <c r="GE2" s="21"/>
      <c r="GF2" s="21"/>
      <c r="GG2" s="21"/>
      <c r="GH2" s="21"/>
      <c r="GI2" s="21"/>
      <c r="GJ2" s="21"/>
      <c r="GK2" s="21"/>
      <c r="GL2" s="21"/>
      <c r="GM2" s="21"/>
      <c r="GN2" s="21"/>
      <c r="GO2" s="21"/>
      <c r="GP2" s="21"/>
      <c r="GQ2" s="21"/>
      <c r="GR2" s="21"/>
      <c r="GS2" s="21"/>
      <c r="GT2" s="21"/>
      <c r="GU2" s="21"/>
      <c r="GV2" s="21"/>
      <c r="GW2" s="21"/>
      <c r="GX2" s="21"/>
      <c r="GY2" s="21"/>
      <c r="GZ2" s="21"/>
      <c r="HA2" s="21"/>
      <c r="HB2" s="21"/>
      <c r="HC2" s="21"/>
      <c r="HD2" s="21"/>
      <c r="HE2" s="21"/>
      <c r="HF2" s="21"/>
      <c r="HG2" s="21"/>
      <c r="HH2" s="21"/>
      <c r="HI2" s="21"/>
      <c r="HJ2" s="21"/>
      <c r="HK2" s="21"/>
      <c r="HL2" s="21"/>
      <c r="HM2" s="21"/>
      <c r="HN2" s="21"/>
      <c r="HO2" s="21"/>
      <c r="HP2" s="21"/>
      <c r="HQ2" s="21"/>
      <c r="HR2" s="21"/>
      <c r="HS2" s="21"/>
      <c r="HT2" s="21"/>
      <c r="HU2" s="21"/>
      <c r="HV2" s="186"/>
      <c r="HW2" s="21"/>
      <c r="HX2" s="21"/>
      <c r="HY2" s="21"/>
      <c r="HZ2" s="21"/>
      <c r="IA2" s="21"/>
      <c r="IB2" s="21"/>
      <c r="IC2" s="21"/>
      <c r="ID2" s="21"/>
      <c r="IE2" s="21"/>
      <c r="IF2" s="21"/>
      <c r="IG2" s="21"/>
      <c r="IH2" s="21"/>
      <c r="II2" s="21"/>
      <c r="IJ2" s="21"/>
      <c r="IK2" s="21"/>
      <c r="IL2" s="21"/>
      <c r="IM2" s="21"/>
      <c r="IN2" s="21"/>
      <c r="IO2" s="21"/>
      <c r="IP2" s="21"/>
      <c r="IQ2" s="21"/>
      <c r="IR2" s="21"/>
      <c r="IS2" s="21"/>
      <c r="IT2" s="21"/>
      <c r="IU2" s="21"/>
      <c r="IV2" s="21"/>
      <c r="IW2" s="21"/>
      <c r="IX2" s="21"/>
      <c r="IY2" s="21"/>
      <c r="IZ2" s="21"/>
      <c r="JA2" s="21"/>
      <c r="JB2" s="21"/>
      <c r="JC2" s="21"/>
      <c r="JD2" s="21"/>
      <c r="JE2" s="21"/>
      <c r="JF2" s="21"/>
      <c r="JG2" s="21"/>
      <c r="JH2" s="21"/>
      <c r="JI2" s="21"/>
      <c r="JJ2" s="21"/>
      <c r="JK2" s="21"/>
      <c r="JL2" s="21"/>
      <c r="JM2" s="21"/>
      <c r="JN2" s="21"/>
      <c r="JO2" s="21"/>
      <c r="JP2" s="21"/>
      <c r="JQ2" s="21"/>
      <c r="JR2" s="21"/>
      <c r="JS2" s="21"/>
      <c r="JT2" s="21"/>
      <c r="JU2" s="21"/>
      <c r="JV2" s="21"/>
      <c r="JW2" s="21"/>
      <c r="JX2" s="21"/>
      <c r="JY2" s="21"/>
      <c r="JZ2" s="21"/>
      <c r="KA2" s="21"/>
      <c r="KB2" s="21"/>
      <c r="KC2" s="21"/>
      <c r="KD2" s="21"/>
      <c r="KE2" s="21"/>
      <c r="KF2" s="21"/>
      <c r="KG2" s="21"/>
      <c r="KH2" s="21"/>
    </row>
    <row r="3" spans="1:294" x14ac:dyDescent="0.25">
      <c r="A3" s="8"/>
      <c r="B3" s="5" t="s">
        <v>116</v>
      </c>
      <c r="C3" s="8"/>
      <c r="D3" s="6" t="s">
        <v>118</v>
      </c>
      <c r="E3" s="8" t="s">
        <v>113</v>
      </c>
      <c r="F3" s="5" t="s">
        <v>116</v>
      </c>
      <c r="G3" s="8" t="s">
        <v>114</v>
      </c>
      <c r="H3" s="5" t="s">
        <v>116</v>
      </c>
      <c r="I3" s="8">
        <v>30</v>
      </c>
      <c r="J3" s="5" t="s">
        <v>119</v>
      </c>
      <c r="K3" s="1"/>
      <c r="L3" s="5" t="s">
        <v>1281</v>
      </c>
      <c r="M3" s="11">
        <f>INDEX(cennik!$C$2:$L$529,MATCH($L3,cennik!$B$2:$B$522,0),MATCH(M$2,cennik!$C$1:$L$1,0))</f>
        <v>924200</v>
      </c>
      <c r="N3" s="11" t="str">
        <f>INDEX(cennik!$C$2:$L$529,MATCH($L3,cennik!$B$2:$B$522,0),MATCH(N$2,cennik!$C$1:$L$1,0))</f>
        <v>szt.</v>
      </c>
      <c r="O3" s="14">
        <f>IF(E4=AF2,SUM(BI2:BI17),IF(E4=AF1,SUM(BH2:BH17),0))</f>
        <v>0</v>
      </c>
      <c r="P3" s="11">
        <f>INDEX(cennik!$C$2:$L$529,MATCH($L3,cennik!$B$2:$B$522,0),MATCH(P$2,cennik!$C$1:$L$1,0))</f>
        <v>41.97</v>
      </c>
      <c r="Q3" s="14">
        <f>O3*P3</f>
        <v>0</v>
      </c>
      <c r="R3" s="14">
        <f t="shared" ref="R3:R24" si="0">$E$11</f>
        <v>0</v>
      </c>
      <c r="S3" s="34">
        <f t="shared" ref="S3:S24" si="1">P3*((100-$E$11)/100)</f>
        <v>41.97</v>
      </c>
      <c r="T3" s="14">
        <f>O3*S3</f>
        <v>0</v>
      </c>
      <c r="U3" s="34">
        <f>INDEX(cennik!$C$2:$L$529,MATCH($L3,cennik!$B$2:$B$522,0),MATCH(U$2,cennik!$C$1:$L$1,0))*O3</f>
        <v>0</v>
      </c>
      <c r="V3" s="21"/>
      <c r="W3" s="21"/>
      <c r="X3" s="21"/>
      <c r="Y3" s="21"/>
      <c r="Z3" s="21"/>
      <c r="AA3" s="21"/>
      <c r="AB3" s="21"/>
      <c r="AC3" s="21"/>
      <c r="AD3" s="21"/>
      <c r="AE3" s="21"/>
      <c r="AF3" s="21"/>
      <c r="AG3" s="21"/>
      <c r="AH3" s="21"/>
      <c r="AI3" s="21"/>
      <c r="AJ3" s="21"/>
      <c r="AK3" s="21"/>
      <c r="AL3" s="21"/>
      <c r="AM3" s="21"/>
      <c r="AN3" s="21"/>
      <c r="AO3" s="186" t="s">
        <v>1215</v>
      </c>
      <c r="AP3" s="186" t="s">
        <v>1465</v>
      </c>
      <c r="AQ3" s="21"/>
      <c r="AR3" s="21"/>
      <c r="AS3" s="21"/>
      <c r="AT3" s="20" t="s">
        <v>111</v>
      </c>
      <c r="AU3" s="26" t="s">
        <v>1232</v>
      </c>
      <c r="AV3" s="21"/>
      <c r="AW3" s="21"/>
      <c r="AX3" s="21"/>
      <c r="AY3" s="26" t="s">
        <v>1210</v>
      </c>
      <c r="AZ3" s="26" t="s">
        <v>1207</v>
      </c>
      <c r="BA3" s="21"/>
      <c r="BB3" s="21"/>
      <c r="BC3" s="21"/>
      <c r="BD3" s="21"/>
      <c r="BE3" s="21"/>
      <c r="BF3" s="21"/>
      <c r="BG3" s="21"/>
      <c r="BH3" s="21">
        <f>IF(A3=0,0,IF(A3&gt;0,(A3+1)*C3))</f>
        <v>0</v>
      </c>
      <c r="BI3" s="21">
        <f t="shared" ref="BI3:BI17" si="2">IF(A3=0,0,IF(A3&gt;0,(A3*2)*C3))</f>
        <v>0</v>
      </c>
      <c r="BJ3" s="21"/>
      <c r="BK3" s="21"/>
      <c r="BL3" s="21"/>
      <c r="BM3" s="21"/>
      <c r="BN3" s="20" t="s">
        <v>112</v>
      </c>
      <c r="BO3" s="20" t="s">
        <v>1286</v>
      </c>
      <c r="BP3" s="21">
        <f>SUM((A2*C2),(A3*C3),(A4*C4),(A5*C5),(A6*C6),(A7*C7),(A8*C8),(A9*C9),(A10*C10),(A11*C11),(A12*C12),(A13*C13),(A14*C14),(A15*C15),(A16*C16),(A17*C17))</f>
        <v>0</v>
      </c>
      <c r="BQ3" s="21">
        <f t="shared" ref="BQ3:BQ19" si="3">$O$3*2</f>
        <v>0</v>
      </c>
      <c r="BR3" s="21">
        <f t="shared" ref="BR3:BR17" si="4">BI3*2</f>
        <v>0</v>
      </c>
      <c r="BS3" s="21">
        <f t="shared" ref="BS3:BS17" si="5">BH3*2</f>
        <v>0</v>
      </c>
      <c r="BT3" s="21">
        <f t="shared" ref="BT3:BT17" si="6">(A3-1)*2*C3</f>
        <v>0</v>
      </c>
      <c r="BU3" s="21">
        <f>SUM(BR2:BR17)</f>
        <v>0</v>
      </c>
      <c r="BV3" s="21"/>
      <c r="BW3" s="21"/>
      <c r="BX3" s="21"/>
      <c r="BY3" s="21"/>
      <c r="BZ3" s="21"/>
      <c r="CA3" s="21"/>
      <c r="CB3" s="21"/>
      <c r="CC3" s="21"/>
      <c r="CD3" s="21"/>
      <c r="CE3" s="21"/>
      <c r="CF3" s="21"/>
      <c r="CG3" s="21"/>
      <c r="CH3" s="21"/>
      <c r="CI3" s="21"/>
      <c r="CJ3" s="21"/>
      <c r="CK3" s="21"/>
      <c r="CL3" s="21"/>
      <c r="CM3" s="21"/>
      <c r="CN3" s="21"/>
      <c r="CO3" s="21"/>
      <c r="CP3" s="21"/>
      <c r="CQ3" s="21"/>
      <c r="CR3" s="21"/>
      <c r="CS3" s="21"/>
      <c r="CT3" s="21"/>
      <c r="CU3" s="21"/>
      <c r="CV3" s="21"/>
      <c r="CW3" s="21"/>
      <c r="CX3" s="21"/>
      <c r="CY3" s="21"/>
      <c r="CZ3" s="21"/>
      <c r="DA3" s="21"/>
      <c r="DB3" s="21"/>
      <c r="DC3" s="21"/>
      <c r="DD3" s="21"/>
      <c r="DE3" s="21"/>
      <c r="DF3" s="21"/>
      <c r="DG3" s="21"/>
      <c r="DH3" s="21"/>
      <c r="DI3" s="21"/>
      <c r="DJ3" s="21"/>
      <c r="DK3" s="21"/>
      <c r="DL3" s="21"/>
      <c r="DM3" s="21"/>
      <c r="DN3" s="21"/>
      <c r="DO3" s="21"/>
      <c r="DP3" s="21"/>
      <c r="DQ3" s="21"/>
      <c r="DR3" s="21"/>
      <c r="DS3" s="21"/>
      <c r="DT3" s="21"/>
      <c r="DU3" s="21"/>
      <c r="DV3" s="21"/>
      <c r="DW3" s="21"/>
      <c r="DX3" s="21"/>
      <c r="DY3" s="21"/>
      <c r="DZ3" s="87"/>
      <c r="EA3" s="87"/>
      <c r="EB3" s="87"/>
      <c r="EC3" s="21"/>
      <c r="ED3" s="21"/>
      <c r="EE3" s="21"/>
      <c r="EF3" s="21"/>
      <c r="EG3" s="21"/>
      <c r="EH3" s="21"/>
      <c r="EI3" s="21"/>
      <c r="EJ3" s="21"/>
      <c r="EK3" s="21"/>
      <c r="EL3" s="21"/>
      <c r="EM3" s="21"/>
      <c r="EN3" s="21"/>
      <c r="EO3" s="21"/>
      <c r="EP3" s="21"/>
      <c r="EQ3" s="21"/>
      <c r="ER3" s="21"/>
      <c r="ES3" s="21"/>
      <c r="ET3" s="21"/>
      <c r="EU3" s="21"/>
      <c r="EV3" s="21"/>
      <c r="EW3" s="21"/>
      <c r="EX3" s="21"/>
      <c r="EY3" s="21"/>
      <c r="EZ3" s="21"/>
      <c r="FA3" s="21"/>
      <c r="FB3" s="21"/>
      <c r="FC3" s="21"/>
      <c r="FD3" s="21"/>
      <c r="FE3" s="21"/>
      <c r="FF3" s="21"/>
      <c r="FG3" s="21"/>
      <c r="FH3" s="21"/>
      <c r="FI3" s="21"/>
      <c r="FJ3" s="21"/>
      <c r="FK3" s="21"/>
      <c r="FL3" s="21"/>
      <c r="FM3" s="21"/>
      <c r="FN3" s="21"/>
      <c r="FO3" s="21"/>
      <c r="FP3" s="21"/>
      <c r="FQ3" s="21"/>
      <c r="FR3" s="21"/>
      <c r="FS3" s="21"/>
      <c r="FT3" s="21"/>
      <c r="FU3" s="21"/>
      <c r="FV3" s="21"/>
      <c r="FW3" s="21"/>
      <c r="FX3" s="21"/>
      <c r="FY3" s="21"/>
      <c r="FZ3" s="21"/>
      <c r="GA3" s="21"/>
      <c r="GB3" s="21"/>
      <c r="GC3" s="21"/>
      <c r="GD3" s="21"/>
      <c r="GE3" s="21"/>
      <c r="GF3" s="21"/>
      <c r="GG3" s="21"/>
      <c r="GH3" s="21"/>
      <c r="GI3" s="21"/>
      <c r="GJ3" s="21"/>
      <c r="GK3" s="21"/>
      <c r="GL3" s="21"/>
      <c r="GM3" s="21"/>
      <c r="GN3" s="21"/>
      <c r="GO3" s="21"/>
      <c r="GP3" s="21"/>
      <c r="GQ3" s="21"/>
      <c r="GR3" s="21"/>
      <c r="GS3" s="21"/>
      <c r="GT3" s="21"/>
      <c r="GU3" s="21"/>
      <c r="GV3" s="21"/>
      <c r="GW3" s="21"/>
      <c r="GX3" s="21"/>
      <c r="GY3" s="21"/>
      <c r="GZ3" s="21"/>
      <c r="HA3" s="21"/>
      <c r="HB3" s="21"/>
      <c r="HC3" s="21"/>
      <c r="HD3" s="21"/>
      <c r="HE3" s="21"/>
      <c r="HF3" s="21"/>
      <c r="HG3" s="21"/>
      <c r="HH3" s="21"/>
      <c r="HI3" s="21"/>
      <c r="HJ3" s="21"/>
      <c r="HK3" s="21"/>
      <c r="HL3" s="21"/>
      <c r="HM3" s="21"/>
      <c r="HN3" s="21"/>
      <c r="HO3" s="21"/>
      <c r="HP3" s="21"/>
      <c r="HQ3" s="21"/>
      <c r="HR3" s="21"/>
      <c r="HS3" s="21"/>
      <c r="HT3" s="21"/>
      <c r="HU3" s="21"/>
      <c r="HV3" s="186"/>
      <c r="HW3" s="21"/>
      <c r="HX3" s="21"/>
      <c r="HY3" s="21"/>
      <c r="HZ3" s="21"/>
      <c r="IA3" s="21"/>
      <c r="IB3" s="21"/>
      <c r="IC3" s="21"/>
      <c r="ID3" s="21"/>
      <c r="IE3" s="21"/>
      <c r="IF3" s="21"/>
      <c r="IG3" s="21"/>
      <c r="IH3" s="21"/>
      <c r="II3" s="21"/>
      <c r="IJ3" s="21"/>
      <c r="IK3" s="21"/>
      <c r="IL3" s="21"/>
      <c r="IM3" s="21"/>
      <c r="IN3" s="21"/>
      <c r="IO3" s="21"/>
      <c r="IP3" s="21"/>
      <c r="IQ3" s="21"/>
      <c r="IR3" s="21"/>
      <c r="IS3" s="21"/>
      <c r="IT3" s="21"/>
      <c r="IU3" s="21"/>
      <c r="IV3" s="21"/>
      <c r="IW3" s="21"/>
      <c r="IX3" s="21"/>
      <c r="IY3" s="21"/>
      <c r="IZ3" s="21"/>
      <c r="JA3" s="21"/>
      <c r="JB3" s="21"/>
      <c r="JC3" s="21"/>
      <c r="JD3" s="21"/>
      <c r="JE3" s="21"/>
      <c r="JF3" s="21"/>
      <c r="JG3" s="21"/>
      <c r="JH3" s="21"/>
      <c r="JI3" s="21"/>
      <c r="JJ3" s="21"/>
      <c r="JK3" s="21"/>
      <c r="JL3" s="21"/>
      <c r="JM3" s="21"/>
      <c r="JN3" s="21"/>
      <c r="JO3" s="21"/>
      <c r="JP3" s="21"/>
      <c r="JQ3" s="21"/>
      <c r="JR3" s="21"/>
      <c r="JS3" s="21"/>
      <c r="JT3" s="21"/>
      <c r="JU3" s="21"/>
      <c r="JV3" s="21"/>
      <c r="JW3" s="21"/>
      <c r="JX3" s="21"/>
      <c r="JY3" s="21"/>
      <c r="JZ3" s="21"/>
      <c r="KA3" s="21"/>
      <c r="KB3" s="21"/>
      <c r="KC3" s="21"/>
      <c r="KD3" s="21"/>
      <c r="KE3" s="21"/>
      <c r="KF3" s="21"/>
      <c r="KG3" s="21"/>
      <c r="KH3" s="21"/>
    </row>
    <row r="4" spans="1:294" x14ac:dyDescent="0.25">
      <c r="A4" s="8"/>
      <c r="B4" s="5" t="s">
        <v>116</v>
      </c>
      <c r="C4" s="8"/>
      <c r="D4" s="6" t="s">
        <v>1203</v>
      </c>
      <c r="E4" s="8" t="s">
        <v>1231</v>
      </c>
      <c r="F4" s="216" t="str">
        <f>IF(AND(E3=$BN$12,E4=$AF$1),"należy zmienić wartość na długi bok",IF(AND(E3=$BN$13,E4=$AF$1),"należy zmienić wartość na długi bok",IF(AND(E3=$BN$14,E4=$AF$1),"należy zmienić wartość na długi bok",IF(AND(E3=$BN$15,E4=$AF$1),"należy zmienić wartość na długi bok",IF(AND(E3=$BN$16,E4=$AF$1),"należy zmienić wartość na długi bok",IF(AND(E3=$BN$17,E4=$AF$1),"należy zmienić wartość na długi bok",IF(AND(E3=$BN$18,E4=$AF$1),"należy zmienić wartość na długi bok",IF(AND(E3=$BN$19,E4=$AF$1),"należy zmienić wartość na długi bok",""))))))))</f>
        <v/>
      </c>
      <c r="G4" s="1"/>
      <c r="H4" s="1"/>
      <c r="I4" s="1"/>
      <c r="J4" s="1"/>
      <c r="K4" s="1"/>
      <c r="L4" s="5" t="s">
        <v>1280</v>
      </c>
      <c r="M4" s="11">
        <f>INDEX(cennik!$C$2:$L$529,MATCH($L4,cennik!$B$2:$B$522,0),MATCH(M$2,cennik!$C$1:$L$1,0))</f>
        <v>954500</v>
      </c>
      <c r="N4" s="11" t="str">
        <f>INDEX(cennik!$C$2:$L$529,MATCH($L4,cennik!$B$2:$B$522,0),MATCH(N$2,cennik!$C$1:$L$1,0))</f>
        <v>szt.</v>
      </c>
      <c r="O4" s="14">
        <f>O3</f>
        <v>0</v>
      </c>
      <c r="P4" s="11">
        <f>INDEX(cennik!$C$2:$L$529,MATCH($L4,cennik!$B$2:$B$522,0),MATCH(P$2,cennik!$C$1:$L$1,0))</f>
        <v>44</v>
      </c>
      <c r="Q4" s="14">
        <f t="shared" ref="Q4:Q23" si="7">O4*P4</f>
        <v>0</v>
      </c>
      <c r="R4" s="14">
        <f t="shared" si="0"/>
        <v>0</v>
      </c>
      <c r="S4" s="34">
        <f t="shared" si="1"/>
        <v>44</v>
      </c>
      <c r="T4" s="14">
        <f t="shared" ref="T4:T24" si="8">O4*S4</f>
        <v>0</v>
      </c>
      <c r="U4" s="34">
        <f>INDEX(cennik!$C$2:$L$529,MATCH($L4,cennik!$B$2:$B$522,0),MATCH(U$2,cennik!$C$1:$L$1,0))*O4</f>
        <v>0</v>
      </c>
      <c r="V4" s="21"/>
      <c r="W4" s="21"/>
      <c r="X4" s="21"/>
      <c r="Y4" s="21"/>
      <c r="Z4" s="21"/>
      <c r="AA4" s="21"/>
      <c r="AB4" s="21"/>
      <c r="AC4" s="21"/>
      <c r="AD4" s="21"/>
      <c r="AE4" s="21"/>
      <c r="AF4" s="26" t="s">
        <v>1207</v>
      </c>
      <c r="AG4" s="21"/>
      <c r="AH4" s="21"/>
      <c r="AI4" s="21"/>
      <c r="AJ4" s="21"/>
      <c r="AK4" s="21"/>
      <c r="AL4" s="21"/>
      <c r="AM4" s="21"/>
      <c r="AN4" s="21"/>
      <c r="AO4" s="186" t="s">
        <v>1215</v>
      </c>
      <c r="AP4" s="186" t="s">
        <v>1220</v>
      </c>
      <c r="AQ4" s="21"/>
      <c r="AR4" s="21"/>
      <c r="AS4" s="21"/>
      <c r="AT4" s="20" t="s">
        <v>112</v>
      </c>
      <c r="AU4" s="26" t="s">
        <v>1231</v>
      </c>
      <c r="AV4" s="21"/>
      <c r="AW4" s="21"/>
      <c r="AX4" s="21"/>
      <c r="AY4" s="26" t="s">
        <v>1210</v>
      </c>
      <c r="AZ4" s="26" t="s">
        <v>1208</v>
      </c>
      <c r="BA4" s="21"/>
      <c r="BB4" s="21"/>
      <c r="BC4" s="21"/>
      <c r="BD4" s="21"/>
      <c r="BE4" s="21"/>
      <c r="BF4" s="21"/>
      <c r="BG4" s="21"/>
      <c r="BH4" s="21">
        <f t="shared" ref="BH4:BH17" si="9">IF(A4=0,0,IF(A4&gt;0,(A4+1)*C4))</f>
        <v>0</v>
      </c>
      <c r="BI4" s="21">
        <f t="shared" si="2"/>
        <v>0</v>
      </c>
      <c r="BJ4" s="21"/>
      <c r="BK4" s="21"/>
      <c r="BL4" s="21"/>
      <c r="BM4" s="21"/>
      <c r="BN4" s="20" t="s">
        <v>132</v>
      </c>
      <c r="BO4" s="20" t="s">
        <v>1287</v>
      </c>
      <c r="BP4" s="21">
        <f>SUM((A2*C2),(A3*C3),(A4*C4),(A5*C5),(A6*C6),(A7*C7),(A8*C8),(A9*C9),(A10*C10),(A11*C11),(A12*C12),(A13*C13),(A14*C14),(A15*C15),(A16*C16),(A17*C17))</f>
        <v>0</v>
      </c>
      <c r="BQ4" s="21">
        <f t="shared" si="3"/>
        <v>0</v>
      </c>
      <c r="BR4" s="21">
        <f t="shared" si="4"/>
        <v>0</v>
      </c>
      <c r="BS4" s="21">
        <f t="shared" si="5"/>
        <v>0</v>
      </c>
      <c r="BT4" s="21">
        <f t="shared" si="6"/>
        <v>0</v>
      </c>
      <c r="BU4" s="21"/>
      <c r="BV4" s="21"/>
      <c r="BW4" s="21"/>
      <c r="BX4" s="21"/>
      <c r="BY4" s="21"/>
      <c r="BZ4" s="21"/>
      <c r="CA4" s="21"/>
      <c r="CB4" s="21"/>
      <c r="CC4" s="21"/>
      <c r="CD4" s="21"/>
      <c r="CE4" s="21"/>
      <c r="CF4" s="21"/>
      <c r="CG4" s="21"/>
      <c r="CH4" s="21"/>
      <c r="CI4" s="21"/>
      <c r="CJ4" s="21"/>
      <c r="CK4" s="21"/>
      <c r="CL4" s="21"/>
      <c r="CM4" s="21"/>
      <c r="CN4" s="21"/>
      <c r="CO4" s="21"/>
      <c r="CP4" s="21"/>
      <c r="CQ4" s="21"/>
      <c r="CR4" s="21"/>
      <c r="CS4" s="21"/>
      <c r="CT4" s="21"/>
      <c r="CU4" s="21"/>
      <c r="CV4" s="21"/>
      <c r="CW4" s="21"/>
      <c r="CX4" s="21"/>
      <c r="CY4" s="21"/>
      <c r="CZ4" s="21"/>
      <c r="DA4" s="21"/>
      <c r="DB4" s="21"/>
      <c r="DC4" s="21"/>
      <c r="DD4" s="21"/>
      <c r="DE4" s="21"/>
      <c r="DF4" s="21"/>
      <c r="DG4" s="21"/>
      <c r="DH4" s="21"/>
      <c r="DI4" s="21"/>
      <c r="DJ4" s="21"/>
      <c r="DK4" s="21"/>
      <c r="DL4" s="21"/>
      <c r="DM4" s="21"/>
      <c r="DN4" s="21"/>
      <c r="DO4" s="21"/>
      <c r="DP4" s="21"/>
      <c r="DQ4" s="21"/>
      <c r="DR4" s="21"/>
      <c r="DS4" s="21"/>
      <c r="DT4" s="21"/>
      <c r="DU4" s="21"/>
      <c r="DV4" s="21"/>
      <c r="DW4" s="21"/>
      <c r="DX4" s="21"/>
      <c r="DY4" s="21"/>
      <c r="DZ4" s="87"/>
      <c r="EA4" s="87"/>
      <c r="EB4" s="87"/>
      <c r="EC4" s="21"/>
      <c r="ED4" s="21"/>
      <c r="EE4" s="21"/>
      <c r="EF4" s="21"/>
      <c r="EG4" s="21"/>
      <c r="EH4" s="21"/>
      <c r="EI4" s="21"/>
      <c r="EJ4" s="21"/>
      <c r="EK4" s="21"/>
      <c r="EL4" s="21"/>
      <c r="EM4" s="21"/>
      <c r="EN4" s="21"/>
      <c r="EO4" s="21"/>
      <c r="EP4" s="21"/>
      <c r="EQ4" s="21"/>
      <c r="ER4" s="21"/>
      <c r="ES4" s="21"/>
      <c r="ET4" s="21"/>
      <c r="EU4" s="21"/>
      <c r="EV4" s="21"/>
      <c r="EW4" s="21"/>
      <c r="EX4" s="21"/>
      <c r="EY4" s="21"/>
      <c r="EZ4" s="21"/>
      <c r="FA4" s="21"/>
      <c r="FB4" s="21"/>
      <c r="FC4" s="21"/>
      <c r="FD4" s="21"/>
      <c r="FE4" s="21"/>
      <c r="FF4" s="21"/>
      <c r="FG4" s="21"/>
      <c r="FH4" s="21"/>
      <c r="FI4" s="21"/>
      <c r="FJ4" s="21"/>
      <c r="FK4" s="21"/>
      <c r="FL4" s="21"/>
      <c r="FM4" s="21"/>
      <c r="FN4" s="21"/>
      <c r="FO4" s="21"/>
      <c r="FP4" s="21"/>
      <c r="FQ4" s="21"/>
      <c r="FR4" s="21"/>
      <c r="FS4" s="21"/>
      <c r="FT4" s="21"/>
      <c r="FU4" s="21"/>
      <c r="FV4" s="21"/>
      <c r="FW4" s="21"/>
      <c r="FX4" s="21"/>
      <c r="FY4" s="21"/>
      <c r="FZ4" s="21"/>
      <c r="GA4" s="21"/>
      <c r="GB4" s="21"/>
      <c r="GC4" s="21"/>
      <c r="GD4" s="21"/>
      <c r="GE4" s="21"/>
      <c r="GF4" s="21"/>
      <c r="GG4" s="21"/>
      <c r="GH4" s="21"/>
      <c r="GI4" s="21"/>
      <c r="GJ4" s="21"/>
      <c r="GK4" s="21"/>
      <c r="GL4" s="21"/>
      <c r="GM4" s="21"/>
      <c r="GN4" s="21"/>
      <c r="GO4" s="21"/>
      <c r="GP4" s="21"/>
      <c r="GQ4" s="21"/>
      <c r="GR4" s="21"/>
      <c r="GS4" s="21"/>
      <c r="GT4" s="21"/>
      <c r="GU4" s="21"/>
      <c r="GV4" s="21"/>
      <c r="GW4" s="21"/>
      <c r="GX4" s="21"/>
      <c r="GY4" s="21"/>
      <c r="GZ4" s="21"/>
      <c r="HA4" s="21"/>
      <c r="HB4" s="21"/>
      <c r="HC4" s="21"/>
      <c r="HD4" s="21"/>
      <c r="HE4" s="21"/>
      <c r="HF4" s="21"/>
      <c r="HG4" s="21"/>
      <c r="HH4" s="21"/>
      <c r="HI4" s="21"/>
      <c r="HJ4" s="21"/>
      <c r="HK4" s="21"/>
      <c r="HL4" s="21"/>
      <c r="HM4" s="21"/>
      <c r="HN4" s="21"/>
      <c r="HO4" s="21"/>
      <c r="HP4" s="21"/>
      <c r="HQ4" s="21"/>
      <c r="HR4" s="21"/>
      <c r="HS4" s="21"/>
      <c r="HT4" s="21"/>
      <c r="HU4" s="21"/>
      <c r="HV4" s="186"/>
      <c r="HW4" s="21"/>
      <c r="HX4" s="21"/>
      <c r="HY4" s="21"/>
      <c r="HZ4" s="21"/>
      <c r="IA4" s="21"/>
      <c r="IB4" s="21"/>
      <c r="IC4" s="21"/>
      <c r="ID4" s="21"/>
      <c r="IE4" s="21"/>
      <c r="IF4" s="21"/>
      <c r="IG4" s="21"/>
      <c r="IH4" s="21"/>
      <c r="II4" s="21"/>
      <c r="IJ4" s="21"/>
      <c r="IK4" s="21"/>
      <c r="IL4" s="21"/>
      <c r="IM4" s="21"/>
      <c r="IN4" s="21"/>
      <c r="IO4" s="21"/>
      <c r="IP4" s="21"/>
      <c r="IQ4" s="21"/>
      <c r="IR4" s="21"/>
      <c r="IS4" s="21"/>
      <c r="IT4" s="21"/>
      <c r="IU4" s="21"/>
      <c r="IV4" s="21"/>
      <c r="IW4" s="21"/>
      <c r="IX4" s="21"/>
      <c r="IY4" s="21"/>
      <c r="IZ4" s="21"/>
      <c r="JA4" s="21"/>
      <c r="JB4" s="21"/>
      <c r="JC4" s="21"/>
      <c r="JD4" s="21"/>
      <c r="JE4" s="21"/>
      <c r="JF4" s="21"/>
      <c r="JG4" s="21"/>
      <c r="JH4" s="21"/>
      <c r="JI4" s="21"/>
      <c r="JJ4" s="21"/>
      <c r="JK4" s="21"/>
      <c r="JL4" s="21"/>
      <c r="JM4" s="21"/>
      <c r="JN4" s="21"/>
      <c r="JO4" s="21"/>
      <c r="JP4" s="21"/>
      <c r="JQ4" s="21"/>
      <c r="JR4" s="21"/>
      <c r="JS4" s="21"/>
      <c r="JT4" s="21"/>
      <c r="JU4" s="21"/>
      <c r="JV4" s="21"/>
      <c r="JW4" s="21"/>
      <c r="JX4" s="21"/>
      <c r="JY4" s="21"/>
      <c r="JZ4" s="21"/>
      <c r="KA4" s="21"/>
      <c r="KB4" s="21"/>
      <c r="KC4" s="21"/>
      <c r="KD4" s="21"/>
      <c r="KE4" s="21"/>
      <c r="KF4" s="21"/>
      <c r="KG4" s="21"/>
      <c r="KH4" s="21"/>
    </row>
    <row r="5" spans="1:294" x14ac:dyDescent="0.25">
      <c r="A5" s="8"/>
      <c r="B5" s="5" t="s">
        <v>116</v>
      </c>
      <c r="C5" s="8"/>
      <c r="D5" s="6" t="s">
        <v>1462</v>
      </c>
      <c r="E5" s="8" t="s">
        <v>1463</v>
      </c>
      <c r="F5" s="216"/>
      <c r="G5" s="1"/>
      <c r="H5" s="1"/>
      <c r="I5" s="1"/>
      <c r="J5" s="1"/>
      <c r="K5" s="1"/>
      <c r="L5" s="29" t="s">
        <v>1315</v>
      </c>
      <c r="M5" s="11">
        <f>INDEX(cennik!$C$2:$L$529,MATCH($L5,cennik!$B$2:$B$522,0),MATCH(M$2,cennik!$C$1:$L$1,0))</f>
        <v>924216</v>
      </c>
      <c r="N5" s="11" t="str">
        <f>INDEX(cennik!$C$2:$L$529,MATCH($L5,cennik!$B$2:$B$522,0),MATCH(N$2,cennik!$C$1:$L$1,0))</f>
        <v>szt.</v>
      </c>
      <c r="O5" s="14">
        <f>E10</f>
        <v>0</v>
      </c>
      <c r="P5" s="11">
        <f>INDEX(cennik!$C$2:$L$529,MATCH($L5,cennik!$B$2:$B$522,0),MATCH(P$2,cennik!$C$1:$L$1,0))</f>
        <v>7.64</v>
      </c>
      <c r="Q5" s="14">
        <f t="shared" si="7"/>
        <v>0</v>
      </c>
      <c r="R5" s="14">
        <f t="shared" si="0"/>
        <v>0</v>
      </c>
      <c r="S5" s="34">
        <f t="shared" si="1"/>
        <v>7.64</v>
      </c>
      <c r="T5" s="14">
        <f t="shared" si="8"/>
        <v>0</v>
      </c>
      <c r="U5" s="34">
        <f>INDEX(cennik!$C$2:$L$529,MATCH($L5,cennik!$B$2:$B$522,0),MATCH(U$2,cennik!$C$1:$L$1,0))*O5</f>
        <v>0</v>
      </c>
      <c r="V5" s="21"/>
      <c r="W5" s="21"/>
      <c r="X5" s="21"/>
      <c r="Y5" s="21"/>
      <c r="Z5" s="21"/>
      <c r="AA5" s="21"/>
      <c r="AB5" s="21"/>
      <c r="AC5" s="21"/>
      <c r="AD5" s="21"/>
      <c r="AE5" s="21"/>
      <c r="AF5" s="26" t="s">
        <v>1208</v>
      </c>
      <c r="AG5" s="21"/>
      <c r="AH5" s="21"/>
      <c r="AI5" s="21"/>
      <c r="AJ5" s="21"/>
      <c r="AK5" s="21"/>
      <c r="AL5" s="21"/>
      <c r="AM5" s="21"/>
      <c r="AN5" s="21"/>
      <c r="AO5" s="186" t="s">
        <v>1216</v>
      </c>
      <c r="AP5" s="21" t="s">
        <v>1221</v>
      </c>
      <c r="AQ5" s="21"/>
      <c r="AR5" s="21"/>
      <c r="AS5" s="21"/>
      <c r="AT5" s="20" t="s">
        <v>112</v>
      </c>
      <c r="AU5" s="26" t="s">
        <v>1232</v>
      </c>
      <c r="AV5" s="21"/>
      <c r="AW5" s="21"/>
      <c r="AX5" s="21"/>
      <c r="AY5" s="21"/>
      <c r="AZ5" s="21"/>
      <c r="BA5" s="21"/>
      <c r="BB5" s="21"/>
      <c r="BC5" s="21"/>
      <c r="BD5" s="21"/>
      <c r="BE5" s="21"/>
      <c r="BF5" s="21"/>
      <c r="BG5" s="21"/>
      <c r="BH5" s="21">
        <f t="shared" si="9"/>
        <v>0</v>
      </c>
      <c r="BI5" s="21">
        <f t="shared" si="2"/>
        <v>0</v>
      </c>
      <c r="BJ5" s="21"/>
      <c r="BK5" s="21"/>
      <c r="BL5" s="21"/>
      <c r="BM5" s="21"/>
      <c r="BN5" s="20" t="s">
        <v>470</v>
      </c>
      <c r="BO5" s="20" t="s">
        <v>1287</v>
      </c>
      <c r="BP5" s="21">
        <f>SUM((A2*C2),(A3*C3),(A4*C4),(A5*C5),(A6*C6),(A7*C7),(A8*C8),(A9*C9),(A10*C10),(A11*C11),(A12*C12),(A13*C13),(A14*C14),(A15*C15),(A16*C16),(A17*C17))</f>
        <v>0</v>
      </c>
      <c r="BQ5" s="21">
        <f t="shared" si="3"/>
        <v>0</v>
      </c>
      <c r="BR5" s="21">
        <f t="shared" si="4"/>
        <v>0</v>
      </c>
      <c r="BS5" s="21">
        <f t="shared" si="5"/>
        <v>0</v>
      </c>
      <c r="BT5" s="21">
        <f t="shared" si="6"/>
        <v>0</v>
      </c>
      <c r="BU5" s="21"/>
      <c r="BV5" s="21"/>
      <c r="BW5" s="21"/>
      <c r="BX5" s="21"/>
      <c r="BY5" s="21"/>
      <c r="BZ5" s="21"/>
      <c r="CA5" s="21"/>
      <c r="CB5" s="21"/>
      <c r="CC5" s="21"/>
      <c r="CD5" s="21"/>
      <c r="CE5" s="21"/>
      <c r="CF5" s="21"/>
      <c r="CG5" s="21"/>
      <c r="CH5" s="21"/>
      <c r="CI5" s="21"/>
      <c r="CJ5" s="21"/>
      <c r="CK5" s="21"/>
      <c r="CL5" s="21"/>
      <c r="CM5" s="21"/>
      <c r="CN5" s="21"/>
      <c r="CO5" s="21"/>
      <c r="CP5" s="21"/>
      <c r="CQ5" s="21"/>
      <c r="CR5" s="21"/>
      <c r="CS5" s="21"/>
      <c r="CT5" s="21"/>
      <c r="CU5" s="21"/>
      <c r="CV5" s="21"/>
      <c r="CW5" s="21"/>
      <c r="CX5" s="21"/>
      <c r="CY5" s="21"/>
      <c r="CZ5" s="21"/>
      <c r="DA5" s="21"/>
      <c r="DB5" s="21"/>
      <c r="DC5" s="21"/>
      <c r="DD5" s="21"/>
      <c r="DE5" s="21"/>
      <c r="DF5" s="21"/>
      <c r="DG5" s="21"/>
      <c r="DH5" s="21"/>
      <c r="DI5" s="21"/>
      <c r="DJ5" s="21"/>
      <c r="DK5" s="21"/>
      <c r="DL5" s="21"/>
      <c r="DM5" s="21"/>
      <c r="DN5" s="21"/>
      <c r="DO5" s="21"/>
      <c r="DP5" s="21"/>
      <c r="DQ5" s="21"/>
      <c r="DR5" s="21"/>
      <c r="DS5" s="21"/>
      <c r="DT5" s="21"/>
      <c r="DU5" s="21"/>
      <c r="DV5" s="21"/>
      <c r="DW5" s="21"/>
      <c r="DX5" s="21"/>
      <c r="DY5" s="21"/>
      <c r="DZ5" s="87"/>
      <c r="EA5" s="87"/>
      <c r="EB5" s="87"/>
      <c r="EC5" s="21"/>
      <c r="ED5" s="21"/>
      <c r="EE5" s="21"/>
      <c r="EF5" s="21"/>
      <c r="EG5" s="21"/>
      <c r="EH5" s="21"/>
      <c r="EI5" s="21"/>
      <c r="EJ5" s="21"/>
      <c r="EK5" s="21"/>
      <c r="EL5" s="21"/>
      <c r="EM5" s="21"/>
      <c r="EN5" s="21"/>
      <c r="EO5" s="21"/>
      <c r="EP5" s="21"/>
      <c r="EQ5" s="21"/>
      <c r="ER5" s="21"/>
      <c r="ES5" s="21"/>
      <c r="ET5" s="21"/>
      <c r="EU5" s="21"/>
      <c r="EV5" s="21"/>
      <c r="EW5" s="21"/>
      <c r="EX5" s="21"/>
      <c r="EY5" s="21"/>
      <c r="EZ5" s="21"/>
      <c r="FA5" s="21"/>
      <c r="FB5" s="21"/>
      <c r="FC5" s="21"/>
      <c r="FD5" s="21"/>
      <c r="FE5" s="21"/>
      <c r="FF5" s="21"/>
      <c r="FG5" s="21"/>
      <c r="FH5" s="21"/>
      <c r="FI5" s="21"/>
      <c r="FJ5" s="21"/>
      <c r="FK5" s="21"/>
      <c r="FL5" s="21"/>
      <c r="FM5" s="21"/>
      <c r="FN5" s="21"/>
      <c r="FO5" s="21"/>
      <c r="FP5" s="21"/>
      <c r="FQ5" s="21"/>
      <c r="FR5" s="21"/>
      <c r="FS5" s="21"/>
      <c r="FT5" s="21"/>
      <c r="FU5" s="21"/>
      <c r="FV5" s="21"/>
      <c r="FW5" s="21"/>
      <c r="FX5" s="21"/>
      <c r="FY5" s="21"/>
      <c r="FZ5" s="21"/>
      <c r="GA5" s="21"/>
      <c r="GB5" s="21"/>
      <c r="GC5" s="21"/>
      <c r="GD5" s="21"/>
      <c r="GE5" s="21"/>
      <c r="GF5" s="21"/>
      <c r="GG5" s="21"/>
      <c r="GH5" s="21"/>
      <c r="GI5" s="21"/>
      <c r="GJ5" s="21"/>
      <c r="GK5" s="21"/>
      <c r="GL5" s="21"/>
      <c r="GM5" s="21"/>
      <c r="GN5" s="21"/>
      <c r="GO5" s="21"/>
      <c r="GP5" s="21"/>
      <c r="GQ5" s="21"/>
      <c r="GR5" s="21"/>
      <c r="GS5" s="21"/>
      <c r="GT5" s="21"/>
      <c r="GU5" s="21"/>
      <c r="GV5" s="21"/>
      <c r="GW5" s="21"/>
      <c r="GX5" s="21"/>
      <c r="GY5" s="21"/>
      <c r="GZ5" s="21"/>
      <c r="HA5" s="21"/>
      <c r="HB5" s="21"/>
      <c r="HC5" s="21"/>
      <c r="HD5" s="21"/>
      <c r="HE5" s="21"/>
      <c r="HF5" s="21"/>
      <c r="HG5" s="21"/>
      <c r="HH5" s="21"/>
      <c r="HI5" s="21"/>
      <c r="HJ5" s="21"/>
      <c r="HK5" s="21"/>
      <c r="HL5" s="21"/>
      <c r="HM5" s="21"/>
      <c r="HN5" s="21"/>
      <c r="HO5" s="21"/>
      <c r="HP5" s="21"/>
      <c r="HQ5" s="21"/>
      <c r="HR5" s="21"/>
      <c r="HS5" s="21"/>
      <c r="HT5" s="21"/>
      <c r="HU5" s="21"/>
      <c r="HV5" s="186"/>
      <c r="HW5" s="21"/>
      <c r="HX5" s="21"/>
      <c r="HY5" s="21"/>
      <c r="HZ5" s="21"/>
      <c r="IA5" s="21"/>
      <c r="IB5" s="21"/>
      <c r="IC5" s="21"/>
      <c r="ID5" s="21"/>
      <c r="IE5" s="21"/>
      <c r="IF5" s="21"/>
      <c r="IG5" s="21"/>
      <c r="IH5" s="21"/>
      <c r="II5" s="21"/>
      <c r="IJ5" s="21"/>
      <c r="IK5" s="21"/>
      <c r="IL5" s="21"/>
      <c r="IM5" s="21"/>
      <c r="IN5" s="21"/>
      <c r="IO5" s="21"/>
      <c r="IP5" s="21"/>
      <c r="IQ5" s="21"/>
      <c r="IR5" s="21"/>
      <c r="IS5" s="21"/>
      <c r="IT5" s="21"/>
      <c r="IU5" s="21"/>
      <c r="IV5" s="21"/>
      <c r="IW5" s="21"/>
      <c r="IX5" s="21"/>
      <c r="IY5" s="21"/>
      <c r="IZ5" s="21"/>
      <c r="JA5" s="21"/>
      <c r="JB5" s="21"/>
      <c r="JC5" s="21"/>
      <c r="JD5" s="21"/>
      <c r="JE5" s="21"/>
      <c r="JF5" s="21"/>
      <c r="JG5" s="21"/>
      <c r="JH5" s="21"/>
      <c r="JI5" s="21"/>
      <c r="JJ5" s="21"/>
      <c r="JK5" s="21"/>
      <c r="JL5" s="21"/>
      <c r="JM5" s="21"/>
      <c r="JN5" s="21"/>
      <c r="JO5" s="21"/>
      <c r="JP5" s="21"/>
      <c r="JQ5" s="21"/>
      <c r="JR5" s="21"/>
      <c r="JS5" s="21"/>
      <c r="JT5" s="21"/>
      <c r="JU5" s="21"/>
      <c r="JV5" s="21"/>
      <c r="JW5" s="21"/>
      <c r="JX5" s="21"/>
      <c r="JY5" s="21"/>
      <c r="JZ5" s="21"/>
      <c r="KA5" s="21"/>
      <c r="KB5" s="21"/>
      <c r="KC5" s="21"/>
      <c r="KD5" s="21"/>
      <c r="KE5" s="21"/>
      <c r="KF5" s="21"/>
      <c r="KG5" s="21"/>
      <c r="KH5" s="21"/>
    </row>
    <row r="6" spans="1:294" x14ac:dyDescent="0.25">
      <c r="A6" s="8"/>
      <c r="B6" s="5" t="s">
        <v>116</v>
      </c>
      <c r="C6" s="8"/>
      <c r="D6" s="6" t="s">
        <v>1204</v>
      </c>
      <c r="E6" s="8" t="s">
        <v>1207</v>
      </c>
      <c r="F6" s="17" t="str">
        <f>IF(AND(E4=AF1,E6=AF5),"należy zmienić wartość na klemy",IF(AND(E4&lt;&gt;AF1,E6&lt;&gt;AP24),"",""))</f>
        <v/>
      </c>
      <c r="G6" s="1"/>
      <c r="H6" s="1"/>
      <c r="I6" s="1"/>
      <c r="J6" s="1"/>
      <c r="K6" s="1"/>
      <c r="L6" s="29" t="str">
        <f>INDEX(($BO$2:$BO$19),MATCH($E$3,$BN$2:$BN$19,0),1,1)</f>
        <v>OWN20/2,12NMC</v>
      </c>
      <c r="M6" s="11">
        <f>INDEX(cennik!$C$2:$L$529,MATCH($L6,cennik!$B$2:$B$522,0),MATCH(M$2,cennik!$C$1:$L$1,0))</f>
        <v>8520215</v>
      </c>
      <c r="N6" s="11" t="str">
        <f>INDEX(cennik!$C$2:$L$529,MATCH($L6,cennik!$B$2:$B$522,0),MATCH(N$2,cennik!$C$1:$L$1,0))</f>
        <v>szt.</v>
      </c>
      <c r="O6" s="11">
        <f>INDEX(($BP$2:$BP$19),MATCH($E$3,$BN$2:$BN$19,0),1,1)</f>
        <v>0</v>
      </c>
      <c r="P6" s="11">
        <f>INDEX(cennik!$C$2:$L$529,MATCH($L6,cennik!$B$2:$B$522,0),MATCH(P$2,cennik!$C$1:$L$1,0))</f>
        <v>54.3</v>
      </c>
      <c r="Q6" s="14">
        <f t="shared" si="7"/>
        <v>0</v>
      </c>
      <c r="R6" s="14">
        <f t="shared" si="0"/>
        <v>0</v>
      </c>
      <c r="S6" s="34">
        <f t="shared" si="1"/>
        <v>54.3</v>
      </c>
      <c r="T6" s="14">
        <f t="shared" si="8"/>
        <v>0</v>
      </c>
      <c r="U6" s="34">
        <f>INDEX(cennik!$C$2:$L$529,MATCH($L6,cennik!$B$2:$B$522,0),MATCH(U$2,cennik!$C$1:$L$1,0))*O6</f>
        <v>0</v>
      </c>
      <c r="V6" s="21"/>
      <c r="W6" s="21"/>
      <c r="X6" s="21"/>
      <c r="Y6" s="21"/>
      <c r="Z6" s="21"/>
      <c r="AA6" s="21"/>
      <c r="AB6" s="21"/>
      <c r="AC6" s="21"/>
      <c r="AD6" s="21"/>
      <c r="AE6" s="21"/>
      <c r="AF6" s="26"/>
      <c r="AG6" s="21"/>
      <c r="AH6" s="21"/>
      <c r="AI6" s="21"/>
      <c r="AJ6" s="21"/>
      <c r="AK6" s="21"/>
      <c r="AL6" s="21"/>
      <c r="AM6" s="21"/>
      <c r="AN6" s="21"/>
      <c r="AO6" s="186" t="s">
        <v>1217</v>
      </c>
      <c r="AP6" s="186" t="s">
        <v>1218</v>
      </c>
      <c r="AQ6" s="21"/>
      <c r="AR6" s="21"/>
      <c r="AS6" s="21"/>
      <c r="AT6" s="20" t="s">
        <v>132</v>
      </c>
      <c r="AU6" s="26" t="s">
        <v>1231</v>
      </c>
      <c r="AV6" s="21"/>
      <c r="AW6" s="21"/>
      <c r="AX6" s="21"/>
      <c r="AY6" s="21" t="str" cm="1">
        <f t="array" aca="1" ref="AY6" ca="1">OFFSET(AZ1,MATCH(E4,AY2:AY4,0),0,COUNTIF(AY2:AY4,E4),1)</f>
        <v>klemy</v>
      </c>
      <c r="AZ6" s="21"/>
      <c r="BA6" s="21"/>
      <c r="BB6" s="21"/>
      <c r="BC6" s="21"/>
      <c r="BD6" s="21"/>
      <c r="BE6" s="21"/>
      <c r="BF6" s="21"/>
      <c r="BG6" s="21"/>
      <c r="BH6" s="21">
        <f t="shared" si="9"/>
        <v>0</v>
      </c>
      <c r="BI6" s="21">
        <f t="shared" si="2"/>
        <v>0</v>
      </c>
      <c r="BJ6" s="21"/>
      <c r="BK6" s="21"/>
      <c r="BL6" s="21"/>
      <c r="BM6" s="21"/>
      <c r="BN6" s="20" t="s">
        <v>472</v>
      </c>
      <c r="BO6" s="20" t="s">
        <v>1287</v>
      </c>
      <c r="BP6" s="21">
        <f>SUM((A2*C2),(A3*C3),(A4*C4),(A5*C5),(A6*C6),(A7*C7),(A8*C8),(A9*C9),(A10*C10),(A11*C11),(A12*C12),(A13*C13),(A14*C14),(A15*C15),(A16*C16),(A17*C17))</f>
        <v>0</v>
      </c>
      <c r="BQ6" s="21">
        <f t="shared" si="3"/>
        <v>0</v>
      </c>
      <c r="BR6" s="21">
        <f t="shared" si="4"/>
        <v>0</v>
      </c>
      <c r="BS6" s="21">
        <f t="shared" si="5"/>
        <v>0</v>
      </c>
      <c r="BT6" s="21">
        <f t="shared" si="6"/>
        <v>0</v>
      </c>
      <c r="BU6" s="21"/>
      <c r="BV6" s="21"/>
      <c r="BW6" s="21"/>
      <c r="BX6" s="21"/>
      <c r="BZ6" s="21"/>
      <c r="CA6" s="21"/>
      <c r="CB6" s="21"/>
      <c r="CC6" s="21"/>
      <c r="CD6" s="21"/>
      <c r="CE6" s="21"/>
      <c r="CF6" s="21"/>
      <c r="CG6" s="21"/>
      <c r="CH6" s="21"/>
      <c r="CI6" s="21"/>
      <c r="CJ6" s="21"/>
      <c r="CK6" s="21"/>
      <c r="CL6" s="21"/>
      <c r="CM6" s="21"/>
      <c r="CN6" s="21"/>
      <c r="CO6" s="21"/>
      <c r="CP6" s="21"/>
      <c r="CQ6" s="21"/>
      <c r="CR6" s="21"/>
      <c r="CS6" s="21"/>
      <c r="CT6" s="21"/>
      <c r="CU6" s="21"/>
      <c r="CV6" s="21"/>
      <c r="CW6" s="21"/>
      <c r="CX6" s="21"/>
      <c r="CY6" s="21"/>
      <c r="CZ6" s="21"/>
      <c r="DA6" s="21"/>
      <c r="DB6" s="21"/>
      <c r="DC6" s="21"/>
      <c r="DD6" s="21"/>
      <c r="DE6" s="21"/>
      <c r="DF6" s="21"/>
      <c r="DG6" s="21"/>
      <c r="DH6" s="21"/>
      <c r="DI6" s="21"/>
      <c r="DJ6" s="21"/>
      <c r="DK6" s="21"/>
      <c r="DL6" s="21"/>
      <c r="DM6" s="21"/>
      <c r="DN6" s="21"/>
      <c r="DO6" s="21"/>
      <c r="DP6" s="21"/>
      <c r="DQ6" s="21"/>
      <c r="DR6" s="21"/>
      <c r="DS6" s="21"/>
      <c r="DT6" s="21"/>
      <c r="DU6" s="21"/>
      <c r="DV6" s="21"/>
      <c r="DW6" s="21"/>
      <c r="DX6" s="21"/>
      <c r="DY6" s="21"/>
      <c r="DZ6" s="87"/>
      <c r="EA6" s="87"/>
      <c r="EB6" s="87"/>
      <c r="EC6" s="21"/>
      <c r="ED6" s="21"/>
      <c r="EE6" s="21"/>
      <c r="EF6" s="21"/>
      <c r="EG6" s="21"/>
      <c r="EH6" s="21"/>
      <c r="EI6" s="21"/>
      <c r="EJ6" s="21"/>
      <c r="EK6" s="21"/>
      <c r="EL6" s="21"/>
      <c r="EM6" s="21"/>
      <c r="EN6" s="21"/>
      <c r="EO6" s="21"/>
      <c r="EP6" s="21"/>
      <c r="EQ6" s="21"/>
      <c r="ER6" s="21"/>
      <c r="ES6" s="21"/>
      <c r="ET6" s="21"/>
      <c r="EU6" s="21"/>
      <c r="EV6" s="21"/>
      <c r="EW6" s="21"/>
      <c r="EX6" s="21"/>
      <c r="EY6" s="21"/>
      <c r="EZ6" s="21"/>
      <c r="FA6" s="21"/>
      <c r="FB6" s="21"/>
      <c r="FC6" s="21"/>
      <c r="FD6" s="21"/>
      <c r="FE6" s="21"/>
      <c r="FF6" s="21"/>
      <c r="FG6" s="21"/>
      <c r="FH6" s="21"/>
      <c r="FI6" s="21"/>
      <c r="FJ6" s="21"/>
      <c r="FK6" s="21"/>
      <c r="FL6" s="21"/>
      <c r="FM6" s="21"/>
      <c r="FN6" s="21"/>
      <c r="FO6" s="21"/>
      <c r="FP6" s="21"/>
      <c r="FQ6" s="21"/>
      <c r="FR6" s="21"/>
      <c r="FS6" s="21"/>
      <c r="FT6" s="21"/>
      <c r="FU6" s="21"/>
      <c r="FV6" s="21"/>
      <c r="FW6" s="21"/>
      <c r="FX6" s="21"/>
      <c r="FY6" s="21"/>
      <c r="FZ6" s="21"/>
      <c r="GA6" s="21"/>
      <c r="GB6" s="21"/>
      <c r="GC6" s="21"/>
      <c r="GD6" s="21"/>
      <c r="GE6" s="21"/>
      <c r="GF6" s="21"/>
      <c r="GG6" s="21"/>
      <c r="GH6" s="21"/>
      <c r="GI6" s="21"/>
      <c r="GJ6" s="21"/>
      <c r="GK6" s="21"/>
      <c r="GL6" s="21"/>
      <c r="GM6" s="21"/>
      <c r="GN6" s="21"/>
      <c r="GO6" s="21"/>
      <c r="GP6" s="21"/>
      <c r="GQ6" s="21"/>
      <c r="GR6" s="21"/>
      <c r="GS6" s="21"/>
      <c r="GT6" s="21"/>
      <c r="GU6" s="21"/>
      <c r="GV6" s="21"/>
      <c r="GW6" s="21"/>
      <c r="GX6" s="21"/>
      <c r="GY6" s="21"/>
      <c r="GZ6" s="21"/>
      <c r="HA6" s="21"/>
      <c r="HB6" s="21"/>
      <c r="HC6" s="21"/>
      <c r="HD6" s="21"/>
      <c r="HE6" s="21"/>
      <c r="HF6" s="21"/>
      <c r="HG6" s="21"/>
      <c r="HH6" s="21"/>
      <c r="HI6" s="21"/>
      <c r="HJ6" s="21"/>
      <c r="HK6" s="21"/>
      <c r="HL6" s="21"/>
      <c r="HM6" s="21"/>
      <c r="HN6" s="21"/>
      <c r="HO6" s="21"/>
      <c r="HP6" s="21"/>
      <c r="HQ6" s="21"/>
      <c r="HR6" s="21"/>
      <c r="HS6" s="21"/>
      <c r="HT6" s="21"/>
      <c r="HU6" s="21"/>
      <c r="HV6" s="186"/>
      <c r="HW6" s="21"/>
      <c r="HX6" s="21"/>
      <c r="HY6" s="21"/>
      <c r="HZ6" s="21"/>
      <c r="IA6" s="21"/>
      <c r="IB6" s="21"/>
      <c r="IC6" s="21"/>
      <c r="ID6" s="21"/>
      <c r="IE6" s="21"/>
      <c r="IF6" s="21"/>
      <c r="IG6" s="21"/>
      <c r="IH6" s="21"/>
      <c r="II6" s="21"/>
      <c r="IJ6" s="21"/>
      <c r="IK6" s="21"/>
      <c r="IL6" s="21"/>
      <c r="IM6" s="21"/>
      <c r="IN6" s="21"/>
      <c r="IO6" s="21"/>
      <c r="IP6" s="21"/>
      <c r="IQ6" s="21"/>
      <c r="IR6" s="21"/>
      <c r="IS6" s="21"/>
      <c r="IT6" s="21"/>
      <c r="IU6" s="21"/>
      <c r="IV6" s="21"/>
      <c r="IW6" s="21"/>
      <c r="IX6" s="21"/>
      <c r="IY6" s="21"/>
      <c r="IZ6" s="21"/>
      <c r="JA6" s="21"/>
      <c r="JB6" s="21"/>
      <c r="JC6" s="21"/>
      <c r="JD6" s="21"/>
      <c r="JE6" s="21"/>
      <c r="JF6" s="21"/>
      <c r="JG6" s="21"/>
      <c r="JH6" s="21"/>
      <c r="JI6" s="21"/>
      <c r="JJ6" s="21"/>
      <c r="JK6" s="21"/>
      <c r="JL6" s="21"/>
      <c r="JM6" s="21"/>
      <c r="JN6" s="21"/>
      <c r="JO6" s="21"/>
      <c r="JP6" s="21"/>
      <c r="JQ6" s="21"/>
      <c r="JR6" s="21"/>
      <c r="JS6" s="21"/>
      <c r="JT6" s="21"/>
      <c r="JU6" s="21"/>
      <c r="JV6" s="21"/>
      <c r="JW6" s="21"/>
      <c r="JX6" s="21"/>
      <c r="JY6" s="21"/>
      <c r="JZ6" s="21"/>
      <c r="KA6" s="21"/>
      <c r="KB6" s="21"/>
      <c r="KC6" s="21"/>
      <c r="KD6" s="21"/>
      <c r="KE6" s="21"/>
      <c r="KF6" s="21"/>
      <c r="KG6" s="21"/>
      <c r="KH6" s="21"/>
    </row>
    <row r="7" spans="1:294" x14ac:dyDescent="0.25">
      <c r="A7" s="8"/>
      <c r="B7" s="5" t="s">
        <v>116</v>
      </c>
      <c r="C7" s="8"/>
      <c r="D7" s="6" t="s">
        <v>307</v>
      </c>
      <c r="E7" s="8" t="s">
        <v>1211</v>
      </c>
      <c r="F7" s="1"/>
      <c r="G7" s="1"/>
      <c r="H7" s="1"/>
      <c r="I7" s="1"/>
      <c r="J7" s="1"/>
      <c r="K7" s="1"/>
      <c r="L7" s="5" t="s">
        <v>1223</v>
      </c>
      <c r="M7" s="11">
        <f>INDEX(cennik!$C$2:$L$529,MATCH($L7,cennik!$B$2:$B$522,0),MATCH(M$2,cennik!$C$1:$L$1,0))</f>
        <v>894819</v>
      </c>
      <c r="N7" s="11" t="str">
        <f>INDEX(cennik!$C$2:$L$529,MATCH($L7,cennik!$B$2:$B$522,0),MATCH(N$2,cennik!$C$1:$L$1,0))</f>
        <v>szt.</v>
      </c>
      <c r="O7" s="14">
        <f>IF(E4=AF1,SUM(BS2:BS17),IF(E4=AF2,SUM(BU2:BU3)))</f>
        <v>0</v>
      </c>
      <c r="P7" s="11">
        <f>INDEX(cennik!$C$2:$L$529,MATCH($L7,cennik!$B$2:$B$522,0),MATCH(P$2,cennik!$C$1:$L$1,0))</f>
        <v>1.85</v>
      </c>
      <c r="Q7" s="14">
        <f t="shared" si="7"/>
        <v>0</v>
      </c>
      <c r="R7" s="14">
        <f t="shared" si="0"/>
        <v>0</v>
      </c>
      <c r="S7" s="34">
        <f t="shared" si="1"/>
        <v>1.85</v>
      </c>
      <c r="T7" s="14">
        <f t="shared" si="8"/>
        <v>0</v>
      </c>
      <c r="U7" s="34">
        <f>INDEX(cennik!$C$2:$L$529,MATCH($L7,cennik!$B$2:$B$522,0),MATCH(U$2,cennik!$C$1:$L$1,0))*O7</f>
        <v>0</v>
      </c>
      <c r="V7" s="21"/>
      <c r="W7" s="21"/>
      <c r="X7" s="21"/>
      <c r="Y7" s="21"/>
      <c r="Z7" s="21"/>
      <c r="AA7" s="21"/>
      <c r="AB7" s="21"/>
      <c r="AC7" s="21"/>
      <c r="AD7" s="21"/>
      <c r="AE7" s="21"/>
      <c r="AF7" s="186" t="s">
        <v>1211</v>
      </c>
      <c r="AG7" s="21"/>
      <c r="AH7" s="186" t="s">
        <v>1215</v>
      </c>
      <c r="AI7" s="21"/>
      <c r="AJ7" s="21"/>
      <c r="AK7" s="186" t="s">
        <v>1218</v>
      </c>
      <c r="AL7" s="21"/>
      <c r="AM7" s="21"/>
      <c r="AN7" s="21"/>
      <c r="AO7" s="186" t="s">
        <v>1217</v>
      </c>
      <c r="AP7" s="186" t="s">
        <v>1465</v>
      </c>
      <c r="AQ7" s="21"/>
      <c r="AR7" s="21"/>
      <c r="AS7" s="21"/>
      <c r="AT7" s="20" t="s">
        <v>132</v>
      </c>
      <c r="AU7" s="26" t="s">
        <v>1232</v>
      </c>
      <c r="AV7" s="21"/>
      <c r="AW7" s="21"/>
      <c r="AX7" s="21"/>
      <c r="AY7" s="21"/>
      <c r="AZ7" s="21"/>
      <c r="BA7" s="21"/>
      <c r="BB7" s="348" t="s">
        <v>1437</v>
      </c>
      <c r="BC7" s="21">
        <f>IF(E8=$AH$8,O3*2,IF(E8=$AH$10,O3,0))</f>
        <v>0</v>
      </c>
      <c r="BD7" s="21"/>
      <c r="BE7" s="21"/>
      <c r="BF7" s="21"/>
      <c r="BG7" s="21"/>
      <c r="BH7" s="21">
        <f t="shared" si="9"/>
        <v>0</v>
      </c>
      <c r="BI7" s="21">
        <f t="shared" si="2"/>
        <v>0</v>
      </c>
      <c r="BJ7" s="21"/>
      <c r="BK7" s="21"/>
      <c r="BL7" s="21"/>
      <c r="BM7" s="21"/>
      <c r="BN7" s="20" t="s">
        <v>471</v>
      </c>
      <c r="BO7" s="20" t="s">
        <v>1287</v>
      </c>
      <c r="BP7" s="21">
        <f>SUM((A2*C2),(A3*C3),(A4*C4),(A5*C5),(A6*C6),(A7*C7),(A8*C8),(A9*C9),(A10*C10),(A11*C11),(A12*C12),(A13*C13),(A14*C14),(A15*C15),(A16*C16),(A17*C17))</f>
        <v>0</v>
      </c>
      <c r="BQ7" s="21">
        <f t="shared" si="3"/>
        <v>0</v>
      </c>
      <c r="BR7" s="21">
        <f t="shared" si="4"/>
        <v>0</v>
      </c>
      <c r="BS7" s="21">
        <f t="shared" si="5"/>
        <v>0</v>
      </c>
      <c r="BT7" s="21">
        <f t="shared" si="6"/>
        <v>0</v>
      </c>
      <c r="BU7" s="21"/>
      <c r="BV7" s="21"/>
      <c r="BW7" s="21"/>
      <c r="BX7" s="21"/>
      <c r="BZ7" s="21"/>
      <c r="CA7" s="21"/>
      <c r="CB7" s="21"/>
      <c r="CC7" s="21"/>
      <c r="CD7" s="21"/>
      <c r="CE7" s="21"/>
      <c r="CF7" s="21"/>
      <c r="CG7" s="21"/>
      <c r="CH7" s="21"/>
      <c r="CI7" s="21"/>
      <c r="CJ7" s="21"/>
      <c r="CK7" s="21"/>
      <c r="CL7" s="21"/>
      <c r="CM7" s="21"/>
      <c r="CN7" s="21"/>
      <c r="CO7" s="21"/>
      <c r="CP7" s="21"/>
      <c r="CQ7" s="21"/>
      <c r="CR7" s="21"/>
      <c r="CS7" s="21"/>
      <c r="CT7" s="21"/>
      <c r="CU7" s="21"/>
      <c r="CV7" s="21"/>
      <c r="CW7" s="21"/>
      <c r="CX7" s="21"/>
      <c r="CY7" s="21"/>
      <c r="CZ7" s="21"/>
      <c r="DA7" s="21"/>
      <c r="DB7" s="21"/>
      <c r="DC7" s="21"/>
      <c r="DD7" s="21"/>
      <c r="DE7" s="21"/>
      <c r="DF7" s="21"/>
      <c r="DG7" s="21"/>
      <c r="DH7" s="21"/>
      <c r="DI7" s="21"/>
      <c r="DJ7" s="21"/>
      <c r="DK7" s="21"/>
      <c r="DL7" s="21"/>
      <c r="DM7" s="21"/>
      <c r="DN7" s="21"/>
      <c r="DO7" s="21"/>
      <c r="DP7" s="21"/>
      <c r="DQ7" s="21"/>
      <c r="DR7" s="21"/>
      <c r="DS7" s="21"/>
      <c r="DT7" s="21"/>
      <c r="DU7" s="21"/>
      <c r="DV7" s="21"/>
      <c r="DW7" s="21"/>
      <c r="DX7" s="21"/>
      <c r="DY7" s="21"/>
      <c r="DZ7" s="87"/>
      <c r="EA7" s="87"/>
      <c r="EB7" s="87"/>
      <c r="EC7" s="21"/>
      <c r="ED7" s="21"/>
      <c r="EE7" s="21"/>
      <c r="EF7" s="21"/>
      <c r="EG7" s="21"/>
      <c r="EH7" s="21"/>
      <c r="EI7" s="21"/>
      <c r="EJ7" s="21"/>
      <c r="EK7" s="21"/>
      <c r="EL7" s="21"/>
      <c r="EM7" s="21"/>
      <c r="EN7" s="21"/>
      <c r="EO7" s="21"/>
      <c r="EP7" s="21"/>
      <c r="EQ7" s="21"/>
      <c r="ER7" s="21"/>
      <c r="ES7" s="21"/>
      <c r="ET7" s="21"/>
      <c r="EU7" s="21"/>
      <c r="EV7" s="21"/>
      <c r="EW7" s="21"/>
      <c r="EX7" s="21"/>
      <c r="EY7" s="21"/>
      <c r="EZ7" s="21"/>
      <c r="FA7" s="21"/>
      <c r="FB7" s="21"/>
      <c r="FC7" s="21"/>
      <c r="FD7" s="21"/>
      <c r="FE7" s="21"/>
      <c r="FF7" s="21"/>
      <c r="FG7" s="21"/>
      <c r="FH7" s="21"/>
      <c r="FI7" s="21"/>
      <c r="FJ7" s="21"/>
      <c r="FK7" s="21"/>
      <c r="FL7" s="21"/>
      <c r="FM7" s="21"/>
      <c r="FN7" s="21"/>
      <c r="FO7" s="21"/>
      <c r="FP7" s="21"/>
      <c r="FQ7" s="21"/>
      <c r="FR7" s="21"/>
      <c r="FS7" s="21"/>
      <c r="FT7" s="21"/>
      <c r="FU7" s="21"/>
      <c r="FV7" s="21"/>
      <c r="FW7" s="21"/>
      <c r="FX7" s="21"/>
      <c r="FY7" s="21"/>
      <c r="FZ7" s="21"/>
      <c r="GA7" s="21"/>
      <c r="GB7" s="21"/>
      <c r="GC7" s="21"/>
      <c r="GD7" s="21"/>
      <c r="GE7" s="21"/>
      <c r="GF7" s="21"/>
      <c r="GG7" s="21"/>
      <c r="GH7" s="21"/>
      <c r="GI7" s="21"/>
      <c r="GJ7" s="21"/>
      <c r="GK7" s="21"/>
      <c r="GL7" s="21"/>
      <c r="GM7" s="21"/>
      <c r="GN7" s="21"/>
      <c r="GO7" s="21"/>
      <c r="GP7" s="21"/>
      <c r="GQ7" s="21"/>
      <c r="GR7" s="21"/>
      <c r="GS7" s="21"/>
      <c r="GT7" s="21"/>
      <c r="GU7" s="21"/>
      <c r="GV7" s="21"/>
      <c r="GW7" s="21"/>
      <c r="GX7" s="21"/>
      <c r="GY7" s="21"/>
      <c r="GZ7" s="21"/>
      <c r="HA7" s="21"/>
      <c r="HB7" s="21"/>
      <c r="HC7" s="21"/>
      <c r="HD7" s="21"/>
      <c r="HE7" s="21"/>
      <c r="HF7" s="21"/>
      <c r="HG7" s="21"/>
      <c r="HH7" s="21"/>
      <c r="HI7" s="21"/>
      <c r="HJ7" s="21"/>
      <c r="HK7" s="21"/>
      <c r="HL7" s="21"/>
      <c r="HM7" s="21"/>
      <c r="HN7" s="21"/>
      <c r="HO7" s="21"/>
      <c r="HP7" s="21"/>
      <c r="HQ7" s="21"/>
      <c r="HR7" s="21"/>
      <c r="HS7" s="21"/>
      <c r="HT7" s="21"/>
      <c r="HU7" s="21"/>
      <c r="HV7" s="186"/>
      <c r="HW7" s="21"/>
      <c r="HX7" s="21"/>
      <c r="HY7" s="21"/>
      <c r="HZ7" s="21"/>
      <c r="IA7" s="21"/>
      <c r="IB7" s="21"/>
      <c r="IC7" s="21"/>
      <c r="ID7" s="21"/>
      <c r="IE7" s="21"/>
      <c r="IF7" s="21"/>
      <c r="IG7" s="21"/>
      <c r="IH7" s="21"/>
      <c r="II7" s="21"/>
      <c r="IJ7" s="21"/>
      <c r="IK7" s="21"/>
      <c r="IL7" s="21"/>
      <c r="IM7" s="21"/>
      <c r="IN7" s="21"/>
      <c r="IO7" s="21"/>
      <c r="IP7" s="21"/>
      <c r="IQ7" s="21"/>
      <c r="IR7" s="21"/>
      <c r="IS7" s="21"/>
      <c r="IT7" s="21"/>
      <c r="IU7" s="21"/>
      <c r="IV7" s="21"/>
      <c r="IW7" s="21"/>
      <c r="IX7" s="21"/>
      <c r="IY7" s="21"/>
      <c r="IZ7" s="21"/>
      <c r="JA7" s="21"/>
      <c r="JB7" s="21"/>
      <c r="JC7" s="21"/>
      <c r="JD7" s="21"/>
      <c r="JE7" s="21"/>
      <c r="JF7" s="21"/>
      <c r="JG7" s="21"/>
      <c r="JH7" s="21"/>
      <c r="JI7" s="21"/>
      <c r="JJ7" s="21"/>
      <c r="JK7" s="21"/>
      <c r="JL7" s="21"/>
      <c r="JM7" s="21"/>
      <c r="JN7" s="21"/>
      <c r="JO7" s="21"/>
      <c r="JP7" s="21"/>
      <c r="JQ7" s="21"/>
      <c r="JR7" s="21"/>
      <c r="JS7" s="21"/>
      <c r="JT7" s="21"/>
      <c r="JU7" s="21"/>
      <c r="JV7" s="21"/>
      <c r="JW7" s="21"/>
      <c r="JX7" s="21"/>
      <c r="JY7" s="21"/>
      <c r="JZ7" s="21"/>
      <c r="KA7" s="21"/>
      <c r="KB7" s="21"/>
      <c r="KC7" s="21"/>
      <c r="KD7" s="21"/>
      <c r="KE7" s="21"/>
      <c r="KF7" s="21"/>
      <c r="KG7" s="21"/>
      <c r="KH7" s="21"/>
    </row>
    <row r="8" spans="1:294" x14ac:dyDescent="0.25">
      <c r="A8" s="8"/>
      <c r="B8" s="5" t="s">
        <v>116</v>
      </c>
      <c r="C8" s="8"/>
      <c r="D8" s="6" t="str">
        <f>IF(E5=AK2,"typ balastu","")</f>
        <v/>
      </c>
      <c r="E8" s="8" t="s">
        <v>1285</v>
      </c>
      <c r="F8" s="17" t="str">
        <f>IF(AND(E7=AF7,E8="-"),"należy wskazać typ balastu",IF(AND(E7&lt;&gt;AF7,E8&lt;&gt;AP24),"należy zmienić wartość na -",""))</f>
        <v/>
      </c>
      <c r="G8" s="1"/>
      <c r="H8" s="1"/>
      <c r="I8" s="1"/>
      <c r="J8" s="1"/>
      <c r="K8" s="1"/>
      <c r="L8" s="5" t="str">
        <f>IF(E8=AH8,"SKRB95MC","PBKJ40MC")</f>
        <v>PBKJ40MC</v>
      </c>
      <c r="M8" s="11">
        <f>INDEX(cennik!$C$2:$L$529,MATCH($L8,cennik!$B$2:$B$522,0),MATCH(M$2,cennik!$C$1:$L$1,0))</f>
        <v>858442</v>
      </c>
      <c r="N8" s="11" t="str">
        <f>INDEX(cennik!$C$2:$L$529,MATCH($L8,cennik!$B$2:$B$522,0),MATCH(N$2,cennik!$C$1:$L$1,0))</f>
        <v>szt.</v>
      </c>
      <c r="O8" s="14">
        <f>IF(E5=AK1,0,IF(E5=AK2,(BC7),0))</f>
        <v>0</v>
      </c>
      <c r="P8" s="11">
        <f>INDEX(cennik!$C$2:$L$529,MATCH($L8,cennik!$B$2:$B$522,0),MATCH(P$2,cennik!$C$1:$L$1,0))</f>
        <v>16.440000000000001</v>
      </c>
      <c r="Q8" s="14">
        <f t="shared" si="7"/>
        <v>0</v>
      </c>
      <c r="R8" s="14">
        <f t="shared" si="0"/>
        <v>0</v>
      </c>
      <c r="S8" s="34">
        <f t="shared" si="1"/>
        <v>16.440000000000001</v>
      </c>
      <c r="T8" s="14">
        <f t="shared" si="8"/>
        <v>0</v>
      </c>
      <c r="U8" s="34">
        <f>INDEX(cennik!$C$2:$L$529,MATCH($L8,cennik!$B$2:$B$522,0),MATCH(U$2,cennik!$C$1:$L$1,0))*O8</f>
        <v>0</v>
      </c>
      <c r="V8" s="21"/>
      <c r="W8" s="21"/>
      <c r="X8" s="21"/>
      <c r="Y8" s="21"/>
      <c r="Z8" s="21"/>
      <c r="AA8" s="21"/>
      <c r="AB8" s="21"/>
      <c r="AC8" s="21"/>
      <c r="AD8" s="21"/>
      <c r="AE8" s="21"/>
      <c r="AF8" s="186" t="s">
        <v>1212</v>
      </c>
      <c r="AG8" s="21"/>
      <c r="AH8" s="186" t="s">
        <v>1216</v>
      </c>
      <c r="AI8" s="21"/>
      <c r="AJ8" s="21"/>
      <c r="AK8" s="186" t="s">
        <v>1465</v>
      </c>
      <c r="AL8" s="21"/>
      <c r="AM8" s="21"/>
      <c r="AN8" s="21"/>
      <c r="AO8" s="186" t="s">
        <v>1217</v>
      </c>
      <c r="AP8" s="186" t="s">
        <v>1220</v>
      </c>
      <c r="AQ8" s="21"/>
      <c r="AR8" s="21"/>
      <c r="AS8" s="21"/>
      <c r="AT8" s="20" t="s">
        <v>470</v>
      </c>
      <c r="AU8" s="26" t="s">
        <v>1231</v>
      </c>
      <c r="AV8" s="21"/>
      <c r="AW8" s="21"/>
      <c r="AX8" s="21"/>
      <c r="AY8" s="21"/>
      <c r="AZ8" s="21"/>
      <c r="BA8" s="21"/>
      <c r="BB8" s="348" t="s">
        <v>1316</v>
      </c>
      <c r="BC8" s="21">
        <f>IF(E9=$AK$9,O3*2,IF(E8=AH8,O3*2,0))</f>
        <v>0</v>
      </c>
      <c r="BD8" s="21"/>
      <c r="BE8" s="21"/>
      <c r="BF8" s="21"/>
      <c r="BG8" s="21"/>
      <c r="BH8" s="21">
        <f t="shared" si="9"/>
        <v>0</v>
      </c>
      <c r="BI8" s="21">
        <f t="shared" si="2"/>
        <v>0</v>
      </c>
      <c r="BJ8" s="21"/>
      <c r="BK8" s="21"/>
      <c r="BL8" s="21"/>
      <c r="BM8" s="21"/>
      <c r="BN8" s="20" t="s">
        <v>473</v>
      </c>
      <c r="BO8" s="20" t="s">
        <v>1287</v>
      </c>
      <c r="BP8" s="21">
        <f>SUM((A2*C2),(A3*C3),(A4*C4),(A5*C5),(A6*C6),(A7*C7),(A8*C8),(A9*C9),(A10*C10),(A11*C11),(A12*C12),(A13*C13),(A14*C14),(A15*C15),(A16*C16),(A17*C17))</f>
        <v>0</v>
      </c>
      <c r="BQ8" s="21">
        <f t="shared" si="3"/>
        <v>0</v>
      </c>
      <c r="BR8" s="21">
        <f t="shared" si="4"/>
        <v>0</v>
      </c>
      <c r="BS8" s="21">
        <f t="shared" si="5"/>
        <v>0</v>
      </c>
      <c r="BT8" s="21">
        <f t="shared" si="6"/>
        <v>0</v>
      </c>
      <c r="BU8" s="21"/>
      <c r="BV8" s="21"/>
      <c r="BW8" s="21"/>
      <c r="BX8" s="21"/>
      <c r="BZ8" s="21"/>
      <c r="CA8" s="21"/>
      <c r="CB8" s="21"/>
      <c r="CC8" s="21"/>
      <c r="CD8" s="21"/>
      <c r="CE8" s="21"/>
      <c r="CF8" s="21"/>
      <c r="CG8" s="21"/>
      <c r="CH8" s="21"/>
      <c r="CI8" s="21"/>
      <c r="CJ8" s="21"/>
      <c r="CK8" s="21"/>
      <c r="CL8" s="21"/>
      <c r="CM8" s="21"/>
      <c r="CN8" s="21"/>
      <c r="CO8" s="21"/>
      <c r="CP8" s="21"/>
      <c r="CQ8" s="21"/>
      <c r="CR8" s="21"/>
      <c r="CS8" s="21"/>
      <c r="CT8" s="21"/>
      <c r="CU8" s="21"/>
      <c r="CV8" s="21"/>
      <c r="CW8" s="21"/>
      <c r="CX8" s="21"/>
      <c r="CY8" s="21"/>
      <c r="CZ8" s="21"/>
      <c r="DA8" s="21"/>
      <c r="DB8" s="21"/>
      <c r="DC8" s="21"/>
      <c r="DD8" s="21"/>
      <c r="DE8" s="21"/>
      <c r="DF8" s="21"/>
      <c r="DG8" s="21"/>
      <c r="DH8" s="21"/>
      <c r="DI8" s="21"/>
      <c r="DJ8" s="21"/>
      <c r="DK8" s="21"/>
      <c r="DL8" s="21"/>
      <c r="DM8" s="21"/>
      <c r="DN8" s="21"/>
      <c r="DO8" s="21"/>
      <c r="DP8" s="21"/>
      <c r="DQ8" s="21"/>
      <c r="DR8" s="21"/>
      <c r="DS8" s="21"/>
      <c r="DT8" s="21"/>
      <c r="DU8" s="21"/>
      <c r="DV8" s="21"/>
      <c r="DW8" s="21"/>
      <c r="DX8" s="21"/>
      <c r="DY8" s="21"/>
      <c r="DZ8" s="87"/>
      <c r="EA8" s="87"/>
      <c r="EB8" s="87"/>
      <c r="EC8" s="21"/>
      <c r="ED8" s="21"/>
      <c r="EE8" s="21"/>
      <c r="EF8" s="21"/>
      <c r="EG8" s="21"/>
      <c r="EH8" s="21"/>
      <c r="EI8" s="21"/>
      <c r="EJ8" s="21"/>
      <c r="EK8" s="21"/>
      <c r="EL8" s="21"/>
      <c r="EM8" s="21"/>
      <c r="EN8" s="21"/>
      <c r="EO8" s="21"/>
      <c r="EP8" s="21"/>
      <c r="EQ8" s="21"/>
      <c r="ER8" s="21"/>
      <c r="ES8" s="21"/>
      <c r="ET8" s="21"/>
      <c r="EU8" s="21"/>
      <c r="EV8" s="21"/>
      <c r="EW8" s="21"/>
      <c r="EX8" s="21"/>
      <c r="EY8" s="21"/>
      <c r="EZ8" s="21"/>
      <c r="FA8" s="21"/>
      <c r="FB8" s="21"/>
      <c r="FC8" s="21"/>
      <c r="FD8" s="21"/>
      <c r="FE8" s="21"/>
      <c r="FF8" s="21"/>
      <c r="FG8" s="21"/>
      <c r="FH8" s="21"/>
      <c r="FI8" s="21"/>
      <c r="FJ8" s="21"/>
      <c r="FK8" s="21"/>
      <c r="FL8" s="21"/>
      <c r="FM8" s="21"/>
      <c r="FN8" s="21"/>
      <c r="FO8" s="21"/>
      <c r="FP8" s="21"/>
      <c r="FQ8" s="21"/>
      <c r="FR8" s="21"/>
      <c r="FS8" s="21"/>
      <c r="FT8" s="21"/>
      <c r="FU8" s="21"/>
      <c r="FV8" s="21"/>
      <c r="FW8" s="21"/>
      <c r="FX8" s="21"/>
      <c r="FY8" s="21"/>
      <c r="FZ8" s="21"/>
      <c r="GA8" s="21"/>
      <c r="GB8" s="21"/>
      <c r="GC8" s="21"/>
      <c r="GD8" s="21"/>
      <c r="GE8" s="21"/>
      <c r="GF8" s="21"/>
      <c r="GG8" s="21"/>
      <c r="GH8" s="21"/>
      <c r="GI8" s="21"/>
      <c r="GJ8" s="21"/>
      <c r="GK8" s="21"/>
      <c r="GL8" s="21"/>
      <c r="GM8" s="21"/>
      <c r="GN8" s="21"/>
      <c r="GO8" s="21"/>
      <c r="GP8" s="21"/>
      <c r="GQ8" s="21"/>
      <c r="GR8" s="21"/>
      <c r="GS8" s="21"/>
      <c r="GT8" s="21"/>
      <c r="GU8" s="21"/>
      <c r="GV8" s="21"/>
      <c r="GW8" s="21"/>
      <c r="GX8" s="21"/>
      <c r="GY8" s="21"/>
      <c r="GZ8" s="21"/>
      <c r="HA8" s="21"/>
      <c r="HB8" s="21"/>
      <c r="HC8" s="21"/>
      <c r="HD8" s="21"/>
      <c r="HE8" s="21"/>
      <c r="HF8" s="21"/>
      <c r="HG8" s="21"/>
      <c r="HH8" s="21"/>
      <c r="HI8" s="21"/>
      <c r="HJ8" s="21"/>
      <c r="HK8" s="21"/>
      <c r="HL8" s="21"/>
      <c r="HM8" s="21"/>
      <c r="HN8" s="21"/>
      <c r="HO8" s="21"/>
      <c r="HP8" s="21"/>
      <c r="HQ8" s="21"/>
      <c r="HR8" s="21"/>
      <c r="HS8" s="21"/>
      <c r="HT8" s="21"/>
      <c r="HU8" s="21"/>
      <c r="HV8" s="186"/>
      <c r="HW8" s="21"/>
      <c r="HX8" s="21"/>
      <c r="HY8" s="21"/>
      <c r="HZ8" s="21"/>
      <c r="IA8" s="21"/>
      <c r="IB8" s="21"/>
      <c r="IC8" s="21"/>
      <c r="ID8" s="21"/>
      <c r="IE8" s="21"/>
      <c r="IF8" s="21"/>
      <c r="IG8" s="21"/>
      <c r="IH8" s="21"/>
      <c r="II8" s="21"/>
      <c r="IJ8" s="21"/>
      <c r="IK8" s="21"/>
      <c r="IL8" s="21"/>
      <c r="IM8" s="21"/>
      <c r="IN8" s="21"/>
      <c r="IO8" s="21"/>
      <c r="IP8" s="21"/>
      <c r="IQ8" s="21"/>
      <c r="IR8" s="21"/>
      <c r="IS8" s="21"/>
      <c r="IT8" s="21"/>
      <c r="IU8" s="21"/>
      <c r="IV8" s="21"/>
      <c r="IW8" s="21"/>
      <c r="IX8" s="21"/>
      <c r="IY8" s="21"/>
      <c r="IZ8" s="21"/>
      <c r="JA8" s="21"/>
      <c r="JB8" s="21"/>
      <c r="JC8" s="21"/>
      <c r="JD8" s="21"/>
      <c r="JE8" s="21"/>
      <c r="JF8" s="21"/>
      <c r="JG8" s="21"/>
      <c r="JH8" s="21"/>
      <c r="JI8" s="21"/>
      <c r="JJ8" s="21"/>
      <c r="JK8" s="21"/>
      <c r="JL8" s="21"/>
      <c r="JM8" s="21"/>
      <c r="JN8" s="21"/>
      <c r="JO8" s="21"/>
      <c r="JP8" s="21"/>
      <c r="JQ8" s="21"/>
      <c r="JR8" s="21"/>
      <c r="JS8" s="21"/>
      <c r="JT8" s="21"/>
      <c r="JU8" s="21"/>
      <c r="JV8" s="21"/>
      <c r="JW8" s="21"/>
      <c r="JX8" s="21"/>
      <c r="JY8" s="21"/>
      <c r="JZ8" s="21"/>
      <c r="KA8" s="21"/>
      <c r="KB8" s="21"/>
      <c r="KC8" s="21"/>
      <c r="KD8" s="21"/>
      <c r="KE8" s="21"/>
      <c r="KF8" s="21"/>
      <c r="KG8" s="21"/>
      <c r="KH8" s="21"/>
    </row>
    <row r="9" spans="1:294" x14ac:dyDescent="0.25">
      <c r="A9" s="8"/>
      <c r="B9" s="5" t="s">
        <v>116</v>
      </c>
      <c r="C9" s="8"/>
      <c r="D9" s="6" t="str">
        <f>IF(E5=AK2,"typ separatora","")</f>
        <v/>
      </c>
      <c r="E9" s="8" t="s">
        <v>1465</v>
      </c>
      <c r="F9" s="17" t="str">
        <f>IF(AND(E8&lt;&gt;AH8,E8&lt;&gt;AH10,E7=AF7,E9="-"),"należy wskazać typ separatora",IF(AND(E8=AH8,E9&lt;&gt;AP24),"należy zmienić wartość na -",IF(AND(E8=AH10,E9&lt;&gt;AP24),"należy zmienić wartość na -",IF(AND(E7&lt;&gt;AF7,E9&lt;&gt;AP24),"należy zmienić wartość na -",""))))</f>
        <v>należy zmienić wartość na -</v>
      </c>
      <c r="G9" s="1"/>
      <c r="H9" s="1"/>
      <c r="I9" s="1"/>
      <c r="J9" s="1"/>
      <c r="K9" s="1"/>
      <c r="L9" s="5" t="s">
        <v>1316</v>
      </c>
      <c r="M9" s="11">
        <f>INDEX(cennik!$C$2:$L$529,MATCH($L9,cennik!$B$2:$B$522,0),MATCH(M$2,cennik!$C$1:$L$1,0))</f>
        <v>858454</v>
      </c>
      <c r="N9" s="11" t="str">
        <f>INDEX(cennik!$C$2:$L$529,MATCH($L9,cennik!$B$2:$B$522,0),MATCH(N$2,cennik!$C$1:$L$1,0))</f>
        <v>szt.</v>
      </c>
      <c r="O9" s="14">
        <f>IF(E5=AK1,0,IF(E5=AK2,(BC8),0))</f>
        <v>0</v>
      </c>
      <c r="P9" s="11">
        <f>INDEX(cennik!$C$2:$L$529,MATCH($L9,cennik!$B$2:$B$522,0),MATCH(P$2,cennik!$C$1:$L$1,0))</f>
        <v>36.840000000000003</v>
      </c>
      <c r="Q9" s="14">
        <f t="shared" si="7"/>
        <v>0</v>
      </c>
      <c r="R9" s="14">
        <f t="shared" si="0"/>
        <v>0</v>
      </c>
      <c r="S9" s="34">
        <f t="shared" si="1"/>
        <v>36.840000000000003</v>
      </c>
      <c r="T9" s="14">
        <f t="shared" si="8"/>
        <v>0</v>
      </c>
      <c r="U9" s="34">
        <f>INDEX(cennik!$C$2:$L$529,MATCH($L9,cennik!$B$2:$B$522,0),MATCH(U$2,cennik!$C$1:$L$1,0))*O9</f>
        <v>0</v>
      </c>
      <c r="V9" s="21"/>
      <c r="W9" s="21"/>
      <c r="X9" s="21"/>
      <c r="Y9" s="21"/>
      <c r="Z9" s="21"/>
      <c r="AA9" s="21"/>
      <c r="AB9" s="21"/>
      <c r="AC9" s="21"/>
      <c r="AD9" s="21"/>
      <c r="AE9" s="21"/>
      <c r="AF9" s="186" t="s">
        <v>1213</v>
      </c>
      <c r="AG9" s="21"/>
      <c r="AH9" s="186" t="s">
        <v>1217</v>
      </c>
      <c r="AI9" s="21"/>
      <c r="AJ9" s="21"/>
      <c r="AK9" s="186" t="s">
        <v>1220</v>
      </c>
      <c r="AL9" s="21"/>
      <c r="AM9" s="21"/>
      <c r="AN9" s="21"/>
      <c r="AO9" s="186" t="s">
        <v>1285</v>
      </c>
      <c r="AP9" s="21" t="s">
        <v>1221</v>
      </c>
      <c r="AQ9" s="21"/>
      <c r="AR9" s="21"/>
      <c r="AS9" s="21"/>
      <c r="AT9" s="20" t="s">
        <v>470</v>
      </c>
      <c r="AU9" s="26" t="s">
        <v>1232</v>
      </c>
      <c r="AV9" s="21"/>
      <c r="AW9" s="21"/>
      <c r="AX9" s="21"/>
      <c r="AY9" s="21"/>
      <c r="AZ9" s="21"/>
      <c r="BA9" s="21"/>
      <c r="BB9" s="348" t="s">
        <v>6</v>
      </c>
      <c r="BC9" s="21"/>
      <c r="BD9" s="21"/>
      <c r="BE9" s="21"/>
      <c r="BF9" s="21"/>
      <c r="BG9" s="21"/>
      <c r="BH9" s="21">
        <f t="shared" si="9"/>
        <v>0</v>
      </c>
      <c r="BI9" s="21">
        <f t="shared" si="2"/>
        <v>0</v>
      </c>
      <c r="BJ9" s="21"/>
      <c r="BK9" s="21"/>
      <c r="BL9" s="21"/>
      <c r="BM9" s="21"/>
      <c r="BN9" s="20" t="s">
        <v>113</v>
      </c>
      <c r="BO9" s="20" t="s">
        <v>1287</v>
      </c>
      <c r="BP9" s="21">
        <f>SUM((A2*C2),(A3*C3),(A4*C4),(A5*C5),(A6*C6),(A7*C7),(A8*C8),(A9*C9),(A10*C10),(A11*C11),(A12*C12),(A13*C13),(A14*C14),(A15*C15),(A16*C16),(A17*C17))</f>
        <v>0</v>
      </c>
      <c r="BQ9" s="21">
        <f t="shared" si="3"/>
        <v>0</v>
      </c>
      <c r="BR9" s="21">
        <f t="shared" si="4"/>
        <v>0</v>
      </c>
      <c r="BS9" s="21">
        <f t="shared" si="5"/>
        <v>0</v>
      </c>
      <c r="BT9" s="21">
        <f t="shared" si="6"/>
        <v>0</v>
      </c>
      <c r="BU9" s="21"/>
      <c r="BV9" s="21"/>
      <c r="BW9" s="21"/>
      <c r="BX9" s="21"/>
      <c r="BZ9" s="21"/>
      <c r="CA9" s="21"/>
      <c r="CB9" s="21"/>
      <c r="CC9" s="21"/>
      <c r="CD9" s="21"/>
      <c r="CE9" s="21"/>
      <c r="CF9" s="21"/>
      <c r="CG9" s="21"/>
      <c r="CH9" s="21"/>
      <c r="CI9" s="21"/>
      <c r="CJ9" s="21"/>
      <c r="CK9" s="21"/>
      <c r="CL9" s="21"/>
      <c r="CM9" s="21"/>
      <c r="CN9" s="21"/>
      <c r="CO9" s="21"/>
      <c r="CP9" s="21"/>
      <c r="CQ9" s="21"/>
      <c r="CR9" s="21"/>
      <c r="CS9" s="21"/>
      <c r="CT9" s="21"/>
      <c r="CU9" s="21"/>
      <c r="CV9" s="21"/>
      <c r="CW9" s="21"/>
      <c r="CX9" s="21"/>
      <c r="CY9" s="21"/>
      <c r="CZ9" s="21"/>
      <c r="DA9" s="21"/>
      <c r="DB9" s="21"/>
      <c r="DC9" s="21"/>
      <c r="DD9" s="21"/>
      <c r="DE9" s="21"/>
      <c r="DF9" s="21"/>
      <c r="DG9" s="21"/>
      <c r="DH9" s="21"/>
      <c r="DI9" s="21"/>
      <c r="DJ9" s="21"/>
      <c r="DK9" s="21"/>
      <c r="DL9" s="21"/>
      <c r="DM9" s="21"/>
      <c r="DN9" s="21"/>
      <c r="DO9" s="21"/>
      <c r="DP9" s="21"/>
      <c r="DQ9" s="21"/>
      <c r="DR9" s="21"/>
      <c r="DS9" s="21"/>
      <c r="DT9" s="21"/>
      <c r="DU9" s="21"/>
      <c r="DV9" s="21"/>
      <c r="DW9" s="21"/>
      <c r="DX9" s="21"/>
      <c r="DY9" s="21"/>
      <c r="DZ9" s="87"/>
      <c r="EA9" s="87"/>
      <c r="EB9" s="87"/>
      <c r="EC9" s="21"/>
      <c r="ED9" s="21"/>
      <c r="EE9" s="21"/>
      <c r="EF9" s="21"/>
      <c r="EG9" s="21"/>
      <c r="EH9" s="21"/>
      <c r="EI9" s="21"/>
      <c r="EJ9" s="21"/>
      <c r="EK9" s="21"/>
      <c r="EL9" s="21"/>
      <c r="EM9" s="21"/>
      <c r="EN9" s="21"/>
      <c r="EO9" s="21"/>
      <c r="EP9" s="21"/>
      <c r="EQ9" s="21"/>
      <c r="ER9" s="21"/>
      <c r="ES9" s="21"/>
      <c r="ET9" s="21"/>
      <c r="EU9" s="21"/>
      <c r="EV9" s="21"/>
      <c r="EW9" s="21"/>
      <c r="EX9" s="21"/>
      <c r="EY9" s="21"/>
      <c r="EZ9" s="21"/>
      <c r="FA9" s="21"/>
      <c r="FB9" s="21"/>
      <c r="FC9" s="21"/>
      <c r="FD9" s="21"/>
      <c r="FE9" s="21"/>
      <c r="FF9" s="21"/>
      <c r="FG9" s="21"/>
      <c r="FH9" s="21"/>
      <c r="FI9" s="21"/>
      <c r="FJ9" s="21"/>
      <c r="FK9" s="21"/>
      <c r="FL9" s="21"/>
      <c r="FM9" s="21"/>
      <c r="FN9" s="21"/>
      <c r="FO9" s="21"/>
      <c r="FP9" s="21"/>
      <c r="FQ9" s="21"/>
      <c r="FR9" s="21"/>
      <c r="FS9" s="21"/>
      <c r="FT9" s="21"/>
      <c r="FU9" s="21"/>
      <c r="FV9" s="21"/>
      <c r="FW9" s="21"/>
      <c r="FX9" s="21"/>
      <c r="FY9" s="21"/>
      <c r="FZ9" s="21"/>
      <c r="GA9" s="21"/>
      <c r="GB9" s="21"/>
      <c r="GC9" s="21"/>
      <c r="GD9" s="21"/>
      <c r="GE9" s="21"/>
      <c r="GF9" s="21"/>
      <c r="GG9" s="21"/>
      <c r="GH9" s="21"/>
      <c r="GI9" s="21"/>
      <c r="GJ9" s="21"/>
      <c r="GK9" s="21"/>
      <c r="GL9" s="21"/>
      <c r="GM9" s="21"/>
      <c r="GN9" s="21"/>
      <c r="GO9" s="21"/>
      <c r="GP9" s="21"/>
      <c r="GQ9" s="21"/>
      <c r="GR9" s="21"/>
      <c r="GS9" s="21"/>
      <c r="GT9" s="21"/>
      <c r="GU9" s="21"/>
      <c r="GV9" s="21"/>
      <c r="GW9" s="21"/>
      <c r="GX9" s="21"/>
      <c r="GY9" s="21"/>
      <c r="GZ9" s="21"/>
      <c r="HA9" s="21"/>
      <c r="HB9" s="21"/>
      <c r="HC9" s="21"/>
      <c r="HD9" s="21"/>
      <c r="HE9" s="21"/>
      <c r="HF9" s="21"/>
      <c r="HG9" s="21"/>
      <c r="HH9" s="21"/>
      <c r="HI9" s="21"/>
      <c r="HJ9" s="21"/>
      <c r="HK9" s="21"/>
      <c r="HL9" s="21"/>
      <c r="HM9" s="21"/>
      <c r="HN9" s="21"/>
      <c r="HO9" s="21"/>
      <c r="HP9" s="21"/>
      <c r="HQ9" s="21"/>
      <c r="HR9" s="21"/>
      <c r="HS9" s="21"/>
      <c r="HT9" s="21"/>
      <c r="HU9" s="21"/>
      <c r="HV9" s="186"/>
      <c r="HW9" s="21"/>
      <c r="HX9" s="21"/>
      <c r="HY9" s="21"/>
      <c r="HZ9" s="21"/>
      <c r="IA9" s="21"/>
      <c r="IB9" s="21"/>
      <c r="IC9" s="21"/>
      <c r="ID9" s="21"/>
      <c r="IE9" s="21"/>
      <c r="IF9" s="21"/>
      <c r="IG9" s="21"/>
      <c r="IH9" s="21"/>
      <c r="II9" s="21"/>
      <c r="IJ9" s="21"/>
      <c r="IK9" s="21"/>
      <c r="IL9" s="21"/>
      <c r="IM9" s="21"/>
      <c r="IN9" s="21"/>
      <c r="IO9" s="21"/>
      <c r="IP9" s="21"/>
      <c r="IQ9" s="21"/>
      <c r="IR9" s="21"/>
      <c r="IS9" s="21"/>
      <c r="IT9" s="21"/>
      <c r="IU9" s="21"/>
      <c r="IV9" s="21"/>
      <c r="IW9" s="21"/>
      <c r="IX9" s="21"/>
      <c r="IY9" s="21"/>
      <c r="IZ9" s="21"/>
      <c r="JA9" s="21"/>
      <c r="JB9" s="21"/>
      <c r="JC9" s="21"/>
      <c r="JD9" s="21"/>
      <c r="JE9" s="21"/>
      <c r="JF9" s="21"/>
      <c r="JG9" s="21"/>
      <c r="JH9" s="21"/>
      <c r="JI9" s="21"/>
      <c r="JJ9" s="21"/>
      <c r="JK9" s="21"/>
      <c r="JL9" s="21"/>
      <c r="JM9" s="21"/>
      <c r="JN9" s="21"/>
      <c r="JO9" s="21"/>
      <c r="JP9" s="21"/>
      <c r="JQ9" s="21"/>
      <c r="JR9" s="21"/>
      <c r="JS9" s="21"/>
      <c r="JT9" s="21"/>
      <c r="JU9" s="21"/>
      <c r="JV9" s="21"/>
      <c r="JW9" s="21"/>
      <c r="JX9" s="21"/>
      <c r="JY9" s="21"/>
      <c r="JZ9" s="21"/>
      <c r="KA9" s="21"/>
      <c r="KB9" s="21"/>
      <c r="KC9" s="21"/>
      <c r="KD9" s="21"/>
      <c r="KE9" s="21"/>
      <c r="KF9" s="21"/>
      <c r="KG9" s="21"/>
      <c r="KH9" s="21"/>
    </row>
    <row r="10" spans="1:294" x14ac:dyDescent="0.25">
      <c r="A10" s="8"/>
      <c r="B10" s="5" t="s">
        <v>116</v>
      </c>
      <c r="C10" s="8"/>
      <c r="D10" s="6" t="s">
        <v>1235</v>
      </c>
      <c r="E10" s="8">
        <v>0</v>
      </c>
      <c r="F10" s="1"/>
      <c r="G10" s="1"/>
      <c r="H10" s="1"/>
      <c r="I10" s="1"/>
      <c r="J10" s="1"/>
      <c r="K10" s="1"/>
      <c r="L10" s="5" t="str">
        <f>INDEX(($AE$201:$AF$201),1,MATCH(E12,$AE$190:$AF$190,0),1)</f>
        <v>PUFK</v>
      </c>
      <c r="M10" s="11">
        <f>INDEX(cennik!$C$2:$L$529,MATCH($L10,cennik!$B$2:$B$522,0),MATCH(M$2,cennik!$C$1:$L$1,0))</f>
        <v>890300</v>
      </c>
      <c r="N10" s="11" t="str">
        <f>INDEX(cennik!$C$2:$L$529,MATCH($L10,cennik!$B$2:$B$522,0),MATCH(N$2,cennik!$C$1:$L$1,0))</f>
        <v>szt.</v>
      </c>
      <c r="O10" s="14">
        <f>IF($E$4=$AF$2,AH15,IF($E$4=$AF$1,AH14,0))</f>
        <v>0</v>
      </c>
      <c r="P10" s="11">
        <f>INDEX(cennik!$C$2:$L$529,MATCH($L10,cennik!$B$2:$B$522,0),MATCH(P$2,cennik!$C$1:$L$1,0))</f>
        <v>7.31</v>
      </c>
      <c r="Q10" s="14">
        <f t="shared" si="7"/>
        <v>0</v>
      </c>
      <c r="R10" s="14">
        <f t="shared" si="0"/>
        <v>0</v>
      </c>
      <c r="S10" s="34">
        <f t="shared" si="1"/>
        <v>7.31</v>
      </c>
      <c r="T10" s="14">
        <f t="shared" si="8"/>
        <v>0</v>
      </c>
      <c r="U10" s="34">
        <f>INDEX(cennik!$C$2:$L$529,MATCH($L10,cennik!$B$2:$B$522,0),MATCH(U$2,cennik!$C$1:$L$1,0))*O10</f>
        <v>0</v>
      </c>
      <c r="V10" s="21"/>
      <c r="W10" s="21"/>
      <c r="X10" s="21"/>
      <c r="Y10" s="21"/>
      <c r="Z10" s="21"/>
      <c r="AA10" s="21"/>
      <c r="AB10" s="21"/>
      <c r="AC10" s="21"/>
      <c r="AD10" s="21"/>
      <c r="AE10" s="21"/>
      <c r="AF10" s="186" t="s">
        <v>1214</v>
      </c>
      <c r="AG10" s="21"/>
      <c r="AH10" s="186" t="s">
        <v>1285</v>
      </c>
      <c r="AI10" s="21"/>
      <c r="AJ10" s="21"/>
      <c r="AK10" s="21"/>
      <c r="AL10" s="21"/>
      <c r="AM10" s="21"/>
      <c r="AN10" s="21"/>
      <c r="AO10" s="21" t="s">
        <v>1221</v>
      </c>
      <c r="AP10" s="21" t="s">
        <v>1221</v>
      </c>
      <c r="AQ10" s="21"/>
      <c r="AR10" s="21"/>
      <c r="AS10" s="21"/>
      <c r="AT10" s="20" t="s">
        <v>472</v>
      </c>
      <c r="AU10" s="26" t="s">
        <v>1231</v>
      </c>
      <c r="AV10" s="21"/>
      <c r="AW10" s="21"/>
      <c r="AX10" s="21"/>
      <c r="AY10" s="21"/>
      <c r="AZ10" s="21"/>
      <c r="BA10" s="21"/>
      <c r="BB10" s="348" t="s">
        <v>1050</v>
      </c>
      <c r="BC10" s="21"/>
      <c r="BD10" s="21"/>
      <c r="BE10" s="21"/>
      <c r="BF10" s="21"/>
      <c r="BG10" s="21"/>
      <c r="BH10" s="21">
        <f t="shared" si="9"/>
        <v>0</v>
      </c>
      <c r="BI10" s="21">
        <f t="shared" si="2"/>
        <v>0</v>
      </c>
      <c r="BJ10" s="21"/>
      <c r="BK10" s="21"/>
      <c r="BL10" s="21"/>
      <c r="BM10" s="21"/>
      <c r="BN10" s="20" t="s">
        <v>137</v>
      </c>
      <c r="BO10" s="20" t="s">
        <v>1287</v>
      </c>
      <c r="BP10" s="21">
        <f>SUM((A2*C2),(A3*C3),(A4*C4),(A5*C5),(A6*C6),(A7*C7),(A8*C8),(A9*C9),(A10*C10),(A11*C11),(A12*C12),(A13*C13),(A14*C14),(A15*C15),(A16*C16),(A17*C17))</f>
        <v>0</v>
      </c>
      <c r="BQ10" s="21">
        <f t="shared" si="3"/>
        <v>0</v>
      </c>
      <c r="BR10" s="21">
        <f t="shared" si="4"/>
        <v>0</v>
      </c>
      <c r="BS10" s="21">
        <f t="shared" si="5"/>
        <v>0</v>
      </c>
      <c r="BT10" s="21">
        <f t="shared" si="6"/>
        <v>0</v>
      </c>
      <c r="BU10" s="21"/>
      <c r="BV10" s="21"/>
      <c r="BW10" s="21"/>
      <c r="BX10" s="21"/>
      <c r="BZ10" s="21"/>
      <c r="CA10" s="21"/>
      <c r="CB10" s="21"/>
      <c r="CC10" s="21"/>
      <c r="CD10" s="21"/>
      <c r="CE10" s="21"/>
      <c r="CF10" s="21"/>
      <c r="CG10" s="21"/>
      <c r="CH10" s="21"/>
      <c r="CI10" s="21"/>
      <c r="CJ10" s="21"/>
      <c r="CK10" s="21"/>
      <c r="CL10" s="21"/>
      <c r="CM10" s="21"/>
      <c r="CN10" s="21"/>
      <c r="CO10" s="21"/>
      <c r="CP10" s="21"/>
      <c r="CQ10" s="21"/>
      <c r="CR10" s="21"/>
      <c r="CS10" s="21"/>
      <c r="CT10" s="21"/>
      <c r="CU10" s="21"/>
      <c r="CV10" s="21"/>
      <c r="CW10" s="21"/>
      <c r="CX10" s="21"/>
      <c r="CY10" s="21"/>
      <c r="CZ10" s="21"/>
      <c r="DA10" s="21"/>
      <c r="DB10" s="21"/>
      <c r="DC10" s="21"/>
      <c r="DD10" s="21"/>
      <c r="DE10" s="21"/>
      <c r="DF10" s="21"/>
      <c r="DG10" s="21"/>
      <c r="DH10" s="21"/>
      <c r="DI10" s="21"/>
      <c r="DJ10" s="21"/>
      <c r="DK10" s="21"/>
      <c r="DL10" s="21"/>
      <c r="DM10" s="21"/>
      <c r="DN10" s="21"/>
      <c r="DO10" s="21"/>
      <c r="DP10" s="21"/>
      <c r="DQ10" s="21"/>
      <c r="DR10" s="21"/>
      <c r="DS10" s="21"/>
      <c r="DT10" s="21"/>
      <c r="DU10" s="21"/>
      <c r="DV10" s="21"/>
      <c r="DW10" s="21"/>
      <c r="DX10" s="21"/>
      <c r="DY10" s="21"/>
      <c r="DZ10" s="87"/>
      <c r="EA10" s="87"/>
      <c r="EB10" s="87"/>
      <c r="EC10" s="21"/>
      <c r="ED10" s="21"/>
      <c r="EE10" s="21"/>
      <c r="EF10" s="21"/>
      <c r="EG10" s="21"/>
      <c r="EH10" s="21"/>
      <c r="EI10" s="21"/>
      <c r="EJ10" s="21"/>
      <c r="EK10" s="21"/>
      <c r="EL10" s="21"/>
      <c r="EM10" s="21"/>
      <c r="EN10" s="21"/>
      <c r="EO10" s="21"/>
      <c r="EP10" s="21"/>
      <c r="EQ10" s="21"/>
      <c r="ER10" s="21"/>
      <c r="ES10" s="21"/>
      <c r="ET10" s="21"/>
      <c r="EU10" s="21"/>
      <c r="EV10" s="21"/>
      <c r="EW10" s="21"/>
      <c r="EX10" s="21"/>
      <c r="EY10" s="21"/>
      <c r="EZ10" s="21"/>
      <c r="FA10" s="21"/>
      <c r="FB10" s="21"/>
      <c r="FC10" s="21"/>
      <c r="FD10" s="21"/>
      <c r="FE10" s="21"/>
      <c r="FF10" s="21"/>
      <c r="FG10" s="21"/>
      <c r="FH10" s="21"/>
      <c r="FI10" s="21"/>
      <c r="FJ10" s="21"/>
      <c r="FK10" s="21"/>
      <c r="FL10" s="21"/>
      <c r="FM10" s="21"/>
      <c r="FN10" s="21"/>
      <c r="FO10" s="21"/>
      <c r="FP10" s="21"/>
      <c r="FQ10" s="21"/>
      <c r="FR10" s="21"/>
      <c r="FS10" s="21"/>
      <c r="FT10" s="21"/>
      <c r="FU10" s="21"/>
      <c r="FV10" s="21"/>
      <c r="FW10" s="21"/>
      <c r="FX10" s="21"/>
      <c r="FY10" s="21"/>
      <c r="FZ10" s="21"/>
      <c r="GA10" s="21"/>
      <c r="GB10" s="21"/>
      <c r="GC10" s="21"/>
      <c r="GD10" s="21"/>
      <c r="GE10" s="21"/>
      <c r="GF10" s="21"/>
      <c r="GG10" s="21"/>
      <c r="GH10" s="21"/>
      <c r="GI10" s="21"/>
      <c r="GJ10" s="21"/>
      <c r="GK10" s="21"/>
      <c r="GL10" s="21"/>
      <c r="GM10" s="21"/>
      <c r="GN10" s="21"/>
      <c r="GO10" s="21"/>
      <c r="GP10" s="21"/>
      <c r="GQ10" s="21"/>
      <c r="GR10" s="21"/>
      <c r="GS10" s="21"/>
      <c r="GT10" s="21"/>
      <c r="GU10" s="21"/>
      <c r="GV10" s="21"/>
      <c r="GW10" s="21"/>
      <c r="GX10" s="21"/>
      <c r="GY10" s="21"/>
      <c r="GZ10" s="21"/>
      <c r="HA10" s="21"/>
      <c r="HB10" s="21"/>
      <c r="HC10" s="21"/>
      <c r="HD10" s="21"/>
      <c r="HE10" s="21"/>
      <c r="HF10" s="21"/>
      <c r="HG10" s="21"/>
      <c r="HH10" s="21"/>
      <c r="HI10" s="21"/>
      <c r="HJ10" s="21"/>
      <c r="HK10" s="21"/>
      <c r="HL10" s="21"/>
      <c r="HM10" s="21"/>
      <c r="HN10" s="21"/>
      <c r="HO10" s="21"/>
      <c r="HP10" s="21"/>
      <c r="HQ10" s="21"/>
      <c r="HR10" s="21"/>
      <c r="HS10" s="21"/>
      <c r="HT10" s="21"/>
      <c r="HU10" s="21"/>
      <c r="HV10" s="186"/>
      <c r="HW10" s="21"/>
      <c r="HX10" s="21"/>
      <c r="HY10" s="21"/>
      <c r="HZ10" s="21"/>
      <c r="IA10" s="21"/>
      <c r="IB10" s="21"/>
      <c r="IC10" s="21"/>
      <c r="ID10" s="21"/>
      <c r="IE10" s="21"/>
      <c r="IF10" s="21"/>
      <c r="IG10" s="21"/>
      <c r="IH10" s="21"/>
      <c r="II10" s="21"/>
      <c r="IJ10" s="21"/>
      <c r="IK10" s="21"/>
      <c r="IL10" s="21"/>
      <c r="IM10" s="21"/>
      <c r="IN10" s="21"/>
      <c r="IO10" s="21"/>
      <c r="IP10" s="21"/>
      <c r="IQ10" s="21"/>
      <c r="IR10" s="21"/>
      <c r="IS10" s="21"/>
      <c r="IT10" s="21"/>
      <c r="IU10" s="21"/>
      <c r="IV10" s="21"/>
      <c r="IW10" s="21"/>
      <c r="IX10" s="21"/>
      <c r="IY10" s="21"/>
      <c r="IZ10" s="21"/>
      <c r="JA10" s="21"/>
      <c r="JB10" s="21"/>
      <c r="JC10" s="21"/>
      <c r="JD10" s="21"/>
      <c r="JE10" s="21"/>
      <c r="JF10" s="21"/>
      <c r="JG10" s="21"/>
      <c r="JH10" s="21"/>
      <c r="JI10" s="21"/>
      <c r="JJ10" s="21"/>
      <c r="JK10" s="21"/>
      <c r="JL10" s="21"/>
      <c r="JM10" s="21"/>
      <c r="JN10" s="21"/>
      <c r="JO10" s="21"/>
      <c r="JP10" s="21"/>
      <c r="JQ10" s="21"/>
      <c r="JR10" s="21"/>
      <c r="JS10" s="21"/>
      <c r="JT10" s="21"/>
      <c r="JU10" s="21"/>
      <c r="JV10" s="21"/>
      <c r="JW10" s="21"/>
      <c r="JX10" s="21"/>
      <c r="JY10" s="21"/>
      <c r="JZ10" s="21"/>
      <c r="KA10" s="21"/>
      <c r="KB10" s="21"/>
      <c r="KC10" s="21"/>
      <c r="KD10" s="21"/>
      <c r="KE10" s="21"/>
      <c r="KF10" s="21"/>
      <c r="KG10" s="21"/>
      <c r="KH10" s="21"/>
    </row>
    <row r="11" spans="1:294" x14ac:dyDescent="0.25">
      <c r="A11" s="8"/>
      <c r="B11" s="5" t="s">
        <v>116</v>
      </c>
      <c r="C11" s="8"/>
      <c r="D11" s="6" t="s">
        <v>162</v>
      </c>
      <c r="E11" s="8">
        <v>0</v>
      </c>
      <c r="F11" s="1"/>
      <c r="G11" s="1"/>
      <c r="H11" s="1"/>
      <c r="I11" s="1"/>
      <c r="J11" s="1"/>
      <c r="K11" s="1"/>
      <c r="L11" s="5" t="str">
        <f>INDEX(($AI$177:$AJ$186),MATCH(I3,$AH$177:$AH$186,0),MATCH(E12,$AI$176:$AJ$176,0),1)</f>
        <v>BUFEK30/50</v>
      </c>
      <c r="M11" s="11">
        <f>INDEX(cennik!$C$2:$L$529,MATCH($L11,cennik!$B$2:$B$522,0),MATCH(M$2,cennik!$C$1:$L$1,0))</f>
        <v>888530</v>
      </c>
      <c r="N11" s="11" t="str">
        <f>INDEX(cennik!$C$2:$L$529,MATCH($L11,cennik!$B$2:$B$522,0),MATCH(N$2,cennik!$C$1:$L$1,0))</f>
        <v>szt.</v>
      </c>
      <c r="O11" s="14">
        <f>IF($E$4=$AF$53,AI15,IF($E$4=$AF$52,AI14,0))</f>
        <v>0</v>
      </c>
      <c r="P11" s="11">
        <f>INDEX(cennik!$C$2:$L$529,MATCH($L11,cennik!$B$2:$B$522,0),MATCH(P$2,cennik!$C$1:$L$1,0))</f>
        <v>6.2</v>
      </c>
      <c r="Q11" s="14">
        <f t="shared" si="7"/>
        <v>0</v>
      </c>
      <c r="R11" s="14">
        <f t="shared" si="0"/>
        <v>0</v>
      </c>
      <c r="S11" s="34">
        <f t="shared" si="1"/>
        <v>6.2</v>
      </c>
      <c r="T11" s="14">
        <f t="shared" si="8"/>
        <v>0</v>
      </c>
      <c r="U11" s="34">
        <f>INDEX(cennik!$C$2:$L$529,MATCH($L11,cennik!$B$2:$B$522,0),MATCH(U$2,cennik!$C$1:$L$1,0))*O11</f>
        <v>0</v>
      </c>
      <c r="V11" s="21"/>
      <c r="W11" s="21"/>
      <c r="X11" s="21"/>
      <c r="Y11" s="21"/>
      <c r="Z11" s="21"/>
      <c r="AA11" s="21"/>
      <c r="AB11" s="21"/>
      <c r="AC11" s="21"/>
      <c r="AD11" s="21"/>
      <c r="AE11" s="21"/>
      <c r="AF11" s="21"/>
      <c r="AG11" s="21"/>
      <c r="AH11" s="21"/>
      <c r="AI11" s="21"/>
      <c r="AJ11" s="21"/>
      <c r="AK11" s="21"/>
      <c r="AL11" s="21"/>
      <c r="AM11" s="21"/>
      <c r="AN11" s="21"/>
      <c r="AO11" s="21"/>
      <c r="AP11" s="21"/>
      <c r="AQ11" s="21"/>
      <c r="AR11" s="21"/>
      <c r="AS11" s="21"/>
      <c r="AT11" s="20" t="s">
        <v>472</v>
      </c>
      <c r="AU11" s="26" t="s">
        <v>1232</v>
      </c>
      <c r="AV11" s="21"/>
      <c r="AW11" s="21"/>
      <c r="AX11" s="21"/>
      <c r="AY11" s="21"/>
      <c r="AZ11" s="21"/>
      <c r="BA11" s="21"/>
      <c r="BB11" s="348" t="s">
        <v>602</v>
      </c>
      <c r="BC11" s="21"/>
      <c r="BD11" s="21"/>
      <c r="BE11" s="21"/>
      <c r="BF11" s="21"/>
      <c r="BG11" s="21"/>
      <c r="BH11" s="21">
        <f t="shared" si="9"/>
        <v>0</v>
      </c>
      <c r="BI11" s="21">
        <f t="shared" si="2"/>
        <v>0</v>
      </c>
      <c r="BJ11" s="21"/>
      <c r="BK11" s="21"/>
      <c r="BL11" s="21"/>
      <c r="BM11" s="21"/>
      <c r="BN11" s="20" t="s">
        <v>138</v>
      </c>
      <c r="BO11" s="20" t="s">
        <v>1288</v>
      </c>
      <c r="BP11" s="21">
        <f>SUM((A2*C2),(A3*C3),(A4*C4),(A5*C5),(A6*C6),(A7*C7),(A8*C8),(A9*C9),(A10*C10),(A11*C11),(A12*C12),(A13*C13),(A14*C14),(A15*C15),(A16*C16),(A17*C17))</f>
        <v>0</v>
      </c>
      <c r="BQ11" s="21">
        <f t="shared" si="3"/>
        <v>0</v>
      </c>
      <c r="BR11" s="21">
        <f t="shared" si="4"/>
        <v>0</v>
      </c>
      <c r="BS11" s="21">
        <f t="shared" si="5"/>
        <v>0</v>
      </c>
      <c r="BT11" s="21">
        <f t="shared" si="6"/>
        <v>0</v>
      </c>
      <c r="BU11" s="21"/>
      <c r="BV11" s="21"/>
      <c r="BW11" s="21"/>
      <c r="BX11" s="21"/>
      <c r="BZ11" s="21"/>
      <c r="CA11" s="21"/>
      <c r="CB11" s="21"/>
      <c r="CC11" s="21"/>
      <c r="CD11" s="21"/>
      <c r="CE11" s="21"/>
      <c r="CF11" s="21"/>
      <c r="CG11" s="21"/>
      <c r="CH11" s="21"/>
      <c r="CI11" s="21"/>
      <c r="CJ11" s="21"/>
      <c r="CK11" s="21"/>
      <c r="CL11" s="21"/>
      <c r="CM11" s="21"/>
      <c r="CN11" s="21"/>
      <c r="CO11" s="21"/>
      <c r="CP11" s="21"/>
      <c r="CQ11" s="21"/>
      <c r="CR11" s="21"/>
      <c r="CS11" s="21"/>
      <c r="CT11" s="21"/>
      <c r="CU11" s="21"/>
      <c r="CV11" s="21"/>
      <c r="CW11" s="21"/>
      <c r="CX11" s="21"/>
      <c r="CY11" s="21"/>
      <c r="CZ11" s="21"/>
      <c r="DA11" s="21"/>
      <c r="DB11" s="21"/>
      <c r="DC11" s="21"/>
      <c r="DD11" s="21"/>
      <c r="DE11" s="21"/>
      <c r="DF11" s="21"/>
      <c r="DG11" s="21"/>
      <c r="DH11" s="21"/>
      <c r="DI11" s="21"/>
      <c r="DJ11" s="21"/>
      <c r="DK11" s="21"/>
      <c r="DL11" s="21"/>
      <c r="DM11" s="21"/>
      <c r="DN11" s="21"/>
      <c r="DO11" s="21"/>
      <c r="DP11" s="21"/>
      <c r="DQ11" s="21"/>
      <c r="DR11" s="21"/>
      <c r="DS11" s="21"/>
      <c r="DT11" s="21"/>
      <c r="DU11" s="21"/>
      <c r="DV11" s="21"/>
      <c r="DW11" s="21"/>
      <c r="DX11" s="21"/>
      <c r="DY11" s="21"/>
      <c r="DZ11" s="87"/>
      <c r="EA11" s="87"/>
      <c r="EB11" s="87"/>
      <c r="EC11" s="21"/>
      <c r="ED11" s="21"/>
      <c r="EE11" s="21"/>
      <c r="EF11" s="21"/>
      <c r="EG11" s="21"/>
      <c r="EH11" s="21"/>
      <c r="EI11" s="21"/>
      <c r="EJ11" s="21"/>
      <c r="EK11" s="21"/>
      <c r="EL11" s="21"/>
      <c r="EM11" s="21"/>
      <c r="EN11" s="21"/>
      <c r="EO11" s="21"/>
      <c r="EP11" s="21"/>
      <c r="EQ11" s="21"/>
      <c r="ER11" s="21"/>
      <c r="ES11" s="21"/>
      <c r="ET11" s="21"/>
      <c r="EU11" s="21"/>
      <c r="EV11" s="21"/>
      <c r="EW11" s="21"/>
      <c r="EX11" s="21"/>
      <c r="EY11" s="21"/>
      <c r="EZ11" s="21"/>
      <c r="FA11" s="21"/>
      <c r="FB11" s="21"/>
      <c r="FC11" s="21"/>
      <c r="FD11" s="21"/>
      <c r="FE11" s="21"/>
      <c r="FF11" s="21"/>
      <c r="FG11" s="21"/>
      <c r="FH11" s="21"/>
      <c r="FI11" s="21"/>
      <c r="FJ11" s="21"/>
      <c r="FK11" s="21"/>
      <c r="FL11" s="21"/>
      <c r="FM11" s="21"/>
      <c r="FN11" s="21"/>
      <c r="FO11" s="21"/>
      <c r="FP11" s="21"/>
      <c r="FQ11" s="21"/>
      <c r="FR11" s="21"/>
      <c r="FS11" s="21"/>
      <c r="FT11" s="21"/>
      <c r="FU11" s="21"/>
      <c r="FV11" s="21"/>
      <c r="FW11" s="21"/>
      <c r="FX11" s="21"/>
      <c r="FY11" s="21"/>
      <c r="FZ11" s="21"/>
      <c r="GA11" s="21"/>
      <c r="GB11" s="21"/>
      <c r="GC11" s="21"/>
      <c r="GD11" s="21"/>
      <c r="GE11" s="21"/>
      <c r="GF11" s="21"/>
      <c r="GG11" s="21"/>
      <c r="GH11" s="21"/>
      <c r="GI11" s="21"/>
      <c r="GJ11" s="21"/>
      <c r="GK11" s="21"/>
      <c r="GL11" s="21"/>
      <c r="GM11" s="21"/>
      <c r="GN11" s="21"/>
      <c r="GO11" s="21"/>
      <c r="GP11" s="21"/>
      <c r="GQ11" s="21"/>
      <c r="GR11" s="21"/>
      <c r="GS11" s="21"/>
      <c r="GT11" s="21"/>
      <c r="GU11" s="21"/>
      <c r="GV11" s="21"/>
      <c r="GW11" s="21"/>
      <c r="GX11" s="21"/>
      <c r="GY11" s="21"/>
      <c r="GZ11" s="21"/>
      <c r="HA11" s="21"/>
      <c r="HB11" s="21"/>
      <c r="HC11" s="21"/>
      <c r="HD11" s="21"/>
      <c r="HE11" s="21"/>
      <c r="HF11" s="21"/>
      <c r="HG11" s="21"/>
      <c r="HH11" s="21"/>
      <c r="HI11" s="21"/>
      <c r="HJ11" s="21"/>
      <c r="HK11" s="21"/>
      <c r="HL11" s="21"/>
      <c r="HM11" s="21"/>
      <c r="HN11" s="21"/>
      <c r="HO11" s="21"/>
      <c r="HP11" s="21"/>
      <c r="HQ11" s="21"/>
      <c r="HR11" s="21"/>
      <c r="HS11" s="21"/>
      <c r="HT11" s="21"/>
      <c r="HU11" s="21"/>
      <c r="HV11" s="186"/>
      <c r="HW11" s="21"/>
      <c r="HX11" s="21"/>
      <c r="HY11" s="21"/>
      <c r="HZ11" s="21"/>
      <c r="IA11" s="21"/>
      <c r="IB11" s="21"/>
      <c r="IC11" s="21"/>
      <c r="ID11" s="21"/>
      <c r="IE11" s="21"/>
      <c r="IF11" s="21"/>
      <c r="IG11" s="21"/>
      <c r="IH11" s="21"/>
      <c r="II11" s="21"/>
      <c r="IJ11" s="21"/>
      <c r="IK11" s="21"/>
      <c r="IL11" s="21"/>
      <c r="IM11" s="21"/>
      <c r="IN11" s="21"/>
      <c r="IO11" s="21"/>
      <c r="IP11" s="21"/>
      <c r="IQ11" s="21"/>
      <c r="IR11" s="21"/>
      <c r="IS11" s="21"/>
      <c r="IT11" s="21"/>
      <c r="IU11" s="21"/>
      <c r="IV11" s="21"/>
      <c r="IW11" s="21"/>
      <c r="IX11" s="21"/>
      <c r="IY11" s="21"/>
      <c r="IZ11" s="21"/>
      <c r="JA11" s="21"/>
      <c r="JB11" s="21"/>
      <c r="JC11" s="21"/>
      <c r="JD11" s="21"/>
      <c r="JE11" s="21"/>
      <c r="JF11" s="21"/>
      <c r="JG11" s="21"/>
      <c r="JH11" s="21"/>
      <c r="JI11" s="21"/>
      <c r="JJ11" s="21"/>
      <c r="JK11" s="21"/>
      <c r="JL11" s="21"/>
      <c r="JM11" s="21"/>
      <c r="JN11" s="21"/>
      <c r="JO11" s="21"/>
      <c r="JP11" s="21"/>
      <c r="JQ11" s="21"/>
      <c r="JR11" s="21"/>
      <c r="JS11" s="21"/>
      <c r="JT11" s="21"/>
      <c r="JU11" s="21"/>
      <c r="JV11" s="21"/>
      <c r="JW11" s="21"/>
      <c r="JX11" s="21"/>
      <c r="JY11" s="21"/>
      <c r="JZ11" s="21"/>
      <c r="KA11" s="21"/>
      <c r="KB11" s="21"/>
      <c r="KC11" s="21"/>
      <c r="KD11" s="21"/>
      <c r="KE11" s="21"/>
      <c r="KF11" s="21"/>
      <c r="KG11" s="21"/>
      <c r="KH11" s="21"/>
    </row>
    <row r="12" spans="1:294" x14ac:dyDescent="0.25">
      <c r="A12" s="8"/>
      <c r="B12" s="5" t="s">
        <v>116</v>
      </c>
      <c r="C12" s="8"/>
      <c r="D12" s="6" t="s">
        <v>124</v>
      </c>
      <c r="E12" s="8" t="s">
        <v>125</v>
      </c>
      <c r="F12" s="1"/>
      <c r="G12" s="1"/>
      <c r="H12" s="1"/>
      <c r="I12" s="1"/>
      <c r="J12" s="1"/>
      <c r="K12" s="1"/>
      <c r="L12" s="5" t="s">
        <v>602</v>
      </c>
      <c r="M12" s="11">
        <f>INDEX(cennik!$C$2:$L$529,MATCH($L12,cennik!$B$2:$B$522,0),MATCH(M$2,cennik!$C$1:$L$1,0))</f>
        <v>858024</v>
      </c>
      <c r="N12" s="11" t="str">
        <f>INDEX(cennik!$C$2:$L$529,MATCH($L12,cennik!$B$2:$B$522,0),MATCH(N$2,cennik!$C$1:$L$1,0))</f>
        <v>szt.</v>
      </c>
      <c r="O12" s="14">
        <f>IF(E7=AF8,O3,0)</f>
        <v>0</v>
      </c>
      <c r="P12" s="11">
        <f>INDEX(cennik!$C$2:$L$529,MATCH($L12,cennik!$B$2:$B$522,0),MATCH(P$2,cennik!$C$1:$L$1,0))</f>
        <v>37.4</v>
      </c>
      <c r="Q12" s="14">
        <f t="shared" si="7"/>
        <v>0</v>
      </c>
      <c r="R12" s="14">
        <f t="shared" si="0"/>
        <v>0</v>
      </c>
      <c r="S12" s="34">
        <f t="shared" si="1"/>
        <v>37.4</v>
      </c>
      <c r="T12" s="14">
        <f t="shared" si="8"/>
        <v>0</v>
      </c>
      <c r="U12" s="34">
        <f>INDEX(cennik!$C$2:$L$529,MATCH($L12,cennik!$B$2:$B$522,0),MATCH(U$2,cennik!$C$1:$L$1,0))*O12</f>
        <v>0</v>
      </c>
      <c r="V12" s="21"/>
      <c r="W12" s="21"/>
      <c r="X12" s="21"/>
      <c r="Y12" s="21"/>
      <c r="Z12" s="21"/>
      <c r="AA12" s="21"/>
      <c r="AB12" s="21"/>
      <c r="AC12" s="21"/>
      <c r="AD12" s="21"/>
      <c r="AE12" s="21"/>
      <c r="AF12" s="21"/>
      <c r="AG12" s="21"/>
      <c r="AH12" s="21"/>
      <c r="AI12" s="21"/>
      <c r="AJ12" s="21"/>
      <c r="AK12" s="21"/>
      <c r="AL12" s="21"/>
      <c r="AM12" s="21"/>
      <c r="AN12" s="21"/>
      <c r="AO12" s="21" t="str" cm="1">
        <f t="array" aca="1" ref="AO12" ca="1">OFFSET(AP1,MATCH(E8,AO2:AO10,0),0,COUNTIF(AO2:AO10,E8),1)</f>
        <v>-</v>
      </c>
      <c r="AP12" s="21"/>
      <c r="AQ12" s="21"/>
      <c r="AR12" s="21"/>
      <c r="AS12" s="21"/>
      <c r="AT12" s="20" t="s">
        <v>471</v>
      </c>
      <c r="AU12" s="26" t="s">
        <v>1231</v>
      </c>
      <c r="AV12" s="21"/>
      <c r="AW12" s="21"/>
      <c r="AX12" s="21"/>
      <c r="AY12" s="21"/>
      <c r="AZ12" s="21"/>
      <c r="BA12" s="21"/>
      <c r="BB12" s="348" t="s">
        <v>1226</v>
      </c>
      <c r="BC12" s="21">
        <f>(ROUNDUP((IF(E8=AH7,(SUM((A2*C2),(A3*C3),(A4*C4),(A5*C5),(A6*C6),(A7*C7),(A8*C8),(A9*C9),(A10*C10),(A11*C11),(A12*C12),(A13*C13),(A14*C14),(A15*C15),(A16*C16),(A17*C17)))*(AF13/1000),0))/3,0))*3</f>
        <v>0</v>
      </c>
      <c r="BD12" s="21"/>
      <c r="BE12" s="21"/>
      <c r="BF12" s="21"/>
      <c r="BG12" s="21"/>
      <c r="BH12" s="21">
        <f t="shared" si="9"/>
        <v>0</v>
      </c>
      <c r="BI12" s="21">
        <f t="shared" si="2"/>
        <v>0</v>
      </c>
      <c r="BJ12" s="21"/>
      <c r="BK12" s="21"/>
      <c r="BL12" s="21"/>
      <c r="BM12" s="21"/>
      <c r="BN12" s="20" t="s">
        <v>478</v>
      </c>
      <c r="BO12" s="20" t="s">
        <v>1288</v>
      </c>
      <c r="BP12" s="21">
        <f>SUM((A2*C2),(A3*C3),(A4*C4),(A5*C5),(A6*C6),(A7*C7),(A8*C8),(A9*C9),(A10*C10),(A11*C11),(A12*C12),(A13*C13),(A14*C14),(A15*C15),(A16*C16),(A17*C17))</f>
        <v>0</v>
      </c>
      <c r="BQ12" s="21">
        <f t="shared" si="3"/>
        <v>0</v>
      </c>
      <c r="BR12" s="21">
        <f t="shared" si="4"/>
        <v>0</v>
      </c>
      <c r="BS12" s="21">
        <f t="shared" si="5"/>
        <v>0</v>
      </c>
      <c r="BT12" s="21">
        <f t="shared" si="6"/>
        <v>0</v>
      </c>
      <c r="BU12" s="21"/>
      <c r="BV12" s="21"/>
      <c r="BW12" s="21"/>
      <c r="BX12" s="21"/>
      <c r="BZ12" s="21"/>
      <c r="CA12" s="21"/>
      <c r="CB12" s="21"/>
      <c r="CC12" s="21"/>
      <c r="CD12" s="21"/>
      <c r="CE12" s="21"/>
      <c r="CF12" s="21"/>
      <c r="CG12" s="21"/>
      <c r="CH12" s="21"/>
      <c r="CI12" s="21"/>
      <c r="CJ12" s="21"/>
      <c r="CK12" s="21"/>
      <c r="CL12" s="21"/>
      <c r="CM12" s="21"/>
      <c r="CN12" s="21"/>
      <c r="CO12" s="21"/>
      <c r="CP12" s="21"/>
      <c r="CQ12" s="21"/>
      <c r="CR12" s="21"/>
      <c r="CS12" s="21"/>
      <c r="CT12" s="21"/>
      <c r="CU12" s="21"/>
      <c r="CV12" s="21"/>
      <c r="CW12" s="21"/>
      <c r="CX12" s="21"/>
      <c r="CY12" s="21"/>
      <c r="CZ12" s="21"/>
      <c r="DA12" s="21"/>
      <c r="DB12" s="21"/>
      <c r="DC12" s="21"/>
      <c r="DD12" s="21"/>
      <c r="DE12" s="21"/>
      <c r="DF12" s="21"/>
      <c r="DG12" s="21"/>
      <c r="DH12" s="21"/>
      <c r="DI12" s="21"/>
      <c r="DJ12" s="21"/>
      <c r="DK12" s="21"/>
      <c r="DL12" s="21"/>
      <c r="DM12" s="21"/>
      <c r="DN12" s="21"/>
      <c r="DO12" s="21"/>
      <c r="DP12" s="21"/>
      <c r="DQ12" s="21"/>
      <c r="DR12" s="21"/>
      <c r="DS12" s="21"/>
      <c r="DT12" s="21"/>
      <c r="DU12" s="21"/>
      <c r="DV12" s="21"/>
      <c r="DW12" s="21"/>
      <c r="DX12" s="21"/>
      <c r="DY12" s="21"/>
      <c r="DZ12" s="87"/>
      <c r="EA12" s="87"/>
      <c r="EB12" s="87"/>
      <c r="EC12" s="21"/>
      <c r="ED12" s="21"/>
      <c r="EE12" s="21"/>
      <c r="EF12" s="21"/>
      <c r="EG12" s="21"/>
      <c r="EH12" s="21"/>
      <c r="EI12" s="21"/>
      <c r="EJ12" s="21"/>
      <c r="EK12" s="21"/>
      <c r="EL12" s="21"/>
      <c r="EM12" s="21"/>
      <c r="EN12" s="21"/>
      <c r="EO12" s="21"/>
      <c r="EP12" s="21"/>
      <c r="EQ12" s="21"/>
      <c r="ER12" s="21"/>
      <c r="ES12" s="21"/>
      <c r="ET12" s="21"/>
      <c r="EU12" s="21"/>
      <c r="EV12" s="21"/>
      <c r="EW12" s="21"/>
      <c r="EX12" s="21"/>
      <c r="EY12" s="21"/>
      <c r="EZ12" s="21"/>
      <c r="FA12" s="21"/>
      <c r="FB12" s="21"/>
      <c r="FC12" s="21"/>
      <c r="FD12" s="21"/>
      <c r="FE12" s="21"/>
      <c r="FF12" s="21"/>
      <c r="FG12" s="21"/>
      <c r="FH12" s="21"/>
      <c r="FI12" s="21"/>
      <c r="FJ12" s="21"/>
      <c r="FK12" s="21"/>
      <c r="FL12" s="21"/>
      <c r="FM12" s="21"/>
      <c r="FN12" s="21"/>
      <c r="FO12" s="21"/>
      <c r="FP12" s="21"/>
      <c r="FQ12" s="21"/>
      <c r="FR12" s="21"/>
      <c r="FS12" s="21"/>
      <c r="FT12" s="21"/>
      <c r="FU12" s="21"/>
      <c r="FV12" s="21"/>
      <c r="FW12" s="21"/>
      <c r="FX12" s="21"/>
      <c r="FY12" s="21"/>
      <c r="FZ12" s="21"/>
      <c r="GA12" s="21"/>
      <c r="GB12" s="21"/>
      <c r="GC12" s="21"/>
      <c r="GD12" s="21"/>
      <c r="GE12" s="21"/>
      <c r="GF12" s="21"/>
      <c r="GG12" s="21"/>
      <c r="GH12" s="21"/>
      <c r="GI12" s="21"/>
      <c r="GJ12" s="21"/>
      <c r="GK12" s="21"/>
      <c r="GL12" s="21"/>
      <c r="GM12" s="21"/>
      <c r="GN12" s="21"/>
      <c r="GO12" s="21"/>
      <c r="GP12" s="21"/>
      <c r="GQ12" s="21"/>
      <c r="GR12" s="21"/>
      <c r="GS12" s="21"/>
      <c r="GT12" s="21"/>
      <c r="GU12" s="21"/>
      <c r="GV12" s="21"/>
      <c r="GW12" s="21"/>
      <c r="GX12" s="21"/>
      <c r="GY12" s="21"/>
      <c r="GZ12" s="21"/>
      <c r="HA12" s="21"/>
      <c r="HB12" s="21"/>
      <c r="HC12" s="21"/>
      <c r="HD12" s="21"/>
      <c r="HE12" s="21"/>
      <c r="HF12" s="21"/>
      <c r="HG12" s="21"/>
      <c r="HH12" s="21"/>
      <c r="HI12" s="21"/>
      <c r="HJ12" s="21"/>
      <c r="HK12" s="21"/>
      <c r="HL12" s="21"/>
      <c r="HM12" s="21"/>
      <c r="HN12" s="21"/>
      <c r="HO12" s="21"/>
      <c r="HP12" s="21"/>
      <c r="HQ12" s="21"/>
      <c r="HR12" s="21"/>
      <c r="HS12" s="21"/>
      <c r="HT12" s="21"/>
      <c r="HU12" s="21"/>
      <c r="HV12" s="186"/>
      <c r="HW12" s="21"/>
      <c r="HX12" s="21"/>
      <c r="HY12" s="21"/>
      <c r="HZ12" s="21"/>
      <c r="IA12" s="21"/>
      <c r="IB12" s="21"/>
      <c r="IC12" s="21"/>
      <c r="ID12" s="21"/>
      <c r="IE12" s="21"/>
      <c r="IF12" s="21"/>
      <c r="IG12" s="21"/>
      <c r="IH12" s="21"/>
      <c r="II12" s="21"/>
      <c r="IJ12" s="21"/>
      <c r="IK12" s="21"/>
      <c r="IL12" s="21"/>
      <c r="IM12" s="21"/>
      <c r="IN12" s="21"/>
      <c r="IO12" s="21"/>
      <c r="IP12" s="21"/>
      <c r="IQ12" s="21"/>
      <c r="IR12" s="21"/>
      <c r="IS12" s="21"/>
      <c r="IT12" s="21"/>
      <c r="IU12" s="21"/>
      <c r="IV12" s="21"/>
      <c r="IW12" s="21"/>
      <c r="IX12" s="21"/>
      <c r="IY12" s="21"/>
      <c r="IZ12" s="21"/>
      <c r="JA12" s="21"/>
      <c r="JB12" s="21"/>
      <c r="JC12" s="21"/>
      <c r="JD12" s="21"/>
      <c r="JE12" s="21"/>
      <c r="JF12" s="21"/>
      <c r="JG12" s="21"/>
      <c r="JH12" s="21"/>
      <c r="JI12" s="21"/>
      <c r="JJ12" s="21"/>
      <c r="JK12" s="21"/>
      <c r="JL12" s="21"/>
      <c r="JM12" s="21"/>
      <c r="JN12" s="21"/>
      <c r="JO12" s="21"/>
      <c r="JP12" s="21"/>
      <c r="JQ12" s="21"/>
      <c r="JR12" s="21"/>
      <c r="JS12" s="21"/>
      <c r="JT12" s="21"/>
      <c r="JU12" s="21"/>
      <c r="JV12" s="21"/>
      <c r="JW12" s="21"/>
      <c r="JX12" s="21"/>
      <c r="JY12" s="21"/>
      <c r="JZ12" s="21"/>
      <c r="KA12" s="21"/>
      <c r="KB12" s="21"/>
      <c r="KC12" s="21"/>
      <c r="KD12" s="21"/>
      <c r="KE12" s="21"/>
      <c r="KF12" s="21"/>
      <c r="KG12" s="21"/>
      <c r="KH12" s="21"/>
    </row>
    <row r="13" spans="1:294" x14ac:dyDescent="0.25">
      <c r="A13" s="8"/>
      <c r="B13" s="5" t="s">
        <v>116</v>
      </c>
      <c r="C13" s="8"/>
      <c r="D13" s="40" t="s">
        <v>941</v>
      </c>
      <c r="E13" s="1"/>
      <c r="F13" s="1"/>
      <c r="G13" s="1"/>
      <c r="H13" s="1"/>
      <c r="I13" s="1"/>
      <c r="J13" s="1"/>
      <c r="K13" s="1"/>
      <c r="L13" s="5" t="s">
        <v>1226</v>
      </c>
      <c r="M13" s="11">
        <f>INDEX(cennik!$C$2:$L$529,MATCH($L13,cennik!$B$2:$B$522,0),MATCH(M$2,cennik!$C$1:$L$1,0))</f>
        <v>1618235</v>
      </c>
      <c r="N13" s="11" t="str">
        <f>INDEX(cennik!$C$2:$L$529,MATCH($L13,cennik!$B$2:$B$522,0),MATCH(N$2,cennik!$C$1:$L$1,0))</f>
        <v>mb.</v>
      </c>
      <c r="O13" s="14">
        <f>IF(E5=AK1,0,IF(E5=AK2,(BC12),0))</f>
        <v>0</v>
      </c>
      <c r="P13" s="11">
        <f>INDEX(cennik!$C$2:$L$529,MATCH($L13,cennik!$B$2:$B$522,0),MATCH(P$2,cennik!$C$1:$L$1,0))</f>
        <v>42.28</v>
      </c>
      <c r="Q13" s="14">
        <f t="shared" si="7"/>
        <v>0</v>
      </c>
      <c r="R13" s="14">
        <f t="shared" si="0"/>
        <v>0</v>
      </c>
      <c r="S13" s="34">
        <f t="shared" si="1"/>
        <v>42.28</v>
      </c>
      <c r="T13" s="14">
        <f t="shared" si="8"/>
        <v>0</v>
      </c>
      <c r="U13" s="34">
        <f>INDEX(cennik!$C$2:$L$529,MATCH($L13,cennik!$B$2:$B$522,0),MATCH(U$2,cennik!$C$1:$L$1,0))*O13</f>
        <v>0</v>
      </c>
      <c r="V13" s="21"/>
      <c r="W13" s="21"/>
      <c r="X13" s="21"/>
      <c r="Y13" s="21"/>
      <c r="Z13" s="21"/>
      <c r="AA13" s="21"/>
      <c r="AB13" s="21"/>
      <c r="AC13" s="21"/>
      <c r="AD13" s="21"/>
      <c r="AE13" s="21"/>
      <c r="AF13" s="21" cm="1">
        <f t="array" ref="AF13">INDEX(($Y$109:$Y$126),MATCH(E3,$X$109:$X$126,0),0)</f>
        <v>2000</v>
      </c>
      <c r="AG13" s="21"/>
      <c r="AH13" s="21" t="s">
        <v>1255</v>
      </c>
      <c r="AI13" s="21" t="s">
        <v>1256</v>
      </c>
      <c r="AJ13" s="21"/>
      <c r="AK13" s="21"/>
      <c r="AL13" s="21"/>
      <c r="AM13" s="21"/>
      <c r="AN13" s="21"/>
      <c r="AO13" s="21"/>
      <c r="AP13" s="21"/>
      <c r="AQ13" s="21"/>
      <c r="AR13" s="21"/>
      <c r="AS13" s="21"/>
      <c r="AT13" s="20" t="s">
        <v>471</v>
      </c>
      <c r="AU13" s="26" t="s">
        <v>1232</v>
      </c>
      <c r="AV13" s="21"/>
      <c r="AW13" s="21"/>
      <c r="AX13" s="21"/>
      <c r="AY13" s="21"/>
      <c r="AZ13" s="21"/>
      <c r="BA13" s="21"/>
      <c r="BB13" s="348" t="s">
        <v>1227</v>
      </c>
      <c r="BC13" s="21">
        <f>IF(E9=$AP$2,O3*2,IF(E8=$AH$10,O8,IF(E9=AK8,O3,IF(E7=AF9,O3,0))))</f>
        <v>0</v>
      </c>
      <c r="BD13" s="21"/>
      <c r="BE13" s="21"/>
      <c r="BF13" s="21"/>
      <c r="BG13" s="21"/>
      <c r="BH13" s="21">
        <f t="shared" si="9"/>
        <v>0</v>
      </c>
      <c r="BI13" s="21">
        <f t="shared" si="2"/>
        <v>0</v>
      </c>
      <c r="BJ13" s="21"/>
      <c r="BK13" s="21"/>
      <c r="BL13" s="21"/>
      <c r="BM13" s="21"/>
      <c r="BN13" s="20" t="s">
        <v>479</v>
      </c>
      <c r="BO13" s="20" t="s">
        <v>1288</v>
      </c>
      <c r="BP13" s="21">
        <f>SUM((A2*C2),(A3*C3),(A4*C4),(A5*C5),(A6*C6),(A7*C7),(A8*C8),(A9*C9),(A10*C10),(A11*C11),(A12*C12),(A13*C13),(A14*C14),(A15*C15),(A16*C16),(A17*C17))</f>
        <v>0</v>
      </c>
      <c r="BQ13" s="21">
        <f t="shared" si="3"/>
        <v>0</v>
      </c>
      <c r="BR13" s="21">
        <f t="shared" si="4"/>
        <v>0</v>
      </c>
      <c r="BS13" s="21">
        <f t="shared" si="5"/>
        <v>0</v>
      </c>
      <c r="BT13" s="21">
        <f t="shared" si="6"/>
        <v>0</v>
      </c>
      <c r="BU13" s="21"/>
      <c r="BV13" s="21"/>
      <c r="BW13" s="21"/>
      <c r="BX13" s="21"/>
      <c r="BZ13" s="21"/>
      <c r="CA13" s="21"/>
      <c r="CB13" s="21"/>
      <c r="CC13" s="21"/>
      <c r="CD13" s="21"/>
      <c r="CE13" s="21"/>
      <c r="CF13" s="21"/>
      <c r="CG13" s="21"/>
      <c r="CH13" s="21"/>
      <c r="CI13" s="21"/>
      <c r="CJ13" s="21"/>
      <c r="CK13" s="21"/>
      <c r="CL13" s="21"/>
      <c r="CM13" s="21"/>
      <c r="CN13" s="21"/>
      <c r="CO13" s="21"/>
      <c r="CP13" s="21"/>
      <c r="CQ13" s="21"/>
      <c r="CR13" s="21"/>
      <c r="CS13" s="21"/>
      <c r="CT13" s="21"/>
      <c r="CU13" s="21"/>
      <c r="CV13" s="21"/>
      <c r="CW13" s="21"/>
      <c r="CX13" s="21"/>
      <c r="CY13" s="21"/>
      <c r="CZ13" s="21"/>
      <c r="DA13" s="21"/>
      <c r="DB13" s="21"/>
      <c r="DC13" s="21"/>
      <c r="DD13" s="21"/>
      <c r="DE13" s="21"/>
      <c r="DF13" s="21"/>
      <c r="DG13" s="21"/>
      <c r="DH13" s="21"/>
      <c r="DI13" s="21"/>
      <c r="DJ13" s="21"/>
      <c r="DK13" s="21"/>
      <c r="DL13" s="21"/>
      <c r="DM13" s="21"/>
      <c r="DN13" s="21"/>
      <c r="DO13" s="21"/>
      <c r="DP13" s="21"/>
      <c r="DQ13" s="21"/>
      <c r="DR13" s="21"/>
      <c r="DS13" s="21"/>
      <c r="DT13" s="21"/>
      <c r="DU13" s="21"/>
      <c r="DV13" s="21"/>
      <c r="DW13" s="21"/>
      <c r="DX13" s="21"/>
      <c r="DY13" s="21"/>
      <c r="DZ13" s="87"/>
      <c r="EA13" s="87"/>
      <c r="EB13" s="87"/>
      <c r="EC13" s="21"/>
      <c r="ED13" s="21"/>
      <c r="EE13" s="21"/>
      <c r="EF13" s="21"/>
      <c r="EG13" s="21"/>
      <c r="EH13" s="21"/>
      <c r="EI13" s="21"/>
      <c r="EJ13" s="21"/>
      <c r="EK13" s="21"/>
      <c r="EL13" s="21"/>
      <c r="EM13" s="21"/>
      <c r="EN13" s="21"/>
      <c r="EO13" s="21"/>
      <c r="EP13" s="21"/>
      <c r="EQ13" s="21"/>
      <c r="ER13" s="21"/>
      <c r="ES13" s="21"/>
      <c r="ET13" s="21"/>
      <c r="EU13" s="21"/>
      <c r="EV13" s="21"/>
      <c r="EW13" s="21"/>
      <c r="EX13" s="21"/>
      <c r="EY13" s="21"/>
      <c r="EZ13" s="21"/>
      <c r="FA13" s="21"/>
      <c r="FB13" s="21"/>
      <c r="FC13" s="21"/>
      <c r="FD13" s="21"/>
      <c r="FE13" s="21"/>
      <c r="FF13" s="21"/>
      <c r="FG13" s="21"/>
      <c r="FH13" s="21"/>
      <c r="FI13" s="21"/>
      <c r="FJ13" s="21"/>
      <c r="FK13" s="21"/>
      <c r="FL13" s="21"/>
      <c r="FM13" s="21"/>
      <c r="FN13" s="21"/>
      <c r="FO13" s="21"/>
      <c r="FP13" s="21"/>
      <c r="FQ13" s="21"/>
      <c r="FR13" s="21"/>
      <c r="FS13" s="21"/>
      <c r="FT13" s="21"/>
      <c r="FU13" s="21"/>
      <c r="FV13" s="21"/>
      <c r="FW13" s="21"/>
      <c r="FX13" s="21"/>
      <c r="FY13" s="21"/>
      <c r="FZ13" s="21"/>
      <c r="GA13" s="21"/>
      <c r="GB13" s="21"/>
      <c r="GC13" s="21"/>
      <c r="GD13" s="21"/>
      <c r="GE13" s="21"/>
      <c r="GF13" s="21"/>
      <c r="GG13" s="21"/>
      <c r="GH13" s="21"/>
      <c r="GI13" s="21"/>
      <c r="GJ13" s="21"/>
      <c r="GK13" s="21"/>
      <c r="GL13" s="21"/>
      <c r="GM13" s="21"/>
      <c r="GN13" s="21"/>
      <c r="GO13" s="21"/>
      <c r="GP13" s="21"/>
      <c r="GQ13" s="21"/>
      <c r="GR13" s="21"/>
      <c r="GS13" s="21"/>
      <c r="GT13" s="21"/>
      <c r="GU13" s="21"/>
      <c r="GV13" s="21"/>
      <c r="GW13" s="21"/>
      <c r="GX13" s="21"/>
      <c r="GY13" s="21"/>
      <c r="GZ13" s="21"/>
      <c r="HA13" s="21"/>
      <c r="HB13" s="21"/>
      <c r="HC13" s="21"/>
      <c r="HD13" s="21"/>
      <c r="HE13" s="21"/>
      <c r="HF13" s="21"/>
      <c r="HG13" s="21"/>
      <c r="HH13" s="21"/>
      <c r="HI13" s="21"/>
      <c r="HJ13" s="21"/>
      <c r="HK13" s="21"/>
      <c r="HL13" s="21"/>
      <c r="HM13" s="21"/>
      <c r="HN13" s="21"/>
      <c r="HO13" s="21"/>
      <c r="HP13" s="21"/>
      <c r="HQ13" s="21"/>
      <c r="HR13" s="21"/>
      <c r="HS13" s="21"/>
      <c r="HT13" s="21"/>
      <c r="HU13" s="21"/>
      <c r="HV13" s="186"/>
      <c r="HW13" s="21"/>
      <c r="HX13" s="21"/>
      <c r="HY13" s="21"/>
      <c r="HZ13" s="21"/>
      <c r="IA13" s="21"/>
      <c r="IB13" s="21"/>
      <c r="IC13" s="21"/>
      <c r="ID13" s="21"/>
      <c r="IE13" s="21"/>
      <c r="IF13" s="21"/>
      <c r="IG13" s="21"/>
      <c r="IH13" s="21"/>
      <c r="II13" s="21"/>
      <c r="IJ13" s="21"/>
      <c r="IK13" s="21"/>
      <c r="IL13" s="21"/>
      <c r="IM13" s="21"/>
      <c r="IN13" s="21"/>
      <c r="IO13" s="21"/>
      <c r="IP13" s="21"/>
      <c r="IQ13" s="21"/>
      <c r="IR13" s="21"/>
      <c r="IS13" s="21"/>
      <c r="IT13" s="21"/>
      <c r="IU13" s="21"/>
      <c r="IV13" s="21"/>
      <c r="IW13" s="21"/>
      <c r="IX13" s="21"/>
      <c r="IY13" s="21"/>
      <c r="IZ13" s="21"/>
      <c r="JA13" s="21"/>
      <c r="JB13" s="21"/>
      <c r="JC13" s="21"/>
      <c r="JD13" s="21"/>
      <c r="JE13" s="21"/>
      <c r="JF13" s="21"/>
      <c r="JG13" s="21"/>
      <c r="JH13" s="21"/>
      <c r="JI13" s="21"/>
      <c r="JJ13" s="21"/>
      <c r="JK13" s="21"/>
      <c r="JL13" s="21"/>
      <c r="JM13" s="21"/>
      <c r="JN13" s="21"/>
      <c r="JO13" s="21"/>
      <c r="JP13" s="21"/>
      <c r="JQ13" s="21"/>
      <c r="JR13" s="21"/>
      <c r="JS13" s="21"/>
      <c r="JT13" s="21"/>
      <c r="JU13" s="21"/>
      <c r="JV13" s="21"/>
      <c r="JW13" s="21"/>
      <c r="JX13" s="21"/>
      <c r="JY13" s="21"/>
      <c r="JZ13" s="21"/>
      <c r="KA13" s="21"/>
      <c r="KB13" s="21"/>
      <c r="KC13" s="21"/>
      <c r="KD13" s="21"/>
      <c r="KE13" s="21"/>
      <c r="KF13" s="21"/>
      <c r="KG13" s="21"/>
      <c r="KH13" s="21"/>
    </row>
    <row r="14" spans="1:294" x14ac:dyDescent="0.25">
      <c r="A14" s="8"/>
      <c r="B14" s="5" t="s">
        <v>116</v>
      </c>
      <c r="C14" s="8"/>
      <c r="D14" s="40" t="s">
        <v>797</v>
      </c>
      <c r="E14" s="1"/>
      <c r="F14" s="1"/>
      <c r="G14" s="1"/>
      <c r="H14" s="1"/>
      <c r="I14" s="1"/>
      <c r="J14" s="1"/>
      <c r="K14" s="1"/>
      <c r="L14" s="5" t="str">
        <f>IF(E9=AK7,"SBV95x1100",IF(E8=AH10,"SBV250X350","SBV95x1100"))</f>
        <v>SBV250X350</v>
      </c>
      <c r="M14" s="11">
        <f>INDEX(cennik!$C$2:$L$529,MATCH($L14,cennik!$B$2:$B$522,0),MATCH(M$2,cennik!$C$1:$L$1,0))</f>
        <v>895507</v>
      </c>
      <c r="N14" s="11" t="str">
        <f>INDEX(cennik!$C$2:$L$529,MATCH($L14,cennik!$B$2:$B$522,0),MATCH(N$2,cennik!$C$1:$L$1,0))</f>
        <v>szt.</v>
      </c>
      <c r="O14" s="14">
        <f>IF(E5=AK1,0,IF(E5=AK2,(BC13),0))</f>
        <v>0</v>
      </c>
      <c r="P14" s="11">
        <f>INDEX(cennik!$C$2:$L$529,MATCH($L14,cennik!$B$2:$B$522,0),MATCH(P$2,cennik!$C$1:$L$1,0))</f>
        <v>4.08</v>
      </c>
      <c r="Q14" s="14">
        <f t="shared" si="7"/>
        <v>0</v>
      </c>
      <c r="R14" s="14">
        <f t="shared" si="0"/>
        <v>0</v>
      </c>
      <c r="S14" s="34">
        <f t="shared" si="1"/>
        <v>4.08</v>
      </c>
      <c r="T14" s="14">
        <f t="shared" si="8"/>
        <v>0</v>
      </c>
      <c r="U14" s="34">
        <f>INDEX(cennik!$C$2:$L$529,MATCH($L14,cennik!$B$2:$B$522,0),MATCH(U$2,cennik!$C$1:$L$1,0))*O14</f>
        <v>0</v>
      </c>
      <c r="V14" s="21"/>
      <c r="W14" s="21"/>
      <c r="X14" s="21"/>
      <c r="Y14" s="21"/>
      <c r="Z14" s="21"/>
      <c r="AA14" s="21"/>
      <c r="AB14" s="21"/>
      <c r="AC14" s="21"/>
      <c r="AD14" s="21"/>
      <c r="AE14" s="21"/>
      <c r="AF14" s="21"/>
      <c r="AG14" s="21" t="s">
        <v>1257</v>
      </c>
      <c r="AH14" s="21">
        <f>IF(E6=AF5,0,IF(E6=AF4,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))</f>
        <v>0</v>
      </c>
      <c r="AI14" s="21">
        <f>IF(E6=AF5,0,IF(E6=AF4,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))</f>
        <v>0</v>
      </c>
      <c r="AJ14" s="21"/>
      <c r="AK14" s="21"/>
      <c r="AL14" s="21"/>
      <c r="AM14" s="21"/>
      <c r="AN14" s="21"/>
      <c r="AR14" s="21"/>
      <c r="AS14" s="21"/>
      <c r="AT14" s="20" t="s">
        <v>473</v>
      </c>
      <c r="AU14" s="26" t="s">
        <v>1231</v>
      </c>
      <c r="AV14" s="21"/>
      <c r="AW14" s="21"/>
      <c r="AX14" s="21"/>
      <c r="AY14" s="21"/>
      <c r="AZ14" s="21"/>
      <c r="BA14" s="21"/>
      <c r="BB14" s="348" t="s">
        <v>707</v>
      </c>
      <c r="BC14" s="21"/>
      <c r="BD14" s="21"/>
      <c r="BE14" s="21"/>
      <c r="BF14" s="21"/>
      <c r="BG14" s="21"/>
      <c r="BH14" s="21">
        <f t="shared" si="9"/>
        <v>0</v>
      </c>
      <c r="BI14" s="21">
        <f t="shared" si="2"/>
        <v>0</v>
      </c>
      <c r="BJ14" s="21"/>
      <c r="BK14" s="21"/>
      <c r="BL14" s="21"/>
      <c r="BM14" s="21"/>
      <c r="BN14" s="20" t="s">
        <v>508</v>
      </c>
      <c r="BO14" s="20" t="s">
        <v>1288</v>
      </c>
      <c r="BP14" s="21">
        <f>SUM((A2*C2),(A3*C3),(A4*C4),(A5*C5),(A6*C6),(A7*C7),(A8*C8),(A9*C9),(A10*C10),(A11*C11),(A12*C12),(A13*C13),(A14*C14),(A15*C15),(A16*C16),(A17*C17))</f>
        <v>0</v>
      </c>
      <c r="BQ14" s="21">
        <f t="shared" si="3"/>
        <v>0</v>
      </c>
      <c r="BR14" s="21">
        <f t="shared" si="4"/>
        <v>0</v>
      </c>
      <c r="BS14" s="21">
        <f t="shared" si="5"/>
        <v>0</v>
      </c>
      <c r="BT14" s="21">
        <f t="shared" si="6"/>
        <v>0</v>
      </c>
      <c r="BU14" s="21"/>
      <c r="BV14" s="21"/>
      <c r="BW14" s="21"/>
      <c r="BX14" s="21"/>
      <c r="BZ14" s="21"/>
      <c r="CA14" s="21"/>
      <c r="CB14" s="21"/>
      <c r="CC14" s="21"/>
      <c r="CD14" s="21"/>
      <c r="CE14" s="21"/>
      <c r="CF14" s="21"/>
      <c r="CG14" s="21"/>
      <c r="CH14" s="21"/>
      <c r="CI14" s="21"/>
      <c r="CJ14" s="21"/>
      <c r="CK14" s="21"/>
      <c r="CL14" s="21"/>
      <c r="CM14" s="21"/>
      <c r="CN14" s="21"/>
      <c r="CO14" s="21"/>
      <c r="CP14" s="21"/>
      <c r="CQ14" s="21"/>
      <c r="CR14" s="21"/>
      <c r="CS14" s="21"/>
      <c r="CT14" s="21"/>
      <c r="CU14" s="21"/>
      <c r="CV14" s="21"/>
      <c r="CW14" s="21"/>
      <c r="CX14" s="21"/>
      <c r="CY14" s="21"/>
      <c r="CZ14" s="21"/>
      <c r="DA14" s="21"/>
      <c r="DB14" s="21"/>
      <c r="DC14" s="21"/>
      <c r="DD14" s="21"/>
      <c r="DE14" s="21"/>
      <c r="DF14" s="21"/>
      <c r="DG14" s="21"/>
      <c r="DH14" s="21"/>
      <c r="DI14" s="21"/>
      <c r="DJ14" s="21"/>
      <c r="DK14" s="21"/>
      <c r="DL14" s="21"/>
      <c r="DM14" s="21"/>
      <c r="DN14" s="21"/>
      <c r="DO14" s="21"/>
      <c r="DP14" s="21"/>
      <c r="DQ14" s="21"/>
      <c r="DR14" s="21"/>
      <c r="DS14" s="21"/>
      <c r="DT14" s="21"/>
      <c r="DU14" s="21"/>
      <c r="DV14" s="21"/>
      <c r="DW14" s="21"/>
      <c r="DX14" s="21"/>
      <c r="DY14" s="21"/>
      <c r="DZ14" s="87"/>
      <c r="EA14" s="87"/>
      <c r="EB14" s="87"/>
      <c r="EC14" s="21"/>
      <c r="ED14" s="21"/>
      <c r="EE14" s="21"/>
      <c r="EF14" s="21"/>
      <c r="EG14" s="21"/>
      <c r="EH14" s="21"/>
      <c r="EI14" s="21"/>
      <c r="EJ14" s="21"/>
      <c r="EK14" s="21"/>
      <c r="EL14" s="21"/>
      <c r="EM14" s="21"/>
      <c r="EN14" s="21"/>
      <c r="EO14" s="21"/>
      <c r="EP14" s="21"/>
      <c r="EQ14" s="21"/>
      <c r="ER14" s="21"/>
      <c r="ES14" s="21"/>
      <c r="ET14" s="21"/>
      <c r="EU14" s="21"/>
      <c r="EV14" s="21"/>
      <c r="EW14" s="21"/>
      <c r="EX14" s="21"/>
      <c r="EY14" s="21"/>
      <c r="EZ14" s="21"/>
      <c r="FA14" s="21"/>
      <c r="FB14" s="21"/>
      <c r="FC14" s="21"/>
      <c r="FD14" s="21"/>
      <c r="FE14" s="21"/>
      <c r="FF14" s="21"/>
      <c r="FG14" s="21"/>
      <c r="FH14" s="21"/>
      <c r="FI14" s="21"/>
      <c r="FJ14" s="21"/>
      <c r="FK14" s="21"/>
      <c r="FL14" s="21"/>
      <c r="FM14" s="21"/>
      <c r="FN14" s="21"/>
      <c r="FO14" s="21"/>
      <c r="FP14" s="21"/>
      <c r="FQ14" s="21"/>
      <c r="FR14" s="21"/>
      <c r="FS14" s="21"/>
      <c r="FT14" s="21"/>
      <c r="FU14" s="21"/>
      <c r="FV14" s="21"/>
      <c r="FW14" s="21"/>
      <c r="FX14" s="21"/>
      <c r="FY14" s="21"/>
      <c r="FZ14" s="21"/>
      <c r="GA14" s="21"/>
      <c r="GB14" s="21"/>
      <c r="GC14" s="21"/>
      <c r="GD14" s="21"/>
      <c r="GE14" s="21"/>
      <c r="GF14" s="21"/>
      <c r="GG14" s="21"/>
      <c r="GH14" s="21"/>
      <c r="GI14" s="21"/>
      <c r="GJ14" s="21"/>
      <c r="GK14" s="21"/>
      <c r="GL14" s="21"/>
      <c r="GM14" s="21"/>
      <c r="GN14" s="21"/>
      <c r="GO14" s="21"/>
      <c r="GP14" s="21"/>
      <c r="GQ14" s="21"/>
      <c r="GR14" s="21"/>
      <c r="GS14" s="21"/>
      <c r="GT14" s="21"/>
      <c r="GU14" s="21"/>
      <c r="GV14" s="21"/>
      <c r="GW14" s="21"/>
      <c r="GX14" s="21"/>
      <c r="GY14" s="21"/>
      <c r="GZ14" s="21"/>
      <c r="HA14" s="21"/>
      <c r="HB14" s="21"/>
      <c r="HC14" s="21"/>
      <c r="HD14" s="21"/>
      <c r="HE14" s="21"/>
      <c r="HF14" s="21"/>
      <c r="HG14" s="21"/>
      <c r="HH14" s="21"/>
      <c r="HI14" s="21"/>
      <c r="HJ14" s="21"/>
      <c r="HK14" s="21"/>
      <c r="HL14" s="21"/>
      <c r="HM14" s="21"/>
      <c r="HN14" s="21"/>
      <c r="HO14" s="21"/>
      <c r="HP14" s="21"/>
      <c r="HQ14" s="21"/>
      <c r="HR14" s="21"/>
      <c r="HS14" s="21"/>
      <c r="HT14" s="21"/>
      <c r="HU14" s="21"/>
      <c r="HV14" s="186"/>
      <c r="HW14" s="21"/>
      <c r="HX14" s="21"/>
      <c r="HY14" s="21"/>
      <c r="HZ14" s="21"/>
      <c r="IA14" s="21"/>
      <c r="IB14" s="21"/>
      <c r="IC14" s="21"/>
      <c r="ID14" s="21"/>
      <c r="IE14" s="21"/>
      <c r="IF14" s="21"/>
      <c r="IG14" s="21"/>
      <c r="IH14" s="21"/>
      <c r="II14" s="21"/>
      <c r="IJ14" s="21"/>
      <c r="IK14" s="21"/>
      <c r="IL14" s="21"/>
      <c r="IM14" s="21"/>
      <c r="IN14" s="21"/>
      <c r="IO14" s="21"/>
      <c r="IP14" s="21"/>
      <c r="IQ14" s="21"/>
      <c r="IR14" s="21"/>
      <c r="IS14" s="21"/>
      <c r="IT14" s="21"/>
      <c r="IU14" s="21"/>
      <c r="IV14" s="21"/>
      <c r="IW14" s="21"/>
      <c r="IX14" s="21"/>
      <c r="IY14" s="21"/>
      <c r="IZ14" s="21"/>
      <c r="JA14" s="21"/>
      <c r="JB14" s="21"/>
      <c r="JC14" s="21"/>
      <c r="JD14" s="21"/>
      <c r="JE14" s="21"/>
      <c r="JF14" s="21"/>
      <c r="JG14" s="21"/>
      <c r="JH14" s="21"/>
      <c r="JI14" s="21"/>
      <c r="JJ14" s="21"/>
      <c r="JK14" s="21"/>
      <c r="JL14" s="21"/>
      <c r="JM14" s="21"/>
      <c r="JN14" s="21"/>
      <c r="JO14" s="21"/>
      <c r="JP14" s="21"/>
      <c r="JQ14" s="21"/>
      <c r="JR14" s="21"/>
      <c r="JS14" s="21"/>
      <c r="JT14" s="21"/>
      <c r="JU14" s="21"/>
      <c r="JV14" s="21"/>
      <c r="JW14" s="21"/>
      <c r="JX14" s="21"/>
      <c r="JY14" s="21"/>
      <c r="JZ14" s="21"/>
      <c r="KA14" s="21"/>
      <c r="KB14" s="21"/>
      <c r="KC14" s="21"/>
      <c r="KD14" s="21"/>
      <c r="KE14" s="21"/>
      <c r="KF14" s="21"/>
      <c r="KG14" s="21"/>
      <c r="KH14" s="21"/>
    </row>
    <row r="15" spans="1:294" x14ac:dyDescent="0.25">
      <c r="A15" s="8"/>
      <c r="B15" s="5" t="s">
        <v>116</v>
      </c>
      <c r="C15" s="8"/>
      <c r="D15" s="40" t="s">
        <v>942</v>
      </c>
      <c r="E15" s="1"/>
      <c r="F15" s="87"/>
      <c r="G15" s="1"/>
      <c r="H15" s="1"/>
      <c r="I15" s="1"/>
      <c r="J15" s="1"/>
      <c r="K15" s="1"/>
      <c r="L15" s="5" t="s">
        <v>707</v>
      </c>
      <c r="M15" s="11">
        <f>INDEX(cennik!$C$2:$L$529,MATCH($L15,cennik!$B$2:$B$522,0),MATCH(M$2,cennik!$C$1:$L$1,0))</f>
        <v>99998301</v>
      </c>
      <c r="N15" s="11" t="str">
        <f>INDEX(cennik!$C$2:$L$529,MATCH($L15,cennik!$B$2:$B$522,0),MATCH(N$2,cennik!$C$1:$L$1,0))</f>
        <v>100 szt.</v>
      </c>
      <c r="O15" s="11">
        <f>ROUNDUP(O17/100,0)</f>
        <v>0</v>
      </c>
      <c r="P15" s="11">
        <f>INDEX(cennik!$C$2:$L$529,MATCH($L15,cennik!$B$2:$B$522,0),MATCH(P$2,cennik!$C$1:$L$1,0))</f>
        <v>48.75</v>
      </c>
      <c r="Q15" s="14">
        <f t="shared" si="7"/>
        <v>0</v>
      </c>
      <c r="R15" s="14">
        <f t="shared" si="0"/>
        <v>0</v>
      </c>
      <c r="S15" s="34">
        <f t="shared" si="1"/>
        <v>48.75</v>
      </c>
      <c r="T15" s="14">
        <f t="shared" si="8"/>
        <v>0</v>
      </c>
      <c r="U15" s="34">
        <f>INDEX(cennik!$C$2:$L$529,MATCH($L15,cennik!$B$2:$B$522,0),MATCH(U$2,cennik!$C$1:$L$1,0))*O15</f>
        <v>0</v>
      </c>
      <c r="V15" s="21"/>
      <c r="W15" s="21"/>
      <c r="X15" s="21"/>
      <c r="Y15" s="21"/>
      <c r="Z15" s="21"/>
      <c r="AA15" s="21"/>
      <c r="AB15" s="21"/>
      <c r="AC15" s="21"/>
      <c r="AD15" s="21"/>
      <c r="AE15" s="21"/>
      <c r="AF15" s="21"/>
      <c r="AG15" s="21" t="s">
        <v>1258</v>
      </c>
      <c r="AH15" s="21">
        <v>0</v>
      </c>
      <c r="AI15" s="21">
        <f>IF(E6=AF4,(SUM((A2*4*C2),(A3*4*C3),(A4*4*C4),(A5*4*C5),(A6*4*C6),(A7*4*C7),(A8*4*C8),(A9*4*C9),(A10*4*C10),(A11*4*C11),(A12*4*C12),(A13*4*C13),(A14*4*C14),(A15*4*C15),(A16*4*C16),(A17*4*C17))),0)</f>
        <v>0</v>
      </c>
      <c r="AJ15" s="21"/>
      <c r="AK15" s="21"/>
      <c r="AL15" s="21"/>
      <c r="AM15" s="21"/>
      <c r="AN15" s="21"/>
      <c r="AR15" s="21"/>
      <c r="AS15" s="21"/>
      <c r="AT15" s="20" t="s">
        <v>473</v>
      </c>
      <c r="AU15" s="26" t="s">
        <v>1232</v>
      </c>
      <c r="AV15" s="21"/>
      <c r="AW15" s="21"/>
      <c r="AX15" s="21"/>
      <c r="AY15" s="21"/>
      <c r="AZ15" s="21"/>
      <c r="BA15" s="21"/>
      <c r="BB15" s="348" t="s">
        <v>623</v>
      </c>
      <c r="BC15" s="21"/>
      <c r="BD15" s="21"/>
      <c r="BE15" s="21"/>
      <c r="BF15" s="21"/>
      <c r="BG15" s="21"/>
      <c r="BH15" s="21">
        <f t="shared" si="9"/>
        <v>0</v>
      </c>
      <c r="BI15" s="21">
        <f t="shared" si="2"/>
        <v>0</v>
      </c>
      <c r="BJ15" s="21"/>
      <c r="BK15" s="21"/>
      <c r="BL15" s="21"/>
      <c r="BM15" s="21"/>
      <c r="BN15" s="20" t="s">
        <v>507</v>
      </c>
      <c r="BO15" s="20" t="s">
        <v>1288</v>
      </c>
      <c r="BP15" s="21">
        <f>SUM((A2*C2),(A3*C3),(A4*C4),(A5*C5),(A6*C6),(A7*C7),(A8*C8),(A9*C9),(A10*C10),(A11*C11),(A12*C12),(A13*C13),(A14*C14),(A15*C15),(A16*C16),(A17*C17))</f>
        <v>0</v>
      </c>
      <c r="BQ15" s="21">
        <f t="shared" si="3"/>
        <v>0</v>
      </c>
      <c r="BR15" s="21">
        <f t="shared" si="4"/>
        <v>0</v>
      </c>
      <c r="BS15" s="21">
        <f t="shared" si="5"/>
        <v>0</v>
      </c>
      <c r="BT15" s="21">
        <f t="shared" si="6"/>
        <v>0</v>
      </c>
      <c r="BU15" s="21"/>
      <c r="BV15" s="21"/>
      <c r="BW15" s="21"/>
      <c r="BX15" s="21"/>
      <c r="BZ15" s="21"/>
      <c r="CA15" s="21"/>
      <c r="CB15" s="21"/>
      <c r="CC15" s="21"/>
      <c r="CD15" s="21"/>
      <c r="CE15" s="21"/>
      <c r="CF15" s="21"/>
      <c r="CG15" s="21"/>
      <c r="CH15" s="21"/>
      <c r="CI15" s="21"/>
      <c r="CJ15" s="21"/>
      <c r="CK15" s="21"/>
      <c r="CL15" s="21"/>
      <c r="CM15" s="21"/>
      <c r="CN15" s="21"/>
      <c r="CO15" s="21"/>
      <c r="CP15" s="21"/>
      <c r="CQ15" s="21"/>
      <c r="CR15" s="21"/>
      <c r="CS15" s="21"/>
      <c r="CT15" s="21"/>
      <c r="CU15" s="21"/>
      <c r="CV15" s="21"/>
      <c r="CW15" s="21"/>
      <c r="CX15" s="21"/>
      <c r="CY15" s="21"/>
      <c r="CZ15" s="21"/>
      <c r="DA15" s="21"/>
      <c r="DB15" s="21"/>
      <c r="DC15" s="21"/>
      <c r="DD15" s="21"/>
      <c r="DE15" s="21"/>
      <c r="DF15" s="21"/>
      <c r="DG15" s="21"/>
      <c r="DH15" s="21"/>
      <c r="DI15" s="21"/>
      <c r="DJ15" s="21"/>
      <c r="DK15" s="21"/>
      <c r="DL15" s="21"/>
      <c r="DM15" s="21"/>
      <c r="DN15" s="21"/>
      <c r="DO15" s="21"/>
      <c r="DP15" s="21"/>
      <c r="DQ15" s="21"/>
      <c r="DR15" s="21"/>
      <c r="DS15" s="21"/>
      <c r="DT15" s="21"/>
      <c r="DU15" s="21"/>
      <c r="DV15" s="21"/>
      <c r="DW15" s="21"/>
      <c r="DX15" s="21"/>
      <c r="DY15" s="21"/>
      <c r="DZ15" s="87"/>
      <c r="EA15" s="87"/>
      <c r="EB15" s="87"/>
      <c r="EC15" s="21"/>
      <c r="ED15" s="21"/>
      <c r="EE15" s="21"/>
      <c r="EF15" s="21"/>
      <c r="EG15" s="21"/>
      <c r="EH15" s="21"/>
      <c r="EI15" s="21"/>
      <c r="EJ15" s="21"/>
      <c r="EK15" s="21"/>
      <c r="EL15" s="21"/>
      <c r="EM15" s="21"/>
      <c r="EN15" s="21"/>
      <c r="EO15" s="21"/>
      <c r="EP15" s="21"/>
      <c r="EQ15" s="21"/>
      <c r="ER15" s="21"/>
      <c r="ES15" s="21"/>
      <c r="ET15" s="21"/>
      <c r="EU15" s="21"/>
      <c r="EV15" s="21"/>
      <c r="EW15" s="21"/>
      <c r="EX15" s="21"/>
      <c r="EY15" s="21"/>
      <c r="EZ15" s="21"/>
      <c r="FA15" s="21"/>
      <c r="FB15" s="21"/>
      <c r="FC15" s="21"/>
      <c r="FD15" s="21"/>
      <c r="FE15" s="21"/>
      <c r="FF15" s="21"/>
      <c r="FG15" s="21"/>
      <c r="FH15" s="21"/>
      <c r="FI15" s="21"/>
      <c r="FJ15" s="21"/>
      <c r="FK15" s="21"/>
      <c r="FL15" s="21"/>
      <c r="FM15" s="21"/>
      <c r="FN15" s="21"/>
      <c r="FO15" s="21"/>
      <c r="FP15" s="21"/>
      <c r="FQ15" s="21"/>
      <c r="FR15" s="21"/>
      <c r="FS15" s="21"/>
      <c r="FT15" s="21"/>
      <c r="FU15" s="21"/>
      <c r="FV15" s="21"/>
      <c r="FW15" s="21"/>
      <c r="FX15" s="21"/>
      <c r="FY15" s="21"/>
      <c r="FZ15" s="21"/>
      <c r="GA15" s="21"/>
      <c r="GB15" s="21"/>
      <c r="GC15" s="21"/>
      <c r="GD15" s="21"/>
      <c r="GE15" s="21"/>
      <c r="GF15" s="21"/>
      <c r="GG15" s="21"/>
      <c r="GH15" s="21"/>
      <c r="GI15" s="21"/>
      <c r="GJ15" s="21"/>
      <c r="GK15" s="21"/>
      <c r="GL15" s="21"/>
      <c r="GM15" s="21"/>
      <c r="GN15" s="21"/>
      <c r="GO15" s="21"/>
      <c r="GP15" s="21"/>
      <c r="GQ15" s="21"/>
      <c r="GR15" s="21"/>
      <c r="GS15" s="21"/>
      <c r="GT15" s="21"/>
      <c r="GU15" s="21"/>
      <c r="GV15" s="21"/>
      <c r="GW15" s="21"/>
      <c r="GX15" s="21"/>
      <c r="GY15" s="21"/>
      <c r="GZ15" s="21"/>
      <c r="HA15" s="21"/>
      <c r="HB15" s="21"/>
      <c r="HC15" s="21"/>
      <c r="HD15" s="21"/>
      <c r="HE15" s="21"/>
      <c r="HF15" s="21"/>
      <c r="HG15" s="21"/>
      <c r="HH15" s="21"/>
      <c r="HI15" s="21"/>
      <c r="HJ15" s="21"/>
      <c r="HK15" s="21"/>
      <c r="HL15" s="21"/>
      <c r="HM15" s="21"/>
      <c r="HN15" s="21"/>
      <c r="HO15" s="21"/>
      <c r="HP15" s="21"/>
      <c r="HQ15" s="21"/>
      <c r="HR15" s="21"/>
      <c r="HS15" s="21"/>
      <c r="HT15" s="21"/>
      <c r="HU15" s="21"/>
      <c r="HV15" s="186"/>
      <c r="HW15" s="21"/>
      <c r="HX15" s="21"/>
      <c r="HY15" s="21"/>
      <c r="HZ15" s="21"/>
      <c r="IA15" s="21"/>
      <c r="IB15" s="21"/>
      <c r="IC15" s="21"/>
      <c r="ID15" s="21"/>
      <c r="IE15" s="21"/>
      <c r="IF15" s="21"/>
      <c r="IG15" s="21"/>
      <c r="IH15" s="21"/>
      <c r="II15" s="21"/>
      <c r="IJ15" s="21"/>
      <c r="IK15" s="21"/>
      <c r="IL15" s="21"/>
      <c r="IM15" s="21"/>
      <c r="IN15" s="21"/>
      <c r="IO15" s="21"/>
      <c r="IP15" s="21"/>
      <c r="IQ15" s="21"/>
      <c r="IR15" s="21"/>
      <c r="IS15" s="21"/>
      <c r="IT15" s="21"/>
      <c r="IU15" s="21"/>
      <c r="IV15" s="21"/>
      <c r="IW15" s="21"/>
      <c r="IX15" s="21"/>
      <c r="IY15" s="21"/>
      <c r="IZ15" s="21"/>
      <c r="JA15" s="21"/>
      <c r="JB15" s="21"/>
      <c r="JC15" s="21"/>
      <c r="JD15" s="21"/>
      <c r="JE15" s="21"/>
      <c r="JF15" s="21"/>
      <c r="JG15" s="21"/>
      <c r="JH15" s="21"/>
      <c r="JI15" s="21"/>
      <c r="JJ15" s="21"/>
      <c r="JK15" s="21"/>
      <c r="JL15" s="21"/>
      <c r="JM15" s="21"/>
      <c r="JN15" s="21"/>
      <c r="JO15" s="21"/>
      <c r="JP15" s="21"/>
      <c r="JQ15" s="21"/>
      <c r="JR15" s="21"/>
      <c r="JS15" s="21"/>
      <c r="JT15" s="21"/>
      <c r="JU15" s="21"/>
      <c r="JV15" s="21"/>
      <c r="JW15" s="21"/>
      <c r="JX15" s="21"/>
      <c r="JY15" s="21"/>
      <c r="JZ15" s="21"/>
      <c r="KA15" s="21"/>
      <c r="KB15" s="21"/>
      <c r="KC15" s="21"/>
      <c r="KD15" s="21"/>
      <c r="KE15" s="21"/>
      <c r="KF15" s="21"/>
      <c r="KG15" s="21"/>
      <c r="KH15" s="21"/>
    </row>
    <row r="16" spans="1:294" x14ac:dyDescent="0.25">
      <c r="A16" s="8"/>
      <c r="B16" s="5" t="s">
        <v>116</v>
      </c>
      <c r="C16" s="8"/>
      <c r="D16" s="40" t="s">
        <v>943</v>
      </c>
      <c r="E16" s="1"/>
      <c r="F16" s="1"/>
      <c r="G16" s="1"/>
      <c r="H16" s="1"/>
      <c r="I16" s="1"/>
      <c r="J16" s="1"/>
      <c r="K16" s="1"/>
      <c r="L16" s="5" t="s">
        <v>623</v>
      </c>
      <c r="M16" s="11">
        <f>INDEX(cennik!$C$2:$L$529,MATCH($L16,cennik!$B$2:$B$522,0),MATCH(M$2,cennik!$C$1:$L$1,0))</f>
        <v>660944</v>
      </c>
      <c r="N16" s="11" t="str">
        <f>INDEX(cennik!$C$2:$L$529,MATCH($L16,cennik!$B$2:$B$522,0),MATCH(N$2,cennik!$C$1:$L$1,0))</f>
        <v>100 szt.</v>
      </c>
      <c r="O16" s="14">
        <f>O15</f>
        <v>0</v>
      </c>
      <c r="P16" s="11">
        <f>INDEX(cennik!$C$2:$L$529,MATCH($L16,cennik!$B$2:$B$522,0),MATCH(P$2,cennik!$C$1:$L$1,0))</f>
        <v>21.26</v>
      </c>
      <c r="Q16" s="14">
        <f t="shared" si="7"/>
        <v>0</v>
      </c>
      <c r="R16" s="14">
        <f t="shared" si="0"/>
        <v>0</v>
      </c>
      <c r="S16" s="34">
        <f t="shared" si="1"/>
        <v>21.26</v>
      </c>
      <c r="T16" s="14">
        <f t="shared" si="8"/>
        <v>0</v>
      </c>
      <c r="U16" s="34">
        <f>INDEX(cennik!$C$2:$L$529,MATCH($L16,cennik!$B$2:$B$522,0),MATCH(U$2,cennik!$C$1:$L$1,0))*O16</f>
        <v>0</v>
      </c>
      <c r="V16" s="21"/>
      <c r="W16" s="21"/>
      <c r="X16" s="21"/>
      <c r="Y16" s="21"/>
      <c r="Z16" s="21"/>
      <c r="AA16" s="21"/>
      <c r="AB16" s="21"/>
      <c r="AC16" s="21"/>
      <c r="AD16" s="21"/>
      <c r="AE16" s="21"/>
      <c r="AF16" s="21"/>
      <c r="AG16" s="21"/>
      <c r="AH16" s="21"/>
      <c r="AI16" s="21"/>
      <c r="AJ16" s="21"/>
      <c r="AK16" s="21"/>
      <c r="AL16" s="21"/>
      <c r="AM16" s="21"/>
      <c r="AN16" s="21"/>
      <c r="AQ16" s="26"/>
      <c r="AR16" s="21"/>
      <c r="AS16" s="21"/>
      <c r="AT16" s="20" t="s">
        <v>113</v>
      </c>
      <c r="AU16" s="26" t="s">
        <v>1231</v>
      </c>
      <c r="AV16" s="21"/>
      <c r="AW16" s="21"/>
      <c r="AX16" s="21"/>
      <c r="AY16" s="21"/>
      <c r="AZ16" s="21"/>
      <c r="BA16" s="21"/>
      <c r="BB16" s="348" t="s">
        <v>91</v>
      </c>
      <c r="BC16" s="21"/>
      <c r="BD16" s="21"/>
      <c r="BE16" s="21"/>
      <c r="BF16" s="21"/>
      <c r="BG16" s="21"/>
      <c r="BH16" s="21">
        <f t="shared" si="9"/>
        <v>0</v>
      </c>
      <c r="BI16" s="21">
        <f t="shared" si="2"/>
        <v>0</v>
      </c>
      <c r="BJ16" s="21"/>
      <c r="BK16" s="21"/>
      <c r="BL16" s="21"/>
      <c r="BM16" s="21"/>
      <c r="BN16" s="20" t="s">
        <v>763</v>
      </c>
      <c r="BO16" s="20" t="s">
        <v>1314</v>
      </c>
      <c r="BP16" s="21">
        <f>SUM((A2*C2),(A3*C3),(A4*C4),(A5*C5),(A6*C6),(A7*C7),(A8*C8),(A9*C9),(A10*C10),(A11*C11),(A12*C12),(A13*C13),(A14*C14),(A15*C15),(A16*C16),(A17*C17))</f>
        <v>0</v>
      </c>
      <c r="BQ16" s="21">
        <f t="shared" si="3"/>
        <v>0</v>
      </c>
      <c r="BR16" s="21">
        <f t="shared" si="4"/>
        <v>0</v>
      </c>
      <c r="BS16" s="21">
        <f t="shared" si="5"/>
        <v>0</v>
      </c>
      <c r="BT16" s="21">
        <f t="shared" si="6"/>
        <v>0</v>
      </c>
      <c r="BU16" s="21"/>
      <c r="BV16" s="21"/>
      <c r="BW16" s="21"/>
      <c r="BX16" s="21"/>
      <c r="BZ16" s="21"/>
      <c r="CA16" s="21"/>
      <c r="CB16" s="21"/>
      <c r="CC16" s="21"/>
      <c r="CD16" s="21"/>
      <c r="CE16" s="21"/>
      <c r="CF16" s="21"/>
      <c r="CG16" s="21"/>
      <c r="CH16" s="21"/>
      <c r="CI16" s="21"/>
      <c r="CJ16" s="21"/>
      <c r="CK16" s="21"/>
      <c r="CL16" s="21"/>
      <c r="CM16" s="21"/>
      <c r="CN16" s="21"/>
      <c r="CO16" s="21"/>
      <c r="CP16" s="21"/>
      <c r="CQ16" s="21"/>
      <c r="CR16" s="21"/>
      <c r="CS16" s="21"/>
      <c r="CT16" s="21"/>
      <c r="CU16" s="21"/>
      <c r="CV16" s="21"/>
      <c r="CW16" s="21"/>
      <c r="CX16" s="21"/>
      <c r="CY16" s="21"/>
      <c r="CZ16" s="21"/>
      <c r="DA16" s="21"/>
      <c r="DB16" s="21"/>
      <c r="DC16" s="21"/>
      <c r="DD16" s="21"/>
      <c r="DE16" s="21"/>
      <c r="DF16" s="21"/>
      <c r="DG16" s="21"/>
      <c r="DH16" s="21"/>
      <c r="DI16" s="21"/>
      <c r="DJ16" s="21"/>
      <c r="DK16" s="21"/>
      <c r="DL16" s="21"/>
      <c r="DM16" s="21"/>
      <c r="DN16" s="21"/>
      <c r="DO16" s="21"/>
      <c r="DP16" s="21"/>
      <c r="DQ16" s="21"/>
      <c r="DR16" s="21"/>
      <c r="DS16" s="21"/>
      <c r="DT16" s="21"/>
      <c r="DU16" s="21"/>
      <c r="DV16" s="21"/>
      <c r="DW16" s="21"/>
      <c r="DX16" s="21"/>
      <c r="DY16" s="21"/>
      <c r="DZ16" s="87"/>
      <c r="EA16" s="87"/>
      <c r="EB16" s="87"/>
      <c r="EC16" s="21"/>
      <c r="ED16" s="21"/>
      <c r="EE16" s="21"/>
      <c r="EF16" s="21"/>
      <c r="EG16" s="21"/>
      <c r="EH16" s="21"/>
      <c r="EI16" s="21"/>
      <c r="EJ16" s="21"/>
      <c r="EK16" s="21"/>
      <c r="EL16" s="21"/>
      <c r="EM16" s="21"/>
      <c r="EN16" s="21"/>
      <c r="EO16" s="21"/>
      <c r="EP16" s="21"/>
      <c r="EQ16" s="21"/>
      <c r="ER16" s="21"/>
      <c r="ES16" s="21"/>
      <c r="ET16" s="21"/>
      <c r="EU16" s="21"/>
      <c r="EV16" s="21"/>
      <c r="EW16" s="21"/>
      <c r="EX16" s="21"/>
      <c r="EY16" s="21"/>
      <c r="EZ16" s="21"/>
      <c r="FA16" s="21"/>
      <c r="FB16" s="21"/>
      <c r="FC16" s="21"/>
      <c r="FD16" s="21"/>
      <c r="FE16" s="21"/>
      <c r="FF16" s="21"/>
      <c r="FG16" s="21"/>
      <c r="FH16" s="21"/>
      <c r="FI16" s="21"/>
      <c r="FJ16" s="21"/>
      <c r="FK16" s="21"/>
      <c r="FL16" s="21"/>
      <c r="FM16" s="21"/>
      <c r="FN16" s="21"/>
      <c r="FO16" s="21"/>
      <c r="FP16" s="21"/>
      <c r="FQ16" s="21"/>
      <c r="FR16" s="21"/>
      <c r="FS16" s="21"/>
      <c r="FT16" s="21"/>
      <c r="FU16" s="21"/>
      <c r="FV16" s="21"/>
      <c r="FW16" s="21"/>
      <c r="FX16" s="21"/>
      <c r="FY16" s="21"/>
      <c r="FZ16" s="21"/>
      <c r="GA16" s="21"/>
      <c r="GB16" s="21"/>
      <c r="GC16" s="21"/>
      <c r="GD16" s="21"/>
      <c r="GE16" s="21"/>
      <c r="GF16" s="21"/>
      <c r="GG16" s="21"/>
      <c r="GH16" s="21"/>
      <c r="GI16" s="21"/>
      <c r="GJ16" s="21"/>
      <c r="GK16" s="21"/>
      <c r="GL16" s="21"/>
      <c r="GM16" s="21"/>
      <c r="GN16" s="21"/>
      <c r="GO16" s="21"/>
      <c r="GP16" s="21"/>
      <c r="GQ16" s="21"/>
      <c r="GR16" s="21"/>
      <c r="GS16" s="21"/>
      <c r="GT16" s="21"/>
      <c r="GU16" s="21"/>
      <c r="GV16" s="21"/>
      <c r="GW16" s="21"/>
      <c r="GX16" s="21"/>
      <c r="GY16" s="21"/>
      <c r="GZ16" s="21"/>
      <c r="HA16" s="21"/>
      <c r="HB16" s="21"/>
      <c r="HC16" s="21"/>
      <c r="HD16" s="21"/>
      <c r="HE16" s="21"/>
      <c r="HF16" s="21"/>
      <c r="HG16" s="21"/>
      <c r="HH16" s="21"/>
      <c r="HI16" s="21"/>
      <c r="HJ16" s="21"/>
      <c r="HK16" s="21"/>
      <c r="HL16" s="21"/>
      <c r="HM16" s="21"/>
      <c r="HN16" s="21"/>
      <c r="HO16" s="21"/>
      <c r="HP16" s="21"/>
      <c r="HQ16" s="21"/>
      <c r="HR16" s="21"/>
      <c r="HS16" s="21"/>
      <c r="HT16" s="21"/>
      <c r="HU16" s="21"/>
      <c r="HV16" s="186"/>
      <c r="HW16" s="21"/>
      <c r="HX16" s="21"/>
      <c r="HY16" s="21"/>
      <c r="HZ16" s="21"/>
      <c r="IA16" s="21"/>
      <c r="IB16" s="21"/>
      <c r="IC16" s="21"/>
      <c r="ID16" s="21"/>
      <c r="IE16" s="21"/>
      <c r="IF16" s="21"/>
      <c r="IG16" s="21"/>
      <c r="IH16" s="21"/>
      <c r="II16" s="21"/>
      <c r="IJ16" s="21"/>
      <c r="IK16" s="21"/>
      <c r="IL16" s="21"/>
      <c r="IM16" s="21"/>
      <c r="IN16" s="21"/>
      <c r="IO16" s="21"/>
      <c r="IP16" s="21"/>
      <c r="IQ16" s="21"/>
      <c r="IR16" s="21"/>
      <c r="IS16" s="21"/>
      <c r="IT16" s="21"/>
      <c r="IU16" s="21"/>
      <c r="IV16" s="21"/>
      <c r="IW16" s="21"/>
      <c r="IX16" s="21"/>
      <c r="IY16" s="21"/>
      <c r="IZ16" s="21"/>
      <c r="JA16" s="21"/>
      <c r="JB16" s="21"/>
      <c r="JC16" s="21"/>
      <c r="JD16" s="21"/>
      <c r="JE16" s="21"/>
      <c r="JF16" s="21"/>
      <c r="JG16" s="21"/>
      <c r="JH16" s="21"/>
      <c r="JI16" s="21"/>
      <c r="JJ16" s="21"/>
      <c r="JK16" s="21"/>
      <c r="JL16" s="21"/>
      <c r="JM16" s="21"/>
      <c r="JN16" s="21"/>
      <c r="JO16" s="21"/>
      <c r="JP16" s="21"/>
      <c r="JQ16" s="21"/>
      <c r="JR16" s="21"/>
      <c r="JS16" s="21"/>
      <c r="JT16" s="21"/>
      <c r="JU16" s="21"/>
      <c r="JV16" s="21"/>
      <c r="JW16" s="21"/>
      <c r="JX16" s="21"/>
      <c r="JY16" s="21"/>
      <c r="JZ16" s="21"/>
      <c r="KA16" s="21"/>
      <c r="KB16" s="21"/>
      <c r="KC16" s="21"/>
      <c r="KD16" s="21"/>
      <c r="KE16" s="21"/>
      <c r="KF16" s="21"/>
      <c r="KG16" s="21"/>
      <c r="KH16" s="21"/>
    </row>
    <row r="17" spans="1:294" x14ac:dyDescent="0.25">
      <c r="A17" s="8"/>
      <c r="B17" s="5" t="s">
        <v>116</v>
      </c>
      <c r="C17" s="8"/>
      <c r="D17" s="1"/>
      <c r="E17" s="1"/>
      <c r="F17" s="1"/>
      <c r="G17" s="1"/>
      <c r="H17" s="1"/>
      <c r="I17" s="1"/>
      <c r="J17" s="1"/>
      <c r="K17" s="1"/>
      <c r="L17" s="5" t="s">
        <v>91</v>
      </c>
      <c r="M17" s="11">
        <f>INDEX(cennik!$C$2:$L$529,MATCH($L17,cennik!$B$2:$B$522,0),MATCH(M$2,cennik!$C$1:$L$1,0))</f>
        <v>890433</v>
      </c>
      <c r="N17" s="11" t="str">
        <f>INDEX(cennik!$C$2:$L$529,MATCH($L17,cennik!$B$2:$B$522,0),MATCH(N$2,cennik!$C$1:$L$1,0))</f>
        <v>szt.</v>
      </c>
      <c r="O17" s="14">
        <f>IF(E7=AF10,O3*3,0)</f>
        <v>0</v>
      </c>
      <c r="P17" s="11">
        <f>INDEX(cennik!$C$2:$L$529,MATCH($L17,cennik!$B$2:$B$522,0),MATCH(P$2,cennik!$C$1:$L$1,0))</f>
        <v>20.36</v>
      </c>
      <c r="Q17" s="14">
        <f t="shared" si="7"/>
        <v>0</v>
      </c>
      <c r="R17" s="14">
        <f t="shared" si="0"/>
        <v>0</v>
      </c>
      <c r="S17" s="34">
        <f t="shared" si="1"/>
        <v>20.36</v>
      </c>
      <c r="T17" s="14">
        <f t="shared" si="8"/>
        <v>0</v>
      </c>
      <c r="U17" s="34">
        <f>INDEX(cennik!$C$2:$L$529,MATCH($L17,cennik!$B$2:$B$522,0),MATCH(U$2,cennik!$C$1:$L$1,0))*O17</f>
        <v>0</v>
      </c>
      <c r="V17" s="21"/>
      <c r="W17" s="21"/>
      <c r="X17" s="21"/>
      <c r="Y17" s="21"/>
      <c r="Z17" s="21"/>
      <c r="AA17" s="21"/>
      <c r="AB17" s="21"/>
      <c r="AC17" s="21"/>
      <c r="AD17" s="21"/>
      <c r="AE17" s="21"/>
      <c r="AF17" s="21"/>
      <c r="AG17" s="21"/>
      <c r="AH17" s="21"/>
      <c r="AI17" s="21"/>
      <c r="AJ17" s="21"/>
      <c r="AK17" s="21"/>
      <c r="AL17" s="21"/>
      <c r="AM17" s="21"/>
      <c r="AN17" s="21"/>
      <c r="AQ17" s="21"/>
      <c r="AR17" s="21"/>
      <c r="AS17" s="21"/>
      <c r="AT17" s="20" t="s">
        <v>113</v>
      </c>
      <c r="AU17" s="26" t="s">
        <v>1232</v>
      </c>
      <c r="AV17" s="21"/>
      <c r="AW17" s="21"/>
      <c r="AX17" s="21"/>
      <c r="AY17" s="21"/>
      <c r="AZ17" s="21"/>
      <c r="BA17" s="21"/>
      <c r="BB17" s="348" t="s">
        <v>1254</v>
      </c>
      <c r="BC17" s="21">
        <f>IF(E8=AH7,O3*2,0)</f>
        <v>0</v>
      </c>
      <c r="BD17" s="21"/>
      <c r="BE17" s="21"/>
      <c r="BF17" s="21"/>
      <c r="BG17" s="21"/>
      <c r="BH17" s="21">
        <f t="shared" si="9"/>
        <v>0</v>
      </c>
      <c r="BI17" s="21">
        <f t="shared" si="2"/>
        <v>0</v>
      </c>
      <c r="BJ17" s="21"/>
      <c r="BK17" s="21"/>
      <c r="BL17" s="21"/>
      <c r="BM17" s="21"/>
      <c r="BN17" s="20" t="s">
        <v>764</v>
      </c>
      <c r="BO17" s="20" t="s">
        <v>1314</v>
      </c>
      <c r="BP17" s="21">
        <f>SUM((A2*C2),(A3*C3),(A4*C4),(A5*C5),(A6*C6),(A7*C7),(A8*C8),(A9*C9),(A10*C10),(A11*C11),(A12*C12),(A13*C13),(A14*C14),(A15*C15),(A16*C16),(A17*C17))</f>
        <v>0</v>
      </c>
      <c r="BQ17" s="21">
        <f t="shared" si="3"/>
        <v>0</v>
      </c>
      <c r="BR17" s="21">
        <f t="shared" si="4"/>
        <v>0</v>
      </c>
      <c r="BS17" s="21">
        <f t="shared" si="5"/>
        <v>0</v>
      </c>
      <c r="BT17" s="21">
        <f t="shared" si="6"/>
        <v>0</v>
      </c>
      <c r="BU17" s="21"/>
      <c r="BV17" s="21"/>
      <c r="BW17" s="21"/>
      <c r="BX17" s="21"/>
      <c r="BZ17" s="21"/>
      <c r="CA17" s="21"/>
      <c r="CB17" s="21"/>
      <c r="CC17" s="21"/>
      <c r="CD17" s="21"/>
      <c r="CE17" s="21"/>
      <c r="CF17" s="21"/>
      <c r="CG17" s="21"/>
      <c r="CH17" s="21"/>
      <c r="CI17" s="21"/>
      <c r="CJ17" s="21"/>
      <c r="CK17" s="21"/>
      <c r="CL17" s="21"/>
      <c r="CM17" s="21"/>
      <c r="CN17" s="21"/>
      <c r="CO17" s="21"/>
      <c r="CP17" s="21"/>
      <c r="CQ17" s="21"/>
      <c r="CR17" s="21"/>
      <c r="CS17" s="21"/>
      <c r="CT17" s="21"/>
      <c r="CU17" s="21"/>
      <c r="CV17" s="21"/>
      <c r="CW17" s="21"/>
      <c r="CX17" s="21"/>
      <c r="CY17" s="21"/>
      <c r="CZ17" s="21"/>
      <c r="DA17" s="21"/>
      <c r="DB17" s="21"/>
      <c r="DC17" s="21"/>
      <c r="DD17" s="21"/>
      <c r="DE17" s="21"/>
      <c r="DF17" s="21"/>
      <c r="DG17" s="21"/>
      <c r="DH17" s="21"/>
      <c r="DI17" s="21"/>
      <c r="DJ17" s="21"/>
      <c r="DK17" s="21"/>
      <c r="DL17" s="21"/>
      <c r="DM17" s="21"/>
      <c r="DN17" s="21"/>
      <c r="DO17" s="21"/>
      <c r="DP17" s="21"/>
      <c r="DQ17" s="21"/>
      <c r="DR17" s="21"/>
      <c r="DS17" s="21"/>
      <c r="DT17" s="21"/>
      <c r="DU17" s="21"/>
      <c r="DV17" s="21"/>
      <c r="DW17" s="21"/>
      <c r="DX17" s="21"/>
      <c r="DY17" s="21"/>
      <c r="DZ17" s="87"/>
      <c r="EA17" s="87"/>
      <c r="EB17" s="87"/>
      <c r="EC17" s="21"/>
      <c r="ED17" s="21"/>
      <c r="EE17" s="21"/>
      <c r="EF17" s="21"/>
      <c r="EG17" s="21"/>
      <c r="EH17" s="21"/>
      <c r="EI17" s="21"/>
      <c r="EJ17" s="21"/>
      <c r="EK17" s="21"/>
      <c r="EL17" s="21"/>
      <c r="EM17" s="21"/>
      <c r="EN17" s="21"/>
      <c r="EO17" s="21"/>
      <c r="EP17" s="21"/>
      <c r="EQ17" s="21"/>
      <c r="ER17" s="21"/>
      <c r="ES17" s="21"/>
      <c r="ET17" s="21"/>
      <c r="EU17" s="21"/>
      <c r="EV17" s="21"/>
      <c r="EW17" s="21"/>
      <c r="EX17" s="21"/>
      <c r="EY17" s="21"/>
      <c r="EZ17" s="21"/>
      <c r="FA17" s="21"/>
      <c r="FB17" s="21"/>
      <c r="FC17" s="21"/>
      <c r="FD17" s="21"/>
      <c r="FE17" s="21"/>
      <c r="FF17" s="21"/>
      <c r="FG17" s="21"/>
      <c r="FH17" s="21"/>
      <c r="FI17" s="21"/>
      <c r="FJ17" s="21"/>
      <c r="FK17" s="21"/>
      <c r="FL17" s="21"/>
      <c r="FM17" s="21"/>
      <c r="FN17" s="21"/>
      <c r="FO17" s="21"/>
      <c r="FP17" s="21"/>
      <c r="FQ17" s="21"/>
      <c r="FR17" s="21"/>
      <c r="FS17" s="21"/>
      <c r="FT17" s="21"/>
      <c r="FU17" s="21"/>
      <c r="FV17" s="21"/>
      <c r="FW17" s="21"/>
      <c r="FX17" s="21"/>
      <c r="FY17" s="21"/>
      <c r="FZ17" s="21"/>
      <c r="GA17" s="21"/>
      <c r="GB17" s="21"/>
      <c r="GC17" s="21"/>
      <c r="GD17" s="21"/>
      <c r="GE17" s="21"/>
      <c r="GF17" s="21"/>
      <c r="GG17" s="21"/>
      <c r="GH17" s="21"/>
      <c r="GI17" s="21"/>
      <c r="GJ17" s="21"/>
      <c r="GK17" s="21"/>
      <c r="GL17" s="21"/>
      <c r="GM17" s="21"/>
      <c r="GN17" s="21"/>
      <c r="GO17" s="21"/>
      <c r="GP17" s="21"/>
      <c r="GQ17" s="21"/>
      <c r="GR17" s="21"/>
      <c r="GS17" s="21"/>
      <c r="GT17" s="21"/>
      <c r="GU17" s="21"/>
      <c r="GV17" s="21"/>
      <c r="GW17" s="21"/>
      <c r="GX17" s="21"/>
      <c r="GY17" s="21"/>
      <c r="GZ17" s="21"/>
      <c r="HA17" s="21"/>
      <c r="HB17" s="21"/>
      <c r="HC17" s="21"/>
      <c r="HD17" s="21"/>
      <c r="HE17" s="21"/>
      <c r="HF17" s="21"/>
      <c r="HG17" s="21"/>
      <c r="HH17" s="21"/>
      <c r="HI17" s="21"/>
      <c r="HJ17" s="21"/>
      <c r="HK17" s="21"/>
      <c r="HL17" s="21"/>
      <c r="HM17" s="21"/>
      <c r="HN17" s="21"/>
      <c r="HO17" s="21"/>
      <c r="HP17" s="21"/>
      <c r="HQ17" s="21"/>
      <c r="HR17" s="21"/>
      <c r="HS17" s="21"/>
      <c r="HT17" s="21"/>
      <c r="HU17" s="21"/>
      <c r="HV17" s="186"/>
      <c r="HW17" s="21"/>
      <c r="HX17" s="21"/>
      <c r="HY17" s="21"/>
      <c r="HZ17" s="21"/>
      <c r="IA17" s="21"/>
      <c r="IB17" s="21"/>
      <c r="IC17" s="21"/>
      <c r="ID17" s="21"/>
      <c r="IE17" s="21"/>
      <c r="IF17" s="21"/>
      <c r="IG17" s="21"/>
      <c r="IH17" s="21"/>
      <c r="II17" s="21"/>
      <c r="IJ17" s="21"/>
      <c r="IK17" s="21"/>
      <c r="IL17" s="21"/>
      <c r="IM17" s="21"/>
      <c r="IN17" s="21"/>
      <c r="IO17" s="21"/>
      <c r="IP17" s="21"/>
      <c r="IQ17" s="21"/>
      <c r="IR17" s="21"/>
      <c r="IS17" s="21"/>
      <c r="IT17" s="21"/>
      <c r="IU17" s="21"/>
      <c r="IV17" s="21"/>
      <c r="IW17" s="21"/>
      <c r="IX17" s="21"/>
      <c r="IY17" s="21"/>
      <c r="IZ17" s="21"/>
      <c r="JA17" s="21"/>
      <c r="JB17" s="21"/>
      <c r="JC17" s="21"/>
      <c r="JD17" s="21"/>
      <c r="JE17" s="21"/>
      <c r="JF17" s="21"/>
      <c r="JG17" s="21"/>
      <c r="JH17" s="21"/>
      <c r="JI17" s="21"/>
      <c r="JJ17" s="21"/>
      <c r="JK17" s="21"/>
      <c r="JL17" s="21"/>
      <c r="JM17" s="21"/>
      <c r="JN17" s="21"/>
      <c r="JO17" s="21"/>
      <c r="JP17" s="21"/>
      <c r="JQ17" s="21"/>
      <c r="JR17" s="21"/>
      <c r="JS17" s="21"/>
      <c r="JT17" s="21"/>
      <c r="JU17" s="21"/>
      <c r="JV17" s="21"/>
      <c r="JW17" s="21"/>
      <c r="JX17" s="21"/>
      <c r="JY17" s="21"/>
      <c r="JZ17" s="21"/>
      <c r="KA17" s="21"/>
      <c r="KB17" s="21"/>
      <c r="KC17" s="21"/>
      <c r="KD17" s="21"/>
      <c r="KE17" s="21"/>
      <c r="KF17" s="21"/>
      <c r="KG17" s="21"/>
      <c r="KH17" s="21"/>
    </row>
    <row r="18" spans="1:294" x14ac:dyDescent="0.25">
      <c r="A18" s="1"/>
      <c r="B18" s="1"/>
      <c r="C18" s="1"/>
      <c r="D18" s="1"/>
      <c r="E18" s="17"/>
      <c r="F18" s="1"/>
      <c r="G18" s="1"/>
      <c r="H18" s="1"/>
      <c r="I18" s="1"/>
      <c r="J18" s="1"/>
      <c r="K18" s="1"/>
      <c r="L18" s="5" t="s">
        <v>1254</v>
      </c>
      <c r="M18" s="11">
        <f>INDEX(cennik!$C$2:$L$529,MATCH($L18,cennik!$B$2:$B$522,0),MATCH(M$2,cennik!$C$1:$L$1,0))</f>
        <v>856025</v>
      </c>
      <c r="N18" s="11" t="str">
        <f>INDEX(cennik!$C$2:$L$529,MATCH($L18,cennik!$B$2:$B$522,0),MATCH(N$2,cennik!$C$1:$L$1,0))</f>
        <v>szt.</v>
      </c>
      <c r="O18" s="14">
        <f>IF(E5=AK1,0,IF(E5=AK2,(BC17),0))</f>
        <v>0</v>
      </c>
      <c r="P18" s="11">
        <f>INDEX(cennik!$C$2:$L$529,MATCH($L18,cennik!$B$2:$B$522,0),MATCH(P$2,cennik!$C$1:$L$1,0))</f>
        <v>15.23</v>
      </c>
      <c r="Q18" s="14">
        <f t="shared" si="7"/>
        <v>0</v>
      </c>
      <c r="R18" s="14">
        <f t="shared" si="0"/>
        <v>0</v>
      </c>
      <c r="S18" s="34">
        <f t="shared" si="1"/>
        <v>15.23</v>
      </c>
      <c r="T18" s="14">
        <f t="shared" si="8"/>
        <v>0</v>
      </c>
      <c r="U18" s="34">
        <f>INDEX(cennik!$C$2:$L$529,MATCH($L18,cennik!$B$2:$B$522,0),MATCH(U$2,cennik!$C$1:$L$1,0))*O18</f>
        <v>0</v>
      </c>
      <c r="V18" s="21"/>
      <c r="W18" s="21"/>
      <c r="X18" s="21"/>
      <c r="Y18" s="21"/>
      <c r="Z18" s="21"/>
      <c r="AA18" s="21"/>
      <c r="AB18" s="21"/>
      <c r="AC18" s="21"/>
      <c r="AD18" s="21"/>
      <c r="AE18" s="21"/>
      <c r="AF18" s="21"/>
      <c r="AG18" s="21"/>
      <c r="AH18" s="21"/>
      <c r="AI18" s="21"/>
      <c r="AJ18" s="21"/>
      <c r="AK18" s="21"/>
      <c r="AL18" s="21"/>
      <c r="AM18" s="21"/>
      <c r="AN18" s="21"/>
      <c r="AQ18" s="21"/>
      <c r="AR18" s="21"/>
      <c r="AS18" s="21"/>
      <c r="AT18" s="20" t="s">
        <v>137</v>
      </c>
      <c r="AU18" s="26" t="s">
        <v>1231</v>
      </c>
      <c r="AV18" s="21"/>
      <c r="AW18" s="21"/>
      <c r="AX18" s="21"/>
      <c r="AY18" s="21"/>
      <c r="AZ18" s="21"/>
      <c r="BA18" s="21"/>
      <c r="BB18" s="348" t="s">
        <v>1436</v>
      </c>
      <c r="BC18" s="21">
        <f>IF(E9=AK8,O3*2,IF(E7=AF8,O3*2,IF(E7=AF9,O4*2,IF(E8=AH10,O3*2,0))))</f>
        <v>0</v>
      </c>
      <c r="BD18" s="21"/>
      <c r="BE18" s="21"/>
      <c r="BF18" s="21"/>
      <c r="BG18" s="21"/>
      <c r="BH18" s="21"/>
      <c r="BI18" s="21"/>
      <c r="BJ18" s="21"/>
      <c r="BK18" s="21"/>
      <c r="BL18" s="21"/>
      <c r="BM18" s="21"/>
      <c r="BN18" s="20" t="s">
        <v>832</v>
      </c>
      <c r="BO18" s="20" t="s">
        <v>1314</v>
      </c>
      <c r="BP18" s="21">
        <f>SUM((A2*C2),(A3*C3),(A4*C4),(A5*C5),(A6*C6),(A7*C7),(A8*C8),(A9*C9),(A10*C10),(A11*C11),(A12*C12),(A13*C13),(A14*C14),(A15*C15),(A16*C16),(A17*C17))</f>
        <v>0</v>
      </c>
      <c r="BQ18" s="21">
        <f t="shared" si="3"/>
        <v>0</v>
      </c>
      <c r="BR18" s="21"/>
      <c r="BS18" s="21"/>
      <c r="BT18" s="21"/>
      <c r="BU18" s="21"/>
      <c r="BV18" s="21"/>
      <c r="BW18" s="21"/>
      <c r="BX18" s="21"/>
      <c r="BZ18" s="21"/>
      <c r="CA18" s="21"/>
      <c r="CB18" s="21"/>
      <c r="CC18" s="21"/>
      <c r="CD18" s="21"/>
      <c r="CE18" s="21"/>
      <c r="CF18" s="21"/>
      <c r="CG18" s="21"/>
      <c r="CH18" s="21"/>
      <c r="CI18" s="21"/>
      <c r="CJ18" s="21"/>
      <c r="CK18" s="21"/>
      <c r="CL18" s="21"/>
      <c r="CM18" s="21"/>
      <c r="CN18" s="21"/>
      <c r="CO18" s="21"/>
      <c r="CP18" s="21"/>
      <c r="CQ18" s="21"/>
      <c r="CR18" s="21"/>
      <c r="CS18" s="21"/>
      <c r="CT18" s="21"/>
      <c r="CU18" s="21"/>
      <c r="CV18" s="21"/>
      <c r="CW18" s="21"/>
      <c r="CX18" s="21"/>
      <c r="CY18" s="21"/>
      <c r="CZ18" s="21"/>
      <c r="DA18" s="21"/>
      <c r="DB18" s="21"/>
      <c r="DC18" s="21"/>
      <c r="DD18" s="21"/>
      <c r="DE18" s="21"/>
      <c r="DF18" s="21"/>
      <c r="DG18" s="21"/>
      <c r="DH18" s="21"/>
      <c r="DI18" s="21"/>
      <c r="DJ18" s="21"/>
      <c r="DK18" s="21"/>
      <c r="DL18" s="21"/>
      <c r="DM18" s="21"/>
      <c r="DN18" s="21"/>
      <c r="DO18" s="21"/>
      <c r="DP18" s="21"/>
      <c r="DQ18" s="21"/>
      <c r="DR18" s="21"/>
      <c r="DS18" s="21"/>
      <c r="DT18" s="21"/>
      <c r="DU18" s="21"/>
      <c r="DV18" s="21"/>
      <c r="DW18" s="21"/>
      <c r="DX18" s="21"/>
      <c r="DY18" s="21"/>
      <c r="DZ18" s="87"/>
      <c r="EA18" s="87"/>
      <c r="EB18" s="87"/>
      <c r="EC18" s="21"/>
      <c r="ED18" s="21"/>
      <c r="EE18" s="21"/>
      <c r="EF18" s="21"/>
      <c r="EG18" s="21"/>
      <c r="EH18" s="21"/>
      <c r="EI18" s="21"/>
      <c r="EJ18" s="21"/>
      <c r="EK18" s="21"/>
      <c r="EL18" s="21"/>
      <c r="EM18" s="21"/>
      <c r="EN18" s="21"/>
      <c r="EO18" s="21"/>
      <c r="EP18" s="21"/>
      <c r="EQ18" s="21"/>
      <c r="ER18" s="21"/>
      <c r="ES18" s="21"/>
      <c r="ET18" s="21"/>
      <c r="EU18" s="21"/>
      <c r="EV18" s="21"/>
      <c r="EW18" s="21"/>
      <c r="EX18" s="21"/>
      <c r="EY18" s="21"/>
      <c r="EZ18" s="21"/>
      <c r="FA18" s="21"/>
      <c r="FB18" s="21"/>
      <c r="FC18" s="21"/>
      <c r="FD18" s="21"/>
      <c r="FE18" s="21"/>
      <c r="FF18" s="21"/>
      <c r="FG18" s="21"/>
      <c r="FH18" s="21"/>
      <c r="FI18" s="21"/>
      <c r="FJ18" s="21"/>
      <c r="FK18" s="21"/>
      <c r="FL18" s="21"/>
      <c r="FM18" s="21"/>
      <c r="FN18" s="21"/>
      <c r="FO18" s="21"/>
      <c r="FP18" s="21"/>
      <c r="FQ18" s="21"/>
      <c r="FR18" s="21"/>
      <c r="FS18" s="21"/>
      <c r="FT18" s="21"/>
      <c r="FU18" s="21"/>
      <c r="FV18" s="21"/>
      <c r="FW18" s="21"/>
      <c r="FX18" s="21"/>
      <c r="FY18" s="21"/>
      <c r="FZ18" s="21"/>
      <c r="GA18" s="21"/>
      <c r="GB18" s="21"/>
      <c r="GC18" s="21"/>
      <c r="GD18" s="21"/>
      <c r="GE18" s="21"/>
      <c r="GF18" s="21"/>
      <c r="GG18" s="21"/>
      <c r="GH18" s="21"/>
      <c r="GI18" s="21"/>
      <c r="GJ18" s="21"/>
      <c r="GK18" s="21"/>
      <c r="GL18" s="21"/>
      <c r="GM18" s="21"/>
      <c r="GN18" s="21"/>
      <c r="GO18" s="21"/>
      <c r="GP18" s="21"/>
      <c r="GQ18" s="21"/>
      <c r="GR18" s="21"/>
      <c r="GS18" s="21"/>
      <c r="GT18" s="21"/>
      <c r="GU18" s="21"/>
      <c r="GV18" s="21"/>
      <c r="GW18" s="21"/>
      <c r="GX18" s="21"/>
      <c r="GY18" s="21"/>
      <c r="GZ18" s="21"/>
      <c r="HA18" s="21"/>
      <c r="HB18" s="21"/>
      <c r="HC18" s="21"/>
      <c r="HD18" s="21"/>
      <c r="HE18" s="21"/>
      <c r="HF18" s="21"/>
      <c r="HG18" s="21"/>
      <c r="HH18" s="21"/>
      <c r="HI18" s="21"/>
      <c r="HJ18" s="21"/>
      <c r="HK18" s="21"/>
      <c r="HL18" s="21"/>
      <c r="HM18" s="21"/>
      <c r="HN18" s="21"/>
      <c r="HO18" s="21"/>
      <c r="HP18" s="21"/>
      <c r="HQ18" s="21"/>
      <c r="HR18" s="21"/>
      <c r="HS18" s="21"/>
      <c r="HT18" s="21"/>
      <c r="HU18" s="21"/>
      <c r="HV18" s="186"/>
      <c r="HW18" s="21"/>
      <c r="HX18" s="21"/>
      <c r="HY18" s="21"/>
      <c r="HZ18" s="21"/>
      <c r="IA18" s="21"/>
      <c r="IB18" s="21"/>
      <c r="IC18" s="21"/>
      <c r="ID18" s="21"/>
      <c r="IE18" s="21"/>
      <c r="IF18" s="21"/>
      <c r="IG18" s="21"/>
      <c r="IH18" s="21"/>
      <c r="II18" s="21"/>
      <c r="IJ18" s="21"/>
      <c r="IK18" s="21"/>
      <c r="IL18" s="21"/>
      <c r="IM18" s="21"/>
      <c r="IN18" s="21"/>
      <c r="IO18" s="21"/>
      <c r="IP18" s="21"/>
      <c r="IQ18" s="21"/>
      <c r="IR18" s="21"/>
      <c r="IS18" s="21"/>
      <c r="IT18" s="21"/>
      <c r="IU18" s="21"/>
      <c r="IV18" s="21"/>
      <c r="IW18" s="21"/>
      <c r="IX18" s="21"/>
      <c r="IY18" s="21"/>
      <c r="IZ18" s="21"/>
      <c r="JA18" s="21"/>
      <c r="JB18" s="21"/>
      <c r="JC18" s="21"/>
      <c r="JD18" s="21"/>
      <c r="JE18" s="21"/>
      <c r="JF18" s="21"/>
      <c r="JG18" s="21"/>
      <c r="JH18" s="21"/>
      <c r="JI18" s="21"/>
      <c r="JJ18" s="21"/>
      <c r="JK18" s="21"/>
      <c r="JL18" s="21"/>
      <c r="JM18" s="21"/>
      <c r="JN18" s="21"/>
      <c r="JO18" s="21"/>
      <c r="JP18" s="21"/>
      <c r="JQ18" s="21"/>
      <c r="JR18" s="21"/>
      <c r="JS18" s="21"/>
      <c r="JT18" s="21"/>
      <c r="JU18" s="21"/>
      <c r="JV18" s="21"/>
      <c r="JW18" s="21"/>
      <c r="JX18" s="21"/>
      <c r="JY18" s="21"/>
      <c r="JZ18" s="21"/>
      <c r="KA18" s="21"/>
      <c r="KB18" s="21"/>
      <c r="KC18" s="21"/>
      <c r="KD18" s="21"/>
      <c r="KE18" s="21"/>
      <c r="KF18" s="21"/>
      <c r="KG18" s="21"/>
      <c r="KH18" s="21"/>
    </row>
    <row r="19" spans="1:294" x14ac:dyDescent="0.25">
      <c r="A19" s="1"/>
      <c r="B19" s="1"/>
      <c r="C19" s="1"/>
      <c r="D19" s="1"/>
      <c r="E19" s="1"/>
      <c r="F19" s="1"/>
      <c r="G19" s="1"/>
      <c r="H19" s="1"/>
      <c r="I19" s="1"/>
      <c r="J19" s="1"/>
      <c r="K19" s="1"/>
      <c r="L19" s="5" t="s">
        <v>1436</v>
      </c>
      <c r="M19" s="11">
        <f>INDEX(cennik!$C$2:$L$529,MATCH($L19,cennik!$B$2:$B$522,0),MATCH(M$2,cennik!$C$1:$L$1,0))</f>
        <v>858435</v>
      </c>
      <c r="N19" s="11" t="str">
        <f>INDEX(cennik!$C$2:$L$529,MATCH($L19,cennik!$B$2:$B$522,0),MATCH(N$2,cennik!$C$1:$L$1,0))</f>
        <v>szt.</v>
      </c>
      <c r="O19" s="14">
        <f>IF(E5=AK1,0,IF(E5=AK2,(BC18),0))</f>
        <v>0</v>
      </c>
      <c r="P19" s="11">
        <f>INDEX(cennik!$C$2:$L$529,MATCH($L19,cennik!$B$2:$B$522,0),MATCH(P$2,cennik!$C$1:$L$1,0))</f>
        <v>6.8</v>
      </c>
      <c r="Q19" s="14">
        <f>O19*P19</f>
        <v>0</v>
      </c>
      <c r="R19" s="14">
        <f t="shared" si="0"/>
        <v>0</v>
      </c>
      <c r="S19" s="34">
        <f t="shared" si="1"/>
        <v>6.8</v>
      </c>
      <c r="T19" s="14">
        <f t="shared" si="8"/>
        <v>0</v>
      </c>
      <c r="U19" s="34">
        <f>INDEX(cennik!$C$2:$L$529,MATCH($L19,cennik!$B$2:$B$522,0),MATCH(U$2,cennik!$C$1:$L$1,0))*O19</f>
        <v>0</v>
      </c>
      <c r="V19" s="21"/>
      <c r="W19" s="21"/>
      <c r="X19" s="21"/>
      <c r="Y19" s="21"/>
      <c r="Z19" s="21"/>
      <c r="AA19" s="21"/>
      <c r="AB19" s="21"/>
      <c r="AC19" s="21"/>
      <c r="AD19" s="21"/>
      <c r="AE19" s="21"/>
      <c r="AF19" s="21"/>
      <c r="AG19" s="21"/>
      <c r="AH19" s="21"/>
      <c r="AI19" s="21"/>
      <c r="AJ19" s="21"/>
      <c r="AK19" s="21"/>
      <c r="AL19" s="21"/>
      <c r="AM19" s="21"/>
      <c r="AN19" s="21"/>
      <c r="AO19" s="26" t="s">
        <v>307</v>
      </c>
      <c r="AP19" s="26" t="s">
        <v>1205</v>
      </c>
      <c r="AQ19" s="21"/>
      <c r="AR19" s="21"/>
      <c r="AS19" s="21"/>
      <c r="AT19" s="20" t="s">
        <v>137</v>
      </c>
      <c r="AU19" s="26" t="s">
        <v>1232</v>
      </c>
      <c r="AV19" s="21"/>
      <c r="AW19" s="21"/>
      <c r="AX19" s="21"/>
      <c r="AY19" s="21"/>
      <c r="AZ19" s="21"/>
      <c r="BA19" s="21"/>
      <c r="BB19" s="348" t="s">
        <v>1435</v>
      </c>
      <c r="BC19" s="21">
        <f>IF(E7=AF9,O3*4,0)</f>
        <v>0</v>
      </c>
      <c r="BD19" s="21"/>
      <c r="BE19" s="21"/>
      <c r="BF19" s="21"/>
      <c r="BG19" s="21"/>
      <c r="BH19" s="21"/>
      <c r="BI19" s="21"/>
      <c r="BJ19" s="21"/>
      <c r="BK19" s="21"/>
      <c r="BL19" s="21"/>
      <c r="BM19" s="21"/>
      <c r="BN19" s="20" t="s">
        <v>833</v>
      </c>
      <c r="BO19" s="20" t="s">
        <v>1314</v>
      </c>
      <c r="BP19" s="21">
        <f>SUM((A2*C2),(A3*C3),(A4*C4),(A5*C5),(A6*C6),(A7*C7),(A8*C8),(A9*C9),(A10*C10),(A11*C11),(A12*C12),(A13*C13),(A14*C14),(A15*C15),(A16*C16),(A17*C17))</f>
        <v>0</v>
      </c>
      <c r="BQ19" s="21">
        <f t="shared" si="3"/>
        <v>0</v>
      </c>
      <c r="BR19" s="21"/>
      <c r="BS19" s="21"/>
      <c r="BT19" s="21"/>
      <c r="BU19" s="21"/>
      <c r="BV19" s="21"/>
      <c r="BW19" s="21"/>
      <c r="BX19" s="21"/>
      <c r="BZ19" s="21"/>
      <c r="CA19" s="21"/>
      <c r="CB19" s="21"/>
      <c r="CC19" s="21"/>
      <c r="CD19" s="21"/>
      <c r="CE19" s="21"/>
      <c r="CF19" s="21"/>
      <c r="CG19" s="21"/>
      <c r="CH19" s="21"/>
      <c r="CI19" s="21"/>
      <c r="CJ19" s="21"/>
      <c r="CK19" s="21"/>
      <c r="CL19" s="21"/>
      <c r="CM19" s="21"/>
      <c r="CN19" s="21"/>
      <c r="CO19" s="21"/>
      <c r="CP19" s="21"/>
      <c r="CQ19" s="21"/>
      <c r="CR19" s="21"/>
      <c r="CS19" s="21"/>
      <c r="CT19" s="21"/>
      <c r="CU19" s="21"/>
      <c r="CV19" s="21"/>
      <c r="CW19" s="21"/>
      <c r="CX19" s="21"/>
      <c r="CY19" s="21"/>
      <c r="CZ19" s="21"/>
      <c r="DA19" s="21"/>
      <c r="DB19" s="21"/>
      <c r="DC19" s="21"/>
      <c r="DD19" s="21"/>
      <c r="DE19" s="21"/>
      <c r="DF19" s="21"/>
      <c r="DG19" s="21"/>
      <c r="DH19" s="21"/>
      <c r="DI19" s="21"/>
      <c r="DJ19" s="21"/>
      <c r="DK19" s="21"/>
      <c r="DL19" s="21"/>
      <c r="DM19" s="21"/>
      <c r="DN19" s="21"/>
      <c r="DO19" s="21"/>
      <c r="DP19" s="21"/>
      <c r="DQ19" s="21"/>
      <c r="DR19" s="21"/>
      <c r="DS19" s="21"/>
      <c r="DT19" s="21"/>
      <c r="DU19" s="21"/>
      <c r="DV19" s="21"/>
      <c r="DW19" s="21"/>
      <c r="DX19" s="21"/>
      <c r="DY19" s="21"/>
      <c r="DZ19" s="87"/>
      <c r="EA19" s="87"/>
      <c r="EB19" s="87"/>
      <c r="EC19" s="21"/>
      <c r="ED19" s="21"/>
      <c r="EE19" s="21"/>
      <c r="EF19" s="21"/>
      <c r="EG19" s="21"/>
      <c r="EH19" s="21"/>
      <c r="EI19" s="21"/>
      <c r="EJ19" s="21"/>
      <c r="EK19" s="21"/>
      <c r="EL19" s="21"/>
      <c r="EM19" s="21"/>
      <c r="EN19" s="21"/>
      <c r="EO19" s="21"/>
      <c r="EP19" s="21"/>
      <c r="EQ19" s="21"/>
      <c r="ER19" s="21"/>
      <c r="ES19" s="21"/>
      <c r="ET19" s="21"/>
      <c r="EU19" s="21"/>
      <c r="EV19" s="21"/>
      <c r="EW19" s="21"/>
      <c r="EX19" s="21"/>
      <c r="EY19" s="21"/>
      <c r="EZ19" s="21"/>
      <c r="FA19" s="21"/>
      <c r="FB19" s="21"/>
      <c r="FC19" s="21"/>
      <c r="FD19" s="21"/>
      <c r="FE19" s="21"/>
      <c r="FF19" s="21"/>
      <c r="FG19" s="21"/>
      <c r="FH19" s="21"/>
      <c r="FI19" s="21"/>
      <c r="FJ19" s="21"/>
      <c r="FK19" s="21"/>
      <c r="FL19" s="21"/>
      <c r="FM19" s="21"/>
      <c r="FN19" s="21"/>
      <c r="FO19" s="21"/>
      <c r="FP19" s="21"/>
      <c r="FQ19" s="21"/>
      <c r="FR19" s="21"/>
      <c r="FS19" s="21"/>
      <c r="FT19" s="21"/>
      <c r="FU19" s="21"/>
      <c r="FV19" s="21"/>
      <c r="FW19" s="21"/>
      <c r="FX19" s="21"/>
      <c r="FY19" s="21"/>
      <c r="FZ19" s="21"/>
      <c r="GA19" s="21"/>
      <c r="GB19" s="21"/>
      <c r="GC19" s="21"/>
      <c r="GD19" s="21"/>
      <c r="GE19" s="21"/>
      <c r="GF19" s="21"/>
      <c r="GG19" s="21"/>
      <c r="GH19" s="21"/>
      <c r="GI19" s="21"/>
      <c r="GJ19" s="21"/>
      <c r="GK19" s="21"/>
      <c r="GL19" s="21"/>
      <c r="GM19" s="21"/>
      <c r="GN19" s="21"/>
      <c r="GO19" s="21"/>
      <c r="GP19" s="21"/>
      <c r="GQ19" s="21"/>
      <c r="GR19" s="21"/>
      <c r="GS19" s="21"/>
      <c r="GT19" s="21"/>
      <c r="GU19" s="21"/>
      <c r="GV19" s="21"/>
      <c r="GW19" s="21"/>
      <c r="GX19" s="21"/>
      <c r="GY19" s="21"/>
      <c r="GZ19" s="21"/>
      <c r="HA19" s="21"/>
      <c r="HB19" s="21"/>
      <c r="HC19" s="21"/>
      <c r="HD19" s="21"/>
      <c r="HE19" s="21"/>
      <c r="HF19" s="21"/>
      <c r="HG19" s="21"/>
      <c r="HH19" s="21"/>
      <c r="HI19" s="21"/>
      <c r="HJ19" s="21"/>
      <c r="HK19" s="21"/>
      <c r="HL19" s="21"/>
      <c r="HM19" s="21"/>
      <c r="HN19" s="21"/>
      <c r="HO19" s="21"/>
      <c r="HP19" s="21"/>
      <c r="HQ19" s="21"/>
      <c r="HR19" s="21"/>
      <c r="HS19" s="21"/>
      <c r="HT19" s="21"/>
      <c r="HU19" s="21"/>
      <c r="HV19" s="186"/>
      <c r="HW19" s="21"/>
      <c r="HX19" s="21"/>
      <c r="HY19" s="21"/>
      <c r="HZ19" s="21"/>
      <c r="IA19" s="21"/>
      <c r="IB19" s="21"/>
      <c r="IC19" s="21"/>
      <c r="ID19" s="21"/>
      <c r="IE19" s="21"/>
      <c r="IF19" s="21"/>
      <c r="IG19" s="21"/>
      <c r="IH19" s="21"/>
      <c r="II19" s="21"/>
      <c r="IJ19" s="21"/>
      <c r="IK19" s="21"/>
      <c r="IL19" s="21"/>
      <c r="IM19" s="21"/>
      <c r="IN19" s="21"/>
      <c r="IO19" s="21"/>
      <c r="IP19" s="21"/>
      <c r="IQ19" s="21"/>
      <c r="IR19" s="21"/>
      <c r="IS19" s="21"/>
      <c r="IT19" s="21"/>
      <c r="IU19" s="21"/>
      <c r="IV19" s="21"/>
      <c r="IW19" s="21"/>
      <c r="IX19" s="21"/>
      <c r="IY19" s="21"/>
      <c r="IZ19" s="21"/>
      <c r="JA19" s="21"/>
      <c r="JB19" s="21"/>
      <c r="JC19" s="21"/>
      <c r="JD19" s="21"/>
      <c r="JE19" s="21"/>
      <c r="JF19" s="21"/>
      <c r="JG19" s="21"/>
      <c r="JH19" s="21"/>
      <c r="JI19" s="21"/>
      <c r="JJ19" s="21"/>
      <c r="JK19" s="21"/>
      <c r="JL19" s="21"/>
      <c r="JM19" s="21"/>
      <c r="JN19" s="21"/>
      <c r="JO19" s="21"/>
      <c r="JP19" s="21"/>
      <c r="JQ19" s="21"/>
      <c r="JR19" s="21"/>
      <c r="JS19" s="21"/>
      <c r="JT19" s="21"/>
      <c r="JU19" s="21"/>
      <c r="JV19" s="21"/>
      <c r="JW19" s="21"/>
      <c r="JX19" s="21"/>
      <c r="JY19" s="21"/>
      <c r="JZ19" s="21"/>
      <c r="KA19" s="21"/>
      <c r="KB19" s="21"/>
      <c r="KC19" s="21"/>
      <c r="KD19" s="21"/>
      <c r="KE19" s="21"/>
      <c r="KF19" s="21"/>
      <c r="KG19" s="21"/>
      <c r="KH19" s="21"/>
    </row>
    <row r="20" spans="1:294" x14ac:dyDescent="0.25">
      <c r="A20" s="1"/>
      <c r="B20" s="1"/>
      <c r="C20" s="1"/>
      <c r="D20" s="1"/>
      <c r="E20" s="1"/>
      <c r="F20" s="17" t="str">
        <f>IF(E7=AF9,"PROPOZYCJA KOTEW- DO WERFIKACJI","")</f>
        <v/>
      </c>
      <c r="G20" s="1"/>
      <c r="H20" s="1"/>
      <c r="I20" s="1"/>
      <c r="J20" s="1"/>
      <c r="K20" s="1"/>
      <c r="L20" s="5" t="s">
        <v>1435</v>
      </c>
      <c r="M20" s="11">
        <f>INDEX(cennik!$C$2:$L$529,MATCH($L20,cennik!$B$2:$B$522,0),MATCH(M$2,cennik!$C$1:$L$1,0))</f>
        <v>650875</v>
      </c>
      <c r="N20" s="11" t="str">
        <f>INDEX(cennik!$C$2:$L$529,MATCH($L20,cennik!$B$2:$B$522,0),MATCH(N$2,cennik!$C$1:$L$1,0))</f>
        <v>szt.</v>
      </c>
      <c r="O20" s="14">
        <f>IF(E5=AK1,0,IF(E5=AK2,(BC19),0))</f>
        <v>0</v>
      </c>
      <c r="P20" s="11">
        <f>INDEX(cennik!$C$2:$L$529,MATCH($L20,cennik!$B$2:$B$522,0),MATCH(P$2,cennik!$C$1:$L$1,0))</f>
        <v>2.65</v>
      </c>
      <c r="Q20" s="14">
        <f t="shared" si="7"/>
        <v>0</v>
      </c>
      <c r="R20" s="14">
        <f t="shared" si="0"/>
        <v>0</v>
      </c>
      <c r="S20" s="34">
        <f t="shared" si="1"/>
        <v>2.65</v>
      </c>
      <c r="T20" s="14">
        <f t="shared" si="8"/>
        <v>0</v>
      </c>
      <c r="U20" s="34">
        <f>INDEX(cennik!$C$2:$L$529,MATCH($L20,cennik!$B$2:$B$522,0),MATCH(U$2,cennik!$C$1:$L$1,0))*O20</f>
        <v>0</v>
      </c>
      <c r="V20" s="21"/>
      <c r="W20" s="21"/>
      <c r="X20" s="21"/>
      <c r="Y20" s="21"/>
      <c r="Z20" s="21"/>
      <c r="AA20" s="21"/>
      <c r="AB20" s="21"/>
      <c r="AC20" s="21"/>
      <c r="AD20" s="21"/>
      <c r="AE20" s="21"/>
      <c r="AF20" s="21"/>
      <c r="AG20" s="21"/>
      <c r="AH20" s="21"/>
      <c r="AI20" s="21"/>
      <c r="AJ20" s="21"/>
      <c r="AK20" s="21"/>
      <c r="AL20" s="21"/>
      <c r="AM20" s="21"/>
      <c r="AN20" s="21"/>
      <c r="AO20" s="186" t="s">
        <v>1211</v>
      </c>
      <c r="AP20" s="186" t="s">
        <v>1215</v>
      </c>
      <c r="AQ20" s="21"/>
      <c r="AR20" s="21"/>
      <c r="AS20" s="21"/>
      <c r="AT20" s="20" t="s">
        <v>138</v>
      </c>
      <c r="AU20" s="26" t="s">
        <v>1231</v>
      </c>
      <c r="AV20" s="21"/>
      <c r="AW20" s="21"/>
      <c r="AX20" s="21"/>
      <c r="AY20" s="21"/>
      <c r="AZ20" s="21"/>
      <c r="BA20" s="21"/>
      <c r="BB20" s="348" t="s">
        <v>297</v>
      </c>
      <c r="BC20" s="21"/>
      <c r="BD20" s="21"/>
      <c r="BE20" s="21"/>
      <c r="BF20" s="21"/>
      <c r="BG20" s="21"/>
      <c r="BH20" s="21"/>
      <c r="BI20" s="21"/>
      <c r="BJ20" s="21"/>
      <c r="BK20" s="21"/>
      <c r="BL20" s="21"/>
      <c r="BM20" s="21"/>
      <c r="BN20" s="21"/>
      <c r="BO20" s="21"/>
      <c r="BP20" s="21"/>
      <c r="BQ20" s="21"/>
      <c r="BR20" s="21"/>
      <c r="BS20" s="21"/>
      <c r="BT20" s="21"/>
      <c r="BU20" s="21"/>
      <c r="BV20" s="21"/>
      <c r="BW20" s="21"/>
      <c r="BX20" s="21"/>
      <c r="BZ20" s="21"/>
      <c r="CA20" s="21"/>
      <c r="CB20" s="21"/>
      <c r="CC20" s="21"/>
      <c r="CD20" s="21"/>
      <c r="CE20" s="21"/>
      <c r="CF20" s="21"/>
      <c r="CG20" s="21"/>
      <c r="CH20" s="21"/>
      <c r="CI20" s="21"/>
      <c r="CJ20" s="21"/>
      <c r="CK20" s="21"/>
      <c r="CL20" s="21"/>
      <c r="CM20" s="21"/>
      <c r="CN20" s="21"/>
      <c r="CO20" s="21"/>
      <c r="CP20" s="21"/>
      <c r="CQ20" s="21"/>
      <c r="CR20" s="21"/>
      <c r="CS20" s="21"/>
      <c r="CT20" s="21"/>
      <c r="CU20" s="21"/>
      <c r="CV20" s="21"/>
      <c r="CW20" s="21"/>
      <c r="CX20" s="21"/>
      <c r="CY20" s="21"/>
      <c r="CZ20" s="21"/>
      <c r="DA20" s="21"/>
      <c r="DB20" s="21"/>
      <c r="DC20" s="21"/>
      <c r="DD20" s="21"/>
      <c r="DE20" s="21"/>
      <c r="DF20" s="21"/>
      <c r="DG20" s="21"/>
      <c r="DH20" s="21"/>
      <c r="DI20" s="21"/>
      <c r="DJ20" s="21"/>
      <c r="DK20" s="21"/>
      <c r="DL20" s="21"/>
      <c r="DM20" s="21"/>
      <c r="DN20" s="21"/>
      <c r="DO20" s="21"/>
      <c r="DP20" s="21"/>
      <c r="DQ20" s="21"/>
      <c r="DR20" s="21"/>
      <c r="DS20" s="21"/>
      <c r="DT20" s="21"/>
      <c r="DU20" s="21"/>
      <c r="DV20" s="21"/>
      <c r="DW20" s="21"/>
      <c r="DX20" s="21"/>
      <c r="DY20" s="21"/>
      <c r="DZ20" s="87"/>
      <c r="EA20" s="87"/>
      <c r="EB20" s="87"/>
      <c r="EC20" s="21"/>
      <c r="ED20" s="21"/>
      <c r="EE20" s="21"/>
      <c r="EF20" s="21"/>
      <c r="EG20" s="21"/>
      <c r="EH20" s="21"/>
      <c r="EI20" s="21"/>
      <c r="EJ20" s="21"/>
      <c r="EK20" s="21"/>
      <c r="EL20" s="21"/>
      <c r="EM20" s="21"/>
      <c r="EN20" s="21"/>
      <c r="EO20" s="21"/>
      <c r="EP20" s="21"/>
      <c r="EQ20" s="21"/>
      <c r="ER20" s="21"/>
      <c r="ES20" s="21"/>
      <c r="ET20" s="21"/>
      <c r="EU20" s="21"/>
      <c r="EV20" s="21"/>
      <c r="EW20" s="21"/>
      <c r="EX20" s="21"/>
      <c r="EY20" s="21"/>
      <c r="EZ20" s="21"/>
      <c r="FA20" s="21"/>
      <c r="FB20" s="21"/>
      <c r="FC20" s="21"/>
      <c r="FD20" s="21"/>
      <c r="FE20" s="21"/>
      <c r="FF20" s="21"/>
      <c r="FG20" s="21"/>
      <c r="FH20" s="21"/>
      <c r="FI20" s="21"/>
      <c r="FJ20" s="21"/>
      <c r="FK20" s="21"/>
      <c r="FL20" s="21"/>
      <c r="FM20" s="21"/>
      <c r="FN20" s="21"/>
      <c r="FO20" s="21"/>
      <c r="FP20" s="21"/>
      <c r="FQ20" s="21"/>
      <c r="FR20" s="21"/>
      <c r="FS20" s="21"/>
      <c r="FT20" s="21"/>
      <c r="FU20" s="21"/>
      <c r="FV20" s="21"/>
      <c r="FW20" s="21"/>
      <c r="FX20" s="21"/>
      <c r="FY20" s="21"/>
      <c r="FZ20" s="21"/>
      <c r="GA20" s="21"/>
      <c r="GB20" s="21"/>
      <c r="GC20" s="21"/>
      <c r="GD20" s="21"/>
      <c r="GE20" s="21"/>
      <c r="GF20" s="21"/>
      <c r="GG20" s="21"/>
      <c r="GH20" s="21"/>
      <c r="GI20" s="21"/>
      <c r="GJ20" s="21"/>
      <c r="GK20" s="21"/>
      <c r="GL20" s="21"/>
      <c r="GM20" s="21"/>
      <c r="GN20" s="21"/>
      <c r="GO20" s="21"/>
      <c r="GP20" s="21"/>
      <c r="GQ20" s="21"/>
      <c r="GR20" s="21"/>
      <c r="GS20" s="21"/>
      <c r="GT20" s="21"/>
      <c r="GU20" s="21"/>
      <c r="GV20" s="21"/>
      <c r="GW20" s="21"/>
      <c r="GX20" s="21"/>
      <c r="GY20" s="21"/>
      <c r="GZ20" s="21"/>
      <c r="HA20" s="21"/>
      <c r="HB20" s="21"/>
      <c r="HC20" s="21"/>
      <c r="HD20" s="21"/>
      <c r="HE20" s="21"/>
      <c r="HF20" s="21"/>
      <c r="HG20" s="21"/>
      <c r="HH20" s="21"/>
      <c r="HI20" s="21"/>
      <c r="HJ20" s="21"/>
      <c r="HK20" s="21"/>
      <c r="HL20" s="21"/>
      <c r="HM20" s="21"/>
      <c r="HN20" s="21"/>
      <c r="HO20" s="21"/>
      <c r="HP20" s="21"/>
      <c r="HQ20" s="21"/>
      <c r="HR20" s="21"/>
      <c r="HS20" s="21"/>
      <c r="HT20" s="21"/>
      <c r="HU20" s="21"/>
      <c r="HV20" s="186"/>
      <c r="HW20" s="21"/>
      <c r="HX20" s="21"/>
      <c r="HY20" s="21"/>
      <c r="HZ20" s="21"/>
      <c r="IA20" s="21"/>
      <c r="IB20" s="21"/>
      <c r="IC20" s="21"/>
      <c r="ID20" s="21"/>
      <c r="IE20" s="21"/>
      <c r="IF20" s="21"/>
      <c r="IG20" s="21"/>
      <c r="IH20" s="21"/>
      <c r="II20" s="21"/>
      <c r="IJ20" s="21"/>
      <c r="IK20" s="21"/>
      <c r="IL20" s="21"/>
      <c r="IM20" s="21"/>
      <c r="IN20" s="21"/>
      <c r="IO20" s="21"/>
      <c r="IP20" s="21"/>
      <c r="IQ20" s="21"/>
      <c r="IR20" s="21"/>
      <c r="IS20" s="21"/>
      <c r="IT20" s="21"/>
      <c r="IU20" s="21"/>
      <c r="IV20" s="21"/>
      <c r="IW20" s="21"/>
      <c r="IX20" s="21"/>
      <c r="IY20" s="21"/>
      <c r="IZ20" s="21"/>
      <c r="JA20" s="21"/>
      <c r="JB20" s="21"/>
      <c r="JC20" s="21"/>
      <c r="JD20" s="21"/>
      <c r="JE20" s="21"/>
      <c r="JF20" s="21"/>
      <c r="JG20" s="21"/>
      <c r="JH20" s="21"/>
      <c r="JI20" s="21"/>
      <c r="JJ20" s="21"/>
      <c r="JK20" s="21"/>
      <c r="JL20" s="21"/>
      <c r="JM20" s="21"/>
      <c r="JN20" s="21"/>
      <c r="JO20" s="21"/>
      <c r="JP20" s="21"/>
      <c r="JQ20" s="21"/>
      <c r="JR20" s="21"/>
      <c r="JS20" s="21"/>
      <c r="JT20" s="21"/>
      <c r="JU20" s="21"/>
      <c r="JV20" s="21"/>
      <c r="JW20" s="21"/>
      <c r="JX20" s="21"/>
      <c r="JY20" s="21"/>
      <c r="JZ20" s="21"/>
      <c r="KA20" s="21"/>
      <c r="KB20" s="21"/>
      <c r="KC20" s="21"/>
      <c r="KD20" s="21"/>
      <c r="KE20" s="21"/>
      <c r="KF20" s="21"/>
      <c r="KG20" s="21"/>
      <c r="KH20" s="21"/>
    </row>
    <row r="21" spans="1:294" x14ac:dyDescent="0.25">
      <c r="A21" s="1"/>
      <c r="B21" s="1"/>
      <c r="C21" s="1"/>
      <c r="D21" s="1"/>
      <c r="E21" s="1"/>
      <c r="F21" s="17" t="str">
        <f>IF(E5=AK1,"WERSJA BAZOWA NIE ZAWIERA KOTEW","")</f>
        <v>WERSJA BAZOWA NIE ZAWIERA KOTEW</v>
      </c>
      <c r="G21" s="1"/>
      <c r="H21" s="1"/>
      <c r="I21" s="1"/>
      <c r="J21" s="1"/>
      <c r="K21" s="1"/>
      <c r="L21" s="5" t="s">
        <v>297</v>
      </c>
      <c r="M21" s="11">
        <f>INDEX(cennik!$C$2:$L$529,MATCH($L21,cennik!$B$2:$B$522,0),MATCH(M$2,cennik!$C$1:$L$1,0))</f>
        <v>894824</v>
      </c>
      <c r="N21" s="11" t="str">
        <f>INDEX(cennik!$C$2:$L$529,MATCH($L21,cennik!$B$2:$B$522,0),MATCH(N$2,cennik!$C$1:$L$1,0))</f>
        <v>szt.</v>
      </c>
      <c r="O21" s="14">
        <f>O17*4</f>
        <v>0</v>
      </c>
      <c r="P21" s="11">
        <f>INDEX(cennik!$C$2:$L$529,MATCH($L21,cennik!$B$2:$B$522,0),MATCH(P$2,cennik!$C$1:$L$1,0))</f>
        <v>1.85</v>
      </c>
      <c r="Q21" s="14">
        <f t="shared" si="7"/>
        <v>0</v>
      </c>
      <c r="R21" s="14">
        <f t="shared" si="0"/>
        <v>0</v>
      </c>
      <c r="S21" s="34">
        <f t="shared" si="1"/>
        <v>1.85</v>
      </c>
      <c r="T21" s="14">
        <f t="shared" si="8"/>
        <v>0</v>
      </c>
      <c r="U21" s="34">
        <f>INDEX(cennik!$C$2:$L$529,MATCH($L21,cennik!$B$2:$B$522,0),MATCH(U$2,cennik!$C$1:$L$1,0))*O21</f>
        <v>0</v>
      </c>
      <c r="V21" s="21"/>
      <c r="W21" s="21"/>
      <c r="X21" s="21"/>
      <c r="Y21" s="21"/>
      <c r="Z21" s="21"/>
      <c r="AA21" s="21"/>
      <c r="AB21" s="21"/>
      <c r="AC21" s="21"/>
      <c r="AD21" s="21"/>
      <c r="AE21" s="21"/>
      <c r="AF21" s="21"/>
      <c r="AG21" s="21"/>
      <c r="AH21" s="21"/>
      <c r="AI21" s="21"/>
      <c r="AJ21" s="21"/>
      <c r="AK21" s="21"/>
      <c r="AL21" s="21"/>
      <c r="AM21" s="21"/>
      <c r="AN21" s="21"/>
      <c r="AO21" s="186" t="s">
        <v>1211</v>
      </c>
      <c r="AP21" s="186" t="s">
        <v>1216</v>
      </c>
      <c r="AQ21" s="21"/>
      <c r="AR21" s="21"/>
      <c r="AS21" s="21"/>
      <c r="AT21" s="20" t="s">
        <v>138</v>
      </c>
      <c r="AU21" s="26" t="s">
        <v>1232</v>
      </c>
      <c r="AV21" s="21"/>
      <c r="AW21" s="21"/>
      <c r="AX21" s="21"/>
      <c r="AY21" s="21"/>
      <c r="AZ21" s="21"/>
      <c r="BA21" s="21"/>
      <c r="BB21" s="348" t="s">
        <v>67</v>
      </c>
      <c r="BC21" s="21"/>
      <c r="BD21" s="21"/>
      <c r="BE21" s="21"/>
      <c r="BF21" s="21"/>
      <c r="BG21" s="21"/>
      <c r="BH21" s="21"/>
      <c r="BI21" s="21"/>
      <c r="BJ21" s="21"/>
      <c r="BK21" s="21"/>
      <c r="BL21" s="21"/>
      <c r="BM21" s="21"/>
      <c r="BN21" s="21"/>
      <c r="BO21" s="21"/>
      <c r="BP21" s="21"/>
      <c r="BQ21" s="21"/>
      <c r="BR21" s="21"/>
      <c r="BS21" s="21"/>
      <c r="BT21" s="21"/>
      <c r="BU21" s="21"/>
      <c r="BV21" s="21"/>
      <c r="BW21" s="21"/>
      <c r="BX21" s="21"/>
      <c r="BZ21" s="21"/>
      <c r="CA21" s="21"/>
      <c r="CB21" s="21"/>
      <c r="CC21" s="21"/>
      <c r="CD21" s="21"/>
      <c r="CE21" s="21"/>
      <c r="CF21" s="21"/>
      <c r="CG21" s="21"/>
      <c r="CH21" s="21"/>
      <c r="CI21" s="21"/>
      <c r="CJ21" s="21"/>
      <c r="CK21" s="21"/>
      <c r="CL21" s="21"/>
      <c r="CM21" s="21"/>
      <c r="CN21" s="21"/>
      <c r="CO21" s="21"/>
      <c r="CP21" s="21"/>
      <c r="CQ21" s="21"/>
      <c r="CR21" s="21"/>
      <c r="CS21" s="21"/>
      <c r="CT21" s="21"/>
      <c r="CU21" s="21"/>
      <c r="CV21" s="21"/>
      <c r="CW21" s="21"/>
      <c r="CX21" s="21"/>
      <c r="CY21" s="21"/>
      <c r="CZ21" s="21"/>
      <c r="DA21" s="21"/>
      <c r="DB21" s="21"/>
      <c r="DC21" s="21"/>
      <c r="DD21" s="21"/>
      <c r="DE21" s="21"/>
      <c r="DF21" s="21"/>
      <c r="DG21" s="21"/>
      <c r="DH21" s="21"/>
      <c r="DI21" s="21"/>
      <c r="DJ21" s="21"/>
      <c r="DK21" s="21"/>
      <c r="DL21" s="21"/>
      <c r="DM21" s="21"/>
      <c r="DN21" s="21"/>
      <c r="DO21" s="21"/>
      <c r="DP21" s="21"/>
      <c r="DQ21" s="21"/>
      <c r="DR21" s="21"/>
      <c r="DS21" s="21"/>
      <c r="DT21" s="21"/>
      <c r="DU21" s="21"/>
      <c r="DV21" s="21"/>
      <c r="DW21" s="21"/>
      <c r="DX21" s="21"/>
      <c r="DY21" s="21"/>
      <c r="DZ21" s="87"/>
      <c r="EA21" s="87"/>
      <c r="EB21" s="87"/>
      <c r="EC21" s="21"/>
      <c r="ED21" s="21"/>
      <c r="EE21" s="21"/>
      <c r="EF21" s="21"/>
      <c r="EG21" s="21"/>
      <c r="EH21" s="21"/>
      <c r="EI21" s="21"/>
      <c r="EJ21" s="21"/>
      <c r="EK21" s="21"/>
      <c r="EL21" s="21"/>
      <c r="EM21" s="21"/>
      <c r="EN21" s="21"/>
      <c r="EO21" s="21"/>
      <c r="EP21" s="21"/>
      <c r="EQ21" s="21"/>
      <c r="ER21" s="21"/>
      <c r="ES21" s="21"/>
      <c r="ET21" s="21"/>
      <c r="EU21" s="21"/>
      <c r="EV21" s="21"/>
      <c r="EW21" s="21"/>
      <c r="EX21" s="21"/>
      <c r="EY21" s="21"/>
      <c r="EZ21" s="21"/>
      <c r="FA21" s="21"/>
      <c r="FB21" s="21"/>
      <c r="FC21" s="21"/>
      <c r="FD21" s="21"/>
      <c r="FE21" s="21"/>
      <c r="FF21" s="21"/>
      <c r="FG21" s="21"/>
      <c r="FH21" s="21"/>
      <c r="FI21" s="21"/>
      <c r="FJ21" s="21"/>
      <c r="FK21" s="21"/>
      <c r="FL21" s="21"/>
      <c r="FM21" s="21"/>
      <c r="FN21" s="21"/>
      <c r="FO21" s="21"/>
      <c r="FP21" s="21"/>
      <c r="FQ21" s="21"/>
      <c r="FR21" s="21"/>
      <c r="FS21" s="21"/>
      <c r="FT21" s="21"/>
      <c r="FU21" s="21"/>
      <c r="FV21" s="21"/>
      <c r="FW21" s="21"/>
      <c r="FX21" s="21"/>
      <c r="FY21" s="21"/>
      <c r="FZ21" s="21"/>
      <c r="GA21" s="21"/>
      <c r="GB21" s="21"/>
      <c r="GC21" s="21"/>
      <c r="GD21" s="21"/>
      <c r="GE21" s="21"/>
      <c r="GF21" s="21"/>
      <c r="GG21" s="21"/>
      <c r="GH21" s="21"/>
      <c r="GI21" s="21"/>
      <c r="GJ21" s="21"/>
      <c r="GK21" s="21"/>
      <c r="GL21" s="21"/>
      <c r="GM21" s="21"/>
      <c r="GN21" s="21"/>
      <c r="GO21" s="21"/>
      <c r="GP21" s="21"/>
      <c r="GQ21" s="21"/>
      <c r="GR21" s="21"/>
      <c r="GS21" s="21"/>
      <c r="GT21" s="21"/>
      <c r="GU21" s="21"/>
      <c r="GV21" s="21"/>
      <c r="GW21" s="21"/>
      <c r="GX21" s="21"/>
      <c r="GY21" s="21"/>
      <c r="GZ21" s="21"/>
      <c r="HA21" s="21"/>
      <c r="HB21" s="21"/>
      <c r="HC21" s="21"/>
      <c r="HD21" s="21"/>
      <c r="HE21" s="21"/>
      <c r="HF21" s="21"/>
      <c r="HG21" s="21"/>
      <c r="HH21" s="21"/>
      <c r="HI21" s="21"/>
      <c r="HJ21" s="21"/>
      <c r="HK21" s="21"/>
      <c r="HL21" s="21"/>
      <c r="HM21" s="21"/>
      <c r="HN21" s="21"/>
      <c r="HO21" s="21"/>
      <c r="HP21" s="21"/>
      <c r="HQ21" s="21"/>
      <c r="HR21" s="21"/>
      <c r="HS21" s="21"/>
      <c r="HT21" s="21"/>
      <c r="HU21" s="21"/>
      <c r="HV21" s="186"/>
      <c r="HW21" s="21"/>
      <c r="HX21" s="21"/>
      <c r="HY21" s="21"/>
      <c r="HZ21" s="21"/>
      <c r="IA21" s="21"/>
      <c r="IB21" s="21"/>
      <c r="IC21" s="21"/>
      <c r="ID21" s="21"/>
      <c r="IE21" s="21"/>
      <c r="IF21" s="21"/>
      <c r="IG21" s="21"/>
      <c r="IH21" s="21"/>
      <c r="II21" s="21"/>
      <c r="IJ21" s="21"/>
      <c r="IK21" s="21"/>
      <c r="IL21" s="21"/>
      <c r="IM21" s="21"/>
      <c r="IN21" s="21"/>
      <c r="IO21" s="21"/>
      <c r="IP21" s="21"/>
      <c r="IQ21" s="21"/>
      <c r="IR21" s="21"/>
      <c r="IS21" s="21"/>
      <c r="IT21" s="21"/>
      <c r="IU21" s="21"/>
      <c r="IV21" s="21"/>
      <c r="IW21" s="21"/>
      <c r="IX21" s="21"/>
      <c r="IY21" s="21"/>
      <c r="IZ21" s="21"/>
      <c r="JA21" s="21"/>
      <c r="JB21" s="21"/>
      <c r="JC21" s="21"/>
      <c r="JD21" s="21"/>
      <c r="JE21" s="21"/>
      <c r="JF21" s="21"/>
      <c r="JG21" s="21"/>
      <c r="JH21" s="21"/>
      <c r="JI21" s="21"/>
      <c r="JJ21" s="21"/>
      <c r="JK21" s="21"/>
      <c r="JL21" s="21"/>
      <c r="JM21" s="21"/>
      <c r="JN21" s="21"/>
      <c r="JO21" s="21"/>
      <c r="JP21" s="21"/>
      <c r="JQ21" s="21"/>
      <c r="JR21" s="21"/>
      <c r="JS21" s="21"/>
      <c r="JT21" s="21"/>
      <c r="JU21" s="21"/>
      <c r="JV21" s="21"/>
      <c r="JW21" s="21"/>
      <c r="JX21" s="21"/>
      <c r="JY21" s="21"/>
      <c r="JZ21" s="21"/>
      <c r="KA21" s="21"/>
      <c r="KB21" s="21"/>
      <c r="KC21" s="21"/>
      <c r="KD21" s="21"/>
      <c r="KE21" s="21"/>
      <c r="KF21" s="21"/>
      <c r="KG21" s="21"/>
      <c r="KH21" s="21"/>
    </row>
    <row r="22" spans="1:294" x14ac:dyDescent="0.25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5" t="s">
        <v>67</v>
      </c>
      <c r="M22" s="11">
        <f>INDEX(cennik!$C$2:$L$529,MATCH($L22,cennik!$B$2:$B$522,0),MATCH(M$2,cennik!$C$1:$L$1,0))</f>
        <v>890008</v>
      </c>
      <c r="N22" s="11" t="str">
        <f>INDEX(cennik!$C$2:$L$529,MATCH($L22,cennik!$B$2:$B$522,0),MATCH(N$2,cennik!$C$1:$L$1,0))</f>
        <v>100 szt.</v>
      </c>
      <c r="O22" s="14">
        <f>O15</f>
        <v>0</v>
      </c>
      <c r="P22" s="11">
        <f>INDEX(cennik!$C$2:$L$529,MATCH($L22,cennik!$B$2:$B$522,0),MATCH(P$2,cennik!$C$1:$L$1,0))</f>
        <v>28.15</v>
      </c>
      <c r="Q22" s="14">
        <f t="shared" si="7"/>
        <v>0</v>
      </c>
      <c r="R22" s="14">
        <f t="shared" si="0"/>
        <v>0</v>
      </c>
      <c r="S22" s="34">
        <f t="shared" si="1"/>
        <v>28.15</v>
      </c>
      <c r="T22" s="14">
        <f t="shared" si="8"/>
        <v>0</v>
      </c>
      <c r="U22" s="34">
        <f>INDEX(cennik!$C$2:$L$529,MATCH($L22,cennik!$B$2:$B$522,0),MATCH(U$2,cennik!$C$1:$L$1,0))*O22</f>
        <v>0</v>
      </c>
      <c r="V22" s="21"/>
      <c r="W22" s="21"/>
      <c r="X22" s="21"/>
      <c r="Y22" s="21"/>
      <c r="Z22" s="21"/>
      <c r="AA22" s="21"/>
      <c r="AB22" s="21"/>
      <c r="AC22" s="21"/>
      <c r="AD22" s="21"/>
      <c r="AE22" s="21"/>
      <c r="AF22" s="21"/>
      <c r="AG22" s="21"/>
      <c r="AH22" s="21"/>
      <c r="AI22" s="21"/>
      <c r="AJ22" s="21"/>
      <c r="AK22" s="21"/>
      <c r="AL22" s="21"/>
      <c r="AM22" s="21"/>
      <c r="AN22" s="21"/>
      <c r="AO22" s="186" t="s">
        <v>1211</v>
      </c>
      <c r="AP22" s="186" t="s">
        <v>1217</v>
      </c>
      <c r="AQ22" s="21"/>
      <c r="AR22" s="21"/>
      <c r="AS22" s="21"/>
      <c r="AT22" s="20" t="s">
        <v>478</v>
      </c>
      <c r="AU22" s="26" t="s">
        <v>1232</v>
      </c>
      <c r="AV22" s="21"/>
      <c r="AW22" s="21"/>
      <c r="AX22" s="21"/>
      <c r="AY22" s="21"/>
      <c r="AZ22" s="21"/>
      <c r="BA22" s="21"/>
      <c r="BB22" s="349" t="s">
        <v>786</v>
      </c>
      <c r="BC22" s="21"/>
      <c r="BD22" s="21"/>
      <c r="BE22" s="21"/>
      <c r="BF22" s="21"/>
      <c r="BG22" s="21"/>
      <c r="BH22" s="21"/>
      <c r="BI22" s="21"/>
      <c r="BJ22" s="21"/>
      <c r="BK22" s="21"/>
      <c r="BL22" s="21"/>
      <c r="BM22" s="21"/>
      <c r="BN22" s="21"/>
      <c r="BO22" s="21"/>
      <c r="BP22" s="21"/>
      <c r="BQ22" s="21"/>
      <c r="BR22" s="21"/>
      <c r="BS22" s="21"/>
      <c r="BT22" s="21"/>
      <c r="BU22" s="21"/>
      <c r="BV22" s="21"/>
      <c r="BW22" s="21"/>
      <c r="BX22" s="21"/>
      <c r="BZ22" s="21"/>
      <c r="CA22" s="21"/>
      <c r="CB22" s="21"/>
      <c r="CC22" s="21"/>
      <c r="CD22" s="21"/>
      <c r="CE22" s="21"/>
      <c r="CF22" s="21"/>
      <c r="CG22" s="21"/>
      <c r="CH22" s="21"/>
      <c r="CI22" s="21"/>
      <c r="CJ22" s="21"/>
      <c r="CK22" s="21"/>
      <c r="CL22" s="21"/>
      <c r="CM22" s="21"/>
      <c r="CN22" s="21"/>
      <c r="CO22" s="21"/>
      <c r="CP22" s="21"/>
      <c r="CQ22" s="21"/>
      <c r="CR22" s="21"/>
      <c r="CS22" s="21"/>
      <c r="CT22" s="21"/>
      <c r="CU22" s="21"/>
      <c r="CV22" s="21"/>
      <c r="CW22" s="21"/>
      <c r="CX22" s="21"/>
      <c r="CY22" s="21"/>
      <c r="CZ22" s="21"/>
      <c r="DA22" s="21"/>
      <c r="DB22" s="21"/>
      <c r="DC22" s="21"/>
      <c r="DD22" s="21"/>
      <c r="DE22" s="21"/>
      <c r="DF22" s="21"/>
      <c r="DG22" s="21"/>
      <c r="DH22" s="21"/>
      <c r="DI22" s="21"/>
      <c r="DJ22" s="21"/>
      <c r="DK22" s="21"/>
      <c r="DL22" s="21"/>
      <c r="DM22" s="21"/>
      <c r="DN22" s="21"/>
      <c r="DO22" s="21"/>
      <c r="DP22" s="21"/>
      <c r="DQ22" s="21"/>
      <c r="DR22" s="21"/>
      <c r="DS22" s="21"/>
      <c r="DT22" s="21"/>
      <c r="DU22" s="21"/>
      <c r="DV22" s="21"/>
      <c r="DW22" s="21"/>
      <c r="DX22" s="21"/>
      <c r="DY22" s="21"/>
      <c r="DZ22" s="87"/>
      <c r="EA22" s="87"/>
      <c r="EB22" s="87"/>
      <c r="EC22" s="21"/>
      <c r="ED22" s="21"/>
      <c r="EE22" s="21"/>
      <c r="EF22" s="21"/>
      <c r="EG22" s="21"/>
      <c r="EH22" s="21"/>
      <c r="EI22" s="21"/>
      <c r="EJ22" s="21"/>
      <c r="EK22" s="21"/>
      <c r="EL22" s="21"/>
      <c r="EM22" s="21"/>
      <c r="EN22" s="21"/>
      <c r="EO22" s="21"/>
      <c r="EP22" s="21"/>
      <c r="EQ22" s="21"/>
      <c r="ER22" s="21"/>
      <c r="ES22" s="21"/>
      <c r="ET22" s="21"/>
      <c r="EU22" s="21"/>
      <c r="EV22" s="21"/>
      <c r="EW22" s="21"/>
      <c r="EX22" s="21"/>
      <c r="EY22" s="21"/>
      <c r="EZ22" s="21"/>
      <c r="FA22" s="21"/>
      <c r="FB22" s="21"/>
      <c r="FC22" s="21"/>
      <c r="FD22" s="21"/>
      <c r="FE22" s="21"/>
      <c r="FF22" s="21"/>
      <c r="FG22" s="21"/>
      <c r="FH22" s="21"/>
      <c r="FI22" s="21"/>
      <c r="FJ22" s="21"/>
      <c r="FK22" s="21"/>
      <c r="FL22" s="21"/>
      <c r="FM22" s="21"/>
      <c r="FN22" s="21"/>
      <c r="FO22" s="21"/>
      <c r="FP22" s="21"/>
      <c r="FQ22" s="21"/>
      <c r="FR22" s="21"/>
      <c r="FS22" s="21"/>
      <c r="FT22" s="21"/>
      <c r="FU22" s="21"/>
      <c r="FV22" s="21"/>
      <c r="FW22" s="21"/>
      <c r="FX22" s="21"/>
      <c r="FY22" s="21"/>
      <c r="FZ22" s="21"/>
      <c r="GA22" s="21"/>
      <c r="GB22" s="21"/>
      <c r="GC22" s="21"/>
      <c r="GD22" s="21"/>
      <c r="GE22" s="21"/>
      <c r="GF22" s="21"/>
      <c r="GG22" s="21"/>
      <c r="GH22" s="21"/>
      <c r="GI22" s="21"/>
      <c r="GJ22" s="21"/>
      <c r="GK22" s="21"/>
      <c r="GL22" s="21"/>
      <c r="GM22" s="21"/>
      <c r="GN22" s="21"/>
      <c r="GO22" s="21"/>
      <c r="GP22" s="21"/>
      <c r="GQ22" s="21"/>
      <c r="GR22" s="21"/>
      <c r="GS22" s="21"/>
      <c r="GT22" s="21"/>
      <c r="GU22" s="21"/>
      <c r="GV22" s="21"/>
      <c r="GW22" s="21"/>
      <c r="GX22" s="21"/>
      <c r="GY22" s="21"/>
      <c r="GZ22" s="21"/>
      <c r="HA22" s="21"/>
      <c r="HB22" s="21"/>
      <c r="HC22" s="21"/>
      <c r="HD22" s="21"/>
      <c r="HE22" s="21"/>
      <c r="HF22" s="21"/>
      <c r="HG22" s="21"/>
      <c r="HH22" s="21"/>
      <c r="HI22" s="21"/>
      <c r="HJ22" s="21"/>
      <c r="HK22" s="21"/>
      <c r="HL22" s="21"/>
      <c r="HM22" s="21"/>
      <c r="HN22" s="21"/>
      <c r="HO22" s="21"/>
      <c r="HP22" s="21"/>
      <c r="HQ22" s="21"/>
      <c r="HR22" s="21"/>
      <c r="HS22" s="21"/>
      <c r="HT22" s="21"/>
      <c r="HU22" s="21"/>
      <c r="HV22" s="186"/>
      <c r="HW22" s="21"/>
      <c r="HX22" s="21"/>
      <c r="HY22" s="21"/>
      <c r="HZ22" s="21"/>
      <c r="IA22" s="21"/>
      <c r="IB22" s="21"/>
      <c r="IC22" s="21"/>
      <c r="ID22" s="21"/>
      <c r="IE22" s="21"/>
      <c r="IF22" s="21"/>
      <c r="IG22" s="21"/>
      <c r="IH22" s="21"/>
      <c r="II22" s="21"/>
      <c r="IJ22" s="21"/>
      <c r="IK22" s="21"/>
      <c r="IL22" s="21"/>
      <c r="IM22" s="21"/>
      <c r="IN22" s="21"/>
      <c r="IO22" s="21"/>
      <c r="IP22" s="21"/>
      <c r="IQ22" s="21"/>
      <c r="IR22" s="21"/>
      <c r="IS22" s="21"/>
      <c r="IT22" s="21"/>
      <c r="IU22" s="21"/>
      <c r="IV22" s="21"/>
      <c r="IW22" s="21"/>
      <c r="IX22" s="21"/>
      <c r="IY22" s="21"/>
      <c r="IZ22" s="21"/>
      <c r="JA22" s="21"/>
      <c r="JB22" s="21"/>
      <c r="JC22" s="21"/>
      <c r="JD22" s="21"/>
      <c r="JE22" s="21"/>
      <c r="JF22" s="21"/>
      <c r="JG22" s="21"/>
      <c r="JH22" s="21"/>
      <c r="JI22" s="21"/>
      <c r="JJ22" s="21"/>
      <c r="JK22" s="21"/>
      <c r="JL22" s="21"/>
      <c r="JM22" s="21"/>
      <c r="JN22" s="21"/>
      <c r="JO22" s="21"/>
      <c r="JP22" s="21"/>
      <c r="JQ22" s="21"/>
      <c r="JR22" s="21"/>
      <c r="JS22" s="21"/>
      <c r="JT22" s="21"/>
      <c r="JU22" s="21"/>
      <c r="JV22" s="21"/>
      <c r="JW22" s="21"/>
      <c r="JX22" s="21"/>
      <c r="JY22" s="21"/>
      <c r="JZ22" s="21"/>
      <c r="KA22" s="21"/>
      <c r="KB22" s="21"/>
      <c r="KC22" s="21"/>
      <c r="KD22" s="21"/>
      <c r="KE22" s="21"/>
      <c r="KF22" s="21"/>
      <c r="KG22" s="21"/>
      <c r="KH22" s="21"/>
    </row>
    <row r="23" spans="1:294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94" t="s">
        <v>786</v>
      </c>
      <c r="M23" s="11">
        <f>INDEX(cennik!$C$2:$L$529,MATCH($L23,cennik!$B$2:$B$522,0),MATCH(M$2,cennik!$C$1:$L$1,0))</f>
        <v>651541</v>
      </c>
      <c r="N23" s="11" t="str">
        <f>INDEX(cennik!$C$2:$L$529,MATCH($L23,cennik!$B$2:$B$522,0),MATCH(N$2,cennik!$C$1:$L$1,0))</f>
        <v>100 szt.</v>
      </c>
      <c r="O23" s="14">
        <f>ROUNDUP(((IF(E6=AF5,(SUM((A2*C2),(A3*C3),(A4*C4),(A5*C5),(A6*C6),(A7*C7),(A8*C8),(A9*C9),(A10*C10),(A11*C11),(A12*C12),(A13*C13),(A14*C14),(A15*C15),(A16*C16),(A17*C17)))*4,0)))/100,0)</f>
        <v>0</v>
      </c>
      <c r="P23" s="11">
        <f>INDEX(cennik!$C$2:$L$529,MATCH($L23,cennik!$B$2:$B$522,0),MATCH(P$2,cennik!$C$1:$L$1,0))</f>
        <v>78.89</v>
      </c>
      <c r="Q23" s="14">
        <f t="shared" si="7"/>
        <v>0</v>
      </c>
      <c r="R23" s="14">
        <f t="shared" si="0"/>
        <v>0</v>
      </c>
      <c r="S23" s="34">
        <f t="shared" si="1"/>
        <v>78.89</v>
      </c>
      <c r="T23" s="14">
        <f t="shared" si="8"/>
        <v>0</v>
      </c>
      <c r="U23" s="34">
        <f>INDEX(cennik!$C$2:$L$529,MATCH($L23,cennik!$B$2:$B$522,0),MATCH(U$2,cennik!$C$1:$L$1,0))*O23</f>
        <v>0</v>
      </c>
      <c r="V23" s="21"/>
      <c r="W23" s="21"/>
      <c r="X23" s="21"/>
      <c r="Y23" s="21"/>
      <c r="Z23" s="21"/>
      <c r="AA23" s="21"/>
      <c r="AB23" s="21"/>
      <c r="AC23" s="21"/>
      <c r="AD23" s="21"/>
      <c r="AE23" s="21"/>
      <c r="AF23" s="21"/>
      <c r="AG23" s="21"/>
      <c r="AH23" s="21"/>
      <c r="AI23" s="21"/>
      <c r="AJ23" s="21"/>
      <c r="AK23" s="21"/>
      <c r="AL23" s="21"/>
      <c r="AM23" s="21"/>
      <c r="AN23" s="21"/>
      <c r="AO23" s="186" t="s">
        <v>1211</v>
      </c>
      <c r="AP23" s="186" t="s">
        <v>1285</v>
      </c>
      <c r="AQ23" s="21"/>
      <c r="AR23" s="21"/>
      <c r="AS23" s="21"/>
      <c r="AT23" s="20" t="s">
        <v>479</v>
      </c>
      <c r="AU23" s="26" t="s">
        <v>1232</v>
      </c>
      <c r="AV23" s="21"/>
      <c r="AW23" s="21"/>
      <c r="AX23" s="21"/>
      <c r="AY23" s="21"/>
      <c r="AZ23" s="21"/>
      <c r="BA23" s="21"/>
      <c r="BB23" s="348" t="s">
        <v>1434</v>
      </c>
      <c r="BC23" s="21"/>
      <c r="BD23" s="21"/>
      <c r="BE23" s="21"/>
      <c r="BF23" s="21"/>
      <c r="BG23" s="21"/>
      <c r="BH23" s="21"/>
      <c r="BI23" s="21"/>
      <c r="BJ23" s="21"/>
      <c r="BK23" s="21"/>
      <c r="BL23" s="21"/>
      <c r="BM23" s="21"/>
      <c r="BN23" s="21"/>
      <c r="BO23" s="21"/>
      <c r="BP23" s="21"/>
      <c r="BQ23" s="21">
        <f>IF(BP16=0,0,(O3*3+((BP16-1)*3)))</f>
        <v>0</v>
      </c>
      <c r="BR23" s="21"/>
      <c r="BS23" s="21"/>
      <c r="BT23" s="21"/>
      <c r="BU23" s="21"/>
      <c r="BV23" s="21"/>
      <c r="BW23" s="21"/>
      <c r="BX23" s="21"/>
      <c r="BY23" s="21"/>
      <c r="BZ23" s="21"/>
      <c r="CA23" s="21"/>
      <c r="CB23" s="21"/>
      <c r="CC23" s="21"/>
      <c r="CD23" s="21"/>
      <c r="CE23" s="21"/>
      <c r="CF23" s="21"/>
      <c r="CG23" s="21"/>
      <c r="CH23" s="21"/>
      <c r="CI23" s="21"/>
      <c r="CJ23" s="21"/>
      <c r="CK23" s="21"/>
      <c r="CL23" s="21"/>
      <c r="CM23" s="21"/>
      <c r="CN23" s="21"/>
      <c r="CO23" s="21"/>
      <c r="CP23" s="21"/>
      <c r="CQ23" s="21"/>
      <c r="CR23" s="21"/>
      <c r="CS23" s="21"/>
      <c r="CT23" s="21"/>
      <c r="CU23" s="21"/>
      <c r="CV23" s="21"/>
      <c r="CW23" s="21"/>
      <c r="CX23" s="21"/>
      <c r="CY23" s="21"/>
      <c r="CZ23" s="21"/>
      <c r="DA23" s="21"/>
      <c r="DB23" s="21"/>
      <c r="DC23" s="21"/>
      <c r="DD23" s="21"/>
      <c r="DE23" s="21"/>
      <c r="DF23" s="21"/>
      <c r="DG23" s="21"/>
      <c r="DH23" s="21"/>
      <c r="DI23" s="21"/>
      <c r="DJ23" s="21"/>
      <c r="DK23" s="21"/>
      <c r="DL23" s="21"/>
      <c r="DM23" s="21"/>
      <c r="DN23" s="21"/>
      <c r="DO23" s="21"/>
      <c r="DP23" s="21"/>
      <c r="DQ23" s="21"/>
      <c r="DR23" s="21"/>
      <c r="DS23" s="21"/>
      <c r="DT23" s="21"/>
      <c r="DU23" s="21"/>
      <c r="DV23" s="21"/>
      <c r="DW23" s="21"/>
      <c r="DX23" s="21"/>
      <c r="DY23" s="21"/>
      <c r="DZ23" s="87"/>
      <c r="EA23" s="87"/>
      <c r="EB23" s="87"/>
      <c r="EC23" s="21"/>
      <c r="ED23" s="21"/>
      <c r="EE23" s="21"/>
      <c r="EF23" s="21"/>
      <c r="EG23" s="21"/>
      <c r="EH23" s="21"/>
      <c r="EI23" s="21"/>
      <c r="EJ23" s="21"/>
      <c r="EK23" s="21"/>
      <c r="EL23" s="21"/>
      <c r="EM23" s="21"/>
      <c r="EN23" s="21"/>
      <c r="EO23" s="21"/>
      <c r="EP23" s="21"/>
      <c r="EQ23" s="21"/>
      <c r="ER23" s="21"/>
      <c r="ES23" s="21"/>
      <c r="ET23" s="21"/>
      <c r="EU23" s="21"/>
      <c r="EV23" s="21"/>
      <c r="EW23" s="21"/>
      <c r="EX23" s="21"/>
      <c r="EY23" s="21"/>
      <c r="EZ23" s="21"/>
      <c r="FA23" s="21"/>
      <c r="FB23" s="21"/>
      <c r="FC23" s="21"/>
      <c r="FD23" s="21"/>
      <c r="FE23" s="21"/>
      <c r="FF23" s="21"/>
      <c r="FG23" s="21"/>
      <c r="FH23" s="21"/>
      <c r="FI23" s="21"/>
      <c r="FJ23" s="21"/>
      <c r="FK23" s="21"/>
      <c r="FL23" s="21"/>
      <c r="FM23" s="21"/>
      <c r="FN23" s="21"/>
      <c r="FO23" s="21"/>
      <c r="FP23" s="21"/>
      <c r="FQ23" s="21"/>
      <c r="FR23" s="21"/>
      <c r="FS23" s="21"/>
      <c r="FT23" s="21"/>
      <c r="FU23" s="21"/>
      <c r="FV23" s="21"/>
      <c r="FW23" s="21"/>
      <c r="FX23" s="21"/>
      <c r="FY23" s="21"/>
      <c r="FZ23" s="21"/>
      <c r="GA23" s="21"/>
      <c r="GB23" s="21"/>
      <c r="GC23" s="21"/>
      <c r="GD23" s="21"/>
      <c r="GE23" s="21"/>
      <c r="GF23" s="21"/>
      <c r="GG23" s="21"/>
      <c r="GH23" s="21"/>
      <c r="GI23" s="21"/>
      <c r="GJ23" s="21"/>
      <c r="GK23" s="21"/>
      <c r="GL23" s="21"/>
      <c r="GM23" s="21"/>
      <c r="GN23" s="21"/>
      <c r="GO23" s="21"/>
      <c r="GP23" s="21"/>
      <c r="GQ23" s="21"/>
      <c r="GR23" s="21"/>
      <c r="GS23" s="21"/>
      <c r="GT23" s="21"/>
      <c r="GU23" s="21"/>
      <c r="GV23" s="21"/>
      <c r="GW23" s="21"/>
      <c r="GX23" s="21"/>
      <c r="GY23" s="21"/>
      <c r="GZ23" s="21"/>
      <c r="HA23" s="21"/>
      <c r="HB23" s="21"/>
      <c r="HC23" s="21"/>
      <c r="HD23" s="21"/>
      <c r="HE23" s="21"/>
      <c r="HF23" s="21"/>
      <c r="HG23" s="21"/>
      <c r="HH23" s="21"/>
      <c r="HI23" s="21"/>
      <c r="HJ23" s="21"/>
      <c r="HK23" s="21"/>
      <c r="HL23" s="21"/>
      <c r="HM23" s="21"/>
      <c r="HN23" s="21"/>
      <c r="HO23" s="21"/>
      <c r="HP23" s="21"/>
      <c r="HQ23" s="21"/>
      <c r="HR23" s="21"/>
      <c r="HS23" s="21"/>
      <c r="HT23" s="21"/>
      <c r="HU23" s="21"/>
      <c r="HV23" s="186"/>
      <c r="HW23" s="21"/>
      <c r="HX23" s="21"/>
      <c r="HY23" s="21"/>
      <c r="HZ23" s="21"/>
      <c r="IA23" s="21"/>
      <c r="IB23" s="21"/>
      <c r="IC23" s="21"/>
      <c r="ID23" s="21"/>
      <c r="IE23" s="21"/>
      <c r="IF23" s="21"/>
      <c r="IG23" s="21"/>
      <c r="IH23" s="21"/>
      <c r="II23" s="21"/>
      <c r="IJ23" s="21"/>
      <c r="IK23" s="21"/>
      <c r="IL23" s="21"/>
      <c r="IM23" s="21"/>
      <c r="IN23" s="21"/>
      <c r="IO23" s="21"/>
      <c r="IP23" s="21"/>
      <c r="IQ23" s="21"/>
      <c r="IR23" s="21"/>
      <c r="IS23" s="21"/>
      <c r="IT23" s="21"/>
      <c r="IU23" s="21"/>
      <c r="IV23" s="21"/>
      <c r="IW23" s="21"/>
      <c r="IX23" s="21"/>
      <c r="IY23" s="21"/>
      <c r="IZ23" s="21"/>
      <c r="JA23" s="21"/>
      <c r="JB23" s="21"/>
      <c r="JC23" s="21"/>
      <c r="JD23" s="21"/>
      <c r="JE23" s="21"/>
      <c r="JF23" s="21"/>
      <c r="JG23" s="21"/>
      <c r="JH23" s="21"/>
      <c r="JI23" s="21"/>
      <c r="JJ23" s="21"/>
      <c r="JK23" s="21"/>
      <c r="JL23" s="21"/>
      <c r="JM23" s="21"/>
      <c r="JN23" s="21"/>
      <c r="JO23" s="21"/>
      <c r="JP23" s="21"/>
      <c r="JQ23" s="21"/>
      <c r="JR23" s="21"/>
      <c r="JS23" s="21"/>
      <c r="JT23" s="21"/>
      <c r="JU23" s="21"/>
      <c r="JV23" s="21"/>
      <c r="JW23" s="21"/>
      <c r="JX23" s="21"/>
      <c r="JY23" s="21"/>
      <c r="JZ23" s="21"/>
      <c r="KA23" s="21"/>
      <c r="KB23" s="21"/>
      <c r="KC23" s="21"/>
      <c r="KD23" s="21"/>
      <c r="KE23" s="21"/>
      <c r="KF23" s="21"/>
      <c r="KG23" s="21"/>
      <c r="KH23" s="21"/>
    </row>
    <row r="24" spans="1:294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5" t="s">
        <v>1434</v>
      </c>
      <c r="M24" s="11">
        <f>INDEX(cennik!$C$2:$L$529,MATCH($L24,cennik!$B$2:$B$522,0),MATCH(M$2,cennik!$C$1:$L$1,0))</f>
        <v>660352</v>
      </c>
      <c r="N24" s="11" t="str">
        <f>INDEX(cennik!$C$2:$L$529,MATCH($L24,cennik!$B$2:$B$522,0),MATCH(N$2,cennik!$C$1:$L$1,0))</f>
        <v>100 szt.</v>
      </c>
      <c r="O24" s="14">
        <f>ROUNDUP((O3*4)/100,0)</f>
        <v>0</v>
      </c>
      <c r="P24" s="11">
        <f>INDEX(cennik!$C$2:$L$529,MATCH($L24,cennik!$B$2:$B$522,0),MATCH(P$2,cennik!$C$1:$L$1,0))</f>
        <v>89.39</v>
      </c>
      <c r="Q24" s="14">
        <f>O24*P24</f>
        <v>0</v>
      </c>
      <c r="R24" s="14">
        <f t="shared" si="0"/>
        <v>0</v>
      </c>
      <c r="S24" s="34">
        <f t="shared" si="1"/>
        <v>89.39</v>
      </c>
      <c r="T24" s="14">
        <f t="shared" si="8"/>
        <v>0</v>
      </c>
      <c r="U24" s="34">
        <f>INDEX(cennik!$C$2:$L$529,MATCH($L24,cennik!$B$2:$B$522,0),MATCH(U$2,cennik!$C$1:$L$1,0))*O24</f>
        <v>0</v>
      </c>
      <c r="V24" s="21"/>
      <c r="W24" s="21"/>
      <c r="X24" s="21"/>
      <c r="Y24" s="21"/>
      <c r="Z24" s="21"/>
      <c r="AA24" s="21"/>
      <c r="AB24" s="21"/>
      <c r="AC24" s="21"/>
      <c r="AD24" s="21"/>
      <c r="AE24" s="21"/>
      <c r="AF24" s="21"/>
      <c r="AG24" s="21"/>
      <c r="AH24" s="21"/>
      <c r="AI24" s="21"/>
      <c r="AJ24" s="21"/>
      <c r="AK24" s="21"/>
      <c r="AL24" s="21"/>
      <c r="AM24" s="21"/>
      <c r="AN24" s="21"/>
      <c r="AO24" s="186" t="s">
        <v>1212</v>
      </c>
      <c r="AP24" s="21" t="s">
        <v>1221</v>
      </c>
      <c r="AQ24" s="21"/>
      <c r="AR24" s="21"/>
      <c r="AS24" s="21"/>
      <c r="AT24" s="20" t="s">
        <v>508</v>
      </c>
      <c r="AU24" s="26" t="s">
        <v>1232</v>
      </c>
      <c r="AV24" s="21"/>
      <c r="AW24" s="21"/>
      <c r="AX24" s="21"/>
      <c r="AY24" s="21"/>
      <c r="AZ24" s="21"/>
      <c r="BA24" s="21"/>
      <c r="BB24" s="21"/>
      <c r="BC24" s="21"/>
      <c r="BD24" s="21"/>
      <c r="BE24" s="21"/>
      <c r="BF24" s="21"/>
      <c r="BG24" s="21"/>
      <c r="BH24" s="21"/>
      <c r="BI24" s="21"/>
      <c r="BJ24" s="21"/>
      <c r="BK24" s="21"/>
      <c r="BL24" s="21"/>
      <c r="BM24" s="21"/>
      <c r="BN24" s="21"/>
      <c r="BO24" s="21"/>
      <c r="BP24" s="21"/>
      <c r="BQ24" s="21"/>
      <c r="BR24" s="21"/>
      <c r="BS24" s="21"/>
      <c r="BT24" s="21"/>
      <c r="BU24" s="21"/>
      <c r="BV24" s="21"/>
      <c r="BW24" s="21"/>
      <c r="BX24" s="21"/>
      <c r="BY24" s="21"/>
      <c r="BZ24" s="21"/>
      <c r="CA24" s="21"/>
      <c r="CB24" s="21"/>
      <c r="CC24" s="21"/>
      <c r="CD24" s="21"/>
      <c r="CE24" s="21"/>
      <c r="CF24" s="21"/>
      <c r="CG24" s="21"/>
      <c r="CH24" s="21"/>
      <c r="CI24" s="21"/>
      <c r="CJ24" s="21"/>
      <c r="CK24" s="21"/>
      <c r="CL24" s="21"/>
      <c r="CM24" s="21"/>
      <c r="CN24" s="21"/>
      <c r="CO24" s="21"/>
      <c r="CP24" s="21"/>
      <c r="CQ24" s="21"/>
      <c r="CR24" s="21"/>
      <c r="CS24" s="21"/>
      <c r="CT24" s="21"/>
      <c r="CU24" s="21"/>
      <c r="CV24" s="21"/>
      <c r="CW24" s="21"/>
      <c r="CX24" s="21"/>
      <c r="CY24" s="21"/>
      <c r="CZ24" s="21"/>
      <c r="DA24" s="21"/>
      <c r="DB24" s="21"/>
      <c r="DC24" s="21"/>
      <c r="DD24" s="21"/>
      <c r="DE24" s="21"/>
      <c r="DF24" s="21"/>
      <c r="DG24" s="21"/>
      <c r="DH24" s="21"/>
      <c r="DI24" s="21"/>
      <c r="DJ24" s="21"/>
      <c r="DK24" s="21"/>
      <c r="DL24" s="21"/>
      <c r="DM24" s="21"/>
      <c r="DN24" s="21"/>
      <c r="DO24" s="21"/>
      <c r="DP24" s="21"/>
      <c r="DQ24" s="21"/>
      <c r="DR24" s="21"/>
      <c r="DS24" s="21"/>
      <c r="DT24" s="21"/>
      <c r="DU24" s="21"/>
      <c r="DV24" s="21"/>
      <c r="DW24" s="21"/>
      <c r="DX24" s="21"/>
      <c r="DY24" s="21"/>
      <c r="DZ24" s="87"/>
      <c r="EA24" s="87"/>
      <c r="EB24" s="87"/>
      <c r="EC24" s="21"/>
      <c r="ED24" s="21"/>
      <c r="EE24" s="21"/>
      <c r="EF24" s="21"/>
      <c r="EG24" s="21"/>
      <c r="EH24" s="21"/>
      <c r="EI24" s="21"/>
      <c r="EJ24" s="21"/>
      <c r="EK24" s="21"/>
      <c r="EL24" s="21"/>
      <c r="EM24" s="21"/>
      <c r="EN24" s="21"/>
      <c r="EO24" s="21"/>
      <c r="EP24" s="21"/>
      <c r="EQ24" s="21"/>
      <c r="ER24" s="21"/>
      <c r="ES24" s="21"/>
      <c r="ET24" s="21"/>
      <c r="EU24" s="21"/>
      <c r="EV24" s="21"/>
      <c r="EW24" s="21"/>
      <c r="EX24" s="21"/>
      <c r="EY24" s="21"/>
      <c r="EZ24" s="21"/>
      <c r="FA24" s="21"/>
      <c r="FB24" s="21"/>
      <c r="FC24" s="21"/>
      <c r="FD24" s="21"/>
      <c r="FE24" s="21"/>
      <c r="FF24" s="21"/>
      <c r="FG24" s="21"/>
      <c r="FH24" s="21"/>
      <c r="FI24" s="21"/>
      <c r="FJ24" s="21"/>
      <c r="FK24" s="21"/>
      <c r="FL24" s="21"/>
      <c r="FM24" s="21"/>
      <c r="FN24" s="21"/>
      <c r="FO24" s="21"/>
      <c r="FP24" s="21"/>
      <c r="FQ24" s="21"/>
      <c r="FR24" s="21"/>
      <c r="FS24" s="21"/>
      <c r="FT24" s="21"/>
      <c r="FU24" s="21"/>
      <c r="FV24" s="21"/>
      <c r="FW24" s="21"/>
      <c r="FX24" s="21"/>
      <c r="FY24" s="21"/>
      <c r="FZ24" s="21"/>
      <c r="GA24" s="21"/>
      <c r="GB24" s="21"/>
      <c r="GC24" s="21"/>
      <c r="GD24" s="21"/>
      <c r="GE24" s="21"/>
      <c r="GF24" s="21"/>
      <c r="GG24" s="21"/>
      <c r="GH24" s="21"/>
      <c r="GI24" s="21"/>
      <c r="GJ24" s="21"/>
      <c r="GK24" s="21"/>
      <c r="GL24" s="21"/>
      <c r="GM24" s="21"/>
      <c r="GN24" s="21"/>
      <c r="GO24" s="21"/>
      <c r="GP24" s="21"/>
      <c r="GQ24" s="21"/>
      <c r="GR24" s="21"/>
      <c r="GS24" s="21"/>
      <c r="GT24" s="21"/>
      <c r="GU24" s="21"/>
      <c r="GV24" s="21"/>
      <c r="GW24" s="21"/>
      <c r="GX24" s="21"/>
      <c r="GY24" s="21"/>
      <c r="GZ24" s="21"/>
      <c r="HA24" s="21"/>
      <c r="HB24" s="21"/>
      <c r="HC24" s="21"/>
      <c r="HD24" s="21"/>
      <c r="HE24" s="21"/>
      <c r="HF24" s="21"/>
      <c r="HG24" s="21"/>
      <c r="HH24" s="21"/>
      <c r="HI24" s="21"/>
      <c r="HJ24" s="21"/>
      <c r="HK24" s="21"/>
      <c r="HL24" s="21"/>
      <c r="HM24" s="21"/>
      <c r="HN24" s="21"/>
      <c r="HO24" s="21"/>
      <c r="HP24" s="21"/>
      <c r="HQ24" s="21"/>
      <c r="HR24" s="21"/>
      <c r="HS24" s="21"/>
      <c r="HT24" s="21"/>
      <c r="HU24" s="21"/>
      <c r="HV24" s="186"/>
      <c r="HW24" s="21"/>
      <c r="HX24" s="21"/>
      <c r="HY24" s="21"/>
      <c r="HZ24" s="21"/>
      <c r="IA24" s="21"/>
      <c r="IB24" s="21"/>
      <c r="IC24" s="21"/>
      <c r="ID24" s="21"/>
      <c r="IE24" s="21"/>
      <c r="IF24" s="21"/>
      <c r="IG24" s="21"/>
      <c r="IH24" s="21"/>
      <c r="II24" s="21"/>
      <c r="IJ24" s="21"/>
      <c r="IK24" s="21"/>
      <c r="IL24" s="21"/>
      <c r="IM24" s="21"/>
      <c r="IN24" s="21"/>
      <c r="IO24" s="21"/>
      <c r="IP24" s="21"/>
      <c r="IQ24" s="21"/>
      <c r="IR24" s="21"/>
      <c r="IS24" s="21"/>
      <c r="IT24" s="21"/>
      <c r="IU24" s="21"/>
      <c r="IV24" s="21"/>
      <c r="IW24" s="21"/>
      <c r="IX24" s="21"/>
      <c r="IY24" s="21"/>
      <c r="IZ24" s="21"/>
      <c r="JA24" s="21"/>
      <c r="JB24" s="21"/>
      <c r="JC24" s="21"/>
      <c r="JD24" s="21"/>
      <c r="JE24" s="21"/>
      <c r="JF24" s="21"/>
      <c r="JG24" s="21"/>
      <c r="JH24" s="21"/>
      <c r="JI24" s="21"/>
      <c r="JJ24" s="21"/>
      <c r="JK24" s="21"/>
      <c r="JL24" s="21"/>
      <c r="JM24" s="21"/>
      <c r="JN24" s="21"/>
      <c r="JO24" s="21"/>
      <c r="JP24" s="21"/>
      <c r="JQ24" s="21"/>
      <c r="JR24" s="21"/>
      <c r="JS24" s="21"/>
      <c r="JT24" s="21"/>
      <c r="JU24" s="21"/>
      <c r="JV24" s="21"/>
      <c r="JW24" s="21"/>
      <c r="JX24" s="21"/>
      <c r="JY24" s="21"/>
      <c r="JZ24" s="21"/>
      <c r="KA24" s="21"/>
      <c r="KB24" s="21"/>
      <c r="KC24" s="21"/>
      <c r="KD24" s="21"/>
      <c r="KE24" s="21"/>
      <c r="KF24" s="21"/>
      <c r="KG24" s="21"/>
      <c r="KH24" s="21"/>
    </row>
    <row r="25" spans="1:294" x14ac:dyDescent="0.2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94" t="s">
        <v>1466</v>
      </c>
      <c r="M25" s="11">
        <f>INDEX(cennik!$C$2:$L$529,MATCH($L25,cennik!$B$2:$B$522,0),MATCH(M$2,cennik!$C$1:$L$1,0))</f>
        <v>651441</v>
      </c>
      <c r="N25" s="11" t="str">
        <f>INDEX(cennik!$C$2:$L$529,MATCH($L25,cennik!$B$2:$B$522,0),MATCH(N$2,cennik!$C$1:$L$1,0))</f>
        <v>100 szt.</v>
      </c>
      <c r="O25" s="14">
        <f>ROUNDUP((O5*8)/100,0)</f>
        <v>0</v>
      </c>
      <c r="P25" s="11">
        <f>INDEX(cennik!$C$2:$L$529,MATCH($L25,cennik!$B$2:$B$522,0),MATCH(P$2,cennik!$C$1:$L$1,0))</f>
        <v>52.15</v>
      </c>
      <c r="Q25" s="14">
        <f>O25*P25</f>
        <v>0</v>
      </c>
      <c r="R25" s="14">
        <f>$E$11</f>
        <v>0</v>
      </c>
      <c r="S25" s="34">
        <f t="shared" ref="S25" si="10">P25*((100-$E$11)/100)</f>
        <v>52.15</v>
      </c>
      <c r="T25" s="14">
        <f>O25*S25</f>
        <v>0</v>
      </c>
      <c r="U25" s="34">
        <f>INDEX(cennik!$C$2:$L$529,MATCH($L25,cennik!$B$2:$B$522,0),MATCH(U$2,cennik!$C$1:$L$1,0))*O25</f>
        <v>0</v>
      </c>
      <c r="V25" s="21"/>
      <c r="W25" s="21"/>
      <c r="X25" s="21"/>
      <c r="Y25" s="21"/>
      <c r="Z25" s="21"/>
      <c r="AA25" s="21"/>
      <c r="AB25" s="21"/>
      <c r="AC25" s="21"/>
      <c r="AD25" s="21"/>
      <c r="AE25" s="21"/>
      <c r="AF25" s="21"/>
      <c r="AG25" s="21"/>
      <c r="AH25" s="21"/>
      <c r="AI25" s="21"/>
      <c r="AJ25" s="21"/>
      <c r="AK25" s="21"/>
      <c r="AL25" s="21"/>
      <c r="AM25" s="21"/>
      <c r="AN25" s="21"/>
      <c r="AO25" s="186" t="s">
        <v>1213</v>
      </c>
      <c r="AP25" s="21" t="s">
        <v>1221</v>
      </c>
      <c r="AQ25" s="21"/>
      <c r="AR25" s="21"/>
      <c r="AS25" s="21"/>
      <c r="AT25" s="20" t="s">
        <v>507</v>
      </c>
      <c r="AU25" s="26" t="s">
        <v>1232</v>
      </c>
      <c r="AV25" s="21"/>
      <c r="AW25" s="21"/>
      <c r="AX25" s="21"/>
      <c r="AY25" s="21"/>
      <c r="AZ25" s="21"/>
      <c r="BA25" s="21"/>
      <c r="BB25" s="21"/>
      <c r="BC25" s="21"/>
      <c r="BD25" s="21"/>
      <c r="BE25" s="21"/>
      <c r="BF25" s="21"/>
      <c r="BG25" s="21"/>
      <c r="BH25" s="21"/>
      <c r="BI25" s="21"/>
      <c r="BJ25" s="21"/>
      <c r="BK25" s="21"/>
      <c r="BL25" s="21"/>
      <c r="BM25" s="21"/>
      <c r="BN25" s="21"/>
      <c r="BO25" s="21"/>
      <c r="BP25" s="21"/>
      <c r="BQ25" s="21"/>
      <c r="BR25" s="21"/>
      <c r="BS25" s="21"/>
      <c r="BT25" s="21"/>
      <c r="BU25" s="21"/>
      <c r="BV25" s="21"/>
      <c r="BW25" s="21"/>
      <c r="BX25" s="21"/>
      <c r="BY25" s="21"/>
      <c r="BZ25" s="21"/>
      <c r="CA25" s="21"/>
      <c r="CB25" s="21"/>
      <c r="CC25" s="21"/>
      <c r="CD25" s="21"/>
      <c r="CE25" s="21"/>
      <c r="CF25" s="21"/>
      <c r="CG25" s="21"/>
      <c r="CH25" s="21"/>
      <c r="CI25" s="21"/>
      <c r="CJ25" s="21"/>
      <c r="CK25" s="21"/>
      <c r="CL25" s="21"/>
      <c r="CM25" s="21"/>
      <c r="CN25" s="21"/>
      <c r="CO25" s="21"/>
      <c r="CP25" s="21"/>
      <c r="CQ25" s="21"/>
      <c r="CR25" s="21"/>
      <c r="CS25" s="21"/>
      <c r="CT25" s="21"/>
      <c r="CU25" s="21"/>
      <c r="CV25" s="21"/>
      <c r="CW25" s="21"/>
      <c r="CX25" s="21"/>
      <c r="CY25" s="21"/>
      <c r="CZ25" s="21"/>
      <c r="DA25" s="21"/>
      <c r="DB25" s="21"/>
      <c r="DC25" s="21"/>
      <c r="DD25" s="21"/>
      <c r="DE25" s="21"/>
      <c r="DF25" s="21"/>
      <c r="DG25" s="21"/>
      <c r="DH25" s="21"/>
      <c r="DI25" s="21"/>
      <c r="DJ25" s="21"/>
      <c r="DK25" s="21"/>
      <c r="DL25" s="21"/>
      <c r="DM25" s="21"/>
      <c r="DN25" s="21"/>
      <c r="DO25" s="21"/>
      <c r="DP25" s="21"/>
      <c r="DQ25" s="21"/>
      <c r="DR25" s="21"/>
      <c r="DS25" s="21"/>
      <c r="DT25" s="21"/>
      <c r="DU25" s="21"/>
      <c r="DV25" s="21"/>
      <c r="DW25" s="21"/>
      <c r="DX25" s="21"/>
      <c r="DY25" s="21"/>
      <c r="DZ25" s="87"/>
      <c r="EA25" s="87"/>
      <c r="EB25" s="87"/>
      <c r="EC25" s="21"/>
      <c r="ED25" s="21"/>
      <c r="EE25" s="21"/>
      <c r="EF25" s="21"/>
      <c r="EG25" s="21"/>
      <c r="EH25" s="21"/>
      <c r="EI25" s="21"/>
      <c r="EJ25" s="21"/>
      <c r="EK25" s="21"/>
      <c r="EL25" s="21"/>
      <c r="EM25" s="21"/>
      <c r="EN25" s="21"/>
      <c r="EO25" s="21"/>
      <c r="EP25" s="21"/>
      <c r="EQ25" s="21"/>
      <c r="ER25" s="21"/>
      <c r="ES25" s="21"/>
      <c r="ET25" s="21"/>
      <c r="EU25" s="21"/>
      <c r="EV25" s="21"/>
      <c r="EW25" s="21"/>
      <c r="EX25" s="21"/>
      <c r="EY25" s="21"/>
      <c r="EZ25" s="21"/>
      <c r="FA25" s="21"/>
      <c r="FB25" s="21"/>
      <c r="FC25" s="21"/>
      <c r="FD25" s="21"/>
      <c r="FE25" s="21"/>
      <c r="FF25" s="21"/>
      <c r="FG25" s="21"/>
      <c r="FH25" s="21"/>
      <c r="FI25" s="21"/>
      <c r="FJ25" s="21"/>
      <c r="FK25" s="21"/>
      <c r="FL25" s="21"/>
      <c r="FM25" s="21"/>
      <c r="FN25" s="21"/>
      <c r="FO25" s="21"/>
      <c r="FP25" s="21"/>
      <c r="FQ25" s="21"/>
      <c r="FR25" s="21"/>
      <c r="FS25" s="21"/>
      <c r="FT25" s="21"/>
      <c r="FU25" s="21"/>
      <c r="FV25" s="21"/>
      <c r="FW25" s="21"/>
      <c r="FX25" s="21"/>
      <c r="FY25" s="21"/>
      <c r="FZ25" s="21"/>
      <c r="GA25" s="21"/>
      <c r="GB25" s="21"/>
      <c r="GC25" s="21"/>
      <c r="GD25" s="21"/>
      <c r="GE25" s="21"/>
      <c r="GF25" s="21"/>
      <c r="GG25" s="21"/>
      <c r="GH25" s="21"/>
      <c r="GI25" s="21"/>
      <c r="GJ25" s="21"/>
      <c r="GK25" s="21"/>
      <c r="GL25" s="21"/>
      <c r="GM25" s="21"/>
      <c r="GN25" s="21"/>
      <c r="GO25" s="21"/>
      <c r="GP25" s="21"/>
      <c r="GQ25" s="21"/>
      <c r="GR25" s="21"/>
      <c r="GS25" s="21"/>
      <c r="GT25" s="21"/>
      <c r="GU25" s="21"/>
      <c r="GV25" s="21"/>
      <c r="GW25" s="21"/>
      <c r="GX25" s="21"/>
      <c r="GY25" s="21"/>
      <c r="GZ25" s="21"/>
      <c r="HA25" s="21"/>
      <c r="HB25" s="21"/>
      <c r="HC25" s="21"/>
      <c r="HD25" s="21"/>
      <c r="HE25" s="21"/>
      <c r="HF25" s="21"/>
      <c r="HG25" s="21"/>
      <c r="HH25" s="21"/>
      <c r="HI25" s="21"/>
      <c r="HJ25" s="21"/>
      <c r="HK25" s="21"/>
      <c r="HL25" s="21"/>
      <c r="HM25" s="21"/>
      <c r="HN25" s="21"/>
      <c r="HO25" s="21"/>
      <c r="HP25" s="21"/>
      <c r="HQ25" s="21"/>
      <c r="HR25" s="21"/>
      <c r="HS25" s="21"/>
      <c r="HT25" s="21"/>
      <c r="HU25" s="21"/>
      <c r="HV25" s="186"/>
      <c r="HW25" s="21"/>
      <c r="HX25" s="21"/>
      <c r="HY25" s="21"/>
      <c r="HZ25" s="21"/>
      <c r="IA25" s="21"/>
      <c r="IB25" s="21"/>
      <c r="IC25" s="21"/>
      <c r="ID25" s="21"/>
      <c r="IE25" s="21"/>
      <c r="IF25" s="21"/>
      <c r="IG25" s="21"/>
      <c r="IH25" s="21"/>
      <c r="II25" s="21"/>
      <c r="IJ25" s="21"/>
      <c r="IK25" s="21"/>
      <c r="IL25" s="21"/>
      <c r="IM25" s="21"/>
      <c r="IN25" s="21"/>
      <c r="IO25" s="21"/>
      <c r="IP25" s="21"/>
      <c r="IQ25" s="21"/>
      <c r="IR25" s="21"/>
      <c r="IS25" s="21"/>
      <c r="IT25" s="21"/>
      <c r="IU25" s="21"/>
      <c r="IV25" s="21"/>
      <c r="IW25" s="21"/>
      <c r="IX25" s="21"/>
      <c r="IY25" s="21"/>
      <c r="IZ25" s="21"/>
      <c r="JA25" s="21"/>
      <c r="JB25" s="21"/>
      <c r="JC25" s="21"/>
      <c r="JD25" s="21"/>
      <c r="JE25" s="21"/>
      <c r="JF25" s="21"/>
      <c r="JG25" s="21"/>
      <c r="JH25" s="21"/>
      <c r="JI25" s="21"/>
      <c r="JJ25" s="21"/>
      <c r="JK25" s="21"/>
      <c r="JL25" s="21"/>
      <c r="JM25" s="21"/>
      <c r="JN25" s="21"/>
      <c r="JO25" s="21"/>
      <c r="JP25" s="21"/>
      <c r="JQ25" s="21"/>
      <c r="JR25" s="21"/>
      <c r="JS25" s="21"/>
      <c r="JT25" s="21"/>
      <c r="JU25" s="21"/>
      <c r="JV25" s="21"/>
      <c r="JW25" s="21"/>
      <c r="JX25" s="21"/>
      <c r="JY25" s="21"/>
      <c r="JZ25" s="21"/>
      <c r="KA25" s="21"/>
      <c r="KB25" s="21"/>
      <c r="KC25" s="21"/>
      <c r="KD25" s="21"/>
      <c r="KE25" s="21"/>
      <c r="KF25" s="21"/>
      <c r="KG25" s="21"/>
      <c r="KH25" s="21"/>
    </row>
    <row r="26" spans="1:294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4">
        <f>SUM(T3:T25)</f>
        <v>0</v>
      </c>
      <c r="U26" s="22">
        <f>SUM(U3:U25)</f>
        <v>0</v>
      </c>
      <c r="V26" s="21"/>
      <c r="W26" s="21"/>
      <c r="X26" s="21"/>
      <c r="Y26" s="21"/>
      <c r="Z26" s="21"/>
      <c r="AA26" s="21"/>
      <c r="AB26" s="21"/>
      <c r="AC26" s="21"/>
      <c r="AD26" s="21"/>
      <c r="AE26" s="21"/>
      <c r="AF26" s="21"/>
      <c r="AG26" s="21"/>
      <c r="AH26" s="21"/>
      <c r="AI26" s="21"/>
      <c r="AJ26" s="21"/>
      <c r="AK26" s="21"/>
      <c r="AL26" s="21"/>
      <c r="AM26" s="21"/>
      <c r="AN26" s="21"/>
      <c r="AO26" s="186" t="s">
        <v>1214</v>
      </c>
      <c r="AP26" s="21" t="s">
        <v>1221</v>
      </c>
      <c r="AQ26" s="21"/>
      <c r="AR26" s="21"/>
      <c r="AS26" s="21"/>
      <c r="AT26" s="20" t="s">
        <v>763</v>
      </c>
      <c r="AU26" s="26" t="s">
        <v>1232</v>
      </c>
      <c r="AV26" s="21"/>
      <c r="AW26" s="21"/>
      <c r="AX26" s="21"/>
      <c r="AY26" s="21"/>
      <c r="AZ26" s="21"/>
      <c r="BA26" s="21"/>
      <c r="BB26" s="21"/>
      <c r="BC26" s="21"/>
      <c r="BD26" s="21"/>
      <c r="BE26" s="21"/>
      <c r="BF26" s="21"/>
      <c r="BG26" s="21"/>
      <c r="BH26" s="21"/>
      <c r="BI26" s="21"/>
      <c r="BJ26" s="21"/>
      <c r="BK26" s="21"/>
      <c r="BL26" s="21"/>
      <c r="BM26" s="21"/>
      <c r="BN26" s="21"/>
      <c r="BO26" s="21"/>
      <c r="BP26" s="21"/>
      <c r="BQ26" s="21"/>
      <c r="BR26" s="21"/>
      <c r="BS26" s="21"/>
      <c r="BT26" s="21"/>
      <c r="BU26" s="21"/>
      <c r="BV26" s="21"/>
      <c r="BW26" s="21"/>
      <c r="BX26" s="21"/>
      <c r="BY26" s="21"/>
      <c r="BZ26" s="21"/>
      <c r="CA26" s="21"/>
      <c r="CB26" s="21"/>
      <c r="CC26" s="21"/>
      <c r="CD26" s="21"/>
      <c r="CE26" s="21"/>
      <c r="CF26" s="21"/>
      <c r="CG26" s="21"/>
      <c r="CH26" s="21"/>
      <c r="CI26" s="21"/>
      <c r="CJ26" s="21"/>
      <c r="CK26" s="21"/>
      <c r="CL26" s="21"/>
      <c r="CM26" s="21"/>
      <c r="CN26" s="21"/>
      <c r="CO26" s="21"/>
      <c r="CP26" s="21"/>
      <c r="CQ26" s="21"/>
      <c r="CR26" s="21"/>
      <c r="CS26" s="21"/>
      <c r="CT26" s="21"/>
      <c r="CU26" s="21"/>
      <c r="CV26" s="21"/>
      <c r="CW26" s="21"/>
      <c r="CX26" s="21"/>
      <c r="CY26" s="21"/>
      <c r="CZ26" s="21"/>
      <c r="DA26" s="21"/>
      <c r="DB26" s="21"/>
      <c r="DC26" s="21"/>
      <c r="DD26" s="21"/>
      <c r="DE26" s="21"/>
      <c r="DF26" s="21"/>
      <c r="DG26" s="21"/>
      <c r="DH26" s="21"/>
      <c r="DI26" s="21"/>
      <c r="DJ26" s="21"/>
      <c r="DK26" s="21"/>
      <c r="DL26" s="21"/>
      <c r="DM26" s="21"/>
      <c r="DN26" s="21"/>
      <c r="DO26" s="21"/>
      <c r="DP26" s="21"/>
      <c r="DQ26" s="21"/>
      <c r="DR26" s="21"/>
      <c r="DS26" s="21"/>
      <c r="DT26" s="21"/>
      <c r="DU26" s="21"/>
      <c r="DV26" s="21"/>
      <c r="DW26" s="21"/>
      <c r="DX26" s="21"/>
      <c r="DY26" s="21"/>
      <c r="DZ26" s="87"/>
      <c r="EA26" s="87"/>
      <c r="EB26" s="87"/>
      <c r="EC26" s="21"/>
      <c r="ED26" s="21"/>
      <c r="EE26" s="21"/>
      <c r="EF26" s="21"/>
      <c r="EG26" s="21"/>
      <c r="EH26" s="21"/>
      <c r="EI26" s="21"/>
      <c r="EJ26" s="21"/>
      <c r="EK26" s="21"/>
      <c r="EL26" s="21"/>
      <c r="EM26" s="21"/>
      <c r="EN26" s="21"/>
      <c r="EO26" s="21"/>
      <c r="EP26" s="21"/>
      <c r="EQ26" s="21"/>
      <c r="ER26" s="21"/>
      <c r="ES26" s="21"/>
      <c r="ET26" s="21"/>
      <c r="EU26" s="21"/>
      <c r="EV26" s="21"/>
      <c r="EW26" s="21"/>
      <c r="EX26" s="21"/>
      <c r="EY26" s="21"/>
      <c r="EZ26" s="21"/>
      <c r="FA26" s="21"/>
      <c r="FB26" s="21"/>
      <c r="FC26" s="21"/>
      <c r="FD26" s="21"/>
      <c r="FE26" s="21"/>
      <c r="FF26" s="21"/>
      <c r="FG26" s="21"/>
      <c r="FH26" s="21"/>
      <c r="FI26" s="21"/>
      <c r="FJ26" s="21"/>
      <c r="FK26" s="21"/>
      <c r="FL26" s="21"/>
      <c r="FM26" s="21"/>
      <c r="FN26" s="21"/>
      <c r="FO26" s="21"/>
      <c r="FP26" s="21"/>
      <c r="FQ26" s="21"/>
      <c r="FR26" s="21"/>
      <c r="FS26" s="21"/>
      <c r="FT26" s="21"/>
      <c r="FU26" s="21"/>
      <c r="FV26" s="21"/>
      <c r="FW26" s="21"/>
      <c r="FX26" s="21"/>
      <c r="FY26" s="21"/>
      <c r="FZ26" s="21"/>
      <c r="GA26" s="21"/>
      <c r="GB26" s="21"/>
      <c r="GC26" s="21"/>
      <c r="GD26" s="21"/>
      <c r="GE26" s="21"/>
      <c r="GF26" s="21"/>
      <c r="GG26" s="21"/>
      <c r="GH26" s="21"/>
      <c r="GI26" s="21"/>
      <c r="GJ26" s="21"/>
      <c r="GK26" s="21"/>
      <c r="GL26" s="21"/>
      <c r="GM26" s="21"/>
      <c r="GN26" s="21"/>
      <c r="GO26" s="21"/>
      <c r="GP26" s="21"/>
      <c r="GQ26" s="21"/>
      <c r="GR26" s="21"/>
      <c r="GS26" s="21"/>
      <c r="GT26" s="21"/>
      <c r="GU26" s="21"/>
      <c r="GV26" s="21"/>
      <c r="GW26" s="21"/>
      <c r="GX26" s="21"/>
      <c r="GY26" s="21"/>
      <c r="GZ26" s="21"/>
      <c r="HA26" s="21"/>
      <c r="HB26" s="21"/>
      <c r="HC26" s="21"/>
      <c r="HD26" s="21"/>
      <c r="HE26" s="21"/>
      <c r="HF26" s="21"/>
      <c r="HG26" s="21"/>
      <c r="HH26" s="21"/>
      <c r="HI26" s="21"/>
      <c r="HJ26" s="21"/>
      <c r="HK26" s="21"/>
      <c r="HL26" s="21"/>
      <c r="HM26" s="21"/>
      <c r="HN26" s="21"/>
      <c r="HO26" s="21"/>
      <c r="HP26" s="21"/>
      <c r="HQ26" s="21"/>
      <c r="HR26" s="21"/>
      <c r="HS26" s="21"/>
      <c r="HT26" s="21"/>
      <c r="HU26" s="21"/>
      <c r="HV26" s="186"/>
      <c r="HW26" s="21"/>
      <c r="HX26" s="21"/>
      <c r="HY26" s="21"/>
      <c r="HZ26" s="21"/>
      <c r="IA26" s="21"/>
      <c r="IB26" s="21"/>
      <c r="IC26" s="21"/>
      <c r="ID26" s="21"/>
      <c r="IE26" s="21"/>
      <c r="IF26" s="21"/>
      <c r="IG26" s="21"/>
      <c r="IH26" s="21"/>
      <c r="II26" s="21"/>
      <c r="IJ26" s="21"/>
      <c r="IK26" s="21"/>
      <c r="IL26" s="21"/>
      <c r="IM26" s="21"/>
      <c r="IN26" s="21"/>
      <c r="IO26" s="21"/>
      <c r="IP26" s="21"/>
      <c r="IQ26" s="21"/>
      <c r="IR26" s="21"/>
      <c r="IS26" s="21"/>
      <c r="IT26" s="21"/>
      <c r="IU26" s="21"/>
      <c r="IV26" s="21"/>
      <c r="IW26" s="21"/>
      <c r="IX26" s="21"/>
      <c r="IY26" s="21"/>
      <c r="IZ26" s="21"/>
      <c r="JA26" s="21"/>
      <c r="JB26" s="21"/>
      <c r="JC26" s="21"/>
      <c r="JD26" s="21"/>
      <c r="JE26" s="21"/>
      <c r="JF26" s="21"/>
      <c r="JG26" s="21"/>
      <c r="JH26" s="21"/>
      <c r="JI26" s="21"/>
      <c r="JJ26" s="21"/>
      <c r="JK26" s="21"/>
      <c r="JL26" s="21"/>
      <c r="JM26" s="21"/>
      <c r="JN26" s="21"/>
      <c r="JO26" s="21"/>
      <c r="JP26" s="21"/>
      <c r="JQ26" s="21"/>
      <c r="JR26" s="21"/>
      <c r="JS26" s="21"/>
      <c r="JT26" s="21"/>
      <c r="JU26" s="21"/>
      <c r="JV26" s="21"/>
      <c r="JW26" s="21"/>
      <c r="JX26" s="21"/>
      <c r="JY26" s="21"/>
      <c r="JZ26" s="21"/>
      <c r="KA26" s="21"/>
      <c r="KB26" s="21"/>
      <c r="KC26" s="21"/>
      <c r="KD26" s="21"/>
      <c r="KE26" s="21"/>
      <c r="KF26" s="21"/>
      <c r="KG26" s="21"/>
      <c r="KH26" s="21"/>
    </row>
    <row r="27" spans="1:294" ht="64.5" x14ac:dyDescent="0.25">
      <c r="A27" s="3" t="s">
        <v>410</v>
      </c>
      <c r="B27" s="3"/>
      <c r="C27" s="3" t="s">
        <v>121</v>
      </c>
      <c r="D27" s="1"/>
      <c r="E27" s="1"/>
      <c r="F27" s="1"/>
      <c r="G27" s="1"/>
      <c r="H27" s="1"/>
      <c r="I27" s="1"/>
      <c r="J27" s="1"/>
      <c r="K27" s="1"/>
      <c r="L27" s="360" t="str">
        <f>IF(E33=$AF$7,"KONSTRUKCJA DP-DTHBS-WSCHÓD/ZACHÓD",IF(E33=$AF$9,"KONSTRUKCJA DP-DTHKS-WSCHÓD/ZACHÓD",IF(E33=$AF$8,"KONSTRUKCJA DP-DTHWS-WSCHÓD/ZACHÓD",IF(E33=$AF$10,"KONSTRUKCJA DP-DTHKSS-WSCHÓD/ZACHÓD"))))</f>
        <v>KONSTRUKCJA DP-DTHBS-WSCHÓD/ZACHÓD</v>
      </c>
      <c r="M27" s="360"/>
      <c r="N27" s="360"/>
      <c r="O27" s="360"/>
      <c r="P27" s="360"/>
      <c r="Q27" s="360"/>
      <c r="R27" s="360"/>
      <c r="S27" s="360"/>
      <c r="T27" s="360"/>
      <c r="U27" s="360"/>
      <c r="V27" s="21"/>
      <c r="W27" s="21"/>
      <c r="X27" s="21"/>
      <c r="Y27" s="21"/>
      <c r="Z27" s="21"/>
      <c r="AA27" s="21"/>
      <c r="AB27" s="21"/>
      <c r="AC27" s="21"/>
      <c r="AD27" s="21"/>
      <c r="AE27" s="21"/>
      <c r="AF27" s="21" t="s">
        <v>1231</v>
      </c>
      <c r="AG27" s="21"/>
      <c r="AH27" s="21"/>
      <c r="AI27" s="21"/>
      <c r="AJ27" s="21"/>
      <c r="AK27" s="21"/>
      <c r="AL27" s="21"/>
      <c r="AM27" s="21"/>
      <c r="AN27" s="21"/>
      <c r="AO27" s="21"/>
      <c r="AP27" s="21"/>
      <c r="AQ27" s="21"/>
      <c r="AR27" s="21"/>
      <c r="AS27" s="21"/>
      <c r="AT27" s="20" t="s">
        <v>764</v>
      </c>
      <c r="AU27" s="26" t="s">
        <v>1232</v>
      </c>
      <c r="AV27" s="21"/>
      <c r="AW27" s="21"/>
      <c r="AX27" s="21"/>
      <c r="AY27" s="21"/>
      <c r="AZ27" s="21"/>
      <c r="BA27" s="21"/>
      <c r="BB27" s="21"/>
      <c r="BC27" s="21"/>
      <c r="BD27" s="21"/>
      <c r="BE27" s="21"/>
      <c r="BF27" s="21"/>
      <c r="BG27" s="21"/>
      <c r="BH27" s="27" t="s">
        <v>1233</v>
      </c>
      <c r="BI27" s="27" t="s">
        <v>1234</v>
      </c>
      <c r="BJ27" s="21"/>
      <c r="BK27" s="21"/>
      <c r="BL27" s="21"/>
      <c r="BM27" s="21"/>
      <c r="BN27" s="21"/>
      <c r="BO27" s="21"/>
      <c r="BP27" s="21"/>
      <c r="BQ27" s="21"/>
      <c r="BR27" s="21"/>
      <c r="BS27" s="21"/>
      <c r="BT27" s="21"/>
      <c r="BU27" s="21"/>
      <c r="BV27" s="21"/>
      <c r="BW27" s="21"/>
      <c r="BX27" s="21"/>
      <c r="BY27" s="21"/>
      <c r="BZ27" s="21"/>
      <c r="CA27" s="21"/>
      <c r="CB27" s="21"/>
      <c r="CC27" s="21"/>
      <c r="CD27" s="21"/>
      <c r="CE27" s="21"/>
      <c r="CF27" s="21"/>
      <c r="CG27" s="21"/>
      <c r="CH27" s="21"/>
      <c r="CI27" s="21"/>
      <c r="CJ27" s="21"/>
      <c r="CK27" s="21"/>
      <c r="CL27" s="21"/>
      <c r="CM27" s="21"/>
      <c r="CN27" s="21"/>
      <c r="CO27" s="21"/>
      <c r="CP27" s="21"/>
      <c r="CQ27" s="21"/>
      <c r="CR27" s="21"/>
      <c r="CS27" s="21"/>
      <c r="CT27" s="21"/>
      <c r="CU27" s="21"/>
      <c r="CV27" s="21"/>
      <c r="CW27" s="21"/>
      <c r="CX27" s="21"/>
      <c r="CY27" s="21"/>
      <c r="CZ27" s="21"/>
      <c r="DA27" s="21"/>
      <c r="DB27" s="21"/>
      <c r="DC27" s="21"/>
      <c r="DD27" s="21"/>
      <c r="DE27" s="21"/>
      <c r="DF27" s="21"/>
      <c r="DG27" s="21"/>
      <c r="DH27" s="21"/>
      <c r="DI27" s="21"/>
      <c r="DJ27" s="21"/>
      <c r="DK27" s="21"/>
      <c r="DL27" s="21"/>
      <c r="DM27" s="21"/>
      <c r="DN27" s="21"/>
      <c r="DO27" s="21"/>
      <c r="DP27" s="21"/>
      <c r="DQ27" s="21"/>
      <c r="DR27" s="21"/>
      <c r="DS27" s="21"/>
      <c r="DT27" s="21"/>
      <c r="DU27" s="21"/>
      <c r="DV27" s="21"/>
      <c r="DW27" s="21"/>
      <c r="DX27" s="21"/>
      <c r="DY27" s="21"/>
      <c r="DZ27" s="87"/>
      <c r="EA27" s="87"/>
      <c r="EB27" s="87"/>
      <c r="EC27" s="21"/>
      <c r="ED27" s="21"/>
      <c r="EE27" s="21"/>
      <c r="EF27" s="21"/>
      <c r="EG27" s="21"/>
      <c r="EH27" s="21"/>
      <c r="EI27" s="21"/>
      <c r="EJ27" s="21"/>
      <c r="EK27" s="21"/>
      <c r="EL27" s="21"/>
      <c r="EM27" s="21"/>
      <c r="EN27" s="21"/>
      <c r="EO27" s="21"/>
      <c r="EP27" s="21"/>
      <c r="EQ27" s="21"/>
      <c r="ER27" s="21"/>
      <c r="ES27" s="21"/>
      <c r="ET27" s="21"/>
      <c r="EU27" s="21"/>
      <c r="EV27" s="21"/>
      <c r="EW27" s="21"/>
      <c r="EX27" s="21"/>
      <c r="EY27" s="21"/>
      <c r="EZ27" s="21"/>
      <c r="FA27" s="21"/>
      <c r="FB27" s="21"/>
      <c r="FC27" s="21"/>
      <c r="FD27" s="21"/>
      <c r="FE27" s="21"/>
      <c r="FF27" s="21"/>
      <c r="FG27" s="21"/>
      <c r="FH27" s="21"/>
      <c r="FI27" s="21"/>
      <c r="FJ27" s="21"/>
      <c r="FK27" s="21"/>
      <c r="FL27" s="21"/>
      <c r="FM27" s="21"/>
      <c r="FN27" s="21"/>
      <c r="FO27" s="21"/>
      <c r="FP27" s="21"/>
      <c r="FQ27" s="21"/>
      <c r="FR27" s="21"/>
      <c r="FS27" s="21"/>
      <c r="FT27" s="21"/>
      <c r="FU27" s="21"/>
      <c r="FV27" s="21"/>
      <c r="FW27" s="21"/>
      <c r="FX27" s="21"/>
      <c r="FY27" s="21"/>
      <c r="FZ27" s="21"/>
      <c r="GA27" s="21"/>
      <c r="GB27" s="21"/>
      <c r="GC27" s="21"/>
      <c r="GD27" s="21"/>
      <c r="GE27" s="21"/>
      <c r="GF27" s="21"/>
      <c r="GG27" s="21"/>
      <c r="GH27" s="21"/>
      <c r="GI27" s="21"/>
      <c r="GJ27" s="21"/>
      <c r="GK27" s="21"/>
      <c r="GL27" s="21"/>
      <c r="GM27" s="21"/>
      <c r="GN27" s="21"/>
      <c r="GO27" s="21"/>
      <c r="GP27" s="21"/>
      <c r="GQ27" s="21"/>
      <c r="GR27" s="21"/>
      <c r="GS27" s="21"/>
      <c r="GT27" s="21"/>
      <c r="GU27" s="21"/>
      <c r="GV27" s="21"/>
      <c r="GW27" s="21"/>
      <c r="GX27" s="21"/>
      <c r="GY27" s="21"/>
      <c r="GZ27" s="21"/>
      <c r="HA27" s="21"/>
      <c r="HB27" s="21"/>
      <c r="HC27" s="21"/>
      <c r="HD27" s="21"/>
      <c r="HE27" s="21"/>
      <c r="HF27" s="21"/>
      <c r="HG27" s="21"/>
      <c r="HH27" s="21"/>
      <c r="HI27" s="21"/>
      <c r="HJ27" s="21"/>
      <c r="HK27" s="21"/>
      <c r="HL27" s="21"/>
      <c r="HM27" s="21"/>
      <c r="HN27" s="21"/>
      <c r="HO27" s="21"/>
      <c r="HP27" s="21"/>
      <c r="HQ27" s="21"/>
      <c r="HR27" s="21"/>
      <c r="HS27" s="21"/>
      <c r="HT27" s="21"/>
      <c r="HU27" s="21"/>
      <c r="HV27" s="186"/>
      <c r="HW27" s="21"/>
      <c r="HX27" s="21"/>
      <c r="HY27" s="21"/>
      <c r="HZ27" s="21"/>
      <c r="IA27" s="21"/>
      <c r="IB27" s="21"/>
      <c r="IC27" s="21"/>
      <c r="ID27" s="21"/>
      <c r="IE27" s="21"/>
      <c r="IF27" s="21"/>
      <c r="IG27" s="21"/>
      <c r="IH27" s="21"/>
      <c r="II27" s="21"/>
      <c r="IJ27" s="21"/>
      <c r="IK27" s="21"/>
      <c r="IL27" s="21"/>
      <c r="IM27" s="21"/>
      <c r="IN27" s="21"/>
      <c r="IO27" s="21"/>
      <c r="IP27" s="21"/>
      <c r="IQ27" s="21"/>
      <c r="IR27" s="21"/>
      <c r="IS27" s="21"/>
      <c r="IT27" s="21"/>
      <c r="IU27" s="21"/>
      <c r="IV27" s="21"/>
      <c r="IW27" s="21"/>
      <c r="IX27" s="21"/>
      <c r="IY27" s="21"/>
      <c r="IZ27" s="21"/>
      <c r="JA27" s="21"/>
      <c r="JB27" s="21"/>
      <c r="JC27" s="21"/>
      <c r="JD27" s="21"/>
      <c r="JE27" s="21"/>
      <c r="JF27" s="21"/>
      <c r="JG27" s="21"/>
      <c r="JH27" s="21"/>
      <c r="JI27" s="21"/>
      <c r="JJ27" s="21"/>
      <c r="JK27" s="21"/>
      <c r="JL27" s="21"/>
      <c r="JM27" s="21"/>
      <c r="JN27" s="21"/>
      <c r="JO27" s="21"/>
      <c r="JP27" s="21"/>
      <c r="JQ27" s="21"/>
      <c r="JR27" s="21"/>
      <c r="JS27" s="21"/>
      <c r="JT27" s="21"/>
      <c r="JU27" s="21"/>
      <c r="JV27" s="21"/>
      <c r="JW27" s="21"/>
      <c r="JX27" s="21"/>
      <c r="JY27" s="21"/>
      <c r="JZ27" s="21"/>
      <c r="KA27" s="21"/>
      <c r="KB27" s="21"/>
      <c r="KC27" s="21"/>
      <c r="KD27" s="21"/>
      <c r="KE27" s="21"/>
      <c r="KF27" s="21"/>
      <c r="KG27" s="21"/>
      <c r="KH27" s="21"/>
    </row>
    <row r="28" spans="1:294" x14ac:dyDescent="0.25">
      <c r="A28" s="8"/>
      <c r="B28" s="5" t="s">
        <v>116</v>
      </c>
      <c r="C28" s="8"/>
      <c r="D28" s="1"/>
      <c r="E28" s="1"/>
      <c r="F28" s="1"/>
      <c r="G28" s="1"/>
      <c r="H28" s="1"/>
      <c r="I28" s="1"/>
      <c r="J28" s="1"/>
      <c r="K28" s="1"/>
      <c r="L28" s="5" t="s">
        <v>103</v>
      </c>
      <c r="M28" s="5" t="s">
        <v>104</v>
      </c>
      <c r="N28" s="5" t="s">
        <v>107</v>
      </c>
      <c r="O28" s="5" t="s">
        <v>290</v>
      </c>
      <c r="P28" s="5" t="s">
        <v>446</v>
      </c>
      <c r="Q28" s="5" t="s">
        <v>448</v>
      </c>
      <c r="R28" s="5" t="s">
        <v>409</v>
      </c>
      <c r="S28" s="5" t="s">
        <v>447</v>
      </c>
      <c r="T28" s="5" t="s">
        <v>449</v>
      </c>
      <c r="U28" s="5" t="s">
        <v>106</v>
      </c>
      <c r="V28" s="21"/>
      <c r="W28" s="21"/>
      <c r="X28" s="21"/>
      <c r="Y28" s="21"/>
      <c r="Z28" s="21"/>
      <c r="AA28" s="21"/>
      <c r="AB28" s="21"/>
      <c r="AC28" s="21"/>
      <c r="AD28" s="21"/>
      <c r="AE28" s="21"/>
      <c r="AF28" s="21" t="s">
        <v>1232</v>
      </c>
      <c r="AG28" s="21"/>
      <c r="AH28" s="21"/>
      <c r="AI28" s="21"/>
      <c r="AJ28" s="21"/>
      <c r="AK28" s="21"/>
      <c r="AL28" s="21"/>
      <c r="AM28" s="21"/>
      <c r="AN28" s="21"/>
      <c r="AO28" s="21" t="str" cm="1">
        <f t="array" aca="1" ref="AO28:AO31" ca="1">OFFSET(AP19,MATCH(E7,AO20:AO26,0),0,COUNTIF(AO20:AO26,E7),1)</f>
        <v>koryto na bloczki</v>
      </c>
      <c r="AP28" s="21"/>
      <c r="AQ28" s="21"/>
      <c r="AR28" s="21"/>
      <c r="AS28" s="21"/>
      <c r="AT28" s="20" t="s">
        <v>832</v>
      </c>
      <c r="AU28" s="26" t="s">
        <v>1232</v>
      </c>
      <c r="AV28" s="21"/>
      <c r="AW28" s="21"/>
      <c r="AX28" s="21"/>
      <c r="AY28" s="21"/>
      <c r="AZ28" s="21"/>
      <c r="BA28" s="21"/>
      <c r="BB28" s="21"/>
      <c r="BC28" s="21"/>
      <c r="BD28" s="21"/>
      <c r="BE28" s="21"/>
      <c r="BF28" s="21"/>
      <c r="BG28" s="21"/>
      <c r="BH28" s="21">
        <f>IF(A28=0,0,IF(A28&gt;0,(A28/2+1)*C28))</f>
        <v>0</v>
      </c>
      <c r="BI28" s="21">
        <f>IF(A28=0,0,IF(A28&gt;0,(A28/2*2)*C28))</f>
        <v>0</v>
      </c>
      <c r="BJ28" s="21"/>
      <c r="BK28" s="21"/>
      <c r="BL28" s="21"/>
      <c r="BM28" s="21"/>
      <c r="BN28" s="21"/>
      <c r="BO28" s="21"/>
      <c r="BP28" s="21"/>
      <c r="BQ28" s="21"/>
      <c r="BR28" s="21"/>
      <c r="BS28" s="21"/>
      <c r="BT28" s="21"/>
      <c r="BU28" s="21"/>
      <c r="BV28" s="21"/>
      <c r="BW28" s="21"/>
      <c r="BX28" s="21"/>
      <c r="BY28" s="21"/>
      <c r="BZ28" s="21"/>
      <c r="CA28" s="21"/>
      <c r="CB28" s="21"/>
      <c r="CC28" s="21"/>
      <c r="CD28" s="21"/>
      <c r="CE28" s="21"/>
      <c r="CF28" s="21"/>
      <c r="CG28" s="21"/>
      <c r="CH28" s="21"/>
      <c r="CI28" s="21"/>
      <c r="CJ28" s="21"/>
      <c r="CK28" s="21"/>
      <c r="CL28" s="21"/>
      <c r="CM28" s="21"/>
      <c r="CN28" s="21"/>
      <c r="CO28" s="21"/>
      <c r="CP28" s="21"/>
      <c r="CQ28" s="21"/>
      <c r="CR28" s="21"/>
      <c r="CS28" s="21"/>
      <c r="CT28" s="21"/>
      <c r="CU28" s="21"/>
      <c r="CV28" s="21"/>
      <c r="CW28" s="21"/>
      <c r="CX28" s="21"/>
      <c r="CY28" s="21"/>
      <c r="CZ28" s="21"/>
      <c r="DA28" s="21"/>
      <c r="DB28" s="21"/>
      <c r="DC28" s="21"/>
      <c r="DD28" s="21"/>
      <c r="DE28" s="21"/>
      <c r="DF28" s="21"/>
      <c r="DG28" s="21"/>
      <c r="DH28" s="21"/>
      <c r="DI28" s="21"/>
      <c r="DJ28" s="21"/>
      <c r="DK28" s="21"/>
      <c r="DL28" s="21"/>
      <c r="DM28" s="21"/>
      <c r="DN28" s="21"/>
      <c r="DO28" s="21"/>
      <c r="DP28" s="21"/>
      <c r="DQ28" s="21"/>
      <c r="DR28" s="21"/>
      <c r="DS28" s="21"/>
      <c r="DT28" s="21"/>
      <c r="DU28" s="21"/>
      <c r="DV28" s="21"/>
      <c r="DW28" s="21"/>
      <c r="DX28" s="21"/>
      <c r="DY28" s="21"/>
      <c r="DZ28" s="87"/>
      <c r="EA28" s="87"/>
      <c r="EB28" s="87"/>
      <c r="EC28" s="21"/>
      <c r="ED28" s="21"/>
      <c r="EE28" s="21"/>
      <c r="EF28" s="21"/>
      <c r="EG28" s="21"/>
      <c r="EH28" s="21"/>
      <c r="EI28" s="21"/>
      <c r="EJ28" s="21"/>
      <c r="EK28" s="21"/>
      <c r="EL28" s="21"/>
      <c r="EM28" s="21"/>
      <c r="EN28" s="21"/>
      <c r="EO28" s="21"/>
      <c r="EP28" s="21"/>
      <c r="EQ28" s="21"/>
      <c r="ER28" s="21"/>
      <c r="ES28" s="21"/>
      <c r="ET28" s="21"/>
      <c r="EU28" s="21"/>
      <c r="EV28" s="21"/>
      <c r="EW28" s="21"/>
      <c r="EX28" s="21"/>
      <c r="EY28" s="21"/>
      <c r="EZ28" s="21"/>
      <c r="FA28" s="21"/>
      <c r="FB28" s="21"/>
      <c r="FC28" s="21"/>
      <c r="FD28" s="21"/>
      <c r="FE28" s="21"/>
      <c r="FF28" s="21"/>
      <c r="FG28" s="21"/>
      <c r="FH28" s="21"/>
      <c r="FI28" s="21"/>
      <c r="FJ28" s="21"/>
      <c r="FK28" s="21"/>
      <c r="FL28" s="21"/>
      <c r="FM28" s="21"/>
      <c r="FN28" s="21"/>
      <c r="FO28" s="21"/>
      <c r="FP28" s="21"/>
      <c r="FQ28" s="21"/>
      <c r="FR28" s="21"/>
      <c r="FS28" s="21"/>
      <c r="FT28" s="21"/>
      <c r="FU28" s="21"/>
      <c r="FV28" s="21"/>
      <c r="FW28" s="21"/>
      <c r="FX28" s="21"/>
      <c r="FY28" s="21"/>
      <c r="FZ28" s="21"/>
      <c r="GA28" s="21"/>
      <c r="GB28" s="21"/>
      <c r="GC28" s="21"/>
      <c r="GD28" s="21"/>
      <c r="GE28" s="21"/>
      <c r="GF28" s="21"/>
      <c r="GG28" s="21"/>
      <c r="GH28" s="21"/>
      <c r="GI28" s="21"/>
      <c r="GJ28" s="21"/>
      <c r="GK28" s="21"/>
      <c r="GL28" s="21"/>
      <c r="GM28" s="21"/>
      <c r="GN28" s="21"/>
      <c r="GO28" s="21"/>
      <c r="GP28" s="21"/>
      <c r="GQ28" s="21"/>
      <c r="GR28" s="21"/>
      <c r="GS28" s="21"/>
      <c r="GT28" s="21"/>
      <c r="GU28" s="21"/>
      <c r="GV28" s="21"/>
      <c r="GW28" s="21"/>
      <c r="GX28" s="21"/>
      <c r="GY28" s="21"/>
      <c r="GZ28" s="21"/>
      <c r="HA28" s="21"/>
      <c r="HB28" s="21"/>
      <c r="HC28" s="21"/>
      <c r="HD28" s="21"/>
      <c r="HE28" s="21"/>
      <c r="HF28" s="21"/>
      <c r="HG28" s="21"/>
      <c r="HH28" s="21"/>
      <c r="HI28" s="21"/>
      <c r="HJ28" s="21"/>
      <c r="HK28" s="21"/>
      <c r="HL28" s="21"/>
      <c r="HM28" s="21"/>
      <c r="HN28" s="21"/>
      <c r="HO28" s="21"/>
      <c r="HP28" s="21"/>
      <c r="HQ28" s="21"/>
      <c r="HR28" s="21"/>
      <c r="HS28" s="21"/>
      <c r="HT28" s="21"/>
      <c r="HU28" s="21"/>
      <c r="HV28" s="186"/>
      <c r="HW28" s="21"/>
      <c r="HX28" s="21"/>
      <c r="HY28" s="21"/>
      <c r="HZ28" s="21"/>
      <c r="IA28" s="21"/>
      <c r="IB28" s="21"/>
      <c r="IC28" s="21"/>
      <c r="ID28" s="21"/>
      <c r="IE28" s="21"/>
      <c r="IF28" s="21"/>
      <c r="IG28" s="21"/>
      <c r="IH28" s="21"/>
      <c r="II28" s="21"/>
      <c r="IJ28" s="21"/>
      <c r="IK28" s="21"/>
      <c r="IL28" s="21"/>
      <c r="IM28" s="21"/>
      <c r="IN28" s="21"/>
      <c r="IO28" s="21"/>
      <c r="IP28" s="21"/>
      <c r="IQ28" s="21"/>
      <c r="IR28" s="21"/>
      <c r="IS28" s="21"/>
      <c r="IT28" s="21"/>
      <c r="IU28" s="21"/>
      <c r="IV28" s="21"/>
      <c r="IW28" s="21"/>
      <c r="IX28" s="21"/>
      <c r="IY28" s="21"/>
      <c r="IZ28" s="21"/>
      <c r="JA28" s="21"/>
      <c r="JB28" s="21"/>
      <c r="JC28" s="21"/>
      <c r="JD28" s="21"/>
      <c r="JE28" s="21"/>
      <c r="JF28" s="21"/>
      <c r="JG28" s="21"/>
      <c r="JH28" s="21"/>
      <c r="JI28" s="21"/>
      <c r="JJ28" s="21"/>
      <c r="JK28" s="21"/>
      <c r="JL28" s="21"/>
      <c r="JM28" s="21"/>
      <c r="JN28" s="21"/>
      <c r="JO28" s="21"/>
      <c r="JP28" s="21"/>
      <c r="JQ28" s="21"/>
      <c r="JR28" s="21"/>
      <c r="JS28" s="21"/>
      <c r="JT28" s="21"/>
      <c r="JU28" s="21"/>
      <c r="JV28" s="21"/>
      <c r="JW28" s="21"/>
      <c r="JX28" s="21"/>
      <c r="JY28" s="21"/>
      <c r="JZ28" s="21"/>
      <c r="KA28" s="21"/>
      <c r="KB28" s="21"/>
      <c r="KC28" s="21"/>
      <c r="KD28" s="21"/>
      <c r="KE28" s="21"/>
      <c r="KF28" s="21"/>
      <c r="KG28" s="21"/>
      <c r="KH28" s="21"/>
    </row>
    <row r="29" spans="1:294" x14ac:dyDescent="0.25">
      <c r="A29" s="8"/>
      <c r="B29" s="5" t="s">
        <v>116</v>
      </c>
      <c r="C29" s="8"/>
      <c r="D29" s="6" t="s">
        <v>118</v>
      </c>
      <c r="E29" s="8" t="s">
        <v>113</v>
      </c>
      <c r="F29" s="5" t="s">
        <v>116</v>
      </c>
      <c r="G29" s="8" t="s">
        <v>114</v>
      </c>
      <c r="H29" s="5" t="s">
        <v>116</v>
      </c>
      <c r="I29" s="8">
        <v>30</v>
      </c>
      <c r="J29" s="5" t="s">
        <v>119</v>
      </c>
      <c r="K29" s="1"/>
      <c r="L29" s="5" t="s">
        <v>1282</v>
      </c>
      <c r="M29" s="11">
        <f>INDEX(cennik!$C$2:$L$529,MATCH($L29,cennik!$B$2:$B$522,0),MATCH(M$28,cennik!$C$1:$L$1,0))</f>
        <v>954300</v>
      </c>
      <c r="N29" s="11" t="str">
        <f>INDEX(cennik!$C$2:$L$529,MATCH($L29,cennik!$B$2:$B$522,0),MATCH(N$28,cennik!$C$1:$L$1,0))</f>
        <v>szt.</v>
      </c>
      <c r="O29" s="14">
        <f>IF(E30=AF28,SUM(BI28:BI43),IF(E30=AF27,SUM(BH28:BH43),0))</f>
        <v>0</v>
      </c>
      <c r="P29" s="11">
        <f>INDEX(cennik!$C$2:$L$529,MATCH($L29,cennik!$B$2:$B$522,0),MATCH(P$28,cennik!$C$1:$L$1,0))</f>
        <v>55</v>
      </c>
      <c r="Q29" s="14">
        <f>O29*P29</f>
        <v>0</v>
      </c>
      <c r="R29" s="14">
        <f t="shared" ref="R29:R48" si="11">$E$38</f>
        <v>0</v>
      </c>
      <c r="S29" s="34">
        <f t="shared" ref="S29:S48" si="12">P29*((100-$E$38)/100)</f>
        <v>55</v>
      </c>
      <c r="T29" s="14">
        <f>O29*S29</f>
        <v>0</v>
      </c>
      <c r="U29" s="34">
        <f>INDEX(cennik!$C$2:$L$529,MATCH($L29,cennik!$B$2:$B$522,0),MATCH(U$28,cennik!$C$1:$L$1,0))*O29</f>
        <v>0</v>
      </c>
      <c r="V29" s="21"/>
      <c r="W29" s="21"/>
      <c r="X29" s="21"/>
      <c r="Y29" s="21"/>
      <c r="Z29" s="21"/>
      <c r="AA29" s="21"/>
      <c r="AB29" s="21"/>
      <c r="AC29" s="21"/>
      <c r="AD29" s="21"/>
      <c r="AE29" s="21"/>
      <c r="AF29" s="21"/>
      <c r="AG29" s="21"/>
      <c r="AH29" s="21"/>
      <c r="AI29" s="21"/>
      <c r="AJ29" s="21"/>
      <c r="AK29" s="21"/>
      <c r="AL29" s="21"/>
      <c r="AM29" s="21"/>
      <c r="AN29" s="21"/>
      <c r="AO29" s="21" t="str">
        <f ca="1"/>
        <v>stopy balastowe z regulacją</v>
      </c>
      <c r="AP29" s="21"/>
      <c r="AQ29" s="21"/>
      <c r="AR29" s="21"/>
      <c r="AS29" s="21"/>
      <c r="AT29" s="20" t="s">
        <v>833</v>
      </c>
      <c r="AU29" s="26" t="s">
        <v>1232</v>
      </c>
      <c r="AV29" s="21"/>
      <c r="AW29" s="21"/>
      <c r="AX29" s="21"/>
      <c r="AY29" s="21"/>
      <c r="AZ29" s="21"/>
      <c r="BA29" s="21"/>
      <c r="BB29" s="21"/>
      <c r="BC29" s="21"/>
      <c r="BD29" s="21"/>
      <c r="BE29" s="21"/>
      <c r="BF29" s="21"/>
      <c r="BG29" s="21"/>
      <c r="BH29" s="21">
        <f t="shared" ref="BH29:BH43" si="13">IF(A29=0,0,IF(A29&gt;0,(A29/2+1)*C29))</f>
        <v>0</v>
      </c>
      <c r="BI29" s="21">
        <f t="shared" ref="BI29:BI43" si="14">IF(A29=0,0,IF(A29&gt;0,(A29/2*2)*C29))</f>
        <v>0</v>
      </c>
      <c r="BJ29" s="21"/>
      <c r="BK29" s="21"/>
      <c r="BL29" s="21"/>
      <c r="BM29" s="21"/>
      <c r="BN29" s="21"/>
      <c r="BO29" s="21"/>
      <c r="BP29" s="21"/>
      <c r="BQ29" s="21"/>
      <c r="BR29" s="21"/>
      <c r="BS29" s="21"/>
      <c r="BT29" s="21"/>
      <c r="BU29" s="21"/>
      <c r="BV29" s="21"/>
      <c r="BW29" s="21"/>
      <c r="BX29" s="21"/>
      <c r="BY29" s="21"/>
      <c r="BZ29" s="21"/>
      <c r="CA29" s="21"/>
      <c r="CB29" s="21"/>
      <c r="CC29" s="21"/>
      <c r="CD29" s="21"/>
      <c r="CE29" s="21"/>
      <c r="CF29" s="21"/>
      <c r="CG29" s="21"/>
      <c r="CH29" s="21"/>
      <c r="CI29" s="21"/>
      <c r="CJ29" s="21"/>
      <c r="CK29" s="21"/>
      <c r="CL29" s="21"/>
      <c r="CM29" s="21"/>
      <c r="CN29" s="21"/>
      <c r="CO29" s="21"/>
      <c r="CP29" s="21"/>
      <c r="CQ29" s="21"/>
      <c r="CR29" s="21"/>
      <c r="CS29" s="21"/>
      <c r="CT29" s="21"/>
      <c r="CU29" s="21"/>
      <c r="CV29" s="21"/>
      <c r="CW29" s="21"/>
      <c r="CX29" s="21"/>
      <c r="CY29" s="21"/>
      <c r="CZ29" s="21"/>
      <c r="DA29" s="21"/>
      <c r="DB29" s="21"/>
      <c r="DC29" s="21"/>
      <c r="DD29" s="21"/>
      <c r="DE29" s="21"/>
      <c r="DF29" s="21"/>
      <c r="DG29" s="21"/>
      <c r="DH29" s="21"/>
      <c r="DI29" s="21"/>
      <c r="DJ29" s="21"/>
      <c r="DK29" s="21"/>
      <c r="DL29" s="21"/>
      <c r="DM29" s="21"/>
      <c r="DN29" s="21"/>
      <c r="DO29" s="21"/>
      <c r="DP29" s="21"/>
      <c r="DQ29" s="21"/>
      <c r="DR29" s="21"/>
      <c r="DS29" s="21"/>
      <c r="DT29" s="21"/>
      <c r="DU29" s="21"/>
      <c r="DV29" s="21"/>
      <c r="DW29" s="21"/>
      <c r="DX29" s="21"/>
      <c r="DY29" s="21"/>
      <c r="DZ29" s="87"/>
      <c r="EA29" s="87"/>
      <c r="EB29" s="87"/>
      <c r="EC29" s="21"/>
      <c r="ED29" s="21"/>
      <c r="EE29" s="21"/>
      <c r="EF29" s="21"/>
      <c r="EG29" s="21"/>
      <c r="EH29" s="21"/>
      <c r="EI29" s="21"/>
      <c r="EJ29" s="21"/>
      <c r="EK29" s="21"/>
      <c r="EL29" s="21"/>
      <c r="EM29" s="21"/>
      <c r="EN29" s="21"/>
      <c r="EO29" s="21"/>
      <c r="EP29" s="21"/>
      <c r="EQ29" s="21"/>
      <c r="ER29" s="21"/>
      <c r="ES29" s="21"/>
      <c r="ET29" s="21"/>
      <c r="EU29" s="21"/>
      <c r="EV29" s="21"/>
      <c r="EW29" s="21"/>
      <c r="EX29" s="21"/>
      <c r="EY29" s="21"/>
      <c r="EZ29" s="21"/>
      <c r="FA29" s="21"/>
      <c r="FB29" s="21"/>
      <c r="FC29" s="21"/>
      <c r="FD29" s="21"/>
      <c r="FE29" s="21"/>
      <c r="FF29" s="21"/>
      <c r="FG29" s="21"/>
      <c r="FH29" s="21"/>
      <c r="FI29" s="21"/>
      <c r="FJ29" s="21"/>
      <c r="FK29" s="21"/>
      <c r="FL29" s="21"/>
      <c r="FM29" s="21"/>
      <c r="FN29" s="21"/>
      <c r="FO29" s="21"/>
      <c r="FP29" s="21"/>
      <c r="FQ29" s="21"/>
      <c r="FR29" s="21"/>
      <c r="FS29" s="21"/>
      <c r="FT29" s="21"/>
      <c r="FU29" s="21"/>
      <c r="FV29" s="21"/>
      <c r="FW29" s="21"/>
      <c r="FX29" s="21"/>
      <c r="FY29" s="21"/>
      <c r="FZ29" s="21"/>
      <c r="GA29" s="21"/>
      <c r="GB29" s="21"/>
      <c r="GC29" s="21"/>
      <c r="GD29" s="21"/>
      <c r="GE29" s="21"/>
      <c r="GF29" s="21"/>
      <c r="GG29" s="21"/>
      <c r="GH29" s="21"/>
      <c r="GI29" s="21"/>
      <c r="GJ29" s="21"/>
      <c r="GK29" s="21"/>
      <c r="GL29" s="21"/>
      <c r="GM29" s="21"/>
      <c r="GN29" s="21"/>
      <c r="GO29" s="21"/>
      <c r="GP29" s="21"/>
      <c r="GQ29" s="21"/>
      <c r="GR29" s="21"/>
      <c r="GS29" s="21"/>
      <c r="GT29" s="21"/>
      <c r="GU29" s="21"/>
      <c r="GV29" s="21"/>
      <c r="GW29" s="21"/>
      <c r="GX29" s="21"/>
      <c r="GY29" s="21"/>
      <c r="GZ29" s="21"/>
      <c r="HA29" s="21"/>
      <c r="HB29" s="21"/>
      <c r="HC29" s="21"/>
      <c r="HD29" s="21"/>
      <c r="HE29" s="21"/>
      <c r="HF29" s="21"/>
      <c r="HG29" s="21"/>
      <c r="HH29" s="21"/>
      <c r="HI29" s="21"/>
      <c r="HJ29" s="21"/>
      <c r="HK29" s="21"/>
      <c r="HL29" s="21"/>
      <c r="HM29" s="21"/>
      <c r="HN29" s="21"/>
      <c r="HO29" s="21"/>
      <c r="HP29" s="21"/>
      <c r="HQ29" s="21"/>
      <c r="HR29" s="21"/>
      <c r="HS29" s="21"/>
      <c r="HT29" s="21"/>
      <c r="HU29" s="21"/>
      <c r="HV29" s="186"/>
      <c r="HW29" s="21"/>
      <c r="HX29" s="21"/>
      <c r="HY29" s="21"/>
      <c r="HZ29" s="21"/>
      <c r="IA29" s="21"/>
      <c r="IB29" s="21"/>
      <c r="IC29" s="21"/>
      <c r="ID29" s="21"/>
      <c r="IE29" s="21"/>
      <c r="IF29" s="21"/>
      <c r="IG29" s="21"/>
      <c r="IH29" s="21"/>
      <c r="II29" s="21"/>
      <c r="IJ29" s="21"/>
      <c r="IK29" s="21"/>
      <c r="IL29" s="21"/>
      <c r="IM29" s="21"/>
      <c r="IN29" s="21"/>
      <c r="IO29" s="21"/>
      <c r="IP29" s="21"/>
      <c r="IQ29" s="21"/>
      <c r="IR29" s="21"/>
      <c r="IS29" s="21"/>
      <c r="IT29" s="21"/>
      <c r="IU29" s="21"/>
      <c r="IV29" s="21"/>
      <c r="IW29" s="21"/>
      <c r="IX29" s="21"/>
      <c r="IY29" s="21"/>
      <c r="IZ29" s="21"/>
      <c r="JA29" s="21"/>
      <c r="JB29" s="21"/>
      <c r="JC29" s="21"/>
      <c r="JD29" s="21"/>
      <c r="JE29" s="21"/>
      <c r="JF29" s="21"/>
      <c r="JG29" s="21"/>
      <c r="JH29" s="21"/>
      <c r="JI29" s="21"/>
      <c r="JJ29" s="21"/>
      <c r="JK29" s="21"/>
      <c r="JL29" s="21"/>
      <c r="JM29" s="21"/>
      <c r="JN29" s="21"/>
      <c r="JO29" s="21"/>
      <c r="JP29" s="21"/>
      <c r="JQ29" s="21"/>
      <c r="JR29" s="21"/>
      <c r="JS29" s="21"/>
      <c r="JT29" s="21"/>
      <c r="JU29" s="21"/>
      <c r="JV29" s="21"/>
      <c r="JW29" s="21"/>
      <c r="JX29" s="21"/>
      <c r="JY29" s="21"/>
      <c r="JZ29" s="21"/>
      <c r="KA29" s="21"/>
      <c r="KB29" s="21"/>
      <c r="KC29" s="21"/>
      <c r="KD29" s="21"/>
      <c r="KE29" s="21"/>
      <c r="KF29" s="21"/>
      <c r="KG29" s="21"/>
      <c r="KH29" s="21"/>
    </row>
    <row r="30" spans="1:294" x14ac:dyDescent="0.25">
      <c r="A30" s="8"/>
      <c r="B30" s="5" t="s">
        <v>116</v>
      </c>
      <c r="C30" s="8"/>
      <c r="D30" s="6" t="s">
        <v>1203</v>
      </c>
      <c r="E30" s="8" t="s">
        <v>1231</v>
      </c>
      <c r="F30" s="191" t="str">
        <f>IF(AND(E29=$BN$12,E30=$AF$1),"należy zmienić wartość na długi bok",IF(AND(E29=$BN$13,E30=$AF$1),"należy zmienić wartość na długi bok",IF(AND(E29=$BN$14,E30=$AF$1),"należy zmienić wartość na długi bok",IF(AND(E29=$BN$15,E30=$AF$1),"należy zmienić wartość na długi bok",IF(AND(E29=$BN$16,E30=$AF$1),"należy zmienić wartość na długi bok",IF(AND(E29=$BN$17,E30=$AF$1),"należy zmienić wartość na długi bok",IF(AND(E29=$BN$18,E30=$AF$1),"należy zmienić wartość na długi bok",IF(AND(E29=$BN$19,E30=$AF$1),"należy zmienić wartość na długi bok",""))))))))</f>
        <v/>
      </c>
      <c r="G30" s="1"/>
      <c r="H30" s="1"/>
      <c r="I30" s="1"/>
      <c r="J30" s="1"/>
      <c r="K30" s="1"/>
      <c r="L30" s="5" t="s">
        <v>1283</v>
      </c>
      <c r="M30" s="11">
        <f>INDEX(cennik!$C$2:$L$529,MATCH($L30,cennik!$B$2:$B$522,0),MATCH(M$28,cennik!$C$1:$L$1,0))</f>
        <v>954600</v>
      </c>
      <c r="N30" s="11" t="str">
        <f>INDEX(cennik!$C$2:$L$529,MATCH($L30,cennik!$B$2:$B$522,0),MATCH(N$28,cennik!$C$1:$L$1,0))</f>
        <v>szt.</v>
      </c>
      <c r="O30" s="14">
        <f>O29</f>
        <v>0</v>
      </c>
      <c r="P30" s="11">
        <f>INDEX(cennik!$C$2:$L$529,MATCH($L30,cennik!$B$2:$B$522,0),MATCH(P$28,cennik!$C$1:$L$1,0))</f>
        <v>64.5</v>
      </c>
      <c r="Q30" s="14">
        <f t="shared" ref="Q30:Q46" si="15">O30*P30</f>
        <v>0</v>
      </c>
      <c r="R30" s="14">
        <f t="shared" si="11"/>
        <v>0</v>
      </c>
      <c r="S30" s="34">
        <f t="shared" si="12"/>
        <v>64.5</v>
      </c>
      <c r="T30" s="14">
        <f t="shared" ref="T30:T48" si="16">O30*S30</f>
        <v>0</v>
      </c>
      <c r="U30" s="34">
        <f>INDEX(cennik!$C$2:$L$529,MATCH($L30,cennik!$B$2:$B$522,0),MATCH(U$28,cennik!$C$1:$L$1,0))*O30</f>
        <v>0</v>
      </c>
      <c r="V30" s="21"/>
      <c r="W30" s="21"/>
      <c r="X30" s="21"/>
      <c r="Y30" s="21"/>
      <c r="Z30" s="21"/>
      <c r="AA30" s="21"/>
      <c r="AB30" s="21"/>
      <c r="AC30" s="21"/>
      <c r="AD30" s="21"/>
      <c r="AE30" s="21"/>
      <c r="AF30" s="21"/>
      <c r="AG30" s="21"/>
      <c r="AH30" s="21"/>
      <c r="AI30" s="21"/>
      <c r="AJ30" s="21"/>
      <c r="AK30" s="21"/>
      <c r="AL30" s="21"/>
      <c r="AM30" s="21"/>
      <c r="AN30" s="21"/>
      <c r="AO30" s="21" t="str">
        <f ca="1"/>
        <v>kostka w dolny profil</v>
      </c>
      <c r="AP30" s="21"/>
      <c r="AQ30" s="21"/>
      <c r="AR30" s="21"/>
      <c r="AS30" s="21"/>
      <c r="AT30" s="21"/>
      <c r="AU30" s="21"/>
      <c r="AV30" s="21"/>
      <c r="AW30" s="21"/>
      <c r="AX30" s="21"/>
      <c r="AY30" s="21"/>
      <c r="AZ30" s="21"/>
      <c r="BA30" s="21"/>
      <c r="BB30" s="21"/>
      <c r="BC30" s="21"/>
      <c r="BD30" s="21"/>
      <c r="BE30" s="21"/>
      <c r="BF30" s="21"/>
      <c r="BG30" s="21"/>
      <c r="BH30" s="21">
        <f t="shared" si="13"/>
        <v>0</v>
      </c>
      <c r="BI30" s="21">
        <f t="shared" si="14"/>
        <v>0</v>
      </c>
      <c r="BJ30" s="21"/>
      <c r="BK30" s="21"/>
      <c r="BL30" s="21"/>
      <c r="BM30" s="21"/>
      <c r="BN30" s="21"/>
      <c r="BO30" s="21"/>
      <c r="BP30" s="21"/>
      <c r="BQ30" s="21"/>
      <c r="BR30" s="21"/>
      <c r="BS30" s="21"/>
      <c r="BT30" s="21"/>
      <c r="BU30" s="21"/>
      <c r="BV30" s="21"/>
      <c r="BW30" s="21"/>
      <c r="BX30" s="21"/>
      <c r="BY30" s="21"/>
      <c r="BZ30" s="21"/>
      <c r="CA30" s="21"/>
      <c r="CB30" s="21"/>
      <c r="CC30" s="21"/>
      <c r="CD30" s="21"/>
      <c r="CE30" s="21"/>
      <c r="CF30" s="21"/>
      <c r="CG30" s="21"/>
      <c r="CH30" s="21"/>
      <c r="CI30" s="21"/>
      <c r="CJ30" s="21"/>
      <c r="CK30" s="21"/>
      <c r="CL30" s="21"/>
      <c r="CM30" s="21"/>
      <c r="CN30" s="21"/>
      <c r="CO30" s="21"/>
      <c r="CP30" s="21"/>
      <c r="CQ30" s="21"/>
      <c r="CR30" s="21"/>
      <c r="CS30" s="21"/>
      <c r="CT30" s="21"/>
      <c r="CU30" s="21"/>
      <c r="CV30" s="21"/>
      <c r="CW30" s="21"/>
      <c r="CX30" s="21"/>
      <c r="CY30" s="21"/>
      <c r="CZ30" s="21"/>
      <c r="DA30" s="21"/>
      <c r="DB30" s="21"/>
      <c r="DC30" s="21"/>
      <c r="DD30" s="21"/>
      <c r="DE30" s="21"/>
      <c r="DF30" s="21"/>
      <c r="DG30" s="21"/>
      <c r="DH30" s="21"/>
      <c r="DI30" s="21"/>
      <c r="DJ30" s="21"/>
      <c r="DK30" s="21"/>
      <c r="DL30" s="21"/>
      <c r="DM30" s="21"/>
      <c r="DN30" s="21"/>
      <c r="DO30" s="21"/>
      <c r="DP30" s="21"/>
      <c r="DQ30" s="21"/>
      <c r="DR30" s="21"/>
      <c r="DS30" s="21"/>
      <c r="DT30" s="21"/>
      <c r="DU30" s="21"/>
      <c r="DV30" s="21"/>
      <c r="DW30" s="21"/>
      <c r="DX30" s="21"/>
      <c r="DY30" s="21"/>
      <c r="DZ30" s="87"/>
      <c r="EA30" s="87"/>
      <c r="EB30" s="87"/>
      <c r="EC30" s="21"/>
      <c r="ED30" s="21"/>
      <c r="EE30" s="21"/>
      <c r="EF30" s="21"/>
      <c r="EG30" s="21"/>
      <c r="EH30" s="21"/>
      <c r="EI30" s="21"/>
      <c r="EJ30" s="21"/>
      <c r="EK30" s="21"/>
      <c r="EL30" s="21"/>
      <c r="EM30" s="21"/>
      <c r="EN30" s="21"/>
      <c r="EO30" s="21"/>
      <c r="EP30" s="21"/>
      <c r="EQ30" s="21"/>
      <c r="ER30" s="21"/>
      <c r="ES30" s="21"/>
      <c r="ET30" s="21"/>
      <c r="EU30" s="21"/>
      <c r="EV30" s="21"/>
      <c r="EW30" s="21"/>
      <c r="EX30" s="21"/>
      <c r="EY30" s="21"/>
      <c r="EZ30" s="21"/>
      <c r="FA30" s="21"/>
      <c r="FB30" s="21"/>
      <c r="FC30" s="21"/>
      <c r="FD30" s="21"/>
      <c r="FE30" s="21"/>
      <c r="FF30" s="21"/>
      <c r="FG30" s="21"/>
      <c r="FH30" s="21"/>
      <c r="FI30" s="21"/>
      <c r="FJ30" s="21"/>
      <c r="FK30" s="21"/>
      <c r="FL30" s="21"/>
      <c r="FM30" s="21"/>
      <c r="FN30" s="21"/>
      <c r="FO30" s="21"/>
      <c r="FP30" s="21"/>
      <c r="FQ30" s="21"/>
      <c r="FR30" s="21"/>
      <c r="FS30" s="21"/>
      <c r="FT30" s="21"/>
      <c r="FU30" s="21"/>
      <c r="FV30" s="21"/>
      <c r="FW30" s="21"/>
      <c r="FX30" s="21"/>
      <c r="FY30" s="21"/>
      <c r="FZ30" s="21"/>
      <c r="GA30" s="21"/>
      <c r="GB30" s="21"/>
      <c r="GC30" s="21"/>
      <c r="GD30" s="21"/>
      <c r="GE30" s="21"/>
      <c r="GF30" s="21"/>
      <c r="GG30" s="21"/>
      <c r="GH30" s="21"/>
      <c r="GI30" s="21"/>
      <c r="GJ30" s="21"/>
      <c r="GK30" s="21"/>
      <c r="GL30" s="21"/>
      <c r="GM30" s="21"/>
      <c r="GN30" s="21"/>
      <c r="GO30" s="21"/>
      <c r="GP30" s="21"/>
      <c r="GQ30" s="21"/>
      <c r="GR30" s="21"/>
      <c r="GS30" s="21"/>
      <c r="GT30" s="21"/>
      <c r="GU30" s="21"/>
      <c r="GV30" s="21"/>
      <c r="GW30" s="21"/>
      <c r="GX30" s="21"/>
      <c r="GY30" s="21"/>
      <c r="GZ30" s="21"/>
      <c r="HA30" s="21"/>
      <c r="HB30" s="21"/>
      <c r="HC30" s="21"/>
      <c r="HD30" s="21"/>
      <c r="HE30" s="21"/>
      <c r="HF30" s="21"/>
      <c r="HG30" s="21"/>
      <c r="HH30" s="21"/>
      <c r="HI30" s="21"/>
      <c r="HJ30" s="21"/>
      <c r="HK30" s="21"/>
      <c r="HL30" s="21"/>
      <c r="HM30" s="21"/>
      <c r="HN30" s="21"/>
      <c r="HO30" s="21"/>
      <c r="HP30" s="21"/>
      <c r="HQ30" s="21"/>
      <c r="HR30" s="21"/>
      <c r="HS30" s="21"/>
      <c r="HT30" s="21"/>
      <c r="HU30" s="21"/>
      <c r="HV30" s="186"/>
      <c r="HW30" s="21"/>
      <c r="HX30" s="21"/>
      <c r="HY30" s="21"/>
      <c r="HZ30" s="21"/>
      <c r="IA30" s="21"/>
      <c r="IB30" s="21"/>
      <c r="IC30" s="21"/>
      <c r="ID30" s="21"/>
      <c r="IE30" s="21"/>
      <c r="IF30" s="21"/>
      <c r="IG30" s="21"/>
      <c r="IH30" s="21"/>
      <c r="II30" s="21"/>
      <c r="IJ30" s="21"/>
      <c r="IK30" s="21"/>
      <c r="IL30" s="21"/>
      <c r="IM30" s="21"/>
      <c r="IN30" s="21"/>
      <c r="IO30" s="21"/>
      <c r="IP30" s="21"/>
      <c r="IQ30" s="21"/>
      <c r="IR30" s="21"/>
      <c r="IS30" s="21"/>
      <c r="IT30" s="21"/>
      <c r="IU30" s="21"/>
      <c r="IV30" s="21"/>
      <c r="IW30" s="21"/>
      <c r="IX30" s="21"/>
      <c r="IY30" s="21"/>
      <c r="IZ30" s="21"/>
      <c r="JA30" s="21"/>
      <c r="JB30" s="21"/>
      <c r="JC30" s="21"/>
      <c r="JD30" s="21"/>
      <c r="JE30" s="21"/>
      <c r="JF30" s="21"/>
      <c r="JG30" s="21"/>
      <c r="JH30" s="21"/>
      <c r="JI30" s="21"/>
      <c r="JJ30" s="21"/>
      <c r="JK30" s="21"/>
      <c r="JL30" s="21"/>
      <c r="JM30" s="21"/>
      <c r="JN30" s="21"/>
      <c r="JO30" s="21"/>
      <c r="JP30" s="21"/>
      <c r="JQ30" s="21"/>
      <c r="JR30" s="21"/>
      <c r="JS30" s="21"/>
      <c r="JT30" s="21"/>
      <c r="JU30" s="21"/>
      <c r="JV30" s="21"/>
      <c r="JW30" s="21"/>
      <c r="JX30" s="21"/>
      <c r="JY30" s="21"/>
      <c r="JZ30" s="21"/>
      <c r="KA30" s="21"/>
      <c r="KB30" s="21"/>
      <c r="KC30" s="21"/>
      <c r="KD30" s="21"/>
      <c r="KE30" s="21"/>
      <c r="KF30" s="21"/>
      <c r="KG30" s="21"/>
      <c r="KH30" s="21"/>
    </row>
    <row r="31" spans="1:294" x14ac:dyDescent="0.25">
      <c r="A31" s="8"/>
      <c r="B31" s="5" t="s">
        <v>116</v>
      </c>
      <c r="C31" s="8"/>
      <c r="D31" s="6" t="s">
        <v>1462</v>
      </c>
      <c r="E31" s="8" t="s">
        <v>1463</v>
      </c>
      <c r="F31" s="191"/>
      <c r="G31" s="1"/>
      <c r="H31" s="1"/>
      <c r="I31" s="1"/>
      <c r="J31" s="1"/>
      <c r="K31" s="1"/>
      <c r="L31" s="29" t="s">
        <v>1315</v>
      </c>
      <c r="M31" s="11">
        <f>INDEX(cennik!$C$2:$L$529,MATCH($L31,cennik!$B$2:$B$522,0),MATCH(M$28,cennik!$C$1:$L$1,0))</f>
        <v>924216</v>
      </c>
      <c r="N31" s="11" t="str">
        <f>INDEX(cennik!$C$2:$L$529,MATCH($L31,cennik!$B$2:$B$522,0),MATCH(N$28,cennik!$C$1:$L$1,0))</f>
        <v>szt.</v>
      </c>
      <c r="O31" s="14">
        <f>E37</f>
        <v>0</v>
      </c>
      <c r="P31" s="11">
        <f>INDEX(cennik!$C$2:$L$529,MATCH($L31,cennik!$B$2:$B$522,0),MATCH(P$28,cennik!$C$1:$L$1,0))</f>
        <v>7.64</v>
      </c>
      <c r="Q31" s="14">
        <f t="shared" si="15"/>
        <v>0</v>
      </c>
      <c r="R31" s="14">
        <f t="shared" si="11"/>
        <v>0</v>
      </c>
      <c r="S31" s="34">
        <f t="shared" si="12"/>
        <v>7.64</v>
      </c>
      <c r="T31" s="14">
        <f t="shared" si="16"/>
        <v>0</v>
      </c>
      <c r="U31" s="34">
        <f>INDEX(cennik!$C$2:$L$529,MATCH($L31,cennik!$B$2:$B$522,0),MATCH(U$28,cennik!$C$1:$L$1,0))*O31</f>
        <v>0</v>
      </c>
      <c r="V31" s="21"/>
      <c r="W31" s="21"/>
      <c r="X31" s="21"/>
      <c r="Y31" s="21"/>
      <c r="Z31" s="21"/>
      <c r="AA31" s="21"/>
      <c r="AB31" s="21"/>
      <c r="AC31" s="21"/>
      <c r="AD31" s="21"/>
      <c r="AE31" s="21"/>
      <c r="AF31" s="21"/>
      <c r="AG31" s="21"/>
      <c r="AH31" s="21"/>
      <c r="AI31" s="21"/>
      <c r="AJ31" s="21"/>
      <c r="AK31" s="21"/>
      <c r="AL31" s="21"/>
      <c r="AM31" s="21"/>
      <c r="AN31" s="21"/>
      <c r="AO31" s="21" t="str">
        <f ca="1"/>
        <v>podstawa balastowa klick</v>
      </c>
      <c r="AP31" s="21"/>
      <c r="AQ31" s="21"/>
      <c r="AR31" s="21"/>
      <c r="AS31" s="21"/>
      <c r="AT31" s="21" t="str" cm="1">
        <f t="array" aca="1" ref="AT31:AT32" ca="1">OFFSET(AU1,MATCH(E3,AT2:AT29,0),0,COUNTIF(AT2:AT29,E3),1)</f>
        <v>krótki bok</v>
      </c>
      <c r="AU31" s="21"/>
      <c r="AV31" s="21"/>
      <c r="AW31" s="21"/>
      <c r="AX31" s="21"/>
      <c r="AY31" s="21"/>
      <c r="AZ31" s="21"/>
      <c r="BA31" s="21"/>
      <c r="BB31" s="21"/>
      <c r="BC31" s="21"/>
      <c r="BD31" s="21"/>
      <c r="BE31" s="21"/>
      <c r="BF31" s="21"/>
      <c r="BG31" s="21"/>
      <c r="BH31" s="21">
        <f t="shared" si="13"/>
        <v>0</v>
      </c>
      <c r="BI31" s="21">
        <f t="shared" si="14"/>
        <v>0</v>
      </c>
      <c r="BJ31" s="21"/>
      <c r="BK31" s="21"/>
      <c r="BL31" s="21"/>
      <c r="BM31" s="21"/>
      <c r="BN31" s="21"/>
      <c r="BO31" s="21"/>
      <c r="BP31" s="21"/>
      <c r="BQ31" s="21"/>
      <c r="BR31" s="21"/>
      <c r="BS31" s="21"/>
      <c r="BT31" s="21"/>
      <c r="BU31" s="21"/>
      <c r="BV31" s="21"/>
      <c r="BW31" s="21"/>
      <c r="BX31" s="21"/>
      <c r="BY31" s="21"/>
      <c r="BZ31" s="21"/>
      <c r="CA31" s="21"/>
      <c r="CB31" s="21"/>
      <c r="CC31" s="21"/>
      <c r="CD31" s="21"/>
      <c r="CE31" s="21"/>
      <c r="CF31" s="21"/>
      <c r="CG31" s="21"/>
      <c r="CH31" s="21"/>
      <c r="CI31" s="21"/>
      <c r="CJ31" s="21"/>
      <c r="CK31" s="21"/>
      <c r="CL31" s="21"/>
      <c r="CM31" s="21"/>
      <c r="CN31" s="21"/>
      <c r="CO31" s="21"/>
      <c r="CP31" s="21"/>
      <c r="CQ31" s="21"/>
      <c r="CR31" s="21"/>
      <c r="CS31" s="21"/>
      <c r="CT31" s="21"/>
      <c r="CU31" s="21"/>
      <c r="CV31" s="21"/>
      <c r="CW31" s="21"/>
      <c r="CX31" s="21"/>
      <c r="CY31" s="21"/>
      <c r="CZ31" s="21"/>
      <c r="DA31" s="21"/>
      <c r="DB31" s="21"/>
      <c r="DC31" s="21"/>
      <c r="DD31" s="21"/>
      <c r="DE31" s="21"/>
      <c r="DF31" s="21"/>
      <c r="DG31" s="21"/>
      <c r="DH31" s="21"/>
      <c r="DI31" s="21"/>
      <c r="DJ31" s="21"/>
      <c r="DK31" s="21"/>
      <c r="DL31" s="21"/>
      <c r="DM31" s="21"/>
      <c r="DN31" s="21"/>
      <c r="DO31" s="21"/>
      <c r="DP31" s="21"/>
      <c r="DQ31" s="21"/>
      <c r="DR31" s="21"/>
      <c r="DS31" s="21"/>
      <c r="DT31" s="21"/>
      <c r="DU31" s="21"/>
      <c r="DV31" s="21"/>
      <c r="DW31" s="21"/>
      <c r="DX31" s="21"/>
      <c r="DY31" s="21"/>
      <c r="DZ31" s="87"/>
      <c r="EA31" s="87"/>
      <c r="EB31" s="87"/>
      <c r="EC31" s="21"/>
      <c r="ED31" s="21"/>
      <c r="EE31" s="21"/>
      <c r="EF31" s="21"/>
      <c r="EG31" s="21"/>
      <c r="EH31" s="21"/>
      <c r="EI31" s="21"/>
      <c r="EJ31" s="21"/>
      <c r="EK31" s="21"/>
      <c r="EL31" s="21"/>
      <c r="EM31" s="21"/>
      <c r="EN31" s="21"/>
      <c r="EO31" s="21"/>
      <c r="EP31" s="21"/>
      <c r="EQ31" s="21"/>
      <c r="ER31" s="21"/>
      <c r="ES31" s="21"/>
      <c r="ET31" s="21"/>
      <c r="EU31" s="21"/>
      <c r="EV31" s="21"/>
      <c r="EW31" s="21"/>
      <c r="EX31" s="21"/>
      <c r="EY31" s="21"/>
      <c r="EZ31" s="21"/>
      <c r="FA31" s="21"/>
      <c r="FB31" s="21"/>
      <c r="FC31" s="21"/>
      <c r="FD31" s="21"/>
      <c r="FE31" s="21"/>
      <c r="FF31" s="21"/>
      <c r="FG31" s="21"/>
      <c r="FH31" s="21"/>
      <c r="FI31" s="21"/>
      <c r="FJ31" s="21"/>
      <c r="FK31" s="21"/>
      <c r="FL31" s="21"/>
      <c r="FM31" s="21"/>
      <c r="FN31" s="21"/>
      <c r="FO31" s="21"/>
      <c r="FP31" s="21"/>
      <c r="FQ31" s="21"/>
      <c r="FR31" s="21"/>
      <c r="FS31" s="21"/>
      <c r="FT31" s="21"/>
      <c r="FU31" s="21"/>
      <c r="FV31" s="21"/>
      <c r="FW31" s="21"/>
      <c r="FX31" s="21"/>
      <c r="FY31" s="21"/>
      <c r="FZ31" s="21"/>
      <c r="GA31" s="21"/>
      <c r="GB31" s="21"/>
      <c r="GC31" s="21"/>
      <c r="GD31" s="21"/>
      <c r="GE31" s="21"/>
      <c r="GF31" s="21"/>
      <c r="GG31" s="21"/>
      <c r="GH31" s="21"/>
      <c r="GI31" s="21"/>
      <c r="GJ31" s="21"/>
      <c r="GK31" s="21"/>
      <c r="GL31" s="21"/>
      <c r="GM31" s="21"/>
      <c r="GN31" s="21"/>
      <c r="GO31" s="21"/>
      <c r="GP31" s="21"/>
      <c r="GQ31" s="21"/>
      <c r="GR31" s="21"/>
      <c r="GS31" s="21"/>
      <c r="GT31" s="21"/>
      <c r="GU31" s="21"/>
      <c r="GV31" s="21"/>
      <c r="GW31" s="21"/>
      <c r="GX31" s="21"/>
      <c r="GY31" s="21"/>
      <c r="GZ31" s="21"/>
      <c r="HA31" s="21"/>
      <c r="HB31" s="21"/>
      <c r="HC31" s="21"/>
      <c r="HD31" s="21"/>
      <c r="HE31" s="21"/>
      <c r="HF31" s="21"/>
      <c r="HG31" s="21"/>
      <c r="HH31" s="21"/>
      <c r="HI31" s="21"/>
      <c r="HJ31" s="21"/>
      <c r="HK31" s="21"/>
      <c r="HL31" s="21"/>
      <c r="HM31" s="21"/>
      <c r="HN31" s="21"/>
      <c r="HO31" s="21"/>
      <c r="HP31" s="21"/>
      <c r="HQ31" s="21"/>
      <c r="HR31" s="21"/>
      <c r="HS31" s="21"/>
      <c r="HT31" s="21"/>
      <c r="HU31" s="21"/>
      <c r="HV31" s="186"/>
      <c r="HW31" s="21"/>
      <c r="HX31" s="21"/>
      <c r="HY31" s="21"/>
      <c r="HZ31" s="21"/>
      <c r="IA31" s="21"/>
      <c r="IB31" s="21"/>
      <c r="IC31" s="21"/>
      <c r="ID31" s="21"/>
      <c r="IE31" s="21"/>
      <c r="IF31" s="21"/>
      <c r="IG31" s="21"/>
      <c r="IH31" s="21"/>
      <c r="II31" s="21"/>
      <c r="IJ31" s="21"/>
      <c r="IK31" s="21"/>
      <c r="IL31" s="21"/>
      <c r="IM31" s="21"/>
      <c r="IN31" s="21"/>
      <c r="IO31" s="21"/>
      <c r="IP31" s="21"/>
      <c r="IQ31" s="21"/>
      <c r="IR31" s="21"/>
      <c r="IS31" s="21"/>
      <c r="IT31" s="21"/>
      <c r="IU31" s="21"/>
      <c r="IV31" s="21"/>
      <c r="IW31" s="21"/>
      <c r="IX31" s="21"/>
      <c r="IY31" s="21"/>
      <c r="IZ31" s="21"/>
      <c r="JA31" s="21"/>
      <c r="JB31" s="21"/>
      <c r="JC31" s="21"/>
      <c r="JD31" s="21"/>
      <c r="JE31" s="21"/>
      <c r="JF31" s="21"/>
      <c r="JG31" s="21"/>
      <c r="JH31" s="21"/>
      <c r="JI31" s="21"/>
      <c r="JJ31" s="21"/>
      <c r="JK31" s="21"/>
      <c r="JL31" s="21"/>
      <c r="JM31" s="21"/>
      <c r="JN31" s="21"/>
      <c r="JO31" s="21"/>
      <c r="JP31" s="21"/>
      <c r="JQ31" s="21"/>
      <c r="JR31" s="21"/>
      <c r="JS31" s="21"/>
      <c r="JT31" s="21"/>
      <c r="JU31" s="21"/>
      <c r="JV31" s="21"/>
      <c r="JW31" s="21"/>
      <c r="JX31" s="21"/>
      <c r="JY31" s="21"/>
      <c r="JZ31" s="21"/>
      <c r="KA31" s="21"/>
      <c r="KB31" s="21"/>
      <c r="KC31" s="21"/>
      <c r="KD31" s="21"/>
      <c r="KE31" s="21"/>
      <c r="KF31" s="21"/>
      <c r="KG31" s="21"/>
      <c r="KH31" s="21"/>
    </row>
    <row r="32" spans="1:294" x14ac:dyDescent="0.25">
      <c r="A32" s="8"/>
      <c r="B32" s="5" t="s">
        <v>116</v>
      </c>
      <c r="C32" s="8"/>
      <c r="D32" s="6" t="s">
        <v>1204</v>
      </c>
      <c r="E32" s="8" t="s">
        <v>1207</v>
      </c>
      <c r="F32" s="17" t="str">
        <f>IF(AND(E30=AF1,E32=AF5),"należy zmienić wartość na klemy",IF(AND(E30&lt;&gt;AF1,E32&lt;&gt;AP44),"",""))</f>
        <v/>
      </c>
      <c r="G32" s="1"/>
      <c r="H32" s="1"/>
      <c r="I32" s="1"/>
      <c r="J32" s="1"/>
      <c r="K32" s="1"/>
      <c r="L32" s="5" t="str">
        <f>IF(E34=$AH$8,"SKRB95MC","PBKJ40MC")</f>
        <v>PBKJ40MC</v>
      </c>
      <c r="M32" s="11">
        <f>INDEX(cennik!$C$2:$L$529,MATCH($L32,cennik!$B$2:$B$522,0),MATCH(M$28,cennik!$C$1:$L$1,0))</f>
        <v>858442</v>
      </c>
      <c r="N32" s="11" t="str">
        <f>INDEX(cennik!$C$2:$L$529,MATCH($L32,cennik!$B$2:$B$522,0),MATCH(N$28,cennik!$C$1:$L$1,0))</f>
        <v>szt.</v>
      </c>
      <c r="O32" s="14">
        <f>IF(E31=AK1,0,IF(E31=AK2,(AO36),0))</f>
        <v>0</v>
      </c>
      <c r="P32" s="11">
        <f>INDEX(cennik!$C$2:$L$529,MATCH($L32,cennik!$B$2:$B$522,0),MATCH(P$28,cennik!$C$1:$L$1,0))</f>
        <v>16.440000000000001</v>
      </c>
      <c r="Q32" s="14">
        <f t="shared" si="15"/>
        <v>0</v>
      </c>
      <c r="R32" s="14">
        <f t="shared" si="11"/>
        <v>0</v>
      </c>
      <c r="S32" s="34">
        <f t="shared" si="12"/>
        <v>16.440000000000001</v>
      </c>
      <c r="T32" s="14">
        <f t="shared" si="16"/>
        <v>0</v>
      </c>
      <c r="U32" s="34">
        <f>INDEX(cennik!$C$2:$L$529,MATCH($L32,cennik!$B$2:$B$522,0),MATCH(U$28,cennik!$C$1:$L$1,0))*O32</f>
        <v>0</v>
      </c>
      <c r="V32" s="21"/>
      <c r="W32" s="21"/>
      <c r="X32" s="21"/>
      <c r="Y32" s="21"/>
      <c r="Z32" s="21"/>
      <c r="AA32" s="21"/>
      <c r="AB32" s="21"/>
      <c r="AC32" s="21"/>
      <c r="AD32" s="21"/>
      <c r="AE32" s="21"/>
      <c r="AF32" s="21"/>
      <c r="AG32" s="21"/>
      <c r="AH32" s="21"/>
      <c r="AI32" s="21"/>
      <c r="AJ32" s="21"/>
      <c r="AK32" s="21"/>
      <c r="AL32" s="21"/>
      <c r="AM32" s="21"/>
      <c r="AN32" s="21"/>
      <c r="AO32" s="21"/>
      <c r="AP32" s="21"/>
      <c r="AQ32" s="21"/>
      <c r="AR32" s="21"/>
      <c r="AS32" s="21"/>
      <c r="AT32" s="21" t="str">
        <f ca="1"/>
        <v>długi bok</v>
      </c>
      <c r="AU32" s="21"/>
      <c r="AV32" s="21"/>
      <c r="AW32" s="21"/>
      <c r="AX32" s="21"/>
      <c r="AY32" s="21"/>
      <c r="AZ32" s="21"/>
      <c r="BA32" s="21"/>
      <c r="BB32" s="21"/>
      <c r="BC32" s="21"/>
      <c r="BD32" s="21"/>
      <c r="BE32" s="21"/>
      <c r="BF32" s="21"/>
      <c r="BG32" s="21"/>
      <c r="BH32" s="21">
        <f t="shared" si="13"/>
        <v>0</v>
      </c>
      <c r="BI32" s="21">
        <f t="shared" si="14"/>
        <v>0</v>
      </c>
      <c r="BJ32" s="21"/>
      <c r="BK32" s="21"/>
      <c r="BL32" s="21"/>
      <c r="BM32" s="21"/>
      <c r="BN32" s="21"/>
      <c r="BO32" s="21"/>
      <c r="BP32" s="21"/>
      <c r="BQ32" s="21"/>
      <c r="BR32" s="21"/>
      <c r="BS32" s="21"/>
      <c r="BT32" s="21"/>
      <c r="BU32" s="21"/>
      <c r="BV32" s="21"/>
      <c r="BW32" s="21"/>
      <c r="BX32" s="21"/>
      <c r="BY32" s="21"/>
      <c r="BZ32" s="21"/>
      <c r="CA32" s="21"/>
      <c r="CB32" s="21"/>
      <c r="CC32" s="21"/>
      <c r="CD32" s="21"/>
      <c r="CE32" s="21"/>
      <c r="CF32" s="21"/>
      <c r="CG32" s="21"/>
      <c r="CH32" s="21"/>
      <c r="CI32" s="21"/>
      <c r="CJ32" s="21"/>
      <c r="CK32" s="21"/>
      <c r="CL32" s="21"/>
      <c r="CM32" s="21"/>
      <c r="CN32" s="21"/>
      <c r="CO32" s="21"/>
      <c r="CP32" s="21"/>
      <c r="CQ32" s="21"/>
      <c r="CR32" s="21"/>
      <c r="CS32" s="21"/>
      <c r="CT32" s="21"/>
      <c r="CU32" s="21"/>
      <c r="CV32" s="21"/>
      <c r="CW32" s="21"/>
      <c r="CX32" s="21"/>
      <c r="CY32" s="21"/>
      <c r="CZ32" s="21"/>
      <c r="DA32" s="21"/>
      <c r="DB32" s="21"/>
      <c r="DC32" s="21"/>
      <c r="DD32" s="21"/>
      <c r="DE32" s="21"/>
      <c r="DF32" s="21"/>
      <c r="DG32" s="21"/>
      <c r="DH32" s="21"/>
      <c r="DI32" s="21"/>
      <c r="DJ32" s="21"/>
      <c r="DK32" s="21"/>
      <c r="DL32" s="21"/>
      <c r="DM32" s="21"/>
      <c r="DN32" s="21"/>
      <c r="DO32" s="21"/>
      <c r="DP32" s="21"/>
      <c r="DQ32" s="21"/>
      <c r="DR32" s="21"/>
      <c r="DS32" s="21"/>
      <c r="DT32" s="21"/>
      <c r="DU32" s="21"/>
      <c r="DV32" s="21"/>
      <c r="DW32" s="21"/>
      <c r="DX32" s="21"/>
      <c r="DY32" s="21"/>
      <c r="DZ32" s="87"/>
      <c r="EA32" s="87"/>
      <c r="EB32" s="87"/>
      <c r="EC32" s="21"/>
      <c r="ED32" s="21"/>
      <c r="EE32" s="21"/>
      <c r="EF32" s="21"/>
      <c r="EG32" s="21"/>
      <c r="EH32" s="21"/>
      <c r="EI32" s="21"/>
      <c r="EJ32" s="21"/>
      <c r="EK32" s="21"/>
      <c r="EL32" s="21"/>
      <c r="EM32" s="21"/>
      <c r="EN32" s="21"/>
      <c r="EO32" s="21"/>
      <c r="EP32" s="21"/>
      <c r="EQ32" s="21"/>
      <c r="ER32" s="21"/>
      <c r="ES32" s="21"/>
      <c r="ET32" s="21"/>
      <c r="EU32" s="21"/>
      <c r="EV32" s="21"/>
      <c r="EW32" s="21"/>
      <c r="EX32" s="21"/>
      <c r="EY32" s="21"/>
      <c r="EZ32" s="21"/>
      <c r="FA32" s="21"/>
      <c r="FB32" s="21"/>
      <c r="FC32" s="21"/>
      <c r="FD32" s="21"/>
      <c r="FE32" s="21"/>
      <c r="FF32" s="21"/>
      <c r="FG32" s="21"/>
      <c r="FH32" s="21"/>
      <c r="FI32" s="21"/>
      <c r="FJ32" s="21"/>
      <c r="FK32" s="21"/>
      <c r="FL32" s="21"/>
      <c r="FM32" s="21"/>
      <c r="FN32" s="21"/>
      <c r="FO32" s="21"/>
      <c r="FP32" s="21"/>
      <c r="FQ32" s="21"/>
      <c r="FR32" s="21"/>
      <c r="FS32" s="21"/>
      <c r="FT32" s="21"/>
      <c r="FU32" s="21"/>
      <c r="FV32" s="21"/>
      <c r="FW32" s="21"/>
      <c r="FX32" s="21"/>
      <c r="FY32" s="21"/>
      <c r="FZ32" s="21"/>
      <c r="GA32" s="21"/>
      <c r="GB32" s="21"/>
      <c r="GC32" s="21"/>
      <c r="GD32" s="21"/>
      <c r="GE32" s="21"/>
      <c r="GF32" s="21"/>
      <c r="GG32" s="21"/>
      <c r="GH32" s="21"/>
      <c r="GI32" s="21"/>
      <c r="GJ32" s="21"/>
      <c r="GK32" s="21"/>
      <c r="GL32" s="21"/>
      <c r="GM32" s="21"/>
      <c r="GN32" s="21"/>
      <c r="GO32" s="21"/>
      <c r="GP32" s="21"/>
      <c r="GQ32" s="21"/>
      <c r="GR32" s="21"/>
      <c r="GS32" s="21"/>
      <c r="GT32" s="21"/>
      <c r="GU32" s="21"/>
      <c r="GV32" s="21"/>
      <c r="GW32" s="21"/>
      <c r="GX32" s="21"/>
      <c r="GY32" s="21"/>
      <c r="GZ32" s="21"/>
      <c r="HA32" s="21"/>
      <c r="HB32" s="21"/>
      <c r="HC32" s="21"/>
      <c r="HD32" s="21"/>
      <c r="HE32" s="21"/>
      <c r="HF32" s="21"/>
      <c r="HG32" s="21"/>
      <c r="HH32" s="21"/>
      <c r="HI32" s="21"/>
      <c r="HJ32" s="21"/>
      <c r="HK32" s="21"/>
      <c r="HL32" s="21"/>
      <c r="HM32" s="21"/>
      <c r="HN32" s="21"/>
      <c r="HO32" s="21"/>
      <c r="HP32" s="21"/>
      <c r="HQ32" s="21"/>
      <c r="HR32" s="21"/>
      <c r="HS32" s="21"/>
      <c r="HT32" s="21"/>
      <c r="HU32" s="21"/>
      <c r="HV32" s="186"/>
      <c r="HW32" s="21"/>
      <c r="HX32" s="21"/>
      <c r="HY32" s="21"/>
      <c r="HZ32" s="21"/>
      <c r="IA32" s="21"/>
      <c r="IB32" s="21"/>
      <c r="IC32" s="21"/>
      <c r="ID32" s="21"/>
      <c r="IE32" s="21"/>
      <c r="IF32" s="21"/>
      <c r="IG32" s="21"/>
      <c r="IH32" s="21"/>
      <c r="II32" s="21"/>
      <c r="IJ32" s="21"/>
      <c r="IK32" s="21"/>
      <c r="IL32" s="21"/>
      <c r="IM32" s="21"/>
      <c r="IN32" s="21"/>
      <c r="IO32" s="21"/>
      <c r="IP32" s="21"/>
      <c r="IQ32" s="21"/>
      <c r="IR32" s="21"/>
      <c r="IS32" s="21"/>
      <c r="IT32" s="21"/>
      <c r="IU32" s="21"/>
      <c r="IV32" s="21"/>
      <c r="IW32" s="21"/>
      <c r="IX32" s="21"/>
      <c r="IY32" s="21"/>
      <c r="IZ32" s="21"/>
      <c r="JA32" s="21"/>
      <c r="JB32" s="21"/>
      <c r="JC32" s="21"/>
      <c r="JD32" s="21"/>
      <c r="JE32" s="21"/>
      <c r="JF32" s="21"/>
      <c r="JG32" s="21"/>
      <c r="JH32" s="21"/>
      <c r="JI32" s="21"/>
      <c r="JJ32" s="21"/>
      <c r="JK32" s="21"/>
      <c r="JL32" s="21"/>
      <c r="JM32" s="21"/>
      <c r="JN32" s="21"/>
      <c r="JO32" s="21"/>
      <c r="JP32" s="21"/>
      <c r="JQ32" s="21"/>
      <c r="JR32" s="21"/>
      <c r="JS32" s="21"/>
      <c r="JT32" s="21"/>
      <c r="JU32" s="21"/>
      <c r="JV32" s="21"/>
      <c r="JW32" s="21"/>
      <c r="JX32" s="21"/>
      <c r="JY32" s="21"/>
      <c r="JZ32" s="21"/>
      <c r="KA32" s="21"/>
      <c r="KB32" s="21"/>
      <c r="KC32" s="21"/>
      <c r="KD32" s="21"/>
      <c r="KE32" s="21"/>
      <c r="KF32" s="21"/>
      <c r="KG32" s="21"/>
      <c r="KH32" s="21"/>
    </row>
    <row r="33" spans="1:294" x14ac:dyDescent="0.25">
      <c r="A33" s="8"/>
      <c r="B33" s="5" t="s">
        <v>116</v>
      </c>
      <c r="C33" s="8"/>
      <c r="D33" s="6" t="s">
        <v>307</v>
      </c>
      <c r="E33" s="8" t="s">
        <v>1211</v>
      </c>
      <c r="F33" s="1"/>
      <c r="G33" s="1"/>
      <c r="H33" s="1"/>
      <c r="I33" s="1"/>
      <c r="J33" s="1"/>
      <c r="K33" s="1"/>
      <c r="L33" s="5" t="s">
        <v>1316</v>
      </c>
      <c r="M33" s="11">
        <f>INDEX(cennik!$C$2:$L$529,MATCH($L33,cennik!$B$2:$B$522,0),MATCH(M$28,cennik!$C$1:$L$1,0))</f>
        <v>858454</v>
      </c>
      <c r="N33" s="11" t="str">
        <f>INDEX(cennik!$C$2:$L$529,MATCH($L33,cennik!$B$2:$B$522,0),MATCH(N$28,cennik!$C$1:$L$1,0))</f>
        <v>szt.</v>
      </c>
      <c r="O33" s="14">
        <f>IF(E31=AK1,0,IF(E31=AK2,(AO37),0))</f>
        <v>0</v>
      </c>
      <c r="P33" s="11">
        <f>INDEX(cennik!$C$2:$L$529,MATCH($L33,cennik!$B$2:$B$522,0),MATCH(P$28,cennik!$C$1:$L$1,0))</f>
        <v>36.840000000000003</v>
      </c>
      <c r="Q33" s="14">
        <f t="shared" si="15"/>
        <v>0</v>
      </c>
      <c r="R33" s="14">
        <f t="shared" si="11"/>
        <v>0</v>
      </c>
      <c r="S33" s="34">
        <f t="shared" si="12"/>
        <v>36.840000000000003</v>
      </c>
      <c r="T33" s="14">
        <f t="shared" si="16"/>
        <v>0</v>
      </c>
      <c r="U33" s="34">
        <f>INDEX(cennik!$C$2:$L$529,MATCH($L33,cennik!$B$2:$B$522,0),MATCH(U$28,cennik!$C$1:$L$1,0))*O33</f>
        <v>0</v>
      </c>
      <c r="V33" s="21"/>
      <c r="W33" s="21"/>
      <c r="X33" s="21"/>
      <c r="Y33" s="21"/>
      <c r="Z33" s="21"/>
      <c r="AA33" s="21"/>
      <c r="AB33" s="21"/>
      <c r="AC33" s="21"/>
      <c r="AD33" s="21"/>
      <c r="AE33" s="21"/>
      <c r="AF33" s="21"/>
      <c r="AG33" s="21"/>
      <c r="AH33" s="21"/>
      <c r="AI33" s="21"/>
      <c r="AJ33" s="21"/>
      <c r="AK33" s="21"/>
      <c r="AL33" s="21"/>
      <c r="AM33" s="21"/>
      <c r="AN33" s="21"/>
      <c r="AO33" s="21"/>
      <c r="AP33" s="21"/>
      <c r="AQ33" s="21"/>
      <c r="AR33" s="21"/>
      <c r="AS33" s="21"/>
      <c r="AT33" s="21"/>
      <c r="AU33" s="21"/>
      <c r="AV33" s="21"/>
      <c r="AW33" s="21"/>
      <c r="AX33" s="21"/>
      <c r="AY33" s="21"/>
      <c r="AZ33" s="21"/>
      <c r="BA33" s="21"/>
      <c r="BB33" s="21"/>
      <c r="BC33" s="21"/>
      <c r="BD33" s="21"/>
      <c r="BE33" s="21"/>
      <c r="BF33" s="21"/>
      <c r="BG33" s="21"/>
      <c r="BH33" s="21">
        <f t="shared" si="13"/>
        <v>0</v>
      </c>
      <c r="BI33" s="21">
        <f t="shared" si="14"/>
        <v>0</v>
      </c>
      <c r="BJ33" s="21"/>
      <c r="BK33" s="21"/>
      <c r="BL33" s="21"/>
      <c r="BM33" s="21"/>
      <c r="BN33" s="21"/>
      <c r="BO33" s="21"/>
      <c r="BP33" s="21"/>
      <c r="BQ33" s="21"/>
      <c r="BR33" s="21"/>
      <c r="BS33" s="21"/>
      <c r="BT33" s="21"/>
      <c r="BU33" s="21"/>
      <c r="BV33" s="21"/>
      <c r="BW33" s="21"/>
      <c r="BX33" s="21"/>
      <c r="BY33" s="21"/>
      <c r="BZ33" s="21"/>
      <c r="CA33" s="21"/>
      <c r="CB33" s="21"/>
      <c r="CC33" s="21"/>
      <c r="CD33" s="21"/>
      <c r="CE33" s="21"/>
      <c r="CF33" s="21"/>
      <c r="CG33" s="21"/>
      <c r="CH33" s="21"/>
      <c r="CI33" s="21"/>
      <c r="CJ33" s="21"/>
      <c r="CK33" s="21"/>
      <c r="CL33" s="21"/>
      <c r="CM33" s="21"/>
      <c r="CN33" s="21"/>
      <c r="CO33" s="21"/>
      <c r="CP33" s="21"/>
      <c r="CQ33" s="21"/>
      <c r="CR33" s="21"/>
      <c r="CS33" s="21"/>
      <c r="CT33" s="21"/>
      <c r="CU33" s="21"/>
      <c r="CV33" s="21"/>
      <c r="CW33" s="21"/>
      <c r="CX33" s="21"/>
      <c r="CY33" s="21"/>
      <c r="CZ33" s="21"/>
      <c r="DA33" s="21"/>
      <c r="DB33" s="21"/>
      <c r="DC33" s="21"/>
      <c r="DD33" s="21"/>
      <c r="DE33" s="21"/>
      <c r="DF33" s="21"/>
      <c r="DG33" s="21"/>
      <c r="DH33" s="21"/>
      <c r="DI33" s="21"/>
      <c r="DJ33" s="21"/>
      <c r="DK33" s="21"/>
      <c r="DL33" s="21"/>
      <c r="DM33" s="21"/>
      <c r="DN33" s="21"/>
      <c r="DO33" s="21"/>
      <c r="DP33" s="21"/>
      <c r="DQ33" s="21"/>
      <c r="DR33" s="21"/>
      <c r="DS33" s="21"/>
      <c r="DT33" s="21"/>
      <c r="DU33" s="21"/>
      <c r="DV33" s="21"/>
      <c r="DW33" s="21"/>
      <c r="DX33" s="21"/>
      <c r="DY33" s="21"/>
      <c r="DZ33" s="87"/>
      <c r="EA33" s="87"/>
      <c r="EB33" s="87"/>
      <c r="EC33" s="21"/>
      <c r="ED33" s="21"/>
      <c r="EE33" s="21"/>
      <c r="EF33" s="21"/>
      <c r="EG33" s="21"/>
      <c r="EH33" s="21"/>
      <c r="EI33" s="21"/>
      <c r="EJ33" s="21"/>
      <c r="EK33" s="21"/>
      <c r="EL33" s="21"/>
      <c r="EM33" s="21"/>
      <c r="EN33" s="21"/>
      <c r="EO33" s="21"/>
      <c r="EP33" s="21"/>
      <c r="EQ33" s="21"/>
      <c r="ER33" s="21"/>
      <c r="ES33" s="21"/>
      <c r="ET33" s="21"/>
      <c r="EU33" s="21"/>
      <c r="EV33" s="21"/>
      <c r="EW33" s="21"/>
      <c r="EX33" s="21"/>
      <c r="EY33" s="21"/>
      <c r="EZ33" s="21"/>
      <c r="FA33" s="21"/>
      <c r="FB33" s="21"/>
      <c r="FC33" s="21"/>
      <c r="FD33" s="21"/>
      <c r="FE33" s="21"/>
      <c r="FF33" s="21"/>
      <c r="FG33" s="21"/>
      <c r="FH33" s="21"/>
      <c r="FI33" s="21"/>
      <c r="FJ33" s="21"/>
      <c r="FK33" s="21"/>
      <c r="FL33" s="21"/>
      <c r="FM33" s="21"/>
      <c r="FN33" s="21"/>
      <c r="FO33" s="21"/>
      <c r="FP33" s="21"/>
      <c r="FQ33" s="21"/>
      <c r="FR33" s="21"/>
      <c r="FS33" s="21"/>
      <c r="FT33" s="21"/>
      <c r="FU33" s="21"/>
      <c r="FV33" s="21"/>
      <c r="FW33" s="21"/>
      <c r="FX33" s="21"/>
      <c r="FY33" s="21"/>
      <c r="FZ33" s="21"/>
      <c r="GA33" s="21"/>
      <c r="GB33" s="21"/>
      <c r="GC33" s="21"/>
      <c r="GD33" s="21"/>
      <c r="GE33" s="21"/>
      <c r="GF33" s="21"/>
      <c r="GG33" s="21"/>
      <c r="GH33" s="21"/>
      <c r="GI33" s="21"/>
      <c r="GJ33" s="21"/>
      <c r="GK33" s="21"/>
      <c r="GL33" s="21"/>
      <c r="GM33" s="21"/>
      <c r="GN33" s="21"/>
      <c r="GO33" s="21"/>
      <c r="GP33" s="21"/>
      <c r="GQ33" s="21"/>
      <c r="GR33" s="21"/>
      <c r="GS33" s="21"/>
      <c r="GT33" s="21"/>
      <c r="GU33" s="21"/>
      <c r="GV33" s="21"/>
      <c r="GW33" s="21"/>
      <c r="GX33" s="21"/>
      <c r="GY33" s="21"/>
      <c r="GZ33" s="21"/>
      <c r="HA33" s="21"/>
      <c r="HB33" s="21"/>
      <c r="HC33" s="21"/>
      <c r="HD33" s="21"/>
      <c r="HE33" s="21"/>
      <c r="HF33" s="21"/>
      <c r="HG33" s="21"/>
      <c r="HH33" s="21"/>
      <c r="HI33" s="21"/>
      <c r="HJ33" s="21"/>
      <c r="HK33" s="21"/>
      <c r="HL33" s="21"/>
      <c r="HM33" s="21"/>
      <c r="HN33" s="21"/>
      <c r="HO33" s="21"/>
      <c r="HP33" s="21"/>
      <c r="HQ33" s="21"/>
      <c r="HR33" s="21"/>
      <c r="HS33" s="21"/>
      <c r="HT33" s="21"/>
      <c r="HU33" s="21"/>
      <c r="HV33" s="186"/>
      <c r="HW33" s="21"/>
      <c r="HX33" s="21"/>
      <c r="HY33" s="21"/>
      <c r="HZ33" s="21"/>
      <c r="IA33" s="21"/>
      <c r="IB33" s="21"/>
      <c r="IC33" s="21"/>
      <c r="ID33" s="21"/>
      <c r="IE33" s="21"/>
      <c r="IF33" s="21"/>
      <c r="IG33" s="21"/>
      <c r="IH33" s="21"/>
      <c r="II33" s="21"/>
      <c r="IJ33" s="21"/>
      <c r="IK33" s="21"/>
      <c r="IL33" s="21"/>
      <c r="IM33" s="21"/>
      <c r="IN33" s="21"/>
      <c r="IO33" s="21"/>
      <c r="IP33" s="21"/>
      <c r="IQ33" s="21"/>
      <c r="IR33" s="21"/>
      <c r="IS33" s="21"/>
      <c r="IT33" s="21"/>
      <c r="IU33" s="21"/>
      <c r="IV33" s="21"/>
      <c r="IW33" s="21"/>
      <c r="IX33" s="21"/>
      <c r="IY33" s="21"/>
      <c r="IZ33" s="21"/>
      <c r="JA33" s="21"/>
      <c r="JB33" s="21"/>
      <c r="JC33" s="21"/>
      <c r="JD33" s="21"/>
      <c r="JE33" s="21"/>
      <c r="JF33" s="21"/>
      <c r="JG33" s="21"/>
      <c r="JH33" s="21"/>
      <c r="JI33" s="21"/>
      <c r="JJ33" s="21"/>
      <c r="JK33" s="21"/>
      <c r="JL33" s="21"/>
      <c r="JM33" s="21"/>
      <c r="JN33" s="21"/>
      <c r="JO33" s="21"/>
      <c r="JP33" s="21"/>
      <c r="JQ33" s="21"/>
      <c r="JR33" s="21"/>
      <c r="JS33" s="21"/>
      <c r="JT33" s="21"/>
      <c r="JU33" s="21"/>
      <c r="JV33" s="21"/>
      <c r="JW33" s="21"/>
      <c r="JX33" s="21"/>
      <c r="JY33" s="21"/>
      <c r="JZ33" s="21"/>
      <c r="KA33" s="21"/>
      <c r="KB33" s="21"/>
      <c r="KC33" s="21"/>
      <c r="KD33" s="21"/>
      <c r="KE33" s="21"/>
      <c r="KF33" s="21"/>
      <c r="KG33" s="21"/>
      <c r="KH33" s="21"/>
    </row>
    <row r="34" spans="1:294" x14ac:dyDescent="0.25">
      <c r="A34" s="8"/>
      <c r="B34" s="5" t="s">
        <v>116</v>
      </c>
      <c r="C34" s="8"/>
      <c r="D34" s="6" t="str">
        <f>IF(E31=AK2,"typ balastu","")</f>
        <v/>
      </c>
      <c r="E34" s="8" t="s">
        <v>1221</v>
      </c>
      <c r="F34" s="17" t="str">
        <f>IF(AND(E33=AF7,E34="-"),"należy wskazać typ balastu",IF(AND(E33&lt;&gt;AF7,E34&lt;&gt;AP24),"należy zmienić wartość na -",""))</f>
        <v>należy wskazać typ balastu</v>
      </c>
      <c r="G34" s="1"/>
      <c r="H34" s="1"/>
      <c r="I34" s="1"/>
      <c r="J34" s="1"/>
      <c r="K34" s="1"/>
      <c r="L34" s="5" t="str">
        <f>INDEX(($AE$201:$AF$201),1,MATCH(E39,$AE$190:$AF$190,0),1)</f>
        <v>PUFK</v>
      </c>
      <c r="M34" s="11">
        <f>INDEX(cennik!$C$2:$L$529,MATCH($L34,cennik!$B$2:$B$522,0),MATCH(M$28,cennik!$C$1:$L$1,0))</f>
        <v>890300</v>
      </c>
      <c r="N34" s="11" t="str">
        <f>INDEX(cennik!$C$2:$L$529,MATCH($L34,cennik!$B$2:$B$522,0),MATCH(N$28,cennik!$C$1:$L$1,0))</f>
        <v>szt.</v>
      </c>
      <c r="O34" s="14">
        <f>IF($E$30=$AF$2,AH41,IF($E$30=$AF$1,AH40,0))</f>
        <v>0</v>
      </c>
      <c r="P34" s="11">
        <f>INDEX(cennik!$C$2:$L$529,MATCH($L34,cennik!$B$2:$B$522,0),MATCH(P$28,cennik!$C$1:$L$1,0))</f>
        <v>7.31</v>
      </c>
      <c r="Q34" s="14">
        <f t="shared" si="15"/>
        <v>0</v>
      </c>
      <c r="R34" s="14">
        <f t="shared" si="11"/>
        <v>0</v>
      </c>
      <c r="S34" s="34">
        <f t="shared" si="12"/>
        <v>7.31</v>
      </c>
      <c r="T34" s="14">
        <f t="shared" si="16"/>
        <v>0</v>
      </c>
      <c r="U34" s="34">
        <f>INDEX(cennik!$C$2:$L$529,MATCH($L34,cennik!$B$2:$B$522,0),MATCH(U$28,cennik!$C$1:$L$1,0))*O34</f>
        <v>0</v>
      </c>
      <c r="V34" s="21"/>
      <c r="W34" s="21"/>
      <c r="X34" s="21"/>
      <c r="Y34" s="21"/>
      <c r="Z34" s="21"/>
      <c r="AA34" s="21"/>
      <c r="AB34" s="21"/>
      <c r="AC34" s="21"/>
      <c r="AD34" s="21"/>
      <c r="AE34" s="21"/>
      <c r="AF34" s="21"/>
      <c r="AG34" s="21"/>
      <c r="AH34" s="21"/>
      <c r="AI34" s="21"/>
      <c r="AJ34" s="21"/>
      <c r="AK34" s="21"/>
      <c r="AL34" s="21"/>
      <c r="AM34" s="21"/>
      <c r="AN34" s="21"/>
      <c r="AO34" s="21"/>
      <c r="AP34" s="21"/>
      <c r="AQ34" s="21"/>
      <c r="AR34" s="21"/>
      <c r="AS34" s="21"/>
      <c r="AT34" s="21"/>
      <c r="AU34" s="21"/>
      <c r="AV34" s="21"/>
      <c r="AW34" s="21"/>
      <c r="AX34" s="21"/>
      <c r="AY34" s="21"/>
      <c r="AZ34" s="21"/>
      <c r="BA34" s="21"/>
      <c r="BB34" s="21"/>
      <c r="BC34" s="21"/>
      <c r="BD34" s="21"/>
      <c r="BE34" s="21"/>
      <c r="BF34" s="21"/>
      <c r="BG34" s="21"/>
      <c r="BH34" s="21">
        <f t="shared" si="13"/>
        <v>0</v>
      </c>
      <c r="BI34" s="21">
        <f t="shared" si="14"/>
        <v>0</v>
      </c>
      <c r="BJ34" s="21"/>
      <c r="BK34" s="21"/>
      <c r="BL34" s="21"/>
      <c r="BM34" s="21"/>
      <c r="BN34" s="21"/>
      <c r="BO34" s="21"/>
      <c r="BP34" s="21"/>
      <c r="BQ34" s="21"/>
      <c r="BR34" s="21"/>
      <c r="BS34" s="21"/>
      <c r="BT34" s="21"/>
      <c r="BU34" s="21"/>
      <c r="BV34" s="21"/>
      <c r="BW34" s="21"/>
      <c r="BX34" s="21"/>
      <c r="BY34" s="21"/>
      <c r="BZ34" s="21"/>
      <c r="CA34" s="21"/>
      <c r="CB34" s="21"/>
      <c r="CC34" s="21"/>
      <c r="CD34" s="21"/>
      <c r="CE34" s="21"/>
      <c r="CF34" s="21"/>
      <c r="CG34" s="21"/>
      <c r="CH34" s="21"/>
      <c r="CI34" s="21"/>
      <c r="CJ34" s="21"/>
      <c r="CK34" s="21"/>
      <c r="CL34" s="21"/>
      <c r="CM34" s="21"/>
      <c r="CN34" s="21"/>
      <c r="CO34" s="21"/>
      <c r="CP34" s="21"/>
      <c r="CQ34" s="21"/>
      <c r="CR34" s="21"/>
      <c r="CS34" s="21"/>
      <c r="CT34" s="21"/>
      <c r="CU34" s="21"/>
      <c r="CV34" s="21"/>
      <c r="CW34" s="21"/>
      <c r="CX34" s="21"/>
      <c r="CY34" s="21"/>
      <c r="CZ34" s="21"/>
      <c r="DA34" s="21"/>
      <c r="DB34" s="21"/>
      <c r="DC34" s="21"/>
      <c r="DD34" s="21"/>
      <c r="DE34" s="21"/>
      <c r="DF34" s="21"/>
      <c r="DG34" s="21"/>
      <c r="DH34" s="21"/>
      <c r="DI34" s="21"/>
      <c r="DJ34" s="21"/>
      <c r="DK34" s="21"/>
      <c r="DL34" s="21"/>
      <c r="DM34" s="21"/>
      <c r="DN34" s="21"/>
      <c r="DO34" s="21"/>
      <c r="DP34" s="21"/>
      <c r="DQ34" s="21"/>
      <c r="DR34" s="21"/>
      <c r="DS34" s="21"/>
      <c r="DT34" s="21"/>
      <c r="DU34" s="21"/>
      <c r="DV34" s="21"/>
      <c r="DW34" s="21"/>
      <c r="DX34" s="21"/>
      <c r="DY34" s="21"/>
      <c r="DZ34" s="87"/>
      <c r="EA34" s="87"/>
      <c r="EB34" s="87"/>
      <c r="EC34" s="21"/>
      <c r="ED34" s="21"/>
      <c r="EE34" s="21"/>
      <c r="EF34" s="21"/>
      <c r="EG34" s="21"/>
      <c r="EH34" s="21"/>
      <c r="EI34" s="21"/>
      <c r="EJ34" s="21"/>
      <c r="EK34" s="21"/>
      <c r="EL34" s="21"/>
      <c r="EM34" s="21"/>
      <c r="EN34" s="21"/>
      <c r="EO34" s="21"/>
      <c r="EP34" s="21"/>
      <c r="EQ34" s="21"/>
      <c r="ER34" s="21"/>
      <c r="ES34" s="21"/>
      <c r="ET34" s="21"/>
      <c r="EU34" s="21"/>
      <c r="EV34" s="21"/>
      <c r="EW34" s="21"/>
      <c r="EX34" s="21"/>
      <c r="EY34" s="21"/>
      <c r="EZ34" s="21"/>
      <c r="FA34" s="21"/>
      <c r="FB34" s="21"/>
      <c r="FC34" s="21"/>
      <c r="FD34" s="21"/>
      <c r="FE34" s="21"/>
      <c r="FF34" s="21"/>
      <c r="FG34" s="21"/>
      <c r="FH34" s="21"/>
      <c r="FI34" s="21"/>
      <c r="FJ34" s="21"/>
      <c r="FK34" s="21"/>
      <c r="FL34" s="21"/>
      <c r="FM34" s="21"/>
      <c r="FN34" s="21"/>
      <c r="FO34" s="21"/>
      <c r="FP34" s="21"/>
      <c r="FQ34" s="21"/>
      <c r="FR34" s="21"/>
      <c r="FS34" s="21"/>
      <c r="FT34" s="21"/>
      <c r="FU34" s="21"/>
      <c r="FV34" s="21"/>
      <c r="FW34" s="21"/>
      <c r="FX34" s="21"/>
      <c r="FY34" s="21"/>
      <c r="FZ34" s="21"/>
      <c r="GA34" s="21"/>
      <c r="GB34" s="21"/>
      <c r="GC34" s="21"/>
      <c r="GD34" s="21"/>
      <c r="GE34" s="21"/>
      <c r="GF34" s="21"/>
      <c r="GG34" s="21"/>
      <c r="GH34" s="21"/>
      <c r="GI34" s="21"/>
      <c r="GJ34" s="21"/>
      <c r="GK34" s="21"/>
      <c r="GL34" s="21"/>
      <c r="GM34" s="21"/>
      <c r="GN34" s="21"/>
      <c r="GO34" s="21"/>
      <c r="GP34" s="21"/>
      <c r="GQ34" s="21"/>
      <c r="GR34" s="21"/>
      <c r="GS34" s="21"/>
      <c r="GT34" s="21"/>
      <c r="GU34" s="21"/>
      <c r="GV34" s="21"/>
      <c r="GW34" s="21"/>
      <c r="GX34" s="21"/>
      <c r="GY34" s="21"/>
      <c r="GZ34" s="21"/>
      <c r="HA34" s="21"/>
      <c r="HB34" s="21"/>
      <c r="HC34" s="21"/>
      <c r="HD34" s="21"/>
      <c r="HE34" s="21"/>
      <c r="HF34" s="21"/>
      <c r="HG34" s="21"/>
      <c r="HH34" s="21"/>
      <c r="HI34" s="21"/>
      <c r="HJ34" s="21"/>
      <c r="HK34" s="21"/>
      <c r="HL34" s="21"/>
      <c r="HM34" s="21"/>
      <c r="HN34" s="21"/>
      <c r="HO34" s="21"/>
      <c r="HP34" s="21"/>
      <c r="HQ34" s="21"/>
      <c r="HR34" s="21"/>
      <c r="HS34" s="21"/>
      <c r="HT34" s="21"/>
      <c r="HU34" s="21"/>
      <c r="HV34" s="186"/>
      <c r="HW34" s="21"/>
      <c r="HX34" s="21"/>
      <c r="HY34" s="21"/>
      <c r="HZ34" s="21"/>
      <c r="IA34" s="21"/>
      <c r="IB34" s="21"/>
      <c r="IC34" s="21"/>
      <c r="ID34" s="21"/>
      <c r="IE34" s="21"/>
      <c r="IF34" s="21"/>
      <c r="IG34" s="21"/>
      <c r="IH34" s="21"/>
      <c r="II34" s="21"/>
      <c r="IJ34" s="21"/>
      <c r="IK34" s="21"/>
      <c r="IL34" s="21"/>
      <c r="IM34" s="21"/>
      <c r="IN34" s="21"/>
      <c r="IO34" s="21"/>
      <c r="IP34" s="21"/>
      <c r="IQ34" s="21"/>
      <c r="IR34" s="21"/>
      <c r="IS34" s="21"/>
      <c r="IT34" s="21"/>
      <c r="IU34" s="21"/>
      <c r="IV34" s="21"/>
      <c r="IW34" s="21"/>
      <c r="IX34" s="21"/>
      <c r="IY34" s="21"/>
      <c r="IZ34" s="21"/>
      <c r="JA34" s="21"/>
      <c r="JB34" s="21"/>
      <c r="JC34" s="21"/>
      <c r="JD34" s="21"/>
      <c r="JE34" s="21"/>
      <c r="JF34" s="21"/>
      <c r="JG34" s="21"/>
      <c r="JH34" s="21"/>
      <c r="JI34" s="21"/>
      <c r="JJ34" s="21"/>
      <c r="JK34" s="21"/>
      <c r="JL34" s="21"/>
      <c r="JM34" s="21"/>
      <c r="JN34" s="21"/>
      <c r="JO34" s="21"/>
      <c r="JP34" s="21"/>
      <c r="JQ34" s="21"/>
      <c r="JR34" s="21"/>
      <c r="JS34" s="21"/>
      <c r="JT34" s="21"/>
      <c r="JU34" s="21"/>
      <c r="JV34" s="21"/>
      <c r="JW34" s="21"/>
      <c r="JX34" s="21"/>
      <c r="JY34" s="21"/>
      <c r="JZ34" s="21"/>
      <c r="KA34" s="21"/>
      <c r="KB34" s="21"/>
      <c r="KC34" s="21"/>
      <c r="KD34" s="21"/>
      <c r="KE34" s="21"/>
      <c r="KF34" s="21"/>
      <c r="KG34" s="21"/>
      <c r="KH34" s="21"/>
    </row>
    <row r="35" spans="1:294" x14ac:dyDescent="0.25">
      <c r="A35" s="8"/>
      <c r="B35" s="5" t="s">
        <v>116</v>
      </c>
      <c r="C35" s="8"/>
      <c r="D35" s="6" t="str">
        <f>IF(E31=AK2,"typ separatora","")</f>
        <v/>
      </c>
      <c r="E35" s="8" t="s">
        <v>1221</v>
      </c>
      <c r="F35" s="17" t="str">
        <f>IF(AND(E34&lt;&gt;AH8,E34&lt;&gt;AH10,E33=AF7,E35="-"),"należy wskazać typ separatora",IF(AND(E34=AH8,E35&lt;&gt;AP24),"należy zmienić wartość na -",IF(AND(E34=AH10,E35&lt;&gt;AP24),"należy zmienić wartość na -",IF(AND(E33&lt;&gt;AF7,E35&lt;&gt;AP24),"należy zmienić wartość na -",""))))</f>
        <v>należy wskazać typ separatora</v>
      </c>
      <c r="G35" s="1"/>
      <c r="H35" s="1"/>
      <c r="I35" s="1"/>
      <c r="J35" s="1"/>
      <c r="K35" s="1"/>
      <c r="L35" s="5" t="str">
        <f>INDEX(($AI$177:$AJ$186),MATCH(I29,$AH$177:$AH$186,0),MATCH(E39,$AI$176:$AJ$176,0),1)</f>
        <v>BUFEK30/50</v>
      </c>
      <c r="M35" s="11">
        <f>INDEX(cennik!$C$2:$L$529,MATCH($L35,cennik!$B$2:$B$522,0),MATCH(M$28,cennik!$C$1:$L$1,0))</f>
        <v>888530</v>
      </c>
      <c r="N35" s="11" t="str">
        <f>INDEX(cennik!$C$2:$L$529,MATCH($L35,cennik!$B$2:$B$522,0),MATCH(N$28,cennik!$C$1:$L$1,0))</f>
        <v>szt.</v>
      </c>
      <c r="O35" s="14">
        <f>IF($E$30=$AF$28,AI41,IF($E$30=$AF$27,AI40,0))</f>
        <v>0</v>
      </c>
      <c r="P35" s="11">
        <f>INDEX(cennik!$C$2:$L$529,MATCH($L35,cennik!$B$2:$B$522,0),MATCH(P$28,cennik!$C$1:$L$1,0))</f>
        <v>6.2</v>
      </c>
      <c r="Q35" s="14">
        <f t="shared" si="15"/>
        <v>0</v>
      </c>
      <c r="R35" s="14">
        <f t="shared" si="11"/>
        <v>0</v>
      </c>
      <c r="S35" s="34">
        <f t="shared" si="12"/>
        <v>6.2</v>
      </c>
      <c r="T35" s="14">
        <f t="shared" si="16"/>
        <v>0</v>
      </c>
      <c r="U35" s="34">
        <f>INDEX(cennik!$C$2:$L$529,MATCH($L35,cennik!$B$2:$B$522,0),MATCH(U$28,cennik!$C$1:$L$1,0))*O35</f>
        <v>0</v>
      </c>
      <c r="V35" s="21"/>
      <c r="W35" s="21"/>
      <c r="X35" s="21"/>
      <c r="Y35" s="21"/>
      <c r="Z35" s="21"/>
      <c r="AA35" s="21"/>
      <c r="AB35" s="21"/>
      <c r="AC35" s="21"/>
      <c r="AD35" s="21"/>
      <c r="AE35" s="21"/>
      <c r="AF35" s="21"/>
      <c r="AG35" s="21"/>
      <c r="AH35" s="21"/>
      <c r="AI35" s="21"/>
      <c r="AJ35" s="21"/>
      <c r="AK35" s="21"/>
      <c r="AL35" s="21"/>
      <c r="AM35" s="21"/>
      <c r="AN35" s="21"/>
      <c r="AO35" s="21"/>
      <c r="AP35" s="21"/>
      <c r="AQ35" s="21"/>
      <c r="AR35" s="21"/>
      <c r="AS35" s="21"/>
      <c r="AT35" s="21"/>
      <c r="AU35" s="21"/>
      <c r="AV35" s="21"/>
      <c r="AW35" s="21"/>
      <c r="AX35" s="21"/>
      <c r="AY35" s="21"/>
      <c r="AZ35" s="21"/>
      <c r="BA35" s="21"/>
      <c r="BB35" s="21"/>
      <c r="BC35" s="21"/>
      <c r="BD35" s="21"/>
      <c r="BE35" s="21"/>
      <c r="BF35" s="21"/>
      <c r="BG35" s="21"/>
      <c r="BH35" s="21">
        <f t="shared" si="13"/>
        <v>0</v>
      </c>
      <c r="BI35" s="21">
        <f t="shared" si="14"/>
        <v>0</v>
      </c>
      <c r="BJ35" s="21"/>
      <c r="BK35" s="21"/>
      <c r="BL35" s="21"/>
      <c r="BM35" s="21"/>
      <c r="BN35" s="21"/>
      <c r="BO35" s="21"/>
      <c r="BP35" s="21"/>
      <c r="BQ35" s="21"/>
      <c r="BR35" s="21"/>
      <c r="BS35" s="21"/>
      <c r="BT35" s="21"/>
      <c r="BU35" s="21"/>
      <c r="BV35" s="21"/>
      <c r="BW35" s="21"/>
      <c r="BX35" s="21"/>
      <c r="BY35" s="21"/>
      <c r="BZ35" s="21"/>
      <c r="CA35" s="21"/>
      <c r="CB35" s="21"/>
      <c r="CC35" s="21"/>
      <c r="CD35" s="21"/>
      <c r="CE35" s="21"/>
      <c r="CF35" s="21"/>
      <c r="CG35" s="21"/>
      <c r="CH35" s="21"/>
      <c r="CI35" s="21"/>
      <c r="CJ35" s="21"/>
      <c r="CK35" s="21"/>
      <c r="CL35" s="21"/>
      <c r="CM35" s="21"/>
      <c r="CN35" s="21"/>
      <c r="CO35" s="21"/>
      <c r="CP35" s="21"/>
      <c r="CQ35" s="21"/>
      <c r="CR35" s="21"/>
      <c r="CS35" s="21"/>
      <c r="CT35" s="21"/>
      <c r="CU35" s="21"/>
      <c r="CV35" s="21"/>
      <c r="CW35" s="21"/>
      <c r="CX35" s="21"/>
      <c r="CY35" s="21"/>
      <c r="CZ35" s="21"/>
      <c r="DA35" s="21"/>
      <c r="DB35" s="21"/>
      <c r="DC35" s="21"/>
      <c r="DD35" s="21"/>
      <c r="DE35" s="21"/>
      <c r="DF35" s="21"/>
      <c r="DG35" s="21"/>
      <c r="DH35" s="21"/>
      <c r="DI35" s="21"/>
      <c r="DJ35" s="21"/>
      <c r="DK35" s="21"/>
      <c r="DL35" s="21"/>
      <c r="DM35" s="21"/>
      <c r="DN35" s="21"/>
      <c r="DO35" s="21"/>
      <c r="DP35" s="21"/>
      <c r="DQ35" s="21"/>
      <c r="DR35" s="21"/>
      <c r="DS35" s="21"/>
      <c r="DT35" s="21"/>
      <c r="DU35" s="21"/>
      <c r="DV35" s="21"/>
      <c r="DW35" s="21"/>
      <c r="DX35" s="21"/>
      <c r="DY35" s="21"/>
      <c r="DZ35" s="87"/>
      <c r="EA35" s="87"/>
      <c r="EB35" s="87"/>
      <c r="EC35" s="21"/>
      <c r="ED35" s="21"/>
      <c r="EE35" s="21"/>
      <c r="EF35" s="21"/>
      <c r="EG35" s="21"/>
      <c r="EH35" s="21"/>
      <c r="EI35" s="21"/>
      <c r="EJ35" s="21"/>
      <c r="EK35" s="21"/>
      <c r="EL35" s="21"/>
      <c r="EM35" s="21"/>
      <c r="EN35" s="21"/>
      <c r="EO35" s="21"/>
      <c r="EP35" s="21"/>
      <c r="EQ35" s="21"/>
      <c r="ER35" s="21"/>
      <c r="ES35" s="21"/>
      <c r="ET35" s="21"/>
      <c r="EU35" s="21"/>
      <c r="EV35" s="21"/>
      <c r="EW35" s="21"/>
      <c r="EX35" s="21"/>
      <c r="EY35" s="21"/>
      <c r="EZ35" s="21"/>
      <c r="FA35" s="21"/>
      <c r="FB35" s="21"/>
      <c r="FC35" s="21"/>
      <c r="FD35" s="21"/>
      <c r="FE35" s="21"/>
      <c r="FF35" s="21"/>
      <c r="FG35" s="21"/>
      <c r="FH35" s="21"/>
      <c r="FI35" s="21"/>
      <c r="FJ35" s="21"/>
      <c r="FK35" s="21"/>
      <c r="FL35" s="21"/>
      <c r="FM35" s="21"/>
      <c r="FN35" s="21"/>
      <c r="FO35" s="21"/>
      <c r="FP35" s="21"/>
      <c r="FQ35" s="21"/>
      <c r="FR35" s="21"/>
      <c r="FS35" s="21"/>
      <c r="FT35" s="21"/>
      <c r="FU35" s="21"/>
      <c r="FV35" s="21"/>
      <c r="FW35" s="21"/>
      <c r="FX35" s="21"/>
      <c r="FY35" s="21"/>
      <c r="FZ35" s="21"/>
      <c r="GA35" s="21"/>
      <c r="GB35" s="21"/>
      <c r="GC35" s="21"/>
      <c r="GD35" s="21"/>
      <c r="GE35" s="21"/>
      <c r="GF35" s="21"/>
      <c r="GG35" s="21"/>
      <c r="GH35" s="21"/>
      <c r="GI35" s="21"/>
      <c r="GJ35" s="21"/>
      <c r="GK35" s="21"/>
      <c r="GL35" s="21"/>
      <c r="GM35" s="21"/>
      <c r="GN35" s="21"/>
      <c r="GO35" s="21"/>
      <c r="GP35" s="21"/>
      <c r="GQ35" s="21"/>
      <c r="GR35" s="21"/>
      <c r="GS35" s="21"/>
      <c r="GT35" s="21"/>
      <c r="GU35" s="21"/>
      <c r="GV35" s="21"/>
      <c r="GW35" s="21"/>
      <c r="GX35" s="21"/>
      <c r="GY35" s="21"/>
      <c r="GZ35" s="21"/>
      <c r="HA35" s="21"/>
      <c r="HB35" s="21"/>
      <c r="HC35" s="21"/>
      <c r="HD35" s="21"/>
      <c r="HE35" s="21"/>
      <c r="HF35" s="21"/>
      <c r="HG35" s="21"/>
      <c r="HH35" s="21"/>
      <c r="HI35" s="21"/>
      <c r="HJ35" s="21"/>
      <c r="HK35" s="21"/>
      <c r="HL35" s="21"/>
      <c r="HM35" s="21"/>
      <c r="HN35" s="21"/>
      <c r="HO35" s="21"/>
      <c r="HP35" s="21"/>
      <c r="HQ35" s="21"/>
      <c r="HR35" s="21"/>
      <c r="HS35" s="21"/>
      <c r="HT35" s="21"/>
      <c r="HU35" s="21"/>
      <c r="HV35" s="186"/>
      <c r="HW35" s="21"/>
      <c r="HX35" s="21"/>
      <c r="HY35" s="21"/>
      <c r="HZ35" s="21"/>
      <c r="IA35" s="21"/>
      <c r="IB35" s="21"/>
      <c r="IC35" s="21"/>
      <c r="ID35" s="21"/>
      <c r="IE35" s="21"/>
      <c r="IF35" s="21"/>
      <c r="IG35" s="21"/>
      <c r="IH35" s="21"/>
      <c r="II35" s="21"/>
      <c r="IJ35" s="21"/>
      <c r="IK35" s="21"/>
      <c r="IL35" s="21"/>
      <c r="IM35" s="21"/>
      <c r="IN35" s="21"/>
      <c r="IO35" s="21"/>
      <c r="IP35" s="21"/>
      <c r="IQ35" s="21"/>
      <c r="IR35" s="21"/>
      <c r="IS35" s="21"/>
      <c r="IT35" s="21"/>
      <c r="IU35" s="21"/>
      <c r="IV35" s="21"/>
      <c r="IW35" s="21"/>
      <c r="IX35" s="21"/>
      <c r="IY35" s="21"/>
      <c r="IZ35" s="21"/>
      <c r="JA35" s="21"/>
      <c r="JB35" s="21"/>
      <c r="JC35" s="21"/>
      <c r="JD35" s="21"/>
      <c r="JE35" s="21"/>
      <c r="JF35" s="21"/>
      <c r="JG35" s="21"/>
      <c r="JH35" s="21"/>
      <c r="JI35" s="21"/>
      <c r="JJ35" s="21"/>
      <c r="JK35" s="21"/>
      <c r="JL35" s="21"/>
      <c r="JM35" s="21"/>
      <c r="JN35" s="21"/>
      <c r="JO35" s="21"/>
      <c r="JP35" s="21"/>
      <c r="JQ35" s="21"/>
      <c r="JR35" s="21"/>
      <c r="JS35" s="21"/>
      <c r="JT35" s="21"/>
      <c r="JU35" s="21"/>
      <c r="JV35" s="21"/>
      <c r="JW35" s="21"/>
      <c r="JX35" s="21"/>
      <c r="JY35" s="21"/>
      <c r="JZ35" s="21"/>
      <c r="KA35" s="21"/>
      <c r="KB35" s="21"/>
      <c r="KC35" s="21"/>
      <c r="KD35" s="21"/>
      <c r="KE35" s="21"/>
      <c r="KF35" s="21"/>
      <c r="KG35" s="21"/>
      <c r="KH35" s="21"/>
    </row>
    <row r="36" spans="1:294" x14ac:dyDescent="0.25">
      <c r="A36" s="8"/>
      <c r="B36" s="5" t="s">
        <v>116</v>
      </c>
      <c r="C36" s="8"/>
      <c r="D36" s="6" t="s">
        <v>310</v>
      </c>
      <c r="E36" s="8">
        <v>10</v>
      </c>
      <c r="F36" s="1"/>
      <c r="G36" s="1"/>
      <c r="H36" s="1"/>
      <c r="I36" s="1"/>
      <c r="J36" s="1"/>
      <c r="K36" s="1"/>
      <c r="L36" s="5" t="s">
        <v>601</v>
      </c>
      <c r="M36" s="11">
        <f>INDEX(cennik!$C$2:$L$529,MATCH($L36,cennik!$B$2:$B$522,0),MATCH(M$28,cennik!$C$1:$L$1,0))</f>
        <v>858023</v>
      </c>
      <c r="N36" s="11" t="str">
        <f>INDEX(cennik!$C$2:$L$529,MATCH($L36,cennik!$B$2:$B$522,0),MATCH(N$28,cennik!$C$1:$L$1,0))</f>
        <v>szt.</v>
      </c>
      <c r="O36" s="14">
        <f>IF(E33=AF8,O29*2,0)</f>
        <v>0</v>
      </c>
      <c r="P36" s="11">
        <f>INDEX(cennik!$C$2:$L$529,MATCH($L36,cennik!$B$2:$B$522,0),MATCH(P$28,cennik!$C$1:$L$1,0))</f>
        <v>20.399999999999999</v>
      </c>
      <c r="Q36" s="14">
        <f t="shared" si="15"/>
        <v>0</v>
      </c>
      <c r="R36" s="14">
        <f t="shared" si="11"/>
        <v>0</v>
      </c>
      <c r="S36" s="34">
        <f t="shared" si="12"/>
        <v>20.399999999999999</v>
      </c>
      <c r="T36" s="14">
        <f t="shared" si="16"/>
        <v>0</v>
      </c>
      <c r="U36" s="34">
        <f>INDEX(cennik!$C$2:$L$529,MATCH($L36,cennik!$B$2:$B$522,0),MATCH(U$28,cennik!$C$1:$L$1,0))*O36</f>
        <v>0</v>
      </c>
      <c r="V36" s="21"/>
      <c r="W36" s="21"/>
      <c r="X36" s="21"/>
      <c r="Y36" s="21"/>
      <c r="Z36" s="21"/>
      <c r="AA36" s="21"/>
      <c r="AB36" s="21"/>
      <c r="AC36" s="21"/>
      <c r="AD36" s="21"/>
      <c r="AE36" s="21"/>
      <c r="AF36" s="21"/>
      <c r="AG36" s="21"/>
      <c r="AH36" s="21"/>
      <c r="AI36" s="21"/>
      <c r="AJ36" s="21"/>
      <c r="AK36" s="21"/>
      <c r="AL36" s="21"/>
      <c r="AM36" s="21"/>
      <c r="AN36" s="21" t="s">
        <v>1437</v>
      </c>
      <c r="AO36" s="21">
        <f>IF(E34=$AH$8,O29*4,IF(E34=$AH$10,O29*2,0))</f>
        <v>0</v>
      </c>
      <c r="AP36" s="21"/>
      <c r="AQ36" s="21"/>
      <c r="AR36" s="21"/>
      <c r="AS36" s="21"/>
      <c r="AT36" s="21"/>
      <c r="AU36" s="21"/>
      <c r="AV36" s="21"/>
      <c r="AW36" s="21"/>
      <c r="AX36" s="21"/>
      <c r="AY36" s="21"/>
      <c r="AZ36" s="21"/>
      <c r="BA36" s="21"/>
      <c r="BB36" s="21"/>
      <c r="BC36" s="21"/>
      <c r="BD36" s="21"/>
      <c r="BE36" s="21"/>
      <c r="BF36" s="21"/>
      <c r="BG36" s="21"/>
      <c r="BH36" s="21">
        <f t="shared" si="13"/>
        <v>0</v>
      </c>
      <c r="BI36" s="21">
        <f t="shared" si="14"/>
        <v>0</v>
      </c>
      <c r="BJ36" s="21"/>
      <c r="BK36" s="21"/>
      <c r="BL36" s="21"/>
      <c r="BM36" s="21"/>
      <c r="BN36" s="21"/>
      <c r="BO36" s="21"/>
      <c r="BP36" s="21"/>
      <c r="BQ36" s="21"/>
      <c r="BR36" s="21"/>
      <c r="BS36" s="21"/>
      <c r="BT36" s="21"/>
      <c r="BU36" s="21"/>
      <c r="BV36" s="21"/>
      <c r="BW36" s="21"/>
      <c r="BX36" s="21"/>
      <c r="BY36" s="21"/>
      <c r="BZ36" s="21"/>
      <c r="CA36" s="21"/>
      <c r="CB36" s="21"/>
      <c r="CC36" s="21"/>
      <c r="CD36" s="21"/>
      <c r="CE36" s="21"/>
      <c r="CF36" s="21"/>
      <c r="CG36" s="21"/>
      <c r="CH36" s="21"/>
      <c r="CI36" s="21"/>
      <c r="CJ36" s="21"/>
      <c r="CK36" s="21"/>
      <c r="CL36" s="21"/>
      <c r="CM36" s="21"/>
      <c r="CN36" s="21"/>
      <c r="CO36" s="21"/>
      <c r="CP36" s="21"/>
      <c r="CQ36" s="21"/>
      <c r="CR36" s="21"/>
      <c r="CS36" s="21"/>
      <c r="CT36" s="21"/>
      <c r="CU36" s="21"/>
      <c r="CV36" s="21"/>
      <c r="CW36" s="21"/>
      <c r="CX36" s="21"/>
      <c r="CY36" s="21"/>
      <c r="CZ36" s="21"/>
      <c r="DA36" s="21"/>
      <c r="DB36" s="21"/>
      <c r="DC36" s="21"/>
      <c r="DD36" s="21"/>
      <c r="DE36" s="21"/>
      <c r="DF36" s="21"/>
      <c r="DG36" s="21"/>
      <c r="DH36" s="21"/>
      <c r="DI36" s="21"/>
      <c r="DJ36" s="21"/>
      <c r="DK36" s="21"/>
      <c r="DL36" s="21"/>
      <c r="DM36" s="21"/>
      <c r="DN36" s="21"/>
      <c r="DO36" s="21"/>
      <c r="DP36" s="21"/>
      <c r="DQ36" s="21"/>
      <c r="DR36" s="21"/>
      <c r="DS36" s="21"/>
      <c r="DT36" s="21"/>
      <c r="DU36" s="21"/>
      <c r="DV36" s="21"/>
      <c r="DW36" s="21"/>
      <c r="DX36" s="21"/>
      <c r="DY36" s="21"/>
      <c r="DZ36" s="87"/>
      <c r="EA36" s="87"/>
      <c r="EB36" s="87"/>
      <c r="EC36" s="21"/>
      <c r="ED36" s="21"/>
      <c r="EE36" s="21"/>
      <c r="EF36" s="21"/>
      <c r="EG36" s="21"/>
      <c r="EH36" s="21"/>
      <c r="EI36" s="21"/>
      <c r="EJ36" s="21"/>
      <c r="EK36" s="21"/>
      <c r="EL36" s="21"/>
      <c r="EM36" s="21"/>
      <c r="EN36" s="21"/>
      <c r="EO36" s="21"/>
      <c r="EP36" s="21"/>
      <c r="EQ36" s="21"/>
      <c r="ER36" s="21"/>
      <c r="ES36" s="21"/>
      <c r="ET36" s="21"/>
      <c r="EU36" s="21"/>
      <c r="EV36" s="21"/>
      <c r="EW36" s="21"/>
      <c r="EX36" s="21"/>
      <c r="EY36" s="21"/>
      <c r="EZ36" s="21"/>
      <c r="FA36" s="21"/>
      <c r="FB36" s="21"/>
      <c r="FC36" s="21"/>
      <c r="FD36" s="21"/>
      <c r="FE36" s="21"/>
      <c r="FF36" s="21"/>
      <c r="FG36" s="21"/>
      <c r="FH36" s="21"/>
      <c r="FI36" s="21"/>
      <c r="FJ36" s="21"/>
      <c r="FK36" s="21"/>
      <c r="FL36" s="21"/>
      <c r="FM36" s="21"/>
      <c r="FN36" s="21"/>
      <c r="FO36" s="21"/>
      <c r="FP36" s="21"/>
      <c r="FQ36" s="21"/>
      <c r="FR36" s="21"/>
      <c r="FS36" s="21"/>
      <c r="FT36" s="21"/>
      <c r="FU36" s="21"/>
      <c r="FV36" s="21"/>
      <c r="FW36" s="21"/>
      <c r="FX36" s="21"/>
      <c r="FY36" s="21"/>
      <c r="FZ36" s="21"/>
      <c r="GA36" s="21"/>
      <c r="GB36" s="21"/>
      <c r="GC36" s="21"/>
      <c r="GD36" s="21"/>
      <c r="GE36" s="21"/>
      <c r="GF36" s="21"/>
      <c r="GG36" s="21"/>
      <c r="GH36" s="21"/>
      <c r="GI36" s="21"/>
      <c r="GJ36" s="21"/>
      <c r="GK36" s="21"/>
      <c r="GL36" s="21"/>
      <c r="GM36" s="21"/>
      <c r="GN36" s="21"/>
      <c r="GO36" s="21"/>
      <c r="GP36" s="21"/>
      <c r="GQ36" s="21"/>
      <c r="GR36" s="21"/>
      <c r="GS36" s="21"/>
      <c r="GT36" s="21"/>
      <c r="GU36" s="21"/>
      <c r="GV36" s="21"/>
      <c r="GW36" s="21"/>
      <c r="GX36" s="21"/>
      <c r="GY36" s="21"/>
      <c r="GZ36" s="21"/>
      <c r="HA36" s="21"/>
      <c r="HB36" s="21"/>
      <c r="HC36" s="21"/>
      <c r="HD36" s="21"/>
      <c r="HE36" s="21"/>
      <c r="HF36" s="21"/>
      <c r="HG36" s="21"/>
      <c r="HH36" s="21"/>
      <c r="HI36" s="21"/>
      <c r="HJ36" s="21"/>
      <c r="HK36" s="21"/>
      <c r="HL36" s="21"/>
      <c r="HM36" s="21"/>
      <c r="HN36" s="21"/>
      <c r="HO36" s="21"/>
      <c r="HP36" s="21"/>
      <c r="HQ36" s="21"/>
      <c r="HR36" s="21"/>
      <c r="HS36" s="21"/>
      <c r="HT36" s="21"/>
      <c r="HU36" s="21"/>
      <c r="HV36" s="186"/>
      <c r="HW36" s="21"/>
      <c r="HX36" s="21"/>
      <c r="HY36" s="21"/>
      <c r="HZ36" s="21"/>
      <c r="IA36" s="21"/>
      <c r="IB36" s="21"/>
      <c r="IC36" s="21"/>
      <c r="ID36" s="21"/>
      <c r="IE36" s="21"/>
      <c r="IF36" s="21"/>
      <c r="IG36" s="21"/>
      <c r="IH36" s="21"/>
      <c r="II36" s="21"/>
      <c r="IJ36" s="21"/>
      <c r="IK36" s="21"/>
      <c r="IL36" s="21"/>
      <c r="IM36" s="21"/>
      <c r="IN36" s="21"/>
      <c r="IO36" s="21"/>
      <c r="IP36" s="21"/>
      <c r="IQ36" s="21"/>
      <c r="IR36" s="21"/>
      <c r="IS36" s="21"/>
      <c r="IT36" s="21"/>
      <c r="IU36" s="21"/>
      <c r="IV36" s="21"/>
      <c r="IW36" s="21"/>
      <c r="IX36" s="21"/>
      <c r="IY36" s="21"/>
      <c r="IZ36" s="21"/>
      <c r="JA36" s="21"/>
      <c r="JB36" s="21"/>
      <c r="JC36" s="21"/>
      <c r="JD36" s="21"/>
      <c r="JE36" s="21"/>
      <c r="JF36" s="21"/>
      <c r="JG36" s="21"/>
      <c r="JH36" s="21"/>
      <c r="JI36" s="21"/>
      <c r="JJ36" s="21"/>
      <c r="JK36" s="21"/>
      <c r="JL36" s="21"/>
      <c r="JM36" s="21"/>
      <c r="JN36" s="21"/>
      <c r="JO36" s="21"/>
      <c r="JP36" s="21"/>
      <c r="JQ36" s="21"/>
      <c r="JR36" s="21"/>
      <c r="JS36" s="21"/>
      <c r="JT36" s="21"/>
      <c r="JU36" s="21"/>
      <c r="JV36" s="21"/>
      <c r="JW36" s="21"/>
      <c r="JX36" s="21"/>
      <c r="JY36" s="21"/>
      <c r="JZ36" s="21"/>
      <c r="KA36" s="21"/>
      <c r="KB36" s="21"/>
      <c r="KC36" s="21"/>
      <c r="KD36" s="21"/>
      <c r="KE36" s="21"/>
      <c r="KF36" s="21"/>
      <c r="KG36" s="21"/>
      <c r="KH36" s="21"/>
    </row>
    <row r="37" spans="1:294" x14ac:dyDescent="0.25">
      <c r="A37" s="8"/>
      <c r="B37" s="5" t="s">
        <v>116</v>
      </c>
      <c r="C37" s="8"/>
      <c r="D37" s="6" t="s">
        <v>1235</v>
      </c>
      <c r="E37" s="8">
        <v>0</v>
      </c>
      <c r="F37" s="1"/>
      <c r="G37" s="1"/>
      <c r="H37" s="1"/>
      <c r="I37" s="1"/>
      <c r="J37" s="1"/>
      <c r="K37" s="1"/>
      <c r="L37" s="29" t="s">
        <v>1226</v>
      </c>
      <c r="M37" s="11">
        <f>INDEX(cennik!$C$2:$L$529,MATCH($L37,cennik!$B$2:$B$522,0),MATCH(M$28,cennik!$C$1:$L$1,0))</f>
        <v>1618235</v>
      </c>
      <c r="N37" s="11" t="str">
        <f>INDEX(cennik!$C$2:$L$529,MATCH($L37,cennik!$B$2:$B$522,0),MATCH(N$28,cennik!$C$1:$L$1,0))</f>
        <v>mb.</v>
      </c>
      <c r="O37" s="14">
        <f>IF(E31=AK1,0,IF(E31=AK2,(AO41),0))</f>
        <v>0</v>
      </c>
      <c r="P37" s="11">
        <f>INDEX(cennik!$C$2:$L$529,MATCH($L37,cennik!$B$2:$B$522,0),MATCH(P$28,cennik!$C$1:$L$1,0))</f>
        <v>42.28</v>
      </c>
      <c r="Q37" s="14">
        <f t="shared" si="15"/>
        <v>0</v>
      </c>
      <c r="R37" s="14">
        <f t="shared" si="11"/>
        <v>0</v>
      </c>
      <c r="S37" s="34">
        <f t="shared" si="12"/>
        <v>42.28</v>
      </c>
      <c r="T37" s="14">
        <f t="shared" si="16"/>
        <v>0</v>
      </c>
      <c r="U37" s="34">
        <f>INDEX(cennik!$C$2:$L$529,MATCH($L37,cennik!$B$2:$B$522,0),MATCH(U$28,cennik!$C$1:$L$1,0))*O37</f>
        <v>0</v>
      </c>
      <c r="V37" s="21"/>
      <c r="W37" s="21"/>
      <c r="X37" s="21"/>
      <c r="Y37" s="21"/>
      <c r="Z37" s="21"/>
      <c r="AA37" s="21"/>
      <c r="AB37" s="21"/>
      <c r="AC37" s="21"/>
      <c r="AD37" s="21"/>
      <c r="AE37" s="21"/>
      <c r="AF37" s="21"/>
      <c r="AG37" s="21"/>
      <c r="AH37" s="21"/>
      <c r="AI37" s="21"/>
      <c r="AJ37" s="21"/>
      <c r="AK37" s="21"/>
      <c r="AL37" s="21"/>
      <c r="AM37" s="21"/>
      <c r="AN37" s="21" t="s">
        <v>1316</v>
      </c>
      <c r="AO37" s="21">
        <f>IF(E35=$AK$60,O29*3,IF(E34=AH8,O29*2,0))</f>
        <v>0</v>
      </c>
      <c r="AP37" s="21"/>
      <c r="AQ37" s="21"/>
      <c r="AR37" s="21"/>
      <c r="AS37" s="21"/>
      <c r="AT37" s="21"/>
      <c r="AU37" s="21"/>
      <c r="AV37" s="21"/>
      <c r="AW37" s="21"/>
      <c r="AX37" s="21"/>
      <c r="AY37" s="21"/>
      <c r="AZ37" s="21"/>
      <c r="BA37" s="21"/>
      <c r="BB37" s="21"/>
      <c r="BC37" s="21"/>
      <c r="BD37" s="21"/>
      <c r="BE37" s="21"/>
      <c r="BF37" s="21"/>
      <c r="BG37" s="21"/>
      <c r="BH37" s="21">
        <f t="shared" si="13"/>
        <v>0</v>
      </c>
      <c r="BI37" s="21">
        <f t="shared" si="14"/>
        <v>0</v>
      </c>
      <c r="BJ37" s="21"/>
      <c r="BK37" s="21"/>
      <c r="BL37" s="21"/>
      <c r="BM37" s="21"/>
      <c r="BN37" s="21"/>
      <c r="BO37" s="21"/>
      <c r="BP37" s="21"/>
      <c r="BQ37" s="21"/>
      <c r="BR37" s="21"/>
      <c r="BS37" s="21"/>
      <c r="BT37" s="21"/>
      <c r="BU37" s="21"/>
      <c r="BV37" s="21"/>
      <c r="BW37" s="21"/>
      <c r="BX37" s="21"/>
      <c r="BY37" s="21"/>
      <c r="BZ37" s="21"/>
      <c r="CA37" s="21"/>
      <c r="CB37" s="21"/>
      <c r="CC37" s="21"/>
      <c r="CD37" s="21"/>
      <c r="CE37" s="21"/>
      <c r="CF37" s="21"/>
      <c r="CG37" s="21"/>
      <c r="CH37" s="21"/>
      <c r="CI37" s="21"/>
      <c r="CJ37" s="21"/>
      <c r="CK37" s="21"/>
      <c r="CL37" s="21"/>
      <c r="CM37" s="21"/>
      <c r="CN37" s="21"/>
      <c r="CO37" s="21"/>
      <c r="CP37" s="21"/>
      <c r="CQ37" s="21"/>
      <c r="CR37" s="21"/>
      <c r="CS37" s="21"/>
      <c r="CT37" s="21"/>
      <c r="CU37" s="21"/>
      <c r="CV37" s="21"/>
      <c r="CW37" s="21"/>
      <c r="CX37" s="21"/>
      <c r="CY37" s="21"/>
      <c r="CZ37" s="21"/>
      <c r="DA37" s="21"/>
      <c r="DB37" s="21"/>
      <c r="DC37" s="21"/>
      <c r="DD37" s="21"/>
      <c r="DE37" s="21"/>
      <c r="DF37" s="21"/>
      <c r="DG37" s="21"/>
      <c r="DH37" s="21"/>
      <c r="DI37" s="21"/>
      <c r="DJ37" s="21"/>
      <c r="DK37" s="21"/>
      <c r="DL37" s="21"/>
      <c r="DM37" s="21"/>
      <c r="DN37" s="21"/>
      <c r="DO37" s="21"/>
      <c r="DP37" s="21"/>
      <c r="DQ37" s="21"/>
      <c r="DR37" s="21"/>
      <c r="DS37" s="21"/>
      <c r="DT37" s="21"/>
      <c r="DU37" s="21"/>
      <c r="DV37" s="21"/>
      <c r="DW37" s="21"/>
      <c r="DX37" s="21"/>
      <c r="DY37" s="21"/>
      <c r="DZ37" s="87"/>
      <c r="EA37" s="87"/>
      <c r="EB37" s="87"/>
      <c r="EC37" s="21"/>
      <c r="ED37" s="21"/>
      <c r="EE37" s="21"/>
      <c r="EF37" s="21"/>
      <c r="EG37" s="21"/>
      <c r="EH37" s="21"/>
      <c r="EI37" s="21"/>
      <c r="EJ37" s="21"/>
      <c r="EK37" s="21"/>
      <c r="EL37" s="21"/>
      <c r="EM37" s="21"/>
      <c r="EN37" s="21"/>
      <c r="EO37" s="21"/>
      <c r="EP37" s="21"/>
      <c r="EQ37" s="21"/>
      <c r="ER37" s="21"/>
      <c r="ES37" s="21"/>
      <c r="ET37" s="21"/>
      <c r="EU37" s="21"/>
      <c r="EV37" s="21"/>
      <c r="EW37" s="21"/>
      <c r="EX37" s="21"/>
      <c r="EY37" s="21"/>
      <c r="EZ37" s="21"/>
      <c r="FA37" s="21"/>
      <c r="FB37" s="21"/>
      <c r="FC37" s="21"/>
      <c r="FD37" s="21"/>
      <c r="FE37" s="21"/>
      <c r="FF37" s="21"/>
      <c r="FG37" s="21"/>
      <c r="FH37" s="21"/>
      <c r="FI37" s="21"/>
      <c r="FJ37" s="21"/>
      <c r="FK37" s="21"/>
      <c r="FL37" s="21"/>
      <c r="FM37" s="21"/>
      <c r="FN37" s="21"/>
      <c r="FO37" s="21"/>
      <c r="FP37" s="21"/>
      <c r="FQ37" s="21"/>
      <c r="FR37" s="21"/>
      <c r="FS37" s="21"/>
      <c r="FT37" s="21"/>
      <c r="FU37" s="21"/>
      <c r="FV37" s="21"/>
      <c r="FW37" s="21"/>
      <c r="FX37" s="21"/>
      <c r="FY37" s="21"/>
      <c r="FZ37" s="21"/>
      <c r="GA37" s="21"/>
      <c r="GB37" s="21"/>
      <c r="GC37" s="21"/>
      <c r="GD37" s="21"/>
      <c r="GE37" s="21"/>
      <c r="GF37" s="21"/>
      <c r="GG37" s="21"/>
      <c r="GH37" s="21"/>
      <c r="GI37" s="21"/>
      <c r="GJ37" s="21"/>
      <c r="GK37" s="21"/>
      <c r="GL37" s="21"/>
      <c r="GM37" s="21"/>
      <c r="GN37" s="21"/>
      <c r="GO37" s="21"/>
      <c r="GP37" s="21"/>
      <c r="GQ37" s="21"/>
      <c r="GR37" s="21"/>
      <c r="GS37" s="21"/>
      <c r="GT37" s="21"/>
      <c r="GU37" s="21"/>
      <c r="GV37" s="21"/>
      <c r="GW37" s="21"/>
      <c r="GX37" s="21"/>
      <c r="GY37" s="21"/>
      <c r="GZ37" s="21"/>
      <c r="HA37" s="21"/>
      <c r="HB37" s="21"/>
      <c r="HC37" s="21"/>
      <c r="HD37" s="21"/>
      <c r="HE37" s="21"/>
      <c r="HF37" s="21"/>
      <c r="HG37" s="21"/>
      <c r="HH37" s="21"/>
      <c r="HI37" s="21"/>
      <c r="HJ37" s="21"/>
      <c r="HK37" s="21"/>
      <c r="HL37" s="21"/>
      <c r="HM37" s="21"/>
      <c r="HN37" s="21"/>
      <c r="HO37" s="21"/>
      <c r="HP37" s="21"/>
      <c r="HQ37" s="21"/>
      <c r="HR37" s="21"/>
      <c r="HS37" s="21"/>
      <c r="HT37" s="21"/>
      <c r="HU37" s="21"/>
      <c r="HV37" s="186"/>
      <c r="HW37" s="21"/>
      <c r="HX37" s="21"/>
      <c r="HY37" s="21"/>
      <c r="HZ37" s="21"/>
      <c r="IA37" s="21"/>
      <c r="IB37" s="21"/>
      <c r="IC37" s="21"/>
      <c r="ID37" s="21"/>
      <c r="IE37" s="21"/>
      <c r="IF37" s="21"/>
      <c r="IG37" s="21"/>
      <c r="IH37" s="21"/>
      <c r="II37" s="21"/>
      <c r="IJ37" s="21"/>
      <c r="IK37" s="21"/>
      <c r="IL37" s="21"/>
      <c r="IM37" s="21"/>
      <c r="IN37" s="21"/>
      <c r="IO37" s="21"/>
      <c r="IP37" s="21"/>
      <c r="IQ37" s="21"/>
      <c r="IR37" s="21"/>
      <c r="IS37" s="21"/>
      <c r="IT37" s="21"/>
      <c r="IU37" s="21"/>
      <c r="IV37" s="21"/>
      <c r="IW37" s="21"/>
      <c r="IX37" s="21"/>
      <c r="IY37" s="21"/>
      <c r="IZ37" s="21"/>
      <c r="JA37" s="21"/>
      <c r="JB37" s="21"/>
      <c r="JC37" s="21"/>
      <c r="JD37" s="21"/>
      <c r="JE37" s="21"/>
      <c r="JF37" s="21"/>
      <c r="JG37" s="21"/>
      <c r="JH37" s="21"/>
      <c r="JI37" s="21"/>
      <c r="JJ37" s="21"/>
      <c r="JK37" s="21"/>
      <c r="JL37" s="21"/>
      <c r="JM37" s="21"/>
      <c r="JN37" s="21"/>
      <c r="JO37" s="21"/>
      <c r="JP37" s="21"/>
      <c r="JQ37" s="21"/>
      <c r="JR37" s="21"/>
      <c r="JS37" s="21"/>
      <c r="JT37" s="21"/>
      <c r="JU37" s="21"/>
      <c r="JV37" s="21"/>
      <c r="JW37" s="21"/>
      <c r="JX37" s="21"/>
      <c r="JY37" s="21"/>
      <c r="JZ37" s="21"/>
      <c r="KA37" s="21"/>
      <c r="KB37" s="21"/>
      <c r="KC37" s="21"/>
      <c r="KD37" s="21"/>
      <c r="KE37" s="21"/>
      <c r="KF37" s="21"/>
      <c r="KG37" s="21"/>
      <c r="KH37" s="21"/>
    </row>
    <row r="38" spans="1:294" x14ac:dyDescent="0.25">
      <c r="A38" s="8"/>
      <c r="B38" s="5" t="s">
        <v>116</v>
      </c>
      <c r="C38" s="8"/>
      <c r="D38" s="6" t="s">
        <v>162</v>
      </c>
      <c r="E38" s="8">
        <v>0</v>
      </c>
      <c r="F38" s="1"/>
      <c r="G38" s="1"/>
      <c r="H38" s="1"/>
      <c r="I38" s="1"/>
      <c r="J38" s="1"/>
      <c r="K38" s="1"/>
      <c r="L38" s="5" t="str">
        <f>IF(E35=AK7,"SBV95x1100",IF(E34=AH10,"SBV250X350","SBV95x1100"))</f>
        <v>SBV95x1100</v>
      </c>
      <c r="M38" s="11">
        <f>INDEX(cennik!$C$2:$L$529,MATCH($L38,cennik!$B$2:$B$522,0),MATCH(M$28,cennik!$C$1:$L$1,0))</f>
        <v>895511</v>
      </c>
      <c r="N38" s="11" t="str">
        <f>INDEX(cennik!$C$2:$L$529,MATCH($L38,cennik!$B$2:$B$522,0),MATCH(N$28,cennik!$C$1:$L$1,0))</f>
        <v>szt.</v>
      </c>
      <c r="O38" s="14">
        <f>IF(E31=AK1,0,IF(E31=AK2,(AO42),0))</f>
        <v>0</v>
      </c>
      <c r="P38" s="11">
        <f>INDEX(cennik!$C$2:$L$529,MATCH($L38,cennik!$B$2:$B$522,0),MATCH(P$28,cennik!$C$1:$L$1,0))</f>
        <v>4.8</v>
      </c>
      <c r="Q38" s="14">
        <f t="shared" si="15"/>
        <v>0</v>
      </c>
      <c r="R38" s="14">
        <f t="shared" si="11"/>
        <v>0</v>
      </c>
      <c r="S38" s="34">
        <f t="shared" si="12"/>
        <v>4.8</v>
      </c>
      <c r="T38" s="14">
        <f t="shared" si="16"/>
        <v>0</v>
      </c>
      <c r="U38" s="34">
        <f>INDEX(cennik!$C$2:$L$529,MATCH($L38,cennik!$B$2:$B$522,0),MATCH(U$28,cennik!$C$1:$L$1,0))*O38</f>
        <v>0</v>
      </c>
      <c r="V38" s="21"/>
      <c r="W38" s="21"/>
      <c r="X38" s="21"/>
      <c r="Y38" s="21"/>
      <c r="Z38" s="21"/>
      <c r="AA38" s="21"/>
      <c r="AB38" s="21"/>
      <c r="AC38" s="21"/>
      <c r="AD38" s="21"/>
      <c r="AE38" s="21"/>
      <c r="AF38" s="21"/>
      <c r="AG38" s="21"/>
      <c r="AH38" s="21"/>
      <c r="AI38" s="21"/>
      <c r="AJ38" s="21"/>
      <c r="AK38" s="21"/>
      <c r="AL38" s="21"/>
      <c r="AM38" s="21"/>
      <c r="AN38" s="21" t="s">
        <v>6</v>
      </c>
      <c r="AO38" s="21"/>
      <c r="AP38" s="21"/>
      <c r="AQ38" s="21"/>
      <c r="AR38" s="21"/>
      <c r="AS38" s="21"/>
      <c r="AT38" s="21"/>
      <c r="AU38" s="21"/>
      <c r="AV38" s="21"/>
      <c r="AW38" s="21"/>
      <c r="AX38" s="21"/>
      <c r="AY38" s="21"/>
      <c r="AZ38" s="21"/>
      <c r="BA38" s="21"/>
      <c r="BB38" s="21"/>
      <c r="BC38" s="21"/>
      <c r="BD38" s="21"/>
      <c r="BE38" s="21"/>
      <c r="BF38" s="21"/>
      <c r="BG38" s="21"/>
      <c r="BH38" s="21">
        <f t="shared" si="13"/>
        <v>0</v>
      </c>
      <c r="BI38" s="21">
        <f t="shared" si="14"/>
        <v>0</v>
      </c>
      <c r="BJ38" s="21"/>
      <c r="BK38" s="21"/>
      <c r="BL38" s="21"/>
      <c r="BM38" s="21"/>
      <c r="BN38" s="21"/>
      <c r="BO38" s="21"/>
      <c r="BP38" s="21"/>
      <c r="BQ38" s="21"/>
      <c r="BR38" s="21"/>
      <c r="BS38" s="21"/>
      <c r="BT38" s="21"/>
      <c r="BU38" s="21"/>
      <c r="BV38" s="21"/>
      <c r="BW38" s="21"/>
      <c r="BX38" s="21"/>
      <c r="BY38" s="21"/>
      <c r="BZ38" s="21"/>
      <c r="CA38" s="21"/>
      <c r="CB38" s="21"/>
      <c r="CC38" s="21"/>
      <c r="CD38" s="21"/>
      <c r="CE38" s="21"/>
      <c r="CF38" s="21"/>
      <c r="CG38" s="21"/>
      <c r="CH38" s="21"/>
      <c r="CI38" s="21"/>
      <c r="CJ38" s="21"/>
      <c r="CK38" s="21"/>
      <c r="CL38" s="21"/>
      <c r="CM38" s="21"/>
      <c r="CN38" s="21"/>
      <c r="CO38" s="21"/>
      <c r="CP38" s="21"/>
      <c r="CQ38" s="21"/>
      <c r="CR38" s="21"/>
      <c r="CS38" s="21"/>
      <c r="CT38" s="21"/>
      <c r="CU38" s="21"/>
      <c r="CV38" s="21"/>
      <c r="CW38" s="21"/>
      <c r="CX38" s="21"/>
      <c r="CY38" s="21"/>
      <c r="CZ38" s="21"/>
      <c r="DA38" s="21"/>
      <c r="DB38" s="21"/>
      <c r="DC38" s="21"/>
      <c r="DD38" s="21"/>
      <c r="DE38" s="21"/>
      <c r="DF38" s="21"/>
      <c r="DG38" s="21"/>
      <c r="DH38" s="21"/>
      <c r="DI38" s="21"/>
      <c r="DJ38" s="21"/>
      <c r="DK38" s="21"/>
      <c r="DL38" s="21"/>
      <c r="DM38" s="21"/>
      <c r="DN38" s="21"/>
      <c r="DO38" s="21"/>
      <c r="DP38" s="21"/>
      <c r="DQ38" s="21"/>
      <c r="DR38" s="21"/>
      <c r="DS38" s="21"/>
      <c r="DT38" s="21"/>
      <c r="DU38" s="21"/>
      <c r="DV38" s="21"/>
      <c r="DW38" s="21"/>
      <c r="DX38" s="21"/>
      <c r="DY38" s="21"/>
      <c r="DZ38" s="87"/>
      <c r="EA38" s="87"/>
      <c r="EB38" s="87"/>
      <c r="EC38" s="21"/>
      <c r="ED38" s="21"/>
      <c r="EE38" s="21"/>
      <c r="EF38" s="21"/>
      <c r="EG38" s="21"/>
      <c r="EH38" s="21"/>
      <c r="EI38" s="21"/>
      <c r="EJ38" s="21"/>
      <c r="EK38" s="21"/>
      <c r="EL38" s="21"/>
      <c r="EM38" s="21"/>
      <c r="EN38" s="21"/>
      <c r="EO38" s="21"/>
      <c r="EP38" s="21"/>
      <c r="EQ38" s="21"/>
      <c r="ER38" s="21"/>
      <c r="ES38" s="21"/>
      <c r="ET38" s="21"/>
      <c r="EU38" s="21"/>
      <c r="EV38" s="21"/>
      <c r="EW38" s="21"/>
      <c r="EX38" s="21"/>
      <c r="EY38" s="21"/>
      <c r="EZ38" s="21"/>
      <c r="FA38" s="21"/>
      <c r="FB38" s="21"/>
      <c r="FC38" s="21"/>
      <c r="FD38" s="21"/>
      <c r="FE38" s="21"/>
      <c r="FF38" s="21"/>
      <c r="FG38" s="21"/>
      <c r="FH38" s="21"/>
      <c r="FI38" s="21"/>
      <c r="FJ38" s="21"/>
      <c r="FK38" s="21"/>
      <c r="FL38" s="21"/>
      <c r="FM38" s="21"/>
      <c r="FN38" s="21"/>
      <c r="FO38" s="21"/>
      <c r="FP38" s="21"/>
      <c r="FQ38" s="21"/>
      <c r="FR38" s="21"/>
      <c r="FS38" s="21"/>
      <c r="FT38" s="21"/>
      <c r="FU38" s="21"/>
      <c r="FV38" s="21"/>
      <c r="FW38" s="21"/>
      <c r="FX38" s="21"/>
      <c r="FY38" s="21"/>
      <c r="FZ38" s="21"/>
      <c r="GA38" s="21"/>
      <c r="GB38" s="21"/>
      <c r="GC38" s="21"/>
      <c r="GD38" s="21"/>
      <c r="GE38" s="21"/>
      <c r="GF38" s="21"/>
      <c r="GG38" s="21"/>
      <c r="GH38" s="21"/>
      <c r="GI38" s="21"/>
      <c r="GJ38" s="21"/>
      <c r="GK38" s="21"/>
      <c r="GL38" s="21"/>
      <c r="GM38" s="21"/>
      <c r="GN38" s="21"/>
      <c r="GO38" s="21"/>
      <c r="GP38" s="21"/>
      <c r="GQ38" s="21"/>
      <c r="GR38" s="21"/>
      <c r="GS38" s="21"/>
      <c r="GT38" s="21"/>
      <c r="GU38" s="21"/>
      <c r="GV38" s="21"/>
      <c r="GW38" s="21"/>
      <c r="GX38" s="21"/>
      <c r="GY38" s="21"/>
      <c r="GZ38" s="21"/>
      <c r="HA38" s="21"/>
      <c r="HB38" s="21"/>
      <c r="HC38" s="21"/>
      <c r="HD38" s="21"/>
      <c r="HE38" s="21"/>
      <c r="HF38" s="21"/>
      <c r="HG38" s="21"/>
      <c r="HH38" s="21"/>
      <c r="HI38" s="21"/>
      <c r="HJ38" s="21"/>
      <c r="HK38" s="21"/>
      <c r="HL38" s="21"/>
      <c r="HM38" s="21"/>
      <c r="HN38" s="21"/>
      <c r="HO38" s="21"/>
      <c r="HP38" s="21"/>
      <c r="HQ38" s="21"/>
      <c r="HR38" s="21"/>
      <c r="HS38" s="21"/>
      <c r="HT38" s="21"/>
      <c r="HU38" s="21"/>
      <c r="HV38" s="186"/>
      <c r="HW38" s="21"/>
      <c r="HX38" s="21"/>
      <c r="HY38" s="21"/>
      <c r="HZ38" s="21"/>
      <c r="IA38" s="21"/>
      <c r="IB38" s="21"/>
      <c r="IC38" s="21"/>
      <c r="ID38" s="21"/>
      <c r="IE38" s="21"/>
      <c r="IF38" s="21"/>
      <c r="IG38" s="21"/>
      <c r="IH38" s="21"/>
      <c r="II38" s="21"/>
      <c r="IJ38" s="21"/>
      <c r="IK38" s="21"/>
      <c r="IL38" s="21"/>
      <c r="IM38" s="21"/>
      <c r="IN38" s="21"/>
      <c r="IO38" s="21"/>
      <c r="IP38" s="21"/>
      <c r="IQ38" s="21"/>
      <c r="IR38" s="21"/>
      <c r="IS38" s="21"/>
      <c r="IT38" s="21"/>
      <c r="IU38" s="21"/>
      <c r="IV38" s="21"/>
      <c r="IW38" s="21"/>
      <c r="IX38" s="21"/>
      <c r="IY38" s="21"/>
      <c r="IZ38" s="21"/>
      <c r="JA38" s="21"/>
      <c r="JB38" s="21"/>
      <c r="JC38" s="21"/>
      <c r="JD38" s="21"/>
      <c r="JE38" s="21"/>
      <c r="JF38" s="21"/>
      <c r="JG38" s="21"/>
      <c r="JH38" s="21"/>
      <c r="JI38" s="21"/>
      <c r="JJ38" s="21"/>
      <c r="JK38" s="21"/>
      <c r="JL38" s="21"/>
      <c r="JM38" s="21"/>
      <c r="JN38" s="21"/>
      <c r="JO38" s="21"/>
      <c r="JP38" s="21"/>
      <c r="JQ38" s="21"/>
      <c r="JR38" s="21"/>
      <c r="JS38" s="21"/>
      <c r="JT38" s="21"/>
      <c r="JU38" s="21"/>
      <c r="JV38" s="21"/>
      <c r="JW38" s="21"/>
      <c r="JX38" s="21"/>
      <c r="JY38" s="21"/>
      <c r="JZ38" s="21"/>
      <c r="KA38" s="21"/>
      <c r="KB38" s="21"/>
      <c r="KC38" s="21"/>
      <c r="KD38" s="21"/>
      <c r="KE38" s="21"/>
      <c r="KF38" s="21"/>
      <c r="KG38" s="21"/>
      <c r="KH38" s="21"/>
    </row>
    <row r="39" spans="1:294" x14ac:dyDescent="0.25">
      <c r="A39" s="8"/>
      <c r="B39" s="5" t="s">
        <v>116</v>
      </c>
      <c r="C39" s="8"/>
      <c r="D39" s="6" t="s">
        <v>124</v>
      </c>
      <c r="E39" s="8" t="s">
        <v>125</v>
      </c>
      <c r="F39" s="1"/>
      <c r="G39" s="1"/>
      <c r="H39" s="1"/>
      <c r="I39" s="1"/>
      <c r="J39" s="1"/>
      <c r="K39" s="1"/>
      <c r="L39" s="5" t="s">
        <v>707</v>
      </c>
      <c r="M39" s="11">
        <f>INDEX(cennik!$C$2:$L$529,MATCH($L39,cennik!$B$2:$B$522,0),MATCH(M$28,cennik!$C$1:$L$1,0))</f>
        <v>99998301</v>
      </c>
      <c r="N39" s="11" t="str">
        <f>INDEX(cennik!$C$2:$L$529,MATCH($L39,cennik!$B$2:$B$522,0),MATCH(N$28,cennik!$C$1:$L$1,0))</f>
        <v>100 szt.</v>
      </c>
      <c r="O39" s="11">
        <f>ROUNDUP(O41/100,0)</f>
        <v>0</v>
      </c>
      <c r="P39" s="11">
        <f>INDEX(cennik!$C$2:$L$529,MATCH($L39,cennik!$B$2:$B$522,0),MATCH(P$28,cennik!$C$1:$L$1,0))</f>
        <v>48.75</v>
      </c>
      <c r="Q39" s="14">
        <f t="shared" si="15"/>
        <v>0</v>
      </c>
      <c r="R39" s="14">
        <f t="shared" si="11"/>
        <v>0</v>
      </c>
      <c r="S39" s="34">
        <f t="shared" si="12"/>
        <v>48.75</v>
      </c>
      <c r="T39" s="14">
        <f t="shared" si="16"/>
        <v>0</v>
      </c>
      <c r="U39" s="34">
        <f>INDEX(cennik!$C$2:$L$529,MATCH($L39,cennik!$B$2:$B$522,0),MATCH(U$28,cennik!$C$1:$L$1,0))*O39</f>
        <v>0</v>
      </c>
      <c r="V39" s="21"/>
      <c r="W39" s="21"/>
      <c r="X39" s="21"/>
      <c r="Y39" s="21"/>
      <c r="Z39" s="21"/>
      <c r="AA39" s="21"/>
      <c r="AB39" s="21"/>
      <c r="AC39" s="21"/>
      <c r="AD39" s="21"/>
      <c r="AE39" s="21"/>
      <c r="AF39" s="21" cm="1">
        <f t="array" ref="AF39">INDEX(($Y$109:$Y$126),MATCH(E29,$X$109:$X$126,0),0)</f>
        <v>2000</v>
      </c>
      <c r="AG39" s="21"/>
      <c r="AH39" s="21" t="s">
        <v>1255</v>
      </c>
      <c r="AI39" s="21" t="s">
        <v>1256</v>
      </c>
      <c r="AJ39" s="21"/>
      <c r="AK39" s="21"/>
      <c r="AL39" s="21"/>
      <c r="AM39" s="21"/>
      <c r="AN39" s="21" t="s">
        <v>1050</v>
      </c>
      <c r="AO39" s="21"/>
      <c r="AP39" s="21"/>
      <c r="AQ39" s="21"/>
      <c r="AR39" s="21"/>
      <c r="AS39" s="21"/>
      <c r="AT39" s="21"/>
      <c r="AU39" s="21"/>
      <c r="AV39" s="21"/>
      <c r="AW39" s="21"/>
      <c r="AX39" s="21"/>
      <c r="AY39" s="21"/>
      <c r="AZ39" s="21"/>
      <c r="BA39" s="21"/>
      <c r="BB39" s="21"/>
      <c r="BC39" s="21"/>
      <c r="BD39" s="21"/>
      <c r="BE39" s="21"/>
      <c r="BF39" s="21"/>
      <c r="BG39" s="21"/>
      <c r="BH39" s="21">
        <f t="shared" si="13"/>
        <v>0</v>
      </c>
      <c r="BI39" s="21">
        <f t="shared" si="14"/>
        <v>0</v>
      </c>
      <c r="BJ39" s="21"/>
      <c r="BK39" s="21"/>
      <c r="BL39" s="21"/>
      <c r="BM39" s="21"/>
      <c r="BN39" s="21"/>
      <c r="BO39" s="21"/>
      <c r="BP39" s="21"/>
      <c r="BQ39" s="21"/>
      <c r="BR39" s="21"/>
      <c r="BS39" s="21"/>
      <c r="BT39" s="21"/>
      <c r="BU39" s="21"/>
      <c r="BV39" s="21"/>
      <c r="BW39" s="21"/>
      <c r="BX39" s="21"/>
      <c r="BY39" s="21"/>
      <c r="BZ39" s="21"/>
      <c r="CA39" s="21"/>
      <c r="CB39" s="21"/>
      <c r="CC39" s="21"/>
      <c r="CD39" s="21"/>
      <c r="CE39" s="21"/>
      <c r="CF39" s="21"/>
      <c r="CG39" s="21"/>
      <c r="CH39" s="21"/>
      <c r="CI39" s="21"/>
      <c r="CJ39" s="21"/>
      <c r="CK39" s="21"/>
      <c r="CL39" s="21"/>
      <c r="CM39" s="21"/>
      <c r="CN39" s="21"/>
      <c r="CO39" s="21"/>
      <c r="CP39" s="21"/>
      <c r="CQ39" s="21"/>
      <c r="CR39" s="21"/>
      <c r="CS39" s="21"/>
      <c r="CT39" s="21"/>
      <c r="CU39" s="21"/>
      <c r="CV39" s="21"/>
      <c r="CW39" s="21"/>
      <c r="CX39" s="21"/>
      <c r="CY39" s="21"/>
      <c r="CZ39" s="21"/>
      <c r="DA39" s="21"/>
      <c r="DB39" s="21"/>
      <c r="DC39" s="21"/>
      <c r="DD39" s="21"/>
      <c r="DE39" s="21"/>
      <c r="DF39" s="21"/>
      <c r="DG39" s="21"/>
      <c r="DH39" s="21"/>
      <c r="DI39" s="21"/>
      <c r="DJ39" s="21"/>
      <c r="DK39" s="21"/>
      <c r="DL39" s="21"/>
      <c r="DM39" s="21"/>
      <c r="DN39" s="21"/>
      <c r="DO39" s="21"/>
      <c r="DP39" s="21"/>
      <c r="DQ39" s="21"/>
      <c r="DR39" s="21"/>
      <c r="DS39" s="21"/>
      <c r="DT39" s="21"/>
      <c r="DU39" s="21"/>
      <c r="DV39" s="21"/>
      <c r="DW39" s="21"/>
      <c r="DX39" s="21"/>
      <c r="DY39" s="21"/>
      <c r="DZ39" s="87"/>
      <c r="EA39" s="87"/>
      <c r="EB39" s="87"/>
      <c r="EC39" s="21"/>
      <c r="ED39" s="21"/>
      <c r="EE39" s="21"/>
      <c r="EF39" s="21"/>
      <c r="EG39" s="21"/>
      <c r="EH39" s="21"/>
      <c r="EI39" s="21"/>
      <c r="EJ39" s="21"/>
      <c r="EK39" s="21"/>
      <c r="EL39" s="21"/>
      <c r="EM39" s="21"/>
      <c r="EN39" s="21"/>
      <c r="EO39" s="21"/>
      <c r="EP39" s="21"/>
      <c r="EQ39" s="21"/>
      <c r="ER39" s="21"/>
      <c r="ES39" s="21"/>
      <c r="ET39" s="21"/>
      <c r="EU39" s="21"/>
      <c r="EV39" s="21"/>
      <c r="EW39" s="21"/>
      <c r="EX39" s="21"/>
      <c r="EY39" s="21"/>
      <c r="EZ39" s="21"/>
      <c r="FA39" s="21"/>
      <c r="FB39" s="21"/>
      <c r="FC39" s="21"/>
      <c r="FD39" s="21"/>
      <c r="FE39" s="21"/>
      <c r="FF39" s="21"/>
      <c r="FG39" s="21"/>
      <c r="FH39" s="21"/>
      <c r="FI39" s="21"/>
      <c r="FJ39" s="21"/>
      <c r="FK39" s="21"/>
      <c r="FL39" s="21"/>
      <c r="FM39" s="21"/>
      <c r="FN39" s="21"/>
      <c r="FO39" s="21"/>
      <c r="FP39" s="21"/>
      <c r="FQ39" s="21"/>
      <c r="FR39" s="21"/>
      <c r="FS39" s="21"/>
      <c r="FT39" s="21"/>
      <c r="FU39" s="21"/>
      <c r="FV39" s="21"/>
      <c r="FW39" s="21"/>
      <c r="FX39" s="21"/>
      <c r="FY39" s="21"/>
      <c r="FZ39" s="21"/>
      <c r="GA39" s="21"/>
      <c r="GB39" s="21"/>
      <c r="GC39" s="21"/>
      <c r="GD39" s="21"/>
      <c r="GE39" s="21"/>
      <c r="GF39" s="21"/>
      <c r="GG39" s="21"/>
      <c r="GH39" s="21"/>
      <c r="GI39" s="21"/>
      <c r="GJ39" s="21"/>
      <c r="GK39" s="21"/>
      <c r="GL39" s="21"/>
      <c r="GM39" s="21"/>
      <c r="GN39" s="21"/>
      <c r="GO39" s="21"/>
      <c r="GP39" s="21"/>
      <c r="GQ39" s="21"/>
      <c r="GR39" s="21"/>
      <c r="GS39" s="21"/>
      <c r="GT39" s="21"/>
      <c r="GU39" s="21"/>
      <c r="GV39" s="21"/>
      <c r="GW39" s="21"/>
      <c r="GX39" s="21"/>
      <c r="GY39" s="21"/>
      <c r="GZ39" s="21"/>
      <c r="HA39" s="21"/>
      <c r="HB39" s="21"/>
      <c r="HC39" s="21"/>
      <c r="HD39" s="21"/>
      <c r="HE39" s="21"/>
      <c r="HF39" s="21"/>
      <c r="HG39" s="21"/>
      <c r="HH39" s="21"/>
      <c r="HI39" s="21"/>
      <c r="HJ39" s="21"/>
      <c r="HK39" s="21"/>
      <c r="HL39" s="21"/>
      <c r="HM39" s="21"/>
      <c r="HN39" s="21"/>
      <c r="HO39" s="21"/>
      <c r="HP39" s="21"/>
      <c r="HQ39" s="21"/>
      <c r="HR39" s="21"/>
      <c r="HS39" s="21"/>
      <c r="HT39" s="21"/>
      <c r="HU39" s="21"/>
      <c r="HV39" s="186"/>
      <c r="HW39" s="21"/>
      <c r="HX39" s="21"/>
      <c r="HY39" s="21"/>
      <c r="HZ39" s="21"/>
      <c r="IA39" s="21"/>
      <c r="IB39" s="21"/>
      <c r="IC39" s="21"/>
      <c r="ID39" s="21"/>
      <c r="IE39" s="21"/>
      <c r="IF39" s="21"/>
      <c r="IG39" s="21"/>
      <c r="IH39" s="21"/>
      <c r="II39" s="21"/>
      <c r="IJ39" s="21"/>
      <c r="IK39" s="21"/>
      <c r="IL39" s="21"/>
      <c r="IM39" s="21"/>
      <c r="IN39" s="21"/>
      <c r="IO39" s="21"/>
      <c r="IP39" s="21"/>
      <c r="IQ39" s="21"/>
      <c r="IR39" s="21"/>
      <c r="IS39" s="21"/>
      <c r="IT39" s="21"/>
      <c r="IU39" s="21"/>
      <c r="IV39" s="21"/>
      <c r="IW39" s="21"/>
      <c r="IX39" s="21"/>
      <c r="IY39" s="21"/>
      <c r="IZ39" s="21"/>
      <c r="JA39" s="21"/>
      <c r="JB39" s="21"/>
      <c r="JC39" s="21"/>
      <c r="JD39" s="21"/>
      <c r="JE39" s="21"/>
      <c r="JF39" s="21"/>
      <c r="JG39" s="21"/>
      <c r="JH39" s="21"/>
      <c r="JI39" s="21"/>
      <c r="JJ39" s="21"/>
      <c r="JK39" s="21"/>
      <c r="JL39" s="21"/>
      <c r="JM39" s="21"/>
      <c r="JN39" s="21"/>
      <c r="JO39" s="21"/>
      <c r="JP39" s="21"/>
      <c r="JQ39" s="21"/>
      <c r="JR39" s="21"/>
      <c r="JS39" s="21"/>
      <c r="JT39" s="21"/>
      <c r="JU39" s="21"/>
      <c r="JV39" s="21"/>
      <c r="JW39" s="21"/>
      <c r="JX39" s="21"/>
      <c r="JY39" s="21"/>
      <c r="JZ39" s="21"/>
      <c r="KA39" s="21"/>
      <c r="KB39" s="21"/>
      <c r="KC39" s="21"/>
      <c r="KD39" s="21"/>
      <c r="KE39" s="21"/>
      <c r="KF39" s="21"/>
      <c r="KG39" s="21"/>
      <c r="KH39" s="21"/>
    </row>
    <row r="40" spans="1:294" x14ac:dyDescent="0.25">
      <c r="A40" s="8"/>
      <c r="B40" s="5" t="s">
        <v>116</v>
      </c>
      <c r="C40" s="8"/>
      <c r="D40" s="40" t="s">
        <v>941</v>
      </c>
      <c r="E40" s="1"/>
      <c r="F40" s="1"/>
      <c r="G40" s="1"/>
      <c r="H40" s="1"/>
      <c r="I40" s="1"/>
      <c r="J40" s="1"/>
      <c r="K40" s="1"/>
      <c r="L40" s="5" t="s">
        <v>623</v>
      </c>
      <c r="M40" s="11">
        <f>INDEX(cennik!$C$2:$L$529,MATCH($L40,cennik!$B$2:$B$522,0),MATCH(M$28,cennik!$C$1:$L$1,0))</f>
        <v>660944</v>
      </c>
      <c r="N40" s="11" t="str">
        <f>INDEX(cennik!$C$2:$L$529,MATCH($L40,cennik!$B$2:$B$522,0),MATCH(N$28,cennik!$C$1:$L$1,0))</f>
        <v>100 szt.</v>
      </c>
      <c r="O40" s="14">
        <f>O39</f>
        <v>0</v>
      </c>
      <c r="P40" s="11">
        <f>INDEX(cennik!$C$2:$L$529,MATCH($L40,cennik!$B$2:$B$522,0),MATCH(P$28,cennik!$C$1:$L$1,0))</f>
        <v>21.26</v>
      </c>
      <c r="Q40" s="14">
        <f t="shared" si="15"/>
        <v>0</v>
      </c>
      <c r="R40" s="14">
        <f t="shared" si="11"/>
        <v>0</v>
      </c>
      <c r="S40" s="34">
        <f t="shared" si="12"/>
        <v>21.26</v>
      </c>
      <c r="T40" s="14">
        <f t="shared" si="16"/>
        <v>0</v>
      </c>
      <c r="U40" s="34">
        <f>INDEX(cennik!$C$2:$L$529,MATCH($L40,cennik!$B$2:$B$522,0),MATCH(U$28,cennik!$C$1:$L$1,0))*O40</f>
        <v>0</v>
      </c>
      <c r="V40" s="21"/>
      <c r="W40" s="21"/>
      <c r="X40" s="21"/>
      <c r="Y40" s="21"/>
      <c r="Z40" s="21"/>
      <c r="AA40" s="21"/>
      <c r="AB40" s="21"/>
      <c r="AC40" s="21"/>
      <c r="AD40" s="21"/>
      <c r="AE40" s="21"/>
      <c r="AF40" s="21"/>
      <c r="AG40" s="21" t="s">
        <v>1257</v>
      </c>
      <c r="AH40" s="21">
        <f>IF(E32=AF5,0,IF(E32=AF4,SUM(IF(A28=0,0,IF(A28&gt;0,(A28/2-1)*4*C28)),IF(A29=0,0,IF(A29&gt;0,(A29/2-1)*4*C29)),IF(A30=0,0,IF(A30&gt;0,(A30/2-1)*4*C30)),IF(A31=0,0,IF(A31&gt;0,(A31/2-1)*4*C31)),IF(A32=0,0,IF(A32&gt;0,(A32/2-1)*4*C32)),IF(A33=0,0,IF(A33&gt;0,(A33/2-1)*4*C33)),IF(A34=0,0,IF(A34&gt;0,(A34/2-1)*4*C34)),IF(A35=0,0,IF(A35&gt;0,(A35/2-1)*4*C35)),IF(A36=0,0,IF(A36&gt;0,(A36/2-1)*4*C36)),IF(A37=0,0,IF(A37&gt;0,(A37/2-1)*4*C37)),IF(A38=0,0,IF(A38&gt;0,(A38/2-1)*4*C38)),IF(A39=0,0,IF(A39&gt;0,(A39/2-1)*4*C39)),IF(A40=0,0,IF(A40&gt;0,(A40/2-1)*4*C40)),IF(A41=0,0,IF(A41&gt;0,(A41/2-1)*4*C41)),IF(A42=0,0,IF(A42&gt;0,(A42/2-1)*4*C42)),IF(A43=0,0,IF(A43&gt;0,(A43/2-1)*4*C43)))))</f>
        <v>0</v>
      </c>
      <c r="AI40" s="21">
        <f>IF(E32=AF5,0,IF(E32=AF4,SUM(IF(A28=0,0,IF((A28&gt;0),C28*8)),IF(A29=0,0,IF((A29&gt;0),C29*8)),IF(A30=0,0,IF((A30&gt;0),C30*8)),IF(A31=0,0,IF((A31&gt;0),C31*8)),IF(A32=0,0,IF((A32&gt;0),C32*8)),IF(A33=0,0,IF((A33&gt;0),C33*8)),IF(A34=0,0,IF((A34&gt;0),C34*8)),IF(A35=0,0,IF((A35&gt;0),C35*8)),IF(A36=0,0,IF((A36&gt;0),C36*8)),IF(A37=0,0,IF((A37&gt;0),C37*8)),IF(A38=0,0,IF((A38&gt;0),C38*8)),IF(A39=0,0,IF((A39&gt;0),C39*8)),IF(A40=0,0,IF((A40&gt;0),C40*8)),IF(A41=0,0,IF((A41&gt;0),C41*8)),IF(A42=0,0,IF((A42&gt;0),C42*8)),,IF(A43=0,0,IF((A43&gt;0),C43*8)))))</f>
        <v>0</v>
      </c>
      <c r="AJ40" s="21"/>
      <c r="AK40" s="21"/>
      <c r="AL40" s="21"/>
      <c r="AM40" s="21"/>
      <c r="AN40" s="21" t="s">
        <v>601</v>
      </c>
      <c r="AO40" s="21"/>
      <c r="AP40" s="21"/>
      <c r="AQ40" s="21"/>
      <c r="AR40" s="21"/>
      <c r="AS40" s="21"/>
      <c r="AT40" s="21"/>
      <c r="AU40" s="21"/>
      <c r="AV40" s="21"/>
      <c r="AW40" s="21"/>
      <c r="AX40" s="21"/>
      <c r="AY40" s="21"/>
      <c r="AZ40" s="21"/>
      <c r="BA40" s="21"/>
      <c r="BB40" s="21"/>
      <c r="BC40" s="21"/>
      <c r="BD40" s="21"/>
      <c r="BE40" s="21"/>
      <c r="BF40" s="21"/>
      <c r="BG40" s="21"/>
      <c r="BH40" s="21">
        <f t="shared" si="13"/>
        <v>0</v>
      </c>
      <c r="BI40" s="21">
        <f t="shared" si="14"/>
        <v>0</v>
      </c>
      <c r="BJ40" s="21"/>
      <c r="BK40" s="21"/>
      <c r="BL40" s="21"/>
      <c r="BM40" s="21"/>
      <c r="BN40" s="21"/>
      <c r="BO40" s="21"/>
      <c r="BP40" s="21"/>
      <c r="BQ40" s="21"/>
      <c r="BR40" s="21"/>
      <c r="BS40" s="21"/>
      <c r="BT40" s="21"/>
      <c r="BU40" s="21"/>
      <c r="BV40" s="21"/>
      <c r="BW40" s="21"/>
      <c r="BX40" s="21"/>
      <c r="BY40" s="21"/>
      <c r="BZ40" s="21"/>
      <c r="CA40" s="21"/>
      <c r="CB40" s="21"/>
      <c r="CC40" s="21"/>
      <c r="CD40" s="21"/>
      <c r="CE40" s="21"/>
      <c r="CF40" s="21"/>
      <c r="CG40" s="21"/>
      <c r="CH40" s="21"/>
      <c r="CI40" s="21"/>
      <c r="CJ40" s="21"/>
      <c r="CK40" s="21"/>
      <c r="CL40" s="21"/>
      <c r="CM40" s="21"/>
      <c r="CN40" s="21"/>
      <c r="CO40" s="21"/>
      <c r="CP40" s="21"/>
      <c r="CQ40" s="21"/>
      <c r="CR40" s="21"/>
      <c r="CS40" s="21"/>
      <c r="CT40" s="21"/>
      <c r="CU40" s="21"/>
      <c r="CV40" s="21"/>
      <c r="CW40" s="21"/>
      <c r="CX40" s="21"/>
      <c r="CY40" s="21"/>
      <c r="CZ40" s="21"/>
      <c r="DA40" s="21"/>
      <c r="DB40" s="21"/>
      <c r="DC40" s="21"/>
      <c r="DD40" s="21"/>
      <c r="DE40" s="21"/>
      <c r="DF40" s="21"/>
      <c r="DG40" s="21"/>
      <c r="DH40" s="21"/>
      <c r="DI40" s="21"/>
      <c r="DJ40" s="21"/>
      <c r="DK40" s="21"/>
      <c r="DL40" s="21"/>
      <c r="DM40" s="21"/>
      <c r="DN40" s="21"/>
      <c r="DO40" s="21"/>
      <c r="DP40" s="21"/>
      <c r="DQ40" s="21"/>
      <c r="DR40" s="21"/>
      <c r="DS40" s="21"/>
      <c r="DT40" s="21"/>
      <c r="DU40" s="21"/>
      <c r="DV40" s="21"/>
      <c r="DW40" s="21"/>
      <c r="DX40" s="21"/>
      <c r="DY40" s="21"/>
      <c r="DZ40" s="87"/>
      <c r="EA40" s="87"/>
      <c r="EB40" s="87"/>
      <c r="EC40" s="21"/>
      <c r="ED40" s="21"/>
      <c r="EE40" s="21"/>
      <c r="EF40" s="21"/>
      <c r="EG40" s="21"/>
      <c r="EH40" s="21"/>
      <c r="EI40" s="21"/>
      <c r="EJ40" s="21"/>
      <c r="EK40" s="21"/>
      <c r="EL40" s="21"/>
      <c r="EM40" s="21"/>
      <c r="EN40" s="21"/>
      <c r="EO40" s="21"/>
      <c r="EP40" s="21"/>
      <c r="EQ40" s="21"/>
      <c r="ER40" s="21"/>
      <c r="ES40" s="21"/>
      <c r="ET40" s="21"/>
      <c r="EU40" s="21"/>
      <c r="EV40" s="21"/>
      <c r="EW40" s="21"/>
      <c r="EX40" s="21"/>
      <c r="EY40" s="21"/>
      <c r="EZ40" s="21"/>
      <c r="FA40" s="21"/>
      <c r="FB40" s="21"/>
      <c r="FC40" s="21"/>
      <c r="FD40" s="21"/>
      <c r="FE40" s="21"/>
      <c r="FF40" s="21"/>
      <c r="FG40" s="21"/>
      <c r="FH40" s="21"/>
      <c r="FI40" s="21"/>
      <c r="FJ40" s="21"/>
      <c r="FK40" s="21"/>
      <c r="FL40" s="21"/>
      <c r="FM40" s="21"/>
      <c r="FN40" s="21"/>
      <c r="FO40" s="21"/>
      <c r="FP40" s="21"/>
      <c r="FQ40" s="21"/>
      <c r="FR40" s="21"/>
      <c r="FS40" s="21"/>
      <c r="FT40" s="21"/>
      <c r="FU40" s="21"/>
      <c r="FV40" s="21"/>
      <c r="FW40" s="21"/>
      <c r="FX40" s="21"/>
      <c r="FY40" s="21"/>
      <c r="FZ40" s="21"/>
      <c r="GA40" s="21"/>
      <c r="GB40" s="21"/>
      <c r="GC40" s="21"/>
      <c r="GD40" s="21"/>
      <c r="GE40" s="21"/>
      <c r="GF40" s="21"/>
      <c r="GG40" s="21"/>
      <c r="GH40" s="21"/>
      <c r="GI40" s="21"/>
      <c r="GJ40" s="21"/>
      <c r="GK40" s="21"/>
      <c r="GL40" s="21"/>
      <c r="GM40" s="21"/>
      <c r="GN40" s="21"/>
      <c r="GO40" s="21"/>
      <c r="GP40" s="21"/>
      <c r="GQ40" s="21"/>
      <c r="GR40" s="21"/>
      <c r="GS40" s="21"/>
      <c r="GT40" s="21"/>
      <c r="GU40" s="21"/>
      <c r="GV40" s="21"/>
      <c r="GW40" s="21"/>
      <c r="GX40" s="21"/>
      <c r="GY40" s="21"/>
      <c r="GZ40" s="21"/>
      <c r="HA40" s="21"/>
      <c r="HB40" s="21"/>
      <c r="HC40" s="21"/>
      <c r="HD40" s="21"/>
      <c r="HE40" s="21"/>
      <c r="HF40" s="21"/>
      <c r="HG40" s="21"/>
      <c r="HH40" s="21"/>
      <c r="HI40" s="21"/>
      <c r="HJ40" s="21"/>
      <c r="HK40" s="21"/>
      <c r="HL40" s="21"/>
      <c r="HM40" s="21"/>
      <c r="HN40" s="21"/>
      <c r="HO40" s="21"/>
      <c r="HP40" s="21"/>
      <c r="HQ40" s="21"/>
      <c r="HR40" s="21"/>
      <c r="HS40" s="21"/>
      <c r="HT40" s="21"/>
      <c r="HU40" s="21"/>
      <c r="HV40" s="186"/>
      <c r="HW40" s="21"/>
      <c r="HX40" s="21"/>
      <c r="HY40" s="21"/>
      <c r="HZ40" s="21"/>
      <c r="IA40" s="21"/>
      <c r="IB40" s="21"/>
      <c r="IC40" s="21"/>
      <c r="ID40" s="21"/>
      <c r="IE40" s="21"/>
      <c r="IF40" s="21"/>
      <c r="IG40" s="21"/>
      <c r="IH40" s="21"/>
      <c r="II40" s="21"/>
      <c r="IJ40" s="21"/>
      <c r="IK40" s="21"/>
      <c r="IL40" s="21"/>
      <c r="IM40" s="21"/>
      <c r="IN40" s="21"/>
      <c r="IO40" s="21"/>
      <c r="IP40" s="21"/>
      <c r="IQ40" s="21"/>
      <c r="IR40" s="21"/>
      <c r="IS40" s="21"/>
      <c r="IT40" s="21"/>
      <c r="IU40" s="21"/>
      <c r="IV40" s="21"/>
      <c r="IW40" s="21"/>
      <c r="IX40" s="21"/>
      <c r="IY40" s="21"/>
      <c r="IZ40" s="21"/>
      <c r="JA40" s="21"/>
      <c r="JB40" s="21"/>
      <c r="JC40" s="21"/>
      <c r="JD40" s="21"/>
      <c r="JE40" s="21"/>
      <c r="JF40" s="21"/>
      <c r="JG40" s="21"/>
      <c r="JH40" s="21"/>
      <c r="JI40" s="21"/>
      <c r="JJ40" s="21"/>
      <c r="JK40" s="21"/>
      <c r="JL40" s="21"/>
      <c r="JM40" s="21"/>
      <c r="JN40" s="21"/>
      <c r="JO40" s="21"/>
      <c r="JP40" s="21"/>
      <c r="JQ40" s="21"/>
      <c r="JR40" s="21"/>
      <c r="JS40" s="21"/>
      <c r="JT40" s="21"/>
      <c r="JU40" s="21"/>
      <c r="JV40" s="21"/>
      <c r="JW40" s="21"/>
      <c r="JX40" s="21"/>
      <c r="JY40" s="21"/>
      <c r="JZ40" s="21"/>
      <c r="KA40" s="21"/>
      <c r="KB40" s="21"/>
      <c r="KC40" s="21"/>
      <c r="KD40" s="21"/>
      <c r="KE40" s="21"/>
      <c r="KF40" s="21"/>
      <c r="KG40" s="21"/>
      <c r="KH40" s="21"/>
    </row>
    <row r="41" spans="1:294" x14ac:dyDescent="0.25">
      <c r="A41" s="8"/>
      <c r="B41" s="5" t="s">
        <v>116</v>
      </c>
      <c r="C41" s="8"/>
      <c r="D41" s="40" t="s">
        <v>797</v>
      </c>
      <c r="E41" s="1"/>
      <c r="F41" s="1"/>
      <c r="G41" s="1"/>
      <c r="H41" s="1"/>
      <c r="I41" s="1"/>
      <c r="J41" s="1"/>
      <c r="K41" s="1"/>
      <c r="L41" s="5" t="s">
        <v>91</v>
      </c>
      <c r="M41" s="11">
        <f>INDEX(cennik!$C$2:$L$529,MATCH($L41,cennik!$B$2:$B$522,0),MATCH(M$28,cennik!$C$1:$L$1,0))</f>
        <v>890433</v>
      </c>
      <c r="N41" s="11" t="str">
        <f>INDEX(cennik!$C$2:$L$529,MATCH($L41,cennik!$B$2:$B$522,0),MATCH(N$28,cennik!$C$1:$L$1,0))</f>
        <v>szt.</v>
      </c>
      <c r="O41" s="14">
        <f>IF(E33=AF10,O29*4,0)</f>
        <v>0</v>
      </c>
      <c r="P41" s="11">
        <f>INDEX(cennik!$C$2:$L$529,MATCH($L41,cennik!$B$2:$B$522,0),MATCH(P$28,cennik!$C$1:$L$1,0))</f>
        <v>20.36</v>
      </c>
      <c r="Q41" s="14">
        <f t="shared" si="15"/>
        <v>0</v>
      </c>
      <c r="R41" s="14">
        <f t="shared" si="11"/>
        <v>0</v>
      </c>
      <c r="S41" s="34">
        <f t="shared" si="12"/>
        <v>20.36</v>
      </c>
      <c r="T41" s="14">
        <f t="shared" si="16"/>
        <v>0</v>
      </c>
      <c r="U41" s="34">
        <f>INDEX(cennik!$C$2:$L$529,MATCH($L41,cennik!$B$2:$B$522,0),MATCH(U$28,cennik!$C$1:$L$1,0))*O41</f>
        <v>0</v>
      </c>
      <c r="V41" s="21"/>
      <c r="W41" s="21"/>
      <c r="X41" s="21"/>
      <c r="Y41" s="21"/>
      <c r="Z41" s="21"/>
      <c r="AA41" s="21"/>
      <c r="AB41" s="21"/>
      <c r="AC41" s="21"/>
      <c r="AD41" s="21"/>
      <c r="AE41" s="21"/>
      <c r="AF41" s="21"/>
      <c r="AG41" s="21" t="s">
        <v>1258</v>
      </c>
      <c r="AH41" s="21">
        <v>0</v>
      </c>
      <c r="AI41" s="21">
        <f>IF(E32=AF4,(SUM((A28*4*C28),(A29*4*C29),(A30*4*C30),(A31*4*C31),(A32*4*C32),(A33*4*C33),(A34*4*C34),(A35*4*C35),(A36*4*C36),(A37*4*C37),(A38*4*C38),(A39*4*C39),(A40*4*C40),(A41*4*C41),(A42*4*C42),(A43*4*C43))),0)</f>
        <v>0</v>
      </c>
      <c r="AJ41" s="21"/>
      <c r="AK41" s="21"/>
      <c r="AL41" s="21"/>
      <c r="AM41" s="21"/>
      <c r="AN41" s="21" t="s">
        <v>1226</v>
      </c>
      <c r="AO41" s="21">
        <f>(ROUNDUP((IF(E34=AH7,(SUM((A28*C28),(A29*C29),(A30*C30),(A31*C31),(A32*C32),(A33*C33),(A34*C34),(A35*C35),(A36*C36),(A37*C37),(A38*C38),(A39*C39),(A40*C40),(A41*C41),(A42*C42),(A43*C43)))*(AF39/1000),0))/3,0))*3</f>
        <v>0</v>
      </c>
      <c r="AP41" s="21"/>
      <c r="AQ41" s="21"/>
      <c r="AR41" s="21"/>
      <c r="AS41" s="21"/>
      <c r="AT41" s="21"/>
      <c r="AU41" s="21"/>
      <c r="AV41" s="21"/>
      <c r="AW41" s="21"/>
      <c r="AX41" s="21"/>
      <c r="AY41" s="21"/>
      <c r="AZ41" s="21"/>
      <c r="BA41" s="21"/>
      <c r="BB41" s="21"/>
      <c r="BC41" s="21"/>
      <c r="BD41" s="21"/>
      <c r="BE41" s="21"/>
      <c r="BF41" s="21"/>
      <c r="BG41" s="21"/>
      <c r="BH41" s="21">
        <f t="shared" si="13"/>
        <v>0</v>
      </c>
      <c r="BI41" s="21">
        <f t="shared" si="14"/>
        <v>0</v>
      </c>
      <c r="BJ41" s="21"/>
      <c r="BK41" s="21"/>
      <c r="BL41" s="21"/>
      <c r="BM41" s="21"/>
      <c r="BN41" s="21"/>
      <c r="BO41" s="21"/>
      <c r="BP41" s="21"/>
      <c r="BQ41" s="21"/>
      <c r="BR41" s="21"/>
      <c r="BS41" s="21"/>
      <c r="BT41" s="21"/>
      <c r="BU41" s="21"/>
      <c r="BV41" s="21"/>
      <c r="BW41" s="21"/>
      <c r="BX41" s="21"/>
      <c r="BY41" s="21"/>
      <c r="BZ41" s="21"/>
      <c r="CA41" s="21"/>
      <c r="CB41" s="21"/>
      <c r="CC41" s="21"/>
      <c r="CD41" s="21"/>
      <c r="CE41" s="21"/>
      <c r="CF41" s="21"/>
      <c r="CG41" s="21"/>
      <c r="CH41" s="21"/>
      <c r="CI41" s="21"/>
      <c r="CJ41" s="21"/>
      <c r="CK41" s="21"/>
      <c r="CL41" s="21"/>
      <c r="CM41" s="21"/>
      <c r="CN41" s="21"/>
      <c r="CO41" s="21"/>
      <c r="CP41" s="21"/>
      <c r="CQ41" s="21"/>
      <c r="CR41" s="21"/>
      <c r="CS41" s="21"/>
      <c r="CT41" s="21"/>
      <c r="CU41" s="21"/>
      <c r="CV41" s="21"/>
      <c r="CW41" s="21"/>
      <c r="CX41" s="21"/>
      <c r="CY41" s="21"/>
      <c r="CZ41" s="21"/>
      <c r="DA41" s="21"/>
      <c r="DB41" s="21"/>
      <c r="DC41" s="21"/>
      <c r="DD41" s="21"/>
      <c r="DE41" s="21"/>
      <c r="DF41" s="21"/>
      <c r="DG41" s="21"/>
      <c r="DH41" s="21"/>
      <c r="DI41" s="21"/>
      <c r="DJ41" s="21"/>
      <c r="DK41" s="21"/>
      <c r="DL41" s="21"/>
      <c r="DM41" s="21"/>
      <c r="DN41" s="21"/>
      <c r="DO41" s="21"/>
      <c r="DP41" s="21"/>
      <c r="DQ41" s="21"/>
      <c r="DR41" s="21"/>
      <c r="DS41" s="21"/>
      <c r="DT41" s="21"/>
      <c r="DU41" s="21"/>
      <c r="DV41" s="21"/>
      <c r="DW41" s="21"/>
      <c r="DX41" s="21"/>
      <c r="DY41" s="21"/>
      <c r="DZ41" s="87"/>
      <c r="EA41" s="87"/>
      <c r="EB41" s="87"/>
      <c r="EC41" s="21"/>
      <c r="ED41" s="21"/>
      <c r="EE41" s="21"/>
      <c r="EF41" s="21"/>
      <c r="EG41" s="21"/>
      <c r="EH41" s="21"/>
      <c r="EI41" s="21"/>
      <c r="EJ41" s="21"/>
      <c r="EK41" s="21"/>
      <c r="EL41" s="21"/>
      <c r="EM41" s="21"/>
      <c r="EN41" s="21"/>
      <c r="EO41" s="21"/>
      <c r="EP41" s="21"/>
      <c r="EQ41" s="21"/>
      <c r="ER41" s="21"/>
      <c r="ES41" s="21"/>
      <c r="ET41" s="21"/>
      <c r="EU41" s="21"/>
      <c r="EV41" s="21"/>
      <c r="EW41" s="21"/>
      <c r="EX41" s="21"/>
      <c r="EY41" s="21"/>
      <c r="EZ41" s="21"/>
      <c r="FA41" s="21"/>
      <c r="FB41" s="21"/>
      <c r="FC41" s="21"/>
      <c r="FD41" s="21"/>
      <c r="FE41" s="21"/>
      <c r="FF41" s="21"/>
      <c r="FG41" s="21"/>
      <c r="FH41" s="21"/>
      <c r="FI41" s="21"/>
      <c r="FJ41" s="21"/>
      <c r="FK41" s="21"/>
      <c r="FL41" s="21"/>
      <c r="FM41" s="21"/>
      <c r="FN41" s="21"/>
      <c r="FO41" s="21"/>
      <c r="FP41" s="21"/>
      <c r="FQ41" s="21"/>
      <c r="FR41" s="21"/>
      <c r="FS41" s="21"/>
      <c r="FT41" s="21"/>
      <c r="FU41" s="21"/>
      <c r="FV41" s="21"/>
      <c r="FW41" s="21"/>
      <c r="FX41" s="21"/>
      <c r="FY41" s="21"/>
      <c r="FZ41" s="21"/>
      <c r="GA41" s="21"/>
      <c r="GB41" s="21"/>
      <c r="GC41" s="21"/>
      <c r="GD41" s="21"/>
      <c r="GE41" s="21"/>
      <c r="GF41" s="21"/>
      <c r="GG41" s="21"/>
      <c r="GH41" s="21"/>
      <c r="GI41" s="21"/>
      <c r="GJ41" s="21"/>
      <c r="GK41" s="21"/>
      <c r="GL41" s="21"/>
      <c r="GM41" s="21"/>
      <c r="GN41" s="21"/>
      <c r="GO41" s="21"/>
      <c r="GP41" s="21"/>
      <c r="GQ41" s="21"/>
      <c r="GR41" s="21"/>
      <c r="GS41" s="21"/>
      <c r="GT41" s="21"/>
      <c r="GU41" s="21"/>
      <c r="GV41" s="21"/>
      <c r="GW41" s="21"/>
      <c r="GX41" s="21"/>
      <c r="GY41" s="21"/>
      <c r="GZ41" s="21"/>
      <c r="HA41" s="21"/>
      <c r="HB41" s="21"/>
      <c r="HC41" s="21"/>
      <c r="HD41" s="21"/>
      <c r="HE41" s="21"/>
      <c r="HF41" s="21"/>
      <c r="HG41" s="21"/>
      <c r="HH41" s="21"/>
      <c r="HI41" s="21"/>
      <c r="HJ41" s="21"/>
      <c r="HK41" s="21"/>
      <c r="HL41" s="21"/>
      <c r="HM41" s="21"/>
      <c r="HN41" s="21"/>
      <c r="HO41" s="21"/>
      <c r="HP41" s="21"/>
      <c r="HQ41" s="21"/>
      <c r="HR41" s="21"/>
      <c r="HS41" s="21"/>
      <c r="HT41" s="21"/>
      <c r="HU41" s="21"/>
      <c r="HV41" s="186"/>
      <c r="HW41" s="21"/>
      <c r="HX41" s="21"/>
      <c r="HY41" s="21"/>
      <c r="HZ41" s="21"/>
      <c r="IA41" s="21"/>
      <c r="IB41" s="21"/>
      <c r="IC41" s="21"/>
      <c r="ID41" s="21"/>
      <c r="IE41" s="21"/>
      <c r="IF41" s="21"/>
      <c r="IG41" s="21"/>
      <c r="IH41" s="21"/>
      <c r="II41" s="21"/>
      <c r="IJ41" s="21"/>
      <c r="IK41" s="21"/>
      <c r="IL41" s="21"/>
      <c r="IM41" s="21"/>
      <c r="IN41" s="21"/>
      <c r="IO41" s="21"/>
      <c r="IP41" s="21"/>
      <c r="IQ41" s="21"/>
      <c r="IR41" s="21"/>
      <c r="IS41" s="21"/>
      <c r="IT41" s="21"/>
      <c r="IU41" s="21"/>
      <c r="IV41" s="21"/>
      <c r="IW41" s="21"/>
      <c r="IX41" s="21"/>
      <c r="IY41" s="21"/>
      <c r="IZ41" s="21"/>
      <c r="JA41" s="21"/>
      <c r="JB41" s="21"/>
      <c r="JC41" s="21"/>
      <c r="JD41" s="21"/>
      <c r="JE41" s="21"/>
      <c r="JF41" s="21"/>
      <c r="JG41" s="21"/>
      <c r="JH41" s="21"/>
      <c r="JI41" s="21"/>
      <c r="JJ41" s="21"/>
      <c r="JK41" s="21"/>
      <c r="JL41" s="21"/>
      <c r="JM41" s="21"/>
      <c r="JN41" s="21"/>
      <c r="JO41" s="21"/>
      <c r="JP41" s="21"/>
      <c r="JQ41" s="21"/>
      <c r="JR41" s="21"/>
      <c r="JS41" s="21"/>
      <c r="JT41" s="21"/>
      <c r="JU41" s="21"/>
      <c r="JV41" s="21"/>
      <c r="JW41" s="21"/>
      <c r="JX41" s="21"/>
      <c r="JY41" s="21"/>
      <c r="JZ41" s="21"/>
      <c r="KA41" s="21"/>
      <c r="KB41" s="21"/>
      <c r="KC41" s="21"/>
      <c r="KD41" s="21"/>
      <c r="KE41" s="21"/>
      <c r="KF41" s="21"/>
      <c r="KG41" s="21"/>
      <c r="KH41" s="21"/>
    </row>
    <row r="42" spans="1:294" x14ac:dyDescent="0.25">
      <c r="A42" s="8"/>
      <c r="B42" s="5" t="s">
        <v>116</v>
      </c>
      <c r="C42" s="8"/>
      <c r="D42" s="40" t="s">
        <v>942</v>
      </c>
      <c r="E42" s="1"/>
      <c r="F42" s="1"/>
      <c r="G42" s="1"/>
      <c r="H42" s="1"/>
      <c r="I42" s="1"/>
      <c r="J42" s="1"/>
      <c r="K42" s="1"/>
      <c r="L42" s="5" t="s">
        <v>1254</v>
      </c>
      <c r="M42" s="11">
        <f>INDEX(cennik!$C$2:$L$529,MATCH($L42,cennik!$B$2:$B$522,0),MATCH(M$28,cennik!$C$1:$L$1,0))</f>
        <v>856025</v>
      </c>
      <c r="N42" s="11" t="str">
        <f>INDEX(cennik!$C$2:$L$529,MATCH($L42,cennik!$B$2:$B$522,0),MATCH(N$28,cennik!$C$1:$L$1,0))</f>
        <v>szt.</v>
      </c>
      <c r="O42" s="14">
        <f>IF(E31=AK1,0,IF(E31=AK2,(AO46),0))</f>
        <v>0</v>
      </c>
      <c r="P42" s="11">
        <f>INDEX(cennik!$C$2:$L$529,MATCH($L42,cennik!$B$2:$B$522,0),MATCH(P$28,cennik!$C$1:$L$1,0))</f>
        <v>15.23</v>
      </c>
      <c r="Q42" s="14">
        <f t="shared" si="15"/>
        <v>0</v>
      </c>
      <c r="R42" s="14">
        <f t="shared" si="11"/>
        <v>0</v>
      </c>
      <c r="S42" s="34">
        <f t="shared" si="12"/>
        <v>15.23</v>
      </c>
      <c r="T42" s="14">
        <f t="shared" si="16"/>
        <v>0</v>
      </c>
      <c r="U42" s="34">
        <f>INDEX(cennik!$C$2:$L$529,MATCH($L42,cennik!$B$2:$B$522,0),MATCH(U$28,cennik!$C$1:$L$1,0))*O42</f>
        <v>0</v>
      </c>
      <c r="V42" s="21"/>
      <c r="W42" s="21"/>
      <c r="X42" s="21"/>
      <c r="Y42" s="21"/>
      <c r="Z42" s="21"/>
      <c r="AA42" s="21"/>
      <c r="AB42" s="21"/>
      <c r="AC42" s="21"/>
      <c r="AD42" s="21"/>
      <c r="AE42" s="21"/>
      <c r="AF42" s="21"/>
      <c r="AG42" s="21"/>
      <c r="AH42" s="21"/>
      <c r="AI42" s="21"/>
      <c r="AJ42" s="21"/>
      <c r="AK42" s="21"/>
      <c r="AL42" s="21"/>
      <c r="AM42" s="21"/>
      <c r="AN42" s="21" t="s">
        <v>1227</v>
      </c>
      <c r="AO42" s="21">
        <f>IF(E35=$AP$2,O29*3,IF(E34=$AH$10,O32,IF(E35=AK8,O29,IF(E33=AF9,O29,0))))</f>
        <v>0</v>
      </c>
      <c r="AP42" s="21"/>
      <c r="AQ42" s="21"/>
      <c r="AR42" s="21"/>
      <c r="AS42" s="21"/>
      <c r="AT42" s="21"/>
      <c r="AU42" s="21"/>
      <c r="AV42" s="21"/>
      <c r="AW42" s="21"/>
      <c r="AX42" s="21"/>
      <c r="AY42" s="21"/>
      <c r="AZ42" s="21"/>
      <c r="BA42" s="21"/>
      <c r="BB42" s="21"/>
      <c r="BC42" s="21"/>
      <c r="BD42" s="21"/>
      <c r="BE42" s="21"/>
      <c r="BF42" s="21"/>
      <c r="BG42" s="21"/>
      <c r="BH42" s="21">
        <f t="shared" si="13"/>
        <v>0</v>
      </c>
      <c r="BI42" s="21">
        <f t="shared" si="14"/>
        <v>0</v>
      </c>
      <c r="BJ42" s="21"/>
      <c r="BK42" s="21"/>
      <c r="BL42" s="21"/>
      <c r="BM42" s="21"/>
      <c r="BN42" s="21"/>
      <c r="BO42" s="21"/>
      <c r="BP42" s="21"/>
      <c r="BQ42" s="21"/>
      <c r="BR42" s="21"/>
      <c r="BS42" s="21"/>
      <c r="BT42" s="21"/>
      <c r="BU42" s="21"/>
      <c r="BV42" s="21"/>
      <c r="BW42" s="21"/>
      <c r="BX42" s="21"/>
      <c r="BY42" s="21"/>
      <c r="BZ42" s="21"/>
      <c r="CA42" s="21"/>
      <c r="CB42" s="21"/>
      <c r="CC42" s="21"/>
      <c r="CD42" s="21"/>
      <c r="CE42" s="21"/>
      <c r="CF42" s="21"/>
      <c r="CG42" s="21"/>
      <c r="CH42" s="21"/>
      <c r="CI42" s="21"/>
      <c r="CJ42" s="21"/>
      <c r="CK42" s="21"/>
      <c r="CL42" s="21"/>
      <c r="CM42" s="21"/>
      <c r="CN42" s="21"/>
      <c r="CO42" s="21"/>
      <c r="CP42" s="21"/>
      <c r="CQ42" s="21"/>
      <c r="CR42" s="21"/>
      <c r="CS42" s="21"/>
      <c r="CT42" s="21"/>
      <c r="CU42" s="21"/>
      <c r="CV42" s="21"/>
      <c r="CW42" s="21"/>
      <c r="CX42" s="21"/>
      <c r="CY42" s="21"/>
      <c r="CZ42" s="21"/>
      <c r="DA42" s="21"/>
      <c r="DB42" s="21"/>
      <c r="DC42" s="21"/>
      <c r="DD42" s="21"/>
      <c r="DE42" s="21"/>
      <c r="DF42" s="21"/>
      <c r="DG42" s="21"/>
      <c r="DH42" s="21"/>
      <c r="DI42" s="21"/>
      <c r="DJ42" s="21"/>
      <c r="DK42" s="21"/>
      <c r="DL42" s="21"/>
      <c r="DM42" s="21"/>
      <c r="DN42" s="21"/>
      <c r="DO42" s="21"/>
      <c r="DP42" s="21"/>
      <c r="DQ42" s="21"/>
      <c r="DR42" s="21"/>
      <c r="DS42" s="21"/>
      <c r="DT42" s="21"/>
      <c r="DU42" s="21"/>
      <c r="DV42" s="21"/>
      <c r="DW42" s="21"/>
      <c r="DX42" s="21"/>
      <c r="DY42" s="21"/>
      <c r="DZ42" s="87"/>
      <c r="EA42" s="87"/>
      <c r="EB42" s="87"/>
      <c r="EC42" s="21"/>
      <c r="ED42" s="21"/>
      <c r="EE42" s="21"/>
      <c r="EF42" s="21"/>
      <c r="EG42" s="21"/>
      <c r="EH42" s="21"/>
      <c r="EI42" s="21"/>
      <c r="EJ42" s="21"/>
      <c r="EK42" s="21"/>
      <c r="EL42" s="21"/>
      <c r="EM42" s="21"/>
      <c r="EN42" s="21"/>
      <c r="EO42" s="21"/>
      <c r="EP42" s="21"/>
      <c r="EQ42" s="21"/>
      <c r="ER42" s="21"/>
      <c r="ES42" s="21"/>
      <c r="ET42" s="21"/>
      <c r="EU42" s="21"/>
      <c r="EV42" s="21"/>
      <c r="EW42" s="21"/>
      <c r="EX42" s="21"/>
      <c r="EY42" s="21"/>
      <c r="EZ42" s="21"/>
      <c r="FA42" s="21"/>
      <c r="FB42" s="21"/>
      <c r="FC42" s="21"/>
      <c r="FD42" s="21"/>
      <c r="FE42" s="21"/>
      <c r="FF42" s="21"/>
      <c r="FG42" s="21"/>
      <c r="FH42" s="21"/>
      <c r="FI42" s="21"/>
      <c r="FJ42" s="21"/>
      <c r="FK42" s="21"/>
      <c r="FL42" s="21"/>
      <c r="FM42" s="21"/>
      <c r="FN42" s="21"/>
      <c r="FO42" s="21"/>
      <c r="FP42" s="21"/>
      <c r="FQ42" s="21"/>
      <c r="FR42" s="21"/>
      <c r="FS42" s="21"/>
      <c r="FT42" s="21"/>
      <c r="FU42" s="21"/>
      <c r="FV42" s="21"/>
      <c r="FW42" s="21"/>
      <c r="FX42" s="21"/>
      <c r="FY42" s="21"/>
      <c r="FZ42" s="21"/>
      <c r="GA42" s="21"/>
      <c r="GB42" s="21"/>
      <c r="GC42" s="21"/>
      <c r="GD42" s="21"/>
      <c r="GE42" s="21"/>
      <c r="GF42" s="21"/>
      <c r="GG42" s="21"/>
      <c r="GH42" s="21"/>
      <c r="GI42" s="21"/>
      <c r="GJ42" s="21"/>
      <c r="GK42" s="21"/>
      <c r="GL42" s="21"/>
      <c r="GM42" s="21"/>
      <c r="GN42" s="21"/>
      <c r="GO42" s="21"/>
      <c r="GP42" s="21"/>
      <c r="GQ42" s="21"/>
      <c r="GR42" s="21"/>
      <c r="GS42" s="21"/>
      <c r="GT42" s="21"/>
      <c r="GU42" s="21"/>
      <c r="GV42" s="21"/>
      <c r="GW42" s="21"/>
      <c r="GX42" s="21"/>
      <c r="GY42" s="21"/>
      <c r="GZ42" s="21"/>
      <c r="HA42" s="21"/>
      <c r="HB42" s="21"/>
      <c r="HC42" s="21"/>
      <c r="HD42" s="21"/>
      <c r="HE42" s="21"/>
      <c r="HF42" s="21"/>
      <c r="HG42" s="21"/>
      <c r="HH42" s="21"/>
      <c r="HI42" s="21"/>
      <c r="HJ42" s="21"/>
      <c r="HK42" s="21"/>
      <c r="HL42" s="21"/>
      <c r="HM42" s="21"/>
      <c r="HN42" s="21"/>
      <c r="HO42" s="21"/>
      <c r="HP42" s="21"/>
      <c r="HQ42" s="21"/>
      <c r="HR42" s="21"/>
      <c r="HS42" s="21"/>
      <c r="HT42" s="21"/>
      <c r="HU42" s="21"/>
      <c r="HV42" s="186"/>
      <c r="HW42" s="21"/>
      <c r="HX42" s="21"/>
      <c r="HY42" s="21"/>
      <c r="HZ42" s="21"/>
      <c r="IA42" s="21"/>
      <c r="IB42" s="21"/>
      <c r="IC42" s="21"/>
      <c r="ID42" s="21"/>
      <c r="IE42" s="21"/>
      <c r="IF42" s="21"/>
      <c r="IG42" s="21"/>
      <c r="IH42" s="21"/>
      <c r="II42" s="21"/>
      <c r="IJ42" s="21"/>
      <c r="IK42" s="21"/>
      <c r="IL42" s="21"/>
      <c r="IM42" s="21"/>
      <c r="IN42" s="21"/>
      <c r="IO42" s="21"/>
      <c r="IP42" s="21"/>
      <c r="IQ42" s="21"/>
      <c r="IR42" s="21"/>
      <c r="IS42" s="21"/>
      <c r="IT42" s="21"/>
      <c r="IU42" s="21"/>
      <c r="IV42" s="21"/>
      <c r="IW42" s="21"/>
      <c r="IX42" s="21"/>
      <c r="IY42" s="21"/>
      <c r="IZ42" s="21"/>
      <c r="JA42" s="21"/>
      <c r="JB42" s="21"/>
      <c r="JC42" s="21"/>
      <c r="JD42" s="21"/>
      <c r="JE42" s="21"/>
      <c r="JF42" s="21"/>
      <c r="JG42" s="21"/>
      <c r="JH42" s="21"/>
      <c r="JI42" s="21"/>
      <c r="JJ42" s="21"/>
      <c r="JK42" s="21"/>
      <c r="JL42" s="21"/>
      <c r="JM42" s="21"/>
      <c r="JN42" s="21"/>
      <c r="JO42" s="21"/>
      <c r="JP42" s="21"/>
      <c r="JQ42" s="21"/>
      <c r="JR42" s="21"/>
      <c r="JS42" s="21"/>
      <c r="JT42" s="21"/>
      <c r="JU42" s="21"/>
      <c r="JV42" s="21"/>
      <c r="JW42" s="21"/>
      <c r="JX42" s="21"/>
      <c r="JY42" s="21"/>
      <c r="JZ42" s="21"/>
      <c r="KA42" s="21"/>
      <c r="KB42" s="21"/>
      <c r="KC42" s="21"/>
      <c r="KD42" s="21"/>
      <c r="KE42" s="21"/>
      <c r="KF42" s="21"/>
      <c r="KG42" s="21"/>
      <c r="KH42" s="21"/>
    </row>
    <row r="43" spans="1:294" x14ac:dyDescent="0.25">
      <c r="A43" s="8"/>
      <c r="B43" s="5" t="s">
        <v>116</v>
      </c>
      <c r="C43" s="8"/>
      <c r="D43" s="40" t="s">
        <v>943</v>
      </c>
      <c r="E43" s="1"/>
      <c r="F43" s="1"/>
      <c r="G43" s="1"/>
      <c r="H43" s="1"/>
      <c r="I43" s="1"/>
      <c r="J43" s="1"/>
      <c r="K43" s="1"/>
      <c r="L43" s="5" t="s">
        <v>1436</v>
      </c>
      <c r="M43" s="11">
        <f>INDEX(cennik!$C$2:$L$529,MATCH($L43,cennik!$B$2:$B$522,0),MATCH(M$28,cennik!$C$1:$L$1,0))</f>
        <v>858435</v>
      </c>
      <c r="N43" s="11" t="str">
        <f>INDEX(cennik!$C$2:$L$529,MATCH($L43,cennik!$B$2:$B$522,0),MATCH(N$28,cennik!$C$1:$L$1,0))</f>
        <v>szt.</v>
      </c>
      <c r="O43" s="14">
        <f>IF(E31=AK1,0,IF(E31=AK2,(AO47),0))</f>
        <v>0</v>
      </c>
      <c r="P43" s="11">
        <f>INDEX(cennik!$C$2:$L$529,MATCH($L43,cennik!$B$2:$B$522,0),MATCH(P$28,cennik!$C$1:$L$1,0))</f>
        <v>6.8</v>
      </c>
      <c r="Q43" s="14">
        <f t="shared" si="15"/>
        <v>0</v>
      </c>
      <c r="R43" s="14">
        <f t="shared" si="11"/>
        <v>0</v>
      </c>
      <c r="S43" s="34">
        <f t="shared" si="12"/>
        <v>6.8</v>
      </c>
      <c r="T43" s="14">
        <f t="shared" si="16"/>
        <v>0</v>
      </c>
      <c r="U43" s="34">
        <f>INDEX(cennik!$C$2:$L$529,MATCH($L43,cennik!$B$2:$B$522,0),MATCH(U$28,cennik!$C$1:$L$1,0))*O43</f>
        <v>0</v>
      </c>
      <c r="V43" s="21"/>
      <c r="W43" s="21"/>
      <c r="X43" s="21"/>
      <c r="Y43" s="21"/>
      <c r="Z43" s="21"/>
      <c r="AA43" s="21"/>
      <c r="AB43" s="21"/>
      <c r="AC43" s="21"/>
      <c r="AD43" s="21"/>
      <c r="AE43" s="21"/>
      <c r="AF43" s="21"/>
      <c r="AG43" s="21"/>
      <c r="AH43" s="21"/>
      <c r="AI43" s="21"/>
      <c r="AJ43" s="21"/>
      <c r="AK43" s="21"/>
      <c r="AL43" s="21"/>
      <c r="AM43" s="21"/>
      <c r="AN43" s="21" t="s">
        <v>707</v>
      </c>
      <c r="AO43" s="21"/>
      <c r="AP43" s="21"/>
      <c r="AQ43" s="21"/>
      <c r="AR43" s="21"/>
      <c r="AS43" s="21"/>
      <c r="AT43" s="21"/>
      <c r="AU43" s="21"/>
      <c r="AV43" s="21"/>
      <c r="AW43" s="21"/>
      <c r="AX43" s="21"/>
      <c r="AY43" s="21"/>
      <c r="AZ43" s="21"/>
      <c r="BA43" s="21"/>
      <c r="BB43" s="21"/>
      <c r="BC43" s="21"/>
      <c r="BD43" s="21"/>
      <c r="BE43" s="21"/>
      <c r="BF43" s="21"/>
      <c r="BG43" s="21"/>
      <c r="BH43" s="21">
        <f t="shared" si="13"/>
        <v>0</v>
      </c>
      <c r="BI43" s="21">
        <f t="shared" si="14"/>
        <v>0</v>
      </c>
      <c r="BJ43" s="21"/>
      <c r="BK43" s="21"/>
      <c r="BL43" s="21"/>
      <c r="BM43" s="21"/>
      <c r="BN43" s="21"/>
      <c r="BO43" s="21"/>
      <c r="BP43" s="21"/>
      <c r="BQ43" s="21"/>
      <c r="BR43" s="21"/>
      <c r="BS43" s="21"/>
      <c r="BT43" s="21"/>
      <c r="BU43" s="21"/>
      <c r="BV43" s="21"/>
      <c r="BW43" s="21"/>
      <c r="BX43" s="21"/>
      <c r="BY43" s="21"/>
      <c r="BZ43" s="21"/>
      <c r="CA43" s="21"/>
      <c r="CB43" s="21"/>
      <c r="CC43" s="21"/>
      <c r="CD43" s="21"/>
      <c r="CE43" s="21"/>
      <c r="CF43" s="21"/>
      <c r="CG43" s="21"/>
      <c r="CH43" s="21"/>
      <c r="CI43" s="21"/>
      <c r="CJ43" s="21"/>
      <c r="CK43" s="21"/>
      <c r="CL43" s="21"/>
      <c r="CM43" s="21"/>
      <c r="CN43" s="21"/>
      <c r="CO43" s="21"/>
      <c r="CP43" s="21"/>
      <c r="CQ43" s="21"/>
      <c r="CR43" s="21"/>
      <c r="CS43" s="21"/>
      <c r="CT43" s="21"/>
      <c r="CU43" s="21"/>
      <c r="CV43" s="21"/>
      <c r="CW43" s="21"/>
      <c r="CX43" s="21"/>
      <c r="CY43" s="21"/>
      <c r="CZ43" s="21"/>
      <c r="DA43" s="21"/>
      <c r="DB43" s="21"/>
      <c r="DC43" s="21"/>
      <c r="DD43" s="21"/>
      <c r="DE43" s="21"/>
      <c r="DF43" s="21"/>
      <c r="DG43" s="21"/>
      <c r="DH43" s="21"/>
      <c r="DI43" s="21"/>
      <c r="DJ43" s="21"/>
      <c r="DK43" s="21"/>
      <c r="DL43" s="21"/>
      <c r="DM43" s="21"/>
      <c r="DN43" s="21"/>
      <c r="DO43" s="21"/>
      <c r="DP43" s="21"/>
      <c r="DQ43" s="21"/>
      <c r="DR43" s="21"/>
      <c r="DS43" s="21"/>
      <c r="DT43" s="21"/>
      <c r="DU43" s="21"/>
      <c r="DV43" s="21"/>
      <c r="DW43" s="21"/>
      <c r="DX43" s="21"/>
      <c r="DY43" s="21"/>
      <c r="DZ43" s="87"/>
      <c r="EA43" s="87"/>
      <c r="EB43" s="87"/>
      <c r="EC43" s="21"/>
      <c r="ED43" s="21"/>
      <c r="EE43" s="21"/>
      <c r="EF43" s="21"/>
      <c r="EG43" s="21"/>
      <c r="EH43" s="21"/>
      <c r="EI43" s="21"/>
      <c r="EJ43" s="21"/>
      <c r="EK43" s="21"/>
      <c r="EL43" s="21"/>
      <c r="EM43" s="21"/>
      <c r="EN43" s="21"/>
      <c r="EO43" s="21"/>
      <c r="EP43" s="21"/>
      <c r="EQ43" s="21"/>
      <c r="ER43" s="21"/>
      <c r="ES43" s="21"/>
      <c r="ET43" s="21"/>
      <c r="EU43" s="21"/>
      <c r="EV43" s="21"/>
      <c r="EW43" s="21"/>
      <c r="EX43" s="21"/>
      <c r="EY43" s="21"/>
      <c r="EZ43" s="21"/>
      <c r="FA43" s="21"/>
      <c r="FB43" s="21"/>
      <c r="FC43" s="21"/>
      <c r="FD43" s="21"/>
      <c r="FE43" s="21"/>
      <c r="FF43" s="21"/>
      <c r="FG43" s="21"/>
      <c r="FH43" s="21"/>
      <c r="FI43" s="21"/>
      <c r="FJ43" s="21"/>
      <c r="FK43" s="21"/>
      <c r="FL43" s="21"/>
      <c r="FM43" s="21"/>
      <c r="FN43" s="21"/>
      <c r="FO43" s="21"/>
      <c r="FP43" s="21"/>
      <c r="FQ43" s="21"/>
      <c r="FR43" s="21"/>
      <c r="FS43" s="21"/>
      <c r="FT43" s="21"/>
      <c r="FU43" s="21"/>
      <c r="FV43" s="21"/>
      <c r="FW43" s="21"/>
      <c r="FX43" s="21"/>
      <c r="FY43" s="21"/>
      <c r="FZ43" s="21"/>
      <c r="GA43" s="21"/>
      <c r="GB43" s="21"/>
      <c r="GC43" s="21"/>
      <c r="GD43" s="21"/>
      <c r="GE43" s="21"/>
      <c r="GF43" s="21"/>
      <c r="GG43" s="21"/>
      <c r="GH43" s="21"/>
      <c r="GI43" s="21"/>
      <c r="GJ43" s="21"/>
      <c r="GK43" s="21"/>
      <c r="GL43" s="21"/>
      <c r="GM43" s="21"/>
      <c r="GN43" s="21"/>
      <c r="GO43" s="21"/>
      <c r="GP43" s="21"/>
      <c r="GQ43" s="21"/>
      <c r="GR43" s="21"/>
      <c r="GS43" s="21"/>
      <c r="GT43" s="21"/>
      <c r="GU43" s="21"/>
      <c r="GV43" s="21"/>
      <c r="GW43" s="21"/>
      <c r="GX43" s="21"/>
      <c r="GY43" s="21"/>
      <c r="GZ43" s="21"/>
      <c r="HA43" s="21"/>
      <c r="HB43" s="21"/>
      <c r="HC43" s="21"/>
      <c r="HD43" s="21"/>
      <c r="HE43" s="21"/>
      <c r="HF43" s="21"/>
      <c r="HG43" s="21"/>
      <c r="HH43" s="21"/>
      <c r="HI43" s="21"/>
      <c r="HJ43" s="21"/>
      <c r="HK43" s="21"/>
      <c r="HL43" s="21"/>
      <c r="HM43" s="21"/>
      <c r="HN43" s="21"/>
      <c r="HO43" s="21"/>
      <c r="HP43" s="21"/>
      <c r="HQ43" s="21"/>
      <c r="HR43" s="21"/>
      <c r="HS43" s="21"/>
      <c r="HT43" s="21"/>
      <c r="HU43" s="21"/>
      <c r="HV43" s="186"/>
      <c r="HW43" s="21"/>
      <c r="HX43" s="21"/>
      <c r="HY43" s="21"/>
      <c r="HZ43" s="21"/>
      <c r="IA43" s="21"/>
      <c r="IB43" s="21"/>
      <c r="IC43" s="21"/>
      <c r="ID43" s="21"/>
      <c r="IE43" s="21"/>
      <c r="IF43" s="21"/>
      <c r="IG43" s="21"/>
      <c r="IH43" s="21"/>
      <c r="II43" s="21"/>
      <c r="IJ43" s="21"/>
      <c r="IK43" s="21"/>
      <c r="IL43" s="21"/>
      <c r="IM43" s="21"/>
      <c r="IN43" s="21"/>
      <c r="IO43" s="21"/>
      <c r="IP43" s="21"/>
      <c r="IQ43" s="21"/>
      <c r="IR43" s="21"/>
      <c r="IS43" s="21"/>
      <c r="IT43" s="21"/>
      <c r="IU43" s="21"/>
      <c r="IV43" s="21"/>
      <c r="IW43" s="21"/>
      <c r="IX43" s="21"/>
      <c r="IY43" s="21"/>
      <c r="IZ43" s="21"/>
      <c r="JA43" s="21"/>
      <c r="JB43" s="21"/>
      <c r="JC43" s="21"/>
      <c r="JD43" s="21"/>
      <c r="JE43" s="21"/>
      <c r="JF43" s="21"/>
      <c r="JG43" s="21"/>
      <c r="JH43" s="21"/>
      <c r="JI43" s="21"/>
      <c r="JJ43" s="21"/>
      <c r="JK43" s="21"/>
      <c r="JL43" s="21"/>
      <c r="JM43" s="21"/>
      <c r="JN43" s="21"/>
      <c r="JO43" s="21"/>
      <c r="JP43" s="21"/>
      <c r="JQ43" s="21"/>
      <c r="JR43" s="21"/>
      <c r="JS43" s="21"/>
      <c r="JT43" s="21"/>
      <c r="JU43" s="21"/>
      <c r="JV43" s="21"/>
      <c r="JW43" s="21"/>
      <c r="JX43" s="21"/>
      <c r="JY43" s="21"/>
      <c r="JZ43" s="21"/>
      <c r="KA43" s="21"/>
      <c r="KB43" s="21"/>
      <c r="KC43" s="21"/>
      <c r="KD43" s="21"/>
      <c r="KE43" s="21"/>
      <c r="KF43" s="21"/>
      <c r="KG43" s="21"/>
      <c r="KH43" s="21"/>
    </row>
    <row r="44" spans="1:294" x14ac:dyDescent="0.25">
      <c r="A44" s="1"/>
      <c r="B44" s="1"/>
      <c r="C44" s="1"/>
      <c r="D44" s="1"/>
      <c r="E44" s="1"/>
      <c r="F44" s="17" t="str">
        <f>IF(E33=AF9,"PROPOZYCJA KOTEW- DO WERFIKACJI","")</f>
        <v/>
      </c>
      <c r="G44" s="1"/>
      <c r="H44" s="1"/>
      <c r="I44" s="1"/>
      <c r="J44" s="1"/>
      <c r="K44" s="1"/>
      <c r="L44" s="5" t="s">
        <v>1435</v>
      </c>
      <c r="M44" s="11">
        <f>INDEX(cennik!$C$2:$L$529,MATCH($L44,cennik!$B$2:$B$522,0),MATCH(M$28,cennik!$C$1:$L$1,0))</f>
        <v>650875</v>
      </c>
      <c r="N44" s="11" t="str">
        <f>INDEX(cennik!$C$2:$L$529,MATCH($L44,cennik!$B$2:$B$522,0),MATCH(N$28,cennik!$C$1:$L$1,0))</f>
        <v>szt.</v>
      </c>
      <c r="O44" s="14">
        <f>IF(E5=AK1,0,IF(E5=AK2,(AO48),0))</f>
        <v>0</v>
      </c>
      <c r="P44" s="11">
        <f>INDEX(cennik!$C$2:$L$529,MATCH($L44,cennik!$B$2:$B$522,0),MATCH(P$28,cennik!$C$1:$L$1,0))</f>
        <v>2.65</v>
      </c>
      <c r="Q44" s="14">
        <f t="shared" si="15"/>
        <v>0</v>
      </c>
      <c r="R44" s="14">
        <f t="shared" si="11"/>
        <v>0</v>
      </c>
      <c r="S44" s="34">
        <f t="shared" si="12"/>
        <v>2.65</v>
      </c>
      <c r="T44" s="14">
        <f t="shared" si="16"/>
        <v>0</v>
      </c>
      <c r="U44" s="34">
        <f>INDEX(cennik!$C$2:$L$529,MATCH($L44,cennik!$B$2:$B$522,0),MATCH(U$28,cennik!$C$1:$L$1,0))*O44</f>
        <v>0</v>
      </c>
      <c r="V44" s="21"/>
      <c r="W44" s="21"/>
      <c r="X44" s="21"/>
      <c r="Y44" s="21"/>
      <c r="Z44" s="21"/>
      <c r="AA44" s="21"/>
      <c r="AB44" s="21"/>
      <c r="AC44" s="21"/>
      <c r="AD44" s="21"/>
      <c r="AE44" s="21"/>
      <c r="AF44" s="21"/>
      <c r="AG44" s="21"/>
      <c r="AH44" s="21"/>
      <c r="AI44" s="21"/>
      <c r="AJ44" s="21"/>
      <c r="AK44" s="21"/>
      <c r="AL44" s="21"/>
      <c r="AM44" s="21"/>
      <c r="AN44" s="21" t="s">
        <v>623</v>
      </c>
      <c r="AO44" s="21"/>
      <c r="AP44" s="21"/>
      <c r="AQ44" s="21"/>
      <c r="AR44" s="21"/>
      <c r="AS44" s="21"/>
      <c r="AT44" s="21"/>
      <c r="AU44" s="21"/>
      <c r="AV44" s="21"/>
      <c r="AW44" s="21"/>
      <c r="AX44" s="21"/>
      <c r="AY44" s="21"/>
      <c r="AZ44" s="21"/>
      <c r="BA44" s="21"/>
      <c r="BB44" s="21"/>
      <c r="BC44" s="21"/>
      <c r="BD44" s="21"/>
      <c r="BE44" s="21"/>
      <c r="BF44" s="21"/>
      <c r="BG44" s="21"/>
      <c r="BH44" s="21"/>
      <c r="BI44" s="21"/>
      <c r="BJ44" s="21"/>
      <c r="BK44" s="21"/>
      <c r="BL44" s="21"/>
      <c r="BM44" s="21"/>
      <c r="BN44" s="21"/>
      <c r="BO44" s="21"/>
      <c r="BP44" s="21"/>
      <c r="BQ44" s="21"/>
      <c r="BR44" s="21"/>
      <c r="BS44" s="21"/>
      <c r="BT44" s="21"/>
      <c r="BU44" s="21"/>
      <c r="BV44" s="21"/>
      <c r="BW44" s="21"/>
      <c r="BX44" s="21"/>
      <c r="BY44" s="21"/>
      <c r="BZ44" s="21"/>
      <c r="CA44" s="21"/>
      <c r="CB44" s="21"/>
      <c r="CC44" s="21"/>
      <c r="CD44" s="21"/>
      <c r="CE44" s="21"/>
      <c r="CF44" s="21"/>
      <c r="CG44" s="21"/>
      <c r="CH44" s="21"/>
      <c r="CI44" s="21"/>
      <c r="CJ44" s="21"/>
      <c r="CK44" s="21"/>
      <c r="CL44" s="21"/>
      <c r="CM44" s="21"/>
      <c r="CN44" s="21"/>
      <c r="CO44" s="21"/>
      <c r="CP44" s="21"/>
      <c r="CQ44" s="21"/>
      <c r="CR44" s="21"/>
      <c r="CS44" s="21"/>
      <c r="CT44" s="21"/>
      <c r="CU44" s="21"/>
      <c r="CV44" s="21"/>
      <c r="CW44" s="21"/>
      <c r="CX44" s="21"/>
      <c r="CY44" s="21"/>
      <c r="CZ44" s="21"/>
      <c r="DA44" s="21"/>
      <c r="DB44" s="21"/>
      <c r="DC44" s="21"/>
      <c r="DD44" s="21"/>
      <c r="DE44" s="21"/>
      <c r="DF44" s="21"/>
      <c r="DG44" s="21"/>
      <c r="DH44" s="21"/>
      <c r="DI44" s="21"/>
      <c r="DJ44" s="21"/>
      <c r="DK44" s="21"/>
      <c r="DL44" s="21"/>
      <c r="DM44" s="21"/>
      <c r="DN44" s="21"/>
      <c r="DO44" s="21"/>
      <c r="DP44" s="21"/>
      <c r="DQ44" s="21"/>
      <c r="DR44" s="21"/>
      <c r="DS44" s="21"/>
      <c r="DT44" s="21"/>
      <c r="DU44" s="21"/>
      <c r="DV44" s="21"/>
      <c r="DW44" s="21"/>
      <c r="DX44" s="21"/>
      <c r="DY44" s="21"/>
      <c r="DZ44" s="87"/>
      <c r="EA44" s="87"/>
      <c r="EB44" s="87"/>
      <c r="EC44" s="21"/>
      <c r="ED44" s="21"/>
      <c r="EE44" s="21"/>
      <c r="EF44" s="21"/>
      <c r="EG44" s="21"/>
      <c r="EH44" s="21"/>
      <c r="EI44" s="21"/>
      <c r="EJ44" s="21"/>
      <c r="EK44" s="21"/>
      <c r="EL44" s="21"/>
      <c r="EM44" s="21"/>
      <c r="EN44" s="21"/>
      <c r="EO44" s="21"/>
      <c r="EP44" s="21"/>
      <c r="EQ44" s="21"/>
      <c r="ER44" s="21"/>
      <c r="ES44" s="21"/>
      <c r="ET44" s="21"/>
      <c r="EU44" s="21"/>
      <c r="EV44" s="21"/>
      <c r="EW44" s="21"/>
      <c r="EX44" s="21"/>
      <c r="EY44" s="21"/>
      <c r="EZ44" s="21"/>
      <c r="FA44" s="21"/>
      <c r="FB44" s="21"/>
      <c r="FC44" s="21"/>
      <c r="FD44" s="21"/>
      <c r="FE44" s="21"/>
      <c r="FF44" s="21"/>
      <c r="FG44" s="21"/>
      <c r="FH44" s="21"/>
      <c r="FI44" s="21"/>
      <c r="FJ44" s="21"/>
      <c r="FK44" s="21"/>
      <c r="FL44" s="21"/>
      <c r="FM44" s="21"/>
      <c r="FN44" s="21"/>
      <c r="FO44" s="21"/>
      <c r="FP44" s="21"/>
      <c r="FQ44" s="21"/>
      <c r="FR44" s="21"/>
      <c r="FS44" s="21"/>
      <c r="FT44" s="21"/>
      <c r="FU44" s="21"/>
      <c r="FV44" s="21"/>
      <c r="FW44" s="21"/>
      <c r="FX44" s="21"/>
      <c r="FY44" s="21"/>
      <c r="FZ44" s="21"/>
      <c r="GA44" s="21"/>
      <c r="GB44" s="21"/>
      <c r="GC44" s="21"/>
      <c r="GD44" s="21"/>
      <c r="GE44" s="21"/>
      <c r="GF44" s="21"/>
      <c r="GG44" s="21"/>
      <c r="GH44" s="21"/>
      <c r="GI44" s="21"/>
      <c r="GJ44" s="21"/>
      <c r="GK44" s="21"/>
      <c r="GL44" s="21"/>
      <c r="GM44" s="21"/>
      <c r="GN44" s="21"/>
      <c r="GO44" s="21"/>
      <c r="GP44" s="21"/>
      <c r="GQ44" s="21"/>
      <c r="GR44" s="21"/>
      <c r="GS44" s="21"/>
      <c r="GT44" s="21"/>
      <c r="GU44" s="21"/>
      <c r="GV44" s="21"/>
      <c r="GW44" s="21"/>
      <c r="GX44" s="21"/>
      <c r="GY44" s="21"/>
      <c r="GZ44" s="21"/>
      <c r="HA44" s="21"/>
      <c r="HB44" s="21"/>
      <c r="HC44" s="21"/>
      <c r="HD44" s="21"/>
      <c r="HE44" s="21"/>
      <c r="HF44" s="21"/>
      <c r="HG44" s="21"/>
      <c r="HH44" s="21"/>
      <c r="HI44" s="21"/>
      <c r="HJ44" s="21"/>
      <c r="HK44" s="21"/>
      <c r="HL44" s="21"/>
      <c r="HM44" s="21"/>
      <c r="HN44" s="21"/>
      <c r="HO44" s="21"/>
      <c r="HP44" s="21"/>
      <c r="HQ44" s="21"/>
      <c r="HR44" s="21"/>
      <c r="HS44" s="21"/>
      <c r="HT44" s="21"/>
      <c r="HU44" s="21"/>
      <c r="HV44" s="186"/>
      <c r="HW44" s="21"/>
      <c r="HX44" s="21"/>
      <c r="HY44" s="21"/>
      <c r="HZ44" s="21"/>
      <c r="IA44" s="21"/>
      <c r="IB44" s="21"/>
      <c r="IC44" s="21"/>
      <c r="ID44" s="21"/>
      <c r="IE44" s="21"/>
      <c r="IF44" s="21"/>
      <c r="IG44" s="21"/>
      <c r="IH44" s="21"/>
      <c r="II44" s="21"/>
      <c r="IJ44" s="21"/>
      <c r="IK44" s="21"/>
      <c r="IL44" s="21"/>
      <c r="IM44" s="21"/>
      <c r="IN44" s="21"/>
      <c r="IO44" s="21"/>
      <c r="IP44" s="21"/>
      <c r="IQ44" s="21"/>
      <c r="IR44" s="21"/>
      <c r="IS44" s="21"/>
      <c r="IT44" s="21"/>
      <c r="IU44" s="21"/>
      <c r="IV44" s="21"/>
      <c r="IW44" s="21"/>
      <c r="IX44" s="21"/>
      <c r="IY44" s="21"/>
      <c r="IZ44" s="21"/>
      <c r="JA44" s="21"/>
      <c r="JB44" s="21"/>
      <c r="JC44" s="21"/>
      <c r="JD44" s="21"/>
      <c r="JE44" s="21"/>
      <c r="JF44" s="21"/>
      <c r="JG44" s="21"/>
      <c r="JH44" s="21"/>
      <c r="JI44" s="21"/>
      <c r="JJ44" s="21"/>
      <c r="JK44" s="21"/>
      <c r="JL44" s="21"/>
      <c r="JM44" s="21"/>
      <c r="JN44" s="21"/>
      <c r="JO44" s="21"/>
      <c r="JP44" s="21"/>
      <c r="JQ44" s="21"/>
      <c r="JR44" s="21"/>
      <c r="JS44" s="21"/>
      <c r="JT44" s="21"/>
      <c r="JU44" s="21"/>
      <c r="JV44" s="21"/>
      <c r="JW44" s="21"/>
      <c r="JX44" s="21"/>
      <c r="JY44" s="21"/>
      <c r="JZ44" s="21"/>
      <c r="KA44" s="21"/>
      <c r="KB44" s="21"/>
      <c r="KC44" s="21"/>
      <c r="KD44" s="21"/>
      <c r="KE44" s="21"/>
      <c r="KF44" s="21"/>
      <c r="KG44" s="21"/>
      <c r="KH44" s="21"/>
    </row>
    <row r="45" spans="1:294" x14ac:dyDescent="0.25">
      <c r="A45" s="1"/>
      <c r="B45" s="1"/>
      <c r="C45" s="1"/>
      <c r="D45" s="1"/>
      <c r="E45" s="1"/>
      <c r="F45" s="345" t="str">
        <f>IF(E31=AK1,"WERSJA BAZOWA NIE ZAWIERA KOTEW","")</f>
        <v>WERSJA BAZOWA NIE ZAWIERA KOTEW</v>
      </c>
      <c r="G45" s="1"/>
      <c r="H45" s="1"/>
      <c r="I45" s="1"/>
      <c r="J45" s="1"/>
      <c r="K45" s="1"/>
      <c r="L45" s="5" t="s">
        <v>297</v>
      </c>
      <c r="M45" s="11">
        <f>INDEX(cennik!$C$2:$L$529,MATCH($L45,cennik!$B$2:$B$522,0),MATCH(M$28,cennik!$C$1:$L$1,0))</f>
        <v>894824</v>
      </c>
      <c r="N45" s="11" t="str">
        <f>INDEX(cennik!$C$2:$L$529,MATCH($L45,cennik!$B$2:$B$522,0),MATCH(N$28,cennik!$C$1:$L$1,0))</f>
        <v>szt.</v>
      </c>
      <c r="O45" s="14">
        <f>O41*4</f>
        <v>0</v>
      </c>
      <c r="P45" s="11">
        <f>INDEX(cennik!$C$2:$L$529,MATCH($L45,cennik!$B$2:$B$522,0),MATCH(P$28,cennik!$C$1:$L$1,0))</f>
        <v>1.85</v>
      </c>
      <c r="Q45" s="14">
        <f t="shared" si="15"/>
        <v>0</v>
      </c>
      <c r="R45" s="14">
        <f t="shared" si="11"/>
        <v>0</v>
      </c>
      <c r="S45" s="34">
        <f t="shared" si="12"/>
        <v>1.85</v>
      </c>
      <c r="T45" s="14">
        <f t="shared" si="16"/>
        <v>0</v>
      </c>
      <c r="U45" s="34">
        <f>INDEX(cennik!$C$2:$L$529,MATCH($L45,cennik!$B$2:$B$522,0),MATCH(U$28,cennik!$C$1:$L$1,0))*O45</f>
        <v>0</v>
      </c>
      <c r="V45" s="21"/>
      <c r="W45" s="21"/>
      <c r="X45" s="21"/>
      <c r="Y45" s="21"/>
      <c r="Z45" s="21"/>
      <c r="AA45" s="21"/>
      <c r="AB45" s="21"/>
      <c r="AC45" s="21"/>
      <c r="AD45" s="21"/>
      <c r="AE45" s="21"/>
      <c r="AF45" s="21"/>
      <c r="AG45" s="21"/>
      <c r="AH45" s="21"/>
      <c r="AI45" s="21"/>
      <c r="AJ45" s="21"/>
      <c r="AK45" s="21"/>
      <c r="AL45" s="21"/>
      <c r="AM45" s="21"/>
      <c r="AN45" s="21" t="s">
        <v>91</v>
      </c>
      <c r="AO45" s="21"/>
      <c r="AP45" s="21"/>
      <c r="AQ45" s="21"/>
      <c r="AR45" s="21"/>
      <c r="AS45" s="21"/>
      <c r="AT45" s="21"/>
      <c r="AU45" s="21"/>
      <c r="AV45" s="21"/>
      <c r="AW45" s="21"/>
      <c r="AX45" s="21"/>
      <c r="AY45" s="21"/>
      <c r="AZ45" s="21"/>
      <c r="BA45" s="21"/>
      <c r="BB45" s="21"/>
      <c r="BC45" s="21"/>
      <c r="BD45" s="21"/>
      <c r="BE45" s="21"/>
      <c r="BF45" s="21"/>
      <c r="BG45" s="21"/>
      <c r="BH45" s="21"/>
      <c r="BI45" s="21"/>
      <c r="BJ45" s="21"/>
      <c r="BK45" s="21"/>
      <c r="BL45" s="21"/>
      <c r="BM45" s="21"/>
      <c r="BN45" s="21"/>
      <c r="BO45" s="21"/>
      <c r="BP45" s="21"/>
      <c r="BQ45" s="21"/>
      <c r="BR45" s="21"/>
      <c r="BS45" s="21"/>
      <c r="BT45" s="21"/>
      <c r="BU45" s="21"/>
      <c r="BV45" s="21"/>
      <c r="BW45" s="21"/>
      <c r="BX45" s="21"/>
      <c r="BY45" s="21"/>
      <c r="BZ45" s="21"/>
      <c r="CA45" s="21"/>
      <c r="CB45" s="21"/>
      <c r="CC45" s="21"/>
      <c r="CD45" s="21"/>
      <c r="CE45" s="21"/>
      <c r="CF45" s="21"/>
      <c r="CG45" s="21"/>
      <c r="CH45" s="21"/>
      <c r="CI45" s="21"/>
      <c r="CJ45" s="21"/>
      <c r="CK45" s="21"/>
      <c r="CL45" s="21"/>
      <c r="CM45" s="21"/>
      <c r="CN45" s="21"/>
      <c r="CO45" s="21"/>
      <c r="CP45" s="21"/>
      <c r="CQ45" s="21"/>
      <c r="CR45" s="21"/>
      <c r="CS45" s="21"/>
      <c r="CT45" s="21"/>
      <c r="CU45" s="21"/>
      <c r="CV45" s="21"/>
      <c r="CW45" s="21"/>
      <c r="CX45" s="21"/>
      <c r="CY45" s="21"/>
      <c r="CZ45" s="21"/>
      <c r="DA45" s="21"/>
      <c r="DB45" s="21"/>
      <c r="DC45" s="21"/>
      <c r="DD45" s="21"/>
      <c r="DE45" s="21"/>
      <c r="DF45" s="21"/>
      <c r="DG45" s="21"/>
      <c r="DH45" s="21"/>
      <c r="DI45" s="21"/>
      <c r="DJ45" s="21"/>
      <c r="DK45" s="21"/>
      <c r="DL45" s="21"/>
      <c r="DM45" s="21"/>
      <c r="DN45" s="21"/>
      <c r="DO45" s="21"/>
      <c r="DP45" s="21"/>
      <c r="DQ45" s="21"/>
      <c r="DR45" s="21"/>
      <c r="DS45" s="21"/>
      <c r="DT45" s="21"/>
      <c r="DU45" s="21"/>
      <c r="DV45" s="21"/>
      <c r="DW45" s="21"/>
      <c r="DX45" s="21"/>
      <c r="DY45" s="21"/>
      <c r="DZ45" s="87"/>
      <c r="EA45" s="87"/>
      <c r="EB45" s="87"/>
      <c r="EC45" s="21"/>
      <c r="ED45" s="21"/>
      <c r="EE45" s="21"/>
      <c r="EF45" s="21"/>
      <c r="EG45" s="21"/>
      <c r="EH45" s="21"/>
      <c r="EI45" s="21"/>
      <c r="EJ45" s="21"/>
      <c r="EK45" s="21"/>
      <c r="EL45" s="21"/>
      <c r="EM45" s="21"/>
      <c r="EN45" s="21"/>
      <c r="EO45" s="21"/>
      <c r="EP45" s="21"/>
      <c r="EQ45" s="21"/>
      <c r="ER45" s="21"/>
      <c r="ES45" s="21"/>
      <c r="ET45" s="21"/>
      <c r="EU45" s="21"/>
      <c r="EV45" s="21"/>
      <c r="EW45" s="21"/>
      <c r="EX45" s="21"/>
      <c r="EY45" s="21"/>
      <c r="EZ45" s="21"/>
      <c r="FA45" s="21"/>
      <c r="FB45" s="21"/>
      <c r="FC45" s="21"/>
      <c r="FD45" s="21"/>
      <c r="FE45" s="21"/>
      <c r="FF45" s="21"/>
      <c r="FG45" s="21"/>
      <c r="FH45" s="21"/>
      <c r="FI45" s="21"/>
      <c r="FJ45" s="21"/>
      <c r="FK45" s="21"/>
      <c r="FL45" s="21"/>
      <c r="FM45" s="21"/>
      <c r="FN45" s="21"/>
      <c r="FO45" s="21"/>
      <c r="FP45" s="21"/>
      <c r="FQ45" s="21"/>
      <c r="FR45" s="21"/>
      <c r="FS45" s="21"/>
      <c r="FT45" s="21"/>
      <c r="FU45" s="21"/>
      <c r="FV45" s="21"/>
      <c r="FW45" s="21"/>
      <c r="FX45" s="21"/>
      <c r="FY45" s="21"/>
      <c r="FZ45" s="21"/>
      <c r="GA45" s="21"/>
      <c r="GB45" s="21"/>
      <c r="GC45" s="21"/>
      <c r="GD45" s="21"/>
      <c r="GE45" s="21"/>
      <c r="GF45" s="21"/>
      <c r="GG45" s="21"/>
      <c r="GH45" s="21"/>
      <c r="GI45" s="21"/>
      <c r="GJ45" s="21"/>
      <c r="GK45" s="21"/>
      <c r="GL45" s="21"/>
      <c r="GM45" s="21"/>
      <c r="GN45" s="21"/>
      <c r="GO45" s="21"/>
      <c r="GP45" s="21"/>
      <c r="GQ45" s="21"/>
      <c r="GR45" s="21"/>
      <c r="GS45" s="21"/>
      <c r="GT45" s="21"/>
      <c r="GU45" s="21"/>
      <c r="GV45" s="21"/>
      <c r="GW45" s="21"/>
      <c r="GX45" s="21"/>
      <c r="GY45" s="21"/>
      <c r="GZ45" s="21"/>
      <c r="HA45" s="21"/>
      <c r="HB45" s="21"/>
      <c r="HC45" s="21"/>
      <c r="HD45" s="21"/>
      <c r="HE45" s="21"/>
      <c r="HF45" s="21"/>
      <c r="HG45" s="21"/>
      <c r="HH45" s="21"/>
      <c r="HI45" s="21"/>
      <c r="HJ45" s="21"/>
      <c r="HK45" s="21"/>
      <c r="HL45" s="21"/>
      <c r="HM45" s="21"/>
      <c r="HN45" s="21"/>
      <c r="HO45" s="21"/>
      <c r="HP45" s="21"/>
      <c r="HQ45" s="21"/>
      <c r="HR45" s="21"/>
      <c r="HS45" s="21"/>
      <c r="HT45" s="21"/>
      <c r="HU45" s="21"/>
      <c r="HV45" s="186"/>
      <c r="HW45" s="21"/>
      <c r="HX45" s="21"/>
      <c r="HY45" s="21"/>
      <c r="HZ45" s="21"/>
      <c r="IA45" s="21"/>
      <c r="IB45" s="21"/>
      <c r="IC45" s="21"/>
      <c r="ID45" s="21"/>
      <c r="IE45" s="21"/>
      <c r="IF45" s="21"/>
      <c r="IG45" s="21"/>
      <c r="IH45" s="21"/>
      <c r="II45" s="21"/>
      <c r="IJ45" s="21"/>
      <c r="IK45" s="21"/>
      <c r="IL45" s="21"/>
      <c r="IM45" s="21"/>
      <c r="IN45" s="21"/>
      <c r="IO45" s="21"/>
      <c r="IP45" s="21"/>
      <c r="IQ45" s="21"/>
      <c r="IR45" s="21"/>
      <c r="IS45" s="21"/>
      <c r="IT45" s="21"/>
      <c r="IU45" s="21"/>
      <c r="IV45" s="21"/>
      <c r="IW45" s="21"/>
      <c r="IX45" s="21"/>
      <c r="IY45" s="21"/>
      <c r="IZ45" s="21"/>
      <c r="JA45" s="21"/>
      <c r="JB45" s="21"/>
      <c r="JC45" s="21"/>
      <c r="JD45" s="21"/>
      <c r="JE45" s="21"/>
      <c r="JF45" s="21"/>
      <c r="JG45" s="21"/>
      <c r="JH45" s="21"/>
      <c r="JI45" s="21"/>
      <c r="JJ45" s="21"/>
      <c r="JK45" s="21"/>
      <c r="JL45" s="21"/>
      <c r="JM45" s="21"/>
      <c r="JN45" s="21"/>
      <c r="JO45" s="21"/>
      <c r="JP45" s="21"/>
      <c r="JQ45" s="21"/>
      <c r="JR45" s="21"/>
      <c r="JS45" s="21"/>
      <c r="JT45" s="21"/>
      <c r="JU45" s="21"/>
      <c r="JV45" s="21"/>
      <c r="JW45" s="21"/>
      <c r="JX45" s="21"/>
      <c r="JY45" s="21"/>
      <c r="JZ45" s="21"/>
      <c r="KA45" s="21"/>
      <c r="KB45" s="21"/>
      <c r="KC45" s="21"/>
      <c r="KD45" s="21"/>
      <c r="KE45" s="21"/>
      <c r="KF45" s="21"/>
      <c r="KG45" s="21"/>
      <c r="KH45" s="21"/>
    </row>
    <row r="46" spans="1:294" x14ac:dyDescent="0.25">
      <c r="A46" s="1"/>
      <c r="B46" s="1"/>
      <c r="C46" s="1"/>
      <c r="D46" s="1"/>
      <c r="E46" s="1"/>
      <c r="G46" s="1"/>
      <c r="H46" s="1"/>
      <c r="I46" s="1"/>
      <c r="J46" s="1"/>
      <c r="K46" s="1"/>
      <c r="L46" s="5" t="s">
        <v>67</v>
      </c>
      <c r="M46" s="11">
        <f>INDEX(cennik!$C$2:$L$529,MATCH($L46,cennik!$B$2:$B$522,0),MATCH(M$28,cennik!$C$1:$L$1,0))</f>
        <v>890008</v>
      </c>
      <c r="N46" s="11" t="str">
        <f>INDEX(cennik!$C$2:$L$529,MATCH($L46,cennik!$B$2:$B$522,0),MATCH(N$28,cennik!$C$1:$L$1,0))</f>
        <v>100 szt.</v>
      </c>
      <c r="O46" s="14">
        <f>O39</f>
        <v>0</v>
      </c>
      <c r="P46" s="11">
        <f>INDEX(cennik!$C$2:$L$529,MATCH($L46,cennik!$B$2:$B$522,0),MATCH(P$28,cennik!$C$1:$L$1,0))</f>
        <v>28.15</v>
      </c>
      <c r="Q46" s="14">
        <f t="shared" si="15"/>
        <v>0</v>
      </c>
      <c r="R46" s="14">
        <f t="shared" si="11"/>
        <v>0</v>
      </c>
      <c r="S46" s="34">
        <f t="shared" si="12"/>
        <v>28.15</v>
      </c>
      <c r="T46" s="14">
        <f t="shared" si="16"/>
        <v>0</v>
      </c>
      <c r="U46" s="34">
        <f>INDEX(cennik!$C$2:$L$529,MATCH($L46,cennik!$B$2:$B$522,0),MATCH(U$28,cennik!$C$1:$L$1,0))*O46</f>
        <v>0</v>
      </c>
      <c r="V46" s="21"/>
      <c r="W46" s="21"/>
      <c r="X46" s="21"/>
      <c r="Y46" s="21"/>
      <c r="Z46" s="21"/>
      <c r="AA46" s="21"/>
      <c r="AB46" s="21"/>
      <c r="AC46" s="21"/>
      <c r="AD46" s="21"/>
      <c r="AE46" s="21"/>
      <c r="AF46" s="21"/>
      <c r="AG46" s="21"/>
      <c r="AH46" s="21"/>
      <c r="AI46" s="21"/>
      <c r="AJ46" s="21"/>
      <c r="AK46" s="21"/>
      <c r="AL46" s="21"/>
      <c r="AM46" s="21"/>
      <c r="AN46" s="21" t="s">
        <v>1254</v>
      </c>
      <c r="AO46" s="21">
        <f>IF(E34=AH7,O29,0)*4</f>
        <v>0</v>
      </c>
      <c r="AP46" s="21"/>
      <c r="AQ46" s="21"/>
      <c r="AR46" s="21"/>
      <c r="AS46" s="21"/>
      <c r="AT46" s="21"/>
      <c r="AU46" s="21"/>
      <c r="AV46" s="21"/>
      <c r="AW46" s="21"/>
      <c r="AX46" s="21"/>
      <c r="AY46" s="21"/>
      <c r="AZ46" s="21"/>
      <c r="BA46" s="21"/>
      <c r="BB46" s="21"/>
      <c r="BC46" s="21"/>
      <c r="BD46" s="21"/>
      <c r="BE46" s="21"/>
      <c r="BF46" s="21"/>
      <c r="BG46" s="21"/>
      <c r="BH46" s="21"/>
      <c r="BI46" s="21"/>
      <c r="BJ46" s="21"/>
      <c r="BK46" s="21"/>
      <c r="BL46" s="21"/>
      <c r="BM46" s="21"/>
      <c r="BN46" s="21"/>
      <c r="BO46" s="21"/>
      <c r="BP46" s="21"/>
      <c r="BQ46" s="21"/>
      <c r="BR46" s="21"/>
      <c r="BS46" s="21"/>
      <c r="BT46" s="21"/>
      <c r="BU46" s="21"/>
      <c r="BV46" s="21"/>
      <c r="BW46" s="21"/>
      <c r="BX46" s="21"/>
      <c r="BY46" s="21"/>
      <c r="BZ46" s="21"/>
      <c r="CA46" s="21"/>
      <c r="CB46" s="21"/>
      <c r="CC46" s="21"/>
      <c r="CD46" s="21"/>
      <c r="CE46" s="21"/>
      <c r="CF46" s="21"/>
      <c r="CG46" s="21"/>
      <c r="CH46" s="21"/>
      <c r="CI46" s="21"/>
      <c r="CJ46" s="21"/>
      <c r="CK46" s="21"/>
      <c r="CL46" s="21"/>
      <c r="CM46" s="21"/>
      <c r="CN46" s="21"/>
      <c r="CO46" s="21"/>
      <c r="CP46" s="21"/>
      <c r="CQ46" s="21"/>
      <c r="CR46" s="21"/>
      <c r="CS46" s="21"/>
      <c r="CT46" s="21"/>
      <c r="CU46" s="21"/>
      <c r="CV46" s="21"/>
      <c r="CW46" s="21"/>
      <c r="CX46" s="21"/>
      <c r="CY46" s="21"/>
      <c r="CZ46" s="21"/>
      <c r="DA46" s="21"/>
      <c r="DB46" s="21"/>
      <c r="DC46" s="21"/>
      <c r="DD46" s="21"/>
      <c r="DE46" s="21"/>
      <c r="DF46" s="21"/>
      <c r="DG46" s="21"/>
      <c r="DH46" s="21"/>
      <c r="DI46" s="21"/>
      <c r="DJ46" s="21"/>
      <c r="DK46" s="21"/>
      <c r="DL46" s="21"/>
      <c r="DM46" s="21"/>
      <c r="DN46" s="21"/>
      <c r="DO46" s="21"/>
      <c r="DP46" s="21"/>
      <c r="DQ46" s="21"/>
      <c r="DR46" s="21"/>
      <c r="DS46" s="21"/>
      <c r="DT46" s="21"/>
      <c r="DU46" s="21"/>
      <c r="DV46" s="21"/>
      <c r="DW46" s="21"/>
      <c r="DX46" s="21"/>
      <c r="DY46" s="21"/>
      <c r="DZ46" s="87"/>
      <c r="EA46" s="87"/>
      <c r="EB46" s="87"/>
      <c r="EC46" s="21"/>
      <c r="ED46" s="21"/>
      <c r="EE46" s="21"/>
      <c r="EF46" s="21"/>
      <c r="EG46" s="21"/>
      <c r="EH46" s="21"/>
      <c r="EI46" s="21"/>
      <c r="EJ46" s="21"/>
      <c r="EK46" s="21"/>
      <c r="EL46" s="21"/>
      <c r="EM46" s="21"/>
      <c r="EN46" s="21"/>
      <c r="EO46" s="21"/>
      <c r="EP46" s="21"/>
      <c r="EQ46" s="21"/>
      <c r="ER46" s="21"/>
      <c r="ES46" s="21"/>
      <c r="ET46" s="21"/>
      <c r="EU46" s="21"/>
      <c r="EV46" s="21"/>
      <c r="EW46" s="21"/>
      <c r="EX46" s="21"/>
      <c r="EY46" s="21"/>
      <c r="EZ46" s="21"/>
      <c r="FA46" s="21"/>
      <c r="FB46" s="21"/>
      <c r="FC46" s="21"/>
      <c r="FD46" s="21"/>
      <c r="FE46" s="21"/>
      <c r="FF46" s="21"/>
      <c r="FG46" s="21"/>
      <c r="FH46" s="21"/>
      <c r="FI46" s="21"/>
      <c r="FJ46" s="21"/>
      <c r="FK46" s="21"/>
      <c r="FL46" s="21"/>
      <c r="FM46" s="21"/>
      <c r="FN46" s="21"/>
      <c r="FO46" s="21"/>
      <c r="FP46" s="21"/>
      <c r="FQ46" s="21"/>
      <c r="FR46" s="21"/>
      <c r="FS46" s="21"/>
      <c r="FT46" s="21"/>
      <c r="FU46" s="21"/>
      <c r="FV46" s="21"/>
      <c r="FW46" s="21"/>
      <c r="FX46" s="21"/>
      <c r="FY46" s="21"/>
      <c r="FZ46" s="21"/>
      <c r="GA46" s="21"/>
      <c r="GB46" s="21"/>
      <c r="GC46" s="21"/>
      <c r="GD46" s="21"/>
      <c r="GE46" s="21"/>
      <c r="GF46" s="21"/>
      <c r="GG46" s="21"/>
      <c r="GH46" s="21"/>
      <c r="GI46" s="21"/>
      <c r="GJ46" s="21"/>
      <c r="GK46" s="21"/>
      <c r="GL46" s="21"/>
      <c r="GM46" s="21"/>
      <c r="GN46" s="21"/>
      <c r="GO46" s="21"/>
      <c r="GP46" s="21"/>
      <c r="GQ46" s="21"/>
      <c r="GR46" s="21"/>
      <c r="GS46" s="21"/>
      <c r="GT46" s="21"/>
      <c r="GU46" s="21"/>
      <c r="GV46" s="21"/>
      <c r="GW46" s="21"/>
      <c r="GX46" s="21"/>
      <c r="GY46" s="21"/>
      <c r="GZ46" s="21"/>
      <c r="HA46" s="21"/>
      <c r="HB46" s="21"/>
      <c r="HC46" s="21"/>
      <c r="HD46" s="21"/>
      <c r="HE46" s="21"/>
      <c r="HF46" s="21"/>
      <c r="HG46" s="21"/>
      <c r="HH46" s="21"/>
      <c r="HI46" s="21"/>
      <c r="HJ46" s="21"/>
      <c r="HK46" s="21"/>
      <c r="HL46" s="21"/>
      <c r="HM46" s="21"/>
      <c r="HN46" s="21"/>
      <c r="HO46" s="21"/>
      <c r="HP46" s="21"/>
      <c r="HQ46" s="21"/>
      <c r="HR46" s="21"/>
      <c r="HS46" s="21"/>
      <c r="HT46" s="21"/>
      <c r="HU46" s="21"/>
      <c r="HV46" s="186"/>
      <c r="HW46" s="21"/>
      <c r="HX46" s="21"/>
      <c r="HY46" s="21"/>
      <c r="HZ46" s="21"/>
      <c r="IA46" s="21"/>
      <c r="IB46" s="21"/>
      <c r="IC46" s="21"/>
      <c r="ID46" s="21"/>
      <c r="IE46" s="21"/>
      <c r="IF46" s="21"/>
      <c r="IG46" s="21"/>
      <c r="IH46" s="21"/>
      <c r="II46" s="21"/>
      <c r="IJ46" s="21"/>
      <c r="IK46" s="21"/>
      <c r="IL46" s="21"/>
      <c r="IM46" s="21"/>
      <c r="IN46" s="21"/>
      <c r="IO46" s="21"/>
      <c r="IP46" s="21"/>
      <c r="IQ46" s="21"/>
      <c r="IR46" s="21"/>
      <c r="IS46" s="21"/>
      <c r="IT46" s="21"/>
      <c r="IU46" s="21"/>
      <c r="IV46" s="21"/>
      <c r="IW46" s="21"/>
      <c r="IX46" s="21"/>
      <c r="IY46" s="21"/>
      <c r="IZ46" s="21"/>
      <c r="JA46" s="21"/>
      <c r="JB46" s="21"/>
      <c r="JC46" s="21"/>
      <c r="JD46" s="21"/>
      <c r="JE46" s="21"/>
      <c r="JF46" s="21"/>
      <c r="JG46" s="21"/>
      <c r="JH46" s="21"/>
      <c r="JI46" s="21"/>
      <c r="JJ46" s="21"/>
      <c r="JK46" s="21"/>
      <c r="JL46" s="21"/>
      <c r="JM46" s="21"/>
      <c r="JN46" s="21"/>
      <c r="JO46" s="21"/>
      <c r="JP46" s="21"/>
      <c r="JQ46" s="21"/>
      <c r="JR46" s="21"/>
      <c r="JS46" s="21"/>
      <c r="JT46" s="21"/>
      <c r="JU46" s="21"/>
      <c r="JV46" s="21"/>
      <c r="JW46" s="21"/>
      <c r="JX46" s="21"/>
      <c r="JY46" s="21"/>
      <c r="JZ46" s="21"/>
      <c r="KA46" s="21"/>
      <c r="KB46" s="21"/>
      <c r="KC46" s="21"/>
      <c r="KD46" s="21"/>
      <c r="KE46" s="21"/>
      <c r="KF46" s="21"/>
      <c r="KG46" s="21"/>
      <c r="KH46" s="21"/>
    </row>
    <row r="47" spans="1:294" x14ac:dyDescent="0.25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94" t="s">
        <v>786</v>
      </c>
      <c r="M47" s="11">
        <f>INDEX(cennik!$C$2:$L$529,MATCH($L47,cennik!$B$2:$B$522,0),MATCH(M$28,cennik!$C$1:$L$1,0))</f>
        <v>651541</v>
      </c>
      <c r="N47" s="11" t="str">
        <f>INDEX(cennik!$C$2:$L$529,MATCH($L47,cennik!$B$2:$B$522,0),MATCH(N$28,cennik!$C$1:$L$1,0))</f>
        <v>100 szt.</v>
      </c>
      <c r="O47" s="14">
        <f>ROUNDUP((IF(E32=AF5,(SUM((A28*C28),(A29*C29),(A30*C30),(A31*C31),(A32*C32),(A33*C33),(A34*C34),(A35*C35),(A36*C36),(A37*C37),(A38*C38),(A39*C39),(A40*C40),(A41*C41),(A42*C42),(A43*C43)))*4,0))/100,0)</f>
        <v>0</v>
      </c>
      <c r="P47" s="11">
        <f>INDEX(cennik!$C$2:$L$529,MATCH($L47,cennik!$B$2:$B$522,0),MATCH(P$28,cennik!$C$1:$L$1,0))</f>
        <v>78.89</v>
      </c>
      <c r="Q47" s="14">
        <f>O47*P47</f>
        <v>0</v>
      </c>
      <c r="R47" s="14">
        <f t="shared" si="11"/>
        <v>0</v>
      </c>
      <c r="S47" s="34">
        <f t="shared" si="12"/>
        <v>78.89</v>
      </c>
      <c r="T47" s="14">
        <f t="shared" si="16"/>
        <v>0</v>
      </c>
      <c r="U47" s="34">
        <f>INDEX(cennik!$C$2:$L$529,MATCH($L47,cennik!$B$2:$B$522,0),MATCH(U$28,cennik!$C$1:$L$1,0))*O47</f>
        <v>0</v>
      </c>
      <c r="V47" s="21"/>
      <c r="W47" s="21"/>
      <c r="X47" s="21"/>
      <c r="Y47" s="21"/>
      <c r="Z47" s="21"/>
      <c r="AA47" s="21"/>
      <c r="AB47" s="21"/>
      <c r="AC47" s="21"/>
      <c r="AD47" s="21"/>
      <c r="AE47" s="21"/>
      <c r="AF47" s="21"/>
      <c r="AG47" s="21"/>
      <c r="AH47" s="21"/>
      <c r="AI47" s="21"/>
      <c r="AJ47" s="21"/>
      <c r="AK47" s="21"/>
      <c r="AL47" s="21"/>
      <c r="AM47" s="21"/>
      <c r="AN47" s="21" t="s">
        <v>1436</v>
      </c>
      <c r="AO47" s="21">
        <f>IF(E35=AK8,O29*2,IF(E33=AF8,O29*2,IF(E33=AF9,O30*2,IF(E34=AH10,O29*2,0))))</f>
        <v>0</v>
      </c>
      <c r="AP47" s="21"/>
      <c r="AQ47" s="21"/>
      <c r="AR47" s="21"/>
      <c r="AS47" s="21"/>
      <c r="AT47" s="21"/>
      <c r="AU47" s="21"/>
      <c r="AV47" s="21"/>
      <c r="AW47" s="21"/>
      <c r="AX47" s="21"/>
      <c r="AY47" s="21"/>
      <c r="AZ47" s="21"/>
      <c r="BA47" s="21"/>
      <c r="BB47" s="21"/>
      <c r="BC47" s="21"/>
      <c r="BD47" s="21"/>
      <c r="BE47" s="21"/>
      <c r="BF47" s="21"/>
      <c r="BG47" s="21"/>
      <c r="BH47" s="21"/>
      <c r="BI47" s="21"/>
      <c r="BJ47" s="21"/>
      <c r="BK47" s="21"/>
      <c r="BL47" s="21"/>
      <c r="BM47" s="21"/>
      <c r="BN47" s="21"/>
      <c r="BO47" s="21"/>
      <c r="BP47" s="21"/>
      <c r="BQ47" s="21"/>
      <c r="BR47" s="21"/>
      <c r="BS47" s="21"/>
      <c r="BT47" s="21"/>
      <c r="BU47" s="21"/>
      <c r="BV47" s="21"/>
      <c r="BW47" s="21"/>
      <c r="BX47" s="21"/>
      <c r="BY47" s="21"/>
      <c r="BZ47" s="21"/>
      <c r="CA47" s="21"/>
      <c r="CB47" s="21"/>
      <c r="CC47" s="21"/>
      <c r="CD47" s="21"/>
      <c r="CE47" s="21"/>
      <c r="CF47" s="21"/>
      <c r="CG47" s="21"/>
      <c r="CH47" s="21"/>
      <c r="CI47" s="21"/>
      <c r="CJ47" s="21"/>
      <c r="CK47" s="21"/>
      <c r="CL47" s="21"/>
      <c r="CM47" s="21"/>
      <c r="CN47" s="21"/>
      <c r="CO47" s="21"/>
      <c r="CP47" s="21"/>
      <c r="CQ47" s="21"/>
      <c r="CR47" s="21"/>
      <c r="CS47" s="21"/>
      <c r="CT47" s="21"/>
      <c r="CU47" s="21"/>
      <c r="CV47" s="21"/>
      <c r="CW47" s="21"/>
      <c r="CX47" s="21"/>
      <c r="CY47" s="21"/>
      <c r="CZ47" s="21"/>
      <c r="DA47" s="21"/>
      <c r="DB47" s="21"/>
      <c r="DC47" s="21"/>
      <c r="DD47" s="21"/>
      <c r="DE47" s="21"/>
      <c r="DF47" s="21"/>
      <c r="DG47" s="21"/>
      <c r="DH47" s="21"/>
      <c r="DI47" s="21"/>
      <c r="DJ47" s="21"/>
      <c r="DK47" s="21"/>
      <c r="DL47" s="21"/>
      <c r="DM47" s="21"/>
      <c r="DN47" s="21"/>
      <c r="DO47" s="21"/>
      <c r="DP47" s="21"/>
      <c r="DQ47" s="21"/>
      <c r="DR47" s="21"/>
      <c r="DS47" s="21"/>
      <c r="DT47" s="21"/>
      <c r="DU47" s="21"/>
      <c r="DV47" s="21"/>
      <c r="DW47" s="21"/>
      <c r="DX47" s="21"/>
      <c r="DY47" s="21"/>
      <c r="DZ47" s="87"/>
      <c r="EA47" s="87"/>
      <c r="EB47" s="87"/>
      <c r="EC47" s="21"/>
      <c r="ED47" s="21"/>
      <c r="EE47" s="21"/>
      <c r="EF47" s="21"/>
      <c r="EG47" s="21"/>
      <c r="EH47" s="21"/>
      <c r="EI47" s="21"/>
      <c r="EJ47" s="21"/>
      <c r="EK47" s="21"/>
      <c r="EL47" s="21"/>
      <c r="EM47" s="21"/>
      <c r="EN47" s="21"/>
      <c r="EO47" s="21"/>
      <c r="EP47" s="21"/>
      <c r="EQ47" s="21"/>
      <c r="ER47" s="21"/>
      <c r="ES47" s="21"/>
      <c r="ET47" s="21"/>
      <c r="EU47" s="21"/>
      <c r="EV47" s="21"/>
      <c r="EW47" s="21"/>
      <c r="EX47" s="21"/>
      <c r="EY47" s="21"/>
      <c r="EZ47" s="21"/>
      <c r="FA47" s="21"/>
      <c r="FB47" s="21"/>
      <c r="FC47" s="21"/>
      <c r="FD47" s="21"/>
      <c r="FE47" s="21"/>
      <c r="FF47" s="21"/>
      <c r="FG47" s="21"/>
      <c r="FH47" s="21"/>
      <c r="FI47" s="21"/>
      <c r="FJ47" s="21"/>
      <c r="FK47" s="21"/>
      <c r="FL47" s="21"/>
      <c r="FM47" s="21"/>
      <c r="FN47" s="21"/>
      <c r="FO47" s="21"/>
      <c r="FP47" s="21"/>
      <c r="FQ47" s="21"/>
      <c r="FR47" s="21"/>
      <c r="FS47" s="21"/>
      <c r="FT47" s="21"/>
      <c r="FU47" s="21"/>
      <c r="FV47" s="21"/>
      <c r="FW47" s="21"/>
      <c r="FX47" s="21"/>
      <c r="FY47" s="21"/>
      <c r="FZ47" s="21"/>
      <c r="GA47" s="21"/>
      <c r="GB47" s="21"/>
      <c r="GC47" s="21"/>
      <c r="GD47" s="21"/>
      <c r="GE47" s="21"/>
      <c r="GF47" s="21"/>
      <c r="GG47" s="21"/>
      <c r="GH47" s="21"/>
      <c r="GI47" s="21"/>
      <c r="GJ47" s="21"/>
      <c r="GK47" s="21"/>
      <c r="GL47" s="21"/>
      <c r="GM47" s="21"/>
      <c r="GN47" s="21"/>
      <c r="GO47" s="21"/>
      <c r="GP47" s="21"/>
      <c r="GQ47" s="21"/>
      <c r="GR47" s="21"/>
      <c r="GS47" s="21"/>
      <c r="GT47" s="21"/>
      <c r="GU47" s="21"/>
      <c r="GV47" s="21"/>
      <c r="GW47" s="21"/>
      <c r="GX47" s="21"/>
      <c r="GY47" s="21"/>
      <c r="GZ47" s="21"/>
      <c r="HA47" s="21"/>
      <c r="HB47" s="21"/>
      <c r="HC47" s="21"/>
      <c r="HD47" s="21"/>
      <c r="HE47" s="21"/>
      <c r="HF47" s="21"/>
      <c r="HG47" s="21"/>
      <c r="HH47" s="21"/>
      <c r="HI47" s="21"/>
      <c r="HJ47" s="21"/>
      <c r="HK47" s="21"/>
      <c r="HL47" s="21"/>
      <c r="HM47" s="21"/>
      <c r="HN47" s="21"/>
      <c r="HO47" s="21"/>
      <c r="HP47" s="21"/>
      <c r="HQ47" s="21"/>
      <c r="HR47" s="21"/>
      <c r="HS47" s="21"/>
      <c r="HT47" s="21"/>
      <c r="HU47" s="21"/>
      <c r="HV47" s="186"/>
      <c r="HW47" s="21"/>
      <c r="HX47" s="21"/>
      <c r="HY47" s="21"/>
      <c r="HZ47" s="21"/>
      <c r="IA47" s="21"/>
      <c r="IB47" s="21"/>
      <c r="IC47" s="21"/>
      <c r="ID47" s="21"/>
      <c r="IE47" s="21"/>
      <c r="IF47" s="21"/>
      <c r="IG47" s="21"/>
      <c r="IH47" s="21"/>
      <c r="II47" s="21"/>
      <c r="IJ47" s="21"/>
      <c r="IK47" s="21"/>
      <c r="IL47" s="21"/>
      <c r="IM47" s="21"/>
      <c r="IN47" s="21"/>
      <c r="IO47" s="21"/>
      <c r="IP47" s="21"/>
      <c r="IQ47" s="21"/>
      <c r="IR47" s="21"/>
      <c r="IS47" s="21"/>
      <c r="IT47" s="21"/>
      <c r="IU47" s="21"/>
      <c r="IV47" s="21"/>
      <c r="IW47" s="21"/>
      <c r="IX47" s="21"/>
      <c r="IY47" s="21"/>
      <c r="IZ47" s="21"/>
      <c r="JA47" s="21"/>
      <c r="JB47" s="21"/>
      <c r="JC47" s="21"/>
      <c r="JD47" s="21"/>
      <c r="JE47" s="21"/>
      <c r="JF47" s="21"/>
      <c r="JG47" s="21"/>
      <c r="JH47" s="21"/>
      <c r="JI47" s="21"/>
      <c r="JJ47" s="21"/>
      <c r="JK47" s="21"/>
      <c r="JL47" s="21"/>
      <c r="JM47" s="21"/>
      <c r="JN47" s="21"/>
      <c r="JO47" s="21"/>
      <c r="JP47" s="21"/>
      <c r="JQ47" s="21"/>
      <c r="JR47" s="21"/>
      <c r="JS47" s="21"/>
      <c r="JT47" s="21"/>
      <c r="JU47" s="21"/>
      <c r="JV47" s="21"/>
      <c r="JW47" s="21"/>
      <c r="JX47" s="21"/>
      <c r="JY47" s="21"/>
      <c r="JZ47" s="21"/>
      <c r="KA47" s="21"/>
      <c r="KB47" s="21"/>
      <c r="KC47" s="21"/>
      <c r="KD47" s="21"/>
      <c r="KE47" s="21"/>
      <c r="KF47" s="21"/>
      <c r="KG47" s="21"/>
      <c r="KH47" s="21"/>
    </row>
    <row r="48" spans="1:294" x14ac:dyDescent="0.25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5" t="s">
        <v>1434</v>
      </c>
      <c r="M48" s="11">
        <f>INDEX(cennik!$C$2:$L$529,MATCH($L48,cennik!$B$2:$B$522,0),MATCH(M$28,cennik!$C$1:$L$1,0))</f>
        <v>660352</v>
      </c>
      <c r="N48" s="11" t="str">
        <f>INDEX(cennik!$C$2:$L$529,MATCH($L48,cennik!$B$2:$B$522,0),MATCH(N$28,cennik!$C$1:$L$1,0))</f>
        <v>100 szt.</v>
      </c>
      <c r="O48" s="14">
        <f>ROUNDUP((O29*4)/100,0)</f>
        <v>0</v>
      </c>
      <c r="P48" s="11">
        <f>INDEX(cennik!$C$2:$L$529,MATCH($L48,cennik!$B$2:$B$522,0),MATCH(P$28,cennik!$C$1:$L$1,0))</f>
        <v>89.39</v>
      </c>
      <c r="Q48" s="14">
        <f>O48*P48</f>
        <v>0</v>
      </c>
      <c r="R48" s="14">
        <f t="shared" si="11"/>
        <v>0</v>
      </c>
      <c r="S48" s="34">
        <f t="shared" si="12"/>
        <v>89.39</v>
      </c>
      <c r="T48" s="14">
        <f t="shared" si="16"/>
        <v>0</v>
      </c>
      <c r="U48" s="34">
        <f>INDEX(cennik!$C$2:$L$529,MATCH($L48,cennik!$B$2:$B$522,0),MATCH(U$28,cennik!$C$1:$L$1,0))*O48</f>
        <v>0</v>
      </c>
      <c r="V48" s="21"/>
      <c r="W48" s="21"/>
      <c r="X48" s="21"/>
      <c r="Y48" s="21"/>
      <c r="Z48" s="21"/>
      <c r="AA48" s="21"/>
      <c r="AB48" s="21"/>
      <c r="AC48" s="21"/>
      <c r="AD48" s="21"/>
      <c r="AE48" s="21"/>
      <c r="AF48" s="21"/>
      <c r="AG48" s="21"/>
      <c r="AH48" s="21"/>
      <c r="AI48" s="21"/>
      <c r="AJ48" s="21"/>
      <c r="AK48" s="21"/>
      <c r="AL48" s="21"/>
      <c r="AM48" s="21"/>
      <c r="AN48" s="21" t="s">
        <v>1435</v>
      </c>
      <c r="AO48" s="21">
        <f>IF(E33=AF9,O29*4,0)</f>
        <v>0</v>
      </c>
      <c r="AP48" s="21"/>
      <c r="AQ48" s="21"/>
      <c r="AR48" s="21"/>
      <c r="AS48" s="21"/>
      <c r="AT48" s="21"/>
      <c r="AU48" s="21"/>
      <c r="AV48" s="21"/>
      <c r="AW48" s="21"/>
      <c r="AX48" s="21"/>
      <c r="AY48" s="21"/>
      <c r="AZ48" s="21"/>
      <c r="BA48" s="21"/>
      <c r="BB48" s="21"/>
      <c r="BC48" s="21"/>
      <c r="BD48" s="21"/>
      <c r="BE48" s="21"/>
      <c r="BF48" s="21"/>
      <c r="BG48" s="21"/>
      <c r="BH48" s="21"/>
      <c r="BI48" s="21"/>
      <c r="BJ48" s="21"/>
      <c r="BK48" s="21"/>
      <c r="BL48" s="21"/>
      <c r="BM48" s="21"/>
      <c r="BN48" s="21"/>
      <c r="BO48" s="21"/>
      <c r="BP48" s="21"/>
      <c r="BQ48" s="21"/>
      <c r="BR48" s="21"/>
      <c r="BS48" s="21"/>
      <c r="BT48" s="21"/>
      <c r="BU48" s="21"/>
      <c r="BV48" s="21"/>
      <c r="BW48" s="21"/>
      <c r="BX48" s="21"/>
      <c r="BY48" s="21"/>
      <c r="BZ48" s="21"/>
      <c r="CA48" s="21"/>
      <c r="CB48" s="21"/>
      <c r="CC48" s="21"/>
      <c r="CD48" s="21"/>
      <c r="CE48" s="21"/>
      <c r="CF48" s="21"/>
      <c r="CG48" s="21"/>
      <c r="CH48" s="21"/>
      <c r="CI48" s="21"/>
      <c r="CJ48" s="21"/>
      <c r="CK48" s="21"/>
      <c r="CL48" s="21"/>
      <c r="CM48" s="21"/>
      <c r="CN48" s="21"/>
      <c r="CO48" s="21"/>
      <c r="CP48" s="21"/>
      <c r="CQ48" s="21"/>
      <c r="CR48" s="21"/>
      <c r="CS48" s="21"/>
      <c r="CT48" s="21"/>
      <c r="CU48" s="21"/>
      <c r="CV48" s="21"/>
      <c r="CW48" s="21"/>
      <c r="CX48" s="21"/>
      <c r="CY48" s="21"/>
      <c r="CZ48" s="21"/>
      <c r="DA48" s="21"/>
      <c r="DB48" s="21"/>
      <c r="DC48" s="21"/>
      <c r="DD48" s="21"/>
      <c r="DE48" s="21"/>
      <c r="DF48" s="21"/>
      <c r="DG48" s="21"/>
      <c r="DH48" s="21"/>
      <c r="DI48" s="21"/>
      <c r="DJ48" s="21"/>
      <c r="DK48" s="21"/>
      <c r="DL48" s="21"/>
      <c r="DM48" s="21"/>
      <c r="DN48" s="21"/>
      <c r="DO48" s="21"/>
      <c r="DP48" s="21"/>
      <c r="DQ48" s="21"/>
      <c r="DR48" s="21"/>
      <c r="DS48" s="21"/>
      <c r="DT48" s="21"/>
      <c r="DU48" s="21"/>
      <c r="DV48" s="21"/>
      <c r="DW48" s="21"/>
      <c r="DX48" s="21"/>
      <c r="DY48" s="21"/>
      <c r="DZ48" s="87"/>
      <c r="EA48" s="87"/>
      <c r="EB48" s="87"/>
      <c r="EC48" s="21"/>
      <c r="ED48" s="21"/>
      <c r="EE48" s="21"/>
      <c r="EF48" s="21"/>
      <c r="EG48" s="21"/>
      <c r="EH48" s="21"/>
      <c r="EI48" s="21"/>
      <c r="EJ48" s="21"/>
      <c r="EK48" s="21"/>
      <c r="EL48" s="21"/>
      <c r="EM48" s="21"/>
      <c r="EN48" s="21"/>
      <c r="EO48" s="21"/>
      <c r="EP48" s="21"/>
      <c r="EQ48" s="21"/>
      <c r="ER48" s="21"/>
      <c r="ES48" s="21"/>
      <c r="ET48" s="21"/>
      <c r="EU48" s="21"/>
      <c r="EV48" s="21"/>
      <c r="EW48" s="21"/>
      <c r="EX48" s="21"/>
      <c r="EY48" s="21"/>
      <c r="EZ48" s="21"/>
      <c r="FA48" s="21"/>
      <c r="FB48" s="21"/>
      <c r="FC48" s="21"/>
      <c r="FD48" s="21"/>
      <c r="FE48" s="21"/>
      <c r="FF48" s="21"/>
      <c r="FG48" s="21"/>
      <c r="FH48" s="21"/>
      <c r="FI48" s="21"/>
      <c r="FJ48" s="21"/>
      <c r="FK48" s="21"/>
      <c r="FL48" s="21"/>
      <c r="FM48" s="21"/>
      <c r="FN48" s="21"/>
      <c r="FO48" s="21"/>
      <c r="FP48" s="21"/>
      <c r="FQ48" s="21"/>
      <c r="FR48" s="21"/>
      <c r="FS48" s="21"/>
      <c r="FT48" s="21"/>
      <c r="FU48" s="21"/>
      <c r="FV48" s="21"/>
      <c r="FW48" s="21"/>
      <c r="FX48" s="21"/>
      <c r="FY48" s="21"/>
      <c r="FZ48" s="21"/>
      <c r="GA48" s="21"/>
      <c r="GB48" s="21"/>
      <c r="GC48" s="21"/>
      <c r="GD48" s="21"/>
      <c r="GE48" s="21"/>
      <c r="GF48" s="21"/>
      <c r="GG48" s="21"/>
      <c r="GH48" s="21"/>
      <c r="GI48" s="21"/>
      <c r="GJ48" s="21"/>
      <c r="GK48" s="21"/>
      <c r="GL48" s="21"/>
      <c r="GM48" s="21"/>
      <c r="GN48" s="21"/>
      <c r="GO48" s="21"/>
      <c r="GP48" s="21"/>
      <c r="GQ48" s="21"/>
      <c r="GR48" s="21"/>
      <c r="GS48" s="21"/>
      <c r="GT48" s="21"/>
      <c r="GU48" s="21"/>
      <c r="GV48" s="21"/>
      <c r="GW48" s="21"/>
      <c r="GX48" s="21"/>
      <c r="GY48" s="21"/>
      <c r="GZ48" s="21"/>
      <c r="HA48" s="21"/>
      <c r="HB48" s="21"/>
      <c r="HC48" s="21"/>
      <c r="HD48" s="21"/>
      <c r="HE48" s="21"/>
      <c r="HF48" s="21"/>
      <c r="HG48" s="21"/>
      <c r="HH48" s="21"/>
      <c r="HI48" s="21"/>
      <c r="HJ48" s="21"/>
      <c r="HK48" s="21"/>
      <c r="HL48" s="21"/>
      <c r="HM48" s="21"/>
      <c r="HN48" s="21"/>
      <c r="HO48" s="21"/>
      <c r="HP48" s="21"/>
      <c r="HQ48" s="21"/>
      <c r="HR48" s="21"/>
      <c r="HS48" s="21"/>
      <c r="HT48" s="21"/>
      <c r="HU48" s="21"/>
      <c r="HV48" s="186"/>
      <c r="HW48" s="21"/>
      <c r="HX48" s="21"/>
      <c r="HY48" s="21"/>
      <c r="HZ48" s="21"/>
      <c r="IA48" s="21"/>
      <c r="IB48" s="21"/>
      <c r="IC48" s="21"/>
      <c r="ID48" s="21"/>
      <c r="IE48" s="21"/>
      <c r="IF48" s="21"/>
      <c r="IG48" s="21"/>
      <c r="IH48" s="21"/>
      <c r="II48" s="21"/>
      <c r="IJ48" s="21"/>
      <c r="IK48" s="21"/>
      <c r="IL48" s="21"/>
      <c r="IM48" s="21"/>
      <c r="IN48" s="21"/>
      <c r="IO48" s="21"/>
      <c r="IP48" s="21"/>
      <c r="IQ48" s="21"/>
      <c r="IR48" s="21"/>
      <c r="IS48" s="21"/>
      <c r="IT48" s="21"/>
      <c r="IU48" s="21"/>
      <c r="IV48" s="21"/>
      <c r="IW48" s="21"/>
      <c r="IX48" s="21"/>
      <c r="IY48" s="21"/>
      <c r="IZ48" s="21"/>
      <c r="JA48" s="21"/>
      <c r="JB48" s="21"/>
      <c r="JC48" s="21"/>
      <c r="JD48" s="21"/>
      <c r="JE48" s="21"/>
      <c r="JF48" s="21"/>
      <c r="JG48" s="21"/>
      <c r="JH48" s="21"/>
      <c r="JI48" s="21"/>
      <c r="JJ48" s="21"/>
      <c r="JK48" s="21"/>
      <c r="JL48" s="21"/>
      <c r="JM48" s="21"/>
      <c r="JN48" s="21"/>
      <c r="JO48" s="21"/>
      <c r="JP48" s="21"/>
      <c r="JQ48" s="21"/>
      <c r="JR48" s="21"/>
      <c r="JS48" s="21"/>
      <c r="JT48" s="21"/>
      <c r="JU48" s="21"/>
      <c r="JV48" s="21"/>
      <c r="JW48" s="21"/>
      <c r="JX48" s="21"/>
      <c r="JY48" s="21"/>
      <c r="JZ48" s="21"/>
      <c r="KA48" s="21"/>
      <c r="KB48" s="21"/>
      <c r="KC48" s="21"/>
      <c r="KD48" s="21"/>
      <c r="KE48" s="21"/>
      <c r="KF48" s="21"/>
      <c r="KG48" s="21"/>
      <c r="KH48" s="21"/>
    </row>
    <row r="49" spans="1:294" x14ac:dyDescent="0.25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94" t="s">
        <v>1466</v>
      </c>
      <c r="M49" s="11">
        <f>INDEX(cennik!$C$2:$L$529,MATCH($L49,cennik!$B$2:$B$522,0),MATCH(M$28,cennik!$C$1:$L$1,0))</f>
        <v>651441</v>
      </c>
      <c r="N49" s="11" t="str">
        <f>INDEX(cennik!$C$2:$L$529,MATCH($L49,cennik!$B$2:$B$522,0),MATCH(N$28,cennik!$C$1:$L$1,0))</f>
        <v>100 szt.</v>
      </c>
      <c r="O49" s="14">
        <f>ROUNDUP((O31*8)/100,0)</f>
        <v>0</v>
      </c>
      <c r="P49" s="11">
        <f>INDEX(cennik!$C$2:$L$529,MATCH($L49,cennik!$B$2:$B$522,0),MATCH(P$28,cennik!$C$1:$L$1,0))</f>
        <v>52.15</v>
      </c>
      <c r="Q49" s="14">
        <f>O49*P49</f>
        <v>0</v>
      </c>
      <c r="R49" s="14">
        <f>$E$38</f>
        <v>0</v>
      </c>
      <c r="S49" s="34">
        <f t="shared" ref="S49" si="17">P49*((100-$E$38)/100)</f>
        <v>52.15</v>
      </c>
      <c r="T49" s="14">
        <f t="shared" ref="T49" si="18">O49*S49</f>
        <v>0</v>
      </c>
      <c r="U49" s="34">
        <f>INDEX(cennik!$C$2:$L$529,MATCH($L49,cennik!$B$2:$B$522,0),MATCH(U$28,cennik!$C$1:$L$1,0))*O49</f>
        <v>0</v>
      </c>
      <c r="V49" s="21"/>
      <c r="W49" s="21"/>
      <c r="X49" s="21"/>
      <c r="Y49" s="21"/>
      <c r="Z49" s="21"/>
      <c r="AA49" s="21"/>
      <c r="AB49" s="21"/>
      <c r="AC49" s="21"/>
      <c r="AD49" s="21"/>
      <c r="AE49" s="21"/>
      <c r="AF49" s="21"/>
      <c r="AG49" s="21"/>
      <c r="AH49" s="21"/>
      <c r="AI49" s="21"/>
      <c r="AJ49" s="21"/>
      <c r="AK49" s="21"/>
      <c r="AL49" s="21"/>
      <c r="AM49" s="21"/>
      <c r="AN49" s="21" t="s">
        <v>297</v>
      </c>
      <c r="AO49" s="21"/>
      <c r="AP49" s="21"/>
      <c r="AQ49" s="21"/>
      <c r="AR49" s="21"/>
      <c r="AS49" s="21"/>
      <c r="AT49" s="21"/>
      <c r="AU49" s="21"/>
      <c r="AV49" s="21"/>
      <c r="AW49" s="21"/>
      <c r="AX49" s="21"/>
      <c r="AY49" s="21"/>
      <c r="AZ49" s="21"/>
      <c r="BA49" s="21"/>
      <c r="BB49" s="21"/>
      <c r="BC49" s="21"/>
      <c r="BD49" s="21"/>
      <c r="BE49" s="21"/>
      <c r="BF49" s="21"/>
      <c r="BG49" s="21"/>
      <c r="BH49" s="21"/>
      <c r="BI49" s="21"/>
      <c r="BJ49" s="21"/>
      <c r="BK49" s="21"/>
      <c r="BL49" s="21"/>
      <c r="BM49" s="21"/>
      <c r="BN49" s="21"/>
      <c r="BO49" s="21"/>
      <c r="BP49" s="21"/>
      <c r="BQ49" s="21"/>
      <c r="BR49" s="21"/>
      <c r="BS49" s="21"/>
      <c r="BT49" s="21"/>
      <c r="BU49" s="21"/>
      <c r="BV49" s="21"/>
      <c r="BW49" s="21"/>
      <c r="BX49" s="21"/>
      <c r="BY49" s="21"/>
      <c r="BZ49" s="21"/>
      <c r="CA49" s="21"/>
      <c r="CB49" s="21"/>
      <c r="CC49" s="21"/>
      <c r="CD49" s="21"/>
      <c r="CE49" s="21"/>
      <c r="CF49" s="21"/>
      <c r="CG49" s="21"/>
      <c r="CH49" s="21"/>
      <c r="CI49" s="21"/>
      <c r="CJ49" s="21"/>
      <c r="CK49" s="21"/>
      <c r="CL49" s="21"/>
      <c r="CM49" s="21"/>
      <c r="CN49" s="21"/>
      <c r="CO49" s="21"/>
      <c r="CP49" s="21"/>
      <c r="CQ49" s="21"/>
      <c r="CR49" s="21"/>
      <c r="CS49" s="21"/>
      <c r="CT49" s="21"/>
      <c r="CU49" s="21"/>
      <c r="CV49" s="21"/>
      <c r="CW49" s="21"/>
      <c r="CX49" s="21"/>
      <c r="CY49" s="21"/>
      <c r="CZ49" s="21"/>
      <c r="DA49" s="21"/>
      <c r="DB49" s="21"/>
      <c r="DC49" s="21"/>
      <c r="DD49" s="21"/>
      <c r="DE49" s="21"/>
      <c r="DF49" s="21"/>
      <c r="DG49" s="21"/>
      <c r="DH49" s="21"/>
      <c r="DI49" s="21"/>
      <c r="DJ49" s="21"/>
      <c r="DK49" s="21"/>
      <c r="DL49" s="21"/>
      <c r="DM49" s="21"/>
      <c r="DN49" s="21"/>
      <c r="DO49" s="21"/>
      <c r="DP49" s="21"/>
      <c r="DQ49" s="21"/>
      <c r="DR49" s="21"/>
      <c r="DS49" s="21"/>
      <c r="DT49" s="21"/>
      <c r="DU49" s="21"/>
      <c r="DV49" s="21"/>
      <c r="DW49" s="21"/>
      <c r="DX49" s="21"/>
      <c r="DY49" s="21"/>
      <c r="DZ49" s="87"/>
      <c r="EA49" s="87"/>
      <c r="EB49" s="87"/>
      <c r="EC49" s="21"/>
      <c r="ED49" s="21"/>
      <c r="EE49" s="21"/>
      <c r="EF49" s="21"/>
      <c r="EG49" s="21"/>
      <c r="EH49" s="21"/>
      <c r="EI49" s="21"/>
      <c r="EJ49" s="21"/>
      <c r="EK49" s="21"/>
      <c r="EL49" s="21"/>
      <c r="EM49" s="21"/>
      <c r="EN49" s="21"/>
      <c r="EO49" s="21"/>
      <c r="EP49" s="21"/>
      <c r="EQ49" s="21"/>
      <c r="ER49" s="21"/>
      <c r="ES49" s="21"/>
      <c r="ET49" s="21"/>
      <c r="EU49" s="21"/>
      <c r="EV49" s="21"/>
      <c r="EW49" s="21"/>
      <c r="EX49" s="21"/>
      <c r="EY49" s="21"/>
      <c r="EZ49" s="21"/>
      <c r="FA49" s="21"/>
      <c r="FB49" s="21"/>
      <c r="FC49" s="21"/>
      <c r="FD49" s="21"/>
      <c r="FE49" s="21"/>
      <c r="FF49" s="21"/>
      <c r="FG49" s="21"/>
      <c r="FH49" s="21"/>
      <c r="FI49" s="21"/>
      <c r="FJ49" s="21"/>
      <c r="FK49" s="21"/>
      <c r="FL49" s="21"/>
      <c r="FM49" s="21"/>
      <c r="FN49" s="21"/>
      <c r="FO49" s="21"/>
      <c r="FP49" s="21"/>
      <c r="FQ49" s="21"/>
      <c r="FR49" s="21"/>
      <c r="FS49" s="21"/>
      <c r="FT49" s="21"/>
      <c r="FU49" s="21"/>
      <c r="FV49" s="21"/>
      <c r="FW49" s="21"/>
      <c r="FX49" s="21"/>
      <c r="FY49" s="21"/>
      <c r="FZ49" s="21"/>
      <c r="GA49" s="21"/>
      <c r="GB49" s="21"/>
      <c r="GC49" s="21"/>
      <c r="GD49" s="21"/>
      <c r="GE49" s="21"/>
      <c r="GF49" s="21"/>
      <c r="GG49" s="21"/>
      <c r="GH49" s="21"/>
      <c r="GI49" s="21"/>
      <c r="GJ49" s="21"/>
      <c r="GK49" s="21"/>
      <c r="GL49" s="21"/>
      <c r="GM49" s="21"/>
      <c r="GN49" s="21"/>
      <c r="GO49" s="21"/>
      <c r="GP49" s="21"/>
      <c r="GQ49" s="21"/>
      <c r="GR49" s="21"/>
      <c r="GS49" s="21"/>
      <c r="GT49" s="21"/>
      <c r="GU49" s="21"/>
      <c r="GV49" s="21"/>
      <c r="GW49" s="21"/>
      <c r="GX49" s="21"/>
      <c r="GY49" s="21"/>
      <c r="GZ49" s="21"/>
      <c r="HA49" s="21"/>
      <c r="HB49" s="21"/>
      <c r="HC49" s="21"/>
      <c r="HD49" s="21"/>
      <c r="HE49" s="21"/>
      <c r="HF49" s="21"/>
      <c r="HG49" s="21"/>
      <c r="HH49" s="21"/>
      <c r="HI49" s="21"/>
      <c r="HJ49" s="21"/>
      <c r="HK49" s="21"/>
      <c r="HL49" s="21"/>
      <c r="HM49" s="21"/>
      <c r="HN49" s="21"/>
      <c r="HO49" s="21"/>
      <c r="HP49" s="21"/>
      <c r="HQ49" s="21"/>
      <c r="HR49" s="21"/>
      <c r="HS49" s="21"/>
      <c r="HT49" s="21"/>
      <c r="HU49" s="21"/>
      <c r="HV49" s="186"/>
      <c r="HW49" s="21"/>
      <c r="HX49" s="21"/>
      <c r="HY49" s="21"/>
      <c r="HZ49" s="21"/>
      <c r="IA49" s="21"/>
      <c r="IB49" s="21"/>
      <c r="IC49" s="21"/>
      <c r="ID49" s="21"/>
      <c r="IE49" s="21"/>
      <c r="IF49" s="21"/>
      <c r="IG49" s="21"/>
      <c r="IH49" s="21"/>
      <c r="II49" s="21"/>
      <c r="IJ49" s="21"/>
      <c r="IK49" s="21"/>
      <c r="IL49" s="21"/>
      <c r="IM49" s="21"/>
      <c r="IN49" s="21"/>
      <c r="IO49" s="21"/>
      <c r="IP49" s="21"/>
      <c r="IQ49" s="21"/>
      <c r="IR49" s="21"/>
      <c r="IS49" s="21"/>
      <c r="IT49" s="21"/>
      <c r="IU49" s="21"/>
      <c r="IV49" s="21"/>
      <c r="IW49" s="21"/>
      <c r="IX49" s="21"/>
      <c r="IY49" s="21"/>
      <c r="IZ49" s="21"/>
      <c r="JA49" s="21"/>
      <c r="JB49" s="21"/>
      <c r="JC49" s="21"/>
      <c r="JD49" s="21"/>
      <c r="JE49" s="21"/>
      <c r="JF49" s="21"/>
      <c r="JG49" s="21"/>
      <c r="JH49" s="21"/>
      <c r="JI49" s="21"/>
      <c r="JJ49" s="21"/>
      <c r="JK49" s="21"/>
      <c r="JL49" s="21"/>
      <c r="JM49" s="21"/>
      <c r="JN49" s="21"/>
      <c r="JO49" s="21"/>
      <c r="JP49" s="21"/>
      <c r="JQ49" s="21"/>
      <c r="JR49" s="21"/>
      <c r="JS49" s="21"/>
      <c r="JT49" s="21"/>
      <c r="JU49" s="21"/>
      <c r="JV49" s="21"/>
      <c r="JW49" s="21"/>
      <c r="JX49" s="21"/>
      <c r="JY49" s="21"/>
      <c r="JZ49" s="21"/>
      <c r="KA49" s="21"/>
      <c r="KB49" s="21"/>
      <c r="KC49" s="21"/>
      <c r="KD49" s="21"/>
      <c r="KE49" s="21"/>
      <c r="KF49" s="21"/>
      <c r="KG49" s="21"/>
      <c r="KH49" s="21"/>
    </row>
    <row r="50" spans="1:294" x14ac:dyDescent="0.25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22">
        <f>SUM(T29:T49)</f>
        <v>0</v>
      </c>
      <c r="U50" s="22">
        <f>SUM(U29:U49)</f>
        <v>0</v>
      </c>
      <c r="V50" s="21"/>
      <c r="W50" s="21"/>
      <c r="X50" s="21"/>
      <c r="Y50" s="21"/>
      <c r="Z50" s="21"/>
      <c r="AA50" s="21"/>
      <c r="AB50" s="21"/>
      <c r="AC50" s="21"/>
      <c r="AD50" s="21"/>
      <c r="AE50" s="21"/>
      <c r="AF50" s="21"/>
      <c r="AG50" s="21"/>
      <c r="AH50" s="21"/>
      <c r="AI50" s="21"/>
      <c r="AJ50" s="21"/>
      <c r="AK50" s="21"/>
      <c r="AL50" s="21"/>
      <c r="AM50" s="21"/>
      <c r="AN50" s="21" t="s">
        <v>67</v>
      </c>
      <c r="AO50" s="21"/>
      <c r="AP50" s="21"/>
      <c r="AQ50" s="21"/>
      <c r="AR50" s="21"/>
      <c r="AS50" s="21"/>
      <c r="AT50" s="21"/>
      <c r="AU50" s="21"/>
      <c r="AV50" s="21"/>
      <c r="AW50" s="21"/>
      <c r="AX50" s="21"/>
      <c r="AY50" s="21"/>
      <c r="AZ50" s="21"/>
      <c r="BA50" s="21"/>
      <c r="BB50" s="21"/>
      <c r="BC50" s="21"/>
      <c r="BD50" s="21"/>
      <c r="BE50" s="21"/>
      <c r="BF50" s="21"/>
      <c r="BG50" s="21"/>
      <c r="BH50" s="21"/>
      <c r="BI50" s="21"/>
      <c r="BJ50" s="21"/>
      <c r="BK50" s="21"/>
      <c r="BL50" s="21"/>
      <c r="BM50" s="21"/>
      <c r="BN50" s="21"/>
      <c r="BO50" s="21"/>
      <c r="BP50" s="21"/>
      <c r="BQ50" s="21"/>
      <c r="BR50" s="21"/>
      <c r="BS50" s="21"/>
      <c r="BT50" s="21"/>
      <c r="BU50" s="21"/>
      <c r="BV50" s="21"/>
      <c r="BW50" s="21"/>
      <c r="BX50" s="21"/>
      <c r="BY50" s="21"/>
      <c r="BZ50" s="21"/>
      <c r="CA50" s="21"/>
      <c r="CB50" s="21"/>
      <c r="CC50" s="21"/>
      <c r="CD50" s="21"/>
      <c r="CE50" s="21"/>
      <c r="CF50" s="21"/>
      <c r="CG50" s="21"/>
      <c r="CH50" s="21"/>
      <c r="CI50" s="21"/>
      <c r="CJ50" s="21"/>
      <c r="CK50" s="21"/>
      <c r="CL50" s="21"/>
      <c r="CM50" s="21"/>
      <c r="CN50" s="21"/>
      <c r="CO50" s="21"/>
      <c r="CP50" s="21"/>
      <c r="CQ50" s="21"/>
      <c r="CR50" s="21"/>
      <c r="CS50" s="21"/>
      <c r="CT50" s="21"/>
      <c r="CU50" s="21"/>
      <c r="CV50" s="21"/>
      <c r="CW50" s="21"/>
      <c r="CX50" s="21"/>
      <c r="CY50" s="21"/>
      <c r="CZ50" s="21"/>
      <c r="DA50" s="21"/>
      <c r="DB50" s="21"/>
      <c r="DC50" s="21"/>
      <c r="DD50" s="21"/>
      <c r="DE50" s="21"/>
      <c r="DF50" s="21"/>
      <c r="DG50" s="21"/>
      <c r="DH50" s="21"/>
      <c r="DI50" s="21"/>
      <c r="DJ50" s="21"/>
      <c r="DK50" s="21"/>
      <c r="DL50" s="21"/>
      <c r="DM50" s="21"/>
      <c r="DN50" s="21"/>
      <c r="DO50" s="21"/>
      <c r="DP50" s="21"/>
      <c r="DQ50" s="21"/>
      <c r="DR50" s="21"/>
      <c r="DS50" s="21"/>
      <c r="DT50" s="21"/>
      <c r="DU50" s="21"/>
      <c r="DV50" s="21"/>
      <c r="DW50" s="21"/>
      <c r="DX50" s="21"/>
      <c r="DY50" s="21"/>
      <c r="DZ50" s="87"/>
      <c r="EA50" s="87"/>
      <c r="EB50" s="87"/>
      <c r="EC50" s="21"/>
      <c r="ED50" s="21"/>
      <c r="EE50" s="21"/>
      <c r="EF50" s="21"/>
      <c r="EG50" s="21"/>
      <c r="EH50" s="21"/>
      <c r="EI50" s="21"/>
      <c r="EJ50" s="21"/>
      <c r="EK50" s="21"/>
      <c r="EL50" s="21"/>
      <c r="EM50" s="21"/>
      <c r="EN50" s="21"/>
      <c r="EO50" s="21"/>
      <c r="EP50" s="21"/>
      <c r="EQ50" s="21"/>
      <c r="ER50" s="21"/>
      <c r="ES50" s="21"/>
      <c r="ET50" s="21"/>
      <c r="EU50" s="21"/>
      <c r="EV50" s="21"/>
      <c r="EW50" s="21"/>
      <c r="EX50" s="21"/>
      <c r="EY50" s="21"/>
      <c r="EZ50" s="21"/>
      <c r="FA50" s="21"/>
      <c r="FB50" s="21"/>
      <c r="FC50" s="21"/>
      <c r="FD50" s="21"/>
      <c r="FE50" s="21"/>
      <c r="FF50" s="21"/>
      <c r="FG50" s="21"/>
      <c r="FH50" s="21"/>
      <c r="FI50" s="21"/>
      <c r="FJ50" s="21"/>
      <c r="FK50" s="21"/>
      <c r="FL50" s="21"/>
      <c r="FM50" s="21"/>
      <c r="FN50" s="21"/>
      <c r="FO50" s="21"/>
      <c r="FP50" s="21"/>
      <c r="FQ50" s="21"/>
      <c r="FR50" s="21"/>
      <c r="FS50" s="21"/>
      <c r="FT50" s="21"/>
      <c r="FU50" s="21"/>
      <c r="FV50" s="21"/>
      <c r="FW50" s="21"/>
      <c r="FX50" s="21"/>
      <c r="FY50" s="21"/>
      <c r="FZ50" s="21"/>
      <c r="GA50" s="21"/>
      <c r="GB50" s="21"/>
      <c r="GC50" s="21"/>
      <c r="GD50" s="21"/>
      <c r="GE50" s="21"/>
      <c r="GF50" s="21"/>
      <c r="GG50" s="21"/>
      <c r="GH50" s="21"/>
      <c r="GI50" s="21"/>
      <c r="GJ50" s="21"/>
      <c r="GK50" s="21"/>
      <c r="GL50" s="21"/>
      <c r="GM50" s="21"/>
      <c r="GN50" s="21"/>
      <c r="GO50" s="21"/>
      <c r="GP50" s="21"/>
      <c r="GQ50" s="21"/>
      <c r="GR50" s="21"/>
      <c r="GS50" s="21"/>
      <c r="GT50" s="21"/>
      <c r="GU50" s="21"/>
      <c r="GV50" s="21"/>
      <c r="GW50" s="21"/>
      <c r="GX50" s="21"/>
      <c r="GY50" s="21"/>
      <c r="GZ50" s="21"/>
      <c r="HA50" s="21"/>
      <c r="HB50" s="21"/>
      <c r="HC50" s="21"/>
      <c r="HD50" s="21"/>
      <c r="HE50" s="21"/>
      <c r="HF50" s="21"/>
      <c r="HG50" s="21"/>
      <c r="HH50" s="21"/>
      <c r="HI50" s="21"/>
      <c r="HJ50" s="21"/>
      <c r="HK50" s="21"/>
      <c r="HL50" s="21"/>
      <c r="HM50" s="21"/>
      <c r="HN50" s="21"/>
      <c r="HO50" s="21"/>
      <c r="HP50" s="21"/>
      <c r="HQ50" s="21"/>
      <c r="HR50" s="21"/>
      <c r="HS50" s="21"/>
      <c r="HT50" s="21"/>
      <c r="HU50" s="21"/>
      <c r="HV50" s="186"/>
      <c r="HW50" s="21"/>
      <c r="HX50" s="21"/>
      <c r="HY50" s="21"/>
      <c r="HZ50" s="21"/>
      <c r="IA50" s="21"/>
      <c r="IB50" s="21"/>
      <c r="IC50" s="21"/>
      <c r="ID50" s="21"/>
      <c r="IE50" s="21"/>
      <c r="IF50" s="21"/>
      <c r="IG50" s="21"/>
      <c r="IH50" s="21"/>
      <c r="II50" s="21"/>
      <c r="IJ50" s="21"/>
      <c r="IK50" s="21"/>
      <c r="IL50" s="21"/>
      <c r="IM50" s="21"/>
      <c r="IN50" s="21"/>
      <c r="IO50" s="21"/>
      <c r="IP50" s="21"/>
      <c r="IQ50" s="21"/>
      <c r="IR50" s="21"/>
      <c r="IS50" s="21"/>
      <c r="IT50" s="21"/>
      <c r="IU50" s="21"/>
      <c r="IV50" s="21"/>
      <c r="IW50" s="21"/>
      <c r="IX50" s="21"/>
      <c r="IY50" s="21"/>
      <c r="IZ50" s="21"/>
      <c r="JA50" s="21"/>
      <c r="JB50" s="21"/>
      <c r="JC50" s="21"/>
      <c r="JD50" s="21"/>
      <c r="JE50" s="21"/>
      <c r="JF50" s="21"/>
      <c r="JG50" s="21"/>
      <c r="JH50" s="21"/>
      <c r="JI50" s="21"/>
      <c r="JJ50" s="21"/>
      <c r="JK50" s="21"/>
      <c r="JL50" s="21"/>
      <c r="JM50" s="21"/>
      <c r="JN50" s="21"/>
      <c r="JO50" s="21"/>
      <c r="JP50" s="21"/>
      <c r="JQ50" s="21"/>
      <c r="JR50" s="21"/>
      <c r="JS50" s="21"/>
      <c r="JT50" s="21"/>
      <c r="JU50" s="21"/>
      <c r="JV50" s="21"/>
      <c r="JW50" s="21"/>
      <c r="JX50" s="21"/>
      <c r="JY50" s="21"/>
      <c r="JZ50" s="21"/>
      <c r="KA50" s="21"/>
      <c r="KB50" s="21"/>
      <c r="KC50" s="21"/>
      <c r="KD50" s="21"/>
      <c r="KE50" s="21"/>
      <c r="KF50" s="21"/>
      <c r="KG50" s="21"/>
      <c r="KH50" s="21"/>
    </row>
    <row r="51" spans="1:294" x14ac:dyDescent="0.2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21"/>
      <c r="W51" s="21"/>
      <c r="X51" s="21"/>
      <c r="Y51" s="21"/>
      <c r="Z51" s="21"/>
      <c r="AA51" s="21"/>
      <c r="AB51" s="21"/>
      <c r="AC51" s="21"/>
      <c r="AD51" s="21"/>
      <c r="AE51" s="21"/>
      <c r="AF51" s="21"/>
      <c r="AG51" s="21"/>
      <c r="AH51" s="21"/>
      <c r="AI51" s="21"/>
      <c r="AJ51" s="21"/>
      <c r="AK51" s="21"/>
      <c r="AL51" s="21"/>
      <c r="AM51" s="21"/>
      <c r="AN51" s="21" t="s">
        <v>786</v>
      </c>
      <c r="AO51" s="21"/>
      <c r="AP51" s="21"/>
      <c r="AQ51" s="21"/>
      <c r="AR51" s="21"/>
      <c r="AS51" s="21"/>
      <c r="AT51" s="21"/>
      <c r="AU51" s="21"/>
      <c r="AV51" s="21"/>
      <c r="AW51" s="21"/>
      <c r="AX51" s="21"/>
      <c r="AY51" s="21"/>
      <c r="AZ51" s="21"/>
      <c r="BA51" s="21"/>
      <c r="BB51" s="21"/>
      <c r="BC51" s="21"/>
      <c r="BD51" s="21"/>
      <c r="BE51" s="21"/>
      <c r="BF51" s="21"/>
      <c r="BG51" s="21"/>
      <c r="BH51" s="21"/>
      <c r="BI51" s="21"/>
      <c r="BJ51" s="21"/>
      <c r="BK51" s="21"/>
      <c r="BL51" s="21"/>
      <c r="BM51" s="21"/>
      <c r="BN51" s="21"/>
      <c r="BO51" s="21"/>
      <c r="BP51" s="21"/>
      <c r="BQ51" s="21"/>
      <c r="BR51" s="21"/>
      <c r="BS51" s="21"/>
      <c r="BT51" s="21"/>
      <c r="BU51" s="21"/>
      <c r="BV51" s="21"/>
      <c r="BW51" s="21"/>
      <c r="BX51" s="21"/>
      <c r="BY51" s="21"/>
      <c r="BZ51" s="21"/>
      <c r="CA51" s="21"/>
      <c r="CB51" s="21"/>
      <c r="CC51" s="21"/>
      <c r="CD51" s="21"/>
      <c r="CE51" s="21"/>
      <c r="CF51" s="21"/>
      <c r="CG51" s="21"/>
      <c r="CH51" s="21"/>
      <c r="CI51" s="21"/>
      <c r="CJ51" s="21"/>
      <c r="CK51" s="21"/>
      <c r="CL51" s="21"/>
      <c r="CM51" s="21"/>
      <c r="CN51" s="21"/>
      <c r="CO51" s="21"/>
      <c r="CP51" s="21"/>
      <c r="CQ51" s="21"/>
      <c r="CR51" s="21"/>
      <c r="CS51" s="21"/>
      <c r="CT51" s="21"/>
      <c r="CU51" s="21"/>
      <c r="CV51" s="21"/>
      <c r="CW51" s="21"/>
      <c r="CX51" s="21"/>
      <c r="CY51" s="21"/>
      <c r="CZ51" s="21"/>
      <c r="DA51" s="21"/>
      <c r="DB51" s="21"/>
      <c r="DC51" s="21"/>
      <c r="DD51" s="21"/>
      <c r="DE51" s="21"/>
      <c r="DF51" s="21"/>
      <c r="DG51" s="21"/>
      <c r="DH51" s="21"/>
      <c r="DI51" s="21"/>
      <c r="DJ51" s="21"/>
      <c r="DK51" s="21"/>
      <c r="DL51" s="21"/>
      <c r="DM51" s="21"/>
      <c r="DN51" s="21"/>
      <c r="DO51" s="21"/>
      <c r="DP51" s="21"/>
      <c r="DQ51" s="21"/>
      <c r="DR51" s="21"/>
      <c r="DS51" s="21"/>
      <c r="DT51" s="21"/>
      <c r="DU51" s="21"/>
      <c r="DV51" s="21"/>
      <c r="DW51" s="21"/>
      <c r="DX51" s="21"/>
      <c r="DY51" s="21"/>
      <c r="DZ51" s="87"/>
      <c r="EA51" s="87"/>
      <c r="EB51" s="87"/>
      <c r="EC51" s="21"/>
      <c r="ED51" s="21"/>
      <c r="EE51" s="21"/>
      <c r="EF51" s="21"/>
      <c r="EG51" s="21"/>
      <c r="EH51" s="21"/>
      <c r="EI51" s="21"/>
      <c r="EJ51" s="21"/>
      <c r="EK51" s="21"/>
      <c r="EL51" s="21"/>
      <c r="EM51" s="21"/>
      <c r="EN51" s="21"/>
      <c r="EO51" s="21"/>
      <c r="EP51" s="21"/>
      <c r="EQ51" s="21"/>
      <c r="ER51" s="21"/>
      <c r="ES51" s="21"/>
      <c r="ET51" s="21"/>
      <c r="EU51" s="21"/>
      <c r="EV51" s="21"/>
      <c r="EW51" s="21"/>
      <c r="EX51" s="21"/>
      <c r="EY51" s="21"/>
      <c r="EZ51" s="21"/>
      <c r="FA51" s="21"/>
      <c r="FB51" s="21"/>
      <c r="FC51" s="21"/>
      <c r="FD51" s="21"/>
      <c r="FE51" s="21"/>
      <c r="FF51" s="21"/>
      <c r="FG51" s="21"/>
      <c r="FH51" s="21"/>
      <c r="FI51" s="21"/>
      <c r="FJ51" s="21"/>
      <c r="FK51" s="21"/>
      <c r="FL51" s="21"/>
      <c r="FM51" s="21"/>
      <c r="FN51" s="21"/>
      <c r="FO51" s="21"/>
      <c r="FP51" s="21"/>
      <c r="FQ51" s="21"/>
      <c r="FR51" s="21"/>
      <c r="FS51" s="21"/>
      <c r="FT51" s="21"/>
      <c r="FU51" s="21"/>
      <c r="FV51" s="21"/>
      <c r="FW51" s="21"/>
      <c r="FX51" s="21"/>
      <c r="FY51" s="21"/>
      <c r="FZ51" s="21"/>
      <c r="GA51" s="21"/>
      <c r="GB51" s="21"/>
      <c r="GC51" s="21"/>
      <c r="GD51" s="21"/>
      <c r="GE51" s="21"/>
      <c r="GF51" s="21"/>
      <c r="GG51" s="21"/>
      <c r="GH51" s="21"/>
      <c r="GI51" s="21"/>
      <c r="GJ51" s="21"/>
      <c r="GK51" s="21"/>
      <c r="GL51" s="21"/>
      <c r="GM51" s="21"/>
      <c r="GN51" s="21"/>
      <c r="GO51" s="21"/>
      <c r="GP51" s="21"/>
      <c r="GQ51" s="21"/>
      <c r="GR51" s="21"/>
      <c r="GS51" s="21"/>
      <c r="GT51" s="21"/>
      <c r="GU51" s="21"/>
      <c r="GV51" s="21"/>
      <c r="GW51" s="21"/>
      <c r="GX51" s="21"/>
      <c r="GY51" s="21"/>
      <c r="GZ51" s="21"/>
      <c r="HA51" s="21"/>
      <c r="HB51" s="21"/>
      <c r="HC51" s="21"/>
      <c r="HD51" s="21"/>
      <c r="HE51" s="21"/>
      <c r="HF51" s="21"/>
      <c r="HG51" s="21"/>
      <c r="HH51" s="21"/>
      <c r="HI51" s="21"/>
      <c r="HJ51" s="21"/>
      <c r="HK51" s="21"/>
      <c r="HL51" s="21"/>
      <c r="HM51" s="21"/>
      <c r="HN51" s="21"/>
      <c r="HO51" s="21"/>
      <c r="HP51" s="21"/>
      <c r="HQ51" s="21"/>
      <c r="HR51" s="21"/>
      <c r="HS51" s="21"/>
      <c r="HT51" s="21"/>
      <c r="HU51" s="21"/>
      <c r="HV51" s="186"/>
      <c r="HW51" s="21"/>
      <c r="HX51" s="21"/>
      <c r="HY51" s="21"/>
      <c r="HZ51" s="21"/>
      <c r="IA51" s="21"/>
      <c r="IB51" s="21"/>
      <c r="IC51" s="21"/>
      <c r="ID51" s="21"/>
      <c r="IE51" s="21"/>
      <c r="IF51" s="21"/>
      <c r="IG51" s="21"/>
      <c r="IH51" s="21"/>
      <c r="II51" s="21"/>
      <c r="IJ51" s="21"/>
      <c r="IK51" s="21"/>
      <c r="IL51" s="21"/>
      <c r="IM51" s="21"/>
      <c r="IN51" s="21"/>
      <c r="IO51" s="21"/>
      <c r="IP51" s="21"/>
      <c r="IQ51" s="21"/>
      <c r="IR51" s="21"/>
      <c r="IS51" s="21"/>
      <c r="IT51" s="21"/>
      <c r="IU51" s="21"/>
      <c r="IV51" s="21"/>
      <c r="IW51" s="21"/>
      <c r="IX51" s="21"/>
      <c r="IY51" s="21"/>
      <c r="IZ51" s="21"/>
      <c r="JA51" s="21"/>
      <c r="JB51" s="21"/>
      <c r="JC51" s="21"/>
      <c r="JD51" s="21"/>
      <c r="JE51" s="21"/>
      <c r="JF51" s="21"/>
      <c r="JG51" s="21"/>
      <c r="JH51" s="21"/>
      <c r="JI51" s="21"/>
      <c r="JJ51" s="21"/>
      <c r="JK51" s="21"/>
      <c r="JL51" s="21"/>
      <c r="JM51" s="21"/>
      <c r="JN51" s="21"/>
      <c r="JO51" s="21"/>
      <c r="JP51" s="21"/>
      <c r="JQ51" s="21"/>
      <c r="JR51" s="21"/>
      <c r="JS51" s="21"/>
      <c r="JT51" s="21"/>
      <c r="JU51" s="21"/>
      <c r="JV51" s="21"/>
      <c r="JW51" s="21"/>
      <c r="JX51" s="21"/>
      <c r="JY51" s="21"/>
      <c r="JZ51" s="21"/>
      <c r="KA51" s="21"/>
      <c r="KB51" s="21"/>
      <c r="KC51" s="21"/>
      <c r="KD51" s="21"/>
      <c r="KE51" s="21"/>
      <c r="KF51" s="21"/>
      <c r="KG51" s="21"/>
      <c r="KH51" s="21"/>
    </row>
    <row r="52" spans="1:294" ht="51.75" hidden="1" x14ac:dyDescent="0.25">
      <c r="A52" s="3" t="s">
        <v>120</v>
      </c>
      <c r="B52" s="3"/>
      <c r="C52" s="3" t="s">
        <v>121</v>
      </c>
      <c r="D52" s="1"/>
      <c r="E52" s="1"/>
      <c r="F52" s="1"/>
      <c r="G52" s="1"/>
      <c r="H52" s="1"/>
      <c r="I52" s="1"/>
      <c r="J52" s="1"/>
      <c r="K52" s="1"/>
      <c r="L52" s="360" t="str">
        <f>IF(E57=$AF$58,"KONSTRUKCJA DP-DNHBF",IF(E57=$AF$59,"KONSTRUKCJA DP-DNHKF",IF(E57=$AF$60,"KONSTRUKCJA DP-DNHWF",IF(E57=$AF$61,"KONSTRUKCJA DP-DNHKSF"))))</f>
        <v>KONSTRUKCJA DP-DNHBF</v>
      </c>
      <c r="M52" s="360"/>
      <c r="N52" s="360"/>
      <c r="O52" s="360"/>
      <c r="P52" s="360"/>
      <c r="Q52" s="360"/>
      <c r="R52" s="360"/>
      <c r="S52" s="360"/>
      <c r="T52" s="360"/>
      <c r="U52" s="360"/>
      <c r="V52" s="21"/>
      <c r="W52" s="21"/>
      <c r="X52" s="21"/>
      <c r="Y52" s="21"/>
      <c r="Z52" s="21"/>
      <c r="AA52" s="21"/>
      <c r="AB52" s="21"/>
      <c r="AC52" s="21"/>
      <c r="AD52" s="21"/>
      <c r="AE52" s="21"/>
      <c r="AF52" s="26" t="s">
        <v>1231</v>
      </c>
      <c r="AG52" s="21"/>
      <c r="AH52" s="21"/>
      <c r="AI52" s="21"/>
      <c r="AJ52" s="21"/>
      <c r="AK52" s="21"/>
      <c r="AL52" s="21"/>
      <c r="AM52" s="21"/>
      <c r="AN52" s="21" t="s">
        <v>1434</v>
      </c>
      <c r="AO52" s="26" t="s">
        <v>1205</v>
      </c>
      <c r="AP52" s="26" t="s">
        <v>1206</v>
      </c>
      <c r="AQ52" s="21"/>
      <c r="AR52" s="26"/>
      <c r="AS52" s="21"/>
      <c r="AT52" s="21"/>
      <c r="AU52" s="21"/>
      <c r="AV52" s="21"/>
      <c r="AW52" s="21"/>
      <c r="AX52" s="21"/>
      <c r="AY52" s="26" t="s">
        <v>1203</v>
      </c>
      <c r="AZ52" s="26" t="s">
        <v>1204</v>
      </c>
      <c r="BA52" s="21"/>
      <c r="BB52" s="21"/>
      <c r="BC52" s="21"/>
      <c r="BD52" s="21"/>
      <c r="BE52" s="21"/>
      <c r="BF52" s="21"/>
      <c r="BG52" s="21"/>
      <c r="BH52" s="27" t="s">
        <v>1233</v>
      </c>
      <c r="BI52" s="27" t="s">
        <v>1234</v>
      </c>
      <c r="BJ52" s="21"/>
      <c r="BK52" s="21"/>
      <c r="BL52" s="21"/>
      <c r="BM52" s="21"/>
      <c r="BN52" s="21"/>
      <c r="BO52" s="21"/>
      <c r="BP52" s="21"/>
      <c r="BQ52" s="21"/>
      <c r="BR52" s="21"/>
      <c r="BS52" s="21"/>
      <c r="BT52" s="21"/>
      <c r="BU52" s="21"/>
      <c r="BV52" s="21"/>
      <c r="BW52" s="21"/>
      <c r="BX52" s="21"/>
      <c r="BY52" s="21"/>
      <c r="BZ52" s="21"/>
      <c r="CA52" s="21"/>
      <c r="CB52" s="21"/>
      <c r="CC52" s="21"/>
      <c r="CD52" s="21"/>
      <c r="CE52" s="21"/>
      <c r="CF52" s="21"/>
      <c r="CG52" s="21"/>
      <c r="CH52" s="21"/>
      <c r="CI52" s="21"/>
      <c r="CJ52" s="21"/>
      <c r="CK52" s="21"/>
      <c r="CL52" s="21"/>
      <c r="CM52" s="21"/>
      <c r="CN52" s="21"/>
      <c r="CO52" s="21"/>
      <c r="CP52" s="21"/>
      <c r="CQ52" s="21"/>
      <c r="CR52" s="21"/>
      <c r="CS52" s="21"/>
      <c r="CT52" s="21"/>
      <c r="CU52" s="21"/>
      <c r="CV52" s="21"/>
      <c r="CW52" s="21"/>
      <c r="CX52" s="21"/>
      <c r="CY52" s="21"/>
      <c r="CZ52" s="21"/>
      <c r="DA52" s="21"/>
      <c r="DB52" s="21"/>
      <c r="DC52" s="21"/>
      <c r="DD52" s="21"/>
      <c r="DE52" s="21"/>
      <c r="DF52" s="21"/>
      <c r="DG52" s="21"/>
      <c r="DH52" s="21"/>
      <c r="DI52" s="21"/>
      <c r="DJ52" s="21"/>
      <c r="DK52" s="21"/>
      <c r="DL52" s="21"/>
      <c r="DM52" s="21"/>
      <c r="DN52" s="21"/>
      <c r="DO52" s="21"/>
      <c r="DP52" s="21"/>
      <c r="DQ52" s="21"/>
      <c r="DR52" s="21"/>
      <c r="DS52" s="21"/>
      <c r="DT52" s="21"/>
      <c r="DU52" s="21"/>
      <c r="DV52" s="21"/>
      <c r="DW52" s="21"/>
      <c r="DX52" s="21"/>
      <c r="DY52" s="21"/>
      <c r="DZ52" s="87"/>
      <c r="EA52" s="87"/>
      <c r="EB52" s="87"/>
      <c r="EC52" s="21"/>
      <c r="ED52" s="21"/>
      <c r="EE52" s="21"/>
      <c r="EF52" s="21"/>
      <c r="EG52" s="21"/>
      <c r="EH52" s="21"/>
      <c r="EI52" s="21"/>
      <c r="EJ52" s="21"/>
      <c r="EK52" s="21"/>
      <c r="EL52" s="21"/>
      <c r="EM52" s="21"/>
      <c r="EN52" s="21"/>
      <c r="EO52" s="21"/>
      <c r="EP52" s="21"/>
      <c r="EQ52" s="21"/>
      <c r="ER52" s="21"/>
      <c r="ES52" s="21"/>
      <c r="ET52" s="21"/>
      <c r="EU52" s="21"/>
      <c r="EV52" s="21"/>
      <c r="EW52" s="21"/>
      <c r="EX52" s="21"/>
      <c r="EY52" s="21"/>
      <c r="EZ52" s="21"/>
      <c r="FA52" s="21"/>
      <c r="FB52" s="21"/>
      <c r="FC52" s="21"/>
      <c r="FD52" s="21"/>
      <c r="FE52" s="21"/>
      <c r="FF52" s="21"/>
      <c r="FG52" s="21"/>
      <c r="FH52" s="21"/>
      <c r="FI52" s="21"/>
      <c r="FJ52" s="21"/>
      <c r="FK52" s="21"/>
      <c r="FL52" s="21"/>
      <c r="FM52" s="21"/>
      <c r="FN52" s="21"/>
      <c r="FO52" s="21"/>
      <c r="FP52" s="21"/>
      <c r="FQ52" s="21"/>
      <c r="FR52" s="21"/>
      <c r="FS52" s="21"/>
      <c r="FT52" s="21"/>
      <c r="FU52" s="21"/>
      <c r="FV52" s="21"/>
      <c r="FW52" s="21"/>
      <c r="FX52" s="21"/>
      <c r="FY52" s="21"/>
      <c r="FZ52" s="21"/>
      <c r="GA52" s="21"/>
      <c r="GB52" s="21"/>
      <c r="GC52" s="21"/>
      <c r="GD52" s="21"/>
      <c r="GE52" s="21"/>
      <c r="GF52" s="21"/>
      <c r="GG52" s="21"/>
      <c r="GH52" s="21"/>
      <c r="GI52" s="21"/>
      <c r="GJ52" s="21"/>
      <c r="GK52" s="21"/>
      <c r="GL52" s="21"/>
      <c r="GM52" s="21"/>
      <c r="GN52" s="21"/>
      <c r="GO52" s="21"/>
      <c r="GP52" s="21"/>
      <c r="GQ52" s="21"/>
      <c r="GR52" s="21"/>
      <c r="GS52" s="21"/>
      <c r="GT52" s="21"/>
      <c r="GU52" s="21"/>
      <c r="GV52" s="21"/>
      <c r="GW52" s="21"/>
      <c r="GX52" s="21"/>
      <c r="GY52" s="21"/>
      <c r="GZ52" s="21"/>
      <c r="HA52" s="21"/>
      <c r="HB52" s="21"/>
      <c r="HC52" s="21"/>
      <c r="HD52" s="21"/>
      <c r="HE52" s="21"/>
      <c r="HF52" s="21"/>
      <c r="HG52" s="21"/>
      <c r="HH52" s="21"/>
      <c r="HI52" s="21"/>
      <c r="HJ52" s="21"/>
      <c r="HK52" s="21"/>
      <c r="HL52" s="21"/>
      <c r="HM52" s="21"/>
      <c r="HN52" s="21"/>
      <c r="HO52" s="21"/>
      <c r="HP52" s="21"/>
      <c r="HQ52" s="21"/>
      <c r="HR52" s="21"/>
      <c r="HS52" s="21"/>
      <c r="HT52" s="21"/>
      <c r="HU52" s="21"/>
      <c r="HV52" s="186"/>
      <c r="HW52" s="21"/>
      <c r="HX52" s="21"/>
      <c r="HY52" s="21"/>
      <c r="HZ52" s="21"/>
      <c r="IA52" s="21"/>
      <c r="IB52" s="21"/>
      <c r="IC52" s="21"/>
      <c r="ID52" s="21"/>
      <c r="IE52" s="21"/>
      <c r="IF52" s="21"/>
      <c r="IG52" s="21"/>
      <c r="IH52" s="21"/>
      <c r="II52" s="21"/>
      <c r="IJ52" s="21"/>
      <c r="IK52" s="21"/>
      <c r="IL52" s="21"/>
      <c r="IM52" s="21"/>
      <c r="IN52" s="21"/>
      <c r="IO52" s="21"/>
      <c r="IP52" s="21"/>
      <c r="IQ52" s="21"/>
      <c r="IR52" s="21"/>
      <c r="IS52" s="21"/>
      <c r="IT52" s="21"/>
      <c r="IU52" s="21"/>
      <c r="IV52" s="21"/>
      <c r="IW52" s="21"/>
      <c r="IX52" s="21"/>
      <c r="IY52" s="21"/>
      <c r="IZ52" s="21"/>
      <c r="JA52" s="21"/>
      <c r="JB52" s="21"/>
      <c r="JC52" s="21"/>
      <c r="JD52" s="21"/>
      <c r="JE52" s="21"/>
      <c r="JF52" s="21"/>
      <c r="JG52" s="21"/>
      <c r="JH52" s="21"/>
      <c r="JI52" s="21"/>
      <c r="JJ52" s="21"/>
      <c r="JK52" s="21"/>
      <c r="JL52" s="21"/>
      <c r="JM52" s="21"/>
      <c r="JN52" s="21"/>
      <c r="JO52" s="21"/>
      <c r="JP52" s="21"/>
      <c r="JQ52" s="21"/>
      <c r="JR52" s="21"/>
      <c r="JS52" s="21"/>
      <c r="JT52" s="21"/>
      <c r="JU52" s="21"/>
      <c r="JV52" s="21"/>
      <c r="JW52" s="21"/>
      <c r="JX52" s="21"/>
      <c r="JY52" s="21"/>
      <c r="JZ52" s="21"/>
      <c r="KA52" s="21"/>
      <c r="KB52" s="21"/>
      <c r="KC52" s="21"/>
      <c r="KD52" s="21"/>
      <c r="KE52" s="21"/>
      <c r="KF52" s="21"/>
      <c r="KG52" s="21"/>
      <c r="KH52" s="21"/>
    </row>
    <row r="53" spans="1:294" hidden="1" x14ac:dyDescent="0.25">
      <c r="A53" s="8">
        <v>4</v>
      </c>
      <c r="B53" s="5" t="s">
        <v>116</v>
      </c>
      <c r="C53" s="8">
        <v>1</v>
      </c>
      <c r="D53" s="1"/>
      <c r="E53" s="1"/>
      <c r="F53" s="1"/>
      <c r="G53" s="1"/>
      <c r="H53" s="1"/>
      <c r="I53" s="1"/>
      <c r="J53" s="1"/>
      <c r="K53" s="1"/>
      <c r="L53" s="5" t="s">
        <v>103</v>
      </c>
      <c r="M53" s="5" t="s">
        <v>104</v>
      </c>
      <c r="N53" s="5" t="s">
        <v>107</v>
      </c>
      <c r="O53" s="5" t="s">
        <v>290</v>
      </c>
      <c r="P53" s="5" t="s">
        <v>446</v>
      </c>
      <c r="Q53" s="5" t="s">
        <v>448</v>
      </c>
      <c r="R53" s="5" t="s">
        <v>409</v>
      </c>
      <c r="S53" s="5" t="s">
        <v>447</v>
      </c>
      <c r="T53" s="5" t="s">
        <v>449</v>
      </c>
      <c r="U53" s="5" t="s">
        <v>106</v>
      </c>
      <c r="V53" s="21"/>
      <c r="W53" s="21"/>
      <c r="X53" s="21"/>
      <c r="Y53" s="21"/>
      <c r="Z53" s="21"/>
      <c r="AA53" s="21"/>
      <c r="AB53" s="21"/>
      <c r="AC53" s="21"/>
      <c r="AD53" s="21"/>
      <c r="AE53" s="21"/>
      <c r="AF53" s="26" t="s">
        <v>1232</v>
      </c>
      <c r="AG53" s="21"/>
      <c r="AH53" s="21"/>
      <c r="AI53" s="21"/>
      <c r="AJ53" s="21"/>
      <c r="AK53" s="21"/>
      <c r="AL53" s="21"/>
      <c r="AM53" s="21"/>
      <c r="AN53" s="21"/>
      <c r="AO53" s="186" t="s">
        <v>1215</v>
      </c>
      <c r="AP53" s="186" t="s">
        <v>1218</v>
      </c>
      <c r="AQ53" s="21"/>
      <c r="AR53" s="21"/>
      <c r="AS53" s="21"/>
      <c r="AT53" s="21"/>
      <c r="AU53" s="21"/>
      <c r="AV53" s="21"/>
      <c r="AW53" s="21"/>
      <c r="AX53" s="21"/>
      <c r="AY53" s="26" t="s">
        <v>1209</v>
      </c>
      <c r="AZ53" s="26" t="s">
        <v>1207</v>
      </c>
      <c r="BA53" s="21"/>
      <c r="BB53" s="21"/>
      <c r="BC53" s="21"/>
      <c r="BD53" s="21"/>
      <c r="BE53" s="21"/>
      <c r="BF53" s="21"/>
      <c r="BG53" s="21"/>
      <c r="BH53" s="21">
        <f>IF(A53=0,0,IF(A53&gt;0,(A53+1)*C53))</f>
        <v>5</v>
      </c>
      <c r="BI53" s="21">
        <f>IF(A53=0,0,IF(A53&gt;0,(A53*2)*C53))</f>
        <v>8</v>
      </c>
      <c r="BJ53" s="21"/>
      <c r="BK53" s="21"/>
      <c r="BL53" s="21"/>
      <c r="BM53" s="21"/>
      <c r="BN53" s="21"/>
      <c r="BO53" s="21"/>
      <c r="BP53" s="21"/>
      <c r="BQ53" s="21"/>
      <c r="BR53" s="21"/>
      <c r="BS53" s="21"/>
      <c r="BT53" s="21"/>
      <c r="BU53" s="21"/>
      <c r="BV53" s="21"/>
      <c r="BW53" s="21"/>
      <c r="BX53" s="21"/>
      <c r="BY53" s="21"/>
      <c r="BZ53" s="21"/>
      <c r="CA53" s="21"/>
      <c r="CB53" s="21"/>
      <c r="CC53" s="21"/>
      <c r="CD53" s="21"/>
      <c r="CE53" s="21"/>
      <c r="CF53" s="21"/>
      <c r="CG53" s="21"/>
      <c r="CH53" s="21"/>
      <c r="CI53" s="21"/>
      <c r="CJ53" s="21"/>
      <c r="CK53" s="21"/>
      <c r="CL53" s="21"/>
      <c r="CM53" s="21"/>
      <c r="CN53" s="21"/>
      <c r="CO53" s="21"/>
      <c r="CP53" s="21"/>
      <c r="CQ53" s="21"/>
      <c r="CR53" s="21"/>
      <c r="CS53" s="21"/>
      <c r="CT53" s="21"/>
      <c r="CU53" s="21"/>
      <c r="CV53" s="21"/>
      <c r="CW53" s="21"/>
      <c r="CX53" s="21"/>
      <c r="CY53" s="21"/>
      <c r="CZ53" s="21"/>
      <c r="DA53" s="21"/>
      <c r="DB53" s="21"/>
      <c r="DC53" s="21"/>
      <c r="DD53" s="21"/>
      <c r="DE53" s="21"/>
      <c r="DF53" s="21"/>
      <c r="DG53" s="21"/>
      <c r="DH53" s="21"/>
      <c r="DI53" s="21"/>
      <c r="DJ53" s="21"/>
      <c r="DK53" s="21"/>
      <c r="DL53" s="21"/>
      <c r="DM53" s="21"/>
      <c r="DN53" s="21"/>
      <c r="DO53" s="21"/>
      <c r="DP53" s="21"/>
      <c r="DQ53" s="21"/>
      <c r="DR53" s="21"/>
      <c r="DS53" s="21"/>
      <c r="DT53" s="21"/>
      <c r="DU53" s="21"/>
      <c r="DV53" s="21"/>
      <c r="DW53" s="21"/>
      <c r="DX53" s="21"/>
      <c r="DY53" s="21"/>
      <c r="DZ53" s="87"/>
      <c r="EA53" s="87"/>
      <c r="EB53" s="87"/>
      <c r="EC53" s="21"/>
      <c r="ED53" s="21"/>
      <c r="EE53" s="21"/>
      <c r="EF53" s="21"/>
      <c r="EG53" s="21"/>
      <c r="EH53" s="21"/>
      <c r="EI53" s="21"/>
      <c r="EJ53" s="21"/>
      <c r="EK53" s="21"/>
      <c r="EL53" s="21"/>
      <c r="EM53" s="21"/>
      <c r="EN53" s="21"/>
      <c r="EO53" s="21"/>
      <c r="EP53" s="21"/>
      <c r="EQ53" s="21"/>
      <c r="ER53" s="21"/>
      <c r="ES53" s="21"/>
      <c r="ET53" s="21"/>
      <c r="EU53" s="21"/>
      <c r="EV53" s="21"/>
      <c r="EW53" s="21"/>
      <c r="EX53" s="21"/>
      <c r="EY53" s="21"/>
      <c r="EZ53" s="21"/>
      <c r="FA53" s="21"/>
      <c r="FB53" s="21"/>
      <c r="FC53" s="21"/>
      <c r="FD53" s="21"/>
      <c r="FE53" s="21"/>
      <c r="FF53" s="21"/>
      <c r="FG53" s="21"/>
      <c r="FH53" s="21"/>
      <c r="FI53" s="21"/>
      <c r="FJ53" s="21"/>
      <c r="FK53" s="21"/>
      <c r="FL53" s="21"/>
      <c r="FM53" s="21"/>
      <c r="FN53" s="21"/>
      <c r="FO53" s="21"/>
      <c r="FP53" s="21"/>
      <c r="FQ53" s="21"/>
      <c r="FR53" s="21"/>
      <c r="FS53" s="21"/>
      <c r="FT53" s="21"/>
      <c r="FU53" s="21"/>
      <c r="FV53" s="21"/>
      <c r="FW53" s="21"/>
      <c r="FX53" s="21"/>
      <c r="FY53" s="21"/>
      <c r="FZ53" s="21"/>
      <c r="GA53" s="21"/>
      <c r="GB53" s="21"/>
      <c r="GC53" s="21"/>
      <c r="GD53" s="21"/>
      <c r="GE53" s="21"/>
      <c r="GF53" s="21"/>
      <c r="GG53" s="21"/>
      <c r="GH53" s="21"/>
      <c r="GI53" s="21"/>
      <c r="GJ53" s="21"/>
      <c r="GK53" s="21"/>
      <c r="GL53" s="21"/>
      <c r="GM53" s="21"/>
      <c r="GN53" s="21"/>
      <c r="GO53" s="21"/>
      <c r="GP53" s="21"/>
      <c r="GQ53" s="21"/>
      <c r="GR53" s="21"/>
      <c r="GS53" s="21"/>
      <c r="GT53" s="21"/>
      <c r="GU53" s="21"/>
      <c r="GV53" s="21"/>
      <c r="GW53" s="21"/>
      <c r="GX53" s="21"/>
      <c r="GY53" s="21"/>
      <c r="GZ53" s="21"/>
      <c r="HA53" s="21"/>
      <c r="HB53" s="21"/>
      <c r="HC53" s="21"/>
      <c r="HD53" s="21"/>
      <c r="HE53" s="21"/>
      <c r="HF53" s="21"/>
      <c r="HG53" s="21"/>
      <c r="HH53" s="21"/>
      <c r="HI53" s="21"/>
      <c r="HJ53" s="21"/>
      <c r="HK53" s="21"/>
      <c r="HL53" s="21"/>
      <c r="HM53" s="21"/>
      <c r="HN53" s="21"/>
      <c r="HO53" s="21"/>
      <c r="HP53" s="21"/>
      <c r="HQ53" s="21"/>
      <c r="HR53" s="21"/>
      <c r="HS53" s="21"/>
      <c r="HT53" s="21"/>
      <c r="HU53" s="21"/>
      <c r="HV53" s="186"/>
      <c r="HW53" s="21"/>
      <c r="HX53" s="21"/>
      <c r="HY53" s="21"/>
      <c r="HZ53" s="21"/>
      <c r="IA53" s="21"/>
      <c r="IB53" s="21"/>
      <c r="IC53" s="21"/>
      <c r="ID53" s="21"/>
      <c r="IE53" s="21"/>
      <c r="IF53" s="21"/>
      <c r="IG53" s="21"/>
      <c r="IH53" s="21"/>
      <c r="II53" s="21"/>
      <c r="IJ53" s="21"/>
      <c r="IK53" s="21"/>
      <c r="IL53" s="21"/>
      <c r="IM53" s="21"/>
      <c r="IN53" s="21"/>
      <c r="IO53" s="21"/>
      <c r="IP53" s="21"/>
      <c r="IQ53" s="21"/>
      <c r="IR53" s="21"/>
      <c r="IS53" s="21"/>
      <c r="IT53" s="21"/>
      <c r="IU53" s="21"/>
      <c r="IV53" s="21"/>
      <c r="IW53" s="21"/>
      <c r="IX53" s="21"/>
      <c r="IY53" s="21"/>
      <c r="IZ53" s="21"/>
      <c r="JA53" s="21"/>
      <c r="JB53" s="21"/>
      <c r="JC53" s="21"/>
      <c r="JD53" s="21"/>
      <c r="JE53" s="21"/>
      <c r="JF53" s="21"/>
      <c r="JG53" s="21"/>
      <c r="JH53" s="21"/>
      <c r="JI53" s="21"/>
      <c r="JJ53" s="21"/>
      <c r="JK53" s="21"/>
      <c r="JL53" s="21"/>
      <c r="JM53" s="21"/>
      <c r="JN53" s="21"/>
      <c r="JO53" s="21"/>
      <c r="JP53" s="21"/>
      <c r="JQ53" s="21"/>
      <c r="JR53" s="21"/>
      <c r="JS53" s="21"/>
      <c r="JT53" s="21"/>
      <c r="JU53" s="21"/>
      <c r="JV53" s="21"/>
      <c r="JW53" s="21"/>
      <c r="JX53" s="21"/>
      <c r="JY53" s="21"/>
      <c r="JZ53" s="21"/>
      <c r="KA53" s="21"/>
      <c r="KB53" s="21"/>
      <c r="KC53" s="21"/>
      <c r="KD53" s="21"/>
      <c r="KE53" s="21"/>
      <c r="KF53" s="21"/>
      <c r="KG53" s="21"/>
      <c r="KH53" s="21"/>
    </row>
    <row r="54" spans="1:294" hidden="1" x14ac:dyDescent="0.25">
      <c r="A54" s="8"/>
      <c r="B54" s="5" t="s">
        <v>116</v>
      </c>
      <c r="C54" s="8"/>
      <c r="D54" s="6" t="s">
        <v>118</v>
      </c>
      <c r="E54" s="8" t="s">
        <v>763</v>
      </c>
      <c r="F54" s="5" t="s">
        <v>116</v>
      </c>
      <c r="G54" s="8" t="s">
        <v>114</v>
      </c>
      <c r="H54" s="5" t="s">
        <v>116</v>
      </c>
      <c r="I54" s="8">
        <v>30</v>
      </c>
      <c r="J54" s="5" t="s">
        <v>119</v>
      </c>
      <c r="K54" s="1"/>
      <c r="L54" s="5" t="s">
        <v>1125</v>
      </c>
      <c r="M54" s="11" t="e">
        <f>INDEX(cennik!$C$2:$L$529,MATCH($L54,cennik!$B$2:$B$522,0),MATCH(M$53,cennik!$C$1:$L$1,0))</f>
        <v>#N/A</v>
      </c>
      <c r="N54" s="11" t="e">
        <f>INDEX(cennik!$C$2:$L$529,MATCH($L54,cennik!$B$2:$B$522,0),MATCH(N$53,cennik!$C$1:$L$1,0))</f>
        <v>#N/A</v>
      </c>
      <c r="O54" s="14">
        <f>IF(E55=AF53,SUM(BI53:BI68),IF(E55=AF52,SUM(BH53:BH68),0))</f>
        <v>8</v>
      </c>
      <c r="P54" s="11" t="e">
        <f>INDEX(cennik!$C$2:$L$529,MATCH($L54,cennik!$B$2:$B$522,0),MATCH(P$53,cennik!$C$1:$L$1,0))</f>
        <v>#N/A</v>
      </c>
      <c r="Q54" s="14" t="e">
        <f>O54*P54</f>
        <v>#N/A</v>
      </c>
      <c r="R54" s="14">
        <f t="shared" ref="R54:R74" si="19">$E$61</f>
        <v>0</v>
      </c>
      <c r="S54" s="34" t="e">
        <f t="shared" ref="S54:S74" si="20">P54*((100-$E$61)/100)</f>
        <v>#N/A</v>
      </c>
      <c r="T54" s="14" t="e">
        <f>O54*S54</f>
        <v>#N/A</v>
      </c>
      <c r="U54" s="34" t="e">
        <f>INDEX(cennik!$C$2:$L$529,MATCH($L54,cennik!$B$2:$B$522,0),MATCH(U$53,cennik!$C$1:$L$1,0))*O54</f>
        <v>#N/A</v>
      </c>
      <c r="V54" s="21"/>
      <c r="W54" s="21"/>
      <c r="X54" s="21"/>
      <c r="Y54" s="21"/>
      <c r="Z54" s="21"/>
      <c r="AA54" s="21"/>
      <c r="AB54" s="21"/>
      <c r="AC54" s="21"/>
      <c r="AD54" s="21"/>
      <c r="AE54" s="21"/>
      <c r="AF54" s="21"/>
      <c r="AG54" s="21"/>
      <c r="AH54" s="21"/>
      <c r="AI54" s="21"/>
      <c r="AJ54" s="21"/>
      <c r="AK54" s="21"/>
      <c r="AL54" s="21"/>
      <c r="AM54" s="21"/>
      <c r="AN54" s="21"/>
      <c r="AO54" s="186" t="s">
        <v>1215</v>
      </c>
      <c r="AP54" s="186" t="s">
        <v>1219</v>
      </c>
      <c r="AQ54" s="21"/>
      <c r="AR54" s="21"/>
      <c r="AS54" s="21"/>
      <c r="AT54" s="21"/>
      <c r="AU54" s="21"/>
      <c r="AV54" s="21"/>
      <c r="AW54" s="21"/>
      <c r="AX54" s="21"/>
      <c r="AY54" s="26" t="s">
        <v>1210</v>
      </c>
      <c r="AZ54" s="26" t="s">
        <v>1207</v>
      </c>
      <c r="BA54" s="21"/>
      <c r="BB54" s="21"/>
      <c r="BC54" s="21"/>
      <c r="BD54" s="21"/>
      <c r="BE54" s="21"/>
      <c r="BF54" s="21"/>
      <c r="BG54" s="21"/>
      <c r="BH54" s="21">
        <f>IF(A54=0,0,IF(A54&gt;0,(A54+1)*C54))</f>
        <v>0</v>
      </c>
      <c r="BI54" s="21">
        <f t="shared" ref="BI54:BI68" si="21">IF(A54=0,0,IF(A54&gt;0,(A54*2)*C54))</f>
        <v>0</v>
      </c>
      <c r="BJ54" s="21"/>
      <c r="BK54" s="21"/>
      <c r="BL54" s="21"/>
      <c r="BM54" s="21"/>
      <c r="BN54" s="21"/>
      <c r="BO54" s="21"/>
      <c r="BP54" s="21"/>
      <c r="BQ54" s="21"/>
      <c r="BR54" s="21"/>
      <c r="BS54" s="21"/>
      <c r="BT54" s="21"/>
      <c r="BU54" s="21"/>
      <c r="BV54" s="21"/>
      <c r="BW54" s="21"/>
      <c r="BX54" s="21"/>
      <c r="BY54" s="21"/>
      <c r="BZ54" s="21"/>
      <c r="CA54" s="21"/>
      <c r="CB54" s="21"/>
      <c r="CC54" s="21"/>
      <c r="CD54" s="21"/>
      <c r="CE54" s="21"/>
      <c r="CF54" s="21"/>
      <c r="CG54" s="21"/>
      <c r="CH54" s="21"/>
      <c r="CI54" s="21"/>
      <c r="CJ54" s="21"/>
      <c r="CK54" s="21"/>
      <c r="CL54" s="21"/>
      <c r="CM54" s="21"/>
      <c r="CN54" s="21"/>
      <c r="CO54" s="21"/>
      <c r="CP54" s="21"/>
      <c r="CQ54" s="21"/>
      <c r="CR54" s="21"/>
      <c r="CS54" s="21"/>
      <c r="CT54" s="21"/>
      <c r="CU54" s="21"/>
      <c r="CV54" s="21"/>
      <c r="CW54" s="21"/>
      <c r="CX54" s="21"/>
      <c r="CY54" s="21"/>
      <c r="CZ54" s="21"/>
      <c r="DA54" s="21"/>
      <c r="DB54" s="21"/>
      <c r="DC54" s="21"/>
      <c r="DD54" s="21"/>
      <c r="DE54" s="21"/>
      <c r="DF54" s="21"/>
      <c r="DG54" s="21"/>
      <c r="DH54" s="21"/>
      <c r="DI54" s="21"/>
      <c r="DJ54" s="21"/>
      <c r="DK54" s="21"/>
      <c r="DL54" s="21"/>
      <c r="DM54" s="21"/>
      <c r="DN54" s="21"/>
      <c r="DO54" s="21"/>
      <c r="DP54" s="21"/>
      <c r="DQ54" s="21"/>
      <c r="DR54" s="21"/>
      <c r="DS54" s="21"/>
      <c r="DT54" s="21"/>
      <c r="DU54" s="21"/>
      <c r="DV54" s="21"/>
      <c r="DW54" s="21"/>
      <c r="DX54" s="21"/>
      <c r="DY54" s="21"/>
      <c r="DZ54" s="87"/>
      <c r="EA54" s="87"/>
      <c r="EB54" s="87"/>
      <c r="EC54" s="21"/>
      <c r="ED54" s="21"/>
      <c r="EE54" s="21"/>
      <c r="EF54" s="21"/>
      <c r="EG54" s="21"/>
      <c r="EH54" s="21"/>
      <c r="EI54" s="21"/>
      <c r="EJ54" s="21"/>
      <c r="EK54" s="21"/>
      <c r="EL54" s="21"/>
      <c r="EM54" s="21"/>
      <c r="EN54" s="21"/>
      <c r="EO54" s="21"/>
      <c r="EP54" s="21"/>
      <c r="EQ54" s="21"/>
      <c r="ER54" s="21"/>
      <c r="ES54" s="21"/>
      <c r="ET54" s="21"/>
      <c r="EU54" s="21"/>
      <c r="EV54" s="21"/>
      <c r="EW54" s="21"/>
      <c r="EX54" s="21"/>
      <c r="EY54" s="21"/>
      <c r="EZ54" s="21"/>
      <c r="FA54" s="21"/>
      <c r="FB54" s="21"/>
      <c r="FC54" s="21"/>
      <c r="FD54" s="21"/>
      <c r="FE54" s="21"/>
      <c r="FF54" s="21"/>
      <c r="FG54" s="21"/>
      <c r="FH54" s="21"/>
      <c r="FI54" s="21"/>
      <c r="FJ54" s="21"/>
      <c r="FK54" s="21"/>
      <c r="FL54" s="21"/>
      <c r="FM54" s="21"/>
      <c r="FN54" s="21"/>
      <c r="FO54" s="21"/>
      <c r="FP54" s="21"/>
      <c r="FQ54" s="21"/>
      <c r="FR54" s="21"/>
      <c r="FS54" s="21"/>
      <c r="FT54" s="21"/>
      <c r="FU54" s="21"/>
      <c r="FV54" s="21"/>
      <c r="FW54" s="21"/>
      <c r="FX54" s="21"/>
      <c r="FY54" s="21"/>
      <c r="FZ54" s="21"/>
      <c r="GA54" s="21"/>
      <c r="GB54" s="21"/>
      <c r="GC54" s="21"/>
      <c r="GD54" s="21"/>
      <c r="GE54" s="21"/>
      <c r="GF54" s="21"/>
      <c r="GG54" s="21"/>
      <c r="GH54" s="21"/>
      <c r="GI54" s="21"/>
      <c r="GJ54" s="21"/>
      <c r="GK54" s="21"/>
      <c r="GL54" s="21"/>
      <c r="GM54" s="21"/>
      <c r="GN54" s="21"/>
      <c r="GO54" s="21"/>
      <c r="GP54" s="21"/>
      <c r="GQ54" s="21"/>
      <c r="GR54" s="21"/>
      <c r="GS54" s="21"/>
      <c r="GT54" s="21"/>
      <c r="GU54" s="21"/>
      <c r="GV54" s="21"/>
      <c r="GW54" s="21"/>
      <c r="GX54" s="21"/>
      <c r="GY54" s="21"/>
      <c r="GZ54" s="21"/>
      <c r="HA54" s="21"/>
      <c r="HB54" s="21"/>
      <c r="HC54" s="21"/>
      <c r="HD54" s="21"/>
      <c r="HE54" s="21"/>
      <c r="HF54" s="21"/>
      <c r="HG54" s="21"/>
      <c r="HH54" s="21"/>
      <c r="HI54" s="21"/>
      <c r="HJ54" s="21"/>
      <c r="HK54" s="21"/>
      <c r="HL54" s="21"/>
      <c r="HM54" s="21"/>
      <c r="HN54" s="21"/>
      <c r="HO54" s="21"/>
      <c r="HP54" s="21"/>
      <c r="HQ54" s="21"/>
      <c r="HR54" s="21"/>
      <c r="HS54" s="21"/>
      <c r="HT54" s="21"/>
      <c r="HU54" s="21"/>
      <c r="HV54" s="186"/>
      <c r="HW54" s="21"/>
      <c r="HX54" s="21"/>
      <c r="HY54" s="21"/>
      <c r="HZ54" s="21"/>
      <c r="IA54" s="21"/>
      <c r="IB54" s="21"/>
      <c r="IC54" s="21"/>
      <c r="ID54" s="21"/>
      <c r="IE54" s="21"/>
      <c r="IF54" s="21"/>
      <c r="IG54" s="21"/>
      <c r="IH54" s="21"/>
      <c r="II54" s="21"/>
      <c r="IJ54" s="21"/>
      <c r="IK54" s="21"/>
      <c r="IL54" s="21"/>
      <c r="IM54" s="21"/>
      <c r="IN54" s="21"/>
      <c r="IO54" s="21"/>
      <c r="IP54" s="21"/>
      <c r="IQ54" s="21"/>
      <c r="IR54" s="21"/>
      <c r="IS54" s="21"/>
      <c r="IT54" s="21"/>
      <c r="IU54" s="21"/>
      <c r="IV54" s="21"/>
      <c r="IW54" s="21"/>
      <c r="IX54" s="21"/>
      <c r="IY54" s="21"/>
      <c r="IZ54" s="21"/>
      <c r="JA54" s="21"/>
      <c r="JB54" s="21"/>
      <c r="JC54" s="21"/>
      <c r="JD54" s="21"/>
      <c r="JE54" s="21"/>
      <c r="JF54" s="21"/>
      <c r="JG54" s="21"/>
      <c r="JH54" s="21"/>
      <c r="JI54" s="21"/>
      <c r="JJ54" s="21"/>
      <c r="JK54" s="21"/>
      <c r="JL54" s="21"/>
      <c r="JM54" s="21"/>
      <c r="JN54" s="21"/>
      <c r="JO54" s="21"/>
      <c r="JP54" s="21"/>
      <c r="JQ54" s="21"/>
      <c r="JR54" s="21"/>
      <c r="JS54" s="21"/>
      <c r="JT54" s="21"/>
      <c r="JU54" s="21"/>
      <c r="JV54" s="21"/>
      <c r="JW54" s="21"/>
      <c r="JX54" s="21"/>
      <c r="JY54" s="21"/>
      <c r="JZ54" s="21"/>
      <c r="KA54" s="21"/>
      <c r="KB54" s="21"/>
      <c r="KC54" s="21"/>
      <c r="KD54" s="21"/>
      <c r="KE54" s="21"/>
      <c r="KF54" s="21"/>
      <c r="KG54" s="21"/>
      <c r="KH54" s="21"/>
    </row>
    <row r="55" spans="1:294" hidden="1" x14ac:dyDescent="0.25">
      <c r="A55" s="8"/>
      <c r="B55" s="5" t="s">
        <v>116</v>
      </c>
      <c r="C55" s="8"/>
      <c r="D55" s="6" t="s">
        <v>1203</v>
      </c>
      <c r="E55" s="33" t="s">
        <v>1232</v>
      </c>
      <c r="F55" s="1"/>
      <c r="G55" s="1"/>
      <c r="H55" s="1"/>
      <c r="I55" s="1"/>
      <c r="J55" s="1"/>
      <c r="K55" s="1"/>
      <c r="L55" s="5" t="s">
        <v>1126</v>
      </c>
      <c r="M55" s="11" t="e">
        <f>INDEX(cennik!$C$2:$L$529,MATCH($L55,cennik!$B$2:$B$522,0),MATCH(M$53,cennik!$C$1:$L$1,0))</f>
        <v>#N/A</v>
      </c>
      <c r="N55" s="11" t="e">
        <f>INDEX(cennik!$C$2:$L$529,MATCH($L55,cennik!$B$2:$B$522,0),MATCH(N$53,cennik!$C$1:$L$1,0))</f>
        <v>#N/A</v>
      </c>
      <c r="O55" s="14">
        <f>O54</f>
        <v>8</v>
      </c>
      <c r="P55" s="11" t="e">
        <f>INDEX(cennik!$C$2:$L$529,MATCH($L55,cennik!$B$2:$B$522,0),MATCH(P$53,cennik!$C$1:$L$1,0))</f>
        <v>#N/A</v>
      </c>
      <c r="Q55" s="14" t="e">
        <f t="shared" ref="Q55:Q74" si="22">O55*P55</f>
        <v>#N/A</v>
      </c>
      <c r="R55" s="14">
        <f t="shared" si="19"/>
        <v>0</v>
      </c>
      <c r="S55" s="34" t="e">
        <f t="shared" si="20"/>
        <v>#N/A</v>
      </c>
      <c r="T55" s="14" t="e">
        <f t="shared" ref="T55:T74" si="23">O55*S55</f>
        <v>#N/A</v>
      </c>
      <c r="U55" s="34" t="e">
        <f>INDEX(cennik!$C$2:$L$529,MATCH($L55,cennik!$B$2:$B$522,0),MATCH(U$53,cennik!$C$1:$L$1,0))*O55</f>
        <v>#N/A</v>
      </c>
      <c r="V55" s="21"/>
      <c r="W55" s="21"/>
      <c r="X55" s="21"/>
      <c r="Y55" s="21"/>
      <c r="Z55" s="21"/>
      <c r="AA55" s="21"/>
      <c r="AB55" s="21"/>
      <c r="AC55" s="21"/>
      <c r="AD55" s="21"/>
      <c r="AE55" s="21"/>
      <c r="AF55" s="26" t="s">
        <v>1207</v>
      </c>
      <c r="AG55" s="21"/>
      <c r="AH55" s="21"/>
      <c r="AI55" s="21"/>
      <c r="AJ55" s="21"/>
      <c r="AK55" s="21"/>
      <c r="AL55" s="21"/>
      <c r="AM55" s="21"/>
      <c r="AN55" s="21"/>
      <c r="AO55" s="186" t="s">
        <v>1215</v>
      </c>
      <c r="AP55" s="186" t="s">
        <v>1220</v>
      </c>
      <c r="AQ55" s="21"/>
      <c r="AR55" s="21"/>
      <c r="AS55" s="21"/>
      <c r="AT55" s="21"/>
      <c r="AU55" s="21"/>
      <c r="AV55" s="21"/>
      <c r="AW55" s="21"/>
      <c r="AX55" s="21"/>
      <c r="AY55" s="26" t="s">
        <v>1210</v>
      </c>
      <c r="AZ55" s="26" t="s">
        <v>1208</v>
      </c>
      <c r="BA55" s="21"/>
      <c r="BB55" s="21"/>
      <c r="BC55" s="21"/>
      <c r="BD55" s="21"/>
      <c r="BE55" s="21"/>
      <c r="BF55" s="21"/>
      <c r="BG55" s="21"/>
      <c r="BH55" s="21">
        <f t="shared" ref="BH55:BH68" si="24">IF(A55=0,0,IF(A55&gt;0,(A55+1)*C55))</f>
        <v>0</v>
      </c>
      <c r="BI55" s="21">
        <f t="shared" si="21"/>
        <v>0</v>
      </c>
      <c r="BJ55" s="21"/>
      <c r="BK55" s="21"/>
      <c r="BL55" s="21"/>
      <c r="BM55" s="21"/>
      <c r="BN55" s="21"/>
      <c r="BO55" s="21"/>
      <c r="BP55" s="21"/>
      <c r="BQ55" s="21"/>
      <c r="BR55" s="21"/>
      <c r="BS55" s="21"/>
      <c r="BT55" s="21"/>
      <c r="BU55" s="21"/>
      <c r="BV55" s="21"/>
      <c r="BW55" s="21"/>
      <c r="BX55" s="21"/>
      <c r="BY55" s="21"/>
      <c r="BZ55" s="21"/>
      <c r="CA55" s="21"/>
      <c r="CB55" s="21"/>
      <c r="CC55" s="21"/>
      <c r="CD55" s="21"/>
      <c r="CE55" s="21"/>
      <c r="CF55" s="21"/>
      <c r="CG55" s="21"/>
      <c r="CH55" s="21"/>
      <c r="CI55" s="21"/>
      <c r="CJ55" s="21"/>
      <c r="CK55" s="21"/>
      <c r="CL55" s="21"/>
      <c r="CM55" s="21"/>
      <c r="CN55" s="21"/>
      <c r="CO55" s="21"/>
      <c r="CP55" s="21"/>
      <c r="CQ55" s="21"/>
      <c r="CR55" s="21"/>
      <c r="CS55" s="21"/>
      <c r="CT55" s="21"/>
      <c r="CU55" s="21"/>
      <c r="CV55" s="21"/>
      <c r="CW55" s="21"/>
      <c r="CX55" s="21"/>
      <c r="CY55" s="21"/>
      <c r="CZ55" s="21"/>
      <c r="DA55" s="21"/>
      <c r="DB55" s="21"/>
      <c r="DC55" s="21"/>
      <c r="DD55" s="21"/>
      <c r="DE55" s="21"/>
      <c r="DF55" s="21"/>
      <c r="DG55" s="21"/>
      <c r="DH55" s="21"/>
      <c r="DI55" s="21"/>
      <c r="DJ55" s="21"/>
      <c r="DK55" s="21"/>
      <c r="DL55" s="21"/>
      <c r="DM55" s="21"/>
      <c r="DN55" s="21"/>
      <c r="DO55" s="21"/>
      <c r="DP55" s="21"/>
      <c r="DQ55" s="21"/>
      <c r="DR55" s="21"/>
      <c r="DS55" s="21"/>
      <c r="DT55" s="21"/>
      <c r="DU55" s="21"/>
      <c r="DV55" s="21"/>
      <c r="DW55" s="21"/>
      <c r="DX55" s="21"/>
      <c r="DY55" s="21"/>
      <c r="DZ55" s="87"/>
      <c r="EA55" s="87"/>
      <c r="EB55" s="87"/>
      <c r="EC55" s="21"/>
      <c r="ED55" s="21"/>
      <c r="EE55" s="21"/>
      <c r="EF55" s="21"/>
      <c r="EG55" s="21"/>
      <c r="EH55" s="21"/>
      <c r="EI55" s="21"/>
      <c r="EJ55" s="21"/>
      <c r="EK55" s="21"/>
      <c r="EL55" s="21"/>
      <c r="EM55" s="21"/>
      <c r="EN55" s="21"/>
      <c r="EO55" s="21"/>
      <c r="EP55" s="21"/>
      <c r="EQ55" s="21"/>
      <c r="ER55" s="21"/>
      <c r="ES55" s="21"/>
      <c r="ET55" s="21"/>
      <c r="EU55" s="21"/>
      <c r="EV55" s="21"/>
      <c r="EW55" s="21"/>
      <c r="EX55" s="21"/>
      <c r="EY55" s="21"/>
      <c r="EZ55" s="21"/>
      <c r="FA55" s="21"/>
      <c r="FB55" s="21"/>
      <c r="FC55" s="21"/>
      <c r="FD55" s="21"/>
      <c r="FE55" s="21"/>
      <c r="FF55" s="21"/>
      <c r="FG55" s="21"/>
      <c r="FH55" s="21"/>
      <c r="FI55" s="21"/>
      <c r="FJ55" s="21"/>
      <c r="FK55" s="21"/>
      <c r="FL55" s="21"/>
      <c r="FM55" s="21"/>
      <c r="FN55" s="21"/>
      <c r="FO55" s="21"/>
      <c r="FP55" s="21"/>
      <c r="FQ55" s="21"/>
      <c r="FR55" s="21"/>
      <c r="FS55" s="21"/>
      <c r="FT55" s="21"/>
      <c r="FU55" s="21"/>
      <c r="FV55" s="21"/>
      <c r="FW55" s="21"/>
      <c r="FX55" s="21"/>
      <c r="FY55" s="21"/>
      <c r="FZ55" s="21"/>
      <c r="GA55" s="21"/>
      <c r="GB55" s="21"/>
      <c r="GC55" s="21"/>
      <c r="GD55" s="21"/>
      <c r="GE55" s="21"/>
      <c r="GF55" s="21"/>
      <c r="GG55" s="21"/>
      <c r="GH55" s="21"/>
      <c r="GI55" s="21"/>
      <c r="GJ55" s="21"/>
      <c r="GK55" s="21"/>
      <c r="GL55" s="21"/>
      <c r="GM55" s="21"/>
      <c r="GN55" s="21"/>
      <c r="GO55" s="21"/>
      <c r="GP55" s="21"/>
      <c r="GQ55" s="21"/>
      <c r="GR55" s="21"/>
      <c r="GS55" s="21"/>
      <c r="GT55" s="21"/>
      <c r="GU55" s="21"/>
      <c r="GV55" s="21"/>
      <c r="GW55" s="21"/>
      <c r="GX55" s="21"/>
      <c r="GY55" s="21"/>
      <c r="GZ55" s="21"/>
      <c r="HA55" s="21"/>
      <c r="HB55" s="21"/>
      <c r="HC55" s="21"/>
      <c r="HD55" s="21"/>
      <c r="HE55" s="21"/>
      <c r="HF55" s="21"/>
      <c r="HG55" s="21"/>
      <c r="HH55" s="21"/>
      <c r="HI55" s="21"/>
      <c r="HJ55" s="21"/>
      <c r="HK55" s="21"/>
      <c r="HL55" s="21"/>
      <c r="HM55" s="21"/>
      <c r="HN55" s="21"/>
      <c r="HO55" s="21"/>
      <c r="HP55" s="21"/>
      <c r="HQ55" s="21"/>
      <c r="HR55" s="21"/>
      <c r="HS55" s="21"/>
      <c r="HT55" s="21"/>
      <c r="HU55" s="21"/>
      <c r="HV55" s="186"/>
      <c r="HW55" s="21"/>
      <c r="HX55" s="21"/>
      <c r="HY55" s="21"/>
      <c r="HZ55" s="21"/>
      <c r="IA55" s="21"/>
      <c r="IB55" s="21"/>
      <c r="IC55" s="21"/>
      <c r="ID55" s="21"/>
      <c r="IE55" s="21"/>
      <c r="IF55" s="21"/>
      <c r="IG55" s="21"/>
      <c r="IH55" s="21"/>
      <c r="II55" s="21"/>
      <c r="IJ55" s="21"/>
      <c r="IK55" s="21"/>
      <c r="IL55" s="21"/>
      <c r="IM55" s="21"/>
      <c r="IN55" s="21"/>
      <c r="IO55" s="21"/>
      <c r="IP55" s="21"/>
      <c r="IQ55" s="21"/>
      <c r="IR55" s="21"/>
      <c r="IS55" s="21"/>
      <c r="IT55" s="21"/>
      <c r="IU55" s="21"/>
      <c r="IV55" s="21"/>
      <c r="IW55" s="21"/>
      <c r="IX55" s="21"/>
      <c r="IY55" s="21"/>
      <c r="IZ55" s="21"/>
      <c r="JA55" s="21"/>
      <c r="JB55" s="21"/>
      <c r="JC55" s="21"/>
      <c r="JD55" s="21"/>
      <c r="JE55" s="21"/>
      <c r="JF55" s="21"/>
      <c r="JG55" s="21"/>
      <c r="JH55" s="21"/>
      <c r="JI55" s="21"/>
      <c r="JJ55" s="21"/>
      <c r="JK55" s="21"/>
      <c r="JL55" s="21"/>
      <c r="JM55" s="21"/>
      <c r="JN55" s="21"/>
      <c r="JO55" s="21"/>
      <c r="JP55" s="21"/>
      <c r="JQ55" s="21"/>
      <c r="JR55" s="21"/>
      <c r="JS55" s="21"/>
      <c r="JT55" s="21"/>
      <c r="JU55" s="21"/>
      <c r="JV55" s="21"/>
      <c r="JW55" s="21"/>
      <c r="JX55" s="21"/>
      <c r="JY55" s="21"/>
      <c r="JZ55" s="21"/>
      <c r="KA55" s="21"/>
      <c r="KB55" s="21"/>
      <c r="KC55" s="21"/>
      <c r="KD55" s="21"/>
      <c r="KE55" s="21"/>
      <c r="KF55" s="21"/>
      <c r="KG55" s="21"/>
      <c r="KH55" s="21"/>
    </row>
    <row r="56" spans="1:294" hidden="1" x14ac:dyDescent="0.25">
      <c r="A56" s="8"/>
      <c r="B56" s="5" t="s">
        <v>116</v>
      </c>
      <c r="C56" s="8"/>
      <c r="D56" s="6" t="s">
        <v>1204</v>
      </c>
      <c r="E56" s="33" t="s">
        <v>1208</v>
      </c>
      <c r="F56" s="135" t="str">
        <f>IF(AND(E55=AF52,E56=AF56),"należy zmienić wartość na klemy",IF(AND(E55&lt;&gt;AF52,E56&lt;&gt;AP69),"",""))</f>
        <v/>
      </c>
      <c r="G56" s="1"/>
      <c r="H56" s="1"/>
      <c r="I56" s="1"/>
      <c r="J56" s="1"/>
      <c r="K56" s="1"/>
      <c r="L56" s="5" t="s">
        <v>1127</v>
      </c>
      <c r="M56" s="11" t="e">
        <f>INDEX(cennik!$C$2:$L$529,MATCH($L56,cennik!$B$2:$B$522,0),MATCH(M$53,cennik!$C$1:$L$1,0))</f>
        <v>#N/A</v>
      </c>
      <c r="N56" s="11" t="e">
        <f>INDEX(cennik!$C$2:$L$529,MATCH($L56,cennik!$B$2:$B$522,0),MATCH(N$53,cennik!$C$1:$L$1,0))</f>
        <v>#N/A</v>
      </c>
      <c r="O56" s="14">
        <f>E60</f>
        <v>0</v>
      </c>
      <c r="P56" s="11" t="e">
        <f>INDEX(cennik!$C$2:$L$529,MATCH($L56,cennik!$B$2:$B$522,0),MATCH(P$53,cennik!$C$1:$L$1,0))</f>
        <v>#N/A</v>
      </c>
      <c r="Q56" s="14" t="e">
        <f t="shared" si="22"/>
        <v>#N/A</v>
      </c>
      <c r="R56" s="14">
        <f t="shared" si="19"/>
        <v>0</v>
      </c>
      <c r="S56" s="34" t="e">
        <f t="shared" si="20"/>
        <v>#N/A</v>
      </c>
      <c r="T56" s="14" t="e">
        <f t="shared" si="23"/>
        <v>#N/A</v>
      </c>
      <c r="U56" s="34" t="e">
        <f>INDEX(cennik!$C$2:$L$529,MATCH($L56,cennik!$B$2:$B$522,0),MATCH(U$53,cennik!$C$1:$L$1,0))*O56</f>
        <v>#N/A</v>
      </c>
      <c r="V56" s="21"/>
      <c r="W56" s="21"/>
      <c r="X56" s="21"/>
      <c r="Y56" s="21"/>
      <c r="Z56" s="21"/>
      <c r="AA56" s="21"/>
      <c r="AB56" s="21"/>
      <c r="AC56" s="21"/>
      <c r="AD56" s="21"/>
      <c r="AE56" s="21"/>
      <c r="AF56" s="26" t="s">
        <v>1208</v>
      </c>
      <c r="AG56" s="21"/>
      <c r="AH56" s="21"/>
      <c r="AI56" s="21"/>
      <c r="AJ56" s="21"/>
      <c r="AK56" s="21"/>
      <c r="AL56" s="21"/>
      <c r="AM56" s="21"/>
      <c r="AN56" s="21"/>
      <c r="AO56" s="186" t="s">
        <v>1216</v>
      </c>
      <c r="AP56" s="21" t="s">
        <v>1221</v>
      </c>
      <c r="AQ56" s="21"/>
      <c r="AR56" s="21"/>
      <c r="AS56" s="21"/>
      <c r="AT56" s="21"/>
      <c r="AU56" s="21"/>
      <c r="AV56" s="21"/>
      <c r="AW56" s="21"/>
      <c r="AX56" s="21"/>
      <c r="AY56" s="21"/>
      <c r="AZ56" s="21"/>
      <c r="BA56" s="21"/>
      <c r="BB56" s="21"/>
      <c r="BC56" s="21"/>
      <c r="BD56" s="21"/>
      <c r="BE56" s="21"/>
      <c r="BF56" s="21"/>
      <c r="BG56" s="21"/>
      <c r="BH56" s="21">
        <f t="shared" si="24"/>
        <v>0</v>
      </c>
      <c r="BI56" s="21">
        <f t="shared" si="21"/>
        <v>0</v>
      </c>
      <c r="BJ56" s="21"/>
      <c r="BK56" s="21"/>
      <c r="BL56" s="21"/>
      <c r="BM56" s="21"/>
      <c r="BN56" s="21"/>
      <c r="BO56" s="21"/>
      <c r="BP56" s="21"/>
      <c r="BQ56" s="21"/>
      <c r="BR56" s="21"/>
      <c r="BS56" s="21"/>
      <c r="BT56" s="21"/>
      <c r="BU56" s="21"/>
      <c r="BV56" s="21"/>
      <c r="BW56" s="21"/>
      <c r="BX56" s="21"/>
      <c r="BY56" s="21"/>
      <c r="BZ56" s="21"/>
      <c r="CA56" s="21"/>
      <c r="CB56" s="21"/>
      <c r="CC56" s="21"/>
      <c r="CD56" s="21"/>
      <c r="CE56" s="21"/>
      <c r="CF56" s="21"/>
      <c r="CG56" s="21"/>
      <c r="CH56" s="21"/>
      <c r="CI56" s="21"/>
      <c r="CJ56" s="21"/>
      <c r="CK56" s="21"/>
      <c r="CL56" s="21"/>
      <c r="CM56" s="21"/>
      <c r="CN56" s="21"/>
      <c r="CO56" s="21"/>
      <c r="CP56" s="21"/>
      <c r="CQ56" s="21"/>
      <c r="CR56" s="21"/>
      <c r="CS56" s="21"/>
      <c r="CT56" s="21"/>
      <c r="CU56" s="21"/>
      <c r="CV56" s="21"/>
      <c r="CW56" s="21"/>
      <c r="CX56" s="21"/>
      <c r="CY56" s="21"/>
      <c r="CZ56" s="21"/>
      <c r="DA56" s="21"/>
      <c r="DB56" s="21"/>
      <c r="DC56" s="21"/>
      <c r="DD56" s="21"/>
      <c r="DE56" s="21"/>
      <c r="DF56" s="21"/>
      <c r="DG56" s="21"/>
      <c r="DH56" s="21"/>
      <c r="DI56" s="21"/>
      <c r="DJ56" s="21"/>
      <c r="DK56" s="21"/>
      <c r="DL56" s="21"/>
      <c r="DM56" s="21"/>
      <c r="DN56" s="21"/>
      <c r="DO56" s="21"/>
      <c r="DP56" s="21"/>
      <c r="DQ56" s="21"/>
      <c r="DR56" s="21"/>
      <c r="DS56" s="21"/>
      <c r="DT56" s="21"/>
      <c r="DU56" s="21"/>
      <c r="DV56" s="21"/>
      <c r="DW56" s="21"/>
      <c r="DX56" s="21"/>
      <c r="DY56" s="21"/>
      <c r="DZ56" s="87"/>
      <c r="EA56" s="87"/>
      <c r="EB56" s="87"/>
      <c r="EC56" s="21"/>
      <c r="ED56" s="21"/>
      <c r="EE56" s="21"/>
      <c r="EF56" s="21"/>
      <c r="EG56" s="21"/>
      <c r="EH56" s="21"/>
      <c r="EI56" s="21"/>
      <c r="EJ56" s="21"/>
      <c r="EK56" s="21"/>
      <c r="EL56" s="21"/>
      <c r="EM56" s="21"/>
      <c r="EN56" s="21"/>
      <c r="EO56" s="21"/>
      <c r="EP56" s="21"/>
      <c r="EQ56" s="21"/>
      <c r="ER56" s="21"/>
      <c r="ES56" s="21"/>
      <c r="ET56" s="21"/>
      <c r="EU56" s="21"/>
      <c r="EV56" s="21"/>
      <c r="EW56" s="21"/>
      <c r="EX56" s="21"/>
      <c r="EY56" s="21"/>
      <c r="EZ56" s="21"/>
      <c r="FA56" s="21"/>
      <c r="FB56" s="21"/>
      <c r="FC56" s="21"/>
      <c r="FD56" s="21"/>
      <c r="FE56" s="21"/>
      <c r="FF56" s="21"/>
      <c r="FG56" s="21"/>
      <c r="FH56" s="21"/>
      <c r="FI56" s="21"/>
      <c r="FJ56" s="21"/>
      <c r="FK56" s="21"/>
      <c r="FL56" s="21"/>
      <c r="FM56" s="21"/>
      <c r="FN56" s="21"/>
      <c r="FO56" s="21"/>
      <c r="FP56" s="21"/>
      <c r="FQ56" s="21"/>
      <c r="FR56" s="21"/>
      <c r="FS56" s="21"/>
      <c r="FT56" s="21"/>
      <c r="FU56" s="21"/>
      <c r="FV56" s="21"/>
      <c r="FW56" s="21"/>
      <c r="FX56" s="21"/>
      <c r="FY56" s="21"/>
      <c r="FZ56" s="21"/>
      <c r="GA56" s="21"/>
      <c r="GB56" s="21"/>
      <c r="GC56" s="21"/>
      <c r="GD56" s="21"/>
      <c r="GE56" s="21"/>
      <c r="GF56" s="21"/>
      <c r="GG56" s="21"/>
      <c r="GH56" s="21"/>
      <c r="GI56" s="21"/>
      <c r="GJ56" s="21"/>
      <c r="GK56" s="21"/>
      <c r="GL56" s="21"/>
      <c r="GM56" s="21"/>
      <c r="GN56" s="21"/>
      <c r="GO56" s="21"/>
      <c r="GP56" s="21"/>
      <c r="GQ56" s="21"/>
      <c r="GR56" s="21"/>
      <c r="GS56" s="21"/>
      <c r="GT56" s="21"/>
      <c r="GU56" s="21"/>
      <c r="GV56" s="21"/>
      <c r="GW56" s="21"/>
      <c r="GX56" s="21"/>
      <c r="GY56" s="21"/>
      <c r="GZ56" s="21"/>
      <c r="HA56" s="21"/>
      <c r="HB56" s="21"/>
      <c r="HC56" s="21"/>
      <c r="HD56" s="21"/>
      <c r="HE56" s="21"/>
      <c r="HF56" s="21"/>
      <c r="HG56" s="21"/>
      <c r="HH56" s="21"/>
      <c r="HI56" s="21"/>
      <c r="HJ56" s="21"/>
      <c r="HK56" s="21"/>
      <c r="HL56" s="21"/>
      <c r="HM56" s="21"/>
      <c r="HN56" s="21"/>
      <c r="HO56" s="21"/>
      <c r="HP56" s="21"/>
      <c r="HQ56" s="21"/>
      <c r="HR56" s="21"/>
      <c r="HS56" s="21"/>
      <c r="HT56" s="21"/>
      <c r="HU56" s="21"/>
      <c r="HV56" s="186"/>
      <c r="HW56" s="21"/>
      <c r="HX56" s="21"/>
      <c r="HY56" s="21"/>
      <c r="HZ56" s="21"/>
      <c r="IA56" s="21"/>
      <c r="IB56" s="21"/>
      <c r="IC56" s="21"/>
      <c r="ID56" s="21"/>
      <c r="IE56" s="21"/>
      <c r="IF56" s="21"/>
      <c r="IG56" s="21"/>
      <c r="IH56" s="21"/>
      <c r="II56" s="21"/>
      <c r="IJ56" s="21"/>
      <c r="IK56" s="21"/>
      <c r="IL56" s="21"/>
      <c r="IM56" s="21"/>
      <c r="IN56" s="21"/>
      <c r="IO56" s="21"/>
      <c r="IP56" s="21"/>
      <c r="IQ56" s="21"/>
      <c r="IR56" s="21"/>
      <c r="IS56" s="21"/>
      <c r="IT56" s="21"/>
      <c r="IU56" s="21"/>
      <c r="IV56" s="21"/>
      <c r="IW56" s="21"/>
      <c r="IX56" s="21"/>
      <c r="IY56" s="21"/>
      <c r="IZ56" s="21"/>
      <c r="JA56" s="21"/>
      <c r="JB56" s="21"/>
      <c r="JC56" s="21"/>
      <c r="JD56" s="21"/>
      <c r="JE56" s="21"/>
      <c r="JF56" s="21"/>
      <c r="JG56" s="21"/>
      <c r="JH56" s="21"/>
      <c r="JI56" s="21"/>
      <c r="JJ56" s="21"/>
      <c r="JK56" s="21"/>
      <c r="JL56" s="21"/>
      <c r="JM56" s="21"/>
      <c r="JN56" s="21"/>
      <c r="JO56" s="21"/>
      <c r="JP56" s="21"/>
      <c r="JQ56" s="21"/>
      <c r="JR56" s="21"/>
      <c r="JS56" s="21"/>
      <c r="JT56" s="21"/>
      <c r="JU56" s="21"/>
      <c r="JV56" s="21"/>
      <c r="JW56" s="21"/>
      <c r="JX56" s="21"/>
      <c r="JY56" s="21"/>
      <c r="JZ56" s="21"/>
      <c r="KA56" s="21"/>
      <c r="KB56" s="21"/>
      <c r="KC56" s="21"/>
      <c r="KD56" s="21"/>
      <c r="KE56" s="21"/>
      <c r="KF56" s="21"/>
      <c r="KG56" s="21"/>
      <c r="KH56" s="21"/>
    </row>
    <row r="57" spans="1:294" hidden="1" x14ac:dyDescent="0.25">
      <c r="A57" s="8"/>
      <c r="B57" s="5" t="s">
        <v>116</v>
      </c>
      <c r="C57" s="8"/>
      <c r="D57" s="6" t="s">
        <v>307</v>
      </c>
      <c r="E57" s="33" t="s">
        <v>1211</v>
      </c>
      <c r="F57" s="1"/>
      <c r="G57" s="1"/>
      <c r="H57" s="1"/>
      <c r="I57" s="1"/>
      <c r="J57" s="1"/>
      <c r="K57" s="1"/>
      <c r="L57" s="52" t="s">
        <v>1222</v>
      </c>
      <c r="M57" s="11" t="e">
        <f>INDEX(cennik!$C$2:$L$529,MATCH($L57,cennik!$B$2:$B$522,0),MATCH(M$53,cennik!$C$1:$L$1,0))</f>
        <v>#N/A</v>
      </c>
      <c r="N57" s="11" t="e">
        <f>INDEX(cennik!$C$2:$L$529,MATCH($L57,cennik!$B$2:$B$522,0),MATCH(N$53,cennik!$C$1:$L$1,0))</f>
        <v>#N/A</v>
      </c>
      <c r="O57" s="11">
        <f>SUM((A53*C53),(A54*C54),(A55*C55),(A56*C56),(A57*C57),(A58*C58),(A59*C59),(A60*C60),(A61*C61),(A62*C62),(A63*C63),(A64*C64),(A65*C65),(A66*C66),(A67*C67),(A68*C68))</f>
        <v>4</v>
      </c>
      <c r="P57" s="11" t="e">
        <f>INDEX(cennik!$C$2:$L$529,MATCH($L57,cennik!$B$2:$B$522,0),MATCH(P$53,cennik!$C$1:$L$1,0))</f>
        <v>#N/A</v>
      </c>
      <c r="Q57" s="14" t="e">
        <f t="shared" si="22"/>
        <v>#N/A</v>
      </c>
      <c r="R57" s="14">
        <f t="shared" si="19"/>
        <v>0</v>
      </c>
      <c r="S57" s="34" t="e">
        <f t="shared" si="20"/>
        <v>#N/A</v>
      </c>
      <c r="T57" s="14" t="e">
        <f t="shared" si="23"/>
        <v>#N/A</v>
      </c>
      <c r="U57" s="34" t="e">
        <f>INDEX(cennik!$C$2:$L$529,MATCH($L57,cennik!$B$2:$B$522,0),MATCH(U$53,cennik!$C$1:$L$1,0))*O57</f>
        <v>#N/A</v>
      </c>
      <c r="V57" s="21"/>
      <c r="W57" s="21"/>
      <c r="X57" s="21"/>
      <c r="Y57" s="21"/>
      <c r="Z57" s="21"/>
      <c r="AA57" s="21"/>
      <c r="AB57" s="21"/>
      <c r="AC57" s="21"/>
      <c r="AD57" s="21"/>
      <c r="AE57" s="21"/>
      <c r="AF57" s="26"/>
      <c r="AG57" s="21"/>
      <c r="AH57" s="21"/>
      <c r="AI57" s="21"/>
      <c r="AJ57" s="21"/>
      <c r="AK57" s="21"/>
      <c r="AL57" s="21"/>
      <c r="AM57" s="21"/>
      <c r="AN57" s="21"/>
      <c r="AO57" s="186" t="s">
        <v>1217</v>
      </c>
      <c r="AP57" s="186" t="s">
        <v>1218</v>
      </c>
      <c r="AQ57" s="21"/>
      <c r="AR57" s="21"/>
      <c r="AS57" s="21"/>
      <c r="AT57" s="21"/>
      <c r="AU57" s="21"/>
      <c r="AV57" s="21"/>
      <c r="AW57" s="21"/>
      <c r="AX57" s="21"/>
      <c r="AY57" s="21" t="str" cm="1">
        <f t="array" aca="1" ref="AY57:AY58" ca="1">OFFSET(AZ52,MATCH(E55,AY53:AY55,0),0,COUNTIF(AY53:AY55,E55),1)</f>
        <v>klemy</v>
      </c>
      <c r="AZ57" s="21"/>
      <c r="BA57" s="21"/>
      <c r="BB57" s="21"/>
      <c r="BC57" s="21"/>
      <c r="BD57" s="21"/>
      <c r="BE57" s="21"/>
      <c r="BF57" s="21"/>
      <c r="BG57" s="21"/>
      <c r="BH57" s="21">
        <f t="shared" si="24"/>
        <v>0</v>
      </c>
      <c r="BI57" s="21">
        <f t="shared" si="21"/>
        <v>0</v>
      </c>
      <c r="BJ57" s="21"/>
      <c r="BK57" s="21"/>
      <c r="BL57" s="21"/>
      <c r="BM57" s="21"/>
      <c r="BN57" s="21"/>
      <c r="BO57" s="21"/>
      <c r="BP57" s="21"/>
      <c r="BQ57" s="21"/>
      <c r="BR57" s="21"/>
      <c r="BS57" s="21"/>
      <c r="BT57" s="21"/>
      <c r="BU57" s="21"/>
      <c r="BV57" s="21"/>
      <c r="BW57" s="21"/>
      <c r="BX57" s="21"/>
      <c r="BY57" s="21"/>
      <c r="BZ57" s="21"/>
      <c r="CA57" s="21"/>
      <c r="CB57" s="21"/>
      <c r="CC57" s="21"/>
      <c r="CD57" s="21"/>
      <c r="CE57" s="21"/>
      <c r="CF57" s="21"/>
      <c r="CG57" s="21"/>
      <c r="CH57" s="21"/>
      <c r="CI57" s="21"/>
      <c r="CJ57" s="21"/>
      <c r="CK57" s="21"/>
      <c r="CL57" s="21"/>
      <c r="CM57" s="21"/>
      <c r="CN57" s="21"/>
      <c r="CO57" s="21"/>
      <c r="CP57" s="21"/>
      <c r="CQ57" s="21"/>
      <c r="CR57" s="21"/>
      <c r="CS57" s="21"/>
      <c r="CT57" s="21"/>
      <c r="CU57" s="21"/>
      <c r="CV57" s="21"/>
      <c r="CW57" s="21"/>
      <c r="CX57" s="21"/>
      <c r="CY57" s="21"/>
      <c r="CZ57" s="21"/>
      <c r="DA57" s="21"/>
      <c r="DB57" s="21"/>
      <c r="DC57" s="21"/>
      <c r="DD57" s="21"/>
      <c r="DE57" s="21"/>
      <c r="DF57" s="21"/>
      <c r="DG57" s="21"/>
      <c r="DH57" s="21"/>
      <c r="DI57" s="21"/>
      <c r="DJ57" s="21"/>
      <c r="DK57" s="21"/>
      <c r="DL57" s="21"/>
      <c r="DM57" s="21"/>
      <c r="DN57" s="21"/>
      <c r="DO57" s="21"/>
      <c r="DP57" s="21"/>
      <c r="DQ57" s="21"/>
      <c r="DR57" s="21"/>
      <c r="DS57" s="21"/>
      <c r="DT57" s="21"/>
      <c r="DU57" s="21"/>
      <c r="DV57" s="21"/>
      <c r="DW57" s="21"/>
      <c r="DX57" s="21"/>
      <c r="DY57" s="21"/>
      <c r="DZ57" s="87"/>
      <c r="EA57" s="87"/>
      <c r="EB57" s="87"/>
      <c r="EC57" s="21"/>
      <c r="ED57" s="21"/>
      <c r="EE57" s="21"/>
      <c r="EF57" s="21"/>
      <c r="EG57" s="21"/>
      <c r="EH57" s="21"/>
      <c r="EI57" s="21"/>
      <c r="EJ57" s="21"/>
      <c r="EK57" s="21"/>
      <c r="EL57" s="21"/>
      <c r="EM57" s="21"/>
      <c r="EN57" s="21"/>
      <c r="EO57" s="21"/>
      <c r="EP57" s="21"/>
      <c r="EQ57" s="21"/>
      <c r="ER57" s="21"/>
      <c r="ES57" s="21"/>
      <c r="ET57" s="21"/>
      <c r="EU57" s="21"/>
      <c r="EV57" s="21"/>
      <c r="EW57" s="21"/>
      <c r="EX57" s="21"/>
      <c r="EY57" s="21"/>
      <c r="EZ57" s="21"/>
      <c r="FA57" s="21"/>
      <c r="FB57" s="21"/>
      <c r="FC57" s="21"/>
      <c r="FD57" s="21"/>
      <c r="FE57" s="21"/>
      <c r="FF57" s="21"/>
      <c r="FG57" s="21"/>
      <c r="FH57" s="21"/>
      <c r="FI57" s="21"/>
      <c r="FJ57" s="21"/>
      <c r="FK57" s="21"/>
      <c r="FL57" s="21"/>
      <c r="FM57" s="21"/>
      <c r="FN57" s="21"/>
      <c r="FO57" s="21"/>
      <c r="FP57" s="21"/>
      <c r="FQ57" s="21"/>
      <c r="FR57" s="21"/>
      <c r="FS57" s="21"/>
      <c r="FT57" s="21"/>
      <c r="FU57" s="21"/>
      <c r="FV57" s="21"/>
      <c r="FW57" s="21"/>
      <c r="FX57" s="21"/>
      <c r="FY57" s="21"/>
      <c r="FZ57" s="21"/>
      <c r="GA57" s="21"/>
      <c r="GB57" s="21"/>
      <c r="GC57" s="21"/>
      <c r="GD57" s="21"/>
      <c r="GE57" s="21"/>
      <c r="GF57" s="21"/>
      <c r="GG57" s="21"/>
      <c r="GH57" s="21"/>
      <c r="GI57" s="21"/>
      <c r="GJ57" s="21"/>
      <c r="GK57" s="21"/>
      <c r="GL57" s="21"/>
      <c r="GM57" s="21"/>
      <c r="GN57" s="21"/>
      <c r="GO57" s="21"/>
      <c r="GP57" s="21"/>
      <c r="GQ57" s="21"/>
      <c r="GR57" s="21"/>
      <c r="GS57" s="21"/>
      <c r="GT57" s="21"/>
      <c r="GU57" s="21"/>
      <c r="GV57" s="21"/>
      <c r="GW57" s="21"/>
      <c r="GX57" s="21"/>
      <c r="GY57" s="21"/>
      <c r="GZ57" s="21"/>
      <c r="HA57" s="21"/>
      <c r="HB57" s="21"/>
      <c r="HC57" s="21"/>
      <c r="HD57" s="21"/>
      <c r="HE57" s="21"/>
      <c r="HF57" s="21"/>
      <c r="HG57" s="21"/>
      <c r="HH57" s="21"/>
      <c r="HI57" s="21"/>
      <c r="HJ57" s="21"/>
      <c r="HK57" s="21"/>
      <c r="HL57" s="21"/>
      <c r="HM57" s="21"/>
      <c r="HN57" s="21"/>
      <c r="HO57" s="21"/>
      <c r="HP57" s="21"/>
      <c r="HQ57" s="21"/>
      <c r="HR57" s="21"/>
      <c r="HS57" s="21"/>
      <c r="HT57" s="21"/>
      <c r="HU57" s="21"/>
      <c r="HV57" s="186"/>
      <c r="HW57" s="21"/>
      <c r="HX57" s="21"/>
      <c r="HY57" s="21"/>
      <c r="HZ57" s="21"/>
      <c r="IA57" s="21"/>
      <c r="IB57" s="21"/>
      <c r="IC57" s="21"/>
      <c r="ID57" s="21"/>
      <c r="IE57" s="21"/>
      <c r="IF57" s="21"/>
      <c r="IG57" s="21"/>
      <c r="IH57" s="21"/>
      <c r="II57" s="21"/>
      <c r="IJ57" s="21"/>
      <c r="IK57" s="21"/>
      <c r="IL57" s="21"/>
      <c r="IM57" s="21"/>
      <c r="IN57" s="21"/>
      <c r="IO57" s="21"/>
      <c r="IP57" s="21"/>
      <c r="IQ57" s="21"/>
      <c r="IR57" s="21"/>
      <c r="IS57" s="21"/>
      <c r="IT57" s="21"/>
      <c r="IU57" s="21"/>
      <c r="IV57" s="21"/>
      <c r="IW57" s="21"/>
      <c r="IX57" s="21"/>
      <c r="IY57" s="21"/>
      <c r="IZ57" s="21"/>
      <c r="JA57" s="21"/>
      <c r="JB57" s="21"/>
      <c r="JC57" s="21"/>
      <c r="JD57" s="21"/>
      <c r="JE57" s="21"/>
      <c r="JF57" s="21"/>
      <c r="JG57" s="21"/>
      <c r="JH57" s="21"/>
      <c r="JI57" s="21"/>
      <c r="JJ57" s="21"/>
      <c r="JK57" s="21"/>
      <c r="JL57" s="21"/>
      <c r="JM57" s="21"/>
      <c r="JN57" s="21"/>
      <c r="JO57" s="21"/>
      <c r="JP57" s="21"/>
      <c r="JQ57" s="21"/>
      <c r="JR57" s="21"/>
      <c r="JS57" s="21"/>
      <c r="JT57" s="21"/>
      <c r="JU57" s="21"/>
      <c r="JV57" s="21"/>
      <c r="JW57" s="21"/>
      <c r="JX57" s="21"/>
      <c r="JY57" s="21"/>
      <c r="JZ57" s="21"/>
      <c r="KA57" s="21"/>
      <c r="KB57" s="21"/>
      <c r="KC57" s="21"/>
      <c r="KD57" s="21"/>
      <c r="KE57" s="21"/>
      <c r="KF57" s="21"/>
      <c r="KG57" s="21"/>
      <c r="KH57" s="21"/>
    </row>
    <row r="58" spans="1:294" hidden="1" x14ac:dyDescent="0.25">
      <c r="A58" s="8"/>
      <c r="B58" s="5" t="s">
        <v>116</v>
      </c>
      <c r="C58" s="8"/>
      <c r="D58" s="6" t="s">
        <v>1205</v>
      </c>
      <c r="E58" s="33" t="s">
        <v>1216</v>
      </c>
      <c r="F58" s="17" t="str">
        <f>IF(AND(E57=AF58,E58="-"),"należy wskazać typ balastu",IF(AND(E57&lt;&gt;AF58,E58&lt;&gt;AP69),"należy zmienić wartość na -",""))</f>
        <v/>
      </c>
      <c r="G58" s="1"/>
      <c r="H58" s="1"/>
      <c r="I58" s="1"/>
      <c r="J58" s="1"/>
      <c r="K58" s="1"/>
      <c r="L58" s="5" t="s">
        <v>1223</v>
      </c>
      <c r="M58" s="11">
        <f>INDEX(cennik!$C$2:$L$529,MATCH($L58,cennik!$B$2:$B$522,0),MATCH(M$53,cennik!$C$1:$L$1,0))</f>
        <v>894819</v>
      </c>
      <c r="N58" s="11" t="str">
        <f>INDEX(cennik!$C$2:$L$529,MATCH($L58,cennik!$B$2:$B$522,0),MATCH(N$53,cennik!$C$1:$L$1,0))</f>
        <v>szt.</v>
      </c>
      <c r="O58" s="14">
        <f>O54*3</f>
        <v>24</v>
      </c>
      <c r="P58" s="11">
        <f>INDEX(cennik!$C$2:$L$529,MATCH($L58,cennik!$B$2:$B$522,0),MATCH(P$53,cennik!$C$1:$L$1,0))</f>
        <v>1.85</v>
      </c>
      <c r="Q58" s="14">
        <f t="shared" si="22"/>
        <v>44.400000000000006</v>
      </c>
      <c r="R58" s="14">
        <f t="shared" si="19"/>
        <v>0</v>
      </c>
      <c r="S58" s="34">
        <f t="shared" si="20"/>
        <v>1.85</v>
      </c>
      <c r="T58" s="14">
        <f t="shared" si="23"/>
        <v>44.400000000000006</v>
      </c>
      <c r="U58" s="34">
        <f>INDEX(cennik!$C$2:$L$529,MATCH($L58,cennik!$B$2:$B$522,0),MATCH(U$53,cennik!$C$1:$L$1,0))*O58</f>
        <v>0.24</v>
      </c>
      <c r="V58" s="21"/>
      <c r="W58" s="21"/>
      <c r="X58" s="21"/>
      <c r="Y58" s="21"/>
      <c r="Z58" s="21"/>
      <c r="AA58" s="21"/>
      <c r="AB58" s="21"/>
      <c r="AC58" s="21"/>
      <c r="AD58" s="21"/>
      <c r="AE58" s="21"/>
      <c r="AF58" s="186" t="s">
        <v>1211</v>
      </c>
      <c r="AG58" s="21"/>
      <c r="AH58" s="186" t="s">
        <v>1215</v>
      </c>
      <c r="AI58" s="21"/>
      <c r="AJ58" s="21"/>
      <c r="AK58" s="186" t="s">
        <v>1218</v>
      </c>
      <c r="AL58" s="21"/>
      <c r="AM58" s="21"/>
      <c r="AN58" s="21"/>
      <c r="AO58" s="186" t="s">
        <v>1217</v>
      </c>
      <c r="AP58" s="186" t="s">
        <v>1219</v>
      </c>
      <c r="AQ58" s="21"/>
      <c r="AR58" s="21"/>
      <c r="AS58" s="21"/>
      <c r="AT58" s="21"/>
      <c r="AU58" s="21"/>
      <c r="AV58" s="21"/>
      <c r="AW58" s="21"/>
      <c r="AX58" s="21"/>
      <c r="AY58" s="21" t="str">
        <f ca="1"/>
        <v>śruby</v>
      </c>
      <c r="AZ58" s="21"/>
      <c r="BA58" s="21"/>
      <c r="BB58" s="21"/>
      <c r="BC58" s="21"/>
      <c r="BD58" s="21"/>
      <c r="BE58" s="21"/>
      <c r="BF58" s="21"/>
      <c r="BG58" s="21"/>
      <c r="BH58" s="21">
        <f t="shared" si="24"/>
        <v>0</v>
      </c>
      <c r="BI58" s="21">
        <f t="shared" si="21"/>
        <v>0</v>
      </c>
      <c r="BJ58" s="21"/>
      <c r="BK58" s="21"/>
      <c r="BL58" s="21"/>
      <c r="BM58" s="21"/>
      <c r="BN58" s="21"/>
      <c r="BO58" s="21"/>
      <c r="BP58" s="21"/>
      <c r="BQ58" s="21"/>
      <c r="BR58" s="21"/>
      <c r="BS58" s="21"/>
      <c r="BT58" s="21"/>
      <c r="BU58" s="21"/>
      <c r="BV58" s="21"/>
      <c r="BW58" s="21"/>
      <c r="BX58" s="21"/>
      <c r="BY58" s="21"/>
      <c r="BZ58" s="21"/>
      <c r="CA58" s="21"/>
      <c r="CB58" s="21"/>
      <c r="CC58" s="21"/>
      <c r="CD58" s="21"/>
      <c r="CE58" s="21"/>
      <c r="CF58" s="21"/>
      <c r="CG58" s="21"/>
      <c r="CH58" s="21"/>
      <c r="CI58" s="21"/>
      <c r="CJ58" s="21"/>
      <c r="CK58" s="21"/>
      <c r="CL58" s="21"/>
      <c r="CM58" s="21"/>
      <c r="CN58" s="21"/>
      <c r="CO58" s="21"/>
      <c r="CP58" s="21"/>
      <c r="CQ58" s="21"/>
      <c r="CR58" s="21"/>
      <c r="CS58" s="21"/>
      <c r="CT58" s="21"/>
      <c r="CU58" s="21"/>
      <c r="CV58" s="21"/>
      <c r="CW58" s="21"/>
      <c r="CX58" s="21"/>
      <c r="CY58" s="21"/>
      <c r="CZ58" s="21"/>
      <c r="DA58" s="21"/>
      <c r="DB58" s="21"/>
      <c r="DC58" s="21"/>
      <c r="DD58" s="21"/>
      <c r="DE58" s="21"/>
      <c r="DF58" s="21"/>
      <c r="DG58" s="21"/>
      <c r="DH58" s="21"/>
      <c r="DI58" s="21"/>
      <c r="DJ58" s="21"/>
      <c r="DK58" s="21"/>
      <c r="DL58" s="21"/>
      <c r="DM58" s="21"/>
      <c r="DN58" s="21"/>
      <c r="DO58" s="21"/>
      <c r="DP58" s="21"/>
      <c r="DQ58" s="21"/>
      <c r="DR58" s="21"/>
      <c r="DS58" s="21"/>
      <c r="DT58" s="21"/>
      <c r="DU58" s="21"/>
      <c r="DV58" s="21"/>
      <c r="DW58" s="21"/>
      <c r="DX58" s="21"/>
      <c r="DY58" s="21"/>
      <c r="DZ58" s="87"/>
      <c r="EA58" s="87"/>
      <c r="EB58" s="87"/>
      <c r="EC58" s="21"/>
      <c r="ED58" s="21"/>
      <c r="EE58" s="21"/>
      <c r="EF58" s="21"/>
      <c r="EG58" s="21"/>
      <c r="EH58" s="21"/>
      <c r="EI58" s="21"/>
      <c r="EJ58" s="21"/>
      <c r="EK58" s="21"/>
      <c r="EL58" s="21"/>
      <c r="EM58" s="21"/>
      <c r="EN58" s="21"/>
      <c r="EO58" s="21"/>
      <c r="EP58" s="21"/>
      <c r="EQ58" s="21"/>
      <c r="ER58" s="21"/>
      <c r="ES58" s="21"/>
      <c r="ET58" s="21"/>
      <c r="EU58" s="21"/>
      <c r="EV58" s="21"/>
      <c r="EW58" s="21"/>
      <c r="EX58" s="21"/>
      <c r="EY58" s="21"/>
      <c r="EZ58" s="21"/>
      <c r="FA58" s="21"/>
      <c r="FB58" s="21"/>
      <c r="FC58" s="21"/>
      <c r="FD58" s="21"/>
      <c r="FE58" s="21"/>
      <c r="FF58" s="21"/>
      <c r="FG58" s="21"/>
      <c r="FH58" s="21"/>
      <c r="FI58" s="21"/>
      <c r="FJ58" s="21"/>
      <c r="FK58" s="21"/>
      <c r="FL58" s="21"/>
      <c r="FM58" s="21"/>
      <c r="FN58" s="21"/>
      <c r="FO58" s="21"/>
      <c r="FP58" s="21"/>
      <c r="FQ58" s="21"/>
      <c r="FR58" s="21"/>
      <c r="FS58" s="21"/>
      <c r="FT58" s="21"/>
      <c r="FU58" s="21"/>
      <c r="FV58" s="21"/>
      <c r="FW58" s="21"/>
      <c r="FX58" s="21"/>
      <c r="FY58" s="21"/>
      <c r="FZ58" s="21"/>
      <c r="GA58" s="21"/>
      <c r="GB58" s="21"/>
      <c r="GC58" s="21"/>
      <c r="GD58" s="21"/>
      <c r="GE58" s="21"/>
      <c r="GF58" s="21"/>
      <c r="GG58" s="21"/>
      <c r="GH58" s="21"/>
      <c r="GI58" s="21"/>
      <c r="GJ58" s="21"/>
      <c r="GK58" s="21"/>
      <c r="GL58" s="21"/>
      <c r="GM58" s="21"/>
      <c r="GN58" s="21"/>
      <c r="GO58" s="21"/>
      <c r="GP58" s="21"/>
      <c r="GQ58" s="21"/>
      <c r="GR58" s="21"/>
      <c r="GS58" s="21"/>
      <c r="GT58" s="21"/>
      <c r="GU58" s="21"/>
      <c r="GV58" s="21"/>
      <c r="GW58" s="21"/>
      <c r="GX58" s="21"/>
      <c r="GY58" s="21"/>
      <c r="GZ58" s="21"/>
      <c r="HA58" s="21"/>
      <c r="HB58" s="21"/>
      <c r="HC58" s="21"/>
      <c r="HD58" s="21"/>
      <c r="HE58" s="21"/>
      <c r="HF58" s="21"/>
      <c r="HG58" s="21"/>
      <c r="HH58" s="21"/>
      <c r="HI58" s="21"/>
      <c r="HJ58" s="21"/>
      <c r="HK58" s="21"/>
      <c r="HL58" s="21"/>
      <c r="HM58" s="21"/>
      <c r="HN58" s="21"/>
      <c r="HO58" s="21"/>
      <c r="HP58" s="21"/>
      <c r="HQ58" s="21"/>
      <c r="HR58" s="21"/>
      <c r="HS58" s="21"/>
      <c r="HT58" s="21"/>
      <c r="HU58" s="21"/>
      <c r="HV58" s="186"/>
      <c r="HW58" s="21"/>
      <c r="HX58" s="21"/>
      <c r="HY58" s="21"/>
      <c r="HZ58" s="21"/>
      <c r="IA58" s="21"/>
      <c r="IB58" s="21"/>
      <c r="IC58" s="21"/>
      <c r="ID58" s="21"/>
      <c r="IE58" s="21"/>
      <c r="IF58" s="21"/>
      <c r="IG58" s="21"/>
      <c r="IH58" s="21"/>
      <c r="II58" s="21"/>
      <c r="IJ58" s="21"/>
      <c r="IK58" s="21"/>
      <c r="IL58" s="21"/>
      <c r="IM58" s="21"/>
      <c r="IN58" s="21"/>
      <c r="IO58" s="21"/>
      <c r="IP58" s="21"/>
      <c r="IQ58" s="21"/>
      <c r="IR58" s="21"/>
      <c r="IS58" s="21"/>
      <c r="IT58" s="21"/>
      <c r="IU58" s="21"/>
      <c r="IV58" s="21"/>
      <c r="IW58" s="21"/>
      <c r="IX58" s="21"/>
      <c r="IY58" s="21"/>
      <c r="IZ58" s="21"/>
      <c r="JA58" s="21"/>
      <c r="JB58" s="21"/>
      <c r="JC58" s="21"/>
      <c r="JD58" s="21"/>
      <c r="JE58" s="21"/>
      <c r="JF58" s="21"/>
      <c r="JG58" s="21"/>
      <c r="JH58" s="21"/>
      <c r="JI58" s="21"/>
      <c r="JJ58" s="21"/>
      <c r="JK58" s="21"/>
      <c r="JL58" s="21"/>
      <c r="JM58" s="21"/>
      <c r="JN58" s="21"/>
      <c r="JO58" s="21"/>
      <c r="JP58" s="21"/>
      <c r="JQ58" s="21"/>
      <c r="JR58" s="21"/>
      <c r="JS58" s="21"/>
      <c r="JT58" s="21"/>
      <c r="JU58" s="21"/>
      <c r="JV58" s="21"/>
      <c r="JW58" s="21"/>
      <c r="JX58" s="21"/>
      <c r="JY58" s="21"/>
      <c r="JZ58" s="21"/>
      <c r="KA58" s="21"/>
      <c r="KB58" s="21"/>
      <c r="KC58" s="21"/>
      <c r="KD58" s="21"/>
      <c r="KE58" s="21"/>
      <c r="KF58" s="21"/>
      <c r="KG58" s="21"/>
      <c r="KH58" s="21"/>
    </row>
    <row r="59" spans="1:294" hidden="1" x14ac:dyDescent="0.25">
      <c r="A59" s="8"/>
      <c r="B59" s="5" t="s">
        <v>116</v>
      </c>
      <c r="C59" s="8"/>
      <c r="D59" s="6" t="s">
        <v>1206</v>
      </c>
      <c r="E59" s="33" t="s">
        <v>1221</v>
      </c>
      <c r="F59" s="17" t="str">
        <f>IF(AND(E58&lt;&gt;AH59,E59="-"),"należy wskazać typ separatora",IF(AND(E58=AH59,E59&lt;&gt;AP69),"należy zmienić wartość na -",""))</f>
        <v/>
      </c>
      <c r="G59" s="1"/>
      <c r="H59" s="1"/>
      <c r="I59" s="1"/>
      <c r="J59" s="1"/>
      <c r="K59" s="1"/>
      <c r="L59" s="5" t="s">
        <v>1224</v>
      </c>
      <c r="M59" s="11" t="e">
        <f>INDEX(cennik!$C$2:$L$529,MATCH($L59,cennik!$B$2:$B$522,0),MATCH(M$53,cennik!$C$1:$L$1,0))</f>
        <v>#N/A</v>
      </c>
      <c r="N59" s="11" t="e">
        <f>INDEX(cennik!$C$2:$L$529,MATCH($L59,cennik!$B$2:$B$522,0),MATCH(N$53,cennik!$C$1:$L$1,0))</f>
        <v>#N/A</v>
      </c>
      <c r="O59" s="14">
        <f>IF(E58=$AH$59,O54*2,0)</f>
        <v>16</v>
      </c>
      <c r="P59" s="11" t="e">
        <f>INDEX(cennik!$C$2:$L$529,MATCH($L59,cennik!$B$2:$B$522,0),MATCH(P$53,cennik!$C$1:$L$1,0))</f>
        <v>#N/A</v>
      </c>
      <c r="Q59" s="14" t="e">
        <f t="shared" si="22"/>
        <v>#N/A</v>
      </c>
      <c r="R59" s="14">
        <f t="shared" si="19"/>
        <v>0</v>
      </c>
      <c r="S59" s="34" t="e">
        <f t="shared" si="20"/>
        <v>#N/A</v>
      </c>
      <c r="T59" s="14" t="e">
        <f t="shared" si="23"/>
        <v>#N/A</v>
      </c>
      <c r="U59" s="34" t="e">
        <f>INDEX(cennik!$C$2:$L$529,MATCH($L59,cennik!$B$2:$B$522,0),MATCH(U$53,cennik!$C$1:$L$1,0))*O59</f>
        <v>#N/A</v>
      </c>
      <c r="V59" s="21"/>
      <c r="W59" s="21"/>
      <c r="X59" s="21"/>
      <c r="Y59" s="21"/>
      <c r="Z59" s="21"/>
      <c r="AA59" s="21"/>
      <c r="AB59" s="21"/>
      <c r="AC59" s="21"/>
      <c r="AD59" s="21"/>
      <c r="AE59" s="21"/>
      <c r="AF59" s="186" t="s">
        <v>1212</v>
      </c>
      <c r="AG59" s="21"/>
      <c r="AH59" s="186" t="s">
        <v>1216</v>
      </c>
      <c r="AI59" s="21"/>
      <c r="AJ59" s="21"/>
      <c r="AK59" s="186" t="s">
        <v>1219</v>
      </c>
      <c r="AL59" s="21"/>
      <c r="AM59" s="21"/>
      <c r="AN59" s="21"/>
      <c r="AO59" s="186" t="s">
        <v>1217</v>
      </c>
      <c r="AP59" s="186" t="s">
        <v>1220</v>
      </c>
      <c r="AQ59" s="21"/>
      <c r="AR59" s="21"/>
      <c r="AS59" s="21"/>
      <c r="AT59" s="21"/>
      <c r="AU59" s="21"/>
      <c r="AV59" s="21"/>
      <c r="AW59" s="21"/>
      <c r="AX59" s="21"/>
      <c r="AY59" s="21"/>
      <c r="AZ59" s="21"/>
      <c r="BA59" s="21"/>
      <c r="BB59" s="21"/>
      <c r="BC59" s="21"/>
      <c r="BD59" s="21"/>
      <c r="BE59" s="21"/>
      <c r="BF59" s="21"/>
      <c r="BG59" s="21"/>
      <c r="BH59" s="21">
        <f t="shared" si="24"/>
        <v>0</v>
      </c>
      <c r="BI59" s="21">
        <f t="shared" si="21"/>
        <v>0</v>
      </c>
      <c r="BJ59" s="21"/>
      <c r="BK59" s="21"/>
      <c r="BL59" s="21"/>
      <c r="BM59" s="21"/>
      <c r="BN59" s="21"/>
      <c r="BO59" s="21"/>
      <c r="BP59" s="21"/>
      <c r="BQ59" s="21"/>
      <c r="BR59" s="21"/>
      <c r="BS59" s="21"/>
      <c r="BT59" s="21"/>
      <c r="BU59" s="21"/>
      <c r="BV59" s="21"/>
      <c r="BW59" s="21"/>
      <c r="BX59" s="21"/>
      <c r="BY59" s="21"/>
      <c r="BZ59" s="21"/>
      <c r="CA59" s="21"/>
      <c r="CB59" s="21"/>
      <c r="CC59" s="21"/>
      <c r="CD59" s="21"/>
      <c r="CE59" s="21"/>
      <c r="CF59" s="21"/>
      <c r="CG59" s="21"/>
      <c r="CH59" s="21"/>
      <c r="CI59" s="21"/>
      <c r="CJ59" s="21"/>
      <c r="CK59" s="21"/>
      <c r="CL59" s="21"/>
      <c r="CM59" s="21"/>
      <c r="CN59" s="21"/>
      <c r="CO59" s="21"/>
      <c r="CP59" s="21"/>
      <c r="CQ59" s="21"/>
      <c r="CR59" s="21"/>
      <c r="CS59" s="21"/>
      <c r="CT59" s="21"/>
      <c r="CU59" s="21"/>
      <c r="CV59" s="21"/>
      <c r="CW59" s="21"/>
      <c r="CX59" s="21"/>
      <c r="CY59" s="21"/>
      <c r="CZ59" s="21"/>
      <c r="DA59" s="21"/>
      <c r="DB59" s="21"/>
      <c r="DC59" s="21"/>
      <c r="DD59" s="21"/>
      <c r="DE59" s="21"/>
      <c r="DF59" s="21"/>
      <c r="DG59" s="21"/>
      <c r="DH59" s="21"/>
      <c r="DI59" s="21"/>
      <c r="DJ59" s="21"/>
      <c r="DK59" s="21"/>
      <c r="DL59" s="21"/>
      <c r="DM59" s="21"/>
      <c r="DN59" s="21"/>
      <c r="DO59" s="21"/>
      <c r="DP59" s="21"/>
      <c r="DQ59" s="21"/>
      <c r="DR59" s="21"/>
      <c r="DS59" s="21"/>
      <c r="DT59" s="21"/>
      <c r="DU59" s="21"/>
      <c r="DV59" s="21"/>
      <c r="DW59" s="21"/>
      <c r="DX59" s="21"/>
      <c r="DY59" s="21"/>
      <c r="DZ59" s="87"/>
      <c r="EA59" s="87"/>
      <c r="EB59" s="87"/>
      <c r="EC59" s="21"/>
      <c r="ED59" s="21"/>
      <c r="EE59" s="21"/>
      <c r="EF59" s="21"/>
      <c r="EG59" s="21"/>
      <c r="EH59" s="21"/>
      <c r="EI59" s="21"/>
      <c r="EJ59" s="21"/>
      <c r="EK59" s="21"/>
      <c r="EL59" s="21"/>
      <c r="EM59" s="21"/>
      <c r="EN59" s="21"/>
      <c r="EO59" s="21"/>
      <c r="EP59" s="21"/>
      <c r="EQ59" s="21"/>
      <c r="ER59" s="21"/>
      <c r="ES59" s="21"/>
      <c r="ET59" s="21"/>
      <c r="EU59" s="21"/>
      <c r="EV59" s="21"/>
      <c r="EW59" s="21"/>
      <c r="EX59" s="21"/>
      <c r="EY59" s="21"/>
      <c r="EZ59" s="21"/>
      <c r="FA59" s="21"/>
      <c r="FB59" s="21"/>
      <c r="FC59" s="21"/>
      <c r="FD59" s="21"/>
      <c r="FE59" s="21"/>
      <c r="FF59" s="21"/>
      <c r="FG59" s="21"/>
      <c r="FH59" s="21"/>
      <c r="FI59" s="21"/>
      <c r="FJ59" s="21"/>
      <c r="FK59" s="21"/>
      <c r="FL59" s="21"/>
      <c r="FM59" s="21"/>
      <c r="FN59" s="21"/>
      <c r="FO59" s="21"/>
      <c r="FP59" s="21"/>
      <c r="FQ59" s="21"/>
      <c r="FR59" s="21"/>
      <c r="FS59" s="21"/>
      <c r="FT59" s="21"/>
      <c r="FU59" s="21"/>
      <c r="FV59" s="21"/>
      <c r="FW59" s="21"/>
      <c r="FX59" s="21"/>
      <c r="FY59" s="21"/>
      <c r="FZ59" s="21"/>
      <c r="GA59" s="21"/>
      <c r="GB59" s="21"/>
      <c r="GC59" s="21"/>
      <c r="GD59" s="21"/>
      <c r="GE59" s="21"/>
      <c r="GF59" s="21"/>
      <c r="GG59" s="21"/>
      <c r="GH59" s="21"/>
      <c r="GI59" s="21"/>
      <c r="GJ59" s="21"/>
      <c r="GK59" s="21"/>
      <c r="GL59" s="21"/>
      <c r="GM59" s="21"/>
      <c r="GN59" s="21"/>
      <c r="GO59" s="21"/>
      <c r="GP59" s="21"/>
      <c r="GQ59" s="21"/>
      <c r="GR59" s="21"/>
      <c r="GS59" s="21"/>
      <c r="GT59" s="21"/>
      <c r="GU59" s="21"/>
      <c r="GV59" s="21"/>
      <c r="GW59" s="21"/>
      <c r="GX59" s="21"/>
      <c r="GY59" s="21"/>
      <c r="GZ59" s="21"/>
      <c r="HA59" s="21"/>
      <c r="HB59" s="21"/>
      <c r="HC59" s="21"/>
      <c r="HD59" s="21"/>
      <c r="HE59" s="21"/>
      <c r="HF59" s="21"/>
      <c r="HG59" s="21"/>
      <c r="HH59" s="21"/>
      <c r="HI59" s="21"/>
      <c r="HJ59" s="21"/>
      <c r="HK59" s="21"/>
      <c r="HL59" s="21"/>
      <c r="HM59" s="21"/>
      <c r="HN59" s="21"/>
      <c r="HO59" s="21"/>
      <c r="HP59" s="21"/>
      <c r="HQ59" s="21"/>
      <c r="HR59" s="21"/>
      <c r="HS59" s="21"/>
      <c r="HT59" s="21"/>
      <c r="HU59" s="21"/>
      <c r="HV59" s="186"/>
      <c r="HW59" s="21"/>
      <c r="HX59" s="21"/>
      <c r="HY59" s="21"/>
      <c r="HZ59" s="21"/>
      <c r="IA59" s="21"/>
      <c r="IB59" s="21"/>
      <c r="IC59" s="21"/>
      <c r="ID59" s="21"/>
      <c r="IE59" s="21"/>
      <c r="IF59" s="21"/>
      <c r="IG59" s="21"/>
      <c r="IH59" s="21"/>
      <c r="II59" s="21"/>
      <c r="IJ59" s="21"/>
      <c r="IK59" s="21"/>
      <c r="IL59" s="21"/>
      <c r="IM59" s="21"/>
      <c r="IN59" s="21"/>
      <c r="IO59" s="21"/>
      <c r="IP59" s="21"/>
      <c r="IQ59" s="21"/>
      <c r="IR59" s="21"/>
      <c r="IS59" s="21"/>
      <c r="IT59" s="21"/>
      <c r="IU59" s="21"/>
      <c r="IV59" s="21"/>
      <c r="IW59" s="21"/>
      <c r="IX59" s="21"/>
      <c r="IY59" s="21"/>
      <c r="IZ59" s="21"/>
      <c r="JA59" s="21"/>
      <c r="JB59" s="21"/>
      <c r="JC59" s="21"/>
      <c r="JD59" s="21"/>
      <c r="JE59" s="21"/>
      <c r="JF59" s="21"/>
      <c r="JG59" s="21"/>
      <c r="JH59" s="21"/>
      <c r="JI59" s="21"/>
      <c r="JJ59" s="21"/>
      <c r="JK59" s="21"/>
      <c r="JL59" s="21"/>
      <c r="JM59" s="21"/>
      <c r="JN59" s="21"/>
      <c r="JO59" s="21"/>
      <c r="JP59" s="21"/>
      <c r="JQ59" s="21"/>
      <c r="JR59" s="21"/>
      <c r="JS59" s="21"/>
      <c r="JT59" s="21"/>
      <c r="JU59" s="21"/>
      <c r="JV59" s="21"/>
      <c r="JW59" s="21"/>
      <c r="JX59" s="21"/>
      <c r="JY59" s="21"/>
      <c r="JZ59" s="21"/>
      <c r="KA59" s="21"/>
      <c r="KB59" s="21"/>
      <c r="KC59" s="21"/>
      <c r="KD59" s="21"/>
      <c r="KE59" s="21"/>
      <c r="KF59" s="21"/>
      <c r="KG59" s="21"/>
      <c r="KH59" s="21"/>
    </row>
    <row r="60" spans="1:294" hidden="1" x14ac:dyDescent="0.25">
      <c r="A60" s="8"/>
      <c r="B60" s="5" t="s">
        <v>116</v>
      </c>
      <c r="C60" s="8"/>
      <c r="D60" s="6" t="s">
        <v>1235</v>
      </c>
      <c r="E60" s="33">
        <v>0</v>
      </c>
      <c r="F60" s="1"/>
      <c r="G60" s="1"/>
      <c r="H60" s="1"/>
      <c r="I60" s="1"/>
      <c r="J60" s="1"/>
      <c r="K60" s="1"/>
      <c r="L60" s="5" t="s">
        <v>1225</v>
      </c>
      <c r="M60" s="11" t="e">
        <f>INDEX(cennik!$C$2:$L$529,MATCH($L60,cennik!$B$2:$B$522,0),MATCH(M$53,cennik!$C$1:$L$1,0))</f>
        <v>#N/A</v>
      </c>
      <c r="N60" s="11" t="e">
        <f>INDEX(cennik!$C$2:$L$529,MATCH($L60,cennik!$B$2:$B$522,0),MATCH(N$53,cennik!$C$1:$L$1,0))</f>
        <v>#N/A</v>
      </c>
      <c r="O60" s="14">
        <f>IF(E59=$AK$60,O54*3,0)</f>
        <v>0</v>
      </c>
      <c r="P60" s="11" t="e">
        <f>INDEX(cennik!$C$2:$L$529,MATCH($L60,cennik!$B$2:$B$522,0),MATCH(P$53,cennik!$C$1:$L$1,0))</f>
        <v>#N/A</v>
      </c>
      <c r="Q60" s="14" t="e">
        <f t="shared" si="22"/>
        <v>#N/A</v>
      </c>
      <c r="R60" s="14">
        <f t="shared" si="19"/>
        <v>0</v>
      </c>
      <c r="S60" s="34" t="e">
        <f t="shared" si="20"/>
        <v>#N/A</v>
      </c>
      <c r="T60" s="14" t="e">
        <f t="shared" si="23"/>
        <v>#N/A</v>
      </c>
      <c r="U60" s="34" t="e">
        <f>INDEX(cennik!$C$2:$L$529,MATCH($L60,cennik!$B$2:$B$522,0),MATCH(U$53,cennik!$C$1:$L$1,0))*O60</f>
        <v>#N/A</v>
      </c>
      <c r="V60" s="21"/>
      <c r="W60" s="21"/>
      <c r="X60" s="21"/>
      <c r="Y60" s="21"/>
      <c r="Z60" s="21"/>
      <c r="AA60" s="21"/>
      <c r="AB60" s="21"/>
      <c r="AC60" s="21"/>
      <c r="AD60" s="21"/>
      <c r="AE60" s="21"/>
      <c r="AF60" s="186" t="s">
        <v>1213</v>
      </c>
      <c r="AG60" s="21"/>
      <c r="AH60" s="186" t="s">
        <v>1217</v>
      </c>
      <c r="AI60" s="21"/>
      <c r="AJ60" s="21"/>
      <c r="AK60" s="186" t="s">
        <v>1220</v>
      </c>
      <c r="AL60" s="21"/>
      <c r="AM60" s="21"/>
      <c r="AN60" s="21"/>
      <c r="AO60" s="21" t="str" cm="1">
        <f t="array" aca="1" ref="AO60" ca="1">OFFSET(AP52,MATCH(E58,AO53:AO59,0),0,COUNTIF(AO53:AO59,E58),1)</f>
        <v>-</v>
      </c>
      <c r="AP60" s="21"/>
      <c r="AQ60" s="21"/>
      <c r="AR60" s="21"/>
      <c r="AS60" s="21"/>
      <c r="AT60" s="21"/>
      <c r="AU60" s="21"/>
      <c r="AV60" s="21"/>
      <c r="AW60" s="21"/>
      <c r="AX60" s="21"/>
      <c r="AY60" s="21"/>
      <c r="AZ60" s="21"/>
      <c r="BA60" s="21"/>
      <c r="BB60" s="21"/>
      <c r="BC60" s="21"/>
      <c r="BD60" s="21"/>
      <c r="BE60" s="21"/>
      <c r="BF60" s="21"/>
      <c r="BG60" s="21"/>
      <c r="BH60" s="21">
        <f t="shared" si="24"/>
        <v>0</v>
      </c>
      <c r="BI60" s="21">
        <f t="shared" si="21"/>
        <v>0</v>
      </c>
      <c r="BJ60" s="21"/>
      <c r="BK60" s="21"/>
      <c r="BL60" s="21"/>
      <c r="BM60" s="21"/>
      <c r="BN60" s="21"/>
      <c r="BO60" s="21"/>
      <c r="BP60" s="21"/>
      <c r="BQ60" s="21"/>
      <c r="BR60" s="21"/>
      <c r="BS60" s="21"/>
      <c r="BT60" s="21"/>
      <c r="BU60" s="21"/>
      <c r="BV60" s="21"/>
      <c r="BW60" s="21"/>
      <c r="BX60" s="21"/>
      <c r="BY60" s="21"/>
      <c r="BZ60" s="21"/>
      <c r="CA60" s="21"/>
      <c r="CB60" s="21"/>
      <c r="CC60" s="21"/>
      <c r="CD60" s="21"/>
      <c r="CE60" s="21"/>
      <c r="CF60" s="21"/>
      <c r="CG60" s="21"/>
      <c r="CH60" s="21"/>
      <c r="CI60" s="21"/>
      <c r="CJ60" s="21"/>
      <c r="CK60" s="21"/>
      <c r="CL60" s="21"/>
      <c r="CM60" s="21"/>
      <c r="CN60" s="21"/>
      <c r="CO60" s="21"/>
      <c r="CP60" s="21"/>
      <c r="CQ60" s="21"/>
      <c r="CR60" s="21"/>
      <c r="CS60" s="21"/>
      <c r="CT60" s="21"/>
      <c r="CU60" s="21"/>
      <c r="CV60" s="21"/>
      <c r="CW60" s="21"/>
      <c r="CX60" s="21"/>
      <c r="CY60" s="21"/>
      <c r="CZ60" s="21"/>
      <c r="DA60" s="21"/>
      <c r="DB60" s="21"/>
      <c r="DC60" s="21"/>
      <c r="DD60" s="21"/>
      <c r="DE60" s="21"/>
      <c r="DF60" s="21"/>
      <c r="DG60" s="21"/>
      <c r="DH60" s="21"/>
      <c r="DI60" s="21"/>
      <c r="DJ60" s="21"/>
      <c r="DK60" s="21"/>
      <c r="DL60" s="21"/>
      <c r="DM60" s="21"/>
      <c r="DN60" s="21"/>
      <c r="DO60" s="21"/>
      <c r="DP60" s="21"/>
      <c r="DQ60" s="21"/>
      <c r="DR60" s="21"/>
      <c r="DS60" s="21"/>
      <c r="DT60" s="21"/>
      <c r="DU60" s="21"/>
      <c r="DV60" s="21"/>
      <c r="DW60" s="21"/>
      <c r="DX60" s="21"/>
      <c r="DY60" s="21"/>
      <c r="DZ60" s="87"/>
      <c r="EA60" s="87"/>
      <c r="EB60" s="87"/>
      <c r="EC60" s="21"/>
      <c r="ED60" s="21"/>
      <c r="EE60" s="21"/>
      <c r="EF60" s="21"/>
      <c r="EG60" s="21"/>
      <c r="EH60" s="21"/>
      <c r="EI60" s="21"/>
      <c r="EJ60" s="21"/>
      <c r="EK60" s="21"/>
      <c r="EL60" s="21"/>
      <c r="EM60" s="21"/>
      <c r="EN60" s="21"/>
      <c r="EO60" s="21"/>
      <c r="EP60" s="21"/>
      <c r="EQ60" s="21"/>
      <c r="ER60" s="21"/>
      <c r="ES60" s="21"/>
      <c r="ET60" s="21"/>
      <c r="EU60" s="21"/>
      <c r="EV60" s="21"/>
      <c r="EW60" s="21"/>
      <c r="EX60" s="21"/>
      <c r="EY60" s="21"/>
      <c r="EZ60" s="21"/>
      <c r="FA60" s="21"/>
      <c r="FB60" s="21"/>
      <c r="FC60" s="21"/>
      <c r="FD60" s="21"/>
      <c r="FE60" s="21"/>
      <c r="FF60" s="21"/>
      <c r="FG60" s="21"/>
      <c r="FH60" s="21"/>
      <c r="FI60" s="21"/>
      <c r="FJ60" s="21"/>
      <c r="FK60" s="21"/>
      <c r="FL60" s="21"/>
      <c r="FM60" s="21"/>
      <c r="FN60" s="21"/>
      <c r="FO60" s="21"/>
      <c r="FP60" s="21"/>
      <c r="FQ60" s="21"/>
      <c r="FR60" s="21"/>
      <c r="FS60" s="21"/>
      <c r="FT60" s="21"/>
      <c r="FU60" s="21"/>
      <c r="FV60" s="21"/>
      <c r="FW60" s="21"/>
      <c r="FX60" s="21"/>
      <c r="FY60" s="21"/>
      <c r="FZ60" s="21"/>
      <c r="GA60" s="21"/>
      <c r="GB60" s="21"/>
      <c r="GC60" s="21"/>
      <c r="GD60" s="21"/>
      <c r="GE60" s="21"/>
      <c r="GF60" s="21"/>
      <c r="GG60" s="21"/>
      <c r="GH60" s="21"/>
      <c r="GI60" s="21"/>
      <c r="GJ60" s="21"/>
      <c r="GK60" s="21"/>
      <c r="GL60" s="21"/>
      <c r="GM60" s="21"/>
      <c r="GN60" s="21"/>
      <c r="GO60" s="21"/>
      <c r="GP60" s="21"/>
      <c r="GQ60" s="21"/>
      <c r="GR60" s="21"/>
      <c r="GS60" s="21"/>
      <c r="GT60" s="21"/>
      <c r="GU60" s="21"/>
      <c r="GV60" s="21"/>
      <c r="GW60" s="21"/>
      <c r="GX60" s="21"/>
      <c r="GY60" s="21"/>
      <c r="GZ60" s="21"/>
      <c r="HA60" s="21"/>
      <c r="HB60" s="21"/>
      <c r="HC60" s="21"/>
      <c r="HD60" s="21"/>
      <c r="HE60" s="21"/>
      <c r="HF60" s="21"/>
      <c r="HG60" s="21"/>
      <c r="HH60" s="21"/>
      <c r="HI60" s="21"/>
      <c r="HJ60" s="21"/>
      <c r="HK60" s="21"/>
      <c r="HL60" s="21"/>
      <c r="HM60" s="21"/>
      <c r="HN60" s="21"/>
      <c r="HO60" s="21"/>
      <c r="HP60" s="21"/>
      <c r="HQ60" s="21"/>
      <c r="HR60" s="21"/>
      <c r="HS60" s="21"/>
      <c r="HT60" s="21"/>
      <c r="HU60" s="21"/>
      <c r="HV60" s="186"/>
      <c r="HW60" s="21"/>
      <c r="HX60" s="21"/>
      <c r="HY60" s="21"/>
      <c r="HZ60" s="21"/>
      <c r="IA60" s="21"/>
      <c r="IB60" s="21"/>
      <c r="IC60" s="21"/>
      <c r="ID60" s="21"/>
      <c r="IE60" s="21"/>
      <c r="IF60" s="21"/>
      <c r="IG60" s="21"/>
      <c r="IH60" s="21"/>
      <c r="II60" s="21"/>
      <c r="IJ60" s="21"/>
      <c r="IK60" s="21"/>
      <c r="IL60" s="21"/>
      <c r="IM60" s="21"/>
      <c r="IN60" s="21"/>
      <c r="IO60" s="21"/>
      <c r="IP60" s="21"/>
      <c r="IQ60" s="21"/>
      <c r="IR60" s="21"/>
      <c r="IS60" s="21"/>
      <c r="IT60" s="21"/>
      <c r="IU60" s="21"/>
      <c r="IV60" s="21"/>
      <c r="IW60" s="21"/>
      <c r="IX60" s="21"/>
      <c r="IY60" s="21"/>
      <c r="IZ60" s="21"/>
      <c r="JA60" s="21"/>
      <c r="JB60" s="21"/>
      <c r="JC60" s="21"/>
      <c r="JD60" s="21"/>
      <c r="JE60" s="21"/>
      <c r="JF60" s="21"/>
      <c r="JG60" s="21"/>
      <c r="JH60" s="21"/>
      <c r="JI60" s="21"/>
      <c r="JJ60" s="21"/>
      <c r="JK60" s="21"/>
      <c r="JL60" s="21"/>
      <c r="JM60" s="21"/>
      <c r="JN60" s="21"/>
      <c r="JO60" s="21"/>
      <c r="JP60" s="21"/>
      <c r="JQ60" s="21"/>
      <c r="JR60" s="21"/>
      <c r="JS60" s="21"/>
      <c r="JT60" s="21"/>
      <c r="JU60" s="21"/>
      <c r="JV60" s="21"/>
      <c r="JW60" s="21"/>
      <c r="JX60" s="21"/>
      <c r="JY60" s="21"/>
      <c r="JZ60" s="21"/>
      <c r="KA60" s="21"/>
      <c r="KB60" s="21"/>
      <c r="KC60" s="21"/>
      <c r="KD60" s="21"/>
      <c r="KE60" s="21"/>
      <c r="KF60" s="21"/>
      <c r="KG60" s="21"/>
      <c r="KH60" s="21"/>
    </row>
    <row r="61" spans="1:294" hidden="1" x14ac:dyDescent="0.25">
      <c r="A61" s="8"/>
      <c r="B61" s="5" t="s">
        <v>116</v>
      </c>
      <c r="C61" s="8"/>
      <c r="D61" s="6" t="s">
        <v>162</v>
      </c>
      <c r="E61" s="8">
        <v>0</v>
      </c>
      <c r="F61" s="1"/>
      <c r="G61" s="1"/>
      <c r="H61" s="1"/>
      <c r="I61" s="1"/>
      <c r="J61" s="1"/>
      <c r="K61" s="1"/>
      <c r="L61" s="5" t="str">
        <f>INDEX(($AE$201:$AF$201),1,MATCH(E62,$AE$190:$AF$190,0),1)</f>
        <v>PUFK</v>
      </c>
      <c r="M61" s="11">
        <f>INDEX(cennik!$C$2:$L$529,MATCH($L61,cennik!$B$2:$B$522,0),MATCH(M$53,cennik!$C$1:$L$1,0))</f>
        <v>890300</v>
      </c>
      <c r="N61" s="11" t="str">
        <f>INDEX(cennik!$C$2:$L$529,MATCH($L61,cennik!$B$2:$B$522,0),MATCH(N$53,cennik!$C$1:$L$1,0))</f>
        <v>szt.</v>
      </c>
      <c r="O61" s="14">
        <f>IF($E$55=$AF$53,AH66,IF($E$55=$AF$52,AH65,0))</f>
        <v>0</v>
      </c>
      <c r="P61" s="11">
        <f>INDEX(cennik!$C$2:$L$529,MATCH($L61,cennik!$B$2:$B$522,0),MATCH(P$53,cennik!$C$1:$L$1,0))</f>
        <v>7.31</v>
      </c>
      <c r="Q61" s="14">
        <f t="shared" si="22"/>
        <v>0</v>
      </c>
      <c r="R61" s="14">
        <f t="shared" si="19"/>
        <v>0</v>
      </c>
      <c r="S61" s="34">
        <f t="shared" si="20"/>
        <v>7.31</v>
      </c>
      <c r="T61" s="14">
        <f t="shared" si="23"/>
        <v>0</v>
      </c>
      <c r="U61" s="34">
        <f>INDEX(cennik!$C$2:$L$529,MATCH($L61,cennik!$B$2:$B$522,0),MATCH(U$53,cennik!$C$1:$L$1,0))*O61</f>
        <v>0</v>
      </c>
      <c r="V61" s="21"/>
      <c r="W61" s="21"/>
      <c r="X61" s="21"/>
      <c r="Y61" s="21"/>
      <c r="Z61" s="21"/>
      <c r="AA61" s="21"/>
      <c r="AB61" s="21"/>
      <c r="AC61" s="21"/>
      <c r="AD61" s="21"/>
      <c r="AE61" s="21"/>
      <c r="AF61" s="186" t="s">
        <v>1214</v>
      </c>
      <c r="AG61" s="21"/>
      <c r="AH61" s="21"/>
      <c r="AI61" s="21"/>
      <c r="AJ61" s="21"/>
      <c r="AK61" s="21"/>
      <c r="AL61" s="21"/>
      <c r="AM61" s="21"/>
      <c r="AN61" s="21"/>
      <c r="AO61" s="21"/>
      <c r="AP61" s="21"/>
      <c r="AQ61" s="21"/>
      <c r="AR61" s="21"/>
      <c r="AS61" s="21"/>
      <c r="AT61" s="21"/>
      <c r="AU61" s="21"/>
      <c r="AV61" s="21"/>
      <c r="AW61" s="21"/>
      <c r="AX61" s="21"/>
      <c r="AY61" s="21"/>
      <c r="AZ61" s="21"/>
      <c r="BA61" s="21"/>
      <c r="BB61" s="21"/>
      <c r="BC61" s="21"/>
      <c r="BD61" s="21"/>
      <c r="BE61" s="21"/>
      <c r="BF61" s="21"/>
      <c r="BG61" s="21"/>
      <c r="BH61" s="21">
        <f t="shared" si="24"/>
        <v>0</v>
      </c>
      <c r="BI61" s="21">
        <f t="shared" si="21"/>
        <v>0</v>
      </c>
      <c r="BJ61" s="21"/>
      <c r="BK61" s="21"/>
      <c r="BL61" s="21"/>
      <c r="BM61" s="21"/>
      <c r="BN61" s="21"/>
      <c r="BO61" s="21"/>
      <c r="BP61" s="21"/>
      <c r="BQ61" s="21"/>
      <c r="BR61" s="21"/>
      <c r="BS61" s="21"/>
      <c r="BT61" s="21"/>
      <c r="BU61" s="21"/>
      <c r="BV61" s="21"/>
      <c r="BW61" s="21"/>
      <c r="BX61" s="21"/>
      <c r="BY61" s="21"/>
      <c r="BZ61" s="21"/>
      <c r="CA61" s="21"/>
      <c r="CB61" s="21"/>
      <c r="CC61" s="21"/>
      <c r="CD61" s="21"/>
      <c r="CE61" s="21"/>
      <c r="CF61" s="21"/>
      <c r="CG61" s="21"/>
      <c r="CH61" s="21"/>
      <c r="CI61" s="21"/>
      <c r="CJ61" s="21"/>
      <c r="CK61" s="21"/>
      <c r="CL61" s="21"/>
      <c r="CM61" s="21"/>
      <c r="CN61" s="21"/>
      <c r="CO61" s="21"/>
      <c r="CP61" s="21"/>
      <c r="CQ61" s="21"/>
      <c r="CR61" s="21"/>
      <c r="CS61" s="21"/>
      <c r="CT61" s="21"/>
      <c r="CU61" s="21"/>
      <c r="CV61" s="21"/>
      <c r="CW61" s="21"/>
      <c r="CX61" s="21"/>
      <c r="CY61" s="21"/>
      <c r="CZ61" s="21"/>
      <c r="DA61" s="21"/>
      <c r="DB61" s="21"/>
      <c r="DC61" s="21"/>
      <c r="DD61" s="21"/>
      <c r="DE61" s="21"/>
      <c r="DF61" s="21"/>
      <c r="DG61" s="21"/>
      <c r="DH61" s="21"/>
      <c r="DI61" s="21"/>
      <c r="DJ61" s="21"/>
      <c r="DK61" s="21"/>
      <c r="DL61" s="21"/>
      <c r="DM61" s="21"/>
      <c r="DN61" s="21"/>
      <c r="DO61" s="21"/>
      <c r="DP61" s="21"/>
      <c r="DQ61" s="21"/>
      <c r="DR61" s="21"/>
      <c r="DS61" s="21"/>
      <c r="DT61" s="21"/>
      <c r="DU61" s="21"/>
      <c r="DV61" s="21"/>
      <c r="DW61" s="21"/>
      <c r="DX61" s="21"/>
      <c r="DY61" s="21"/>
      <c r="DZ61" s="87"/>
      <c r="EA61" s="87"/>
      <c r="EB61" s="87"/>
      <c r="EC61" s="21"/>
      <c r="ED61" s="21"/>
      <c r="EE61" s="21"/>
      <c r="EF61" s="21"/>
      <c r="EG61" s="21"/>
      <c r="EH61" s="21"/>
      <c r="EI61" s="21"/>
      <c r="EJ61" s="21"/>
      <c r="EK61" s="21"/>
      <c r="EL61" s="21"/>
      <c r="EM61" s="21"/>
      <c r="EN61" s="21"/>
      <c r="EO61" s="21"/>
      <c r="EP61" s="21"/>
      <c r="EQ61" s="21"/>
      <c r="ER61" s="21"/>
      <c r="ES61" s="21"/>
      <c r="ET61" s="21"/>
      <c r="EU61" s="21"/>
      <c r="EV61" s="21"/>
      <c r="EW61" s="21"/>
      <c r="EX61" s="21"/>
      <c r="EY61" s="21"/>
      <c r="EZ61" s="21"/>
      <c r="FA61" s="21"/>
      <c r="FB61" s="21"/>
      <c r="FC61" s="21"/>
      <c r="FD61" s="21"/>
      <c r="FE61" s="21"/>
      <c r="FF61" s="21"/>
      <c r="FG61" s="21"/>
      <c r="FH61" s="21"/>
      <c r="FI61" s="21"/>
      <c r="FJ61" s="21"/>
      <c r="FK61" s="21"/>
      <c r="FL61" s="21"/>
      <c r="FM61" s="21"/>
      <c r="FN61" s="21"/>
      <c r="FO61" s="21"/>
      <c r="FP61" s="21"/>
      <c r="FQ61" s="21"/>
      <c r="FR61" s="21"/>
      <c r="FS61" s="21"/>
      <c r="FT61" s="21"/>
      <c r="FU61" s="21"/>
      <c r="FV61" s="21"/>
      <c r="FW61" s="21"/>
      <c r="FX61" s="21"/>
      <c r="FY61" s="21"/>
      <c r="FZ61" s="21"/>
      <c r="GA61" s="21"/>
      <c r="GB61" s="21"/>
      <c r="GC61" s="21"/>
      <c r="GD61" s="21"/>
      <c r="GE61" s="21"/>
      <c r="GF61" s="21"/>
      <c r="GG61" s="21"/>
      <c r="GH61" s="21"/>
      <c r="GI61" s="21"/>
      <c r="GJ61" s="21"/>
      <c r="GK61" s="21"/>
      <c r="GL61" s="21"/>
      <c r="GM61" s="21"/>
      <c r="GN61" s="21"/>
      <c r="GO61" s="21"/>
      <c r="GP61" s="21"/>
      <c r="GQ61" s="21"/>
      <c r="GR61" s="21"/>
      <c r="GS61" s="21"/>
      <c r="GT61" s="21"/>
      <c r="GU61" s="21"/>
      <c r="GV61" s="21"/>
      <c r="GW61" s="21"/>
      <c r="GX61" s="21"/>
      <c r="GY61" s="21"/>
      <c r="GZ61" s="21"/>
      <c r="HA61" s="21"/>
      <c r="HB61" s="21"/>
      <c r="HC61" s="21"/>
      <c r="HD61" s="21"/>
      <c r="HE61" s="21"/>
      <c r="HF61" s="21"/>
      <c r="HG61" s="21"/>
      <c r="HH61" s="21"/>
      <c r="HI61" s="21"/>
      <c r="HJ61" s="21"/>
      <c r="HK61" s="21"/>
      <c r="HL61" s="21"/>
      <c r="HM61" s="21"/>
      <c r="HN61" s="21"/>
      <c r="HO61" s="21"/>
      <c r="HP61" s="21"/>
      <c r="HQ61" s="21"/>
      <c r="HR61" s="21"/>
      <c r="HS61" s="21"/>
      <c r="HT61" s="21"/>
      <c r="HU61" s="21"/>
      <c r="HV61" s="186"/>
      <c r="HW61" s="21"/>
      <c r="HX61" s="21"/>
      <c r="HY61" s="21"/>
      <c r="HZ61" s="21"/>
      <c r="IA61" s="21"/>
      <c r="IB61" s="21"/>
      <c r="IC61" s="21"/>
      <c r="ID61" s="21"/>
      <c r="IE61" s="21"/>
      <c r="IF61" s="21"/>
      <c r="IG61" s="21"/>
      <c r="IH61" s="21"/>
      <c r="II61" s="21"/>
      <c r="IJ61" s="21"/>
      <c r="IK61" s="21"/>
      <c r="IL61" s="21"/>
      <c r="IM61" s="21"/>
      <c r="IN61" s="21"/>
      <c r="IO61" s="21"/>
      <c r="IP61" s="21"/>
      <c r="IQ61" s="21"/>
      <c r="IR61" s="21"/>
      <c r="IS61" s="21"/>
      <c r="IT61" s="21"/>
      <c r="IU61" s="21"/>
      <c r="IV61" s="21"/>
      <c r="IW61" s="21"/>
      <c r="IX61" s="21"/>
      <c r="IY61" s="21"/>
      <c r="IZ61" s="21"/>
      <c r="JA61" s="21"/>
      <c r="JB61" s="21"/>
      <c r="JC61" s="21"/>
      <c r="JD61" s="21"/>
      <c r="JE61" s="21"/>
      <c r="JF61" s="21"/>
      <c r="JG61" s="21"/>
      <c r="JH61" s="21"/>
      <c r="JI61" s="21"/>
      <c r="JJ61" s="21"/>
      <c r="JK61" s="21"/>
      <c r="JL61" s="21"/>
      <c r="JM61" s="21"/>
      <c r="JN61" s="21"/>
      <c r="JO61" s="21"/>
      <c r="JP61" s="21"/>
      <c r="JQ61" s="21"/>
      <c r="JR61" s="21"/>
      <c r="JS61" s="21"/>
      <c r="JT61" s="21"/>
      <c r="JU61" s="21"/>
      <c r="JV61" s="21"/>
      <c r="JW61" s="21"/>
      <c r="JX61" s="21"/>
      <c r="JY61" s="21"/>
      <c r="JZ61" s="21"/>
      <c r="KA61" s="21"/>
      <c r="KB61" s="21"/>
      <c r="KC61" s="21"/>
      <c r="KD61" s="21"/>
      <c r="KE61" s="21"/>
      <c r="KF61" s="21"/>
      <c r="KG61" s="21"/>
      <c r="KH61" s="21"/>
    </row>
    <row r="62" spans="1:294" hidden="1" x14ac:dyDescent="0.25">
      <c r="A62" s="8"/>
      <c r="B62" s="5" t="s">
        <v>116</v>
      </c>
      <c r="C62" s="8"/>
      <c r="D62" s="6" t="s">
        <v>124</v>
      </c>
      <c r="E62" s="8" t="s">
        <v>125</v>
      </c>
      <c r="F62" s="1"/>
      <c r="G62" s="1"/>
      <c r="H62" s="1"/>
      <c r="I62" s="1"/>
      <c r="J62" s="1"/>
      <c r="K62" s="1"/>
      <c r="L62" s="5" t="str">
        <f>INDEX(($AE$191:$AF$201),MATCH(I54,$AD$191:$AD$200,0),MATCH(E62,$AE$190:$AF$190,0),1)</f>
        <v>BUFK30</v>
      </c>
      <c r="M62" s="11">
        <f>INDEX(cennik!$C$2:$L$529,MATCH($L62,cennik!$B$2:$B$522,0),MATCH(M$53,cennik!$C$1:$L$1,0))</f>
        <v>897430</v>
      </c>
      <c r="N62" s="11" t="str">
        <f>INDEX(cennik!$C$2:$L$529,MATCH($L62,cennik!$B$2:$B$522,0),MATCH(N$53,cennik!$C$1:$L$1,0))</f>
        <v>szt.</v>
      </c>
      <c r="O62" s="14">
        <f>IF($E$55=$AF$53,AI66,IF($E$55=$AF$52,AI65,0))</f>
        <v>0</v>
      </c>
      <c r="P62" s="11">
        <f>INDEX(cennik!$C$2:$L$529,MATCH($L62,cennik!$B$2:$B$522,0),MATCH(P$53,cennik!$C$1:$L$1,0))</f>
        <v>5.87</v>
      </c>
      <c r="Q62" s="14">
        <f t="shared" si="22"/>
        <v>0</v>
      </c>
      <c r="R62" s="14">
        <f t="shared" si="19"/>
        <v>0</v>
      </c>
      <c r="S62" s="34">
        <f t="shared" si="20"/>
        <v>5.87</v>
      </c>
      <c r="T62" s="14">
        <f t="shared" si="23"/>
        <v>0</v>
      </c>
      <c r="U62" s="34">
        <f>INDEX(cennik!$C$2:$L$529,MATCH($L62,cennik!$B$2:$B$522,0),MATCH(U$53,cennik!$C$1:$L$1,0))*O62</f>
        <v>0</v>
      </c>
      <c r="V62" s="21"/>
      <c r="W62" s="21"/>
      <c r="X62" s="21"/>
      <c r="Y62" s="21"/>
      <c r="Z62" s="21"/>
      <c r="AA62" s="21"/>
      <c r="AB62" s="21"/>
      <c r="AC62" s="21"/>
      <c r="AD62" s="21"/>
      <c r="AE62" s="21"/>
      <c r="AF62" s="21"/>
      <c r="AG62" s="21"/>
      <c r="AH62" s="21"/>
      <c r="AI62" s="21"/>
      <c r="AJ62" s="21"/>
      <c r="AK62" s="21"/>
      <c r="AL62" s="21"/>
      <c r="AM62" s="21"/>
      <c r="AN62" s="21"/>
      <c r="AO62" s="21"/>
      <c r="AP62" s="21"/>
      <c r="AQ62" s="21"/>
      <c r="AR62" s="21"/>
      <c r="AS62" s="21"/>
      <c r="AT62" s="21"/>
      <c r="AU62" s="21"/>
      <c r="AV62" s="21"/>
      <c r="AW62" s="21"/>
      <c r="AX62" s="21"/>
      <c r="AY62" s="21"/>
      <c r="AZ62" s="21"/>
      <c r="BA62" s="21"/>
      <c r="BB62" s="21"/>
      <c r="BC62" s="21"/>
      <c r="BD62" s="21"/>
      <c r="BE62" s="21"/>
      <c r="BF62" s="21"/>
      <c r="BG62" s="21"/>
      <c r="BH62" s="21">
        <f t="shared" si="24"/>
        <v>0</v>
      </c>
      <c r="BI62" s="21">
        <f t="shared" si="21"/>
        <v>0</v>
      </c>
      <c r="BJ62" s="21"/>
      <c r="BK62" s="21"/>
      <c r="BL62" s="21"/>
      <c r="BM62" s="21"/>
      <c r="BN62" s="21"/>
      <c r="BO62" s="21"/>
      <c r="BP62" s="21"/>
      <c r="BQ62" s="21"/>
      <c r="BR62" s="21"/>
      <c r="BS62" s="21"/>
      <c r="BT62" s="21"/>
      <c r="BU62" s="21"/>
      <c r="BV62" s="21"/>
      <c r="BW62" s="21"/>
      <c r="BX62" s="21"/>
      <c r="BY62" s="21"/>
      <c r="BZ62" s="21"/>
      <c r="CA62" s="21"/>
      <c r="CB62" s="21"/>
      <c r="CC62" s="21"/>
      <c r="CD62" s="21"/>
      <c r="CE62" s="21"/>
      <c r="CF62" s="21"/>
      <c r="CG62" s="21"/>
      <c r="CH62" s="21"/>
      <c r="CI62" s="21"/>
      <c r="CJ62" s="21"/>
      <c r="CK62" s="21"/>
      <c r="CL62" s="21"/>
      <c r="CM62" s="21"/>
      <c r="CN62" s="21"/>
      <c r="CO62" s="21"/>
      <c r="CP62" s="21"/>
      <c r="CQ62" s="21"/>
      <c r="CR62" s="21"/>
      <c r="CS62" s="21"/>
      <c r="CT62" s="21"/>
      <c r="CU62" s="21"/>
      <c r="CV62" s="21"/>
      <c r="CW62" s="21"/>
      <c r="CX62" s="21"/>
      <c r="CY62" s="21"/>
      <c r="CZ62" s="21"/>
      <c r="DA62" s="21"/>
      <c r="DB62" s="21"/>
      <c r="DC62" s="21"/>
      <c r="DD62" s="21"/>
      <c r="DE62" s="21"/>
      <c r="DF62" s="21"/>
      <c r="DG62" s="21"/>
      <c r="DH62" s="21"/>
      <c r="DI62" s="21"/>
      <c r="DJ62" s="21"/>
      <c r="DK62" s="21"/>
      <c r="DL62" s="21"/>
      <c r="DM62" s="21"/>
      <c r="DN62" s="21"/>
      <c r="DO62" s="21"/>
      <c r="DP62" s="21"/>
      <c r="DQ62" s="21"/>
      <c r="DR62" s="21"/>
      <c r="DS62" s="21"/>
      <c r="DT62" s="21"/>
      <c r="DU62" s="21"/>
      <c r="DV62" s="21"/>
      <c r="DW62" s="21"/>
      <c r="DX62" s="21"/>
      <c r="DY62" s="21"/>
      <c r="DZ62" s="87"/>
      <c r="EA62" s="87"/>
      <c r="EB62" s="87"/>
      <c r="EC62" s="21"/>
      <c r="ED62" s="21"/>
      <c r="EE62" s="21"/>
      <c r="EF62" s="21"/>
      <c r="EG62" s="21"/>
      <c r="EH62" s="21"/>
      <c r="EI62" s="21"/>
      <c r="EJ62" s="21"/>
      <c r="EK62" s="21"/>
      <c r="EL62" s="21"/>
      <c r="EM62" s="21"/>
      <c r="EN62" s="21"/>
      <c r="EO62" s="21"/>
      <c r="EP62" s="21"/>
      <c r="EQ62" s="21"/>
      <c r="ER62" s="21"/>
      <c r="ES62" s="21"/>
      <c r="ET62" s="21"/>
      <c r="EU62" s="21"/>
      <c r="EV62" s="21"/>
      <c r="EW62" s="21"/>
      <c r="EX62" s="21"/>
      <c r="EY62" s="21"/>
      <c r="EZ62" s="21"/>
      <c r="FA62" s="21"/>
      <c r="FB62" s="21"/>
      <c r="FC62" s="21"/>
      <c r="FD62" s="21"/>
      <c r="FE62" s="21"/>
      <c r="FF62" s="21"/>
      <c r="FG62" s="21"/>
      <c r="FH62" s="21"/>
      <c r="FI62" s="21"/>
      <c r="FJ62" s="21"/>
      <c r="FK62" s="21"/>
      <c r="FL62" s="21"/>
      <c r="FM62" s="21"/>
      <c r="FN62" s="21"/>
      <c r="FO62" s="21"/>
      <c r="FP62" s="21"/>
      <c r="FQ62" s="21"/>
      <c r="FR62" s="21"/>
      <c r="FS62" s="21"/>
      <c r="FT62" s="21"/>
      <c r="FU62" s="21"/>
      <c r="FV62" s="21"/>
      <c r="FW62" s="21"/>
      <c r="FX62" s="21"/>
      <c r="FY62" s="21"/>
      <c r="FZ62" s="21"/>
      <c r="GA62" s="21"/>
      <c r="GB62" s="21"/>
      <c r="GC62" s="21"/>
      <c r="GD62" s="21"/>
      <c r="GE62" s="21"/>
      <c r="GF62" s="21"/>
      <c r="GG62" s="21"/>
      <c r="GH62" s="21"/>
      <c r="GI62" s="21"/>
      <c r="GJ62" s="21"/>
      <c r="GK62" s="21"/>
      <c r="GL62" s="21"/>
      <c r="GM62" s="21"/>
      <c r="GN62" s="21"/>
      <c r="GO62" s="21"/>
      <c r="GP62" s="21"/>
      <c r="GQ62" s="21"/>
      <c r="GR62" s="21"/>
      <c r="GS62" s="21"/>
      <c r="GT62" s="21"/>
      <c r="GU62" s="21"/>
      <c r="GV62" s="21"/>
      <c r="GW62" s="21"/>
      <c r="GX62" s="21"/>
      <c r="GY62" s="21"/>
      <c r="GZ62" s="21"/>
      <c r="HA62" s="21"/>
      <c r="HB62" s="21"/>
      <c r="HC62" s="21"/>
      <c r="HD62" s="21"/>
      <c r="HE62" s="21"/>
      <c r="HF62" s="21"/>
      <c r="HG62" s="21"/>
      <c r="HH62" s="21"/>
      <c r="HI62" s="21"/>
      <c r="HJ62" s="21"/>
      <c r="HK62" s="21"/>
      <c r="HL62" s="21"/>
      <c r="HM62" s="21"/>
      <c r="HN62" s="21"/>
      <c r="HO62" s="21"/>
      <c r="HP62" s="21"/>
      <c r="HQ62" s="21"/>
      <c r="HR62" s="21"/>
      <c r="HS62" s="21"/>
      <c r="HT62" s="21"/>
      <c r="HU62" s="21"/>
      <c r="HV62" s="186"/>
      <c r="HW62" s="21"/>
      <c r="HX62" s="21"/>
      <c r="HY62" s="21"/>
      <c r="HZ62" s="21"/>
      <c r="IA62" s="21"/>
      <c r="IB62" s="21"/>
      <c r="IC62" s="21"/>
      <c r="ID62" s="21"/>
      <c r="IE62" s="21"/>
      <c r="IF62" s="21"/>
      <c r="IG62" s="21"/>
      <c r="IH62" s="21"/>
      <c r="II62" s="21"/>
      <c r="IJ62" s="21"/>
      <c r="IK62" s="21"/>
      <c r="IL62" s="21"/>
      <c r="IM62" s="21"/>
      <c r="IN62" s="21"/>
      <c r="IO62" s="21"/>
      <c r="IP62" s="21"/>
      <c r="IQ62" s="21"/>
      <c r="IR62" s="21"/>
      <c r="IS62" s="21"/>
      <c r="IT62" s="21"/>
      <c r="IU62" s="21"/>
      <c r="IV62" s="21"/>
      <c r="IW62" s="21"/>
      <c r="IX62" s="21"/>
      <c r="IY62" s="21"/>
      <c r="IZ62" s="21"/>
      <c r="JA62" s="21"/>
      <c r="JB62" s="21"/>
      <c r="JC62" s="21"/>
      <c r="JD62" s="21"/>
      <c r="JE62" s="21"/>
      <c r="JF62" s="21"/>
      <c r="JG62" s="21"/>
      <c r="JH62" s="21"/>
      <c r="JI62" s="21"/>
      <c r="JJ62" s="21"/>
      <c r="JK62" s="21"/>
      <c r="JL62" s="21"/>
      <c r="JM62" s="21"/>
      <c r="JN62" s="21"/>
      <c r="JO62" s="21"/>
      <c r="JP62" s="21"/>
      <c r="JQ62" s="21"/>
      <c r="JR62" s="21"/>
      <c r="JS62" s="21"/>
      <c r="JT62" s="21"/>
      <c r="JU62" s="21"/>
      <c r="JV62" s="21"/>
      <c r="JW62" s="21"/>
      <c r="JX62" s="21"/>
      <c r="JY62" s="21"/>
      <c r="JZ62" s="21"/>
      <c r="KA62" s="21"/>
      <c r="KB62" s="21"/>
      <c r="KC62" s="21"/>
      <c r="KD62" s="21"/>
      <c r="KE62" s="21"/>
      <c r="KF62" s="21"/>
      <c r="KG62" s="21"/>
      <c r="KH62" s="21"/>
    </row>
    <row r="63" spans="1:294" hidden="1" x14ac:dyDescent="0.25">
      <c r="A63" s="8"/>
      <c r="B63" s="5" t="s">
        <v>116</v>
      </c>
      <c r="C63" s="8"/>
      <c r="D63" s="1"/>
      <c r="E63" s="1"/>
      <c r="F63" s="1"/>
      <c r="G63" s="1"/>
      <c r="H63" s="1"/>
      <c r="I63" s="1"/>
      <c r="J63" s="1"/>
      <c r="K63" s="1"/>
      <c r="L63" s="5" t="s">
        <v>602</v>
      </c>
      <c r="M63" s="11">
        <f>INDEX(cennik!$C$2:$L$529,MATCH($L63,cennik!$B$2:$B$522,0),MATCH(M$53,cennik!$C$1:$L$1,0))</f>
        <v>858024</v>
      </c>
      <c r="N63" s="11" t="str">
        <f>INDEX(cennik!$C$2:$L$529,MATCH($L63,cennik!$B$2:$B$522,0),MATCH(N$53,cennik!$C$1:$L$1,0))</f>
        <v>szt.</v>
      </c>
      <c r="O63" s="14">
        <f>IF(E57=AF59,O54,0)</f>
        <v>0</v>
      </c>
      <c r="P63" s="11">
        <f>INDEX(cennik!$C$2:$L$529,MATCH($L63,cennik!$B$2:$B$522,0),MATCH(P$53,cennik!$C$1:$L$1,0))</f>
        <v>37.4</v>
      </c>
      <c r="Q63" s="14">
        <f t="shared" si="22"/>
        <v>0</v>
      </c>
      <c r="R63" s="14">
        <f t="shared" si="19"/>
        <v>0</v>
      </c>
      <c r="S63" s="34">
        <f t="shared" si="20"/>
        <v>37.4</v>
      </c>
      <c r="T63" s="14">
        <f t="shared" si="23"/>
        <v>0</v>
      </c>
      <c r="U63" s="34">
        <f>INDEX(cennik!$C$2:$L$529,MATCH($L63,cennik!$B$2:$B$522,0),MATCH(U$53,cennik!$C$1:$L$1,0))*O63</f>
        <v>0</v>
      </c>
      <c r="V63" s="21"/>
      <c r="W63" s="21"/>
      <c r="X63" s="21"/>
      <c r="Y63" s="21"/>
      <c r="Z63" s="21"/>
      <c r="AA63" s="21"/>
      <c r="AB63" s="21"/>
      <c r="AC63" s="21"/>
      <c r="AD63" s="21"/>
      <c r="AE63" s="21"/>
      <c r="AF63" s="21"/>
      <c r="AG63" s="21"/>
      <c r="AH63" s="21"/>
      <c r="AI63" s="21"/>
      <c r="AJ63" s="21"/>
      <c r="AK63" s="21"/>
      <c r="AL63" s="21"/>
      <c r="AM63" s="21"/>
      <c r="AN63" s="21"/>
      <c r="AO63" s="21"/>
      <c r="AP63" s="21"/>
      <c r="AQ63" s="21"/>
      <c r="AR63" s="21"/>
      <c r="AS63" s="21"/>
      <c r="AT63" s="21"/>
      <c r="AU63" s="21"/>
      <c r="AV63" s="21"/>
      <c r="AW63" s="21"/>
      <c r="AX63" s="21"/>
      <c r="AY63" s="21"/>
      <c r="AZ63" s="21"/>
      <c r="BA63" s="21"/>
      <c r="BB63" s="21"/>
      <c r="BC63" s="21"/>
      <c r="BD63" s="21"/>
      <c r="BE63" s="21"/>
      <c r="BF63" s="21"/>
      <c r="BG63" s="21"/>
      <c r="BH63" s="21">
        <f t="shared" si="24"/>
        <v>0</v>
      </c>
      <c r="BI63" s="21">
        <f t="shared" si="21"/>
        <v>0</v>
      </c>
      <c r="BJ63" s="21"/>
      <c r="BK63" s="21"/>
      <c r="BL63" s="21"/>
      <c r="BM63" s="21"/>
      <c r="BN63" s="21"/>
      <c r="BO63" s="21"/>
      <c r="BP63" s="21"/>
      <c r="BQ63" s="21"/>
      <c r="BR63" s="21"/>
      <c r="BS63" s="21"/>
      <c r="BT63" s="21"/>
      <c r="BU63" s="21"/>
      <c r="BV63" s="21"/>
      <c r="BW63" s="21"/>
      <c r="BX63" s="21"/>
      <c r="BY63" s="21"/>
      <c r="BZ63" s="21"/>
      <c r="CA63" s="21"/>
      <c r="CB63" s="21"/>
      <c r="CC63" s="21"/>
      <c r="CD63" s="21"/>
      <c r="CE63" s="21"/>
      <c r="CF63" s="21"/>
      <c r="CG63" s="21"/>
      <c r="CH63" s="21"/>
      <c r="CI63" s="21"/>
      <c r="CJ63" s="21"/>
      <c r="CK63" s="21"/>
      <c r="CL63" s="21"/>
      <c r="CM63" s="21"/>
      <c r="CN63" s="21"/>
      <c r="CO63" s="21"/>
      <c r="CP63" s="21"/>
      <c r="CQ63" s="21"/>
      <c r="CR63" s="21"/>
      <c r="CS63" s="21"/>
      <c r="CT63" s="21"/>
      <c r="CU63" s="21"/>
      <c r="CV63" s="21"/>
      <c r="CW63" s="21"/>
      <c r="CX63" s="21"/>
      <c r="CY63" s="21"/>
      <c r="CZ63" s="21"/>
      <c r="DA63" s="21"/>
      <c r="DB63" s="21"/>
      <c r="DC63" s="21"/>
      <c r="DD63" s="21"/>
      <c r="DE63" s="21"/>
      <c r="DF63" s="21"/>
      <c r="DG63" s="21"/>
      <c r="DH63" s="21"/>
      <c r="DI63" s="21"/>
      <c r="DJ63" s="21"/>
      <c r="DK63" s="21"/>
      <c r="DL63" s="21"/>
      <c r="DM63" s="21"/>
      <c r="DN63" s="21"/>
      <c r="DO63" s="21"/>
      <c r="DP63" s="21"/>
      <c r="DQ63" s="21"/>
      <c r="DR63" s="21"/>
      <c r="DS63" s="21"/>
      <c r="DT63" s="21"/>
      <c r="DU63" s="21"/>
      <c r="DV63" s="21"/>
      <c r="DW63" s="21"/>
      <c r="DX63" s="21"/>
      <c r="DY63" s="21"/>
      <c r="DZ63" s="87"/>
      <c r="EA63" s="87"/>
      <c r="EB63" s="87"/>
      <c r="EC63" s="21"/>
      <c r="ED63" s="21"/>
      <c r="EE63" s="21"/>
      <c r="EF63" s="21"/>
      <c r="EG63" s="21"/>
      <c r="EH63" s="21"/>
      <c r="EI63" s="21"/>
      <c r="EJ63" s="21"/>
      <c r="EK63" s="21"/>
      <c r="EL63" s="21"/>
      <c r="EM63" s="21"/>
      <c r="EN63" s="21"/>
      <c r="EO63" s="21"/>
      <c r="EP63" s="21"/>
      <c r="EQ63" s="21"/>
      <c r="ER63" s="21"/>
      <c r="ES63" s="21"/>
      <c r="ET63" s="21"/>
      <c r="EU63" s="21"/>
      <c r="EV63" s="21"/>
      <c r="EW63" s="21"/>
      <c r="EX63" s="21"/>
      <c r="EY63" s="21"/>
      <c r="EZ63" s="21"/>
      <c r="FA63" s="21"/>
      <c r="FB63" s="21"/>
      <c r="FC63" s="21"/>
      <c r="FD63" s="21"/>
      <c r="FE63" s="21"/>
      <c r="FF63" s="21"/>
      <c r="FG63" s="21"/>
      <c r="FH63" s="21"/>
      <c r="FI63" s="21"/>
      <c r="FJ63" s="21"/>
      <c r="FK63" s="21"/>
      <c r="FL63" s="21"/>
      <c r="FM63" s="21"/>
      <c r="FN63" s="21"/>
      <c r="FO63" s="21"/>
      <c r="FP63" s="21"/>
      <c r="FQ63" s="21"/>
      <c r="FR63" s="21"/>
      <c r="FS63" s="21"/>
      <c r="FT63" s="21"/>
      <c r="FU63" s="21"/>
      <c r="FV63" s="21"/>
      <c r="FW63" s="21"/>
      <c r="FX63" s="21"/>
      <c r="FY63" s="21"/>
      <c r="FZ63" s="21"/>
      <c r="GA63" s="21"/>
      <c r="GB63" s="21"/>
      <c r="GC63" s="21"/>
      <c r="GD63" s="21"/>
      <c r="GE63" s="21"/>
      <c r="GF63" s="21"/>
      <c r="GG63" s="21"/>
      <c r="GH63" s="21"/>
      <c r="GI63" s="21"/>
      <c r="GJ63" s="21"/>
      <c r="GK63" s="21"/>
      <c r="GL63" s="21"/>
      <c r="GM63" s="21"/>
      <c r="GN63" s="21"/>
      <c r="GO63" s="21"/>
      <c r="GP63" s="21"/>
      <c r="GQ63" s="21"/>
      <c r="GR63" s="21"/>
      <c r="GS63" s="21"/>
      <c r="GT63" s="21"/>
      <c r="GU63" s="21"/>
      <c r="GV63" s="21"/>
      <c r="GW63" s="21"/>
      <c r="GX63" s="21"/>
      <c r="GY63" s="21"/>
      <c r="GZ63" s="21"/>
      <c r="HA63" s="21"/>
      <c r="HB63" s="21"/>
      <c r="HC63" s="21"/>
      <c r="HD63" s="21"/>
      <c r="HE63" s="21"/>
      <c r="HF63" s="21"/>
      <c r="HG63" s="21"/>
      <c r="HH63" s="21"/>
      <c r="HI63" s="21"/>
      <c r="HJ63" s="21"/>
      <c r="HK63" s="21"/>
      <c r="HL63" s="21"/>
      <c r="HM63" s="21"/>
      <c r="HN63" s="21"/>
      <c r="HO63" s="21"/>
      <c r="HP63" s="21"/>
      <c r="HQ63" s="21"/>
      <c r="HR63" s="21"/>
      <c r="HS63" s="21"/>
      <c r="HT63" s="21"/>
      <c r="HU63" s="21"/>
      <c r="HV63" s="186"/>
      <c r="HW63" s="21"/>
      <c r="HX63" s="21"/>
      <c r="HY63" s="21"/>
      <c r="HZ63" s="21"/>
      <c r="IA63" s="21"/>
      <c r="IB63" s="21"/>
      <c r="IC63" s="21"/>
      <c r="ID63" s="21"/>
      <c r="IE63" s="21"/>
      <c r="IF63" s="21"/>
      <c r="IG63" s="21"/>
      <c r="IH63" s="21"/>
      <c r="II63" s="21"/>
      <c r="IJ63" s="21"/>
      <c r="IK63" s="21"/>
      <c r="IL63" s="21"/>
      <c r="IM63" s="21"/>
      <c r="IN63" s="21"/>
      <c r="IO63" s="21"/>
      <c r="IP63" s="21"/>
      <c r="IQ63" s="21"/>
      <c r="IR63" s="21"/>
      <c r="IS63" s="21"/>
      <c r="IT63" s="21"/>
      <c r="IU63" s="21"/>
      <c r="IV63" s="21"/>
      <c r="IW63" s="21"/>
      <c r="IX63" s="21"/>
      <c r="IY63" s="21"/>
      <c r="IZ63" s="21"/>
      <c r="JA63" s="21"/>
      <c r="JB63" s="21"/>
      <c r="JC63" s="21"/>
      <c r="JD63" s="21"/>
      <c r="JE63" s="21"/>
      <c r="JF63" s="21"/>
      <c r="JG63" s="21"/>
      <c r="JH63" s="21"/>
      <c r="JI63" s="21"/>
      <c r="JJ63" s="21"/>
      <c r="JK63" s="21"/>
      <c r="JL63" s="21"/>
      <c r="JM63" s="21"/>
      <c r="JN63" s="21"/>
      <c r="JO63" s="21"/>
      <c r="JP63" s="21"/>
      <c r="JQ63" s="21"/>
      <c r="JR63" s="21"/>
      <c r="JS63" s="21"/>
      <c r="JT63" s="21"/>
      <c r="JU63" s="21"/>
      <c r="JV63" s="21"/>
      <c r="JW63" s="21"/>
      <c r="JX63" s="21"/>
      <c r="JY63" s="21"/>
      <c r="JZ63" s="21"/>
      <c r="KA63" s="21"/>
      <c r="KB63" s="21"/>
      <c r="KC63" s="21"/>
      <c r="KD63" s="21"/>
      <c r="KE63" s="21"/>
      <c r="KF63" s="21"/>
      <c r="KG63" s="21"/>
      <c r="KH63" s="21"/>
    </row>
    <row r="64" spans="1:294" hidden="1" x14ac:dyDescent="0.25">
      <c r="A64" s="8"/>
      <c r="B64" s="5" t="s">
        <v>116</v>
      </c>
      <c r="C64" s="8"/>
      <c r="D64" s="1"/>
      <c r="E64" s="1"/>
      <c r="F64" s="1"/>
      <c r="G64" s="1"/>
      <c r="H64" s="1"/>
      <c r="I64" s="1"/>
      <c r="J64" s="1"/>
      <c r="K64" s="1"/>
      <c r="L64" s="5" t="s">
        <v>1226</v>
      </c>
      <c r="M64" s="11">
        <f>INDEX(cennik!$C$2:$L$529,MATCH($L64,cennik!$B$2:$B$522,0),MATCH(M$53,cennik!$C$1:$L$1,0))</f>
        <v>1618235</v>
      </c>
      <c r="N64" s="11" t="str">
        <f>INDEX(cennik!$C$2:$L$529,MATCH($L64,cennik!$B$2:$B$522,0),MATCH(N$53,cennik!$C$1:$L$1,0))</f>
        <v>mb.</v>
      </c>
      <c r="O64" s="14">
        <f>(ROUNDUP((IF(E58=AH58,(SUM((A53*C53),(A54*C54),(A55*C55),(A56*C56),(A57*C57),(A58*C58),(A59*C59),(A60*C60),(A61*C61),(A62*C62),(A63*C63),(A64*C64),(A65*C65),(A66*C66),(A67*C67),(A68*C68)))*(AF64/1000),0))/3,0))*3</f>
        <v>0</v>
      </c>
      <c r="P64" s="11">
        <f>INDEX(cennik!$C$2:$L$529,MATCH($L64,cennik!$B$2:$B$522,0),MATCH(P$53,cennik!$C$1:$L$1,0))</f>
        <v>42.28</v>
      </c>
      <c r="Q64" s="14">
        <f t="shared" si="22"/>
        <v>0</v>
      </c>
      <c r="R64" s="14">
        <f t="shared" si="19"/>
        <v>0</v>
      </c>
      <c r="S64" s="34">
        <f t="shared" si="20"/>
        <v>42.28</v>
      </c>
      <c r="T64" s="14">
        <f t="shared" si="23"/>
        <v>0</v>
      </c>
      <c r="U64" s="34">
        <f>INDEX(cennik!$C$2:$L$529,MATCH($L64,cennik!$B$2:$B$522,0),MATCH(U$53,cennik!$C$1:$L$1,0))*O64</f>
        <v>0</v>
      </c>
      <c r="V64" s="21"/>
      <c r="W64" s="21"/>
      <c r="X64" s="21"/>
      <c r="Y64" s="21"/>
      <c r="Z64" s="21"/>
      <c r="AA64" s="21"/>
      <c r="AB64" s="21"/>
      <c r="AC64" s="21"/>
      <c r="AD64" s="21"/>
      <c r="AE64" s="21"/>
      <c r="AF64" s="21" cm="1">
        <f t="array" ref="AF64">INDEX(($Y$109:$Y$126),MATCH(E54,$X$109:$X$126,0),0)</f>
        <v>2350</v>
      </c>
      <c r="AG64" s="21"/>
      <c r="AH64" s="21" t="s">
        <v>1255</v>
      </c>
      <c r="AI64" s="21" t="s">
        <v>1256</v>
      </c>
      <c r="AJ64" s="21"/>
      <c r="AK64" s="21"/>
      <c r="AL64" s="21"/>
      <c r="AM64" s="21"/>
      <c r="AN64" s="21"/>
      <c r="AO64" s="21"/>
      <c r="AP64" s="21"/>
      <c r="AQ64" s="21"/>
      <c r="AR64" s="21"/>
      <c r="AS64" s="21"/>
      <c r="AT64" s="21"/>
      <c r="AU64" s="21"/>
      <c r="AV64" s="21"/>
      <c r="AW64" s="21"/>
      <c r="AX64" s="21"/>
      <c r="AY64" s="21"/>
      <c r="AZ64" s="21"/>
      <c r="BA64" s="21"/>
      <c r="BB64" s="21"/>
      <c r="BC64" s="21"/>
      <c r="BD64" s="21"/>
      <c r="BE64" s="21"/>
      <c r="BF64" s="21"/>
      <c r="BG64" s="21"/>
      <c r="BH64" s="21">
        <f t="shared" si="24"/>
        <v>0</v>
      </c>
      <c r="BI64" s="21">
        <f t="shared" si="21"/>
        <v>0</v>
      </c>
      <c r="BJ64" s="21"/>
      <c r="BK64" s="21"/>
      <c r="BL64" s="21"/>
      <c r="BM64" s="21"/>
      <c r="BN64" s="21"/>
      <c r="BO64" s="21"/>
      <c r="BP64" s="21"/>
      <c r="BQ64" s="21"/>
      <c r="BR64" s="21"/>
      <c r="BS64" s="21"/>
      <c r="BT64" s="21"/>
      <c r="BU64" s="21"/>
      <c r="BV64" s="21"/>
      <c r="BW64" s="21"/>
      <c r="BX64" s="21"/>
      <c r="BY64" s="21"/>
      <c r="BZ64" s="21"/>
      <c r="CA64" s="21"/>
      <c r="CB64" s="21"/>
      <c r="CC64" s="21"/>
      <c r="CD64" s="21"/>
      <c r="CE64" s="21"/>
      <c r="CF64" s="21"/>
      <c r="CG64" s="21"/>
      <c r="CH64" s="21"/>
      <c r="CI64" s="21"/>
      <c r="CJ64" s="21"/>
      <c r="CK64" s="21"/>
      <c r="CL64" s="21"/>
      <c r="CM64" s="21"/>
      <c r="CN64" s="21"/>
      <c r="CO64" s="21"/>
      <c r="CP64" s="21"/>
      <c r="CQ64" s="21"/>
      <c r="CR64" s="21"/>
      <c r="CS64" s="21"/>
      <c r="CT64" s="21"/>
      <c r="CU64" s="21"/>
      <c r="CV64" s="21"/>
      <c r="CW64" s="21"/>
      <c r="CX64" s="21"/>
      <c r="CY64" s="21"/>
      <c r="CZ64" s="21"/>
      <c r="DA64" s="21"/>
      <c r="DB64" s="21"/>
      <c r="DC64" s="21"/>
      <c r="DD64" s="21"/>
      <c r="DE64" s="21"/>
      <c r="DF64" s="21"/>
      <c r="DG64" s="21"/>
      <c r="DH64" s="21"/>
      <c r="DI64" s="21"/>
      <c r="DJ64" s="21"/>
      <c r="DK64" s="21"/>
      <c r="DL64" s="21"/>
      <c r="DM64" s="21"/>
      <c r="DN64" s="21"/>
      <c r="DO64" s="21"/>
      <c r="DP64" s="21"/>
      <c r="DQ64" s="21"/>
      <c r="DR64" s="21"/>
      <c r="DS64" s="21"/>
      <c r="DT64" s="21"/>
      <c r="DU64" s="21"/>
      <c r="DV64" s="21"/>
      <c r="DW64" s="21"/>
      <c r="DX64" s="21"/>
      <c r="DY64" s="21"/>
      <c r="DZ64" s="87"/>
      <c r="EA64" s="87"/>
      <c r="EB64" s="87"/>
      <c r="EC64" s="21"/>
      <c r="ED64" s="21"/>
      <c r="EE64" s="21"/>
      <c r="EF64" s="21"/>
      <c r="EG64" s="21"/>
      <c r="EH64" s="21"/>
      <c r="EI64" s="21"/>
      <c r="EJ64" s="21"/>
      <c r="EK64" s="21"/>
      <c r="EL64" s="21"/>
      <c r="EM64" s="21"/>
      <c r="EN64" s="21"/>
      <c r="EO64" s="21"/>
      <c r="EP64" s="21"/>
      <c r="EQ64" s="21"/>
      <c r="ER64" s="21"/>
      <c r="ES64" s="21"/>
      <c r="ET64" s="21"/>
      <c r="EU64" s="21"/>
      <c r="EV64" s="21"/>
      <c r="EW64" s="21"/>
      <c r="EX64" s="21"/>
      <c r="EY64" s="21"/>
      <c r="EZ64" s="21"/>
      <c r="FA64" s="21"/>
      <c r="FB64" s="21"/>
      <c r="FC64" s="21"/>
      <c r="FD64" s="21"/>
      <c r="FE64" s="21"/>
      <c r="FF64" s="21"/>
      <c r="FG64" s="21"/>
      <c r="FH64" s="21"/>
      <c r="FI64" s="21"/>
      <c r="FJ64" s="21"/>
      <c r="FK64" s="21"/>
      <c r="FL64" s="21"/>
      <c r="FM64" s="21"/>
      <c r="FN64" s="21"/>
      <c r="FO64" s="21"/>
      <c r="FP64" s="21"/>
      <c r="FQ64" s="21"/>
      <c r="FR64" s="21"/>
      <c r="FS64" s="21"/>
      <c r="FT64" s="21"/>
      <c r="FU64" s="21"/>
      <c r="FV64" s="21"/>
      <c r="FW64" s="21"/>
      <c r="FX64" s="21"/>
      <c r="FY64" s="21"/>
      <c r="FZ64" s="21"/>
      <c r="GA64" s="21"/>
      <c r="GB64" s="21"/>
      <c r="GC64" s="21"/>
      <c r="GD64" s="21"/>
      <c r="GE64" s="21"/>
      <c r="GF64" s="21"/>
      <c r="GG64" s="21"/>
      <c r="GH64" s="21"/>
      <c r="GI64" s="21"/>
      <c r="GJ64" s="21"/>
      <c r="GK64" s="21"/>
      <c r="GL64" s="21"/>
      <c r="GM64" s="21"/>
      <c r="GN64" s="21"/>
      <c r="GO64" s="21"/>
      <c r="GP64" s="21"/>
      <c r="GQ64" s="21"/>
      <c r="GR64" s="21"/>
      <c r="GS64" s="21"/>
      <c r="GT64" s="21"/>
      <c r="GU64" s="21"/>
      <c r="GV64" s="21"/>
      <c r="GW64" s="21"/>
      <c r="GX64" s="21"/>
      <c r="GY64" s="21"/>
      <c r="GZ64" s="21"/>
      <c r="HA64" s="21"/>
      <c r="HB64" s="21"/>
      <c r="HC64" s="21"/>
      <c r="HD64" s="21"/>
      <c r="HE64" s="21"/>
      <c r="HF64" s="21"/>
      <c r="HG64" s="21"/>
      <c r="HH64" s="21"/>
      <c r="HI64" s="21"/>
      <c r="HJ64" s="21"/>
      <c r="HK64" s="21"/>
      <c r="HL64" s="21"/>
      <c r="HM64" s="21"/>
      <c r="HN64" s="21"/>
      <c r="HO64" s="21"/>
      <c r="HP64" s="21"/>
      <c r="HQ64" s="21"/>
      <c r="HR64" s="21"/>
      <c r="HS64" s="21"/>
      <c r="HT64" s="21"/>
      <c r="HU64" s="21"/>
      <c r="HV64" s="186"/>
      <c r="HW64" s="21"/>
      <c r="HX64" s="21"/>
      <c r="HY64" s="21"/>
      <c r="HZ64" s="21"/>
      <c r="IA64" s="21"/>
      <c r="IB64" s="21"/>
      <c r="IC64" s="21"/>
      <c r="ID64" s="21"/>
      <c r="IE64" s="21"/>
      <c r="IF64" s="21"/>
      <c r="IG64" s="21"/>
      <c r="IH64" s="21"/>
      <c r="II64" s="21"/>
      <c r="IJ64" s="21"/>
      <c r="IK64" s="21"/>
      <c r="IL64" s="21"/>
      <c r="IM64" s="21"/>
      <c r="IN64" s="21"/>
      <c r="IO64" s="21"/>
      <c r="IP64" s="21"/>
      <c r="IQ64" s="21"/>
      <c r="IR64" s="21"/>
      <c r="IS64" s="21"/>
      <c r="IT64" s="21"/>
      <c r="IU64" s="21"/>
      <c r="IV64" s="21"/>
      <c r="IW64" s="21"/>
      <c r="IX64" s="21"/>
      <c r="IY64" s="21"/>
      <c r="IZ64" s="21"/>
      <c r="JA64" s="21"/>
      <c r="JB64" s="21"/>
      <c r="JC64" s="21"/>
      <c r="JD64" s="21"/>
      <c r="JE64" s="21"/>
      <c r="JF64" s="21"/>
      <c r="JG64" s="21"/>
      <c r="JH64" s="21"/>
      <c r="JI64" s="21"/>
      <c r="JJ64" s="21"/>
      <c r="JK64" s="21"/>
      <c r="JL64" s="21"/>
      <c r="JM64" s="21"/>
      <c r="JN64" s="21"/>
      <c r="JO64" s="21"/>
      <c r="JP64" s="21"/>
      <c r="JQ64" s="21"/>
      <c r="JR64" s="21"/>
      <c r="JS64" s="21"/>
      <c r="JT64" s="21"/>
      <c r="JU64" s="21"/>
      <c r="JV64" s="21"/>
      <c r="JW64" s="21"/>
      <c r="JX64" s="21"/>
      <c r="JY64" s="21"/>
      <c r="JZ64" s="21"/>
      <c r="KA64" s="21"/>
      <c r="KB64" s="21"/>
      <c r="KC64" s="21"/>
      <c r="KD64" s="21"/>
      <c r="KE64" s="21"/>
      <c r="KF64" s="21"/>
      <c r="KG64" s="21"/>
      <c r="KH64" s="21"/>
    </row>
    <row r="65" spans="1:294" hidden="1" x14ac:dyDescent="0.25">
      <c r="A65" s="8"/>
      <c r="B65" s="5" t="s">
        <v>116</v>
      </c>
      <c r="C65" s="8"/>
      <c r="D65" s="1"/>
      <c r="E65" s="1"/>
      <c r="F65" s="1"/>
      <c r="G65" s="1"/>
      <c r="H65" s="1"/>
      <c r="I65" s="1"/>
      <c r="J65" s="1"/>
      <c r="K65" s="1"/>
      <c r="L65" s="5" t="s">
        <v>1227</v>
      </c>
      <c r="M65" s="11">
        <f>INDEX(cennik!$C$2:$L$529,MATCH($L65,cennik!$B$2:$B$522,0),MATCH(M$53,cennik!$C$1:$L$1,0))</f>
        <v>895511</v>
      </c>
      <c r="N65" s="11" t="str">
        <f>INDEX(cennik!$C$2:$L$529,MATCH($L65,cennik!$B$2:$B$522,0),MATCH(N$53,cennik!$C$1:$L$1,0))</f>
        <v>szt.</v>
      </c>
      <c r="O65" s="14">
        <f>IF(E59=AP53,O54*2,0)</f>
        <v>0</v>
      </c>
      <c r="P65" s="11">
        <f>INDEX(cennik!$C$2:$L$529,MATCH($L65,cennik!$B$2:$B$522,0),MATCH(P$53,cennik!$C$1:$L$1,0))</f>
        <v>4.8</v>
      </c>
      <c r="Q65" s="14">
        <f t="shared" si="22"/>
        <v>0</v>
      </c>
      <c r="R65" s="14">
        <f t="shared" si="19"/>
        <v>0</v>
      </c>
      <c r="S65" s="34">
        <f t="shared" si="20"/>
        <v>4.8</v>
      </c>
      <c r="T65" s="14">
        <f t="shared" si="23"/>
        <v>0</v>
      </c>
      <c r="U65" s="34">
        <f>INDEX(cennik!$C$2:$L$529,MATCH($L65,cennik!$B$2:$B$522,0),MATCH(U$53,cennik!$C$1:$L$1,0))*O65</f>
        <v>0</v>
      </c>
      <c r="V65" s="21"/>
      <c r="W65" s="21"/>
      <c r="X65" s="21"/>
      <c r="Y65" s="21"/>
      <c r="Z65" s="21"/>
      <c r="AA65" s="21"/>
      <c r="AB65" s="21"/>
      <c r="AC65" s="21"/>
      <c r="AD65" s="21"/>
      <c r="AE65" s="21"/>
      <c r="AF65" s="21"/>
      <c r="AG65" s="21" t="s">
        <v>1257</v>
      </c>
      <c r="AH65" s="21">
        <f>IF(E56=AF56,0,IF(E56=AF55,SUM(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,IF(A65=0,0,IF(A65&gt;0,(A65-1)*2*C65)),IF(A66=0,0,IF(A66&gt;0,(A66-1)*2*C66)),IF(A67=0,0,IF(A67&gt;0,(A67-1)*2*C67)),IF(A68=0,0,IF(A68&gt;0,(A68-1)*2*C68)))))</f>
        <v>0</v>
      </c>
      <c r="AI65" s="21">
        <f>IF(E56=AF56,0,IF(E56=AF55,SUM(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IF(A64=0,0,IF((A64&gt;0),C64*4)),IF(A65=0,0,IF((A65&gt;0),C65*4)),IF(A66=0,0,IF((A66&gt;0),C66*4)),IF(A67=0,0,IF((A67&gt;0),C67*4)),,IF(A68=0,0,IF((A68&gt;0),C68*4)))))</f>
        <v>0</v>
      </c>
      <c r="AJ65" s="21"/>
      <c r="AK65" s="21"/>
      <c r="AL65" s="21"/>
      <c r="AM65" s="21"/>
      <c r="AN65" s="21"/>
      <c r="AO65" s="26" t="s">
        <v>307</v>
      </c>
      <c r="AP65" s="26" t="s">
        <v>1205</v>
      </c>
      <c r="AQ65" s="26"/>
      <c r="AR65" s="21"/>
      <c r="AS65" s="21"/>
      <c r="AT65" s="21"/>
      <c r="AU65" s="21"/>
      <c r="AV65" s="21"/>
      <c r="AW65" s="21"/>
      <c r="AX65" s="21"/>
      <c r="AY65" s="21"/>
      <c r="AZ65" s="21"/>
      <c r="BA65" s="21"/>
      <c r="BB65" s="21"/>
      <c r="BC65" s="21"/>
      <c r="BD65" s="21"/>
      <c r="BE65" s="21"/>
      <c r="BF65" s="21"/>
      <c r="BG65" s="21"/>
      <c r="BH65" s="21">
        <f t="shared" si="24"/>
        <v>0</v>
      </c>
      <c r="BI65" s="21">
        <f t="shared" si="21"/>
        <v>0</v>
      </c>
      <c r="BJ65" s="21"/>
      <c r="BK65" s="21"/>
      <c r="BL65" s="21"/>
      <c r="BM65" s="21"/>
      <c r="BN65" s="21"/>
      <c r="BO65" s="21"/>
      <c r="BP65" s="21"/>
      <c r="BQ65" s="21"/>
      <c r="BR65" s="21"/>
      <c r="BS65" s="21"/>
      <c r="BT65" s="21"/>
      <c r="BU65" s="21"/>
      <c r="BV65" s="21"/>
      <c r="BW65" s="21"/>
      <c r="BX65" s="21"/>
      <c r="BY65" s="21"/>
      <c r="BZ65" s="21"/>
      <c r="CA65" s="21"/>
      <c r="CB65" s="21"/>
      <c r="CC65" s="21"/>
      <c r="CD65" s="21"/>
      <c r="CE65" s="21"/>
      <c r="CF65" s="21"/>
      <c r="CG65" s="21"/>
      <c r="CH65" s="21"/>
      <c r="CI65" s="21"/>
      <c r="CJ65" s="21"/>
      <c r="CK65" s="21"/>
      <c r="CL65" s="21"/>
      <c r="CM65" s="21"/>
      <c r="CN65" s="21"/>
      <c r="CO65" s="21"/>
      <c r="CP65" s="21"/>
      <c r="CQ65" s="21"/>
      <c r="CR65" s="21"/>
      <c r="CS65" s="21"/>
      <c r="CT65" s="21"/>
      <c r="CU65" s="21"/>
      <c r="CV65" s="21"/>
      <c r="CW65" s="21"/>
      <c r="CX65" s="21"/>
      <c r="CY65" s="21"/>
      <c r="CZ65" s="21"/>
      <c r="DA65" s="21"/>
      <c r="DB65" s="21"/>
      <c r="DC65" s="21"/>
      <c r="DD65" s="21"/>
      <c r="DE65" s="21"/>
      <c r="DF65" s="21"/>
      <c r="DG65" s="21"/>
      <c r="DH65" s="21"/>
      <c r="DI65" s="21"/>
      <c r="DJ65" s="21"/>
      <c r="DK65" s="21"/>
      <c r="DL65" s="21"/>
      <c r="DM65" s="21"/>
      <c r="DN65" s="21"/>
      <c r="DO65" s="21"/>
      <c r="DP65" s="21"/>
      <c r="DQ65" s="21"/>
      <c r="DR65" s="21"/>
      <c r="DS65" s="21"/>
      <c r="DT65" s="21"/>
      <c r="DU65" s="21"/>
      <c r="DV65" s="21"/>
      <c r="DW65" s="21"/>
      <c r="DX65" s="21"/>
      <c r="DY65" s="21"/>
      <c r="DZ65" s="87"/>
      <c r="EA65" s="87"/>
      <c r="EB65" s="87"/>
      <c r="EC65" s="21"/>
      <c r="ED65" s="21"/>
      <c r="EE65" s="21"/>
      <c r="EF65" s="21"/>
      <c r="EG65" s="21"/>
      <c r="EH65" s="21"/>
      <c r="EI65" s="21"/>
      <c r="EJ65" s="21"/>
      <c r="EK65" s="21"/>
      <c r="EL65" s="21"/>
      <c r="EM65" s="21"/>
      <c r="EN65" s="21"/>
      <c r="EO65" s="21"/>
      <c r="EP65" s="21"/>
      <c r="EQ65" s="21"/>
      <c r="ER65" s="21"/>
      <c r="ES65" s="21"/>
      <c r="ET65" s="21"/>
      <c r="EU65" s="21"/>
      <c r="EV65" s="21"/>
      <c r="EW65" s="21"/>
      <c r="EX65" s="21"/>
      <c r="EY65" s="21"/>
      <c r="EZ65" s="21"/>
      <c r="FA65" s="21"/>
      <c r="FB65" s="21"/>
      <c r="FC65" s="21"/>
      <c r="FD65" s="21"/>
      <c r="FE65" s="21"/>
      <c r="FF65" s="21"/>
      <c r="FG65" s="21"/>
      <c r="FH65" s="21"/>
      <c r="FI65" s="21"/>
      <c r="FJ65" s="21"/>
      <c r="FK65" s="21"/>
      <c r="FL65" s="21"/>
      <c r="FM65" s="21"/>
      <c r="FN65" s="21"/>
      <c r="FO65" s="21"/>
      <c r="FP65" s="21"/>
      <c r="FQ65" s="21"/>
      <c r="FR65" s="21"/>
      <c r="FS65" s="21"/>
      <c r="FT65" s="21"/>
      <c r="FU65" s="21"/>
      <c r="FV65" s="21"/>
      <c r="FW65" s="21"/>
      <c r="FX65" s="21"/>
      <c r="FY65" s="21"/>
      <c r="FZ65" s="21"/>
      <c r="GA65" s="21"/>
      <c r="GB65" s="21"/>
      <c r="GC65" s="21"/>
      <c r="GD65" s="21"/>
      <c r="GE65" s="21"/>
      <c r="GF65" s="21"/>
      <c r="GG65" s="21"/>
      <c r="GH65" s="21"/>
      <c r="GI65" s="21"/>
      <c r="GJ65" s="21"/>
      <c r="GK65" s="21"/>
      <c r="GL65" s="21"/>
      <c r="GM65" s="21"/>
      <c r="GN65" s="21"/>
      <c r="GO65" s="21"/>
      <c r="GP65" s="21"/>
      <c r="GQ65" s="21"/>
      <c r="GR65" s="21"/>
      <c r="GS65" s="21"/>
      <c r="GT65" s="21"/>
      <c r="GU65" s="21"/>
      <c r="GV65" s="21"/>
      <c r="GW65" s="21"/>
      <c r="GX65" s="21"/>
      <c r="GY65" s="21"/>
      <c r="GZ65" s="21"/>
      <c r="HA65" s="21"/>
      <c r="HB65" s="21"/>
      <c r="HC65" s="21"/>
      <c r="HD65" s="21"/>
      <c r="HE65" s="21"/>
      <c r="HF65" s="21"/>
      <c r="HG65" s="21"/>
      <c r="HH65" s="21"/>
      <c r="HI65" s="21"/>
      <c r="HJ65" s="21"/>
      <c r="HK65" s="21"/>
      <c r="HL65" s="21"/>
      <c r="HM65" s="21"/>
      <c r="HN65" s="21"/>
      <c r="HO65" s="21"/>
      <c r="HP65" s="21"/>
      <c r="HQ65" s="21"/>
      <c r="HR65" s="21"/>
      <c r="HS65" s="21"/>
      <c r="HT65" s="21"/>
      <c r="HU65" s="21"/>
      <c r="HV65" s="186"/>
      <c r="HW65" s="21"/>
      <c r="HX65" s="21"/>
      <c r="HY65" s="21"/>
      <c r="HZ65" s="21"/>
      <c r="IA65" s="21"/>
      <c r="IB65" s="21"/>
      <c r="IC65" s="21"/>
      <c r="ID65" s="21"/>
      <c r="IE65" s="21"/>
      <c r="IF65" s="21"/>
      <c r="IG65" s="21"/>
      <c r="IH65" s="21"/>
      <c r="II65" s="21"/>
      <c r="IJ65" s="21"/>
      <c r="IK65" s="21"/>
      <c r="IL65" s="21"/>
      <c r="IM65" s="21"/>
      <c r="IN65" s="21"/>
      <c r="IO65" s="21"/>
      <c r="IP65" s="21"/>
      <c r="IQ65" s="21"/>
      <c r="IR65" s="21"/>
      <c r="IS65" s="21"/>
      <c r="IT65" s="21"/>
      <c r="IU65" s="21"/>
      <c r="IV65" s="21"/>
      <c r="IW65" s="21"/>
      <c r="IX65" s="21"/>
      <c r="IY65" s="21"/>
      <c r="IZ65" s="21"/>
      <c r="JA65" s="21"/>
      <c r="JB65" s="21"/>
      <c r="JC65" s="21"/>
      <c r="JD65" s="21"/>
      <c r="JE65" s="21"/>
      <c r="JF65" s="21"/>
      <c r="JG65" s="21"/>
      <c r="JH65" s="21"/>
      <c r="JI65" s="21"/>
      <c r="JJ65" s="21"/>
      <c r="JK65" s="21"/>
      <c r="JL65" s="21"/>
      <c r="JM65" s="21"/>
      <c r="JN65" s="21"/>
      <c r="JO65" s="21"/>
      <c r="JP65" s="21"/>
      <c r="JQ65" s="21"/>
      <c r="JR65" s="21"/>
      <c r="JS65" s="21"/>
      <c r="JT65" s="21"/>
      <c r="JU65" s="21"/>
      <c r="JV65" s="21"/>
      <c r="JW65" s="21"/>
      <c r="JX65" s="21"/>
      <c r="JY65" s="21"/>
      <c r="JZ65" s="21"/>
      <c r="KA65" s="21"/>
      <c r="KB65" s="21"/>
      <c r="KC65" s="21"/>
      <c r="KD65" s="21"/>
      <c r="KE65" s="21"/>
      <c r="KF65" s="21"/>
      <c r="KG65" s="21"/>
      <c r="KH65" s="21"/>
    </row>
    <row r="66" spans="1:294" hidden="1" x14ac:dyDescent="0.25">
      <c r="A66" s="8"/>
      <c r="B66" s="5" t="s">
        <v>116</v>
      </c>
      <c r="C66" s="8"/>
      <c r="D66" s="1"/>
      <c r="E66" s="1"/>
      <c r="F66" s="1"/>
      <c r="G66" s="1"/>
      <c r="H66" s="1"/>
      <c r="I66" s="1"/>
      <c r="J66" s="1"/>
      <c r="K66" s="1"/>
      <c r="L66" s="5" t="s">
        <v>1228</v>
      </c>
      <c r="M66" s="11" t="e">
        <f>INDEX(cennik!$C$2:$L$529,MATCH($L66,cennik!$B$2:$B$522,0),MATCH(M$53,cennik!$C$1:$L$1,0))</f>
        <v>#N/A</v>
      </c>
      <c r="N66" s="11" t="e">
        <f>INDEX(cennik!$C$2:$L$529,MATCH($L66,cennik!$B$2:$B$522,0),MATCH(N$53,cennik!$C$1:$L$1,0))</f>
        <v>#N/A</v>
      </c>
      <c r="O66" s="11">
        <f>ROUNDUP(O68/100,0)</f>
        <v>0</v>
      </c>
      <c r="P66" s="11" t="e">
        <f>INDEX(cennik!$C$2:$L$529,MATCH($L66,cennik!$B$2:$B$522,0),MATCH(P$53,cennik!$C$1:$L$1,0))</f>
        <v>#N/A</v>
      </c>
      <c r="Q66" s="14" t="e">
        <f t="shared" si="22"/>
        <v>#N/A</v>
      </c>
      <c r="R66" s="14">
        <f t="shared" si="19"/>
        <v>0</v>
      </c>
      <c r="S66" s="34" t="e">
        <f t="shared" si="20"/>
        <v>#N/A</v>
      </c>
      <c r="T66" s="14" t="e">
        <f t="shared" si="23"/>
        <v>#N/A</v>
      </c>
      <c r="U66" s="34" t="e">
        <f>INDEX(cennik!$C$2:$L$529,MATCH($L66,cennik!$B$2:$B$522,0),MATCH(U$53,cennik!$C$1:$L$1,0))*O66</f>
        <v>#N/A</v>
      </c>
      <c r="V66" s="21"/>
      <c r="W66" s="21"/>
      <c r="X66" s="21"/>
      <c r="Y66" s="21"/>
      <c r="Z66" s="21"/>
      <c r="AA66" s="21"/>
      <c r="AB66" s="21"/>
      <c r="AC66" s="21"/>
      <c r="AD66" s="21"/>
      <c r="AE66" s="21"/>
      <c r="AF66" s="21"/>
      <c r="AG66" s="21" t="s">
        <v>1258</v>
      </c>
      <c r="AH66" s="21">
        <v>0</v>
      </c>
      <c r="AI66" s="21">
        <f>IF(E56=AF55,(SUM((A53*4*C53),(A54*4*C54),(A55*4*C55),(A56*4*C56),(A57*4*C57),(A58*4*C58),(A59*4*C59),(A60*4*C60),(A61*4*C61),(A62*4*C62),(A63*4*C63),(A64*4*C64),(A65*4*C65),(A66*4*C66),(A67*4*C67),(A68*4*C68))),0)</f>
        <v>0</v>
      </c>
      <c r="AJ66" s="21"/>
      <c r="AK66" s="21"/>
      <c r="AL66" s="21"/>
      <c r="AM66" s="21"/>
      <c r="AN66" s="21"/>
      <c r="AO66" s="186" t="s">
        <v>1211</v>
      </c>
      <c r="AP66" s="186" t="s">
        <v>1215</v>
      </c>
      <c r="AQ66" s="21"/>
      <c r="AR66" s="21"/>
      <c r="AS66" s="21"/>
      <c r="AT66" s="21"/>
      <c r="AU66" s="21"/>
      <c r="AV66" s="21"/>
      <c r="AW66" s="21"/>
      <c r="AX66" s="21"/>
      <c r="AY66" s="21"/>
      <c r="AZ66" s="21"/>
      <c r="BA66" s="21"/>
      <c r="BB66" s="21"/>
      <c r="BC66" s="21"/>
      <c r="BD66" s="21"/>
      <c r="BE66" s="21"/>
      <c r="BF66" s="21"/>
      <c r="BG66" s="21"/>
      <c r="BH66" s="21">
        <f t="shared" si="24"/>
        <v>0</v>
      </c>
      <c r="BI66" s="21">
        <f t="shared" si="21"/>
        <v>0</v>
      </c>
      <c r="BJ66" s="21"/>
      <c r="BK66" s="21"/>
      <c r="BL66" s="21"/>
      <c r="BM66" s="21"/>
      <c r="BN66" s="21"/>
      <c r="BO66" s="21"/>
      <c r="BP66" s="21"/>
      <c r="BQ66" s="21"/>
      <c r="BR66" s="21"/>
      <c r="BS66" s="21"/>
      <c r="BT66" s="21"/>
      <c r="BU66" s="21"/>
      <c r="BV66" s="21"/>
      <c r="BW66" s="21"/>
      <c r="BX66" s="21"/>
      <c r="BY66" s="21"/>
      <c r="BZ66" s="21"/>
      <c r="CA66" s="21"/>
      <c r="CB66" s="21"/>
      <c r="CC66" s="21"/>
      <c r="CD66" s="21"/>
      <c r="CE66" s="21"/>
      <c r="CF66" s="21"/>
      <c r="CG66" s="21"/>
      <c r="CH66" s="21"/>
      <c r="CI66" s="21"/>
      <c r="CJ66" s="21"/>
      <c r="CK66" s="21"/>
      <c r="CL66" s="21"/>
      <c r="CM66" s="21"/>
      <c r="CN66" s="21"/>
      <c r="CO66" s="21"/>
      <c r="CP66" s="21"/>
      <c r="CQ66" s="21"/>
      <c r="CR66" s="21"/>
      <c r="CS66" s="21"/>
      <c r="CT66" s="21"/>
      <c r="CU66" s="21"/>
      <c r="CV66" s="21"/>
      <c r="CW66" s="21"/>
      <c r="CX66" s="21"/>
      <c r="CY66" s="21"/>
      <c r="CZ66" s="21"/>
      <c r="DA66" s="21"/>
      <c r="DB66" s="21"/>
      <c r="DC66" s="21"/>
      <c r="DD66" s="21"/>
      <c r="DE66" s="21"/>
      <c r="DF66" s="21"/>
      <c r="DG66" s="21"/>
      <c r="DH66" s="21"/>
      <c r="DI66" s="21"/>
      <c r="DJ66" s="21"/>
      <c r="DK66" s="21"/>
      <c r="DL66" s="21"/>
      <c r="DM66" s="21"/>
      <c r="DN66" s="21"/>
      <c r="DO66" s="21"/>
      <c r="DP66" s="21"/>
      <c r="DQ66" s="21"/>
      <c r="DR66" s="21"/>
      <c r="DS66" s="21"/>
      <c r="DT66" s="21"/>
      <c r="DU66" s="21"/>
      <c r="DV66" s="21"/>
      <c r="DW66" s="21"/>
      <c r="DX66" s="21"/>
      <c r="DY66" s="21"/>
      <c r="DZ66" s="87"/>
      <c r="EA66" s="87"/>
      <c r="EB66" s="87"/>
      <c r="EC66" s="21"/>
      <c r="ED66" s="21"/>
      <c r="EE66" s="21"/>
      <c r="EF66" s="21"/>
      <c r="EG66" s="21"/>
      <c r="EH66" s="21"/>
      <c r="EI66" s="21"/>
      <c r="EJ66" s="21"/>
      <c r="EK66" s="21"/>
      <c r="EL66" s="21"/>
      <c r="EM66" s="21"/>
      <c r="EN66" s="21"/>
      <c r="EO66" s="21"/>
      <c r="EP66" s="21"/>
      <c r="EQ66" s="21"/>
      <c r="ER66" s="21"/>
      <c r="ES66" s="21"/>
      <c r="ET66" s="21"/>
      <c r="EU66" s="21"/>
      <c r="EV66" s="21"/>
      <c r="EW66" s="21"/>
      <c r="EX66" s="21"/>
      <c r="EY66" s="21"/>
      <c r="EZ66" s="21"/>
      <c r="FA66" s="21"/>
      <c r="FB66" s="21"/>
      <c r="FC66" s="21"/>
      <c r="FD66" s="21"/>
      <c r="FE66" s="21"/>
      <c r="FF66" s="21"/>
      <c r="FG66" s="21"/>
      <c r="FH66" s="21"/>
      <c r="FI66" s="21"/>
      <c r="FJ66" s="21"/>
      <c r="FK66" s="21"/>
      <c r="FL66" s="21"/>
      <c r="FM66" s="21"/>
      <c r="FN66" s="21"/>
      <c r="FO66" s="21"/>
      <c r="FP66" s="21"/>
      <c r="FQ66" s="21"/>
      <c r="FR66" s="21"/>
      <c r="FS66" s="21"/>
      <c r="FT66" s="21"/>
      <c r="FU66" s="21"/>
      <c r="FV66" s="21"/>
      <c r="FW66" s="21"/>
      <c r="FX66" s="21"/>
      <c r="FY66" s="21"/>
      <c r="FZ66" s="21"/>
      <c r="GA66" s="21"/>
      <c r="GB66" s="21"/>
      <c r="GC66" s="21"/>
      <c r="GD66" s="21"/>
      <c r="GE66" s="21"/>
      <c r="GF66" s="21"/>
      <c r="GG66" s="21"/>
      <c r="GH66" s="21"/>
      <c r="GI66" s="21"/>
      <c r="GJ66" s="21"/>
      <c r="GK66" s="21"/>
      <c r="GL66" s="21"/>
      <c r="GM66" s="21"/>
      <c r="GN66" s="21"/>
      <c r="GO66" s="21"/>
      <c r="GP66" s="21"/>
      <c r="GQ66" s="21"/>
      <c r="GR66" s="21"/>
      <c r="GS66" s="21"/>
      <c r="GT66" s="21"/>
      <c r="GU66" s="21"/>
      <c r="GV66" s="21"/>
      <c r="GW66" s="21"/>
      <c r="GX66" s="21"/>
      <c r="GY66" s="21"/>
      <c r="GZ66" s="21"/>
      <c r="HA66" s="21"/>
      <c r="HB66" s="21"/>
      <c r="HC66" s="21"/>
      <c r="HD66" s="21"/>
      <c r="HE66" s="21"/>
      <c r="HF66" s="21"/>
      <c r="HG66" s="21"/>
      <c r="HH66" s="21"/>
      <c r="HI66" s="21"/>
      <c r="HJ66" s="21"/>
      <c r="HK66" s="21"/>
      <c r="HL66" s="21"/>
      <c r="HM66" s="21"/>
      <c r="HN66" s="21"/>
      <c r="HO66" s="21"/>
      <c r="HP66" s="21"/>
      <c r="HQ66" s="21"/>
      <c r="HR66" s="21"/>
      <c r="HS66" s="21"/>
      <c r="HT66" s="21"/>
      <c r="HU66" s="21"/>
      <c r="HV66" s="186"/>
      <c r="HW66" s="21"/>
      <c r="HX66" s="21"/>
      <c r="HY66" s="21"/>
      <c r="HZ66" s="21"/>
      <c r="IA66" s="21"/>
      <c r="IB66" s="21"/>
      <c r="IC66" s="21"/>
      <c r="ID66" s="21"/>
      <c r="IE66" s="21"/>
      <c r="IF66" s="21"/>
      <c r="IG66" s="21"/>
      <c r="IH66" s="21"/>
      <c r="II66" s="21"/>
      <c r="IJ66" s="21"/>
      <c r="IK66" s="21"/>
      <c r="IL66" s="21"/>
      <c r="IM66" s="21"/>
      <c r="IN66" s="21"/>
      <c r="IO66" s="21"/>
      <c r="IP66" s="21"/>
      <c r="IQ66" s="21"/>
      <c r="IR66" s="21"/>
      <c r="IS66" s="21"/>
      <c r="IT66" s="21"/>
      <c r="IU66" s="21"/>
      <c r="IV66" s="21"/>
      <c r="IW66" s="21"/>
      <c r="IX66" s="21"/>
      <c r="IY66" s="21"/>
      <c r="IZ66" s="21"/>
      <c r="JA66" s="21"/>
      <c r="JB66" s="21"/>
      <c r="JC66" s="21"/>
      <c r="JD66" s="21"/>
      <c r="JE66" s="21"/>
      <c r="JF66" s="21"/>
      <c r="JG66" s="21"/>
      <c r="JH66" s="21"/>
      <c r="JI66" s="21"/>
      <c r="JJ66" s="21"/>
      <c r="JK66" s="21"/>
      <c r="JL66" s="21"/>
      <c r="JM66" s="21"/>
      <c r="JN66" s="21"/>
      <c r="JO66" s="21"/>
      <c r="JP66" s="21"/>
      <c r="JQ66" s="21"/>
      <c r="JR66" s="21"/>
      <c r="JS66" s="21"/>
      <c r="JT66" s="21"/>
      <c r="JU66" s="21"/>
      <c r="JV66" s="21"/>
      <c r="JW66" s="21"/>
      <c r="JX66" s="21"/>
      <c r="JY66" s="21"/>
      <c r="JZ66" s="21"/>
      <c r="KA66" s="21"/>
      <c r="KB66" s="21"/>
      <c r="KC66" s="21"/>
      <c r="KD66" s="21"/>
      <c r="KE66" s="21"/>
      <c r="KF66" s="21"/>
      <c r="KG66" s="21"/>
      <c r="KH66" s="21"/>
    </row>
    <row r="67" spans="1:294" hidden="1" x14ac:dyDescent="0.25">
      <c r="A67" s="8"/>
      <c r="B67" s="5" t="s">
        <v>116</v>
      </c>
      <c r="C67" s="8"/>
      <c r="D67" s="1"/>
      <c r="E67" s="1"/>
      <c r="F67" s="1"/>
      <c r="G67" s="1"/>
      <c r="H67" s="1"/>
      <c r="I67" s="1"/>
      <c r="J67" s="1"/>
      <c r="K67" s="1"/>
      <c r="L67" s="5" t="s">
        <v>1229</v>
      </c>
      <c r="M67" s="11" t="e">
        <f>INDEX(cennik!$C$2:$L$529,MATCH($L67,cennik!$B$2:$B$522,0),MATCH(M$53,cennik!$C$1:$L$1,0))</f>
        <v>#N/A</v>
      </c>
      <c r="N67" s="11" t="e">
        <f>INDEX(cennik!$C$2:$L$529,MATCH($L67,cennik!$B$2:$B$522,0),MATCH(N$53,cennik!$C$1:$L$1,0))</f>
        <v>#N/A</v>
      </c>
      <c r="O67" s="14">
        <f>O66</f>
        <v>0</v>
      </c>
      <c r="P67" s="11" t="e">
        <f>INDEX(cennik!$C$2:$L$529,MATCH($L67,cennik!$B$2:$B$522,0),MATCH(P$53,cennik!$C$1:$L$1,0))</f>
        <v>#N/A</v>
      </c>
      <c r="Q67" s="14" t="e">
        <f t="shared" si="22"/>
        <v>#N/A</v>
      </c>
      <c r="R67" s="14">
        <f t="shared" si="19"/>
        <v>0</v>
      </c>
      <c r="S67" s="34" t="e">
        <f t="shared" si="20"/>
        <v>#N/A</v>
      </c>
      <c r="T67" s="14" t="e">
        <f t="shared" si="23"/>
        <v>#N/A</v>
      </c>
      <c r="U67" s="34" t="e">
        <f>INDEX(cennik!$C$2:$L$529,MATCH($L67,cennik!$B$2:$B$522,0),MATCH(U$53,cennik!$C$1:$L$1,0))*O67</f>
        <v>#N/A</v>
      </c>
      <c r="V67" s="21"/>
      <c r="W67" s="21"/>
      <c r="X67" s="21"/>
      <c r="Y67" s="21"/>
      <c r="Z67" s="21"/>
      <c r="AA67" s="21"/>
      <c r="AB67" s="21"/>
      <c r="AC67" s="21"/>
      <c r="AD67" s="21"/>
      <c r="AE67" s="21"/>
      <c r="AF67" s="21"/>
      <c r="AG67" s="21"/>
      <c r="AH67" s="21"/>
      <c r="AI67" s="21"/>
      <c r="AJ67" s="21"/>
      <c r="AK67" s="21"/>
      <c r="AL67" s="21"/>
      <c r="AM67" s="21"/>
      <c r="AN67" s="21"/>
      <c r="AO67" s="186" t="s">
        <v>1211</v>
      </c>
      <c r="AP67" s="186" t="s">
        <v>1216</v>
      </c>
      <c r="AQ67" s="21"/>
      <c r="AR67" s="21"/>
      <c r="AS67" s="21"/>
      <c r="AT67" s="21"/>
      <c r="AU67" s="21"/>
      <c r="AV67" s="21"/>
      <c r="AW67" s="21"/>
      <c r="AX67" s="21"/>
      <c r="AY67" s="21"/>
      <c r="AZ67" s="21"/>
      <c r="BA67" s="21"/>
      <c r="BB67" s="21"/>
      <c r="BC67" s="21"/>
      <c r="BD67" s="21"/>
      <c r="BE67" s="21"/>
      <c r="BF67" s="21"/>
      <c r="BG67" s="21"/>
      <c r="BH67" s="21">
        <f t="shared" si="24"/>
        <v>0</v>
      </c>
      <c r="BI67" s="21">
        <f t="shared" si="21"/>
        <v>0</v>
      </c>
      <c r="BJ67" s="21"/>
      <c r="BK67" s="21"/>
      <c r="BL67" s="21"/>
      <c r="BM67" s="21"/>
      <c r="BN67" s="21"/>
      <c r="BO67" s="21"/>
      <c r="BP67" s="21"/>
      <c r="BQ67" s="21"/>
      <c r="BR67" s="21"/>
      <c r="BS67" s="21"/>
      <c r="BT67" s="21"/>
      <c r="BU67" s="21"/>
      <c r="BV67" s="21"/>
      <c r="BW67" s="21"/>
      <c r="BX67" s="21"/>
      <c r="BY67" s="21"/>
      <c r="BZ67" s="21"/>
      <c r="CA67" s="21"/>
      <c r="CB67" s="21"/>
      <c r="CC67" s="21"/>
      <c r="CD67" s="21"/>
      <c r="CE67" s="21"/>
      <c r="CF67" s="21"/>
      <c r="CG67" s="21"/>
      <c r="CH67" s="21"/>
      <c r="CI67" s="21"/>
      <c r="CJ67" s="21"/>
      <c r="CK67" s="21"/>
      <c r="CL67" s="21"/>
      <c r="CM67" s="21"/>
      <c r="CN67" s="21"/>
      <c r="CO67" s="21"/>
      <c r="CP67" s="21"/>
      <c r="CQ67" s="21"/>
      <c r="CR67" s="21"/>
      <c r="CS67" s="21"/>
      <c r="CT67" s="21"/>
      <c r="CU67" s="21"/>
      <c r="CV67" s="21"/>
      <c r="CW67" s="21"/>
      <c r="CX67" s="21"/>
      <c r="CY67" s="21"/>
      <c r="CZ67" s="21"/>
      <c r="DA67" s="21"/>
      <c r="DB67" s="21"/>
      <c r="DC67" s="21"/>
      <c r="DD67" s="21"/>
      <c r="DE67" s="21"/>
      <c r="DF67" s="21"/>
      <c r="DG67" s="21"/>
      <c r="DH67" s="21"/>
      <c r="DI67" s="21"/>
      <c r="DJ67" s="21"/>
      <c r="DK67" s="21"/>
      <c r="DL67" s="21"/>
      <c r="DM67" s="21"/>
      <c r="DN67" s="21"/>
      <c r="DO67" s="21"/>
      <c r="DP67" s="21"/>
      <c r="DQ67" s="21"/>
      <c r="DR67" s="21"/>
      <c r="DS67" s="21"/>
      <c r="DT67" s="21"/>
      <c r="DU67" s="21"/>
      <c r="DV67" s="21"/>
      <c r="DW67" s="21"/>
      <c r="DX67" s="21"/>
      <c r="DY67" s="21"/>
      <c r="DZ67" s="87"/>
      <c r="EA67" s="87"/>
      <c r="EB67" s="87"/>
      <c r="EC67" s="21"/>
      <c r="ED67" s="21"/>
      <c r="EE67" s="21"/>
      <c r="EF67" s="21"/>
      <c r="EG67" s="21"/>
      <c r="EH67" s="21"/>
      <c r="EI67" s="21"/>
      <c r="EJ67" s="21"/>
      <c r="EK67" s="21"/>
      <c r="EL67" s="21"/>
      <c r="EM67" s="21"/>
      <c r="EN67" s="21"/>
      <c r="EO67" s="21"/>
      <c r="EP67" s="21"/>
      <c r="EQ67" s="21"/>
      <c r="ER67" s="21"/>
      <c r="ES67" s="21"/>
      <c r="ET67" s="21"/>
      <c r="EU67" s="21"/>
      <c r="EV67" s="21"/>
      <c r="EW67" s="21"/>
      <c r="EX67" s="21"/>
      <c r="EY67" s="21"/>
      <c r="EZ67" s="21"/>
      <c r="FA67" s="21"/>
      <c r="FB67" s="21"/>
      <c r="FC67" s="21"/>
      <c r="FD67" s="21"/>
      <c r="FE67" s="21"/>
      <c r="FF67" s="21"/>
      <c r="FG67" s="21"/>
      <c r="FH67" s="21"/>
      <c r="FI67" s="21"/>
      <c r="FJ67" s="21"/>
      <c r="FK67" s="21"/>
      <c r="FL67" s="21"/>
      <c r="FM67" s="21"/>
      <c r="FN67" s="21"/>
      <c r="FO67" s="21"/>
      <c r="FP67" s="21"/>
      <c r="FQ67" s="21"/>
      <c r="FR67" s="21"/>
      <c r="FS67" s="21"/>
      <c r="FT67" s="21"/>
      <c r="FU67" s="21"/>
      <c r="FV67" s="21"/>
      <c r="FW67" s="21"/>
      <c r="FX67" s="21"/>
      <c r="FY67" s="21"/>
      <c r="FZ67" s="21"/>
      <c r="GA67" s="21"/>
      <c r="GB67" s="21"/>
      <c r="GC67" s="21"/>
      <c r="GD67" s="21"/>
      <c r="GE67" s="21"/>
      <c r="GF67" s="21"/>
      <c r="GG67" s="21"/>
      <c r="GH67" s="21"/>
      <c r="GI67" s="21"/>
      <c r="GJ67" s="21"/>
      <c r="GK67" s="21"/>
      <c r="GL67" s="21"/>
      <c r="GM67" s="21"/>
      <c r="GN67" s="21"/>
      <c r="GO67" s="21"/>
      <c r="GP67" s="21"/>
      <c r="GQ67" s="21"/>
      <c r="GR67" s="21"/>
      <c r="GS67" s="21"/>
      <c r="GT67" s="21"/>
      <c r="GU67" s="21"/>
      <c r="GV67" s="21"/>
      <c r="GW67" s="21"/>
      <c r="GX67" s="21"/>
      <c r="GY67" s="21"/>
      <c r="GZ67" s="21"/>
      <c r="HA67" s="21"/>
      <c r="HB67" s="21"/>
      <c r="HC67" s="21"/>
      <c r="HD67" s="21"/>
      <c r="HE67" s="21"/>
      <c r="HF67" s="21"/>
      <c r="HG67" s="21"/>
      <c r="HH67" s="21"/>
      <c r="HI67" s="21"/>
      <c r="HJ67" s="21"/>
      <c r="HK67" s="21"/>
      <c r="HL67" s="21"/>
      <c r="HM67" s="21"/>
      <c r="HN67" s="21"/>
      <c r="HO67" s="21"/>
      <c r="HP67" s="21"/>
      <c r="HQ67" s="21"/>
      <c r="HR67" s="21"/>
      <c r="HS67" s="21"/>
      <c r="HT67" s="21"/>
      <c r="HU67" s="21"/>
      <c r="HV67" s="186"/>
      <c r="HW67" s="21"/>
      <c r="HX67" s="21"/>
      <c r="HY67" s="21"/>
      <c r="HZ67" s="21"/>
      <c r="IA67" s="21"/>
      <c r="IB67" s="21"/>
      <c r="IC67" s="21"/>
      <c r="ID67" s="21"/>
      <c r="IE67" s="21"/>
      <c r="IF67" s="21"/>
      <c r="IG67" s="21"/>
      <c r="IH67" s="21"/>
      <c r="II67" s="21"/>
      <c r="IJ67" s="21"/>
      <c r="IK67" s="21"/>
      <c r="IL67" s="21"/>
      <c r="IM67" s="21"/>
      <c r="IN67" s="21"/>
      <c r="IO67" s="21"/>
      <c r="IP67" s="21"/>
      <c r="IQ67" s="21"/>
      <c r="IR67" s="21"/>
      <c r="IS67" s="21"/>
      <c r="IT67" s="21"/>
      <c r="IU67" s="21"/>
      <c r="IV67" s="21"/>
      <c r="IW67" s="21"/>
      <c r="IX67" s="21"/>
      <c r="IY67" s="21"/>
      <c r="IZ67" s="21"/>
      <c r="JA67" s="21"/>
      <c r="JB67" s="21"/>
      <c r="JC67" s="21"/>
      <c r="JD67" s="21"/>
      <c r="JE67" s="21"/>
      <c r="JF67" s="21"/>
      <c r="JG67" s="21"/>
      <c r="JH67" s="21"/>
      <c r="JI67" s="21"/>
      <c r="JJ67" s="21"/>
      <c r="JK67" s="21"/>
      <c r="JL67" s="21"/>
      <c r="JM67" s="21"/>
      <c r="JN67" s="21"/>
      <c r="JO67" s="21"/>
      <c r="JP67" s="21"/>
      <c r="JQ67" s="21"/>
      <c r="JR67" s="21"/>
      <c r="JS67" s="21"/>
      <c r="JT67" s="21"/>
      <c r="JU67" s="21"/>
      <c r="JV67" s="21"/>
      <c r="JW67" s="21"/>
      <c r="JX67" s="21"/>
      <c r="JY67" s="21"/>
      <c r="JZ67" s="21"/>
      <c r="KA67" s="21"/>
      <c r="KB67" s="21"/>
      <c r="KC67" s="21"/>
      <c r="KD67" s="21"/>
      <c r="KE67" s="21"/>
      <c r="KF67" s="21"/>
      <c r="KG67" s="21"/>
      <c r="KH67" s="21"/>
    </row>
    <row r="68" spans="1:294" hidden="1" x14ac:dyDescent="0.25">
      <c r="A68" s="8"/>
      <c r="B68" s="5" t="s">
        <v>116</v>
      </c>
      <c r="C68" s="8"/>
      <c r="D68" s="1"/>
      <c r="E68" s="17"/>
      <c r="F68" s="1"/>
      <c r="G68" s="1"/>
      <c r="H68" s="1"/>
      <c r="I68" s="1"/>
      <c r="J68" s="1"/>
      <c r="K68" s="1"/>
      <c r="L68" s="5" t="s">
        <v>91</v>
      </c>
      <c r="M68" s="11">
        <f>INDEX(cennik!$C$2:$L$529,MATCH($L68,cennik!$B$2:$B$522,0),MATCH(M$53,cennik!$C$1:$L$1,0))</f>
        <v>890433</v>
      </c>
      <c r="N68" s="11" t="str">
        <f>INDEX(cennik!$C$2:$L$529,MATCH($L68,cennik!$B$2:$B$522,0),MATCH(N$53,cennik!$C$1:$L$1,0))</f>
        <v>szt.</v>
      </c>
      <c r="O68" s="14">
        <f>IF(E57=AF61,O54*2,0)</f>
        <v>0</v>
      </c>
      <c r="P68" s="11">
        <f>INDEX(cennik!$C$2:$L$529,MATCH($L68,cennik!$B$2:$B$522,0),MATCH(P$53,cennik!$C$1:$L$1,0))</f>
        <v>20.36</v>
      </c>
      <c r="Q68" s="14">
        <f t="shared" si="22"/>
        <v>0</v>
      </c>
      <c r="R68" s="14">
        <f t="shared" si="19"/>
        <v>0</v>
      </c>
      <c r="S68" s="34">
        <f t="shared" si="20"/>
        <v>20.36</v>
      </c>
      <c r="T68" s="14">
        <f t="shared" si="23"/>
        <v>0</v>
      </c>
      <c r="U68" s="34">
        <f>INDEX(cennik!$C$2:$L$529,MATCH($L68,cennik!$B$2:$B$522,0),MATCH(U$53,cennik!$C$1:$L$1,0))*O68</f>
        <v>0</v>
      </c>
      <c r="V68" s="21"/>
      <c r="W68" s="21"/>
      <c r="X68" s="21"/>
      <c r="Y68" s="21"/>
      <c r="Z68" s="21"/>
      <c r="AA68" s="21"/>
      <c r="AB68" s="21"/>
      <c r="AC68" s="21"/>
      <c r="AD68" s="21"/>
      <c r="AE68" s="21"/>
      <c r="AF68" s="21"/>
      <c r="AG68" s="21"/>
      <c r="AH68" s="21"/>
      <c r="AI68" s="21"/>
      <c r="AJ68" s="21"/>
      <c r="AK68" s="21"/>
      <c r="AL68" s="21"/>
      <c r="AM68" s="21"/>
      <c r="AN68" s="21"/>
      <c r="AO68" s="186" t="s">
        <v>1211</v>
      </c>
      <c r="AP68" s="186" t="s">
        <v>1217</v>
      </c>
      <c r="AQ68" s="21"/>
      <c r="AR68" s="21"/>
      <c r="AS68" s="21"/>
      <c r="AT68" s="21"/>
      <c r="AU68" s="21"/>
      <c r="AV68" s="21"/>
      <c r="AW68" s="21"/>
      <c r="AX68" s="21"/>
      <c r="AY68" s="21"/>
      <c r="AZ68" s="21"/>
      <c r="BA68" s="21"/>
      <c r="BB68" s="21"/>
      <c r="BC68" s="21"/>
      <c r="BD68" s="21"/>
      <c r="BE68" s="21"/>
      <c r="BF68" s="21"/>
      <c r="BG68" s="21"/>
      <c r="BH68" s="21">
        <f t="shared" si="24"/>
        <v>0</v>
      </c>
      <c r="BI68" s="21">
        <f t="shared" si="21"/>
        <v>0</v>
      </c>
      <c r="BJ68" s="21"/>
      <c r="BK68" s="21"/>
      <c r="BL68" s="21"/>
      <c r="BM68" s="21"/>
      <c r="BN68" s="21"/>
      <c r="BO68" s="21"/>
      <c r="BP68" s="21"/>
      <c r="BQ68" s="21"/>
      <c r="BR68" s="21"/>
      <c r="BS68" s="21"/>
      <c r="BT68" s="21"/>
      <c r="BU68" s="21"/>
      <c r="BV68" s="21"/>
      <c r="BW68" s="21"/>
      <c r="BX68" s="21"/>
      <c r="BY68" s="21"/>
      <c r="BZ68" s="21"/>
      <c r="CA68" s="21"/>
      <c r="CB68" s="21"/>
      <c r="CC68" s="21"/>
      <c r="CD68" s="21"/>
      <c r="CE68" s="21"/>
      <c r="CF68" s="21"/>
      <c r="CG68" s="21"/>
      <c r="CH68" s="21"/>
      <c r="CI68" s="21"/>
      <c r="CJ68" s="21"/>
      <c r="CK68" s="21"/>
      <c r="CL68" s="21"/>
      <c r="CM68" s="21"/>
      <c r="CN68" s="21"/>
      <c r="CO68" s="21"/>
      <c r="CP68" s="21"/>
      <c r="CQ68" s="21"/>
      <c r="CR68" s="21"/>
      <c r="CS68" s="21"/>
      <c r="CT68" s="21"/>
      <c r="CU68" s="21"/>
      <c r="CV68" s="21"/>
      <c r="CW68" s="21"/>
      <c r="CX68" s="21"/>
      <c r="CY68" s="21"/>
      <c r="CZ68" s="21"/>
      <c r="DA68" s="21"/>
      <c r="DB68" s="21"/>
      <c r="DC68" s="21"/>
      <c r="DD68" s="21"/>
      <c r="DE68" s="21"/>
      <c r="DF68" s="21"/>
      <c r="DG68" s="21"/>
      <c r="DH68" s="21"/>
      <c r="DI68" s="21"/>
      <c r="DJ68" s="21"/>
      <c r="DK68" s="21"/>
      <c r="DL68" s="21"/>
      <c r="DM68" s="21"/>
      <c r="DN68" s="21"/>
      <c r="DO68" s="21"/>
      <c r="DP68" s="21"/>
      <c r="DQ68" s="21"/>
      <c r="DR68" s="21"/>
      <c r="DS68" s="21"/>
      <c r="DT68" s="21"/>
      <c r="DU68" s="21"/>
      <c r="DV68" s="21"/>
      <c r="DW68" s="21"/>
      <c r="DX68" s="21"/>
      <c r="DY68" s="21"/>
      <c r="DZ68" s="87"/>
      <c r="EA68" s="87"/>
      <c r="EB68" s="87"/>
      <c r="EC68" s="21"/>
      <c r="ED68" s="21"/>
      <c r="EE68" s="21"/>
      <c r="EF68" s="21"/>
      <c r="EG68" s="21"/>
      <c r="EH68" s="21"/>
      <c r="EI68" s="21"/>
      <c r="EJ68" s="21"/>
      <c r="EK68" s="21"/>
      <c r="EL68" s="21"/>
      <c r="EM68" s="21"/>
      <c r="EN68" s="21"/>
      <c r="EO68" s="21"/>
      <c r="EP68" s="21"/>
      <c r="EQ68" s="21"/>
      <c r="ER68" s="21"/>
      <c r="ES68" s="21"/>
      <c r="ET68" s="21"/>
      <c r="EU68" s="21"/>
      <c r="EV68" s="21"/>
      <c r="EW68" s="21"/>
      <c r="EX68" s="21"/>
      <c r="EY68" s="21"/>
      <c r="EZ68" s="21"/>
      <c r="FA68" s="21"/>
      <c r="FB68" s="21"/>
      <c r="FC68" s="21"/>
      <c r="FD68" s="21"/>
      <c r="FE68" s="21"/>
      <c r="FF68" s="21"/>
      <c r="FG68" s="21"/>
      <c r="FH68" s="21"/>
      <c r="FI68" s="21"/>
      <c r="FJ68" s="21"/>
      <c r="FK68" s="21"/>
      <c r="FL68" s="21"/>
      <c r="FM68" s="21"/>
      <c r="FN68" s="21"/>
      <c r="FO68" s="21"/>
      <c r="FP68" s="21"/>
      <c r="FQ68" s="21"/>
      <c r="FR68" s="21"/>
      <c r="FS68" s="21"/>
      <c r="FT68" s="21"/>
      <c r="FU68" s="21"/>
      <c r="FV68" s="21"/>
      <c r="FW68" s="21"/>
      <c r="FX68" s="21"/>
      <c r="FY68" s="21"/>
      <c r="FZ68" s="21"/>
      <c r="GA68" s="21"/>
      <c r="GB68" s="21"/>
      <c r="GC68" s="21"/>
      <c r="GD68" s="21"/>
      <c r="GE68" s="21"/>
      <c r="GF68" s="21"/>
      <c r="GG68" s="21"/>
      <c r="GH68" s="21"/>
      <c r="GI68" s="21"/>
      <c r="GJ68" s="21"/>
      <c r="GK68" s="21"/>
      <c r="GL68" s="21"/>
      <c r="GM68" s="21"/>
      <c r="GN68" s="21"/>
      <c r="GO68" s="21"/>
      <c r="GP68" s="21"/>
      <c r="GQ68" s="21"/>
      <c r="GR68" s="21"/>
      <c r="GS68" s="21"/>
      <c r="GT68" s="21"/>
      <c r="GU68" s="21"/>
      <c r="GV68" s="21"/>
      <c r="GW68" s="21"/>
      <c r="GX68" s="21"/>
      <c r="GY68" s="21"/>
      <c r="GZ68" s="21"/>
      <c r="HA68" s="21"/>
      <c r="HB68" s="21"/>
      <c r="HC68" s="21"/>
      <c r="HD68" s="21"/>
      <c r="HE68" s="21"/>
      <c r="HF68" s="21"/>
      <c r="HG68" s="21"/>
      <c r="HH68" s="21"/>
      <c r="HI68" s="21"/>
      <c r="HJ68" s="21"/>
      <c r="HK68" s="21"/>
      <c r="HL68" s="21"/>
      <c r="HM68" s="21"/>
      <c r="HN68" s="21"/>
      <c r="HO68" s="21"/>
      <c r="HP68" s="21"/>
      <c r="HQ68" s="21"/>
      <c r="HR68" s="21"/>
      <c r="HS68" s="21"/>
      <c r="HT68" s="21"/>
      <c r="HU68" s="21"/>
      <c r="HV68" s="186"/>
      <c r="HW68" s="21"/>
      <c r="HX68" s="21"/>
      <c r="HY68" s="21"/>
      <c r="HZ68" s="21"/>
      <c r="IA68" s="21"/>
      <c r="IB68" s="21"/>
      <c r="IC68" s="21"/>
      <c r="ID68" s="21"/>
      <c r="IE68" s="21"/>
      <c r="IF68" s="21"/>
      <c r="IG68" s="21"/>
      <c r="IH68" s="21"/>
      <c r="II68" s="21"/>
      <c r="IJ68" s="21"/>
      <c r="IK68" s="21"/>
      <c r="IL68" s="21"/>
      <c r="IM68" s="21"/>
      <c r="IN68" s="21"/>
      <c r="IO68" s="21"/>
      <c r="IP68" s="21"/>
      <c r="IQ68" s="21"/>
      <c r="IR68" s="21"/>
      <c r="IS68" s="21"/>
      <c r="IT68" s="21"/>
      <c r="IU68" s="21"/>
      <c r="IV68" s="21"/>
      <c r="IW68" s="21"/>
      <c r="IX68" s="21"/>
      <c r="IY68" s="21"/>
      <c r="IZ68" s="21"/>
      <c r="JA68" s="21"/>
      <c r="JB68" s="21"/>
      <c r="JC68" s="21"/>
      <c r="JD68" s="21"/>
      <c r="JE68" s="21"/>
      <c r="JF68" s="21"/>
      <c r="JG68" s="21"/>
      <c r="JH68" s="21"/>
      <c r="JI68" s="21"/>
      <c r="JJ68" s="21"/>
      <c r="JK68" s="21"/>
      <c r="JL68" s="21"/>
      <c r="JM68" s="21"/>
      <c r="JN68" s="21"/>
      <c r="JO68" s="21"/>
      <c r="JP68" s="21"/>
      <c r="JQ68" s="21"/>
      <c r="JR68" s="21"/>
      <c r="JS68" s="21"/>
      <c r="JT68" s="21"/>
      <c r="JU68" s="21"/>
      <c r="JV68" s="21"/>
      <c r="JW68" s="21"/>
      <c r="JX68" s="21"/>
      <c r="JY68" s="21"/>
      <c r="JZ68" s="21"/>
      <c r="KA68" s="21"/>
      <c r="KB68" s="21"/>
      <c r="KC68" s="21"/>
      <c r="KD68" s="21"/>
      <c r="KE68" s="21"/>
      <c r="KF68" s="21"/>
      <c r="KG68" s="21"/>
      <c r="KH68" s="21"/>
    </row>
    <row r="69" spans="1:294" hidden="1" x14ac:dyDescent="0.25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5" t="s">
        <v>1230</v>
      </c>
      <c r="M69" s="11" t="e">
        <f>INDEX(cennik!$C$2:$L$529,MATCH($L69,cennik!$B$2:$B$522,0),MATCH(M$53,cennik!$C$1:$L$1,0))</f>
        <v>#N/A</v>
      </c>
      <c r="N69" s="11" t="e">
        <f>INDEX(cennik!$C$2:$L$529,MATCH($L69,cennik!$B$2:$B$522,0),MATCH(N$53,cennik!$C$1:$L$1,0))</f>
        <v>#N/A</v>
      </c>
      <c r="O69" s="14">
        <f>IF(E58=AH58,O54*2,0)</f>
        <v>0</v>
      </c>
      <c r="P69" s="11" t="e">
        <f>INDEX(cennik!$C$2:$L$529,MATCH($L69,cennik!$B$2:$B$522,0),MATCH(P$53,cennik!$C$1:$L$1,0))</f>
        <v>#N/A</v>
      </c>
      <c r="Q69" s="14" t="e">
        <f t="shared" si="22"/>
        <v>#N/A</v>
      </c>
      <c r="R69" s="14">
        <f t="shared" si="19"/>
        <v>0</v>
      </c>
      <c r="S69" s="34" t="e">
        <f t="shared" si="20"/>
        <v>#N/A</v>
      </c>
      <c r="T69" s="14" t="e">
        <f t="shared" si="23"/>
        <v>#N/A</v>
      </c>
      <c r="U69" s="34" t="e">
        <f>INDEX(cennik!$C$2:$L$529,MATCH($L69,cennik!$B$2:$B$522,0),MATCH(U$53,cennik!$C$1:$L$1,0))*O69</f>
        <v>#N/A</v>
      </c>
      <c r="V69" s="21"/>
      <c r="W69" s="21"/>
      <c r="X69" s="21"/>
      <c r="Y69" s="21"/>
      <c r="Z69" s="21"/>
      <c r="AA69" s="21"/>
      <c r="AB69" s="21"/>
      <c r="AC69" s="21"/>
      <c r="AD69" s="21"/>
      <c r="AE69" s="21"/>
      <c r="AF69" s="21"/>
      <c r="AG69" s="21"/>
      <c r="AH69" s="21"/>
      <c r="AI69" s="21"/>
      <c r="AJ69" s="21"/>
      <c r="AK69" s="21"/>
      <c r="AL69" s="21"/>
      <c r="AM69" s="21"/>
      <c r="AN69" s="21"/>
      <c r="AO69" s="186" t="s">
        <v>1212</v>
      </c>
      <c r="AP69" s="21" t="s">
        <v>1221</v>
      </c>
      <c r="AQ69" s="21"/>
      <c r="AR69" s="21"/>
      <c r="AS69" s="21"/>
      <c r="AT69" s="21"/>
      <c r="AU69" s="21"/>
      <c r="AV69" s="21"/>
      <c r="AW69" s="21"/>
      <c r="AX69" s="21"/>
      <c r="AY69" s="21"/>
      <c r="AZ69" s="21"/>
      <c r="BA69" s="21"/>
      <c r="BB69" s="21"/>
      <c r="BC69" s="21"/>
      <c r="BD69" s="21"/>
      <c r="BE69" s="21"/>
      <c r="BF69" s="21"/>
      <c r="BG69" s="21"/>
      <c r="BH69" s="21"/>
      <c r="BI69" s="21"/>
      <c r="BJ69" s="21"/>
      <c r="BK69" s="21"/>
      <c r="BL69" s="21"/>
      <c r="BM69" s="21"/>
      <c r="BN69" s="21"/>
      <c r="BO69" s="21"/>
      <c r="BP69" s="21"/>
      <c r="BQ69" s="21"/>
      <c r="BR69" s="21"/>
      <c r="BS69" s="21"/>
      <c r="BT69" s="21"/>
      <c r="BU69" s="21"/>
      <c r="BV69" s="21"/>
      <c r="BW69" s="21"/>
      <c r="BX69" s="21"/>
      <c r="BY69" s="21"/>
      <c r="BZ69" s="21"/>
      <c r="CA69" s="21"/>
      <c r="CB69" s="21"/>
      <c r="CC69" s="21"/>
      <c r="CD69" s="21"/>
      <c r="CE69" s="21"/>
      <c r="CF69" s="21"/>
      <c r="CG69" s="21"/>
      <c r="CH69" s="21"/>
      <c r="CI69" s="21"/>
      <c r="CJ69" s="21"/>
      <c r="CK69" s="21"/>
      <c r="CL69" s="21"/>
      <c r="CM69" s="21"/>
      <c r="CN69" s="21"/>
      <c r="CO69" s="21"/>
      <c r="CP69" s="21"/>
      <c r="CQ69" s="21"/>
      <c r="CR69" s="21"/>
      <c r="CS69" s="21"/>
      <c r="CT69" s="21"/>
      <c r="CU69" s="21"/>
      <c r="CV69" s="21"/>
      <c r="CW69" s="21"/>
      <c r="CX69" s="21"/>
      <c r="CY69" s="21"/>
      <c r="CZ69" s="21"/>
      <c r="DA69" s="21"/>
      <c r="DB69" s="21"/>
      <c r="DC69" s="21"/>
      <c r="DD69" s="21"/>
      <c r="DE69" s="21"/>
      <c r="DF69" s="21"/>
      <c r="DG69" s="21"/>
      <c r="DH69" s="21"/>
      <c r="DI69" s="21"/>
      <c r="DJ69" s="21"/>
      <c r="DK69" s="21"/>
      <c r="DL69" s="21"/>
      <c r="DM69" s="21"/>
      <c r="DN69" s="21"/>
      <c r="DO69" s="21"/>
      <c r="DP69" s="21"/>
      <c r="DQ69" s="21"/>
      <c r="DR69" s="21"/>
      <c r="DS69" s="21"/>
      <c r="DT69" s="21"/>
      <c r="DU69" s="21"/>
      <c r="DV69" s="21"/>
      <c r="DW69" s="21"/>
      <c r="DX69" s="21"/>
      <c r="DY69" s="21"/>
      <c r="DZ69" s="87"/>
      <c r="EA69" s="87"/>
      <c r="EB69" s="87"/>
      <c r="EC69" s="21"/>
      <c r="ED69" s="21"/>
      <c r="EE69" s="21"/>
      <c r="EF69" s="21"/>
      <c r="EG69" s="21"/>
      <c r="EH69" s="21"/>
      <c r="EI69" s="21"/>
      <c r="EJ69" s="21"/>
      <c r="EK69" s="21"/>
      <c r="EL69" s="21"/>
      <c r="EM69" s="21"/>
      <c r="EN69" s="21"/>
      <c r="EO69" s="21"/>
      <c r="EP69" s="21"/>
      <c r="EQ69" s="21"/>
      <c r="ER69" s="21"/>
      <c r="ES69" s="21"/>
      <c r="ET69" s="21"/>
      <c r="EU69" s="21"/>
      <c r="EV69" s="21"/>
      <c r="EW69" s="21"/>
      <c r="EX69" s="21"/>
      <c r="EY69" s="21"/>
      <c r="EZ69" s="21"/>
      <c r="FA69" s="21"/>
      <c r="FB69" s="21"/>
      <c r="FC69" s="21"/>
      <c r="FD69" s="21"/>
      <c r="FE69" s="21"/>
      <c r="FF69" s="21"/>
      <c r="FG69" s="21"/>
      <c r="FH69" s="21"/>
      <c r="FI69" s="21"/>
      <c r="FJ69" s="21"/>
      <c r="FK69" s="21"/>
      <c r="FL69" s="21"/>
      <c r="FM69" s="21"/>
      <c r="FN69" s="21"/>
      <c r="FO69" s="21"/>
      <c r="FP69" s="21"/>
      <c r="FQ69" s="21"/>
      <c r="FR69" s="21"/>
      <c r="FS69" s="21"/>
      <c r="FT69" s="21"/>
      <c r="FU69" s="21"/>
      <c r="FV69" s="21"/>
      <c r="FW69" s="21"/>
      <c r="FX69" s="21"/>
      <c r="FY69" s="21"/>
      <c r="FZ69" s="21"/>
      <c r="GA69" s="21"/>
      <c r="GB69" s="21"/>
      <c r="GC69" s="21"/>
      <c r="GD69" s="21"/>
      <c r="GE69" s="21"/>
      <c r="GF69" s="21"/>
      <c r="GG69" s="21"/>
      <c r="GH69" s="21"/>
      <c r="GI69" s="21"/>
      <c r="GJ69" s="21"/>
      <c r="GK69" s="21"/>
      <c r="GL69" s="21"/>
      <c r="GM69" s="21"/>
      <c r="GN69" s="21"/>
      <c r="GO69" s="21"/>
      <c r="GP69" s="21"/>
      <c r="GQ69" s="21"/>
      <c r="GR69" s="21"/>
      <c r="GS69" s="21"/>
      <c r="GT69" s="21"/>
      <c r="GU69" s="21"/>
      <c r="GV69" s="21"/>
      <c r="GW69" s="21"/>
      <c r="GX69" s="21"/>
      <c r="GY69" s="21"/>
      <c r="GZ69" s="21"/>
      <c r="HA69" s="21"/>
      <c r="HB69" s="21"/>
      <c r="HC69" s="21"/>
      <c r="HD69" s="21"/>
      <c r="HE69" s="21"/>
      <c r="HF69" s="21"/>
      <c r="HG69" s="21"/>
      <c r="HH69" s="21"/>
      <c r="HI69" s="21"/>
      <c r="HJ69" s="21"/>
      <c r="HK69" s="21"/>
      <c r="HL69" s="21"/>
      <c r="HM69" s="21"/>
      <c r="HN69" s="21"/>
      <c r="HO69" s="21"/>
      <c r="HP69" s="21"/>
      <c r="HQ69" s="21"/>
      <c r="HR69" s="21"/>
      <c r="HS69" s="21"/>
      <c r="HT69" s="21"/>
      <c r="HU69" s="21"/>
      <c r="HV69" s="186"/>
      <c r="HW69" s="21"/>
      <c r="HX69" s="21"/>
      <c r="HY69" s="21"/>
      <c r="HZ69" s="21"/>
      <c r="IA69" s="21"/>
      <c r="IB69" s="21"/>
      <c r="IC69" s="21"/>
      <c r="ID69" s="21"/>
      <c r="IE69" s="21"/>
      <c r="IF69" s="21"/>
      <c r="IG69" s="21"/>
      <c r="IH69" s="21"/>
      <c r="II69" s="21"/>
      <c r="IJ69" s="21"/>
      <c r="IK69" s="21"/>
      <c r="IL69" s="21"/>
      <c r="IM69" s="21"/>
      <c r="IN69" s="21"/>
      <c r="IO69" s="21"/>
      <c r="IP69" s="21"/>
      <c r="IQ69" s="21"/>
      <c r="IR69" s="21"/>
      <c r="IS69" s="21"/>
      <c r="IT69" s="21"/>
      <c r="IU69" s="21"/>
      <c r="IV69" s="21"/>
      <c r="IW69" s="21"/>
      <c r="IX69" s="21"/>
      <c r="IY69" s="21"/>
      <c r="IZ69" s="21"/>
      <c r="JA69" s="21"/>
      <c r="JB69" s="21"/>
      <c r="JC69" s="21"/>
      <c r="JD69" s="21"/>
      <c r="JE69" s="21"/>
      <c r="JF69" s="21"/>
      <c r="JG69" s="21"/>
      <c r="JH69" s="21"/>
      <c r="JI69" s="21"/>
      <c r="JJ69" s="21"/>
      <c r="JK69" s="21"/>
      <c r="JL69" s="21"/>
      <c r="JM69" s="21"/>
      <c r="JN69" s="21"/>
      <c r="JO69" s="21"/>
      <c r="JP69" s="21"/>
      <c r="JQ69" s="21"/>
      <c r="JR69" s="21"/>
      <c r="JS69" s="21"/>
      <c r="JT69" s="21"/>
      <c r="JU69" s="21"/>
      <c r="JV69" s="21"/>
      <c r="JW69" s="21"/>
      <c r="JX69" s="21"/>
      <c r="JY69" s="21"/>
      <c r="JZ69" s="21"/>
      <c r="KA69" s="21"/>
      <c r="KB69" s="21"/>
      <c r="KC69" s="21"/>
      <c r="KD69" s="21"/>
      <c r="KE69" s="21"/>
      <c r="KF69" s="21"/>
      <c r="KG69" s="21"/>
      <c r="KH69" s="21"/>
    </row>
    <row r="70" spans="1:294" hidden="1" x14ac:dyDescent="0.25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5" t="s">
        <v>948</v>
      </c>
      <c r="M70" s="11">
        <f>INDEX(cennik!$C$2:$L$529,MATCH($L70,cennik!$B$2:$B$522,0),MATCH(M$53,cennik!$C$1:$L$1,0))</f>
        <v>858432</v>
      </c>
      <c r="N70" s="11" t="str">
        <f>INDEX(cennik!$C$2:$L$529,MATCH($L70,cennik!$B$2:$B$522,0),MATCH(N$53,cennik!$C$1:$L$1,0))</f>
        <v>szt.</v>
      </c>
      <c r="O70" s="14">
        <f>IF(E59=AK59,O54*2,0)</f>
        <v>0</v>
      </c>
      <c r="P70" s="11">
        <f>INDEX(cennik!$C$2:$L$529,MATCH($L70,cennik!$B$2:$B$522,0),MATCH(P$53,cennik!$C$1:$L$1,0))</f>
        <v>6.8</v>
      </c>
      <c r="Q70" s="14">
        <f t="shared" si="22"/>
        <v>0</v>
      </c>
      <c r="R70" s="14">
        <f t="shared" si="19"/>
        <v>0</v>
      </c>
      <c r="S70" s="34">
        <f t="shared" si="20"/>
        <v>6.8</v>
      </c>
      <c r="T70" s="14">
        <f t="shared" si="23"/>
        <v>0</v>
      </c>
      <c r="U70" s="34">
        <f>INDEX(cennik!$C$2:$L$529,MATCH($L70,cennik!$B$2:$B$522,0),MATCH(U$53,cennik!$C$1:$L$1,0))*O70</f>
        <v>0</v>
      </c>
      <c r="V70" s="21"/>
      <c r="W70" s="21"/>
      <c r="X70" s="21"/>
      <c r="Y70" s="21"/>
      <c r="Z70" s="21"/>
      <c r="AA70" s="21"/>
      <c r="AB70" s="21"/>
      <c r="AC70" s="21"/>
      <c r="AD70" s="21"/>
      <c r="AE70" s="21"/>
      <c r="AF70" s="21"/>
      <c r="AG70" s="21"/>
      <c r="AH70" s="21"/>
      <c r="AI70" s="21"/>
      <c r="AJ70" s="21"/>
      <c r="AK70" s="21"/>
      <c r="AL70" s="21"/>
      <c r="AM70" s="21"/>
      <c r="AN70" s="21"/>
      <c r="AO70" s="186" t="s">
        <v>1213</v>
      </c>
      <c r="AP70" s="21" t="s">
        <v>1221</v>
      </c>
      <c r="AQ70" s="21"/>
      <c r="AR70" s="21"/>
      <c r="AS70" s="21"/>
      <c r="AT70" s="21"/>
      <c r="AU70" s="21"/>
      <c r="AV70" s="21"/>
      <c r="AW70" s="21"/>
      <c r="AX70" s="21"/>
      <c r="AY70" s="21"/>
      <c r="AZ70" s="21"/>
      <c r="BA70" s="21"/>
      <c r="BB70" s="21"/>
      <c r="BC70" s="21"/>
      <c r="BD70" s="21"/>
      <c r="BE70" s="21"/>
      <c r="BF70" s="21"/>
      <c r="BG70" s="21"/>
      <c r="BH70" s="21"/>
      <c r="BI70" s="21"/>
      <c r="BJ70" s="21"/>
      <c r="BK70" s="21"/>
      <c r="BL70" s="21"/>
      <c r="BM70" s="21"/>
      <c r="BN70" s="21"/>
      <c r="BO70" s="21"/>
      <c r="BP70" s="21"/>
      <c r="BQ70" s="21"/>
      <c r="BR70" s="21"/>
      <c r="BS70" s="21"/>
      <c r="BT70" s="21"/>
      <c r="BU70" s="21"/>
      <c r="BV70" s="21"/>
      <c r="BW70" s="21"/>
      <c r="BX70" s="21"/>
      <c r="BY70" s="21"/>
      <c r="BZ70" s="21"/>
      <c r="CA70" s="21"/>
      <c r="CB70" s="21"/>
      <c r="CC70" s="21"/>
      <c r="CD70" s="21"/>
      <c r="CE70" s="21"/>
      <c r="CF70" s="21"/>
      <c r="CG70" s="21"/>
      <c r="CH70" s="21"/>
      <c r="CI70" s="21"/>
      <c r="CJ70" s="21"/>
      <c r="CK70" s="21"/>
      <c r="CL70" s="21"/>
      <c r="CM70" s="21"/>
      <c r="CN70" s="21"/>
      <c r="CO70" s="21"/>
      <c r="CP70" s="21"/>
      <c r="CQ70" s="21"/>
      <c r="CR70" s="21"/>
      <c r="CS70" s="21"/>
      <c r="CT70" s="21"/>
      <c r="CU70" s="21"/>
      <c r="CV70" s="21"/>
      <c r="CW70" s="21"/>
      <c r="CX70" s="21"/>
      <c r="CY70" s="21"/>
      <c r="CZ70" s="21"/>
      <c r="DA70" s="21"/>
      <c r="DB70" s="21"/>
      <c r="DC70" s="21"/>
      <c r="DD70" s="21"/>
      <c r="DE70" s="21"/>
      <c r="DF70" s="21"/>
      <c r="DG70" s="21"/>
      <c r="DH70" s="21"/>
      <c r="DI70" s="21"/>
      <c r="DJ70" s="21"/>
      <c r="DK70" s="21"/>
      <c r="DL70" s="21"/>
      <c r="DM70" s="21"/>
      <c r="DN70" s="21"/>
      <c r="DO70" s="21"/>
      <c r="DP70" s="21"/>
      <c r="DQ70" s="21"/>
      <c r="DR70" s="21"/>
      <c r="DS70" s="21"/>
      <c r="DT70" s="21"/>
      <c r="DU70" s="21"/>
      <c r="DV70" s="21"/>
      <c r="DW70" s="21"/>
      <c r="DX70" s="21"/>
      <c r="DY70" s="21"/>
      <c r="DZ70" s="87"/>
      <c r="EA70" s="87"/>
      <c r="EB70" s="87"/>
      <c r="EC70" s="21"/>
      <c r="ED70" s="21"/>
      <c r="EE70" s="21"/>
      <c r="EF70" s="21"/>
      <c r="EG70" s="21"/>
      <c r="EH70" s="21"/>
      <c r="EI70" s="21"/>
      <c r="EJ70" s="21"/>
      <c r="EK70" s="21"/>
      <c r="EL70" s="21"/>
      <c r="EM70" s="21"/>
      <c r="EN70" s="21"/>
      <c r="EO70" s="21"/>
      <c r="EP70" s="21"/>
      <c r="EQ70" s="21"/>
      <c r="ER70" s="21"/>
      <c r="ES70" s="21"/>
      <c r="ET70" s="21"/>
      <c r="EU70" s="21"/>
      <c r="EV70" s="21"/>
      <c r="EW70" s="21"/>
      <c r="EX70" s="21"/>
      <c r="EY70" s="21"/>
      <c r="EZ70" s="21"/>
      <c r="FA70" s="21"/>
      <c r="FB70" s="21"/>
      <c r="FC70" s="21"/>
      <c r="FD70" s="21"/>
      <c r="FE70" s="21"/>
      <c r="FF70" s="21"/>
      <c r="FG70" s="21"/>
      <c r="FH70" s="21"/>
      <c r="FI70" s="21"/>
      <c r="FJ70" s="21"/>
      <c r="FK70" s="21"/>
      <c r="FL70" s="21"/>
      <c r="FM70" s="21"/>
      <c r="FN70" s="21"/>
      <c r="FO70" s="21"/>
      <c r="FP70" s="21"/>
      <c r="FQ70" s="21"/>
      <c r="FR70" s="21"/>
      <c r="FS70" s="21"/>
      <c r="FT70" s="21"/>
      <c r="FU70" s="21"/>
      <c r="FV70" s="21"/>
      <c r="FW70" s="21"/>
      <c r="FX70" s="21"/>
      <c r="FY70" s="21"/>
      <c r="FZ70" s="21"/>
      <c r="GA70" s="21"/>
      <c r="GB70" s="21"/>
      <c r="GC70" s="21"/>
      <c r="GD70" s="21"/>
      <c r="GE70" s="21"/>
      <c r="GF70" s="21"/>
      <c r="GG70" s="21"/>
      <c r="GH70" s="21"/>
      <c r="GI70" s="21"/>
      <c r="GJ70" s="21"/>
      <c r="GK70" s="21"/>
      <c r="GL70" s="21"/>
      <c r="GM70" s="21"/>
      <c r="GN70" s="21"/>
      <c r="GO70" s="21"/>
      <c r="GP70" s="21"/>
      <c r="GQ70" s="21"/>
      <c r="GR70" s="21"/>
      <c r="GS70" s="21"/>
      <c r="GT70" s="21"/>
      <c r="GU70" s="21"/>
      <c r="GV70" s="21"/>
      <c r="GW70" s="21"/>
      <c r="GX70" s="21"/>
      <c r="GY70" s="21"/>
      <c r="GZ70" s="21"/>
      <c r="HA70" s="21"/>
      <c r="HB70" s="21"/>
      <c r="HC70" s="21"/>
      <c r="HD70" s="21"/>
      <c r="HE70" s="21"/>
      <c r="HF70" s="21"/>
      <c r="HG70" s="21"/>
      <c r="HH70" s="21"/>
      <c r="HI70" s="21"/>
      <c r="HJ70" s="21"/>
      <c r="HK70" s="21"/>
      <c r="HL70" s="21"/>
      <c r="HM70" s="21"/>
      <c r="HN70" s="21"/>
      <c r="HO70" s="21"/>
      <c r="HP70" s="21"/>
      <c r="HQ70" s="21"/>
      <c r="HR70" s="21"/>
      <c r="HS70" s="21"/>
      <c r="HT70" s="21"/>
      <c r="HU70" s="21"/>
      <c r="HV70" s="186"/>
      <c r="HW70" s="21"/>
      <c r="HX70" s="21"/>
      <c r="HY70" s="21"/>
      <c r="HZ70" s="21"/>
      <c r="IA70" s="21"/>
      <c r="IB70" s="21"/>
      <c r="IC70" s="21"/>
      <c r="ID70" s="21"/>
      <c r="IE70" s="21"/>
      <c r="IF70" s="21"/>
      <c r="IG70" s="21"/>
      <c r="IH70" s="21"/>
      <c r="II70" s="21"/>
      <c r="IJ70" s="21"/>
      <c r="IK70" s="21"/>
      <c r="IL70" s="21"/>
      <c r="IM70" s="21"/>
      <c r="IN70" s="21"/>
      <c r="IO70" s="21"/>
      <c r="IP70" s="21"/>
      <c r="IQ70" s="21"/>
      <c r="IR70" s="21"/>
      <c r="IS70" s="21"/>
      <c r="IT70" s="21"/>
      <c r="IU70" s="21"/>
      <c r="IV70" s="21"/>
      <c r="IW70" s="21"/>
      <c r="IX70" s="21"/>
      <c r="IY70" s="21"/>
      <c r="IZ70" s="21"/>
      <c r="JA70" s="21"/>
      <c r="JB70" s="21"/>
      <c r="JC70" s="21"/>
      <c r="JD70" s="21"/>
      <c r="JE70" s="21"/>
      <c r="JF70" s="21"/>
      <c r="JG70" s="21"/>
      <c r="JH70" s="21"/>
      <c r="JI70" s="21"/>
      <c r="JJ70" s="21"/>
      <c r="JK70" s="21"/>
      <c r="JL70" s="21"/>
      <c r="JM70" s="21"/>
      <c r="JN70" s="21"/>
      <c r="JO70" s="21"/>
      <c r="JP70" s="21"/>
      <c r="JQ70" s="21"/>
      <c r="JR70" s="21"/>
      <c r="JS70" s="21"/>
      <c r="JT70" s="21"/>
      <c r="JU70" s="21"/>
      <c r="JV70" s="21"/>
      <c r="JW70" s="21"/>
      <c r="JX70" s="21"/>
      <c r="JY70" s="21"/>
      <c r="JZ70" s="21"/>
      <c r="KA70" s="21"/>
      <c r="KB70" s="21"/>
      <c r="KC70" s="21"/>
      <c r="KD70" s="21"/>
      <c r="KE70" s="21"/>
      <c r="KF70" s="21"/>
      <c r="KG70" s="21"/>
      <c r="KH70" s="21"/>
    </row>
    <row r="71" spans="1:294" hidden="1" x14ac:dyDescent="0.25">
      <c r="A71" s="1"/>
      <c r="B71" s="1"/>
      <c r="C71" s="1"/>
      <c r="D71" s="1"/>
      <c r="E71" s="1"/>
      <c r="F71" s="17" t="str">
        <f>IF(E57=AF60,"PROPOZYCJA KOTEW- DO WERFIKACJI","")</f>
        <v/>
      </c>
      <c r="G71" s="1"/>
      <c r="H71" s="1"/>
      <c r="I71" s="1"/>
      <c r="J71" s="1"/>
      <c r="K71" s="1"/>
      <c r="L71" s="5" t="s">
        <v>1006</v>
      </c>
      <c r="M71" s="11">
        <f>INDEX(cennik!$C$2:$L$529,MATCH($L71,cennik!$B$2:$B$522,0),MATCH(M$53,cennik!$C$1:$L$1,0))</f>
        <v>650093</v>
      </c>
      <c r="N71" s="11" t="str">
        <f>INDEX(cennik!$C$2:$L$529,MATCH($L71,cennik!$B$2:$B$522,0),MATCH(N$53,cennik!$C$1:$L$1,0))</f>
        <v>szt.</v>
      </c>
      <c r="O71" s="14">
        <f>IF(E57=AF60,O54*2,0)</f>
        <v>0</v>
      </c>
      <c r="P71" s="11">
        <f>INDEX(cennik!$C$2:$L$529,MATCH($L71,cennik!$B$2:$B$522,0),MATCH(P$53,cennik!$C$1:$L$1,0))</f>
        <v>3.29</v>
      </c>
      <c r="Q71" s="14">
        <f t="shared" si="22"/>
        <v>0</v>
      </c>
      <c r="R71" s="14">
        <f t="shared" si="19"/>
        <v>0</v>
      </c>
      <c r="S71" s="34">
        <f t="shared" si="20"/>
        <v>3.29</v>
      </c>
      <c r="T71" s="14">
        <f t="shared" si="23"/>
        <v>0</v>
      </c>
      <c r="U71" s="34">
        <f>INDEX(cennik!$C$2:$L$529,MATCH($L71,cennik!$B$2:$B$522,0),MATCH(U$53,cennik!$C$1:$L$1,0))*O71</f>
        <v>0</v>
      </c>
      <c r="V71" s="21"/>
      <c r="W71" s="21"/>
      <c r="X71" s="21"/>
      <c r="Y71" s="21"/>
      <c r="Z71" s="21"/>
      <c r="AA71" s="21"/>
      <c r="AB71" s="21"/>
      <c r="AC71" s="21"/>
      <c r="AD71" s="21"/>
      <c r="AE71" s="21"/>
      <c r="AF71" s="21"/>
      <c r="AG71" s="21"/>
      <c r="AH71" s="21"/>
      <c r="AI71" s="21"/>
      <c r="AJ71" s="21"/>
      <c r="AK71" s="21"/>
      <c r="AL71" s="21"/>
      <c r="AM71" s="21"/>
      <c r="AN71" s="21"/>
      <c r="AO71" s="186" t="s">
        <v>1214</v>
      </c>
      <c r="AP71" s="21" t="s">
        <v>1221</v>
      </c>
      <c r="AQ71" s="21"/>
      <c r="AR71" s="21"/>
      <c r="AS71" s="21"/>
      <c r="AT71" s="21"/>
      <c r="AU71" s="21"/>
      <c r="AV71" s="21"/>
      <c r="AW71" s="21"/>
      <c r="AX71" s="21"/>
      <c r="AY71" s="21"/>
      <c r="AZ71" s="21"/>
      <c r="BA71" s="21"/>
      <c r="BB71" s="21"/>
      <c r="BC71" s="21"/>
      <c r="BD71" s="21"/>
      <c r="BE71" s="21"/>
      <c r="BF71" s="21"/>
      <c r="BG71" s="21"/>
      <c r="BH71" s="21"/>
      <c r="BI71" s="21"/>
      <c r="BJ71" s="21"/>
      <c r="BK71" s="21"/>
      <c r="BL71" s="21"/>
      <c r="BM71" s="21"/>
      <c r="BN71" s="21"/>
      <c r="BO71" s="21"/>
      <c r="BP71" s="21"/>
      <c r="BQ71" s="21"/>
      <c r="BR71" s="21"/>
      <c r="BS71" s="21"/>
      <c r="BT71" s="21"/>
      <c r="BU71" s="21"/>
      <c r="BV71" s="21"/>
      <c r="BW71" s="21"/>
      <c r="BX71" s="21"/>
      <c r="BY71" s="21"/>
      <c r="BZ71" s="21"/>
      <c r="CA71" s="21"/>
      <c r="CB71" s="21"/>
      <c r="CC71" s="21"/>
      <c r="CD71" s="21"/>
      <c r="CE71" s="21"/>
      <c r="CF71" s="21"/>
      <c r="CG71" s="21"/>
      <c r="CH71" s="21"/>
      <c r="CI71" s="21"/>
      <c r="CJ71" s="21"/>
      <c r="CK71" s="21"/>
      <c r="CL71" s="21"/>
      <c r="CM71" s="21"/>
      <c r="CN71" s="21"/>
      <c r="CO71" s="21"/>
      <c r="CP71" s="21"/>
      <c r="CQ71" s="21"/>
      <c r="CR71" s="21"/>
      <c r="CS71" s="21"/>
      <c r="CT71" s="21"/>
      <c r="CU71" s="21"/>
      <c r="CV71" s="21"/>
      <c r="CW71" s="21"/>
      <c r="CX71" s="21"/>
      <c r="CY71" s="21"/>
      <c r="CZ71" s="21"/>
      <c r="DA71" s="21"/>
      <c r="DB71" s="21"/>
      <c r="DC71" s="21"/>
      <c r="DD71" s="21"/>
      <c r="DE71" s="21"/>
      <c r="DF71" s="21"/>
      <c r="DG71" s="21"/>
      <c r="DH71" s="21"/>
      <c r="DI71" s="21"/>
      <c r="DJ71" s="21"/>
      <c r="DK71" s="21"/>
      <c r="DL71" s="21"/>
      <c r="DM71" s="21"/>
      <c r="DN71" s="21"/>
      <c r="DO71" s="21"/>
      <c r="DP71" s="21"/>
      <c r="DQ71" s="21"/>
      <c r="DR71" s="21"/>
      <c r="DS71" s="21"/>
      <c r="DT71" s="21"/>
      <c r="DU71" s="21"/>
      <c r="DV71" s="21"/>
      <c r="DW71" s="21"/>
      <c r="DX71" s="21"/>
      <c r="DY71" s="21"/>
      <c r="DZ71" s="87"/>
      <c r="EA71" s="87"/>
      <c r="EB71" s="87"/>
      <c r="EC71" s="21"/>
      <c r="ED71" s="21"/>
      <c r="EE71" s="21"/>
      <c r="EF71" s="21"/>
      <c r="EG71" s="21"/>
      <c r="EH71" s="21"/>
      <c r="EI71" s="21"/>
      <c r="EJ71" s="21"/>
      <c r="EK71" s="21"/>
      <c r="EL71" s="21"/>
      <c r="EM71" s="21"/>
      <c r="EN71" s="21"/>
      <c r="EO71" s="21"/>
      <c r="EP71" s="21"/>
      <c r="EQ71" s="21"/>
      <c r="ER71" s="21"/>
      <c r="ES71" s="21"/>
      <c r="ET71" s="21"/>
      <c r="EU71" s="21"/>
      <c r="EV71" s="21"/>
      <c r="EW71" s="21"/>
      <c r="EX71" s="21"/>
      <c r="EY71" s="21"/>
      <c r="EZ71" s="21"/>
      <c r="FA71" s="21"/>
      <c r="FB71" s="21"/>
      <c r="FC71" s="21"/>
      <c r="FD71" s="21"/>
      <c r="FE71" s="21"/>
      <c r="FF71" s="21"/>
      <c r="FG71" s="21"/>
      <c r="FH71" s="21"/>
      <c r="FI71" s="21"/>
      <c r="FJ71" s="21"/>
      <c r="FK71" s="21"/>
      <c r="FL71" s="21"/>
      <c r="FM71" s="21"/>
      <c r="FN71" s="21"/>
      <c r="FO71" s="21"/>
      <c r="FP71" s="21"/>
      <c r="FQ71" s="21"/>
      <c r="FR71" s="21"/>
      <c r="FS71" s="21"/>
      <c r="FT71" s="21"/>
      <c r="FU71" s="21"/>
      <c r="FV71" s="21"/>
      <c r="FW71" s="21"/>
      <c r="FX71" s="21"/>
      <c r="FY71" s="21"/>
      <c r="FZ71" s="21"/>
      <c r="GA71" s="21"/>
      <c r="GB71" s="21"/>
      <c r="GC71" s="21"/>
      <c r="GD71" s="21"/>
      <c r="GE71" s="21"/>
      <c r="GF71" s="21"/>
      <c r="GG71" s="21"/>
      <c r="GH71" s="21"/>
      <c r="GI71" s="21"/>
      <c r="GJ71" s="21"/>
      <c r="GK71" s="21"/>
      <c r="GL71" s="21"/>
      <c r="GM71" s="21"/>
      <c r="GN71" s="21"/>
      <c r="GO71" s="21"/>
      <c r="GP71" s="21"/>
      <c r="GQ71" s="21"/>
      <c r="GR71" s="21"/>
      <c r="GS71" s="21"/>
      <c r="GT71" s="21"/>
      <c r="GU71" s="21"/>
      <c r="GV71" s="21"/>
      <c r="GW71" s="21"/>
      <c r="GX71" s="21"/>
      <c r="GY71" s="21"/>
      <c r="GZ71" s="21"/>
      <c r="HA71" s="21"/>
      <c r="HB71" s="21"/>
      <c r="HC71" s="21"/>
      <c r="HD71" s="21"/>
      <c r="HE71" s="21"/>
      <c r="HF71" s="21"/>
      <c r="HG71" s="21"/>
      <c r="HH71" s="21"/>
      <c r="HI71" s="21"/>
      <c r="HJ71" s="21"/>
      <c r="HK71" s="21"/>
      <c r="HL71" s="21"/>
      <c r="HM71" s="21"/>
      <c r="HN71" s="21"/>
      <c r="HO71" s="21"/>
      <c r="HP71" s="21"/>
      <c r="HQ71" s="21"/>
      <c r="HR71" s="21"/>
      <c r="HS71" s="21"/>
      <c r="HT71" s="21"/>
      <c r="HU71" s="21"/>
      <c r="HV71" s="186"/>
      <c r="HW71" s="21"/>
      <c r="HX71" s="21"/>
      <c r="HY71" s="21"/>
      <c r="HZ71" s="21"/>
      <c r="IA71" s="21"/>
      <c r="IB71" s="21"/>
      <c r="IC71" s="21"/>
      <c r="ID71" s="21"/>
      <c r="IE71" s="21"/>
      <c r="IF71" s="21"/>
      <c r="IG71" s="21"/>
      <c r="IH71" s="21"/>
      <c r="II71" s="21"/>
      <c r="IJ71" s="21"/>
      <c r="IK71" s="21"/>
      <c r="IL71" s="21"/>
      <c r="IM71" s="21"/>
      <c r="IN71" s="21"/>
      <c r="IO71" s="21"/>
      <c r="IP71" s="21"/>
      <c r="IQ71" s="21"/>
      <c r="IR71" s="21"/>
      <c r="IS71" s="21"/>
      <c r="IT71" s="21"/>
      <c r="IU71" s="21"/>
      <c r="IV71" s="21"/>
      <c r="IW71" s="21"/>
      <c r="IX71" s="21"/>
      <c r="IY71" s="21"/>
      <c r="IZ71" s="21"/>
      <c r="JA71" s="21"/>
      <c r="JB71" s="21"/>
      <c r="JC71" s="21"/>
      <c r="JD71" s="21"/>
      <c r="JE71" s="21"/>
      <c r="JF71" s="21"/>
      <c r="JG71" s="21"/>
      <c r="JH71" s="21"/>
      <c r="JI71" s="21"/>
      <c r="JJ71" s="21"/>
      <c r="JK71" s="21"/>
      <c r="JL71" s="21"/>
      <c r="JM71" s="21"/>
      <c r="JN71" s="21"/>
      <c r="JO71" s="21"/>
      <c r="JP71" s="21"/>
      <c r="JQ71" s="21"/>
      <c r="JR71" s="21"/>
      <c r="JS71" s="21"/>
      <c r="JT71" s="21"/>
      <c r="JU71" s="21"/>
      <c r="JV71" s="21"/>
      <c r="JW71" s="21"/>
      <c r="JX71" s="21"/>
      <c r="JY71" s="21"/>
      <c r="JZ71" s="21"/>
      <c r="KA71" s="21"/>
      <c r="KB71" s="21"/>
      <c r="KC71" s="21"/>
      <c r="KD71" s="21"/>
      <c r="KE71" s="21"/>
      <c r="KF71" s="21"/>
      <c r="KG71" s="21"/>
      <c r="KH71" s="21"/>
    </row>
    <row r="72" spans="1:294" hidden="1" x14ac:dyDescent="0.25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5" t="s">
        <v>297</v>
      </c>
      <c r="M72" s="11">
        <f>INDEX(cennik!$C$2:$L$529,MATCH($L72,cennik!$B$2:$B$522,0),MATCH(M$53,cennik!$C$1:$L$1,0))</f>
        <v>894824</v>
      </c>
      <c r="N72" s="11" t="str">
        <f>INDEX(cennik!$C$2:$L$529,MATCH($L72,cennik!$B$2:$B$522,0),MATCH(N$53,cennik!$C$1:$L$1,0))</f>
        <v>szt.</v>
      </c>
      <c r="O72" s="14">
        <f>O68*4</f>
        <v>0</v>
      </c>
      <c r="P72" s="11">
        <f>INDEX(cennik!$C$2:$L$529,MATCH($L72,cennik!$B$2:$B$522,0),MATCH(P$53,cennik!$C$1:$L$1,0))</f>
        <v>1.85</v>
      </c>
      <c r="Q72" s="14">
        <f t="shared" si="22"/>
        <v>0</v>
      </c>
      <c r="R72" s="14">
        <f t="shared" si="19"/>
        <v>0</v>
      </c>
      <c r="S72" s="34">
        <f t="shared" si="20"/>
        <v>1.85</v>
      </c>
      <c r="T72" s="14">
        <f t="shared" si="23"/>
        <v>0</v>
      </c>
      <c r="U72" s="34">
        <f>INDEX(cennik!$C$2:$L$529,MATCH($L72,cennik!$B$2:$B$522,0),MATCH(U$53,cennik!$C$1:$L$1,0))*O72</f>
        <v>0</v>
      </c>
      <c r="V72" s="21"/>
      <c r="W72" s="21"/>
      <c r="X72" s="21"/>
      <c r="Y72" s="21"/>
      <c r="Z72" s="21"/>
      <c r="AA72" s="21"/>
      <c r="AB72" s="21"/>
      <c r="AC72" s="21"/>
      <c r="AD72" s="21"/>
      <c r="AE72" s="21"/>
      <c r="AF72" s="21"/>
      <c r="AG72" s="21"/>
      <c r="AH72" s="21"/>
      <c r="AI72" s="21"/>
      <c r="AJ72" s="21"/>
      <c r="AK72" s="21"/>
      <c r="AL72" s="21"/>
      <c r="AM72" s="21"/>
      <c r="AN72" s="21"/>
      <c r="AO72" s="21"/>
      <c r="AP72" s="21"/>
      <c r="AQ72" s="21"/>
      <c r="AR72" s="21"/>
      <c r="AS72" s="21"/>
      <c r="AT72" s="21"/>
      <c r="AU72" s="21"/>
      <c r="AV72" s="21"/>
      <c r="AW72" s="21"/>
      <c r="AX72" s="21"/>
      <c r="AY72" s="21"/>
      <c r="AZ72" s="21"/>
      <c r="BA72" s="21"/>
      <c r="BB72" s="21"/>
      <c r="BC72" s="21"/>
      <c r="BD72" s="21"/>
      <c r="BE72" s="21"/>
      <c r="BF72" s="21"/>
      <c r="BG72" s="21"/>
      <c r="BH72" s="21"/>
      <c r="BI72" s="21"/>
      <c r="BJ72" s="21"/>
      <c r="BK72" s="21"/>
      <c r="BL72" s="21"/>
      <c r="BM72" s="21"/>
      <c r="BN72" s="21"/>
      <c r="BO72" s="21"/>
      <c r="BP72" s="21"/>
      <c r="BQ72" s="21"/>
      <c r="BR72" s="21"/>
      <c r="BS72" s="21"/>
      <c r="BT72" s="21"/>
      <c r="BU72" s="21"/>
      <c r="BV72" s="21"/>
      <c r="BW72" s="21"/>
      <c r="BX72" s="21"/>
      <c r="BY72" s="21"/>
      <c r="BZ72" s="21"/>
      <c r="CA72" s="21"/>
      <c r="CB72" s="21"/>
      <c r="CC72" s="21"/>
      <c r="CD72" s="21"/>
      <c r="CE72" s="21"/>
      <c r="CF72" s="21"/>
      <c r="CG72" s="21"/>
      <c r="CH72" s="21"/>
      <c r="CI72" s="21"/>
      <c r="CJ72" s="21"/>
      <c r="CK72" s="21"/>
      <c r="CL72" s="21"/>
      <c r="CM72" s="21"/>
      <c r="CN72" s="21"/>
      <c r="CO72" s="21"/>
      <c r="CP72" s="21"/>
      <c r="CQ72" s="21"/>
      <c r="CR72" s="21"/>
      <c r="CS72" s="21"/>
      <c r="CT72" s="21"/>
      <c r="CU72" s="21"/>
      <c r="CV72" s="21"/>
      <c r="CW72" s="21"/>
      <c r="CX72" s="21"/>
      <c r="CY72" s="21"/>
      <c r="CZ72" s="21"/>
      <c r="DA72" s="21"/>
      <c r="DB72" s="21"/>
      <c r="DC72" s="21"/>
      <c r="DD72" s="21"/>
      <c r="DE72" s="21"/>
      <c r="DF72" s="21"/>
      <c r="DG72" s="21"/>
      <c r="DH72" s="21"/>
      <c r="DI72" s="21"/>
      <c r="DJ72" s="21"/>
      <c r="DK72" s="21"/>
      <c r="DL72" s="21"/>
      <c r="DM72" s="21"/>
      <c r="DN72" s="21"/>
      <c r="DO72" s="21"/>
      <c r="DP72" s="21"/>
      <c r="DQ72" s="21"/>
      <c r="DR72" s="21"/>
      <c r="DS72" s="21"/>
      <c r="DT72" s="21"/>
      <c r="DU72" s="21"/>
      <c r="DV72" s="21"/>
      <c r="DW72" s="21"/>
      <c r="DX72" s="21"/>
      <c r="DY72" s="21"/>
      <c r="DZ72" s="87"/>
      <c r="EA72" s="87"/>
      <c r="EB72" s="87"/>
      <c r="EC72" s="21"/>
      <c r="ED72" s="21"/>
      <c r="EE72" s="21"/>
      <c r="EF72" s="21"/>
      <c r="EG72" s="21"/>
      <c r="EH72" s="21"/>
      <c r="EI72" s="21"/>
      <c r="EJ72" s="21"/>
      <c r="EK72" s="21"/>
      <c r="EL72" s="21"/>
      <c r="EM72" s="21"/>
      <c r="EN72" s="21"/>
      <c r="EO72" s="21"/>
      <c r="EP72" s="21"/>
      <c r="EQ72" s="21"/>
      <c r="ER72" s="21"/>
      <c r="ES72" s="21"/>
      <c r="ET72" s="21"/>
      <c r="EU72" s="21"/>
      <c r="EV72" s="21"/>
      <c r="EW72" s="21"/>
      <c r="EX72" s="21"/>
      <c r="EY72" s="21"/>
      <c r="EZ72" s="21"/>
      <c r="FA72" s="21"/>
      <c r="FB72" s="21"/>
      <c r="FC72" s="21"/>
      <c r="FD72" s="21"/>
      <c r="FE72" s="21"/>
      <c r="FF72" s="21"/>
      <c r="FG72" s="21"/>
      <c r="FH72" s="21"/>
      <c r="FI72" s="21"/>
      <c r="FJ72" s="21"/>
      <c r="FK72" s="21"/>
      <c r="FL72" s="21"/>
      <c r="FM72" s="21"/>
      <c r="FN72" s="21"/>
      <c r="FO72" s="21"/>
      <c r="FP72" s="21"/>
      <c r="FQ72" s="21"/>
      <c r="FR72" s="21"/>
      <c r="FS72" s="21"/>
      <c r="FT72" s="21"/>
      <c r="FU72" s="21"/>
      <c r="FV72" s="21"/>
      <c r="FW72" s="21"/>
      <c r="FX72" s="21"/>
      <c r="FY72" s="21"/>
      <c r="FZ72" s="21"/>
      <c r="GA72" s="21"/>
      <c r="GB72" s="21"/>
      <c r="GC72" s="21"/>
      <c r="GD72" s="21"/>
      <c r="GE72" s="21"/>
      <c r="GF72" s="21"/>
      <c r="GG72" s="21"/>
      <c r="GH72" s="21"/>
      <c r="GI72" s="21"/>
      <c r="GJ72" s="21"/>
      <c r="GK72" s="21"/>
      <c r="GL72" s="21"/>
      <c r="GM72" s="21"/>
      <c r="GN72" s="21"/>
      <c r="GO72" s="21"/>
      <c r="GP72" s="21"/>
      <c r="GQ72" s="21"/>
      <c r="GR72" s="21"/>
      <c r="GS72" s="21"/>
      <c r="GT72" s="21"/>
      <c r="GU72" s="21"/>
      <c r="GV72" s="21"/>
      <c r="GW72" s="21"/>
      <c r="GX72" s="21"/>
      <c r="GY72" s="21"/>
      <c r="GZ72" s="21"/>
      <c r="HA72" s="21"/>
      <c r="HB72" s="21"/>
      <c r="HC72" s="21"/>
      <c r="HD72" s="21"/>
      <c r="HE72" s="21"/>
      <c r="HF72" s="21"/>
      <c r="HG72" s="21"/>
      <c r="HH72" s="21"/>
      <c r="HI72" s="21"/>
      <c r="HJ72" s="21"/>
      <c r="HK72" s="21"/>
      <c r="HL72" s="21"/>
      <c r="HM72" s="21"/>
      <c r="HN72" s="21"/>
      <c r="HO72" s="21"/>
      <c r="HP72" s="21"/>
      <c r="HQ72" s="21"/>
      <c r="HR72" s="21"/>
      <c r="HS72" s="21"/>
      <c r="HT72" s="21"/>
      <c r="HU72" s="21"/>
      <c r="HV72" s="186"/>
      <c r="HW72" s="21"/>
      <c r="HX72" s="21"/>
      <c r="HY72" s="21"/>
      <c r="HZ72" s="21"/>
      <c r="IA72" s="21"/>
      <c r="IB72" s="21"/>
      <c r="IC72" s="21"/>
      <c r="ID72" s="21"/>
      <c r="IE72" s="21"/>
      <c r="IF72" s="21"/>
      <c r="IG72" s="21"/>
      <c r="IH72" s="21"/>
      <c r="II72" s="21"/>
      <c r="IJ72" s="21"/>
      <c r="IK72" s="21"/>
      <c r="IL72" s="21"/>
      <c r="IM72" s="21"/>
      <c r="IN72" s="21"/>
      <c r="IO72" s="21"/>
      <c r="IP72" s="21"/>
      <c r="IQ72" s="21"/>
      <c r="IR72" s="21"/>
      <c r="IS72" s="21"/>
      <c r="IT72" s="21"/>
      <c r="IU72" s="21"/>
      <c r="IV72" s="21"/>
      <c r="IW72" s="21"/>
      <c r="IX72" s="21"/>
      <c r="IY72" s="21"/>
      <c r="IZ72" s="21"/>
      <c r="JA72" s="21"/>
      <c r="JB72" s="21"/>
      <c r="JC72" s="21"/>
      <c r="JD72" s="21"/>
      <c r="JE72" s="21"/>
      <c r="JF72" s="21"/>
      <c r="JG72" s="21"/>
      <c r="JH72" s="21"/>
      <c r="JI72" s="21"/>
      <c r="JJ72" s="21"/>
      <c r="JK72" s="21"/>
      <c r="JL72" s="21"/>
      <c r="JM72" s="21"/>
      <c r="JN72" s="21"/>
      <c r="JO72" s="21"/>
      <c r="JP72" s="21"/>
      <c r="JQ72" s="21"/>
      <c r="JR72" s="21"/>
      <c r="JS72" s="21"/>
      <c r="JT72" s="21"/>
      <c r="JU72" s="21"/>
      <c r="JV72" s="21"/>
      <c r="JW72" s="21"/>
      <c r="JX72" s="21"/>
      <c r="JY72" s="21"/>
      <c r="JZ72" s="21"/>
      <c r="KA72" s="21"/>
      <c r="KB72" s="21"/>
      <c r="KC72" s="21"/>
      <c r="KD72" s="21"/>
      <c r="KE72" s="21"/>
      <c r="KF72" s="21"/>
      <c r="KG72" s="21"/>
      <c r="KH72" s="21"/>
    </row>
    <row r="73" spans="1:294" hidden="1" x14ac:dyDescent="0.25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5" t="s">
        <v>67</v>
      </c>
      <c r="M73" s="11">
        <f>INDEX(cennik!$C$2:$L$529,MATCH($L73,cennik!$B$2:$B$522,0),MATCH(M$53,cennik!$C$1:$L$1,0))</f>
        <v>890008</v>
      </c>
      <c r="N73" s="11" t="str">
        <f>INDEX(cennik!$C$2:$L$529,MATCH($L73,cennik!$B$2:$B$522,0),MATCH(N$53,cennik!$C$1:$L$1,0))</f>
        <v>100 szt.</v>
      </c>
      <c r="O73" s="14">
        <f>O66</f>
        <v>0</v>
      </c>
      <c r="P73" s="11">
        <f>INDEX(cennik!$C$2:$L$529,MATCH($L73,cennik!$B$2:$B$522,0),MATCH(P$53,cennik!$C$1:$L$1,0))</f>
        <v>28.15</v>
      </c>
      <c r="Q73" s="14">
        <f t="shared" si="22"/>
        <v>0</v>
      </c>
      <c r="R73" s="14">
        <f t="shared" si="19"/>
        <v>0</v>
      </c>
      <c r="S73" s="34">
        <f t="shared" si="20"/>
        <v>28.15</v>
      </c>
      <c r="T73" s="14">
        <f t="shared" si="23"/>
        <v>0</v>
      </c>
      <c r="U73" s="34">
        <f>INDEX(cennik!$C$2:$L$529,MATCH($L73,cennik!$B$2:$B$522,0),MATCH(U$53,cennik!$C$1:$L$1,0))*O73</f>
        <v>0</v>
      </c>
      <c r="V73" s="21"/>
      <c r="W73" s="21"/>
      <c r="X73" s="21"/>
      <c r="Y73" s="21"/>
      <c r="Z73" s="21"/>
      <c r="AA73" s="21"/>
      <c r="AB73" s="21"/>
      <c r="AC73" s="21"/>
      <c r="AD73" s="21"/>
      <c r="AE73" s="21"/>
      <c r="AF73" s="21"/>
      <c r="AG73" s="21"/>
      <c r="AH73" s="21"/>
      <c r="AI73" s="21"/>
      <c r="AJ73" s="21"/>
      <c r="AK73" s="21"/>
      <c r="AL73" s="21"/>
      <c r="AM73" s="21"/>
      <c r="AN73" s="21"/>
      <c r="AO73" s="21" t="str" cm="1">
        <f t="array" aca="1" ref="AO73:AO75" ca="1">OFFSET(AP65,MATCH(E57,AO66:AO71,0),0,COUNTIF(AO66:AO71,E57),1)</f>
        <v>koryto na bloczki</v>
      </c>
      <c r="AP73" s="21"/>
      <c r="AQ73" s="21"/>
      <c r="AR73" s="21"/>
      <c r="AS73" s="21"/>
      <c r="AT73" s="21"/>
      <c r="AU73" s="21"/>
      <c r="AV73" s="21"/>
      <c r="AW73" s="21"/>
      <c r="AX73" s="21"/>
      <c r="AY73" s="21"/>
      <c r="AZ73" s="21"/>
      <c r="BA73" s="21"/>
      <c r="BB73" s="21"/>
      <c r="BC73" s="21"/>
      <c r="BD73" s="21"/>
      <c r="BE73" s="21"/>
      <c r="BF73" s="21"/>
      <c r="BG73" s="21"/>
      <c r="BH73" s="21"/>
      <c r="BI73" s="21"/>
      <c r="BJ73" s="21"/>
      <c r="BK73" s="21"/>
      <c r="BL73" s="21"/>
      <c r="BM73" s="21"/>
      <c r="BN73" s="21"/>
      <c r="BO73" s="21"/>
      <c r="BP73" s="21"/>
      <c r="BQ73" s="21"/>
      <c r="BR73" s="21"/>
      <c r="BS73" s="21"/>
      <c r="BT73" s="21"/>
      <c r="BU73" s="21"/>
      <c r="BV73" s="21"/>
      <c r="BW73" s="21"/>
      <c r="BX73" s="21"/>
      <c r="BY73" s="21"/>
      <c r="BZ73" s="21"/>
      <c r="CA73" s="21"/>
      <c r="CB73" s="21"/>
      <c r="CC73" s="21"/>
      <c r="CD73" s="21"/>
      <c r="CE73" s="21"/>
      <c r="CF73" s="21"/>
      <c r="CG73" s="21"/>
      <c r="CH73" s="21"/>
      <c r="CI73" s="21"/>
      <c r="CJ73" s="21"/>
      <c r="CK73" s="21"/>
      <c r="CL73" s="21"/>
      <c r="CM73" s="21"/>
      <c r="CN73" s="21"/>
      <c r="CO73" s="21"/>
      <c r="CP73" s="21"/>
      <c r="CQ73" s="21"/>
      <c r="CR73" s="21"/>
      <c r="CS73" s="21"/>
      <c r="CT73" s="21"/>
      <c r="CU73" s="21"/>
      <c r="CV73" s="21"/>
      <c r="CW73" s="21"/>
      <c r="CX73" s="21"/>
      <c r="CY73" s="21"/>
      <c r="CZ73" s="21"/>
      <c r="DA73" s="21"/>
      <c r="DB73" s="21"/>
      <c r="DC73" s="21"/>
      <c r="DD73" s="21"/>
      <c r="DE73" s="21"/>
      <c r="DF73" s="21"/>
      <c r="DG73" s="21"/>
      <c r="DH73" s="21"/>
      <c r="DI73" s="21"/>
      <c r="DJ73" s="21"/>
      <c r="DK73" s="21"/>
      <c r="DL73" s="21"/>
      <c r="DM73" s="21"/>
      <c r="DN73" s="21"/>
      <c r="DO73" s="21"/>
      <c r="DP73" s="21"/>
      <c r="DQ73" s="21"/>
      <c r="DR73" s="21"/>
      <c r="DS73" s="21"/>
      <c r="DT73" s="21"/>
      <c r="DU73" s="21"/>
      <c r="DV73" s="21"/>
      <c r="DW73" s="21"/>
      <c r="DX73" s="21"/>
      <c r="DY73" s="21"/>
      <c r="DZ73" s="87"/>
      <c r="EA73" s="87"/>
      <c r="EB73" s="87"/>
      <c r="EC73" s="21"/>
      <c r="ED73" s="21"/>
      <c r="EE73" s="21"/>
      <c r="EF73" s="21"/>
      <c r="EG73" s="21"/>
      <c r="EH73" s="21"/>
      <c r="EI73" s="21"/>
      <c r="EJ73" s="21"/>
      <c r="EK73" s="21"/>
      <c r="EL73" s="21"/>
      <c r="EM73" s="21"/>
      <c r="EN73" s="21"/>
      <c r="EO73" s="21"/>
      <c r="EP73" s="21"/>
      <c r="EQ73" s="21"/>
      <c r="ER73" s="21"/>
      <c r="ES73" s="21"/>
      <c r="ET73" s="21"/>
      <c r="EU73" s="21"/>
      <c r="EV73" s="21"/>
      <c r="EW73" s="21"/>
      <c r="EX73" s="21"/>
      <c r="EY73" s="21"/>
      <c r="EZ73" s="21"/>
      <c r="FA73" s="21"/>
      <c r="FB73" s="21"/>
      <c r="FC73" s="21"/>
      <c r="FD73" s="21"/>
      <c r="FE73" s="21"/>
      <c r="FF73" s="21"/>
      <c r="FG73" s="21"/>
      <c r="FH73" s="21"/>
      <c r="FI73" s="21"/>
      <c r="FJ73" s="21"/>
      <c r="FK73" s="21"/>
      <c r="FL73" s="21"/>
      <c r="FM73" s="21"/>
      <c r="FN73" s="21"/>
      <c r="FO73" s="21"/>
      <c r="FP73" s="21"/>
      <c r="FQ73" s="21"/>
      <c r="FR73" s="21"/>
      <c r="FS73" s="21"/>
      <c r="FT73" s="21"/>
      <c r="FU73" s="21"/>
      <c r="FV73" s="21"/>
      <c r="FW73" s="21"/>
      <c r="FX73" s="21"/>
      <c r="FY73" s="21"/>
      <c r="FZ73" s="21"/>
      <c r="GA73" s="21"/>
      <c r="GB73" s="21"/>
      <c r="GC73" s="21"/>
      <c r="GD73" s="21"/>
      <c r="GE73" s="21"/>
      <c r="GF73" s="21"/>
      <c r="GG73" s="21"/>
      <c r="GH73" s="21"/>
      <c r="GI73" s="21"/>
      <c r="GJ73" s="21"/>
      <c r="GK73" s="21"/>
      <c r="GL73" s="21"/>
      <c r="GM73" s="21"/>
      <c r="GN73" s="21"/>
      <c r="GO73" s="21"/>
      <c r="GP73" s="21"/>
      <c r="GQ73" s="21"/>
      <c r="GR73" s="21"/>
      <c r="GS73" s="21"/>
      <c r="GT73" s="21"/>
      <c r="GU73" s="21"/>
      <c r="GV73" s="21"/>
      <c r="GW73" s="21"/>
      <c r="GX73" s="21"/>
      <c r="GY73" s="21"/>
      <c r="GZ73" s="21"/>
      <c r="HA73" s="21"/>
      <c r="HB73" s="21"/>
      <c r="HC73" s="21"/>
      <c r="HD73" s="21"/>
      <c r="HE73" s="21"/>
      <c r="HF73" s="21"/>
      <c r="HG73" s="21"/>
      <c r="HH73" s="21"/>
      <c r="HI73" s="21"/>
      <c r="HJ73" s="21"/>
      <c r="HK73" s="21"/>
      <c r="HL73" s="21"/>
      <c r="HM73" s="21"/>
      <c r="HN73" s="21"/>
      <c r="HO73" s="21"/>
      <c r="HP73" s="21"/>
      <c r="HQ73" s="21"/>
      <c r="HR73" s="21"/>
      <c r="HS73" s="21"/>
      <c r="HT73" s="21"/>
      <c r="HU73" s="21"/>
      <c r="HV73" s="186"/>
      <c r="HW73" s="21"/>
      <c r="HX73" s="21"/>
      <c r="HY73" s="21"/>
      <c r="HZ73" s="21"/>
      <c r="IA73" s="21"/>
      <c r="IB73" s="21"/>
      <c r="IC73" s="21"/>
      <c r="ID73" s="21"/>
      <c r="IE73" s="21"/>
      <c r="IF73" s="21"/>
      <c r="IG73" s="21"/>
      <c r="IH73" s="21"/>
      <c r="II73" s="21"/>
      <c r="IJ73" s="21"/>
      <c r="IK73" s="21"/>
      <c r="IL73" s="21"/>
      <c r="IM73" s="21"/>
      <c r="IN73" s="21"/>
      <c r="IO73" s="21"/>
      <c r="IP73" s="21"/>
      <c r="IQ73" s="21"/>
      <c r="IR73" s="21"/>
      <c r="IS73" s="21"/>
      <c r="IT73" s="21"/>
      <c r="IU73" s="21"/>
      <c r="IV73" s="21"/>
      <c r="IW73" s="21"/>
      <c r="IX73" s="21"/>
      <c r="IY73" s="21"/>
      <c r="IZ73" s="21"/>
      <c r="JA73" s="21"/>
      <c r="JB73" s="21"/>
      <c r="JC73" s="21"/>
      <c r="JD73" s="21"/>
      <c r="JE73" s="21"/>
      <c r="JF73" s="21"/>
      <c r="JG73" s="21"/>
      <c r="JH73" s="21"/>
      <c r="JI73" s="21"/>
      <c r="JJ73" s="21"/>
      <c r="JK73" s="21"/>
      <c r="JL73" s="21"/>
      <c r="JM73" s="21"/>
      <c r="JN73" s="21"/>
      <c r="JO73" s="21"/>
      <c r="JP73" s="21"/>
      <c r="JQ73" s="21"/>
      <c r="JR73" s="21"/>
      <c r="JS73" s="21"/>
      <c r="JT73" s="21"/>
      <c r="JU73" s="21"/>
      <c r="JV73" s="21"/>
      <c r="JW73" s="21"/>
      <c r="JX73" s="21"/>
      <c r="JY73" s="21"/>
      <c r="JZ73" s="21"/>
      <c r="KA73" s="21"/>
      <c r="KB73" s="21"/>
      <c r="KC73" s="21"/>
      <c r="KD73" s="21"/>
      <c r="KE73" s="21"/>
      <c r="KF73" s="21"/>
      <c r="KG73" s="21"/>
      <c r="KH73" s="21"/>
    </row>
    <row r="74" spans="1:294" hidden="1" x14ac:dyDescent="0.25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94" t="s">
        <v>786</v>
      </c>
      <c r="M74" s="11">
        <f>INDEX(cennik!$C$2:$L$529,MATCH($L74,cennik!$B$2:$B$522,0),MATCH(M$53,cennik!$C$1:$L$1,0))</f>
        <v>651541</v>
      </c>
      <c r="N74" s="11" t="str">
        <f>INDEX(cennik!$C$2:$L$529,MATCH($L74,cennik!$B$2:$B$522,0),MATCH(N$53,cennik!$C$1:$L$1,0))</f>
        <v>100 szt.</v>
      </c>
      <c r="O74" s="14">
        <f>IF(E56=AF56,(SUM((A53*C53),(A54*C54),(A55*C55),(A56*C56),(A57*C57),(A58*C58),(A59*C59),(A60*C60),(A61*C61),(A62*C62),(A63*C63),(A64*C64),(A65*C65),(A66*C66),(A67*C67),(A68*C68)))*4,0)</f>
        <v>16</v>
      </c>
      <c r="P74" s="11">
        <f>INDEX(cennik!$C$2:$L$529,MATCH($L74,cennik!$B$2:$B$522,0),MATCH(P$53,cennik!$C$1:$L$1,0))</f>
        <v>78.89</v>
      </c>
      <c r="Q74" s="14">
        <f t="shared" si="22"/>
        <v>1262.24</v>
      </c>
      <c r="R74" s="14">
        <f t="shared" si="19"/>
        <v>0</v>
      </c>
      <c r="S74" s="34">
        <f t="shared" si="20"/>
        <v>78.89</v>
      </c>
      <c r="T74" s="14">
        <f t="shared" si="23"/>
        <v>1262.24</v>
      </c>
      <c r="U74" s="34">
        <f>INDEX(cennik!$C$2:$L$529,MATCH($L74,cennik!$B$2:$B$522,0),MATCH(U$53,cennik!$C$1:$L$1,0))*O74</f>
        <v>24.8</v>
      </c>
      <c r="V74" s="21"/>
      <c r="W74" s="21"/>
      <c r="X74" s="21"/>
      <c r="Y74" s="21"/>
      <c r="Z74" s="21"/>
      <c r="AA74" s="21"/>
      <c r="AB74" s="21"/>
      <c r="AC74" s="21"/>
      <c r="AD74" s="21"/>
      <c r="AE74" s="21"/>
      <c r="AF74" s="21"/>
      <c r="AG74" s="21"/>
      <c r="AH74" s="21"/>
      <c r="AI74" s="21"/>
      <c r="AJ74" s="21"/>
      <c r="AK74" s="21"/>
      <c r="AL74" s="21"/>
      <c r="AM74" s="21"/>
      <c r="AN74" s="21"/>
      <c r="AO74" s="21" t="str">
        <f ca="1"/>
        <v>stopy balastowe z regulacją</v>
      </c>
      <c r="AP74" s="21"/>
      <c r="AQ74" s="21"/>
      <c r="AR74" s="21"/>
      <c r="AS74" s="21"/>
      <c r="AT74" s="21"/>
      <c r="AU74" s="21"/>
      <c r="AV74" s="21"/>
      <c r="AW74" s="21"/>
      <c r="AX74" s="21"/>
      <c r="AY74" s="21"/>
      <c r="AZ74" s="21"/>
      <c r="BA74" s="21"/>
      <c r="BB74" s="21"/>
      <c r="BC74" s="21"/>
      <c r="BD74" s="21"/>
      <c r="BE74" s="21"/>
      <c r="BF74" s="21"/>
      <c r="BG74" s="21"/>
      <c r="BH74" s="21"/>
      <c r="BI74" s="21"/>
      <c r="BJ74" s="21"/>
      <c r="BK74" s="21"/>
      <c r="BL74" s="21"/>
      <c r="BM74" s="21"/>
      <c r="BN74" s="21"/>
      <c r="BO74" s="21"/>
      <c r="BP74" s="21"/>
      <c r="BQ74" s="21"/>
      <c r="BR74" s="21"/>
      <c r="BS74" s="21"/>
      <c r="BT74" s="21"/>
      <c r="BU74" s="21"/>
      <c r="BV74" s="21"/>
      <c r="BW74" s="21"/>
      <c r="BX74" s="21"/>
      <c r="BY74" s="21"/>
      <c r="BZ74" s="21"/>
      <c r="CA74" s="21"/>
      <c r="CB74" s="21"/>
      <c r="CC74" s="21"/>
      <c r="CD74" s="21"/>
      <c r="CE74" s="21"/>
      <c r="CF74" s="21"/>
      <c r="CG74" s="21"/>
      <c r="CH74" s="21"/>
      <c r="CI74" s="21"/>
      <c r="CJ74" s="21"/>
      <c r="CK74" s="21"/>
      <c r="CL74" s="21"/>
      <c r="CM74" s="21"/>
      <c r="CN74" s="21"/>
      <c r="CO74" s="21"/>
      <c r="CP74" s="21"/>
      <c r="CQ74" s="21"/>
      <c r="CR74" s="21"/>
      <c r="CS74" s="21"/>
      <c r="CT74" s="21"/>
      <c r="CU74" s="21"/>
      <c r="CV74" s="21"/>
      <c r="CW74" s="21"/>
      <c r="CX74" s="21"/>
      <c r="CY74" s="21"/>
      <c r="CZ74" s="21"/>
      <c r="DA74" s="21"/>
      <c r="DB74" s="21"/>
      <c r="DC74" s="21"/>
      <c r="DD74" s="21"/>
      <c r="DE74" s="21"/>
      <c r="DF74" s="21"/>
      <c r="DG74" s="21"/>
      <c r="DH74" s="21"/>
      <c r="DI74" s="21"/>
      <c r="DJ74" s="21"/>
      <c r="DK74" s="21"/>
      <c r="DL74" s="21"/>
      <c r="DM74" s="21"/>
      <c r="DN74" s="21"/>
      <c r="DO74" s="21"/>
      <c r="DP74" s="21"/>
      <c r="DQ74" s="21"/>
      <c r="DR74" s="21"/>
      <c r="DS74" s="21"/>
      <c r="DT74" s="21"/>
      <c r="DU74" s="21"/>
      <c r="DV74" s="21"/>
      <c r="DW74" s="21"/>
      <c r="DX74" s="21"/>
      <c r="DY74" s="21"/>
      <c r="DZ74" s="87"/>
      <c r="EA74" s="87"/>
      <c r="EB74" s="87"/>
      <c r="EC74" s="21"/>
      <c r="ED74" s="21"/>
      <c r="EE74" s="21"/>
      <c r="EF74" s="21"/>
      <c r="EG74" s="21"/>
      <c r="EH74" s="21"/>
      <c r="EI74" s="21"/>
      <c r="EJ74" s="21"/>
      <c r="EK74" s="21"/>
      <c r="EL74" s="21"/>
      <c r="EM74" s="21"/>
      <c r="EN74" s="21"/>
      <c r="EO74" s="21"/>
      <c r="EP74" s="21"/>
      <c r="EQ74" s="21"/>
      <c r="ER74" s="21"/>
      <c r="ES74" s="21"/>
      <c r="ET74" s="21"/>
      <c r="EU74" s="21"/>
      <c r="EV74" s="21"/>
      <c r="EW74" s="21"/>
      <c r="EX74" s="21"/>
      <c r="EY74" s="21"/>
      <c r="EZ74" s="21"/>
      <c r="FA74" s="21"/>
      <c r="FB74" s="21"/>
      <c r="FC74" s="21"/>
      <c r="FD74" s="21"/>
      <c r="FE74" s="21"/>
      <c r="FF74" s="21"/>
      <c r="FG74" s="21"/>
      <c r="FH74" s="21"/>
      <c r="FI74" s="21"/>
      <c r="FJ74" s="21"/>
      <c r="FK74" s="21"/>
      <c r="FL74" s="21"/>
      <c r="FM74" s="21"/>
      <c r="FN74" s="21"/>
      <c r="FO74" s="21"/>
      <c r="FP74" s="21"/>
      <c r="FQ74" s="21"/>
      <c r="FR74" s="21"/>
      <c r="FS74" s="21"/>
      <c r="FT74" s="21"/>
      <c r="FU74" s="21"/>
      <c r="FV74" s="21"/>
      <c r="FW74" s="21"/>
      <c r="FX74" s="21"/>
      <c r="FY74" s="21"/>
      <c r="FZ74" s="21"/>
      <c r="GA74" s="21"/>
      <c r="GB74" s="21"/>
      <c r="GC74" s="21"/>
      <c r="GD74" s="21"/>
      <c r="GE74" s="21"/>
      <c r="GF74" s="21"/>
      <c r="GG74" s="21"/>
      <c r="GH74" s="21"/>
      <c r="GI74" s="21"/>
      <c r="GJ74" s="21"/>
      <c r="GK74" s="21"/>
      <c r="GL74" s="21"/>
      <c r="GM74" s="21"/>
      <c r="GN74" s="21"/>
      <c r="GO74" s="21"/>
      <c r="GP74" s="21"/>
      <c r="GQ74" s="21"/>
      <c r="GR74" s="21"/>
      <c r="GS74" s="21"/>
      <c r="GT74" s="21"/>
      <c r="GU74" s="21"/>
      <c r="GV74" s="21"/>
      <c r="GW74" s="21"/>
      <c r="GX74" s="21"/>
      <c r="GY74" s="21"/>
      <c r="GZ74" s="21"/>
      <c r="HA74" s="21"/>
      <c r="HB74" s="21"/>
      <c r="HC74" s="21"/>
      <c r="HD74" s="21"/>
      <c r="HE74" s="21"/>
      <c r="HF74" s="21"/>
      <c r="HG74" s="21"/>
      <c r="HH74" s="21"/>
      <c r="HI74" s="21"/>
      <c r="HJ74" s="21"/>
      <c r="HK74" s="21"/>
      <c r="HL74" s="21"/>
      <c r="HM74" s="21"/>
      <c r="HN74" s="21"/>
      <c r="HO74" s="21"/>
      <c r="HP74" s="21"/>
      <c r="HQ74" s="21"/>
      <c r="HR74" s="21"/>
      <c r="HS74" s="21"/>
      <c r="HT74" s="21"/>
      <c r="HU74" s="21"/>
      <c r="HV74" s="186"/>
      <c r="HW74" s="21"/>
      <c r="HX74" s="21"/>
      <c r="HY74" s="21"/>
      <c r="HZ74" s="21"/>
      <c r="IA74" s="21"/>
      <c r="IB74" s="21"/>
      <c r="IC74" s="21"/>
      <c r="ID74" s="21"/>
      <c r="IE74" s="21"/>
      <c r="IF74" s="21"/>
      <c r="IG74" s="21"/>
      <c r="IH74" s="21"/>
      <c r="II74" s="21"/>
      <c r="IJ74" s="21"/>
      <c r="IK74" s="21"/>
      <c r="IL74" s="21"/>
      <c r="IM74" s="21"/>
      <c r="IN74" s="21"/>
      <c r="IO74" s="21"/>
      <c r="IP74" s="21"/>
      <c r="IQ74" s="21"/>
      <c r="IR74" s="21"/>
      <c r="IS74" s="21"/>
      <c r="IT74" s="21"/>
      <c r="IU74" s="21"/>
      <c r="IV74" s="21"/>
      <c r="IW74" s="21"/>
      <c r="IX74" s="21"/>
      <c r="IY74" s="21"/>
      <c r="IZ74" s="21"/>
      <c r="JA74" s="21"/>
      <c r="JB74" s="21"/>
      <c r="JC74" s="21"/>
      <c r="JD74" s="21"/>
      <c r="JE74" s="21"/>
      <c r="JF74" s="21"/>
      <c r="JG74" s="21"/>
      <c r="JH74" s="21"/>
      <c r="JI74" s="21"/>
      <c r="JJ74" s="21"/>
      <c r="JK74" s="21"/>
      <c r="JL74" s="21"/>
      <c r="JM74" s="21"/>
      <c r="JN74" s="21"/>
      <c r="JO74" s="21"/>
      <c r="JP74" s="21"/>
      <c r="JQ74" s="21"/>
      <c r="JR74" s="21"/>
      <c r="JS74" s="21"/>
      <c r="JT74" s="21"/>
      <c r="JU74" s="21"/>
      <c r="JV74" s="21"/>
      <c r="JW74" s="21"/>
      <c r="JX74" s="21"/>
      <c r="JY74" s="21"/>
      <c r="JZ74" s="21"/>
      <c r="KA74" s="21"/>
      <c r="KB74" s="21"/>
      <c r="KC74" s="21"/>
      <c r="KD74" s="21"/>
      <c r="KE74" s="21"/>
      <c r="KF74" s="21"/>
      <c r="KG74" s="21"/>
      <c r="KH74" s="21"/>
    </row>
    <row r="75" spans="1:294" hidden="1" x14ac:dyDescent="0.25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4" t="e">
        <f>SUM(T54:T74)</f>
        <v>#N/A</v>
      </c>
      <c r="U75" s="134" t="e">
        <f>SUM(U54:U74)</f>
        <v>#N/A</v>
      </c>
      <c r="V75" s="21"/>
      <c r="W75" s="21"/>
      <c r="X75" s="21"/>
      <c r="Y75" s="21"/>
      <c r="Z75" s="21"/>
      <c r="AA75" s="21"/>
      <c r="AB75" s="21"/>
      <c r="AC75" s="21"/>
      <c r="AD75" s="21"/>
      <c r="AE75" s="21"/>
      <c r="AF75" s="21"/>
      <c r="AG75" s="21"/>
      <c r="AH75" s="21"/>
      <c r="AI75" s="21"/>
      <c r="AJ75" s="21"/>
      <c r="AK75" s="21"/>
      <c r="AL75" s="21"/>
      <c r="AM75" s="21"/>
      <c r="AN75" s="21"/>
      <c r="AO75" s="21" t="str">
        <f ca="1"/>
        <v>kostka w dolny profil</v>
      </c>
      <c r="AP75" s="21"/>
      <c r="AQ75" s="21"/>
      <c r="AR75" s="21"/>
      <c r="AS75" s="21"/>
      <c r="AT75" s="21"/>
      <c r="AU75" s="21"/>
      <c r="AV75" s="21"/>
      <c r="AW75" s="21"/>
      <c r="AX75" s="21"/>
      <c r="AY75" s="21"/>
      <c r="AZ75" s="21"/>
      <c r="BA75" s="21"/>
      <c r="BB75" s="21"/>
      <c r="BC75" s="21"/>
      <c r="BD75" s="21"/>
      <c r="BE75" s="21"/>
      <c r="BF75" s="21"/>
      <c r="BG75" s="21"/>
      <c r="BH75" s="21"/>
      <c r="BI75" s="21"/>
      <c r="BJ75" s="21"/>
      <c r="BK75" s="21"/>
      <c r="BL75" s="21"/>
      <c r="BM75" s="21"/>
      <c r="BN75" s="21"/>
      <c r="BO75" s="21"/>
      <c r="BP75" s="21"/>
      <c r="BQ75" s="21"/>
      <c r="BR75" s="21"/>
      <c r="BS75" s="21"/>
      <c r="BT75" s="21"/>
      <c r="BU75" s="21"/>
      <c r="BV75" s="21"/>
      <c r="BW75" s="21"/>
      <c r="BX75" s="21"/>
      <c r="BY75" s="21"/>
      <c r="BZ75" s="21"/>
      <c r="CA75" s="21"/>
      <c r="CB75" s="21"/>
      <c r="CC75" s="21"/>
      <c r="CD75" s="21"/>
      <c r="CE75" s="21"/>
      <c r="CF75" s="21"/>
      <c r="CG75" s="21"/>
      <c r="CH75" s="21"/>
      <c r="CI75" s="21"/>
      <c r="CJ75" s="21"/>
      <c r="CK75" s="21"/>
      <c r="CL75" s="21"/>
      <c r="CM75" s="21"/>
      <c r="CN75" s="21"/>
      <c r="CO75" s="21"/>
      <c r="CP75" s="21"/>
      <c r="CQ75" s="21"/>
      <c r="CR75" s="21"/>
      <c r="CS75" s="21"/>
      <c r="CT75" s="21"/>
      <c r="CU75" s="21"/>
      <c r="CV75" s="21"/>
      <c r="CW75" s="21"/>
      <c r="CX75" s="21"/>
      <c r="CY75" s="21"/>
      <c r="CZ75" s="21"/>
      <c r="DA75" s="21"/>
      <c r="DB75" s="21"/>
      <c r="DC75" s="21"/>
      <c r="DD75" s="21"/>
      <c r="DE75" s="21"/>
      <c r="DF75" s="21"/>
      <c r="DG75" s="21"/>
      <c r="DH75" s="21"/>
      <c r="DI75" s="21"/>
      <c r="DJ75" s="21"/>
      <c r="DK75" s="21"/>
      <c r="DL75" s="21"/>
      <c r="DM75" s="21"/>
      <c r="DN75" s="21"/>
      <c r="DO75" s="21"/>
      <c r="DP75" s="21"/>
      <c r="DQ75" s="21"/>
      <c r="DR75" s="21"/>
      <c r="DS75" s="21"/>
      <c r="DT75" s="21"/>
      <c r="DU75" s="21"/>
      <c r="DV75" s="21"/>
      <c r="DW75" s="21"/>
      <c r="DX75" s="21"/>
      <c r="DY75" s="21"/>
      <c r="DZ75" s="87"/>
      <c r="EA75" s="87"/>
      <c r="EB75" s="87"/>
      <c r="EC75" s="21"/>
      <c r="ED75" s="21"/>
      <c r="EE75" s="21"/>
      <c r="EF75" s="21"/>
      <c r="EG75" s="21"/>
      <c r="EH75" s="21"/>
      <c r="EI75" s="21"/>
      <c r="EJ75" s="21"/>
      <c r="EK75" s="21"/>
      <c r="EL75" s="21"/>
      <c r="EM75" s="21"/>
      <c r="EN75" s="21"/>
      <c r="EO75" s="21"/>
      <c r="EP75" s="21"/>
      <c r="EQ75" s="21"/>
      <c r="ER75" s="21"/>
      <c r="ES75" s="21"/>
      <c r="ET75" s="21"/>
      <c r="EU75" s="21"/>
      <c r="EV75" s="21"/>
      <c r="EW75" s="21"/>
      <c r="EX75" s="21"/>
      <c r="EY75" s="21"/>
      <c r="EZ75" s="21"/>
      <c r="FA75" s="21"/>
      <c r="FB75" s="21"/>
      <c r="FC75" s="21"/>
      <c r="FD75" s="21"/>
      <c r="FE75" s="21"/>
      <c r="FF75" s="21"/>
      <c r="FG75" s="21"/>
      <c r="FH75" s="21"/>
      <c r="FI75" s="21"/>
      <c r="FJ75" s="21"/>
      <c r="FK75" s="21"/>
      <c r="FL75" s="21"/>
      <c r="FM75" s="21"/>
      <c r="FN75" s="21"/>
      <c r="FO75" s="21"/>
      <c r="FP75" s="21"/>
      <c r="FQ75" s="21"/>
      <c r="FR75" s="21"/>
      <c r="FS75" s="21"/>
      <c r="FT75" s="21"/>
      <c r="FU75" s="21"/>
      <c r="FV75" s="21"/>
      <c r="FW75" s="21"/>
      <c r="FX75" s="21"/>
      <c r="FY75" s="21"/>
      <c r="FZ75" s="21"/>
      <c r="GA75" s="21"/>
      <c r="GB75" s="21"/>
      <c r="GC75" s="21"/>
      <c r="GD75" s="21"/>
      <c r="GE75" s="21"/>
      <c r="GF75" s="21"/>
      <c r="GG75" s="21"/>
      <c r="GH75" s="21"/>
      <c r="GI75" s="21"/>
      <c r="GJ75" s="21"/>
      <c r="GK75" s="21"/>
      <c r="GL75" s="21"/>
      <c r="GM75" s="21"/>
      <c r="GN75" s="21"/>
      <c r="GO75" s="21"/>
      <c r="GP75" s="21"/>
      <c r="GQ75" s="21"/>
      <c r="GR75" s="21"/>
      <c r="GS75" s="21"/>
      <c r="GT75" s="21"/>
      <c r="GU75" s="21"/>
      <c r="GV75" s="21"/>
      <c r="GW75" s="21"/>
      <c r="GX75" s="21"/>
      <c r="GY75" s="21"/>
      <c r="GZ75" s="21"/>
      <c r="HA75" s="21"/>
      <c r="HB75" s="21"/>
      <c r="HC75" s="21"/>
      <c r="HD75" s="21"/>
      <c r="HE75" s="21"/>
      <c r="HF75" s="21"/>
      <c r="HG75" s="21"/>
      <c r="HH75" s="21"/>
      <c r="HI75" s="21"/>
      <c r="HJ75" s="21"/>
      <c r="HK75" s="21"/>
      <c r="HL75" s="21"/>
      <c r="HM75" s="21"/>
      <c r="HN75" s="21"/>
      <c r="HO75" s="21"/>
      <c r="HP75" s="21"/>
      <c r="HQ75" s="21"/>
      <c r="HR75" s="21"/>
      <c r="HS75" s="21"/>
      <c r="HT75" s="21"/>
      <c r="HU75" s="21"/>
      <c r="HV75" s="186"/>
      <c r="HW75" s="21"/>
      <c r="HX75" s="21"/>
      <c r="HY75" s="21"/>
      <c r="HZ75" s="21"/>
      <c r="IA75" s="21"/>
      <c r="IB75" s="21"/>
      <c r="IC75" s="21"/>
      <c r="ID75" s="21"/>
      <c r="IE75" s="21"/>
      <c r="IF75" s="21"/>
      <c r="IG75" s="21"/>
      <c r="IH75" s="21"/>
      <c r="II75" s="21"/>
      <c r="IJ75" s="21"/>
      <c r="IK75" s="21"/>
      <c r="IL75" s="21"/>
      <c r="IM75" s="21"/>
      <c r="IN75" s="21"/>
      <c r="IO75" s="21"/>
      <c r="IP75" s="21"/>
      <c r="IQ75" s="21"/>
      <c r="IR75" s="21"/>
      <c r="IS75" s="21"/>
      <c r="IT75" s="21"/>
      <c r="IU75" s="21"/>
      <c r="IV75" s="21"/>
      <c r="IW75" s="21"/>
      <c r="IX75" s="21"/>
      <c r="IY75" s="21"/>
      <c r="IZ75" s="21"/>
      <c r="JA75" s="21"/>
      <c r="JB75" s="21"/>
      <c r="JC75" s="21"/>
      <c r="JD75" s="21"/>
      <c r="JE75" s="21"/>
      <c r="JF75" s="21"/>
      <c r="JG75" s="21"/>
      <c r="JH75" s="21"/>
      <c r="JI75" s="21"/>
      <c r="JJ75" s="21"/>
      <c r="JK75" s="21"/>
      <c r="JL75" s="21"/>
      <c r="JM75" s="21"/>
      <c r="JN75" s="21"/>
      <c r="JO75" s="21"/>
      <c r="JP75" s="21"/>
      <c r="JQ75" s="21"/>
      <c r="JR75" s="21"/>
      <c r="JS75" s="21"/>
      <c r="JT75" s="21"/>
      <c r="JU75" s="21"/>
      <c r="JV75" s="21"/>
      <c r="JW75" s="21"/>
      <c r="JX75" s="21"/>
      <c r="JY75" s="21"/>
      <c r="JZ75" s="21"/>
      <c r="KA75" s="21"/>
      <c r="KB75" s="21"/>
      <c r="KC75" s="21"/>
      <c r="KD75" s="21"/>
      <c r="KE75" s="21"/>
      <c r="KF75" s="21"/>
      <c r="KG75" s="21"/>
      <c r="KH75" s="21"/>
    </row>
    <row r="76" spans="1:294" hidden="1" x14ac:dyDescent="0.25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4"/>
      <c r="U76" s="134"/>
      <c r="V76" s="21"/>
      <c r="W76" s="21"/>
      <c r="X76" s="21"/>
      <c r="Y76" s="21"/>
      <c r="Z76" s="21"/>
      <c r="AA76" s="21"/>
      <c r="AB76" s="21"/>
      <c r="AC76" s="21"/>
      <c r="AD76" s="21"/>
      <c r="AE76" s="21"/>
      <c r="AF76" s="21"/>
      <c r="AG76" s="21"/>
      <c r="AH76" s="21"/>
      <c r="AI76" s="21"/>
      <c r="AJ76" s="21"/>
      <c r="AK76" s="21"/>
      <c r="AL76" s="21"/>
      <c r="AM76" s="21"/>
      <c r="AN76" s="21"/>
      <c r="AO76" s="21"/>
      <c r="AP76" s="21"/>
      <c r="AQ76" s="21"/>
      <c r="AR76" s="21"/>
      <c r="AS76" s="21"/>
      <c r="AT76" s="21"/>
      <c r="AU76" s="21"/>
      <c r="AV76" s="21"/>
      <c r="AW76" s="21"/>
      <c r="AX76" s="21"/>
      <c r="AY76" s="21"/>
      <c r="AZ76" s="21"/>
      <c r="BA76" s="21"/>
      <c r="BB76" s="21"/>
      <c r="BC76" s="21"/>
      <c r="BD76" s="21"/>
      <c r="BE76" s="21"/>
      <c r="BF76" s="21"/>
      <c r="BG76" s="21"/>
      <c r="BH76" s="21"/>
      <c r="BI76" s="21"/>
      <c r="BJ76" s="21"/>
      <c r="BK76" s="21"/>
      <c r="BL76" s="21"/>
      <c r="BM76" s="21"/>
      <c r="BN76" s="21"/>
      <c r="BO76" s="21"/>
      <c r="BP76" s="21"/>
      <c r="BQ76" s="21"/>
      <c r="BR76" s="21"/>
      <c r="BS76" s="21"/>
      <c r="BT76" s="21"/>
      <c r="BU76" s="21"/>
      <c r="BV76" s="21"/>
      <c r="BW76" s="21"/>
      <c r="BX76" s="21"/>
      <c r="BY76" s="21"/>
      <c r="BZ76" s="21"/>
      <c r="CA76" s="21"/>
      <c r="CB76" s="21"/>
      <c r="CC76" s="21"/>
      <c r="CD76" s="21"/>
      <c r="CE76" s="21"/>
      <c r="CF76" s="21"/>
      <c r="CG76" s="21"/>
      <c r="CH76" s="21"/>
      <c r="CI76" s="21"/>
      <c r="CJ76" s="21"/>
      <c r="CK76" s="21"/>
      <c r="CL76" s="21"/>
      <c r="CM76" s="21"/>
      <c r="CN76" s="21"/>
      <c r="CO76" s="21"/>
      <c r="CP76" s="21"/>
      <c r="CQ76" s="21"/>
      <c r="CR76" s="21"/>
      <c r="CS76" s="21"/>
      <c r="CT76" s="21"/>
      <c r="CU76" s="21"/>
      <c r="CV76" s="21"/>
      <c r="CW76" s="21"/>
      <c r="CX76" s="21"/>
      <c r="CY76" s="21"/>
      <c r="CZ76" s="21"/>
      <c r="DA76" s="21"/>
      <c r="DB76" s="21"/>
      <c r="DC76" s="21"/>
      <c r="DD76" s="21"/>
      <c r="DE76" s="21"/>
      <c r="DF76" s="21"/>
      <c r="DG76" s="21"/>
      <c r="DH76" s="21"/>
      <c r="DI76" s="21"/>
      <c r="DJ76" s="21"/>
      <c r="DK76" s="21"/>
      <c r="DL76" s="21"/>
      <c r="DM76" s="21"/>
      <c r="DN76" s="21"/>
      <c r="DO76" s="21"/>
      <c r="DP76" s="21"/>
      <c r="DQ76" s="21"/>
      <c r="DR76" s="21"/>
      <c r="DS76" s="21"/>
      <c r="DT76" s="21"/>
      <c r="DU76" s="21"/>
      <c r="DV76" s="21"/>
      <c r="DW76" s="21"/>
      <c r="DX76" s="21"/>
      <c r="DY76" s="21"/>
      <c r="DZ76" s="87"/>
      <c r="EA76" s="87"/>
      <c r="EB76" s="87"/>
      <c r="EC76" s="21"/>
      <c r="ED76" s="21"/>
      <c r="EE76" s="21"/>
      <c r="EF76" s="21"/>
      <c r="EG76" s="21"/>
      <c r="EH76" s="21"/>
      <c r="EI76" s="21"/>
      <c r="EJ76" s="21"/>
      <c r="EK76" s="21"/>
      <c r="EL76" s="21"/>
      <c r="EM76" s="21"/>
      <c r="EN76" s="21"/>
      <c r="EO76" s="21"/>
      <c r="EP76" s="21"/>
      <c r="EQ76" s="21"/>
      <c r="ER76" s="21"/>
      <c r="ES76" s="21"/>
      <c r="ET76" s="21"/>
      <c r="EU76" s="21"/>
      <c r="EV76" s="21"/>
      <c r="EW76" s="21"/>
      <c r="EX76" s="21"/>
      <c r="EY76" s="21"/>
      <c r="EZ76" s="21"/>
      <c r="FA76" s="21"/>
      <c r="FB76" s="21"/>
      <c r="FC76" s="21"/>
      <c r="FD76" s="21"/>
      <c r="FE76" s="21"/>
      <c r="FF76" s="21"/>
      <c r="FG76" s="21"/>
      <c r="FH76" s="21"/>
      <c r="FI76" s="21"/>
      <c r="FJ76" s="21"/>
      <c r="FK76" s="21"/>
      <c r="FL76" s="21"/>
      <c r="FM76" s="21"/>
      <c r="FN76" s="21"/>
      <c r="FO76" s="21"/>
      <c r="FP76" s="21"/>
      <c r="FQ76" s="21"/>
      <c r="FR76" s="21"/>
      <c r="FS76" s="21"/>
      <c r="FT76" s="21"/>
      <c r="FU76" s="21"/>
      <c r="FV76" s="21"/>
      <c r="FW76" s="21"/>
      <c r="FX76" s="21"/>
      <c r="FY76" s="21"/>
      <c r="FZ76" s="21"/>
      <c r="GA76" s="21"/>
      <c r="GB76" s="21"/>
      <c r="GC76" s="21"/>
      <c r="GD76" s="21"/>
      <c r="GE76" s="21"/>
      <c r="GF76" s="21"/>
      <c r="GG76" s="21"/>
      <c r="GH76" s="21"/>
      <c r="GI76" s="21"/>
      <c r="GJ76" s="21"/>
      <c r="GK76" s="21"/>
      <c r="GL76" s="21"/>
      <c r="GM76" s="21"/>
      <c r="GN76" s="21"/>
      <c r="GO76" s="21"/>
      <c r="GP76" s="21"/>
      <c r="GQ76" s="21"/>
      <c r="GR76" s="21"/>
      <c r="GS76" s="21"/>
      <c r="GT76" s="21"/>
      <c r="GU76" s="21"/>
      <c r="GV76" s="21"/>
      <c r="GW76" s="21"/>
      <c r="GX76" s="21"/>
      <c r="GY76" s="21"/>
      <c r="GZ76" s="21"/>
      <c r="HA76" s="21"/>
      <c r="HB76" s="21"/>
      <c r="HC76" s="21"/>
      <c r="HD76" s="21"/>
      <c r="HE76" s="21"/>
      <c r="HF76" s="21"/>
      <c r="HG76" s="21"/>
      <c r="HH76" s="21"/>
      <c r="HI76" s="21"/>
      <c r="HJ76" s="21"/>
      <c r="HK76" s="21"/>
      <c r="HL76" s="21"/>
      <c r="HM76" s="21"/>
      <c r="HN76" s="21"/>
      <c r="HO76" s="21"/>
      <c r="HP76" s="21"/>
      <c r="HQ76" s="21"/>
      <c r="HR76" s="21"/>
      <c r="HS76" s="21"/>
      <c r="HT76" s="21"/>
      <c r="HU76" s="21"/>
      <c r="HV76" s="186"/>
      <c r="HW76" s="21"/>
      <c r="HX76" s="21"/>
      <c r="HY76" s="21"/>
      <c r="HZ76" s="21"/>
      <c r="IA76" s="21"/>
      <c r="IB76" s="21"/>
      <c r="IC76" s="21"/>
      <c r="ID76" s="21"/>
      <c r="IE76" s="21"/>
      <c r="IF76" s="21"/>
      <c r="IG76" s="21"/>
      <c r="IH76" s="21"/>
      <c r="II76" s="21"/>
      <c r="IJ76" s="21"/>
      <c r="IK76" s="21"/>
      <c r="IL76" s="21"/>
      <c r="IM76" s="21"/>
      <c r="IN76" s="21"/>
      <c r="IO76" s="21"/>
      <c r="IP76" s="21"/>
      <c r="IQ76" s="21"/>
      <c r="IR76" s="21"/>
      <c r="IS76" s="21"/>
      <c r="IT76" s="21"/>
      <c r="IU76" s="21"/>
      <c r="IV76" s="21"/>
      <c r="IW76" s="21"/>
      <c r="IX76" s="21"/>
      <c r="IY76" s="21"/>
      <c r="IZ76" s="21"/>
      <c r="JA76" s="21"/>
      <c r="JB76" s="21"/>
      <c r="JC76" s="21"/>
      <c r="JD76" s="21"/>
      <c r="JE76" s="21"/>
      <c r="JF76" s="21"/>
      <c r="JG76" s="21"/>
      <c r="JH76" s="21"/>
      <c r="JI76" s="21"/>
      <c r="JJ76" s="21"/>
      <c r="JK76" s="21"/>
      <c r="JL76" s="21"/>
      <c r="JM76" s="21"/>
      <c r="JN76" s="21"/>
      <c r="JO76" s="21"/>
      <c r="JP76" s="21"/>
      <c r="JQ76" s="21"/>
      <c r="JR76" s="21"/>
      <c r="JS76" s="21"/>
      <c r="JT76" s="21"/>
      <c r="JU76" s="21"/>
      <c r="JV76" s="21"/>
      <c r="JW76" s="21"/>
      <c r="JX76" s="21"/>
      <c r="JY76" s="21"/>
      <c r="JZ76" s="21"/>
      <c r="KA76" s="21"/>
      <c r="KB76" s="21"/>
      <c r="KC76" s="21"/>
      <c r="KD76" s="21"/>
      <c r="KE76" s="21"/>
      <c r="KF76" s="21"/>
      <c r="KG76" s="21"/>
      <c r="KH76" s="21"/>
    </row>
    <row r="77" spans="1:294" hidden="1" x14ac:dyDescent="0.25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4"/>
      <c r="U77" s="134"/>
      <c r="V77" s="21"/>
      <c r="W77" s="21"/>
      <c r="X77" s="21"/>
      <c r="Y77" s="21"/>
      <c r="Z77" s="21"/>
      <c r="AA77" s="21"/>
      <c r="AB77" s="21"/>
      <c r="AC77" s="21"/>
      <c r="AD77" s="21"/>
      <c r="AE77" s="21"/>
      <c r="AF77" s="21"/>
      <c r="AG77" s="21"/>
      <c r="AH77" s="21"/>
      <c r="AI77" s="21"/>
      <c r="AJ77" s="21"/>
      <c r="AK77" s="21"/>
      <c r="AL77" s="21"/>
      <c r="AM77" s="21"/>
      <c r="AN77" s="21"/>
      <c r="AO77" s="21"/>
      <c r="AP77" s="21"/>
      <c r="AQ77" s="21"/>
      <c r="AR77" s="21"/>
      <c r="AS77" s="21"/>
      <c r="AT77" s="21"/>
      <c r="AU77" s="21"/>
      <c r="AV77" s="21"/>
      <c r="AW77" s="21"/>
      <c r="AX77" s="21"/>
      <c r="AY77" s="21"/>
      <c r="AZ77" s="21"/>
      <c r="BA77" s="21"/>
      <c r="BB77" s="21"/>
      <c r="BC77" s="21"/>
      <c r="BD77" s="21"/>
      <c r="BE77" s="21"/>
      <c r="BF77" s="21"/>
      <c r="BG77" s="21"/>
      <c r="BH77" s="21"/>
      <c r="BI77" s="21"/>
      <c r="BJ77" s="21"/>
      <c r="BK77" s="21"/>
      <c r="BL77" s="21"/>
      <c r="BM77" s="21"/>
      <c r="BN77" s="21"/>
      <c r="BO77" s="21"/>
      <c r="BP77" s="21"/>
      <c r="BQ77" s="21"/>
      <c r="BR77" s="21"/>
      <c r="BS77" s="21"/>
      <c r="BT77" s="21"/>
      <c r="BU77" s="21"/>
      <c r="BV77" s="21"/>
      <c r="BW77" s="21"/>
      <c r="BX77" s="21"/>
      <c r="BY77" s="21"/>
      <c r="BZ77" s="21"/>
      <c r="CA77" s="21"/>
      <c r="CB77" s="21"/>
      <c r="CC77" s="21"/>
      <c r="CD77" s="21"/>
      <c r="CE77" s="21"/>
      <c r="CF77" s="21"/>
      <c r="CG77" s="21"/>
      <c r="CH77" s="21"/>
      <c r="CI77" s="21"/>
      <c r="CJ77" s="21"/>
      <c r="CK77" s="21"/>
      <c r="CL77" s="21"/>
      <c r="CM77" s="21"/>
      <c r="CN77" s="21"/>
      <c r="CO77" s="21"/>
      <c r="CP77" s="21"/>
      <c r="CQ77" s="21"/>
      <c r="CR77" s="21"/>
      <c r="CS77" s="21"/>
      <c r="CT77" s="21"/>
      <c r="CU77" s="21"/>
      <c r="CV77" s="21"/>
      <c r="CW77" s="21"/>
      <c r="CX77" s="21"/>
      <c r="CY77" s="21"/>
      <c r="CZ77" s="21"/>
      <c r="DA77" s="21"/>
      <c r="DB77" s="21"/>
      <c r="DC77" s="21"/>
      <c r="DD77" s="21"/>
      <c r="DE77" s="21"/>
      <c r="DF77" s="21"/>
      <c r="DG77" s="21"/>
      <c r="DH77" s="21"/>
      <c r="DI77" s="21"/>
      <c r="DJ77" s="21"/>
      <c r="DK77" s="21"/>
      <c r="DL77" s="21"/>
      <c r="DM77" s="21"/>
      <c r="DN77" s="21"/>
      <c r="DO77" s="21"/>
      <c r="DP77" s="21"/>
      <c r="DQ77" s="21"/>
      <c r="DR77" s="21"/>
      <c r="DS77" s="21"/>
      <c r="DT77" s="21"/>
      <c r="DU77" s="21"/>
      <c r="DV77" s="21"/>
      <c r="DW77" s="21"/>
      <c r="DX77" s="21"/>
      <c r="DY77" s="21"/>
      <c r="DZ77" s="87"/>
      <c r="EA77" s="87"/>
      <c r="EB77" s="87"/>
      <c r="EC77" s="21"/>
      <c r="ED77" s="21"/>
      <c r="EE77" s="21"/>
      <c r="EF77" s="21"/>
      <c r="EG77" s="21"/>
      <c r="EH77" s="21"/>
      <c r="EI77" s="21"/>
      <c r="EJ77" s="21"/>
      <c r="EK77" s="21"/>
      <c r="EL77" s="21"/>
      <c r="EM77" s="21"/>
      <c r="EN77" s="21"/>
      <c r="EO77" s="21"/>
      <c r="EP77" s="21"/>
      <c r="EQ77" s="21"/>
      <c r="ER77" s="21"/>
      <c r="ES77" s="21"/>
      <c r="ET77" s="21"/>
      <c r="EU77" s="21"/>
      <c r="EV77" s="21"/>
      <c r="EW77" s="21"/>
      <c r="EX77" s="21"/>
      <c r="EY77" s="21"/>
      <c r="EZ77" s="21"/>
      <c r="FA77" s="21"/>
      <c r="FB77" s="21"/>
      <c r="FC77" s="21"/>
      <c r="FD77" s="21"/>
      <c r="FE77" s="21"/>
      <c r="FF77" s="21"/>
      <c r="FG77" s="21"/>
      <c r="FH77" s="21"/>
      <c r="FI77" s="21"/>
      <c r="FJ77" s="21"/>
      <c r="FK77" s="21"/>
      <c r="FL77" s="21"/>
      <c r="FM77" s="21"/>
      <c r="FN77" s="21"/>
      <c r="FO77" s="21"/>
      <c r="FP77" s="21"/>
      <c r="FQ77" s="21"/>
      <c r="FR77" s="21"/>
      <c r="FS77" s="21"/>
      <c r="FT77" s="21"/>
      <c r="FU77" s="21"/>
      <c r="FV77" s="21"/>
      <c r="FW77" s="21"/>
      <c r="FX77" s="21"/>
      <c r="FY77" s="21"/>
      <c r="FZ77" s="21"/>
      <c r="GA77" s="21"/>
      <c r="GB77" s="21"/>
      <c r="GC77" s="21"/>
      <c r="GD77" s="21"/>
      <c r="GE77" s="21"/>
      <c r="GF77" s="21"/>
      <c r="GG77" s="21"/>
      <c r="GH77" s="21"/>
      <c r="GI77" s="21"/>
      <c r="GJ77" s="21"/>
      <c r="GK77" s="21"/>
      <c r="GL77" s="21"/>
      <c r="GM77" s="21"/>
      <c r="GN77" s="21"/>
      <c r="GO77" s="21"/>
      <c r="GP77" s="21"/>
      <c r="GQ77" s="21"/>
      <c r="GR77" s="21"/>
      <c r="GS77" s="21"/>
      <c r="GT77" s="21"/>
      <c r="GU77" s="21"/>
      <c r="GV77" s="21"/>
      <c r="GW77" s="21"/>
      <c r="GX77" s="21"/>
      <c r="GY77" s="21"/>
      <c r="GZ77" s="21"/>
      <c r="HA77" s="21"/>
      <c r="HB77" s="21"/>
      <c r="HC77" s="21"/>
      <c r="HD77" s="21"/>
      <c r="HE77" s="21"/>
      <c r="HF77" s="21"/>
      <c r="HG77" s="21"/>
      <c r="HH77" s="21"/>
      <c r="HI77" s="21"/>
      <c r="HJ77" s="21"/>
      <c r="HK77" s="21"/>
      <c r="HL77" s="21"/>
      <c r="HM77" s="21"/>
      <c r="HN77" s="21"/>
      <c r="HO77" s="21"/>
      <c r="HP77" s="21"/>
      <c r="HQ77" s="21"/>
      <c r="HR77" s="21"/>
      <c r="HS77" s="21"/>
      <c r="HT77" s="21"/>
      <c r="HU77" s="21"/>
      <c r="HV77" s="186"/>
      <c r="HW77" s="21"/>
      <c r="HX77" s="21"/>
      <c r="HY77" s="21"/>
      <c r="HZ77" s="21"/>
      <c r="IA77" s="21"/>
      <c r="IB77" s="21"/>
      <c r="IC77" s="21"/>
      <c r="ID77" s="21"/>
      <c r="IE77" s="21"/>
      <c r="IF77" s="21"/>
      <c r="IG77" s="21"/>
      <c r="IH77" s="21"/>
      <c r="II77" s="21"/>
      <c r="IJ77" s="21"/>
      <c r="IK77" s="21"/>
      <c r="IL77" s="21"/>
      <c r="IM77" s="21"/>
      <c r="IN77" s="21"/>
      <c r="IO77" s="21"/>
      <c r="IP77" s="21"/>
      <c r="IQ77" s="21"/>
      <c r="IR77" s="21"/>
      <c r="IS77" s="21"/>
      <c r="IT77" s="21"/>
      <c r="IU77" s="21"/>
      <c r="IV77" s="21"/>
      <c r="IW77" s="21"/>
      <c r="IX77" s="21"/>
      <c r="IY77" s="21"/>
      <c r="IZ77" s="21"/>
      <c r="JA77" s="21"/>
      <c r="JB77" s="21"/>
      <c r="JC77" s="21"/>
      <c r="JD77" s="21"/>
      <c r="JE77" s="21"/>
      <c r="JF77" s="21"/>
      <c r="JG77" s="21"/>
      <c r="JH77" s="21"/>
      <c r="JI77" s="21"/>
      <c r="JJ77" s="21"/>
      <c r="JK77" s="21"/>
      <c r="JL77" s="21"/>
      <c r="JM77" s="21"/>
      <c r="JN77" s="21"/>
      <c r="JO77" s="21"/>
      <c r="JP77" s="21"/>
      <c r="JQ77" s="21"/>
      <c r="JR77" s="21"/>
      <c r="JS77" s="21"/>
      <c r="JT77" s="21"/>
      <c r="JU77" s="21"/>
      <c r="JV77" s="21"/>
      <c r="JW77" s="21"/>
      <c r="JX77" s="21"/>
      <c r="JY77" s="21"/>
      <c r="JZ77" s="21"/>
      <c r="KA77" s="21"/>
      <c r="KB77" s="21"/>
      <c r="KC77" s="21"/>
      <c r="KD77" s="21"/>
      <c r="KE77" s="21"/>
      <c r="KF77" s="21"/>
      <c r="KG77" s="21"/>
      <c r="KH77" s="21"/>
    </row>
    <row r="78" spans="1:294" ht="64.5" hidden="1" x14ac:dyDescent="0.25">
      <c r="A78" s="3" t="s">
        <v>410</v>
      </c>
      <c r="B78" s="3"/>
      <c r="C78" s="3" t="s">
        <v>121</v>
      </c>
      <c r="D78" s="1"/>
      <c r="E78" s="1"/>
      <c r="F78" s="1"/>
      <c r="G78" s="1"/>
      <c r="H78" s="1"/>
      <c r="I78" s="1"/>
      <c r="J78" s="1"/>
      <c r="K78" s="1"/>
      <c r="L78" s="360" t="str">
        <f>IF(E83=$AF$58,"KONSTRUKCJA DP-DNHBF-WSCHÓD/ZACHÓD",IF(E83=$AF$59,"KONSTRUKCJA DP-DNHKF-WSCHÓD/ZACHÓD",IF(E83=$AF$60,"KONSTRUKCJA DP-DNHWF-WSCHÓD/ZACHÓD",IF(E83=$AF$61,"KONSTRUKCJA DP-DNHKSF-WSCHÓD/ZACHÓD"))))</f>
        <v>KONSTRUKCJA DP-DNHBF-WSCHÓD/ZACHÓD</v>
      </c>
      <c r="M78" s="360"/>
      <c r="N78" s="360"/>
      <c r="O78" s="360"/>
      <c r="P78" s="360"/>
      <c r="Q78" s="360"/>
      <c r="R78" s="360"/>
      <c r="S78" s="360"/>
      <c r="T78" s="360"/>
      <c r="U78" s="360"/>
      <c r="V78" s="21"/>
      <c r="W78" s="21"/>
      <c r="X78" s="21"/>
      <c r="Y78" s="21"/>
      <c r="Z78" s="21"/>
      <c r="AA78" s="21"/>
      <c r="AB78" s="21"/>
      <c r="AC78" s="21"/>
      <c r="AD78" s="21"/>
      <c r="AE78" s="21"/>
      <c r="AF78" s="21" t="s">
        <v>1231</v>
      </c>
      <c r="AG78" s="21"/>
      <c r="AH78" s="21"/>
      <c r="AI78" s="21"/>
      <c r="AJ78" s="21"/>
      <c r="AK78" s="21"/>
      <c r="AL78" s="21"/>
      <c r="AM78" s="21"/>
      <c r="AN78" s="21"/>
      <c r="AO78" s="21"/>
      <c r="AP78" s="21"/>
      <c r="AQ78" s="21"/>
      <c r="AR78" s="21"/>
      <c r="AS78" s="21"/>
      <c r="AT78" s="21"/>
      <c r="AU78" s="21"/>
      <c r="AV78" s="21"/>
      <c r="AW78" s="21"/>
      <c r="AX78" s="21"/>
      <c r="AY78" s="21"/>
      <c r="AZ78" s="21"/>
      <c r="BA78" s="21"/>
      <c r="BB78" s="21"/>
      <c r="BC78" s="21"/>
      <c r="BD78" s="21"/>
      <c r="BE78" s="21"/>
      <c r="BF78" s="21"/>
      <c r="BG78" s="21"/>
      <c r="BH78" s="27" t="s">
        <v>1233</v>
      </c>
      <c r="BI78" s="27" t="s">
        <v>1234</v>
      </c>
      <c r="BJ78" s="21"/>
      <c r="BK78" s="21"/>
      <c r="BL78" s="21"/>
      <c r="BM78" s="21"/>
      <c r="BN78" s="21"/>
      <c r="BO78" s="21"/>
      <c r="BP78" s="21"/>
      <c r="BQ78" s="21"/>
      <c r="BR78" s="21"/>
      <c r="BS78" s="21"/>
      <c r="BT78" s="21"/>
      <c r="BU78" s="21"/>
      <c r="BV78" s="21"/>
      <c r="BW78" s="21"/>
      <c r="BX78" s="21"/>
      <c r="BY78" s="21"/>
      <c r="BZ78" s="21"/>
      <c r="CA78" s="21"/>
      <c r="CB78" s="21"/>
      <c r="CC78" s="21"/>
      <c r="CD78" s="21"/>
      <c r="CE78" s="21"/>
      <c r="CF78" s="21"/>
      <c r="CG78" s="21"/>
      <c r="CH78" s="21"/>
      <c r="CI78" s="21"/>
      <c r="CJ78" s="21"/>
      <c r="CK78" s="21"/>
      <c r="CL78" s="21"/>
      <c r="CM78" s="21"/>
      <c r="CN78" s="21"/>
      <c r="CO78" s="21"/>
      <c r="CP78" s="21"/>
      <c r="CQ78" s="21"/>
      <c r="CR78" s="21"/>
      <c r="CS78" s="21"/>
      <c r="CT78" s="21"/>
      <c r="CU78" s="21"/>
      <c r="CV78" s="21"/>
      <c r="CW78" s="21"/>
      <c r="CX78" s="21"/>
      <c r="CY78" s="21"/>
      <c r="CZ78" s="21"/>
      <c r="DA78" s="21"/>
      <c r="DB78" s="21"/>
      <c r="DC78" s="21"/>
      <c r="DD78" s="21"/>
      <c r="DE78" s="21"/>
      <c r="DF78" s="21"/>
      <c r="DG78" s="21"/>
      <c r="DH78" s="21"/>
      <c r="DI78" s="21"/>
      <c r="DJ78" s="21"/>
      <c r="DK78" s="21"/>
      <c r="DL78" s="21"/>
      <c r="DM78" s="21"/>
      <c r="DN78" s="21"/>
      <c r="DO78" s="21"/>
      <c r="DP78" s="21"/>
      <c r="DQ78" s="21"/>
      <c r="DR78" s="21"/>
      <c r="DS78" s="21"/>
      <c r="DT78" s="21"/>
      <c r="DU78" s="21"/>
      <c r="DV78" s="21"/>
      <c r="DW78" s="21"/>
      <c r="DX78" s="21"/>
      <c r="DY78" s="21"/>
      <c r="DZ78" s="87"/>
      <c r="EA78" s="87"/>
      <c r="EB78" s="87"/>
      <c r="EC78" s="21"/>
      <c r="ED78" s="21"/>
      <c r="EE78" s="21"/>
      <c r="EF78" s="21"/>
      <c r="EG78" s="21"/>
      <c r="EH78" s="21"/>
      <c r="EI78" s="21"/>
      <c r="EJ78" s="21"/>
      <c r="EK78" s="21"/>
      <c r="EL78" s="21"/>
      <c r="EM78" s="21"/>
      <c r="EN78" s="21"/>
      <c r="EO78" s="21"/>
      <c r="EP78" s="21"/>
      <c r="EQ78" s="21"/>
      <c r="ER78" s="21"/>
      <c r="ES78" s="21"/>
      <c r="ET78" s="21"/>
      <c r="EU78" s="21"/>
      <c r="EV78" s="21"/>
      <c r="EW78" s="21"/>
      <c r="EX78" s="21"/>
      <c r="EY78" s="21"/>
      <c r="EZ78" s="21"/>
      <c r="FA78" s="21"/>
      <c r="FB78" s="21"/>
      <c r="FC78" s="21"/>
      <c r="FD78" s="21"/>
      <c r="FE78" s="21"/>
      <c r="FF78" s="21"/>
      <c r="FG78" s="21"/>
      <c r="FH78" s="21"/>
      <c r="FI78" s="21"/>
      <c r="FJ78" s="21"/>
      <c r="FK78" s="21"/>
      <c r="FL78" s="21"/>
      <c r="FM78" s="21"/>
      <c r="FN78" s="21"/>
      <c r="FO78" s="21"/>
      <c r="FP78" s="21"/>
      <c r="FQ78" s="21"/>
      <c r="FR78" s="21"/>
      <c r="FS78" s="21"/>
      <c r="FT78" s="21"/>
      <c r="FU78" s="21"/>
      <c r="FV78" s="21"/>
      <c r="FW78" s="21"/>
      <c r="FX78" s="21"/>
      <c r="FY78" s="21"/>
      <c r="FZ78" s="21"/>
      <c r="GA78" s="21"/>
      <c r="GB78" s="21"/>
      <c r="GC78" s="21"/>
      <c r="GD78" s="21"/>
      <c r="GE78" s="21"/>
      <c r="GF78" s="21"/>
      <c r="GG78" s="21"/>
      <c r="GH78" s="21"/>
      <c r="GI78" s="21"/>
      <c r="GJ78" s="21"/>
      <c r="GK78" s="21"/>
      <c r="GL78" s="21"/>
      <c r="GM78" s="21"/>
      <c r="GN78" s="21"/>
      <c r="GO78" s="21"/>
      <c r="GP78" s="21"/>
      <c r="GQ78" s="21"/>
      <c r="GR78" s="21"/>
      <c r="GS78" s="21"/>
      <c r="GT78" s="21"/>
      <c r="GU78" s="21"/>
      <c r="GV78" s="21"/>
      <c r="GW78" s="21"/>
      <c r="GX78" s="21"/>
      <c r="GY78" s="21"/>
      <c r="GZ78" s="21"/>
      <c r="HA78" s="21"/>
      <c r="HB78" s="21"/>
      <c r="HC78" s="21"/>
      <c r="HD78" s="21"/>
      <c r="HE78" s="21"/>
      <c r="HF78" s="21"/>
      <c r="HG78" s="21"/>
      <c r="HH78" s="21"/>
      <c r="HI78" s="21"/>
      <c r="HJ78" s="21"/>
      <c r="HK78" s="21"/>
      <c r="HL78" s="21"/>
      <c r="HM78" s="21"/>
      <c r="HN78" s="21"/>
      <c r="HO78" s="21"/>
      <c r="HP78" s="21"/>
      <c r="HQ78" s="21"/>
      <c r="HR78" s="21"/>
      <c r="HS78" s="21"/>
      <c r="HT78" s="21"/>
      <c r="HU78" s="21"/>
      <c r="HV78" s="186"/>
      <c r="HW78" s="21"/>
      <c r="HX78" s="21"/>
      <c r="HY78" s="21"/>
      <c r="HZ78" s="21"/>
      <c r="IA78" s="21"/>
      <c r="IB78" s="21"/>
      <c r="IC78" s="21"/>
      <c r="ID78" s="21"/>
      <c r="IE78" s="21"/>
      <c r="IF78" s="21"/>
      <c r="IG78" s="21"/>
      <c r="IH78" s="21"/>
      <c r="II78" s="21"/>
      <c r="IJ78" s="21"/>
      <c r="IK78" s="21"/>
      <c r="IL78" s="21"/>
      <c r="IM78" s="21"/>
      <c r="IN78" s="21"/>
      <c r="IO78" s="21"/>
      <c r="IP78" s="21"/>
      <c r="IQ78" s="21"/>
      <c r="IR78" s="21"/>
      <c r="IS78" s="21"/>
      <c r="IT78" s="21"/>
      <c r="IU78" s="21"/>
      <c r="IV78" s="21"/>
      <c r="IW78" s="21"/>
      <c r="IX78" s="21"/>
      <c r="IY78" s="21"/>
      <c r="IZ78" s="21"/>
      <c r="JA78" s="21"/>
      <c r="JB78" s="21"/>
      <c r="JC78" s="21"/>
      <c r="JD78" s="21"/>
      <c r="JE78" s="21"/>
      <c r="JF78" s="21"/>
      <c r="JG78" s="21"/>
      <c r="JH78" s="21"/>
      <c r="JI78" s="21"/>
      <c r="JJ78" s="21"/>
      <c r="JK78" s="21"/>
      <c r="JL78" s="21"/>
      <c r="JM78" s="21"/>
      <c r="JN78" s="21"/>
      <c r="JO78" s="21"/>
      <c r="JP78" s="21"/>
      <c r="JQ78" s="21"/>
      <c r="JR78" s="21"/>
      <c r="JS78" s="21"/>
      <c r="JT78" s="21"/>
      <c r="JU78" s="21"/>
      <c r="JV78" s="21"/>
      <c r="JW78" s="21"/>
      <c r="JX78" s="21"/>
      <c r="JY78" s="21"/>
      <c r="JZ78" s="21"/>
      <c r="KA78" s="21"/>
      <c r="KB78" s="21"/>
      <c r="KC78" s="21"/>
      <c r="KD78" s="21"/>
      <c r="KE78" s="21"/>
      <c r="KF78" s="21"/>
      <c r="KG78" s="21"/>
      <c r="KH78" s="21"/>
    </row>
    <row r="79" spans="1:294" hidden="1" x14ac:dyDescent="0.25">
      <c r="A79" s="8">
        <v>10</v>
      </c>
      <c r="B79" s="5" t="s">
        <v>116</v>
      </c>
      <c r="C79" s="8">
        <v>1</v>
      </c>
      <c r="D79" s="1"/>
      <c r="E79" s="1"/>
      <c r="F79" s="1"/>
      <c r="G79" s="1"/>
      <c r="H79" s="1"/>
      <c r="I79" s="1"/>
      <c r="J79" s="1"/>
      <c r="K79" s="1"/>
      <c r="L79" s="5" t="s">
        <v>103</v>
      </c>
      <c r="M79" s="5" t="s">
        <v>104</v>
      </c>
      <c r="N79" s="5" t="s">
        <v>107</v>
      </c>
      <c r="O79" s="5" t="s">
        <v>290</v>
      </c>
      <c r="P79" s="5" t="s">
        <v>446</v>
      </c>
      <c r="Q79" s="5" t="s">
        <v>448</v>
      </c>
      <c r="R79" s="5" t="s">
        <v>409</v>
      </c>
      <c r="S79" s="5" t="s">
        <v>447</v>
      </c>
      <c r="T79" s="5" t="s">
        <v>449</v>
      </c>
      <c r="U79" s="5" t="s">
        <v>106</v>
      </c>
      <c r="V79" s="21"/>
      <c r="W79" s="21"/>
      <c r="X79" s="21"/>
      <c r="Y79" s="21"/>
      <c r="Z79" s="21"/>
      <c r="AA79" s="21"/>
      <c r="AB79" s="21"/>
      <c r="AC79" s="21"/>
      <c r="AD79" s="21"/>
      <c r="AE79" s="21"/>
      <c r="AF79" s="21" t="s">
        <v>1232</v>
      </c>
      <c r="AG79" s="21"/>
      <c r="AH79" s="21"/>
      <c r="AI79" s="21"/>
      <c r="AJ79" s="21"/>
      <c r="AK79" s="21"/>
      <c r="AL79" s="21"/>
      <c r="AM79" s="21"/>
      <c r="AN79" s="21"/>
      <c r="AO79" s="21"/>
      <c r="AP79" s="21"/>
      <c r="AQ79" s="21"/>
      <c r="AR79" s="21"/>
      <c r="AS79" s="21"/>
      <c r="AT79" s="21"/>
      <c r="AU79" s="21"/>
      <c r="AV79" s="21"/>
      <c r="AW79" s="21"/>
      <c r="AX79" s="21"/>
      <c r="AY79" s="21"/>
      <c r="AZ79" s="21"/>
      <c r="BA79" s="21"/>
      <c r="BB79" s="21"/>
      <c r="BC79" s="21"/>
      <c r="BD79" s="21"/>
      <c r="BE79" s="21"/>
      <c r="BF79" s="21"/>
      <c r="BG79" s="21"/>
      <c r="BH79" s="21">
        <f>IF(A79=0,0,IF(A79&gt;0,(A79/2+1)*C79))</f>
        <v>6</v>
      </c>
      <c r="BI79" s="21">
        <f>IF(A79=0,0,IF(A79&gt;0,(A79/2*2)*C79))</f>
        <v>10</v>
      </c>
      <c r="BJ79" s="21"/>
      <c r="BK79" s="21"/>
      <c r="BL79" s="21"/>
      <c r="BM79" s="21"/>
      <c r="BN79" s="21"/>
      <c r="BO79" s="21"/>
      <c r="BP79" s="21"/>
      <c r="BQ79" s="21"/>
      <c r="BR79" s="21"/>
      <c r="BS79" s="21"/>
      <c r="BT79" s="21"/>
      <c r="BU79" s="21"/>
      <c r="BV79" s="21"/>
      <c r="BW79" s="21"/>
      <c r="BX79" s="21"/>
      <c r="BY79" s="21"/>
      <c r="BZ79" s="21"/>
      <c r="CA79" s="21"/>
      <c r="CB79" s="21"/>
      <c r="CC79" s="21"/>
      <c r="CD79" s="21"/>
      <c r="CE79" s="21"/>
      <c r="CF79" s="21"/>
      <c r="CG79" s="21"/>
      <c r="CH79" s="21"/>
      <c r="CI79" s="21"/>
      <c r="CJ79" s="21"/>
      <c r="CK79" s="21"/>
      <c r="CL79" s="21"/>
      <c r="CM79" s="21"/>
      <c r="CN79" s="21"/>
      <c r="CO79" s="21"/>
      <c r="CP79" s="21"/>
      <c r="CQ79" s="21"/>
      <c r="CR79" s="21"/>
      <c r="CS79" s="21"/>
      <c r="CT79" s="21"/>
      <c r="CU79" s="21"/>
      <c r="CV79" s="21"/>
      <c r="CW79" s="21"/>
      <c r="CX79" s="21"/>
      <c r="CY79" s="21"/>
      <c r="CZ79" s="21"/>
      <c r="DA79" s="21"/>
      <c r="DB79" s="21"/>
      <c r="DC79" s="21"/>
      <c r="DD79" s="21"/>
      <c r="DE79" s="21"/>
      <c r="DF79" s="21"/>
      <c r="DG79" s="21"/>
      <c r="DH79" s="21"/>
      <c r="DI79" s="21"/>
      <c r="DJ79" s="21"/>
      <c r="DK79" s="21"/>
      <c r="DL79" s="21"/>
      <c r="DM79" s="21"/>
      <c r="DN79" s="21"/>
      <c r="DO79" s="21"/>
      <c r="DP79" s="21"/>
      <c r="DQ79" s="21"/>
      <c r="DR79" s="21"/>
      <c r="DS79" s="21"/>
      <c r="DT79" s="21"/>
      <c r="DU79" s="21"/>
      <c r="DV79" s="21"/>
      <c r="DW79" s="21"/>
      <c r="DX79" s="21"/>
      <c r="DY79" s="21"/>
      <c r="DZ79" s="87"/>
      <c r="EA79" s="87"/>
      <c r="EB79" s="87"/>
      <c r="EC79" s="21"/>
      <c r="ED79" s="21"/>
      <c r="EE79" s="21"/>
      <c r="EF79" s="21"/>
      <c r="EG79" s="21"/>
      <c r="EH79" s="21"/>
      <c r="EI79" s="21"/>
      <c r="EJ79" s="21"/>
      <c r="EK79" s="21"/>
      <c r="EL79" s="21"/>
      <c r="EM79" s="21"/>
      <c r="EN79" s="21"/>
      <c r="EO79" s="21"/>
      <c r="EP79" s="21"/>
      <c r="EQ79" s="21"/>
      <c r="ER79" s="21"/>
      <c r="ES79" s="21"/>
      <c r="ET79" s="21"/>
      <c r="EU79" s="21"/>
      <c r="EV79" s="21"/>
      <c r="EW79" s="21"/>
      <c r="EX79" s="21"/>
      <c r="EY79" s="21"/>
      <c r="EZ79" s="21"/>
      <c r="FA79" s="21"/>
      <c r="FB79" s="21"/>
      <c r="FC79" s="21"/>
      <c r="FD79" s="21"/>
      <c r="FE79" s="21"/>
      <c r="FF79" s="21"/>
      <c r="FG79" s="21"/>
      <c r="FH79" s="21"/>
      <c r="FI79" s="21"/>
      <c r="FJ79" s="21"/>
      <c r="FK79" s="21"/>
      <c r="FL79" s="21"/>
      <c r="FM79" s="21"/>
      <c r="FN79" s="21"/>
      <c r="FO79" s="21"/>
      <c r="FP79" s="21"/>
      <c r="FQ79" s="21"/>
      <c r="FR79" s="21"/>
      <c r="FS79" s="21"/>
      <c r="FT79" s="21"/>
      <c r="FU79" s="21"/>
      <c r="FV79" s="21"/>
      <c r="FW79" s="21"/>
      <c r="FX79" s="21"/>
      <c r="FY79" s="21"/>
      <c r="FZ79" s="21"/>
      <c r="GA79" s="21"/>
      <c r="GB79" s="21"/>
      <c r="GC79" s="21"/>
      <c r="GD79" s="21"/>
      <c r="GE79" s="21"/>
      <c r="GF79" s="21"/>
      <c r="GG79" s="21"/>
      <c r="GH79" s="21"/>
      <c r="GI79" s="21"/>
      <c r="GJ79" s="21"/>
      <c r="GK79" s="21"/>
      <c r="GL79" s="21"/>
      <c r="GM79" s="21"/>
      <c r="GN79" s="21"/>
      <c r="GO79" s="21"/>
      <c r="GP79" s="21"/>
      <c r="GQ79" s="21"/>
      <c r="GR79" s="21"/>
      <c r="GS79" s="21"/>
      <c r="GT79" s="21"/>
      <c r="GU79" s="21"/>
      <c r="GV79" s="21"/>
      <c r="GW79" s="21"/>
      <c r="GX79" s="21"/>
      <c r="GY79" s="21"/>
      <c r="GZ79" s="21"/>
      <c r="HA79" s="21"/>
      <c r="HB79" s="21"/>
      <c r="HC79" s="21"/>
      <c r="HD79" s="21"/>
      <c r="HE79" s="21"/>
      <c r="HF79" s="21"/>
      <c r="HG79" s="21"/>
      <c r="HH79" s="21"/>
      <c r="HI79" s="21"/>
      <c r="HJ79" s="21"/>
      <c r="HK79" s="21"/>
      <c r="HL79" s="21"/>
      <c r="HM79" s="21"/>
      <c r="HN79" s="21"/>
      <c r="HO79" s="21"/>
      <c r="HP79" s="21"/>
      <c r="HQ79" s="21"/>
      <c r="HR79" s="21"/>
      <c r="HS79" s="21"/>
      <c r="HT79" s="21"/>
      <c r="HU79" s="21"/>
      <c r="HV79" s="186"/>
      <c r="HW79" s="21"/>
      <c r="HX79" s="21"/>
      <c r="HY79" s="21"/>
      <c r="HZ79" s="21"/>
      <c r="IA79" s="21"/>
      <c r="IB79" s="21"/>
      <c r="IC79" s="21"/>
      <c r="ID79" s="21"/>
      <c r="IE79" s="21"/>
      <c r="IF79" s="21"/>
      <c r="IG79" s="21"/>
      <c r="IH79" s="21"/>
      <c r="II79" s="21"/>
      <c r="IJ79" s="21"/>
      <c r="IK79" s="21"/>
      <c r="IL79" s="21"/>
      <c r="IM79" s="21"/>
      <c r="IN79" s="21"/>
      <c r="IO79" s="21"/>
      <c r="IP79" s="21"/>
      <c r="IQ79" s="21"/>
      <c r="IR79" s="21"/>
      <c r="IS79" s="21"/>
      <c r="IT79" s="21"/>
      <c r="IU79" s="21"/>
      <c r="IV79" s="21"/>
      <c r="IW79" s="21"/>
      <c r="IX79" s="21"/>
      <c r="IY79" s="21"/>
      <c r="IZ79" s="21"/>
      <c r="JA79" s="21"/>
      <c r="JB79" s="21"/>
      <c r="JC79" s="21"/>
      <c r="JD79" s="21"/>
      <c r="JE79" s="21"/>
      <c r="JF79" s="21"/>
      <c r="JG79" s="21"/>
      <c r="JH79" s="21"/>
      <c r="JI79" s="21"/>
      <c r="JJ79" s="21"/>
      <c r="JK79" s="21"/>
      <c r="JL79" s="21"/>
      <c r="JM79" s="21"/>
      <c r="JN79" s="21"/>
      <c r="JO79" s="21"/>
      <c r="JP79" s="21"/>
      <c r="JQ79" s="21"/>
      <c r="JR79" s="21"/>
      <c r="JS79" s="21"/>
      <c r="JT79" s="21"/>
      <c r="JU79" s="21"/>
      <c r="JV79" s="21"/>
      <c r="JW79" s="21"/>
      <c r="JX79" s="21"/>
      <c r="JY79" s="21"/>
      <c r="JZ79" s="21"/>
      <c r="KA79" s="21"/>
      <c r="KB79" s="21"/>
      <c r="KC79" s="21"/>
      <c r="KD79" s="21"/>
      <c r="KE79" s="21"/>
      <c r="KF79" s="21"/>
      <c r="KG79" s="21"/>
      <c r="KH79" s="21"/>
    </row>
    <row r="80" spans="1:294" hidden="1" x14ac:dyDescent="0.25">
      <c r="A80" s="8"/>
      <c r="B80" s="5" t="s">
        <v>116</v>
      </c>
      <c r="C80" s="8"/>
      <c r="D80" s="6" t="s">
        <v>118</v>
      </c>
      <c r="E80" s="8" t="s">
        <v>113</v>
      </c>
      <c r="F80" s="5" t="s">
        <v>116</v>
      </c>
      <c r="G80" s="8" t="s">
        <v>114</v>
      </c>
      <c r="H80" s="5" t="s">
        <v>116</v>
      </c>
      <c r="I80" s="8">
        <v>30</v>
      </c>
      <c r="J80" s="5" t="s">
        <v>119</v>
      </c>
      <c r="K80" s="1"/>
      <c r="L80" s="5" t="s">
        <v>1251</v>
      </c>
      <c r="M80" s="11" t="e">
        <f>INDEX(cennik!$C$2:$L$529,MATCH($L80,cennik!$B$2:$B$522,0),MATCH(M$53,cennik!$C$1:$L$1,0))</f>
        <v>#N/A</v>
      </c>
      <c r="N80" s="11" t="e">
        <f>INDEX(cennik!$C$2:$L$529,MATCH($L80,cennik!$B$2:$B$522,0),MATCH(N$53,cennik!$C$1:$L$1,0))</f>
        <v>#N/A</v>
      </c>
      <c r="O80" s="14">
        <f>IF(E81=AF79,SUM(BI79:BI94),IF(E81=AF78,SUM(BH79:BH94),0))</f>
        <v>6</v>
      </c>
      <c r="P80" s="11" t="e">
        <f>INDEX(cennik!$C$2:$L$529,MATCH($L80,cennik!$B$2:$B$522,0),MATCH(P$53,cennik!$C$1:$L$1,0))</f>
        <v>#N/A</v>
      </c>
      <c r="Q80" s="14" t="e">
        <f>O80*P80</f>
        <v>#N/A</v>
      </c>
      <c r="R80" s="14">
        <f t="shared" ref="R80:R99" si="25">$E$88</f>
        <v>0</v>
      </c>
      <c r="S80" s="34" t="e">
        <f t="shared" ref="S80:S99" si="26">P80*((100-$E$88)/100)</f>
        <v>#N/A</v>
      </c>
      <c r="T80" s="14" t="e">
        <f>O80*S80</f>
        <v>#N/A</v>
      </c>
      <c r="U80" s="34" t="e">
        <f>INDEX(cennik!$C$2:$L$529,MATCH($L80,cennik!$B$2:$B$522,0),MATCH(U$53,cennik!$C$1:$L$1,0))*O80</f>
        <v>#N/A</v>
      </c>
      <c r="V80" s="21"/>
      <c r="W80" s="21"/>
      <c r="X80" s="21"/>
      <c r="Y80" s="21"/>
      <c r="Z80" s="21"/>
      <c r="AA80" s="21"/>
      <c r="AB80" s="21"/>
      <c r="AC80" s="21"/>
      <c r="AD80" s="21"/>
      <c r="AE80" s="21"/>
      <c r="AF80" s="21"/>
      <c r="AG80" s="21"/>
      <c r="AH80" s="21"/>
      <c r="AI80" s="21"/>
      <c r="AJ80" s="21"/>
      <c r="AK80" s="21"/>
      <c r="AL80" s="21"/>
      <c r="AM80" s="21"/>
      <c r="AN80" s="21"/>
      <c r="AO80" s="21"/>
      <c r="AP80" s="21"/>
      <c r="AQ80" s="21"/>
      <c r="AR80" s="21"/>
      <c r="AS80" s="21"/>
      <c r="AT80" s="21"/>
      <c r="AU80" s="21"/>
      <c r="AV80" s="21"/>
      <c r="AW80" s="21"/>
      <c r="AX80" s="21"/>
      <c r="AY80" s="21"/>
      <c r="AZ80" s="21"/>
      <c r="BA80" s="21"/>
      <c r="BB80" s="21"/>
      <c r="BC80" s="21"/>
      <c r="BD80" s="21"/>
      <c r="BE80" s="21"/>
      <c r="BF80" s="21"/>
      <c r="BG80" s="21"/>
      <c r="BH80" s="21">
        <f t="shared" ref="BH80:BH93" si="27">IF(A80=0,0,IF(A80&gt;0,(A80+1)*C80))</f>
        <v>0</v>
      </c>
      <c r="BI80" s="21">
        <f t="shared" ref="BI80:BI94" si="28">IF(A80=0,0,IF(A80&gt;0,(A80*2)*C80))</f>
        <v>0</v>
      </c>
      <c r="BJ80" s="21"/>
      <c r="BK80" s="21"/>
      <c r="BL80" s="21"/>
      <c r="BM80" s="21"/>
      <c r="BN80" s="21"/>
      <c r="BO80" s="21"/>
      <c r="BP80" s="21"/>
      <c r="BQ80" s="21"/>
      <c r="BR80" s="21"/>
      <c r="BS80" s="21"/>
      <c r="BT80" s="21"/>
      <c r="BU80" s="21"/>
      <c r="BV80" s="21"/>
      <c r="BW80" s="21"/>
      <c r="BX80" s="21"/>
      <c r="BY80" s="21"/>
      <c r="BZ80" s="21"/>
      <c r="CA80" s="21"/>
      <c r="CB80" s="21"/>
      <c r="CC80" s="21"/>
      <c r="CD80" s="21"/>
      <c r="CE80" s="21"/>
      <c r="CF80" s="21"/>
      <c r="CG80" s="21"/>
      <c r="CH80" s="21"/>
      <c r="CI80" s="21"/>
      <c r="CJ80" s="21"/>
      <c r="CK80" s="21"/>
      <c r="CL80" s="21"/>
      <c r="CM80" s="21"/>
      <c r="CN80" s="21"/>
      <c r="CO80" s="21"/>
      <c r="CP80" s="21"/>
      <c r="CQ80" s="21"/>
      <c r="CR80" s="21"/>
      <c r="CS80" s="21"/>
      <c r="CT80" s="21"/>
      <c r="CU80" s="21"/>
      <c r="CV80" s="21"/>
      <c r="CW80" s="21"/>
      <c r="CX80" s="21"/>
      <c r="CY80" s="21"/>
      <c r="CZ80" s="21"/>
      <c r="DA80" s="21"/>
      <c r="DB80" s="21"/>
      <c r="DC80" s="21"/>
      <c r="DD80" s="21"/>
      <c r="DE80" s="21"/>
      <c r="DF80" s="21"/>
      <c r="DG80" s="21"/>
      <c r="DH80" s="21"/>
      <c r="DI80" s="21"/>
      <c r="DJ80" s="21"/>
      <c r="DK80" s="21"/>
      <c r="DL80" s="21"/>
      <c r="DM80" s="21"/>
      <c r="DN80" s="21"/>
      <c r="DO80" s="21"/>
      <c r="DP80" s="21"/>
      <c r="DQ80" s="21"/>
      <c r="DR80" s="21"/>
      <c r="DS80" s="21"/>
      <c r="DT80" s="21"/>
      <c r="DU80" s="21"/>
      <c r="DV80" s="21"/>
      <c r="DW80" s="21"/>
      <c r="DX80" s="21"/>
      <c r="DY80" s="21"/>
      <c r="DZ80" s="87"/>
      <c r="EA80" s="87"/>
      <c r="EB80" s="87"/>
      <c r="EC80" s="21"/>
      <c r="ED80" s="21"/>
      <c r="EE80" s="21"/>
      <c r="EF80" s="21"/>
      <c r="EG80" s="21"/>
      <c r="EH80" s="21"/>
      <c r="EI80" s="21"/>
      <c r="EJ80" s="21"/>
      <c r="EK80" s="21"/>
      <c r="EL80" s="21"/>
      <c r="EM80" s="21"/>
      <c r="EN80" s="21"/>
      <c r="EO80" s="21"/>
      <c r="EP80" s="21"/>
      <c r="EQ80" s="21"/>
      <c r="ER80" s="21"/>
      <c r="ES80" s="21"/>
      <c r="ET80" s="21"/>
      <c r="EU80" s="21"/>
      <c r="EV80" s="21"/>
      <c r="EW80" s="21"/>
      <c r="EX80" s="21"/>
      <c r="EY80" s="21"/>
      <c r="EZ80" s="21"/>
      <c r="FA80" s="21"/>
      <c r="FB80" s="21"/>
      <c r="FC80" s="21"/>
      <c r="FD80" s="21"/>
      <c r="FE80" s="21"/>
      <c r="FF80" s="21"/>
      <c r="FG80" s="21"/>
      <c r="FH80" s="21"/>
      <c r="FI80" s="21"/>
      <c r="FJ80" s="21"/>
      <c r="FK80" s="21"/>
      <c r="FL80" s="21"/>
      <c r="FM80" s="21"/>
      <c r="FN80" s="21"/>
      <c r="FO80" s="21"/>
      <c r="FP80" s="21"/>
      <c r="FQ80" s="21"/>
      <c r="FR80" s="21"/>
      <c r="FS80" s="21"/>
      <c r="FT80" s="21"/>
      <c r="FU80" s="21"/>
      <c r="FV80" s="21"/>
      <c r="FW80" s="21"/>
      <c r="FX80" s="21"/>
      <c r="FY80" s="21"/>
      <c r="FZ80" s="21"/>
      <c r="GA80" s="21"/>
      <c r="GB80" s="21"/>
      <c r="GC80" s="21"/>
      <c r="GD80" s="21"/>
      <c r="GE80" s="21"/>
      <c r="GF80" s="21"/>
      <c r="GG80" s="21"/>
      <c r="GH80" s="21"/>
      <c r="GI80" s="21"/>
      <c r="GJ80" s="21"/>
      <c r="GK80" s="21"/>
      <c r="GL80" s="21"/>
      <c r="GM80" s="21"/>
      <c r="GN80" s="21"/>
      <c r="GO80" s="21"/>
      <c r="GP80" s="21"/>
      <c r="GQ80" s="21"/>
      <c r="GR80" s="21"/>
      <c r="GS80" s="21"/>
      <c r="GT80" s="21"/>
      <c r="GU80" s="21"/>
      <c r="GV80" s="21"/>
      <c r="GW80" s="21"/>
      <c r="GX80" s="21"/>
      <c r="GY80" s="21"/>
      <c r="GZ80" s="21"/>
      <c r="HA80" s="21"/>
      <c r="HB80" s="21"/>
      <c r="HC80" s="21"/>
      <c r="HD80" s="21"/>
      <c r="HE80" s="21"/>
      <c r="HF80" s="21"/>
      <c r="HG80" s="21"/>
      <c r="HH80" s="21"/>
      <c r="HI80" s="21"/>
      <c r="HJ80" s="21"/>
      <c r="HK80" s="21"/>
      <c r="HL80" s="21"/>
      <c r="HM80" s="21"/>
      <c r="HN80" s="21"/>
      <c r="HO80" s="21"/>
      <c r="HP80" s="21"/>
      <c r="HQ80" s="21"/>
      <c r="HR80" s="21"/>
      <c r="HS80" s="21"/>
      <c r="HT80" s="21"/>
      <c r="HU80" s="21"/>
      <c r="HV80" s="186"/>
      <c r="HW80" s="21"/>
      <c r="HX80" s="21"/>
      <c r="HY80" s="21"/>
      <c r="HZ80" s="21"/>
      <c r="IA80" s="21"/>
      <c r="IB80" s="21"/>
      <c r="IC80" s="21"/>
      <c r="ID80" s="21"/>
      <c r="IE80" s="21"/>
      <c r="IF80" s="21"/>
      <c r="IG80" s="21"/>
      <c r="IH80" s="21"/>
      <c r="II80" s="21"/>
      <c r="IJ80" s="21"/>
      <c r="IK80" s="21"/>
      <c r="IL80" s="21"/>
      <c r="IM80" s="21"/>
      <c r="IN80" s="21"/>
      <c r="IO80" s="21"/>
      <c r="IP80" s="21"/>
      <c r="IQ80" s="21"/>
      <c r="IR80" s="21"/>
      <c r="IS80" s="21"/>
      <c r="IT80" s="21"/>
      <c r="IU80" s="21"/>
      <c r="IV80" s="21"/>
      <c r="IW80" s="21"/>
      <c r="IX80" s="21"/>
      <c r="IY80" s="21"/>
      <c r="IZ80" s="21"/>
      <c r="JA80" s="21"/>
      <c r="JB80" s="21"/>
      <c r="JC80" s="21"/>
      <c r="JD80" s="21"/>
      <c r="JE80" s="21"/>
      <c r="JF80" s="21"/>
      <c r="JG80" s="21"/>
      <c r="JH80" s="21"/>
      <c r="JI80" s="21"/>
      <c r="JJ80" s="21"/>
      <c r="JK80" s="21"/>
      <c r="JL80" s="21"/>
      <c r="JM80" s="21"/>
      <c r="JN80" s="21"/>
      <c r="JO80" s="21"/>
      <c r="JP80" s="21"/>
      <c r="JQ80" s="21"/>
      <c r="JR80" s="21"/>
      <c r="JS80" s="21"/>
      <c r="JT80" s="21"/>
      <c r="JU80" s="21"/>
      <c r="JV80" s="21"/>
      <c r="JW80" s="21"/>
      <c r="JX80" s="21"/>
      <c r="JY80" s="21"/>
      <c r="JZ80" s="21"/>
      <c r="KA80" s="21"/>
      <c r="KB80" s="21"/>
      <c r="KC80" s="21"/>
      <c r="KD80" s="21"/>
      <c r="KE80" s="21"/>
      <c r="KF80" s="21"/>
      <c r="KG80" s="21"/>
      <c r="KH80" s="21"/>
    </row>
    <row r="81" spans="1:294" hidden="1" x14ac:dyDescent="0.25">
      <c r="A81" s="8"/>
      <c r="B81" s="5" t="s">
        <v>116</v>
      </c>
      <c r="C81" s="8"/>
      <c r="D81" s="6" t="s">
        <v>1203</v>
      </c>
      <c r="E81" s="33" t="s">
        <v>1231</v>
      </c>
      <c r="F81" s="1"/>
      <c r="G81" s="1"/>
      <c r="H81" s="1"/>
      <c r="I81" s="1"/>
      <c r="J81" s="1"/>
      <c r="K81" s="1"/>
      <c r="L81" s="5" t="s">
        <v>1252</v>
      </c>
      <c r="M81" s="11" t="e">
        <f>INDEX(cennik!$C$2:$L$529,MATCH($L81,cennik!$B$2:$B$522,0),MATCH(M$53,cennik!$C$1:$L$1,0))</f>
        <v>#N/A</v>
      </c>
      <c r="N81" s="11" t="e">
        <f>INDEX(cennik!$C$2:$L$529,MATCH($L81,cennik!$B$2:$B$522,0),MATCH(N$53,cennik!$C$1:$L$1,0))</f>
        <v>#N/A</v>
      </c>
      <c r="O81" s="14">
        <f>O80</f>
        <v>6</v>
      </c>
      <c r="P81" s="11" t="e">
        <f>INDEX(cennik!$C$2:$L$529,MATCH($L81,cennik!$B$2:$B$522,0),MATCH(P$53,cennik!$C$1:$L$1,0))</f>
        <v>#N/A</v>
      </c>
      <c r="Q81" s="14" t="e">
        <f t="shared" ref="Q81:Q98" si="29">O81*P81</f>
        <v>#N/A</v>
      </c>
      <c r="R81" s="14">
        <f t="shared" si="25"/>
        <v>0</v>
      </c>
      <c r="S81" s="34" t="e">
        <f t="shared" si="26"/>
        <v>#N/A</v>
      </c>
      <c r="T81" s="14" t="e">
        <f t="shared" ref="T81:T99" si="30">O81*S81</f>
        <v>#N/A</v>
      </c>
      <c r="U81" s="34" t="e">
        <f>INDEX(cennik!$C$2:$L$529,MATCH($L81,cennik!$B$2:$B$522,0),MATCH(U$53,cennik!$C$1:$L$1,0))*O81</f>
        <v>#N/A</v>
      </c>
      <c r="V81" s="21"/>
      <c r="W81" s="21"/>
      <c r="X81" s="21"/>
      <c r="Y81" s="21"/>
      <c r="Z81" s="21"/>
      <c r="AA81" s="21"/>
      <c r="AB81" s="21"/>
      <c r="AC81" s="21"/>
      <c r="AD81" s="21"/>
      <c r="AE81" s="21"/>
      <c r="AF81" s="21"/>
      <c r="AG81" s="21"/>
      <c r="AH81" s="21"/>
      <c r="AI81" s="21"/>
      <c r="AJ81" s="21"/>
      <c r="AK81" s="21"/>
      <c r="AL81" s="21"/>
      <c r="AM81" s="21"/>
      <c r="AN81" s="21"/>
      <c r="AO81" s="21"/>
      <c r="AP81" s="21"/>
      <c r="AQ81" s="21"/>
      <c r="AR81" s="21"/>
      <c r="AS81" s="21"/>
      <c r="AT81" s="21"/>
      <c r="AU81" s="21"/>
      <c r="AV81" s="21"/>
      <c r="AW81" s="21"/>
      <c r="AX81" s="21"/>
      <c r="AY81" s="21"/>
      <c r="AZ81" s="21"/>
      <c r="BA81" s="21"/>
      <c r="BB81" s="21"/>
      <c r="BC81" s="21"/>
      <c r="BD81" s="21"/>
      <c r="BE81" s="21"/>
      <c r="BF81" s="21"/>
      <c r="BG81" s="21"/>
      <c r="BH81" s="21">
        <f t="shared" si="27"/>
        <v>0</v>
      </c>
      <c r="BI81" s="21">
        <f t="shared" si="28"/>
        <v>0</v>
      </c>
      <c r="BJ81" s="21"/>
      <c r="BK81" s="21"/>
      <c r="BL81" s="21"/>
      <c r="BM81" s="21"/>
      <c r="BN81" s="21"/>
      <c r="BO81" s="21"/>
      <c r="BP81" s="21"/>
      <c r="BQ81" s="21"/>
      <c r="BR81" s="21"/>
      <c r="BS81" s="21"/>
      <c r="BT81" s="21"/>
      <c r="BU81" s="21"/>
      <c r="BV81" s="21"/>
      <c r="BW81" s="21"/>
      <c r="BX81" s="21"/>
      <c r="BY81" s="21"/>
      <c r="BZ81" s="21"/>
      <c r="CA81" s="21"/>
      <c r="CB81" s="21"/>
      <c r="CC81" s="21"/>
      <c r="CD81" s="21"/>
      <c r="CE81" s="21"/>
      <c r="CF81" s="21"/>
      <c r="CG81" s="21"/>
      <c r="CH81" s="21"/>
      <c r="CI81" s="21"/>
      <c r="CJ81" s="21"/>
      <c r="CK81" s="21"/>
      <c r="CL81" s="21"/>
      <c r="CM81" s="21"/>
      <c r="CN81" s="21"/>
      <c r="CO81" s="21"/>
      <c r="CP81" s="21"/>
      <c r="CQ81" s="21"/>
      <c r="CR81" s="21"/>
      <c r="CS81" s="21"/>
      <c r="CT81" s="21"/>
      <c r="CU81" s="21"/>
      <c r="CV81" s="21"/>
      <c r="CW81" s="21"/>
      <c r="CX81" s="21"/>
      <c r="CY81" s="21"/>
      <c r="CZ81" s="21"/>
      <c r="DA81" s="21"/>
      <c r="DB81" s="21"/>
      <c r="DC81" s="21"/>
      <c r="DD81" s="21"/>
      <c r="DE81" s="21"/>
      <c r="DF81" s="21"/>
      <c r="DG81" s="21"/>
      <c r="DH81" s="21"/>
      <c r="DI81" s="21"/>
      <c r="DJ81" s="21"/>
      <c r="DK81" s="21"/>
      <c r="DL81" s="21"/>
      <c r="DM81" s="21"/>
      <c r="DN81" s="21"/>
      <c r="DO81" s="21"/>
      <c r="DP81" s="21"/>
      <c r="DQ81" s="21"/>
      <c r="DR81" s="21"/>
      <c r="DS81" s="21"/>
      <c r="DT81" s="21"/>
      <c r="DU81" s="21"/>
      <c r="DV81" s="21"/>
      <c r="DW81" s="21"/>
      <c r="DX81" s="21"/>
      <c r="DY81" s="21"/>
      <c r="DZ81" s="87"/>
      <c r="EA81" s="87"/>
      <c r="EB81" s="87"/>
      <c r="EC81" s="21"/>
      <c r="ED81" s="21"/>
      <c r="EE81" s="21"/>
      <c r="EF81" s="21"/>
      <c r="EG81" s="21"/>
      <c r="EH81" s="21"/>
      <c r="EI81" s="21"/>
      <c r="EJ81" s="21"/>
      <c r="EK81" s="21"/>
      <c r="EL81" s="21"/>
      <c r="EM81" s="21"/>
      <c r="EN81" s="21"/>
      <c r="EO81" s="21"/>
      <c r="EP81" s="21"/>
      <c r="EQ81" s="21"/>
      <c r="ER81" s="21"/>
      <c r="ES81" s="21"/>
      <c r="ET81" s="21"/>
      <c r="EU81" s="21"/>
      <c r="EV81" s="21"/>
      <c r="EW81" s="21"/>
      <c r="EX81" s="21"/>
      <c r="EY81" s="21"/>
      <c r="EZ81" s="21"/>
      <c r="FA81" s="21"/>
      <c r="FB81" s="21"/>
      <c r="FC81" s="21"/>
      <c r="FD81" s="21"/>
      <c r="FE81" s="21"/>
      <c r="FF81" s="21"/>
      <c r="FG81" s="21"/>
      <c r="FH81" s="21"/>
      <c r="FI81" s="21"/>
      <c r="FJ81" s="21"/>
      <c r="FK81" s="21"/>
      <c r="FL81" s="21"/>
      <c r="FM81" s="21"/>
      <c r="FN81" s="21"/>
      <c r="FO81" s="21"/>
      <c r="FP81" s="21"/>
      <c r="FQ81" s="21"/>
      <c r="FR81" s="21"/>
      <c r="FS81" s="21"/>
      <c r="FT81" s="21"/>
      <c r="FU81" s="21"/>
      <c r="FV81" s="21"/>
      <c r="FW81" s="21"/>
      <c r="FX81" s="21"/>
      <c r="FY81" s="21"/>
      <c r="FZ81" s="21"/>
      <c r="GA81" s="21"/>
      <c r="GB81" s="21"/>
      <c r="GC81" s="21"/>
      <c r="GD81" s="21"/>
      <c r="GE81" s="21"/>
      <c r="GF81" s="21"/>
      <c r="GG81" s="21"/>
      <c r="GH81" s="21"/>
      <c r="GI81" s="21"/>
      <c r="GJ81" s="21"/>
      <c r="GK81" s="21"/>
      <c r="GL81" s="21"/>
      <c r="GM81" s="21"/>
      <c r="GN81" s="21"/>
      <c r="GO81" s="21"/>
      <c r="GP81" s="21"/>
      <c r="GQ81" s="21"/>
      <c r="GR81" s="21"/>
      <c r="GS81" s="21"/>
      <c r="GT81" s="21"/>
      <c r="GU81" s="21"/>
      <c r="GV81" s="21"/>
      <c r="GW81" s="21"/>
      <c r="GX81" s="21"/>
      <c r="GY81" s="21"/>
      <c r="GZ81" s="21"/>
      <c r="HA81" s="21"/>
      <c r="HB81" s="21"/>
      <c r="HC81" s="21"/>
      <c r="HD81" s="21"/>
      <c r="HE81" s="21"/>
      <c r="HF81" s="21"/>
      <c r="HG81" s="21"/>
      <c r="HH81" s="21"/>
      <c r="HI81" s="21"/>
      <c r="HJ81" s="21"/>
      <c r="HK81" s="21"/>
      <c r="HL81" s="21"/>
      <c r="HM81" s="21"/>
      <c r="HN81" s="21"/>
      <c r="HO81" s="21"/>
      <c r="HP81" s="21"/>
      <c r="HQ81" s="21"/>
      <c r="HR81" s="21"/>
      <c r="HS81" s="21"/>
      <c r="HT81" s="21"/>
      <c r="HU81" s="21"/>
      <c r="HV81" s="186"/>
      <c r="HW81" s="21"/>
      <c r="HX81" s="21"/>
      <c r="HY81" s="21"/>
      <c r="HZ81" s="21"/>
      <c r="IA81" s="21"/>
      <c r="IB81" s="21"/>
      <c r="IC81" s="21"/>
      <c r="ID81" s="21"/>
      <c r="IE81" s="21"/>
      <c r="IF81" s="21"/>
      <c r="IG81" s="21"/>
      <c r="IH81" s="21"/>
      <c r="II81" s="21"/>
      <c r="IJ81" s="21"/>
      <c r="IK81" s="21"/>
      <c r="IL81" s="21"/>
      <c r="IM81" s="21"/>
      <c r="IN81" s="21"/>
      <c r="IO81" s="21"/>
      <c r="IP81" s="21"/>
      <c r="IQ81" s="21"/>
      <c r="IR81" s="21"/>
      <c r="IS81" s="21"/>
      <c r="IT81" s="21"/>
      <c r="IU81" s="21"/>
      <c r="IV81" s="21"/>
      <c r="IW81" s="21"/>
      <c r="IX81" s="21"/>
      <c r="IY81" s="21"/>
      <c r="IZ81" s="21"/>
      <c r="JA81" s="21"/>
      <c r="JB81" s="21"/>
      <c r="JC81" s="21"/>
      <c r="JD81" s="21"/>
      <c r="JE81" s="21"/>
      <c r="JF81" s="21"/>
      <c r="JG81" s="21"/>
      <c r="JH81" s="21"/>
      <c r="JI81" s="21"/>
      <c r="JJ81" s="21"/>
      <c r="JK81" s="21"/>
      <c r="JL81" s="21"/>
      <c r="JM81" s="21"/>
      <c r="JN81" s="21"/>
      <c r="JO81" s="21"/>
      <c r="JP81" s="21"/>
      <c r="JQ81" s="21"/>
      <c r="JR81" s="21"/>
      <c r="JS81" s="21"/>
      <c r="JT81" s="21"/>
      <c r="JU81" s="21"/>
      <c r="JV81" s="21"/>
      <c r="JW81" s="21"/>
      <c r="JX81" s="21"/>
      <c r="JY81" s="21"/>
      <c r="JZ81" s="21"/>
      <c r="KA81" s="21"/>
      <c r="KB81" s="21"/>
      <c r="KC81" s="21"/>
      <c r="KD81" s="21"/>
      <c r="KE81" s="21"/>
      <c r="KF81" s="21"/>
      <c r="KG81" s="21"/>
      <c r="KH81" s="21"/>
    </row>
    <row r="82" spans="1:294" hidden="1" x14ac:dyDescent="0.25">
      <c r="A82" s="8"/>
      <c r="B82" s="5" t="s">
        <v>116</v>
      </c>
      <c r="C82" s="8"/>
      <c r="D82" s="6" t="s">
        <v>1204</v>
      </c>
      <c r="E82" s="33" t="s">
        <v>1207</v>
      </c>
      <c r="F82" s="135" t="str">
        <f>IF(AND(E81=AF52,E82=AF56),"należy zmienić wartość na klemy",IF(AND(E81&lt;&gt;AF52,E82&lt;&gt;AP95),"",""))</f>
        <v/>
      </c>
      <c r="G82" s="1"/>
      <c r="H82" s="1"/>
      <c r="I82" s="1"/>
      <c r="J82" s="1"/>
      <c r="K82" s="1"/>
      <c r="L82" s="5" t="s">
        <v>1253</v>
      </c>
      <c r="M82" s="11" t="e">
        <f>INDEX(cennik!$C$2:$L$529,MATCH($L82,cennik!$B$2:$B$522,0),MATCH(M$53,cennik!$C$1:$L$1,0))</f>
        <v>#N/A</v>
      </c>
      <c r="N82" s="11" t="e">
        <f>INDEX(cennik!$C$2:$L$529,MATCH($L82,cennik!$B$2:$B$522,0),MATCH(N$53,cennik!$C$1:$L$1,0))</f>
        <v>#N/A</v>
      </c>
      <c r="O82" s="14">
        <f>E87</f>
        <v>0</v>
      </c>
      <c r="P82" s="11" t="e">
        <f>INDEX(cennik!$C$2:$L$529,MATCH($L82,cennik!$B$2:$B$522,0),MATCH(P$53,cennik!$C$1:$L$1,0))</f>
        <v>#N/A</v>
      </c>
      <c r="Q82" s="14" t="e">
        <f t="shared" si="29"/>
        <v>#N/A</v>
      </c>
      <c r="R82" s="14">
        <f t="shared" si="25"/>
        <v>0</v>
      </c>
      <c r="S82" s="34" t="e">
        <f t="shared" si="26"/>
        <v>#N/A</v>
      </c>
      <c r="T82" s="14" t="e">
        <f t="shared" si="30"/>
        <v>#N/A</v>
      </c>
      <c r="U82" s="34" t="e">
        <f>INDEX(cennik!$C$2:$L$529,MATCH($L82,cennik!$B$2:$B$522,0),MATCH(U$53,cennik!$C$1:$L$1,0))*O82</f>
        <v>#N/A</v>
      </c>
      <c r="V82" s="21"/>
      <c r="W82" s="21"/>
      <c r="X82" s="21"/>
      <c r="Y82" s="21"/>
      <c r="Z82" s="21"/>
      <c r="AA82" s="21"/>
      <c r="AB82" s="21"/>
      <c r="AC82" s="21"/>
      <c r="AD82" s="21"/>
      <c r="AE82" s="21"/>
      <c r="AF82" s="21"/>
      <c r="AG82" s="21"/>
      <c r="AH82" s="21"/>
      <c r="AI82" s="21"/>
      <c r="AJ82" s="21"/>
      <c r="AK82" s="21"/>
      <c r="AL82" s="21"/>
      <c r="AM82" s="21"/>
      <c r="AN82" s="21"/>
      <c r="AO82" s="21"/>
      <c r="AP82" s="21"/>
      <c r="AQ82" s="21"/>
      <c r="AR82" s="21"/>
      <c r="AS82" s="21"/>
      <c r="AT82" s="21"/>
      <c r="AU82" s="21"/>
      <c r="AV82" s="21"/>
      <c r="AW82" s="21"/>
      <c r="AX82" s="21"/>
      <c r="AY82" s="21"/>
      <c r="AZ82" s="21"/>
      <c r="BA82" s="21"/>
      <c r="BB82" s="21"/>
      <c r="BC82" s="21"/>
      <c r="BD82" s="21"/>
      <c r="BE82" s="21"/>
      <c r="BF82" s="21"/>
      <c r="BG82" s="21"/>
      <c r="BH82" s="21">
        <f t="shared" si="27"/>
        <v>0</v>
      </c>
      <c r="BI82" s="21">
        <f t="shared" si="28"/>
        <v>0</v>
      </c>
      <c r="BJ82" s="21"/>
      <c r="BK82" s="21"/>
      <c r="BL82" s="21"/>
      <c r="BM82" s="21"/>
      <c r="BN82" s="21"/>
      <c r="BO82" s="21"/>
      <c r="BP82" s="21"/>
      <c r="BQ82" s="21"/>
      <c r="BR82" s="21"/>
      <c r="BS82" s="21"/>
      <c r="BT82" s="21"/>
      <c r="BU82" s="21"/>
      <c r="BV82" s="21"/>
      <c r="BW82" s="21"/>
      <c r="BX82" s="21"/>
      <c r="BY82" s="21"/>
      <c r="BZ82" s="21"/>
      <c r="CA82" s="21"/>
      <c r="CB82" s="21"/>
      <c r="CC82" s="21"/>
      <c r="CD82" s="21"/>
      <c r="CE82" s="21"/>
      <c r="CF82" s="21"/>
      <c r="CG82" s="21"/>
      <c r="CH82" s="21"/>
      <c r="CI82" s="21"/>
      <c r="CJ82" s="21"/>
      <c r="CK82" s="21"/>
      <c r="CL82" s="21"/>
      <c r="CM82" s="21"/>
      <c r="CN82" s="21"/>
      <c r="CO82" s="21"/>
      <c r="CP82" s="21"/>
      <c r="CQ82" s="21"/>
      <c r="CR82" s="21"/>
      <c r="CS82" s="21"/>
      <c r="CT82" s="21"/>
      <c r="CU82" s="21"/>
      <c r="CV82" s="21"/>
      <c r="CW82" s="21"/>
      <c r="CX82" s="21"/>
      <c r="CY82" s="21"/>
      <c r="CZ82" s="21"/>
      <c r="DA82" s="21"/>
      <c r="DB82" s="21"/>
      <c r="DC82" s="21"/>
      <c r="DD82" s="21"/>
      <c r="DE82" s="21"/>
      <c r="DF82" s="21"/>
      <c r="DG82" s="21"/>
      <c r="DH82" s="21"/>
      <c r="DI82" s="21"/>
      <c r="DJ82" s="21"/>
      <c r="DK82" s="21"/>
      <c r="DL82" s="21"/>
      <c r="DM82" s="21"/>
      <c r="DN82" s="21"/>
      <c r="DO82" s="21"/>
      <c r="DP82" s="21"/>
      <c r="DQ82" s="21"/>
      <c r="DR82" s="21"/>
      <c r="DS82" s="21"/>
      <c r="DT82" s="21"/>
      <c r="DU82" s="21"/>
      <c r="DV82" s="21"/>
      <c r="DW82" s="21"/>
      <c r="DX82" s="21"/>
      <c r="DY82" s="21"/>
      <c r="DZ82" s="87"/>
      <c r="EA82" s="87"/>
      <c r="EB82" s="87"/>
      <c r="EC82" s="21"/>
      <c r="ED82" s="21"/>
      <c r="EE82" s="21"/>
      <c r="EF82" s="21"/>
      <c r="EG82" s="21"/>
      <c r="EH82" s="21"/>
      <c r="EI82" s="21"/>
      <c r="EJ82" s="21"/>
      <c r="EK82" s="21"/>
      <c r="EL82" s="21"/>
      <c r="EM82" s="21"/>
      <c r="EN82" s="21"/>
      <c r="EO82" s="21"/>
      <c r="EP82" s="21"/>
      <c r="EQ82" s="21"/>
      <c r="ER82" s="21"/>
      <c r="ES82" s="21"/>
      <c r="ET82" s="21"/>
      <c r="EU82" s="21"/>
      <c r="EV82" s="21"/>
      <c r="EW82" s="21"/>
      <c r="EX82" s="21"/>
      <c r="EY82" s="21"/>
      <c r="EZ82" s="21"/>
      <c r="FA82" s="21"/>
      <c r="FB82" s="21"/>
      <c r="FC82" s="21"/>
      <c r="FD82" s="21"/>
      <c r="FE82" s="21"/>
      <c r="FF82" s="21"/>
      <c r="FG82" s="21"/>
      <c r="FH82" s="21"/>
      <c r="FI82" s="21"/>
      <c r="FJ82" s="21"/>
      <c r="FK82" s="21"/>
      <c r="FL82" s="21"/>
      <c r="FM82" s="21"/>
      <c r="FN82" s="21"/>
      <c r="FO82" s="21"/>
      <c r="FP82" s="21"/>
      <c r="FQ82" s="21"/>
      <c r="FR82" s="21"/>
      <c r="FS82" s="21"/>
      <c r="FT82" s="21"/>
      <c r="FU82" s="21"/>
      <c r="FV82" s="21"/>
      <c r="FW82" s="21"/>
      <c r="FX82" s="21"/>
      <c r="FY82" s="21"/>
      <c r="FZ82" s="21"/>
      <c r="GA82" s="21"/>
      <c r="GB82" s="21"/>
      <c r="GC82" s="21"/>
      <c r="GD82" s="21"/>
      <c r="GE82" s="21"/>
      <c r="GF82" s="21"/>
      <c r="GG82" s="21"/>
      <c r="GH82" s="21"/>
      <c r="GI82" s="21"/>
      <c r="GJ82" s="21"/>
      <c r="GK82" s="21"/>
      <c r="GL82" s="21"/>
      <c r="GM82" s="21"/>
      <c r="GN82" s="21"/>
      <c r="GO82" s="21"/>
      <c r="GP82" s="21"/>
      <c r="GQ82" s="21"/>
      <c r="GR82" s="21"/>
      <c r="GS82" s="21"/>
      <c r="GT82" s="21"/>
      <c r="GU82" s="21"/>
      <c r="GV82" s="21"/>
      <c r="GW82" s="21"/>
      <c r="GX82" s="21"/>
      <c r="GY82" s="21"/>
      <c r="GZ82" s="21"/>
      <c r="HA82" s="21"/>
      <c r="HB82" s="21"/>
      <c r="HC82" s="21"/>
      <c r="HD82" s="21"/>
      <c r="HE82" s="21"/>
      <c r="HF82" s="21"/>
      <c r="HG82" s="21"/>
      <c r="HH82" s="21"/>
      <c r="HI82" s="21"/>
      <c r="HJ82" s="21"/>
      <c r="HK82" s="21"/>
      <c r="HL82" s="21"/>
      <c r="HM82" s="21"/>
      <c r="HN82" s="21"/>
      <c r="HO82" s="21"/>
      <c r="HP82" s="21"/>
      <c r="HQ82" s="21"/>
      <c r="HR82" s="21"/>
      <c r="HS82" s="21"/>
      <c r="HT82" s="21"/>
      <c r="HU82" s="21"/>
      <c r="HV82" s="186"/>
      <c r="HW82" s="21"/>
      <c r="HX82" s="21"/>
      <c r="HY82" s="21"/>
      <c r="HZ82" s="21"/>
      <c r="IA82" s="21"/>
      <c r="IB82" s="21"/>
      <c r="IC82" s="21"/>
      <c r="ID82" s="21"/>
      <c r="IE82" s="21"/>
      <c r="IF82" s="21"/>
      <c r="IG82" s="21"/>
      <c r="IH82" s="21"/>
      <c r="II82" s="21"/>
      <c r="IJ82" s="21"/>
      <c r="IK82" s="21"/>
      <c r="IL82" s="21"/>
      <c r="IM82" s="21"/>
      <c r="IN82" s="21"/>
      <c r="IO82" s="21"/>
      <c r="IP82" s="21"/>
      <c r="IQ82" s="21"/>
      <c r="IR82" s="21"/>
      <c r="IS82" s="21"/>
      <c r="IT82" s="21"/>
      <c r="IU82" s="21"/>
      <c r="IV82" s="21"/>
      <c r="IW82" s="21"/>
      <c r="IX82" s="21"/>
      <c r="IY82" s="21"/>
      <c r="IZ82" s="21"/>
      <c r="JA82" s="21"/>
      <c r="JB82" s="21"/>
      <c r="JC82" s="21"/>
      <c r="JD82" s="21"/>
      <c r="JE82" s="21"/>
      <c r="JF82" s="21"/>
      <c r="JG82" s="21"/>
      <c r="JH82" s="21"/>
      <c r="JI82" s="21"/>
      <c r="JJ82" s="21"/>
      <c r="JK82" s="21"/>
      <c r="JL82" s="21"/>
      <c r="JM82" s="21"/>
      <c r="JN82" s="21"/>
      <c r="JO82" s="21"/>
      <c r="JP82" s="21"/>
      <c r="JQ82" s="21"/>
      <c r="JR82" s="21"/>
      <c r="JS82" s="21"/>
      <c r="JT82" s="21"/>
      <c r="JU82" s="21"/>
      <c r="JV82" s="21"/>
      <c r="JW82" s="21"/>
      <c r="JX82" s="21"/>
      <c r="JY82" s="21"/>
      <c r="JZ82" s="21"/>
      <c r="KA82" s="21"/>
      <c r="KB82" s="21"/>
      <c r="KC82" s="21"/>
      <c r="KD82" s="21"/>
      <c r="KE82" s="21"/>
      <c r="KF82" s="21"/>
      <c r="KG82" s="21"/>
      <c r="KH82" s="21"/>
    </row>
    <row r="83" spans="1:294" hidden="1" x14ac:dyDescent="0.25">
      <c r="A83" s="8"/>
      <c r="B83" s="5" t="s">
        <v>116</v>
      </c>
      <c r="C83" s="8"/>
      <c r="D83" s="6" t="s">
        <v>307</v>
      </c>
      <c r="E83" s="33" t="s">
        <v>1211</v>
      </c>
      <c r="F83" s="1"/>
      <c r="G83" s="1"/>
      <c r="H83" s="1"/>
      <c r="I83" s="1"/>
      <c r="J83" s="1"/>
      <c r="K83" s="1"/>
      <c r="L83" s="5" t="str">
        <f>IF(E86=EB104,"LFT10MC",IF(E86=EB105,"LFT15MC",IF(E86=EB106,"LFT20MC",0)))</f>
        <v>LFT10MC</v>
      </c>
      <c r="M83" s="11" t="e">
        <f>INDEX(cennik!$C$2:$L$529,MATCH($L83,cennik!$B$2:$B$522,0),MATCH(M$53,cennik!$C$1:$L$1,0))</f>
        <v>#N/A</v>
      </c>
      <c r="N83" s="11" t="e">
        <f>INDEX(cennik!$C$2:$L$529,MATCH($L83,cennik!$B$2:$B$522,0),MATCH(N$53,cennik!$C$1:$L$1,0))</f>
        <v>#N/A</v>
      </c>
      <c r="O83" s="14">
        <f>O80</f>
        <v>6</v>
      </c>
      <c r="P83" s="11" t="e">
        <f>INDEX(cennik!$C$2:$L$529,MATCH($L83,cennik!$B$2:$B$522,0),MATCH(P$53,cennik!$C$1:$L$1,0))</f>
        <v>#N/A</v>
      </c>
      <c r="Q83" s="14" t="e">
        <f t="shared" si="29"/>
        <v>#N/A</v>
      </c>
      <c r="R83" s="14">
        <f t="shared" si="25"/>
        <v>0</v>
      </c>
      <c r="S83" s="34" t="e">
        <f t="shared" si="26"/>
        <v>#N/A</v>
      </c>
      <c r="T83" s="14" t="e">
        <f t="shared" si="30"/>
        <v>#N/A</v>
      </c>
      <c r="U83" s="34" t="e">
        <f>INDEX(cennik!$C$2:$L$529,MATCH($L83,cennik!$B$2:$B$522,0),MATCH(U$53,cennik!$C$1:$L$1,0))*O83</f>
        <v>#N/A</v>
      </c>
      <c r="V83" s="21"/>
      <c r="W83" s="21"/>
      <c r="X83" s="21"/>
      <c r="Y83" s="21"/>
      <c r="Z83" s="21"/>
      <c r="AA83" s="21"/>
      <c r="AB83" s="21"/>
      <c r="AC83" s="21"/>
      <c r="AD83" s="21"/>
      <c r="AE83" s="21"/>
      <c r="AF83" s="21"/>
      <c r="AG83" s="21"/>
      <c r="AH83" s="21"/>
      <c r="AI83" s="21"/>
      <c r="AJ83" s="21"/>
      <c r="AK83" s="21"/>
      <c r="AL83" s="21"/>
      <c r="AM83" s="21"/>
      <c r="AN83" s="21"/>
      <c r="AO83" s="21"/>
      <c r="AP83" s="21"/>
      <c r="AQ83" s="21"/>
      <c r="AR83" s="21"/>
      <c r="AS83" s="21"/>
      <c r="AT83" s="21"/>
      <c r="AU83" s="21"/>
      <c r="AV83" s="21"/>
      <c r="AW83" s="21"/>
      <c r="AX83" s="21"/>
      <c r="AY83" s="21"/>
      <c r="AZ83" s="21"/>
      <c r="BA83" s="21"/>
      <c r="BB83" s="21"/>
      <c r="BC83" s="21"/>
      <c r="BD83" s="21"/>
      <c r="BE83" s="21"/>
      <c r="BF83" s="21"/>
      <c r="BG83" s="21"/>
      <c r="BH83" s="21">
        <f t="shared" si="27"/>
        <v>0</v>
      </c>
      <c r="BI83" s="21">
        <f t="shared" si="28"/>
        <v>0</v>
      </c>
      <c r="BJ83" s="21"/>
      <c r="BK83" s="21"/>
      <c r="BL83" s="21"/>
      <c r="BM83" s="21"/>
      <c r="BN83" s="21"/>
      <c r="BO83" s="21"/>
      <c r="BP83" s="21"/>
      <c r="BQ83" s="21"/>
      <c r="BR83" s="21"/>
      <c r="BS83" s="21"/>
      <c r="BT83" s="21"/>
      <c r="BU83" s="21"/>
      <c r="BV83" s="21"/>
      <c r="BW83" s="21"/>
      <c r="BX83" s="21"/>
      <c r="BY83" s="21"/>
      <c r="BZ83" s="21"/>
      <c r="CA83" s="21"/>
      <c r="CB83" s="21"/>
      <c r="CC83" s="21"/>
      <c r="CD83" s="21"/>
      <c r="CE83" s="21"/>
      <c r="CF83" s="21"/>
      <c r="CG83" s="21"/>
      <c r="CH83" s="21"/>
      <c r="CI83" s="21"/>
      <c r="CJ83" s="21"/>
      <c r="CK83" s="21"/>
      <c r="CL83" s="21"/>
      <c r="CM83" s="21"/>
      <c r="CN83" s="21"/>
      <c r="CO83" s="21"/>
      <c r="CP83" s="21"/>
      <c r="CQ83" s="21"/>
      <c r="CR83" s="21"/>
      <c r="CS83" s="21"/>
      <c r="CT83" s="21"/>
      <c r="CU83" s="21"/>
      <c r="CV83" s="21"/>
      <c r="CW83" s="21"/>
      <c r="CX83" s="21"/>
      <c r="CY83" s="21"/>
      <c r="CZ83" s="21"/>
      <c r="DA83" s="21"/>
      <c r="DB83" s="21"/>
      <c r="DC83" s="21"/>
      <c r="DD83" s="21"/>
      <c r="DE83" s="21"/>
      <c r="DF83" s="21"/>
      <c r="DG83" s="21"/>
      <c r="DH83" s="21"/>
      <c r="DI83" s="21"/>
      <c r="DJ83" s="21"/>
      <c r="DK83" s="21"/>
      <c r="DL83" s="21"/>
      <c r="DM83" s="21"/>
      <c r="DN83" s="21"/>
      <c r="DO83" s="21"/>
      <c r="DP83" s="21"/>
      <c r="DQ83" s="21"/>
      <c r="DR83" s="21"/>
      <c r="DS83" s="21"/>
      <c r="DT83" s="21"/>
      <c r="DU83" s="21"/>
      <c r="DV83" s="21"/>
      <c r="DW83" s="21"/>
      <c r="DX83" s="21"/>
      <c r="DY83" s="21"/>
      <c r="DZ83" s="87"/>
      <c r="EA83" s="87"/>
      <c r="EB83" s="87"/>
      <c r="EC83" s="21"/>
      <c r="ED83" s="21"/>
      <c r="EE83" s="21"/>
      <c r="EF83" s="21"/>
      <c r="EG83" s="21"/>
      <c r="EH83" s="21"/>
      <c r="EI83" s="21"/>
      <c r="EJ83" s="21"/>
      <c r="EK83" s="21"/>
      <c r="EL83" s="21"/>
      <c r="EM83" s="21"/>
      <c r="EN83" s="21"/>
      <c r="EO83" s="21"/>
      <c r="EP83" s="21"/>
      <c r="EQ83" s="21"/>
      <c r="ER83" s="21"/>
      <c r="ES83" s="21"/>
      <c r="ET83" s="21"/>
      <c r="EU83" s="21"/>
      <c r="EV83" s="21"/>
      <c r="EW83" s="21"/>
      <c r="EX83" s="21"/>
      <c r="EY83" s="21"/>
      <c r="EZ83" s="21"/>
      <c r="FA83" s="21"/>
      <c r="FB83" s="21"/>
      <c r="FC83" s="21"/>
      <c r="FD83" s="21"/>
      <c r="FE83" s="21"/>
      <c r="FF83" s="21"/>
      <c r="FG83" s="21"/>
      <c r="FH83" s="21"/>
      <c r="FI83" s="21"/>
      <c r="FJ83" s="21"/>
      <c r="FK83" s="21"/>
      <c r="FL83" s="21"/>
      <c r="FM83" s="21"/>
      <c r="FN83" s="21"/>
      <c r="FO83" s="21"/>
      <c r="FP83" s="21"/>
      <c r="FQ83" s="21"/>
      <c r="FR83" s="21"/>
      <c r="FS83" s="21"/>
      <c r="FT83" s="21"/>
      <c r="FU83" s="21"/>
      <c r="FV83" s="21"/>
      <c r="FW83" s="21"/>
      <c r="FX83" s="21"/>
      <c r="FY83" s="21"/>
      <c r="FZ83" s="21"/>
      <c r="GA83" s="21"/>
      <c r="GB83" s="21"/>
      <c r="GC83" s="21"/>
      <c r="GD83" s="21"/>
      <c r="GE83" s="21"/>
      <c r="GF83" s="21"/>
      <c r="GG83" s="21"/>
      <c r="GH83" s="21"/>
      <c r="GI83" s="21"/>
      <c r="GJ83" s="21"/>
      <c r="GK83" s="21"/>
      <c r="GL83" s="21"/>
      <c r="GM83" s="21"/>
      <c r="GN83" s="21"/>
      <c r="GO83" s="21"/>
      <c r="GP83" s="21"/>
      <c r="GQ83" s="21"/>
      <c r="GR83" s="21"/>
      <c r="GS83" s="21"/>
      <c r="GT83" s="21"/>
      <c r="GU83" s="21"/>
      <c r="GV83" s="21"/>
      <c r="GW83" s="21"/>
      <c r="GX83" s="21"/>
      <c r="GY83" s="21"/>
      <c r="GZ83" s="21"/>
      <c r="HA83" s="21"/>
      <c r="HB83" s="21"/>
      <c r="HC83" s="21"/>
      <c r="HD83" s="21"/>
      <c r="HE83" s="21"/>
      <c r="HF83" s="21"/>
      <c r="HG83" s="21"/>
      <c r="HH83" s="21"/>
      <c r="HI83" s="21"/>
      <c r="HJ83" s="21"/>
      <c r="HK83" s="21"/>
      <c r="HL83" s="21"/>
      <c r="HM83" s="21"/>
      <c r="HN83" s="21"/>
      <c r="HO83" s="21"/>
      <c r="HP83" s="21"/>
      <c r="HQ83" s="21"/>
      <c r="HR83" s="21"/>
      <c r="HS83" s="21"/>
      <c r="HT83" s="21"/>
      <c r="HU83" s="21"/>
      <c r="HV83" s="186"/>
      <c r="HW83" s="21"/>
      <c r="HX83" s="21"/>
      <c r="HY83" s="21"/>
      <c r="HZ83" s="21"/>
      <c r="IA83" s="21"/>
      <c r="IB83" s="21"/>
      <c r="IC83" s="21"/>
      <c r="ID83" s="21"/>
      <c r="IE83" s="21"/>
      <c r="IF83" s="21"/>
      <c r="IG83" s="21"/>
      <c r="IH83" s="21"/>
      <c r="II83" s="21"/>
      <c r="IJ83" s="21"/>
      <c r="IK83" s="21"/>
      <c r="IL83" s="21"/>
      <c r="IM83" s="21"/>
      <c r="IN83" s="21"/>
      <c r="IO83" s="21"/>
      <c r="IP83" s="21"/>
      <c r="IQ83" s="21"/>
      <c r="IR83" s="21"/>
      <c r="IS83" s="21"/>
      <c r="IT83" s="21"/>
      <c r="IU83" s="21"/>
      <c r="IV83" s="21"/>
      <c r="IW83" s="21"/>
      <c r="IX83" s="21"/>
      <c r="IY83" s="21"/>
      <c r="IZ83" s="21"/>
      <c r="JA83" s="21"/>
      <c r="JB83" s="21"/>
      <c r="JC83" s="21"/>
      <c r="JD83" s="21"/>
      <c r="JE83" s="21"/>
      <c r="JF83" s="21"/>
      <c r="JG83" s="21"/>
      <c r="JH83" s="21"/>
      <c r="JI83" s="21"/>
      <c r="JJ83" s="21"/>
      <c r="JK83" s="21"/>
      <c r="JL83" s="21"/>
      <c r="JM83" s="21"/>
      <c r="JN83" s="21"/>
      <c r="JO83" s="21"/>
      <c r="JP83" s="21"/>
      <c r="JQ83" s="21"/>
      <c r="JR83" s="21"/>
      <c r="JS83" s="21"/>
      <c r="JT83" s="21"/>
      <c r="JU83" s="21"/>
      <c r="JV83" s="21"/>
      <c r="JW83" s="21"/>
      <c r="JX83" s="21"/>
      <c r="JY83" s="21"/>
      <c r="JZ83" s="21"/>
      <c r="KA83" s="21"/>
      <c r="KB83" s="21"/>
      <c r="KC83" s="21"/>
      <c r="KD83" s="21"/>
      <c r="KE83" s="21"/>
      <c r="KF83" s="21"/>
      <c r="KG83" s="21"/>
      <c r="KH83" s="21"/>
    </row>
    <row r="84" spans="1:294" hidden="1" x14ac:dyDescent="0.25">
      <c r="A84" s="8"/>
      <c r="B84" s="5" t="s">
        <v>116</v>
      </c>
      <c r="C84" s="8"/>
      <c r="D84" s="6" t="s">
        <v>1205</v>
      </c>
      <c r="E84" s="33" t="s">
        <v>1216</v>
      </c>
      <c r="F84" s="17" t="str">
        <f>IF(AND(E83=AF58,E84="-"),"należy wskazać typ balastu",IF(AND(E83&lt;&gt;AF58,E84&lt;&gt;AP69),"należy zmienić wartość na -",""))</f>
        <v/>
      </c>
      <c r="G84" s="1"/>
      <c r="H84" s="1"/>
      <c r="I84" s="1"/>
      <c r="J84" s="1"/>
      <c r="K84" s="1"/>
      <c r="L84" s="5" t="s">
        <v>1224</v>
      </c>
      <c r="M84" s="11" t="e">
        <f>INDEX(cennik!$C$2:$L$529,MATCH($L84,cennik!$B$2:$B$522,0),MATCH(M$53,cennik!$C$1:$L$1,0))</f>
        <v>#N/A</v>
      </c>
      <c r="N84" s="11" t="e">
        <f>INDEX(cennik!$C$2:$L$529,MATCH($L84,cennik!$B$2:$B$522,0),MATCH(N$53,cennik!$C$1:$L$1,0))</f>
        <v>#N/A</v>
      </c>
      <c r="O84" s="14">
        <f>IF(E84=$AH$59,O80*2,0)</f>
        <v>12</v>
      </c>
      <c r="P84" s="11" t="e">
        <f>INDEX(cennik!$C$2:$L$529,MATCH($L84,cennik!$B$2:$B$522,0),MATCH(P$53,cennik!$C$1:$L$1,0))</f>
        <v>#N/A</v>
      </c>
      <c r="Q84" s="14" t="e">
        <f t="shared" si="29"/>
        <v>#N/A</v>
      </c>
      <c r="R84" s="14">
        <f t="shared" si="25"/>
        <v>0</v>
      </c>
      <c r="S84" s="34" t="e">
        <f t="shared" si="26"/>
        <v>#N/A</v>
      </c>
      <c r="T84" s="14" t="e">
        <f t="shared" si="30"/>
        <v>#N/A</v>
      </c>
      <c r="U84" s="34" t="e">
        <f>INDEX(cennik!$C$2:$L$529,MATCH($L84,cennik!$B$2:$B$522,0),MATCH(U$53,cennik!$C$1:$L$1,0))*O84</f>
        <v>#N/A</v>
      </c>
      <c r="V84" s="21"/>
      <c r="W84" s="21"/>
      <c r="X84" s="21"/>
      <c r="Y84" s="21"/>
      <c r="Z84" s="21"/>
      <c r="AA84" s="21"/>
      <c r="AB84" s="21"/>
      <c r="AC84" s="21"/>
      <c r="AD84" s="21"/>
      <c r="AE84" s="21"/>
      <c r="AF84" s="21"/>
      <c r="AG84" s="21"/>
      <c r="AH84" s="21"/>
      <c r="AI84" s="21"/>
      <c r="AJ84" s="21"/>
      <c r="AK84" s="21"/>
      <c r="AL84" s="21"/>
      <c r="AM84" s="21"/>
      <c r="AN84" s="21"/>
      <c r="AO84" s="21"/>
      <c r="AP84" s="21"/>
      <c r="AQ84" s="21"/>
      <c r="AR84" s="21"/>
      <c r="AS84" s="21"/>
      <c r="AT84" s="21"/>
      <c r="AU84" s="21"/>
      <c r="AV84" s="21"/>
      <c r="AW84" s="21"/>
      <c r="AX84" s="21"/>
      <c r="AY84" s="21"/>
      <c r="AZ84" s="21"/>
      <c r="BA84" s="21"/>
      <c r="BB84" s="21"/>
      <c r="BC84" s="21"/>
      <c r="BD84" s="21"/>
      <c r="BE84" s="21"/>
      <c r="BF84" s="21"/>
      <c r="BG84" s="21"/>
      <c r="BH84" s="21">
        <f t="shared" si="27"/>
        <v>0</v>
      </c>
      <c r="BI84" s="21">
        <f t="shared" si="28"/>
        <v>0</v>
      </c>
      <c r="BJ84" s="21"/>
      <c r="BK84" s="21"/>
      <c r="BL84" s="21"/>
      <c r="BM84" s="21"/>
      <c r="BN84" s="21"/>
      <c r="BO84" s="21"/>
      <c r="BP84" s="21"/>
      <c r="BQ84" s="21"/>
      <c r="BR84" s="21"/>
      <c r="BS84" s="21"/>
      <c r="BT84" s="21"/>
      <c r="BU84" s="21"/>
      <c r="BV84" s="21"/>
      <c r="BW84" s="21"/>
      <c r="BX84" s="21"/>
      <c r="BY84" s="21"/>
      <c r="BZ84" s="21"/>
      <c r="CA84" s="21"/>
      <c r="CB84" s="21"/>
      <c r="CC84" s="21"/>
      <c r="CD84" s="21"/>
      <c r="CE84" s="21"/>
      <c r="CF84" s="21"/>
      <c r="CG84" s="21"/>
      <c r="CH84" s="21"/>
      <c r="CI84" s="21"/>
      <c r="CJ84" s="21"/>
      <c r="CK84" s="21"/>
      <c r="CL84" s="21"/>
      <c r="CM84" s="21"/>
      <c r="CN84" s="21"/>
      <c r="CO84" s="21"/>
      <c r="CP84" s="21"/>
      <c r="CQ84" s="21"/>
      <c r="CR84" s="21"/>
      <c r="CS84" s="21"/>
      <c r="CT84" s="21"/>
      <c r="CU84" s="21"/>
      <c r="CV84" s="21"/>
      <c r="CW84" s="21"/>
      <c r="CX84" s="21"/>
      <c r="CY84" s="21"/>
      <c r="CZ84" s="21"/>
      <c r="DA84" s="21"/>
      <c r="DB84" s="21"/>
      <c r="DC84" s="21"/>
      <c r="DD84" s="21"/>
      <c r="DE84" s="21"/>
      <c r="DF84" s="21"/>
      <c r="DG84" s="21"/>
      <c r="DH84" s="21"/>
      <c r="DI84" s="21"/>
      <c r="DJ84" s="21"/>
      <c r="DK84" s="21"/>
      <c r="DL84" s="21"/>
      <c r="DM84" s="21"/>
      <c r="DN84" s="21"/>
      <c r="DO84" s="21"/>
      <c r="DP84" s="21"/>
      <c r="DQ84" s="21"/>
      <c r="DR84" s="21"/>
      <c r="DS84" s="21"/>
      <c r="DT84" s="21"/>
      <c r="DU84" s="21"/>
      <c r="DV84" s="21"/>
      <c r="DW84" s="21"/>
      <c r="DX84" s="21"/>
      <c r="DY84" s="21"/>
      <c r="DZ84" s="87"/>
      <c r="EA84" s="87"/>
      <c r="EB84" s="87"/>
      <c r="EC84" s="21"/>
      <c r="ED84" s="21"/>
      <c r="EE84" s="21"/>
      <c r="EF84" s="21"/>
      <c r="EG84" s="21"/>
      <c r="EH84" s="21"/>
      <c r="EI84" s="21"/>
      <c r="EJ84" s="21"/>
      <c r="EK84" s="21"/>
      <c r="EL84" s="21"/>
      <c r="EM84" s="21"/>
      <c r="EN84" s="21"/>
      <c r="EO84" s="21"/>
      <c r="EP84" s="21"/>
      <c r="EQ84" s="21"/>
      <c r="ER84" s="21"/>
      <c r="ES84" s="21"/>
      <c r="ET84" s="21"/>
      <c r="EU84" s="21"/>
      <c r="EV84" s="21"/>
      <c r="EW84" s="21"/>
      <c r="EX84" s="21"/>
      <c r="EY84" s="21"/>
      <c r="EZ84" s="21"/>
      <c r="FA84" s="21"/>
      <c r="FB84" s="21"/>
      <c r="FC84" s="21"/>
      <c r="FD84" s="21"/>
      <c r="FE84" s="21"/>
      <c r="FF84" s="21"/>
      <c r="FG84" s="21"/>
      <c r="FH84" s="21"/>
      <c r="FI84" s="21"/>
      <c r="FJ84" s="21"/>
      <c r="FK84" s="21"/>
      <c r="FL84" s="21"/>
      <c r="FM84" s="21"/>
      <c r="FN84" s="21"/>
      <c r="FO84" s="21"/>
      <c r="FP84" s="21"/>
      <c r="FQ84" s="21"/>
      <c r="FR84" s="21"/>
      <c r="FS84" s="21"/>
      <c r="FT84" s="21"/>
      <c r="FU84" s="21"/>
      <c r="FV84" s="21"/>
      <c r="FW84" s="21"/>
      <c r="FX84" s="21"/>
      <c r="FY84" s="21"/>
      <c r="FZ84" s="21"/>
      <c r="GA84" s="21"/>
      <c r="GB84" s="21"/>
      <c r="GC84" s="21"/>
      <c r="GD84" s="21"/>
      <c r="GE84" s="21"/>
      <c r="GF84" s="21"/>
      <c r="GG84" s="21"/>
      <c r="GH84" s="21"/>
      <c r="GI84" s="21"/>
      <c r="GJ84" s="21"/>
      <c r="GK84" s="21"/>
      <c r="GL84" s="21"/>
      <c r="GM84" s="21"/>
      <c r="GN84" s="21"/>
      <c r="GO84" s="21"/>
      <c r="GP84" s="21"/>
      <c r="GQ84" s="21"/>
      <c r="GR84" s="21"/>
      <c r="GS84" s="21"/>
      <c r="GT84" s="21"/>
      <c r="GU84" s="21"/>
      <c r="GV84" s="21"/>
      <c r="GW84" s="21"/>
      <c r="GX84" s="21"/>
      <c r="GY84" s="21"/>
      <c r="GZ84" s="21"/>
      <c r="HA84" s="21"/>
      <c r="HB84" s="21"/>
      <c r="HC84" s="21"/>
      <c r="HD84" s="21"/>
      <c r="HE84" s="21"/>
      <c r="HF84" s="21"/>
      <c r="HG84" s="21"/>
      <c r="HH84" s="21"/>
      <c r="HI84" s="21"/>
      <c r="HJ84" s="21"/>
      <c r="HK84" s="21"/>
      <c r="HL84" s="21"/>
      <c r="HM84" s="21"/>
      <c r="HN84" s="21"/>
      <c r="HO84" s="21"/>
      <c r="HP84" s="21"/>
      <c r="HQ84" s="21"/>
      <c r="HR84" s="21"/>
      <c r="HS84" s="21"/>
      <c r="HT84" s="21"/>
      <c r="HU84" s="21"/>
      <c r="HV84" s="186"/>
      <c r="HW84" s="21"/>
      <c r="HX84" s="21"/>
      <c r="HY84" s="21"/>
      <c r="HZ84" s="21"/>
      <c r="IA84" s="21"/>
      <c r="IB84" s="21"/>
      <c r="IC84" s="21"/>
      <c r="ID84" s="21"/>
      <c r="IE84" s="21"/>
      <c r="IF84" s="21"/>
      <c r="IG84" s="21"/>
      <c r="IH84" s="21"/>
      <c r="II84" s="21"/>
      <c r="IJ84" s="21"/>
      <c r="IK84" s="21"/>
      <c r="IL84" s="21"/>
      <c r="IM84" s="21"/>
      <c r="IN84" s="21"/>
      <c r="IO84" s="21"/>
      <c r="IP84" s="21"/>
      <c r="IQ84" s="21"/>
      <c r="IR84" s="21"/>
      <c r="IS84" s="21"/>
      <c r="IT84" s="21"/>
      <c r="IU84" s="21"/>
      <c r="IV84" s="21"/>
      <c r="IW84" s="21"/>
      <c r="IX84" s="21"/>
      <c r="IY84" s="21"/>
      <c r="IZ84" s="21"/>
      <c r="JA84" s="21"/>
      <c r="JB84" s="21"/>
      <c r="JC84" s="21"/>
      <c r="JD84" s="21"/>
      <c r="JE84" s="21"/>
      <c r="JF84" s="21"/>
      <c r="JG84" s="21"/>
      <c r="JH84" s="21"/>
      <c r="JI84" s="21"/>
      <c r="JJ84" s="21"/>
      <c r="JK84" s="21"/>
      <c r="JL84" s="21"/>
      <c r="JM84" s="21"/>
      <c r="JN84" s="21"/>
      <c r="JO84" s="21"/>
      <c r="JP84" s="21"/>
      <c r="JQ84" s="21"/>
      <c r="JR84" s="21"/>
      <c r="JS84" s="21"/>
      <c r="JT84" s="21"/>
      <c r="JU84" s="21"/>
      <c r="JV84" s="21"/>
      <c r="JW84" s="21"/>
      <c r="JX84" s="21"/>
      <c r="JY84" s="21"/>
      <c r="JZ84" s="21"/>
      <c r="KA84" s="21"/>
      <c r="KB84" s="21"/>
      <c r="KC84" s="21"/>
      <c r="KD84" s="21"/>
      <c r="KE84" s="21"/>
      <c r="KF84" s="21"/>
      <c r="KG84" s="21"/>
      <c r="KH84" s="21"/>
    </row>
    <row r="85" spans="1:294" hidden="1" x14ac:dyDescent="0.25">
      <c r="A85" s="8"/>
      <c r="B85" s="5" t="s">
        <v>116</v>
      </c>
      <c r="C85" s="8"/>
      <c r="D85" s="6" t="s">
        <v>1206</v>
      </c>
      <c r="E85" s="33" t="s">
        <v>1221</v>
      </c>
      <c r="F85" s="17" t="str">
        <f>IF(AND(E84&lt;&gt;AH59,E85="-"),"należy wskazać typ separatora",IF(AND(E84=AH59,E85&lt;&gt;AP69),"należy zmienić wartość na -",""))</f>
        <v/>
      </c>
      <c r="G85" s="1"/>
      <c r="H85" s="1"/>
      <c r="I85" s="1"/>
      <c r="J85" s="1"/>
      <c r="K85" s="1"/>
      <c r="L85" s="5" t="s">
        <v>1225</v>
      </c>
      <c r="M85" s="11" t="e">
        <f>INDEX(cennik!$C$2:$L$529,MATCH($L85,cennik!$B$2:$B$522,0),MATCH(M$53,cennik!$C$1:$L$1,0))</f>
        <v>#N/A</v>
      </c>
      <c r="N85" s="11" t="e">
        <f>INDEX(cennik!$C$2:$L$529,MATCH($L85,cennik!$B$2:$B$522,0),MATCH(N$53,cennik!$C$1:$L$1,0))</f>
        <v>#N/A</v>
      </c>
      <c r="O85" s="14">
        <f>IF(E85=$AK$60,O80*2,0)</f>
        <v>0</v>
      </c>
      <c r="P85" s="11" t="e">
        <f>INDEX(cennik!$C$2:$L$529,MATCH($L85,cennik!$B$2:$B$522,0),MATCH(P$53,cennik!$C$1:$L$1,0))</f>
        <v>#N/A</v>
      </c>
      <c r="Q85" s="14" t="e">
        <f t="shared" si="29"/>
        <v>#N/A</v>
      </c>
      <c r="R85" s="14">
        <f t="shared" si="25"/>
        <v>0</v>
      </c>
      <c r="S85" s="34" t="e">
        <f t="shared" si="26"/>
        <v>#N/A</v>
      </c>
      <c r="T85" s="14" t="e">
        <f t="shared" si="30"/>
        <v>#N/A</v>
      </c>
      <c r="U85" s="34" t="e">
        <f>INDEX(cennik!$C$2:$L$529,MATCH($L85,cennik!$B$2:$B$522,0),MATCH(U$53,cennik!$C$1:$L$1,0))*O85</f>
        <v>#N/A</v>
      </c>
      <c r="V85" s="21"/>
      <c r="W85" s="21"/>
      <c r="X85" s="21"/>
      <c r="Y85" s="21"/>
      <c r="Z85" s="21"/>
      <c r="AA85" s="21"/>
      <c r="AB85" s="21"/>
      <c r="AC85" s="21"/>
      <c r="AD85" s="21"/>
      <c r="AE85" s="21"/>
      <c r="AF85" s="21"/>
      <c r="AG85" s="21"/>
      <c r="AH85" s="21"/>
      <c r="AI85" s="21"/>
      <c r="AJ85" s="21"/>
      <c r="AK85" s="21"/>
      <c r="AL85" s="21"/>
      <c r="AM85" s="21"/>
      <c r="AN85" s="21"/>
      <c r="AO85" s="21"/>
      <c r="AP85" s="21"/>
      <c r="AQ85" s="21"/>
      <c r="AR85" s="21"/>
      <c r="AS85" s="21"/>
      <c r="AT85" s="21"/>
      <c r="AU85" s="21"/>
      <c r="AV85" s="21"/>
      <c r="AW85" s="21"/>
      <c r="AX85" s="21"/>
      <c r="AY85" s="21"/>
      <c r="AZ85" s="21"/>
      <c r="BA85" s="21"/>
      <c r="BB85" s="21"/>
      <c r="BC85" s="21"/>
      <c r="BD85" s="21"/>
      <c r="BE85" s="21"/>
      <c r="BF85" s="21"/>
      <c r="BG85" s="21"/>
      <c r="BH85" s="21">
        <f t="shared" si="27"/>
        <v>0</v>
      </c>
      <c r="BI85" s="21">
        <f t="shared" si="28"/>
        <v>0</v>
      </c>
      <c r="BJ85" s="21"/>
      <c r="BK85" s="21"/>
      <c r="BL85" s="21"/>
      <c r="BM85" s="21"/>
      <c r="BN85" s="21"/>
      <c r="BO85" s="21"/>
      <c r="BP85" s="21"/>
      <c r="BQ85" s="21"/>
      <c r="BR85" s="21"/>
      <c r="BS85" s="21"/>
      <c r="BT85" s="21"/>
      <c r="BU85" s="21"/>
      <c r="BV85" s="21"/>
      <c r="BW85" s="21"/>
      <c r="BX85" s="21"/>
      <c r="BY85" s="21"/>
      <c r="BZ85" s="21"/>
      <c r="CA85" s="21"/>
      <c r="CB85" s="21"/>
      <c r="CC85" s="21"/>
      <c r="CD85" s="21"/>
      <c r="CE85" s="21"/>
      <c r="CF85" s="21"/>
      <c r="CG85" s="21"/>
      <c r="CH85" s="21"/>
      <c r="CI85" s="21"/>
      <c r="CJ85" s="21"/>
      <c r="CK85" s="21"/>
      <c r="CL85" s="21"/>
      <c r="CM85" s="21"/>
      <c r="CN85" s="21"/>
      <c r="CO85" s="21"/>
      <c r="CP85" s="21"/>
      <c r="CQ85" s="21"/>
      <c r="CR85" s="21"/>
      <c r="CS85" s="21"/>
      <c r="CT85" s="21"/>
      <c r="CU85" s="21"/>
      <c r="CV85" s="21"/>
      <c r="CW85" s="21"/>
      <c r="CX85" s="21"/>
      <c r="CY85" s="21"/>
      <c r="CZ85" s="21"/>
      <c r="DA85" s="21"/>
      <c r="DB85" s="21"/>
      <c r="DC85" s="21"/>
      <c r="DD85" s="21"/>
      <c r="DE85" s="21"/>
      <c r="DF85" s="21"/>
      <c r="DG85" s="21"/>
      <c r="DH85" s="21"/>
      <c r="DI85" s="21"/>
      <c r="DJ85" s="21"/>
      <c r="DK85" s="21"/>
      <c r="DL85" s="21"/>
      <c r="DM85" s="21"/>
      <c r="DN85" s="21"/>
      <c r="DO85" s="21"/>
      <c r="DP85" s="21"/>
      <c r="DQ85" s="21"/>
      <c r="DR85" s="21"/>
      <c r="DS85" s="21"/>
      <c r="DT85" s="21"/>
      <c r="DU85" s="21"/>
      <c r="DV85" s="21"/>
      <c r="DW85" s="21"/>
      <c r="DX85" s="21"/>
      <c r="DY85" s="21"/>
      <c r="DZ85" s="87"/>
      <c r="EA85" s="87"/>
      <c r="EB85" s="87"/>
      <c r="EC85" s="21"/>
      <c r="ED85" s="21"/>
      <c r="EE85" s="21"/>
      <c r="EF85" s="21"/>
      <c r="EG85" s="21"/>
      <c r="EH85" s="21"/>
      <c r="EI85" s="21"/>
      <c r="EJ85" s="21"/>
      <c r="EK85" s="21"/>
      <c r="EL85" s="21"/>
      <c r="EM85" s="21"/>
      <c r="EN85" s="21"/>
      <c r="EO85" s="21"/>
      <c r="EP85" s="21"/>
      <c r="EQ85" s="21"/>
      <c r="ER85" s="21"/>
      <c r="ES85" s="21"/>
      <c r="ET85" s="21"/>
      <c r="EU85" s="21"/>
      <c r="EV85" s="21"/>
      <c r="EW85" s="21"/>
      <c r="EX85" s="21"/>
      <c r="EY85" s="21"/>
      <c r="EZ85" s="21"/>
      <c r="FA85" s="21"/>
      <c r="FB85" s="21"/>
      <c r="FC85" s="21"/>
      <c r="FD85" s="21"/>
      <c r="FE85" s="21"/>
      <c r="FF85" s="21"/>
      <c r="FG85" s="21"/>
      <c r="FH85" s="21"/>
      <c r="FI85" s="21"/>
      <c r="FJ85" s="21"/>
      <c r="FK85" s="21"/>
      <c r="FL85" s="21"/>
      <c r="FM85" s="21"/>
      <c r="FN85" s="21"/>
      <c r="FO85" s="21"/>
      <c r="FP85" s="21"/>
      <c r="FQ85" s="21"/>
      <c r="FR85" s="21"/>
      <c r="FS85" s="21"/>
      <c r="FT85" s="21"/>
      <c r="FU85" s="21"/>
      <c r="FV85" s="21"/>
      <c r="FW85" s="21"/>
      <c r="FX85" s="21"/>
      <c r="FY85" s="21"/>
      <c r="FZ85" s="21"/>
      <c r="GA85" s="21"/>
      <c r="GB85" s="21"/>
      <c r="GC85" s="21"/>
      <c r="GD85" s="21"/>
      <c r="GE85" s="21"/>
      <c r="GF85" s="21"/>
      <c r="GG85" s="21"/>
      <c r="GH85" s="21"/>
      <c r="GI85" s="21"/>
      <c r="GJ85" s="21"/>
      <c r="GK85" s="21"/>
      <c r="GL85" s="21"/>
      <c r="GM85" s="21"/>
      <c r="GN85" s="21"/>
      <c r="GO85" s="21"/>
      <c r="GP85" s="21"/>
      <c r="GQ85" s="21"/>
      <c r="GR85" s="21"/>
      <c r="GS85" s="21"/>
      <c r="GT85" s="21"/>
      <c r="GU85" s="21"/>
      <c r="GV85" s="21"/>
      <c r="GW85" s="21"/>
      <c r="GX85" s="21"/>
      <c r="GY85" s="21"/>
      <c r="GZ85" s="21"/>
      <c r="HA85" s="21"/>
      <c r="HB85" s="21"/>
      <c r="HC85" s="21"/>
      <c r="HD85" s="21"/>
      <c r="HE85" s="21"/>
      <c r="HF85" s="21"/>
      <c r="HG85" s="21"/>
      <c r="HH85" s="21"/>
      <c r="HI85" s="21"/>
      <c r="HJ85" s="21"/>
      <c r="HK85" s="21"/>
      <c r="HL85" s="21"/>
      <c r="HM85" s="21"/>
      <c r="HN85" s="21"/>
      <c r="HO85" s="21"/>
      <c r="HP85" s="21"/>
      <c r="HQ85" s="21"/>
      <c r="HR85" s="21"/>
      <c r="HS85" s="21"/>
      <c r="HT85" s="21"/>
      <c r="HU85" s="21"/>
      <c r="HV85" s="186"/>
      <c r="HW85" s="21"/>
      <c r="HX85" s="21"/>
      <c r="HY85" s="21"/>
      <c r="HZ85" s="21"/>
      <c r="IA85" s="21"/>
      <c r="IB85" s="21"/>
      <c r="IC85" s="21"/>
      <c r="ID85" s="21"/>
      <c r="IE85" s="21"/>
      <c r="IF85" s="21"/>
      <c r="IG85" s="21"/>
      <c r="IH85" s="21"/>
      <c r="II85" s="21"/>
      <c r="IJ85" s="21"/>
      <c r="IK85" s="21"/>
      <c r="IL85" s="21"/>
      <c r="IM85" s="21"/>
      <c r="IN85" s="21"/>
      <c r="IO85" s="21"/>
      <c r="IP85" s="21"/>
      <c r="IQ85" s="21"/>
      <c r="IR85" s="21"/>
      <c r="IS85" s="21"/>
      <c r="IT85" s="21"/>
      <c r="IU85" s="21"/>
      <c r="IV85" s="21"/>
      <c r="IW85" s="21"/>
      <c r="IX85" s="21"/>
      <c r="IY85" s="21"/>
      <c r="IZ85" s="21"/>
      <c r="JA85" s="21"/>
      <c r="JB85" s="21"/>
      <c r="JC85" s="21"/>
      <c r="JD85" s="21"/>
      <c r="JE85" s="21"/>
      <c r="JF85" s="21"/>
      <c r="JG85" s="21"/>
      <c r="JH85" s="21"/>
      <c r="JI85" s="21"/>
      <c r="JJ85" s="21"/>
      <c r="JK85" s="21"/>
      <c r="JL85" s="21"/>
      <c r="JM85" s="21"/>
      <c r="JN85" s="21"/>
      <c r="JO85" s="21"/>
      <c r="JP85" s="21"/>
      <c r="JQ85" s="21"/>
      <c r="JR85" s="21"/>
      <c r="JS85" s="21"/>
      <c r="JT85" s="21"/>
      <c r="JU85" s="21"/>
      <c r="JV85" s="21"/>
      <c r="JW85" s="21"/>
      <c r="JX85" s="21"/>
      <c r="JY85" s="21"/>
      <c r="JZ85" s="21"/>
      <c r="KA85" s="21"/>
      <c r="KB85" s="21"/>
      <c r="KC85" s="21"/>
      <c r="KD85" s="21"/>
      <c r="KE85" s="21"/>
      <c r="KF85" s="21"/>
      <c r="KG85" s="21"/>
      <c r="KH85" s="21"/>
    </row>
    <row r="86" spans="1:294" hidden="1" x14ac:dyDescent="0.25">
      <c r="A86" s="8"/>
      <c r="B86" s="5" t="s">
        <v>116</v>
      </c>
      <c r="C86" s="8"/>
      <c r="D86" s="6" t="s">
        <v>310</v>
      </c>
      <c r="E86" s="33">
        <v>10</v>
      </c>
      <c r="F86" s="1"/>
      <c r="G86" s="1"/>
      <c r="H86" s="1"/>
      <c r="I86" s="1"/>
      <c r="J86" s="1"/>
      <c r="K86" s="1"/>
      <c r="L86" s="5" t="str">
        <f>INDEX(($AE$201:$AF$201),1,MATCH(E89,$AE$190:$AF$190,0),1)</f>
        <v>PUFK</v>
      </c>
      <c r="M86" s="11">
        <f>INDEX(cennik!$C$2:$L$529,MATCH($L86,cennik!$B$2:$B$522,0),MATCH(M$53,cennik!$C$1:$L$1,0))</f>
        <v>890300</v>
      </c>
      <c r="N86" s="11" t="str">
        <f>INDEX(cennik!$C$2:$L$529,MATCH($L86,cennik!$B$2:$B$522,0),MATCH(N$53,cennik!$C$1:$L$1,0))</f>
        <v>szt.</v>
      </c>
      <c r="O86" s="14">
        <f>IF($E$81=$AF$53,AH92,IF($E$81=$AF$52,AH91,0))</f>
        <v>16</v>
      </c>
      <c r="P86" s="11">
        <f>INDEX(cennik!$C$2:$L$529,MATCH($L86,cennik!$B$2:$B$522,0),MATCH(P$53,cennik!$C$1:$L$1,0))</f>
        <v>7.31</v>
      </c>
      <c r="Q86" s="14">
        <f t="shared" si="29"/>
        <v>116.96</v>
      </c>
      <c r="R86" s="14">
        <f t="shared" si="25"/>
        <v>0</v>
      </c>
      <c r="S86" s="34">
        <f t="shared" si="26"/>
        <v>7.31</v>
      </c>
      <c r="T86" s="14">
        <f t="shared" si="30"/>
        <v>116.96</v>
      </c>
      <c r="U86" s="34">
        <f>INDEX(cennik!$C$2:$L$529,MATCH($L86,cennik!$B$2:$B$522,0),MATCH(U$53,cennik!$C$1:$L$1,0))*O86</f>
        <v>0.64</v>
      </c>
      <c r="V86" s="21"/>
      <c r="W86" s="21"/>
      <c r="X86" s="21"/>
      <c r="Y86" s="21"/>
      <c r="Z86" s="21"/>
      <c r="AA86" s="21"/>
      <c r="AB86" s="21"/>
      <c r="AC86" s="21"/>
      <c r="AD86" s="21"/>
      <c r="AE86" s="21"/>
      <c r="AF86" s="21"/>
      <c r="AG86" s="21"/>
      <c r="AH86" s="21"/>
      <c r="AI86" s="21"/>
      <c r="AJ86" s="21"/>
      <c r="AK86" s="21"/>
      <c r="AL86" s="21"/>
      <c r="AM86" s="21"/>
      <c r="AN86" s="21"/>
      <c r="AO86" s="21"/>
      <c r="AP86" s="21"/>
      <c r="AQ86" s="21"/>
      <c r="AR86" s="21"/>
      <c r="AS86" s="21"/>
      <c r="AT86" s="21"/>
      <c r="AU86" s="21"/>
      <c r="AV86" s="21"/>
      <c r="AW86" s="21"/>
      <c r="AX86" s="21"/>
      <c r="AY86" s="21"/>
      <c r="AZ86" s="21"/>
      <c r="BA86" s="21"/>
      <c r="BB86" s="21"/>
      <c r="BC86" s="21"/>
      <c r="BD86" s="21"/>
      <c r="BE86" s="21"/>
      <c r="BF86" s="21"/>
      <c r="BG86" s="21"/>
      <c r="BH86" s="21">
        <f t="shared" si="27"/>
        <v>0</v>
      </c>
      <c r="BI86" s="21">
        <f t="shared" si="28"/>
        <v>0</v>
      </c>
      <c r="BJ86" s="21"/>
      <c r="BK86" s="21"/>
      <c r="BL86" s="21"/>
      <c r="BM86" s="21"/>
      <c r="BN86" s="21"/>
      <c r="BO86" s="21"/>
      <c r="BP86" s="21"/>
      <c r="BQ86" s="21"/>
      <c r="BR86" s="21"/>
      <c r="BS86" s="21"/>
      <c r="BT86" s="21"/>
      <c r="BU86" s="21"/>
      <c r="BV86" s="21"/>
      <c r="BW86" s="21"/>
      <c r="BX86" s="21"/>
      <c r="BY86" s="21"/>
      <c r="BZ86" s="21"/>
      <c r="CA86" s="21"/>
      <c r="CB86" s="21"/>
      <c r="CC86" s="21"/>
      <c r="CD86" s="21"/>
      <c r="CE86" s="21"/>
      <c r="CF86" s="21"/>
      <c r="CG86" s="21"/>
      <c r="CH86" s="21"/>
      <c r="CI86" s="21"/>
      <c r="CJ86" s="21"/>
      <c r="CK86" s="21"/>
      <c r="CL86" s="21"/>
      <c r="CM86" s="21"/>
      <c r="CN86" s="21"/>
      <c r="CO86" s="21"/>
      <c r="CP86" s="21"/>
      <c r="CQ86" s="21"/>
      <c r="CR86" s="21"/>
      <c r="CS86" s="21"/>
      <c r="CT86" s="21"/>
      <c r="CU86" s="21"/>
      <c r="CV86" s="21"/>
      <c r="CW86" s="21"/>
      <c r="CX86" s="21"/>
      <c r="CY86" s="21"/>
      <c r="CZ86" s="21"/>
      <c r="DA86" s="21"/>
      <c r="DB86" s="21"/>
      <c r="DC86" s="21"/>
      <c r="DD86" s="21"/>
      <c r="DE86" s="21"/>
      <c r="DF86" s="21"/>
      <c r="DG86" s="21"/>
      <c r="DH86" s="21"/>
      <c r="DI86" s="21"/>
      <c r="DJ86" s="21"/>
      <c r="DK86" s="21"/>
      <c r="DL86" s="21"/>
      <c r="DM86" s="21"/>
      <c r="DN86" s="21"/>
      <c r="DO86" s="21"/>
      <c r="DP86" s="21"/>
      <c r="DQ86" s="21"/>
      <c r="DR86" s="21"/>
      <c r="DS86" s="21"/>
      <c r="DT86" s="21"/>
      <c r="DU86" s="21"/>
      <c r="DV86" s="21"/>
      <c r="DW86" s="21"/>
      <c r="DX86" s="21"/>
      <c r="DY86" s="21"/>
      <c r="DZ86" s="87"/>
      <c r="EA86" s="87"/>
      <c r="EB86" s="87"/>
      <c r="EC86" s="21"/>
      <c r="ED86" s="21"/>
      <c r="EE86" s="21"/>
      <c r="EF86" s="21"/>
      <c r="EG86" s="21"/>
      <c r="EH86" s="21"/>
      <c r="EI86" s="21"/>
      <c r="EJ86" s="21"/>
      <c r="EK86" s="21"/>
      <c r="EL86" s="21"/>
      <c r="EM86" s="21"/>
      <c r="EN86" s="21"/>
      <c r="EO86" s="21"/>
      <c r="EP86" s="21"/>
      <c r="EQ86" s="21"/>
      <c r="ER86" s="21"/>
      <c r="ES86" s="21"/>
      <c r="ET86" s="21"/>
      <c r="EU86" s="21"/>
      <c r="EV86" s="21"/>
      <c r="EW86" s="21"/>
      <c r="EX86" s="21"/>
      <c r="EY86" s="21"/>
      <c r="EZ86" s="21"/>
      <c r="FA86" s="21"/>
      <c r="FB86" s="21"/>
      <c r="FC86" s="21"/>
      <c r="FD86" s="21"/>
      <c r="FE86" s="21"/>
      <c r="FF86" s="21"/>
      <c r="FG86" s="21"/>
      <c r="FH86" s="21"/>
      <c r="FI86" s="21"/>
      <c r="FJ86" s="21"/>
      <c r="FK86" s="21"/>
      <c r="FL86" s="21"/>
      <c r="FM86" s="21"/>
      <c r="FN86" s="21"/>
      <c r="FO86" s="21"/>
      <c r="FP86" s="21"/>
      <c r="FQ86" s="21"/>
      <c r="FR86" s="21"/>
      <c r="FS86" s="21"/>
      <c r="FT86" s="21"/>
      <c r="FU86" s="21"/>
      <c r="FV86" s="21"/>
      <c r="FW86" s="21"/>
      <c r="FX86" s="21"/>
      <c r="FY86" s="21"/>
      <c r="FZ86" s="21"/>
      <c r="GA86" s="21"/>
      <c r="GB86" s="21"/>
      <c r="GC86" s="21"/>
      <c r="GD86" s="21"/>
      <c r="GE86" s="21"/>
      <c r="GF86" s="21"/>
      <c r="GG86" s="21"/>
      <c r="GH86" s="21"/>
      <c r="GI86" s="21"/>
      <c r="GJ86" s="21"/>
      <c r="GK86" s="21"/>
      <c r="GL86" s="21"/>
      <c r="GM86" s="21"/>
      <c r="GN86" s="21"/>
      <c r="GO86" s="21"/>
      <c r="GP86" s="21"/>
      <c r="GQ86" s="21"/>
      <c r="GR86" s="21"/>
      <c r="GS86" s="21"/>
      <c r="GT86" s="21"/>
      <c r="GU86" s="21"/>
      <c r="GV86" s="21"/>
      <c r="GW86" s="21"/>
      <c r="GX86" s="21"/>
      <c r="GY86" s="21"/>
      <c r="GZ86" s="21"/>
      <c r="HA86" s="21"/>
      <c r="HB86" s="21"/>
      <c r="HC86" s="21"/>
      <c r="HD86" s="21"/>
      <c r="HE86" s="21"/>
      <c r="HF86" s="21"/>
      <c r="HG86" s="21"/>
      <c r="HH86" s="21"/>
      <c r="HI86" s="21"/>
      <c r="HJ86" s="21"/>
      <c r="HK86" s="21"/>
      <c r="HL86" s="21"/>
      <c r="HM86" s="21"/>
      <c r="HN86" s="21"/>
      <c r="HO86" s="21"/>
      <c r="HP86" s="21"/>
      <c r="HQ86" s="21"/>
      <c r="HR86" s="21"/>
      <c r="HS86" s="21"/>
      <c r="HT86" s="21"/>
      <c r="HU86" s="21"/>
      <c r="HV86" s="186"/>
      <c r="HW86" s="21"/>
      <c r="HX86" s="21"/>
      <c r="HY86" s="21"/>
      <c r="HZ86" s="21"/>
      <c r="IA86" s="21"/>
      <c r="IB86" s="21"/>
      <c r="IC86" s="21"/>
      <c r="ID86" s="21"/>
      <c r="IE86" s="21"/>
      <c r="IF86" s="21"/>
      <c r="IG86" s="21"/>
      <c r="IH86" s="21"/>
      <c r="II86" s="21"/>
      <c r="IJ86" s="21"/>
      <c r="IK86" s="21"/>
      <c r="IL86" s="21"/>
      <c r="IM86" s="21"/>
      <c r="IN86" s="21"/>
      <c r="IO86" s="21"/>
      <c r="IP86" s="21"/>
      <c r="IQ86" s="21"/>
      <c r="IR86" s="21"/>
      <c r="IS86" s="21"/>
      <c r="IT86" s="21"/>
      <c r="IU86" s="21"/>
      <c r="IV86" s="21"/>
      <c r="IW86" s="21"/>
      <c r="IX86" s="21"/>
      <c r="IY86" s="21"/>
      <c r="IZ86" s="21"/>
      <c r="JA86" s="21"/>
      <c r="JB86" s="21"/>
      <c r="JC86" s="21"/>
      <c r="JD86" s="21"/>
      <c r="JE86" s="21"/>
      <c r="JF86" s="21"/>
      <c r="JG86" s="21"/>
      <c r="JH86" s="21"/>
      <c r="JI86" s="21"/>
      <c r="JJ86" s="21"/>
      <c r="JK86" s="21"/>
      <c r="JL86" s="21"/>
      <c r="JM86" s="21"/>
      <c r="JN86" s="21"/>
      <c r="JO86" s="21"/>
      <c r="JP86" s="21"/>
      <c r="JQ86" s="21"/>
      <c r="JR86" s="21"/>
      <c r="JS86" s="21"/>
      <c r="JT86" s="21"/>
      <c r="JU86" s="21"/>
      <c r="JV86" s="21"/>
      <c r="JW86" s="21"/>
      <c r="JX86" s="21"/>
      <c r="JY86" s="21"/>
      <c r="JZ86" s="21"/>
      <c r="KA86" s="21"/>
      <c r="KB86" s="21"/>
      <c r="KC86" s="21"/>
      <c r="KD86" s="21"/>
      <c r="KE86" s="21"/>
      <c r="KF86" s="21"/>
      <c r="KG86" s="21"/>
      <c r="KH86" s="21"/>
    </row>
    <row r="87" spans="1:294" hidden="1" x14ac:dyDescent="0.25">
      <c r="A87" s="8"/>
      <c r="B87" s="5" t="s">
        <v>116</v>
      </c>
      <c r="C87" s="8"/>
      <c r="D87" s="6" t="s">
        <v>1235</v>
      </c>
      <c r="E87" s="33">
        <v>0</v>
      </c>
      <c r="F87" s="1"/>
      <c r="G87" s="1"/>
      <c r="H87" s="1"/>
      <c r="I87" s="1"/>
      <c r="J87" s="1"/>
      <c r="K87" s="1"/>
      <c r="L87" s="5" t="str">
        <f>INDEX(($AE$191:$AF$201),MATCH(I80,$AD$191:$AD$200,0),MATCH(E89,$AE$190:$AF$190,0),1)</f>
        <v>BUFK30</v>
      </c>
      <c r="M87" s="11">
        <f>INDEX(cennik!$C$2:$L$529,MATCH($L87,cennik!$B$2:$B$522,0),MATCH(M$53,cennik!$C$1:$L$1,0))</f>
        <v>897430</v>
      </c>
      <c r="N87" s="11" t="str">
        <f>INDEX(cennik!$C$2:$L$529,MATCH($L87,cennik!$B$2:$B$522,0),MATCH(N$53,cennik!$C$1:$L$1,0))</f>
        <v>szt.</v>
      </c>
      <c r="O87" s="14">
        <f>IF($E$81=$AF$53,AI92,IF($E$81=$AF$52,AI91,0))</f>
        <v>8</v>
      </c>
      <c r="P87" s="11">
        <f>INDEX(cennik!$C$2:$L$529,MATCH($L87,cennik!$B$2:$B$522,0),MATCH(P$53,cennik!$C$1:$L$1,0))</f>
        <v>5.87</v>
      </c>
      <c r="Q87" s="14">
        <f t="shared" si="29"/>
        <v>46.96</v>
      </c>
      <c r="R87" s="14">
        <f t="shared" si="25"/>
        <v>0</v>
      </c>
      <c r="S87" s="34">
        <f t="shared" si="26"/>
        <v>5.87</v>
      </c>
      <c r="T87" s="14">
        <f t="shared" si="30"/>
        <v>46.96</v>
      </c>
      <c r="U87" s="34">
        <f>INDEX(cennik!$C$2:$L$529,MATCH($L87,cennik!$B$2:$B$522,0),MATCH(U$53,cennik!$C$1:$L$1,0))*O87</f>
        <v>0.32</v>
      </c>
      <c r="V87" s="21"/>
      <c r="W87" s="21"/>
      <c r="X87" s="21"/>
      <c r="Y87" s="21"/>
      <c r="Z87" s="21"/>
      <c r="AA87" s="21"/>
      <c r="AB87" s="21"/>
      <c r="AC87" s="21"/>
      <c r="AD87" s="21"/>
      <c r="AE87" s="21"/>
      <c r="AF87" s="21"/>
      <c r="AG87" s="21"/>
      <c r="AH87" s="21"/>
      <c r="AI87" s="21"/>
      <c r="AJ87" s="21"/>
      <c r="AK87" s="21"/>
      <c r="AL87" s="21"/>
      <c r="AM87" s="21"/>
      <c r="AN87" s="21"/>
      <c r="AO87" s="21"/>
      <c r="AP87" s="21"/>
      <c r="AQ87" s="21"/>
      <c r="AR87" s="21"/>
      <c r="AS87" s="21"/>
      <c r="AT87" s="21"/>
      <c r="AU87" s="21"/>
      <c r="AV87" s="21"/>
      <c r="AW87" s="21"/>
      <c r="AX87" s="21"/>
      <c r="AY87" s="21"/>
      <c r="AZ87" s="21"/>
      <c r="BA87" s="21"/>
      <c r="BB87" s="21"/>
      <c r="BC87" s="21"/>
      <c r="BD87" s="21"/>
      <c r="BE87" s="21"/>
      <c r="BF87" s="21"/>
      <c r="BG87" s="21"/>
      <c r="BH87" s="21">
        <f t="shared" si="27"/>
        <v>0</v>
      </c>
      <c r="BI87" s="21">
        <f t="shared" si="28"/>
        <v>0</v>
      </c>
      <c r="BJ87" s="21"/>
      <c r="BK87" s="21"/>
      <c r="BL87" s="21"/>
      <c r="BM87" s="21"/>
      <c r="BN87" s="21"/>
      <c r="BO87" s="21"/>
      <c r="BP87" s="21"/>
      <c r="BQ87" s="21"/>
      <c r="BR87" s="21"/>
      <c r="BS87" s="21"/>
      <c r="BT87" s="21"/>
      <c r="BU87" s="21"/>
      <c r="BV87" s="21"/>
      <c r="BW87" s="21"/>
      <c r="BX87" s="21"/>
      <c r="BY87" s="21"/>
      <c r="BZ87" s="21"/>
      <c r="CA87" s="21"/>
      <c r="CB87" s="21"/>
      <c r="CC87" s="21"/>
      <c r="CD87" s="21"/>
      <c r="CE87" s="21"/>
      <c r="CF87" s="21"/>
      <c r="CG87" s="21"/>
      <c r="CH87" s="21"/>
      <c r="CI87" s="21"/>
      <c r="CJ87" s="21"/>
      <c r="CK87" s="21"/>
      <c r="CL87" s="21"/>
      <c r="CM87" s="21"/>
      <c r="CN87" s="21"/>
      <c r="CO87" s="21"/>
      <c r="CP87" s="21"/>
      <c r="CQ87" s="21"/>
      <c r="CR87" s="21"/>
      <c r="CS87" s="21"/>
      <c r="CT87" s="21"/>
      <c r="CU87" s="21"/>
      <c r="CV87" s="21"/>
      <c r="CW87" s="21"/>
      <c r="CX87" s="21"/>
      <c r="CY87" s="21"/>
      <c r="CZ87" s="21"/>
      <c r="DA87" s="21"/>
      <c r="DB87" s="21"/>
      <c r="DC87" s="21"/>
      <c r="DD87" s="21"/>
      <c r="DE87" s="21"/>
      <c r="DF87" s="21"/>
      <c r="DG87" s="21"/>
      <c r="DH87" s="21"/>
      <c r="DI87" s="21"/>
      <c r="DJ87" s="21"/>
      <c r="DK87" s="21"/>
      <c r="DL87" s="21"/>
      <c r="DM87" s="21"/>
      <c r="DN87" s="21"/>
      <c r="DO87" s="21"/>
      <c r="DP87" s="21"/>
      <c r="DQ87" s="21"/>
      <c r="DR87" s="21"/>
      <c r="DS87" s="21"/>
      <c r="DT87" s="21"/>
      <c r="DU87" s="21"/>
      <c r="DV87" s="21"/>
      <c r="DW87" s="21"/>
      <c r="DX87" s="21"/>
      <c r="DY87" s="21"/>
      <c r="DZ87" s="87"/>
      <c r="EA87" s="87"/>
      <c r="EB87" s="87"/>
      <c r="EC87" s="21"/>
      <c r="ED87" s="21"/>
      <c r="EE87" s="21"/>
      <c r="EF87" s="21"/>
      <c r="EG87" s="21"/>
      <c r="EH87" s="21"/>
      <c r="EI87" s="21"/>
      <c r="EJ87" s="21"/>
      <c r="EK87" s="21"/>
      <c r="EL87" s="21"/>
      <c r="EM87" s="21"/>
      <c r="EN87" s="21"/>
      <c r="EO87" s="21"/>
      <c r="EP87" s="21"/>
      <c r="EQ87" s="21"/>
      <c r="ER87" s="21"/>
      <c r="ES87" s="21"/>
      <c r="ET87" s="21"/>
      <c r="EU87" s="21"/>
      <c r="EV87" s="21"/>
      <c r="EW87" s="21"/>
      <c r="EX87" s="21"/>
      <c r="EY87" s="21"/>
      <c r="EZ87" s="21"/>
      <c r="FA87" s="21"/>
      <c r="FB87" s="21"/>
      <c r="FC87" s="21"/>
      <c r="FD87" s="21"/>
      <c r="FE87" s="21"/>
      <c r="FF87" s="21"/>
      <c r="FG87" s="21"/>
      <c r="FH87" s="21"/>
      <c r="FI87" s="21"/>
      <c r="FJ87" s="21"/>
      <c r="FK87" s="21"/>
      <c r="FL87" s="21"/>
      <c r="FM87" s="21"/>
      <c r="FN87" s="21"/>
      <c r="FO87" s="21"/>
      <c r="FP87" s="21"/>
      <c r="FQ87" s="21"/>
      <c r="FR87" s="21"/>
      <c r="FS87" s="21"/>
      <c r="FT87" s="21"/>
      <c r="FU87" s="21"/>
      <c r="FV87" s="21"/>
      <c r="FW87" s="21"/>
      <c r="FX87" s="21"/>
      <c r="FY87" s="21"/>
      <c r="FZ87" s="21"/>
      <c r="GA87" s="21"/>
      <c r="GB87" s="21"/>
      <c r="GC87" s="21"/>
      <c r="GD87" s="21"/>
      <c r="GE87" s="21"/>
      <c r="GF87" s="21"/>
      <c r="GG87" s="21"/>
      <c r="GH87" s="21"/>
      <c r="GI87" s="21"/>
      <c r="GJ87" s="21"/>
      <c r="GK87" s="21"/>
      <c r="GL87" s="21"/>
      <c r="GM87" s="21"/>
      <c r="GN87" s="21"/>
      <c r="GO87" s="21"/>
      <c r="GP87" s="21"/>
      <c r="GQ87" s="21"/>
      <c r="GR87" s="21"/>
      <c r="GS87" s="21"/>
      <c r="GT87" s="21"/>
      <c r="GU87" s="21"/>
      <c r="GV87" s="21"/>
      <c r="GW87" s="21"/>
      <c r="GX87" s="21"/>
      <c r="GY87" s="21"/>
      <c r="GZ87" s="21"/>
      <c r="HA87" s="21"/>
      <c r="HB87" s="21"/>
      <c r="HC87" s="21"/>
      <c r="HD87" s="21"/>
      <c r="HE87" s="21"/>
      <c r="HF87" s="21"/>
      <c r="HG87" s="21"/>
      <c r="HH87" s="21"/>
      <c r="HI87" s="21"/>
      <c r="HJ87" s="21"/>
      <c r="HK87" s="21"/>
      <c r="HL87" s="21"/>
      <c r="HM87" s="21"/>
      <c r="HN87" s="21"/>
      <c r="HO87" s="21"/>
      <c r="HP87" s="21"/>
      <c r="HQ87" s="21"/>
      <c r="HR87" s="21"/>
      <c r="HS87" s="21"/>
      <c r="HT87" s="21"/>
      <c r="HU87" s="21"/>
      <c r="HV87" s="186"/>
      <c r="HW87" s="21"/>
      <c r="HX87" s="21"/>
      <c r="HY87" s="21"/>
      <c r="HZ87" s="21"/>
      <c r="IA87" s="21"/>
      <c r="IB87" s="21"/>
      <c r="IC87" s="21"/>
      <c r="ID87" s="21"/>
      <c r="IE87" s="21"/>
      <c r="IF87" s="21"/>
      <c r="IG87" s="21"/>
      <c r="IH87" s="21"/>
      <c r="II87" s="21"/>
      <c r="IJ87" s="21"/>
      <c r="IK87" s="21"/>
      <c r="IL87" s="21"/>
      <c r="IM87" s="21"/>
      <c r="IN87" s="21"/>
      <c r="IO87" s="21"/>
      <c r="IP87" s="21"/>
      <c r="IQ87" s="21"/>
      <c r="IR87" s="21"/>
      <c r="IS87" s="21"/>
      <c r="IT87" s="21"/>
      <c r="IU87" s="21"/>
      <c r="IV87" s="21"/>
      <c r="IW87" s="21"/>
      <c r="IX87" s="21"/>
      <c r="IY87" s="21"/>
      <c r="IZ87" s="21"/>
      <c r="JA87" s="21"/>
      <c r="JB87" s="21"/>
      <c r="JC87" s="21"/>
      <c r="JD87" s="21"/>
      <c r="JE87" s="21"/>
      <c r="JF87" s="21"/>
      <c r="JG87" s="21"/>
      <c r="JH87" s="21"/>
      <c r="JI87" s="21"/>
      <c r="JJ87" s="21"/>
      <c r="JK87" s="21"/>
      <c r="JL87" s="21"/>
      <c r="JM87" s="21"/>
      <c r="JN87" s="21"/>
      <c r="JO87" s="21"/>
      <c r="JP87" s="21"/>
      <c r="JQ87" s="21"/>
      <c r="JR87" s="21"/>
      <c r="JS87" s="21"/>
      <c r="JT87" s="21"/>
      <c r="JU87" s="21"/>
      <c r="JV87" s="21"/>
      <c r="JW87" s="21"/>
      <c r="JX87" s="21"/>
      <c r="JY87" s="21"/>
      <c r="JZ87" s="21"/>
      <c r="KA87" s="21"/>
      <c r="KB87" s="21"/>
      <c r="KC87" s="21"/>
      <c r="KD87" s="21"/>
      <c r="KE87" s="21"/>
      <c r="KF87" s="21"/>
      <c r="KG87" s="21"/>
      <c r="KH87" s="21"/>
    </row>
    <row r="88" spans="1:294" hidden="1" x14ac:dyDescent="0.25">
      <c r="A88" s="8"/>
      <c r="B88" s="5" t="s">
        <v>116</v>
      </c>
      <c r="C88" s="8"/>
      <c r="D88" s="6" t="s">
        <v>162</v>
      </c>
      <c r="E88" s="8">
        <v>0</v>
      </c>
      <c r="F88" s="1"/>
      <c r="G88" s="1"/>
      <c r="H88" s="1"/>
      <c r="I88" s="1"/>
      <c r="J88" s="1"/>
      <c r="K88" s="1"/>
      <c r="L88" s="5" t="s">
        <v>602</v>
      </c>
      <c r="M88" s="11">
        <f>INDEX(cennik!$C$2:$L$529,MATCH($L88,cennik!$B$2:$B$522,0),MATCH(M$53,cennik!$C$1:$L$1,0))</f>
        <v>858024</v>
      </c>
      <c r="N88" s="11" t="str">
        <f>INDEX(cennik!$C$2:$L$529,MATCH($L88,cennik!$B$2:$B$522,0),MATCH(N$53,cennik!$C$1:$L$1,0))</f>
        <v>szt.</v>
      </c>
      <c r="O88" s="14">
        <f>IF(E83=AF59,O80*2,0)</f>
        <v>0</v>
      </c>
      <c r="P88" s="11">
        <f>INDEX(cennik!$C$2:$L$529,MATCH($L88,cennik!$B$2:$B$522,0),MATCH(P$53,cennik!$C$1:$L$1,0))</f>
        <v>37.4</v>
      </c>
      <c r="Q88" s="14">
        <f t="shared" si="29"/>
        <v>0</v>
      </c>
      <c r="R88" s="14">
        <f t="shared" si="25"/>
        <v>0</v>
      </c>
      <c r="S88" s="34">
        <f t="shared" si="26"/>
        <v>37.4</v>
      </c>
      <c r="T88" s="14">
        <f t="shared" si="30"/>
        <v>0</v>
      </c>
      <c r="U88" s="34">
        <f>INDEX(cennik!$C$2:$L$529,MATCH($L88,cennik!$B$2:$B$522,0),MATCH(U$53,cennik!$C$1:$L$1,0))*O88</f>
        <v>0</v>
      </c>
      <c r="V88" s="21"/>
      <c r="W88" s="21"/>
      <c r="X88" s="21"/>
      <c r="Y88" s="21"/>
      <c r="Z88" s="21"/>
      <c r="AA88" s="21"/>
      <c r="AB88" s="21"/>
      <c r="AC88" s="21"/>
      <c r="AD88" s="21"/>
      <c r="AE88" s="21"/>
      <c r="AF88" s="21"/>
      <c r="AG88" s="21"/>
      <c r="AH88" s="21"/>
      <c r="AI88" s="21"/>
      <c r="AJ88" s="21"/>
      <c r="AK88" s="21"/>
      <c r="AL88" s="21"/>
      <c r="AM88" s="21"/>
      <c r="AN88" s="21"/>
      <c r="AO88" s="21"/>
      <c r="AP88" s="21"/>
      <c r="AQ88" s="21"/>
      <c r="AR88" s="21"/>
      <c r="AS88" s="21"/>
      <c r="AT88" s="21"/>
      <c r="AU88" s="21"/>
      <c r="AV88" s="21"/>
      <c r="AW88" s="21"/>
      <c r="AX88" s="21"/>
      <c r="AY88" s="21"/>
      <c r="AZ88" s="21"/>
      <c r="BA88" s="21"/>
      <c r="BB88" s="21"/>
      <c r="BC88" s="21"/>
      <c r="BD88" s="21"/>
      <c r="BE88" s="21"/>
      <c r="BF88" s="21"/>
      <c r="BG88" s="21"/>
      <c r="BH88" s="21">
        <f t="shared" si="27"/>
        <v>0</v>
      </c>
      <c r="BI88" s="21">
        <f t="shared" si="28"/>
        <v>0</v>
      </c>
      <c r="BJ88" s="21"/>
      <c r="BK88" s="21"/>
      <c r="BL88" s="21"/>
      <c r="BM88" s="21"/>
      <c r="BN88" s="21"/>
      <c r="BO88" s="21"/>
      <c r="BP88" s="21"/>
      <c r="BQ88" s="21"/>
      <c r="BR88" s="21"/>
      <c r="BS88" s="21"/>
      <c r="BT88" s="21"/>
      <c r="BU88" s="21"/>
      <c r="BV88" s="21"/>
      <c r="BW88" s="21"/>
      <c r="BX88" s="21"/>
      <c r="BY88" s="21"/>
      <c r="BZ88" s="21"/>
      <c r="CA88" s="21"/>
      <c r="CB88" s="21"/>
      <c r="CC88" s="21"/>
      <c r="CD88" s="21"/>
      <c r="CE88" s="21"/>
      <c r="CF88" s="21"/>
      <c r="CG88" s="21"/>
      <c r="CH88" s="21"/>
      <c r="CI88" s="21"/>
      <c r="CJ88" s="21"/>
      <c r="CK88" s="21"/>
      <c r="CL88" s="21"/>
      <c r="CM88" s="21"/>
      <c r="CN88" s="21"/>
      <c r="CO88" s="21"/>
      <c r="CP88" s="21"/>
      <c r="CQ88" s="21"/>
      <c r="CR88" s="21"/>
      <c r="CS88" s="21"/>
      <c r="CT88" s="21"/>
      <c r="CU88" s="21"/>
      <c r="CV88" s="21"/>
      <c r="CW88" s="21"/>
      <c r="CX88" s="21"/>
      <c r="CY88" s="21"/>
      <c r="CZ88" s="21"/>
      <c r="DA88" s="21"/>
      <c r="DB88" s="21"/>
      <c r="DC88" s="21"/>
      <c r="DD88" s="21"/>
      <c r="DE88" s="21"/>
      <c r="DF88" s="21"/>
      <c r="DG88" s="21"/>
      <c r="DH88" s="21"/>
      <c r="DI88" s="21"/>
      <c r="DJ88" s="21"/>
      <c r="DK88" s="21"/>
      <c r="DL88" s="21"/>
      <c r="DM88" s="21"/>
      <c r="DN88" s="21"/>
      <c r="DO88" s="21"/>
      <c r="DP88" s="21"/>
      <c r="DQ88" s="21"/>
      <c r="DR88" s="21"/>
      <c r="DS88" s="21"/>
      <c r="DT88" s="21"/>
      <c r="DU88" s="21"/>
      <c r="DV88" s="21"/>
      <c r="DW88" s="21"/>
      <c r="DX88" s="21"/>
      <c r="DY88" s="21"/>
      <c r="DZ88" s="87"/>
      <c r="EA88" s="87"/>
      <c r="EB88" s="87"/>
      <c r="EC88" s="21"/>
      <c r="ED88" s="21"/>
      <c r="EE88" s="21"/>
      <c r="EF88" s="21"/>
      <c r="EG88" s="21"/>
      <c r="EH88" s="21"/>
      <c r="EI88" s="21"/>
      <c r="EJ88" s="21"/>
      <c r="EK88" s="21"/>
      <c r="EL88" s="21"/>
      <c r="EM88" s="21"/>
      <c r="EN88" s="21"/>
      <c r="EO88" s="21"/>
      <c r="EP88" s="21"/>
      <c r="EQ88" s="21"/>
      <c r="ER88" s="21"/>
      <c r="ES88" s="21"/>
      <c r="ET88" s="21"/>
      <c r="EU88" s="21"/>
      <c r="EV88" s="21"/>
      <c r="EW88" s="21"/>
      <c r="EX88" s="21"/>
      <c r="EY88" s="21"/>
      <c r="EZ88" s="21"/>
      <c r="FA88" s="21"/>
      <c r="FB88" s="21"/>
      <c r="FC88" s="21"/>
      <c r="FD88" s="21"/>
      <c r="FE88" s="21"/>
      <c r="FF88" s="21"/>
      <c r="FG88" s="21"/>
      <c r="FH88" s="21"/>
      <c r="FI88" s="21"/>
      <c r="FJ88" s="21"/>
      <c r="FK88" s="21"/>
      <c r="FL88" s="21"/>
      <c r="FM88" s="21"/>
      <c r="FN88" s="21"/>
      <c r="FO88" s="21"/>
      <c r="FP88" s="21"/>
      <c r="FQ88" s="21"/>
      <c r="FR88" s="21"/>
      <c r="FS88" s="21"/>
      <c r="FT88" s="21"/>
      <c r="FU88" s="21"/>
      <c r="FV88" s="21"/>
      <c r="FW88" s="21"/>
      <c r="FX88" s="21"/>
      <c r="FY88" s="21"/>
      <c r="FZ88" s="21"/>
      <c r="GA88" s="21"/>
      <c r="GB88" s="21"/>
      <c r="GC88" s="21"/>
      <c r="GD88" s="21"/>
      <c r="GE88" s="21"/>
      <c r="GF88" s="21"/>
      <c r="GG88" s="21"/>
      <c r="GH88" s="21"/>
      <c r="GI88" s="21"/>
      <c r="GJ88" s="21"/>
      <c r="GK88" s="21"/>
      <c r="GL88" s="21"/>
      <c r="GM88" s="21"/>
      <c r="GN88" s="21"/>
      <c r="GO88" s="21"/>
      <c r="GP88" s="21"/>
      <c r="GQ88" s="21"/>
      <c r="GR88" s="21"/>
      <c r="GS88" s="21"/>
      <c r="GT88" s="21"/>
      <c r="GU88" s="21"/>
      <c r="GV88" s="21"/>
      <c r="GW88" s="21"/>
      <c r="GX88" s="21"/>
      <c r="GY88" s="21"/>
      <c r="GZ88" s="21"/>
      <c r="HA88" s="21"/>
      <c r="HB88" s="21"/>
      <c r="HC88" s="21"/>
      <c r="HD88" s="21"/>
      <c r="HE88" s="21"/>
      <c r="HF88" s="21"/>
      <c r="HG88" s="21"/>
      <c r="HH88" s="21"/>
      <c r="HI88" s="21"/>
      <c r="HJ88" s="21"/>
      <c r="HK88" s="21"/>
      <c r="HL88" s="21"/>
      <c r="HM88" s="21"/>
      <c r="HN88" s="21"/>
      <c r="HO88" s="21"/>
      <c r="HP88" s="21"/>
      <c r="HQ88" s="21"/>
      <c r="HR88" s="21"/>
      <c r="HS88" s="21"/>
      <c r="HT88" s="21"/>
      <c r="HU88" s="21"/>
      <c r="HV88" s="186"/>
      <c r="HW88" s="21"/>
      <c r="HX88" s="21"/>
      <c r="HY88" s="21"/>
      <c r="HZ88" s="21"/>
      <c r="IA88" s="21"/>
      <c r="IB88" s="21"/>
      <c r="IC88" s="21"/>
      <c r="ID88" s="21"/>
      <c r="IE88" s="21"/>
      <c r="IF88" s="21"/>
      <c r="IG88" s="21"/>
      <c r="IH88" s="21"/>
      <c r="II88" s="21"/>
      <c r="IJ88" s="21"/>
      <c r="IK88" s="21"/>
      <c r="IL88" s="21"/>
      <c r="IM88" s="21"/>
      <c r="IN88" s="21"/>
      <c r="IO88" s="21"/>
      <c r="IP88" s="21"/>
      <c r="IQ88" s="21"/>
      <c r="IR88" s="21"/>
      <c r="IS88" s="21"/>
      <c r="IT88" s="21"/>
      <c r="IU88" s="21"/>
      <c r="IV88" s="21"/>
      <c r="IW88" s="21"/>
      <c r="IX88" s="21"/>
      <c r="IY88" s="21"/>
      <c r="IZ88" s="21"/>
      <c r="JA88" s="21"/>
      <c r="JB88" s="21"/>
      <c r="JC88" s="21"/>
      <c r="JD88" s="21"/>
      <c r="JE88" s="21"/>
      <c r="JF88" s="21"/>
      <c r="JG88" s="21"/>
      <c r="JH88" s="21"/>
      <c r="JI88" s="21"/>
      <c r="JJ88" s="21"/>
      <c r="JK88" s="21"/>
      <c r="JL88" s="21"/>
      <c r="JM88" s="21"/>
      <c r="JN88" s="21"/>
      <c r="JO88" s="21"/>
      <c r="JP88" s="21"/>
      <c r="JQ88" s="21"/>
      <c r="JR88" s="21"/>
      <c r="JS88" s="21"/>
      <c r="JT88" s="21"/>
      <c r="JU88" s="21"/>
      <c r="JV88" s="21"/>
      <c r="JW88" s="21"/>
      <c r="JX88" s="21"/>
      <c r="JY88" s="21"/>
      <c r="JZ88" s="21"/>
      <c r="KA88" s="21"/>
      <c r="KB88" s="21"/>
      <c r="KC88" s="21"/>
      <c r="KD88" s="21"/>
      <c r="KE88" s="21"/>
      <c r="KF88" s="21"/>
      <c r="KG88" s="21"/>
      <c r="KH88" s="21"/>
    </row>
    <row r="89" spans="1:294" hidden="1" x14ac:dyDescent="0.25">
      <c r="A89" s="8"/>
      <c r="B89" s="5" t="s">
        <v>116</v>
      </c>
      <c r="C89" s="8"/>
      <c r="D89" s="6" t="s">
        <v>124</v>
      </c>
      <c r="E89" s="8" t="s">
        <v>125</v>
      </c>
      <c r="F89" s="1"/>
      <c r="G89" s="1"/>
      <c r="H89" s="1"/>
      <c r="I89" s="1"/>
      <c r="J89" s="1"/>
      <c r="K89" s="1"/>
      <c r="L89" s="29" t="s">
        <v>1226</v>
      </c>
      <c r="M89" s="11">
        <f>INDEX(cennik!$C$2:$L$529,MATCH($L89,cennik!$B$2:$B$522,0),MATCH(M$53,cennik!$C$1:$L$1,0))</f>
        <v>1618235</v>
      </c>
      <c r="N89" s="11" t="str">
        <f>INDEX(cennik!$C$2:$L$529,MATCH($L89,cennik!$B$2:$B$522,0),MATCH(N$53,cennik!$C$1:$L$1,0))</f>
        <v>mb.</v>
      </c>
      <c r="O89" s="14">
        <f>(ROUNDUP((IF(E84=AH58,(SUM((A79*C79),(A80*C80),(A81*C81),(A82*C82),(A83*C83),(A84*C84),(A85*C85),(A86*C86),(A87*C87),(A88*C88),(A89*C89),(A90*C90),(A91*C91),(A92*C92),(A93*C93),(A94*C94)))*(AF90/1000),0))/3,0))*3</f>
        <v>0</v>
      </c>
      <c r="P89" s="11">
        <f>INDEX(cennik!$C$2:$L$529,MATCH($L89,cennik!$B$2:$B$522,0),MATCH(P$53,cennik!$C$1:$L$1,0))</f>
        <v>42.28</v>
      </c>
      <c r="Q89" s="14">
        <f t="shared" si="29"/>
        <v>0</v>
      </c>
      <c r="R89" s="14">
        <f t="shared" si="25"/>
        <v>0</v>
      </c>
      <c r="S89" s="34">
        <f t="shared" si="26"/>
        <v>42.28</v>
      </c>
      <c r="T89" s="14">
        <f t="shared" si="30"/>
        <v>0</v>
      </c>
      <c r="U89" s="34">
        <f>INDEX(cennik!$C$2:$L$529,MATCH($L89,cennik!$B$2:$B$522,0),MATCH(U$53,cennik!$C$1:$L$1,0))*O89</f>
        <v>0</v>
      </c>
      <c r="V89" s="21"/>
      <c r="W89" s="21"/>
      <c r="X89" s="21"/>
      <c r="Y89" s="21"/>
      <c r="Z89" s="21"/>
      <c r="AA89" s="21"/>
      <c r="AB89" s="21"/>
      <c r="AC89" s="21"/>
      <c r="AD89" s="21"/>
      <c r="AE89" s="21"/>
      <c r="AF89" s="21"/>
      <c r="AG89" s="21"/>
      <c r="AH89" s="21"/>
      <c r="AI89" s="21"/>
      <c r="AJ89" s="21"/>
      <c r="AK89" s="21"/>
      <c r="AL89" s="21"/>
      <c r="AM89" s="21"/>
      <c r="AN89" s="21"/>
      <c r="AO89" s="21"/>
      <c r="AP89" s="21"/>
      <c r="AQ89" s="21"/>
      <c r="AR89" s="21"/>
      <c r="AS89" s="21"/>
      <c r="AT89" s="21"/>
      <c r="AU89" s="21"/>
      <c r="AV89" s="21"/>
      <c r="AW89" s="21"/>
      <c r="AX89" s="21"/>
      <c r="AY89" s="21"/>
      <c r="AZ89" s="21"/>
      <c r="BA89" s="21"/>
      <c r="BB89" s="21"/>
      <c r="BC89" s="21"/>
      <c r="BD89" s="21"/>
      <c r="BE89" s="21"/>
      <c r="BF89" s="21"/>
      <c r="BG89" s="21"/>
      <c r="BH89" s="21">
        <f t="shared" si="27"/>
        <v>0</v>
      </c>
      <c r="BI89" s="21">
        <f t="shared" si="28"/>
        <v>0</v>
      </c>
      <c r="BJ89" s="21"/>
      <c r="BK89" s="21"/>
      <c r="BL89" s="21"/>
      <c r="BM89" s="21"/>
      <c r="BN89" s="21"/>
      <c r="BO89" s="21"/>
      <c r="BP89" s="21"/>
      <c r="BQ89" s="21"/>
      <c r="BR89" s="21"/>
      <c r="BS89" s="21"/>
      <c r="BT89" s="21"/>
      <c r="BU89" s="21"/>
      <c r="BV89" s="21"/>
      <c r="BW89" s="21"/>
      <c r="BX89" s="21"/>
      <c r="BY89" s="21"/>
      <c r="BZ89" s="21"/>
      <c r="CA89" s="21"/>
      <c r="CB89" s="21"/>
      <c r="CC89" s="21"/>
      <c r="CD89" s="21"/>
      <c r="CE89" s="21"/>
      <c r="CF89" s="21"/>
      <c r="CG89" s="21"/>
      <c r="CH89" s="21"/>
      <c r="CI89" s="21"/>
      <c r="CJ89" s="21"/>
      <c r="CK89" s="21"/>
      <c r="CL89" s="21"/>
      <c r="CM89" s="21"/>
      <c r="CN89" s="21"/>
      <c r="CO89" s="21"/>
      <c r="CP89" s="21"/>
      <c r="CQ89" s="21"/>
      <c r="CR89" s="21"/>
      <c r="CS89" s="21"/>
      <c r="CT89" s="21"/>
      <c r="CU89" s="21"/>
      <c r="CV89" s="21"/>
      <c r="CW89" s="21"/>
      <c r="CX89" s="21"/>
      <c r="CY89" s="21"/>
      <c r="CZ89" s="21"/>
      <c r="DA89" s="21"/>
      <c r="DB89" s="21"/>
      <c r="DC89" s="21"/>
      <c r="DD89" s="21"/>
      <c r="DE89" s="21"/>
      <c r="DF89" s="21"/>
      <c r="DG89" s="21"/>
      <c r="DH89" s="21"/>
      <c r="DI89" s="21"/>
      <c r="DJ89" s="21"/>
      <c r="DK89" s="21"/>
      <c r="DL89" s="21"/>
      <c r="DM89" s="21"/>
      <c r="DN89" s="21"/>
      <c r="DO89" s="21"/>
      <c r="DP89" s="21"/>
      <c r="DQ89" s="21"/>
      <c r="DR89" s="21"/>
      <c r="DS89" s="21"/>
      <c r="DT89" s="21"/>
      <c r="DU89" s="21"/>
      <c r="DV89" s="21"/>
      <c r="DW89" s="21"/>
      <c r="DX89" s="21"/>
      <c r="DY89" s="21"/>
      <c r="DZ89" s="87"/>
      <c r="EA89" s="87"/>
      <c r="EB89" s="87"/>
      <c r="EC89" s="21"/>
      <c r="ED89" s="21"/>
      <c r="EE89" s="21"/>
      <c r="EF89" s="21"/>
      <c r="EG89" s="21"/>
      <c r="EH89" s="21"/>
      <c r="EI89" s="21"/>
      <c r="EJ89" s="21"/>
      <c r="EK89" s="21"/>
      <c r="EL89" s="21"/>
      <c r="EM89" s="21"/>
      <c r="EN89" s="21"/>
      <c r="EO89" s="21"/>
      <c r="EP89" s="21"/>
      <c r="EQ89" s="21"/>
      <c r="ER89" s="21"/>
      <c r="ES89" s="21"/>
      <c r="ET89" s="21"/>
      <c r="EU89" s="21"/>
      <c r="EV89" s="21"/>
      <c r="EW89" s="21"/>
      <c r="EX89" s="21"/>
      <c r="EY89" s="21"/>
      <c r="EZ89" s="21"/>
      <c r="FA89" s="21"/>
      <c r="FB89" s="21"/>
      <c r="FC89" s="21"/>
      <c r="FD89" s="21"/>
      <c r="FE89" s="21"/>
      <c r="FF89" s="21"/>
      <c r="FG89" s="21"/>
      <c r="FH89" s="21"/>
      <c r="FI89" s="21"/>
      <c r="FJ89" s="21"/>
      <c r="FK89" s="21"/>
      <c r="FL89" s="21"/>
      <c r="FM89" s="21"/>
      <c r="FN89" s="21"/>
      <c r="FO89" s="21"/>
      <c r="FP89" s="21"/>
      <c r="FQ89" s="21"/>
      <c r="FR89" s="21"/>
      <c r="FS89" s="21"/>
      <c r="FT89" s="21"/>
      <c r="FU89" s="21"/>
      <c r="FV89" s="21"/>
      <c r="FW89" s="21"/>
      <c r="FX89" s="21"/>
      <c r="FY89" s="21"/>
      <c r="FZ89" s="21"/>
      <c r="GA89" s="21"/>
      <c r="GB89" s="21"/>
      <c r="GC89" s="21"/>
      <c r="GD89" s="21"/>
      <c r="GE89" s="21"/>
      <c r="GF89" s="21"/>
      <c r="GG89" s="21"/>
      <c r="GH89" s="21"/>
      <c r="GI89" s="21"/>
      <c r="GJ89" s="21"/>
      <c r="GK89" s="21"/>
      <c r="GL89" s="21"/>
      <c r="GM89" s="21"/>
      <c r="GN89" s="21"/>
      <c r="GO89" s="21"/>
      <c r="GP89" s="21"/>
      <c r="GQ89" s="21"/>
      <c r="GR89" s="21"/>
      <c r="GS89" s="21"/>
      <c r="GT89" s="21"/>
      <c r="GU89" s="21"/>
      <c r="GV89" s="21"/>
      <c r="GW89" s="21"/>
      <c r="GX89" s="21"/>
      <c r="GY89" s="21"/>
      <c r="GZ89" s="21"/>
      <c r="HA89" s="21"/>
      <c r="HB89" s="21"/>
      <c r="HC89" s="21"/>
      <c r="HD89" s="21"/>
      <c r="HE89" s="21"/>
      <c r="HF89" s="21"/>
      <c r="HG89" s="21"/>
      <c r="HH89" s="21"/>
      <c r="HI89" s="21"/>
      <c r="HJ89" s="21"/>
      <c r="HK89" s="21"/>
      <c r="HL89" s="21"/>
      <c r="HM89" s="21"/>
      <c r="HN89" s="21"/>
      <c r="HO89" s="21"/>
      <c r="HP89" s="21"/>
      <c r="HQ89" s="21"/>
      <c r="HR89" s="21"/>
      <c r="HS89" s="21"/>
      <c r="HT89" s="21"/>
      <c r="HU89" s="21"/>
      <c r="HV89" s="186"/>
      <c r="HW89" s="21"/>
      <c r="HX89" s="21"/>
      <c r="HY89" s="21"/>
      <c r="HZ89" s="21"/>
      <c r="IA89" s="21"/>
      <c r="IB89" s="21"/>
      <c r="IC89" s="21"/>
      <c r="ID89" s="21"/>
      <c r="IE89" s="21"/>
      <c r="IF89" s="21"/>
      <c r="IG89" s="21"/>
      <c r="IH89" s="21"/>
      <c r="II89" s="21"/>
      <c r="IJ89" s="21"/>
      <c r="IK89" s="21"/>
      <c r="IL89" s="21"/>
      <c r="IM89" s="21"/>
      <c r="IN89" s="21"/>
      <c r="IO89" s="21"/>
      <c r="IP89" s="21"/>
      <c r="IQ89" s="21"/>
      <c r="IR89" s="21"/>
      <c r="IS89" s="21"/>
      <c r="IT89" s="21"/>
      <c r="IU89" s="21"/>
      <c r="IV89" s="21"/>
      <c r="IW89" s="21"/>
      <c r="IX89" s="21"/>
      <c r="IY89" s="21"/>
      <c r="IZ89" s="21"/>
      <c r="JA89" s="21"/>
      <c r="JB89" s="21"/>
      <c r="JC89" s="21"/>
      <c r="JD89" s="21"/>
      <c r="JE89" s="21"/>
      <c r="JF89" s="21"/>
      <c r="JG89" s="21"/>
      <c r="JH89" s="21"/>
      <c r="JI89" s="21"/>
      <c r="JJ89" s="21"/>
      <c r="JK89" s="21"/>
      <c r="JL89" s="21"/>
      <c r="JM89" s="21"/>
      <c r="JN89" s="21"/>
      <c r="JO89" s="21"/>
      <c r="JP89" s="21"/>
      <c r="JQ89" s="21"/>
      <c r="JR89" s="21"/>
      <c r="JS89" s="21"/>
      <c r="JT89" s="21"/>
      <c r="JU89" s="21"/>
      <c r="JV89" s="21"/>
      <c r="JW89" s="21"/>
      <c r="JX89" s="21"/>
      <c r="JY89" s="21"/>
      <c r="JZ89" s="21"/>
      <c r="KA89" s="21"/>
      <c r="KB89" s="21"/>
      <c r="KC89" s="21"/>
      <c r="KD89" s="21"/>
      <c r="KE89" s="21"/>
      <c r="KF89" s="21"/>
      <c r="KG89" s="21"/>
      <c r="KH89" s="21"/>
    </row>
    <row r="90" spans="1:294" hidden="1" x14ac:dyDescent="0.25">
      <c r="A90" s="8"/>
      <c r="B90" s="5" t="s">
        <v>116</v>
      </c>
      <c r="C90" s="8"/>
      <c r="D90" s="1"/>
      <c r="E90" s="1"/>
      <c r="F90" s="1"/>
      <c r="G90" s="1"/>
      <c r="H90" s="1"/>
      <c r="I90" s="1"/>
      <c r="J90" s="1"/>
      <c r="K90" s="1"/>
      <c r="L90" s="5" t="s">
        <v>1227</v>
      </c>
      <c r="M90" s="11">
        <f>INDEX(cennik!$C$2:$L$529,MATCH($L90,cennik!$B$2:$B$522,0),MATCH(M$53,cennik!$C$1:$L$1,0))</f>
        <v>895511</v>
      </c>
      <c r="N90" s="11" t="str">
        <f>INDEX(cennik!$C$2:$L$529,MATCH($L90,cennik!$B$2:$B$522,0),MATCH(N$53,cennik!$C$1:$L$1,0))</f>
        <v>szt.</v>
      </c>
      <c r="O90" s="14">
        <f>IF(E85=AP57,O80*3,0)</f>
        <v>0</v>
      </c>
      <c r="P90" s="11">
        <f>INDEX(cennik!$C$2:$L$529,MATCH($L90,cennik!$B$2:$B$522,0),MATCH(P$53,cennik!$C$1:$L$1,0))</f>
        <v>4.8</v>
      </c>
      <c r="Q90" s="14">
        <f t="shared" si="29"/>
        <v>0</v>
      </c>
      <c r="R90" s="14">
        <f t="shared" si="25"/>
        <v>0</v>
      </c>
      <c r="S90" s="34">
        <f t="shared" si="26"/>
        <v>4.8</v>
      </c>
      <c r="T90" s="14">
        <f t="shared" si="30"/>
        <v>0</v>
      </c>
      <c r="U90" s="34">
        <f>INDEX(cennik!$C$2:$L$529,MATCH($L90,cennik!$B$2:$B$522,0),MATCH(U$53,cennik!$C$1:$L$1,0))*O90</f>
        <v>0</v>
      </c>
      <c r="V90" s="21"/>
      <c r="W90" s="21"/>
      <c r="X90" s="21"/>
      <c r="Y90" s="21"/>
      <c r="Z90" s="21"/>
      <c r="AA90" s="21"/>
      <c r="AB90" s="21"/>
      <c r="AC90" s="21"/>
      <c r="AD90" s="21"/>
      <c r="AE90" s="21"/>
      <c r="AF90" s="21" cm="1">
        <f t="array" ref="AF90">INDEX(($Y$109:$Y$126),MATCH(E80,$X$109:$X$126,0),0)</f>
        <v>2000</v>
      </c>
      <c r="AG90" s="21"/>
      <c r="AH90" s="21" t="s">
        <v>1255</v>
      </c>
      <c r="AI90" s="21" t="s">
        <v>1256</v>
      </c>
      <c r="AJ90" s="21"/>
      <c r="AK90" s="21"/>
      <c r="AL90" s="21"/>
      <c r="AM90" s="21"/>
      <c r="AN90" s="21"/>
      <c r="AO90" s="21"/>
      <c r="AP90" s="21"/>
      <c r="AQ90" s="21"/>
      <c r="AR90" s="21"/>
      <c r="AS90" s="21"/>
      <c r="AT90" s="21"/>
      <c r="AU90" s="21"/>
      <c r="AV90" s="21"/>
      <c r="AW90" s="21"/>
      <c r="AX90" s="21"/>
      <c r="AY90" s="21"/>
      <c r="AZ90" s="21"/>
      <c r="BA90" s="21"/>
      <c r="BB90" s="21"/>
      <c r="BC90" s="21"/>
      <c r="BD90" s="21"/>
      <c r="BE90" s="21"/>
      <c r="BF90" s="21"/>
      <c r="BG90" s="21"/>
      <c r="BH90" s="21">
        <f t="shared" si="27"/>
        <v>0</v>
      </c>
      <c r="BI90" s="21">
        <f t="shared" si="28"/>
        <v>0</v>
      </c>
      <c r="BJ90" s="21"/>
      <c r="BK90" s="21"/>
      <c r="BL90" s="21"/>
      <c r="BM90" s="21"/>
      <c r="BN90" s="21"/>
      <c r="BO90" s="21"/>
      <c r="BP90" s="21"/>
      <c r="BQ90" s="21"/>
      <c r="BR90" s="21"/>
      <c r="BS90" s="21"/>
      <c r="BT90" s="21"/>
      <c r="BU90" s="21"/>
      <c r="BV90" s="21"/>
      <c r="BW90" s="21"/>
      <c r="BX90" s="21"/>
      <c r="BY90" s="21"/>
      <c r="BZ90" s="21"/>
      <c r="CA90" s="21"/>
      <c r="CB90" s="21"/>
      <c r="CC90" s="21"/>
      <c r="CD90" s="21"/>
      <c r="CE90" s="21"/>
      <c r="CF90" s="21"/>
      <c r="CG90" s="21"/>
      <c r="CH90" s="21"/>
      <c r="CI90" s="21"/>
      <c r="CJ90" s="21"/>
      <c r="CK90" s="21"/>
      <c r="CL90" s="21"/>
      <c r="CM90" s="21"/>
      <c r="CN90" s="21"/>
      <c r="CO90" s="21"/>
      <c r="CP90" s="21"/>
      <c r="CQ90" s="21"/>
      <c r="CR90" s="21"/>
      <c r="CS90" s="21"/>
      <c r="CT90" s="21"/>
      <c r="CU90" s="21"/>
      <c r="CV90" s="21"/>
      <c r="CW90" s="21"/>
      <c r="CX90" s="21"/>
      <c r="CY90" s="21"/>
      <c r="CZ90" s="21"/>
      <c r="DA90" s="21"/>
      <c r="DB90" s="21"/>
      <c r="DC90" s="21"/>
      <c r="DD90" s="21"/>
      <c r="DE90" s="21"/>
      <c r="DF90" s="21"/>
      <c r="DG90" s="21"/>
      <c r="DH90" s="21"/>
      <c r="DI90" s="21"/>
      <c r="DJ90" s="21"/>
      <c r="DK90" s="21"/>
      <c r="DL90" s="21"/>
      <c r="DM90" s="21"/>
      <c r="DN90" s="21"/>
      <c r="DO90" s="21"/>
      <c r="DP90" s="21"/>
      <c r="DQ90" s="21"/>
      <c r="DR90" s="21"/>
      <c r="DS90" s="21"/>
      <c r="DT90" s="21"/>
      <c r="DU90" s="21"/>
      <c r="DV90" s="21"/>
      <c r="DW90" s="21"/>
      <c r="DX90" s="21"/>
      <c r="DY90" s="21"/>
      <c r="DZ90" s="87"/>
      <c r="EA90" s="87"/>
      <c r="EB90" s="87"/>
      <c r="EC90" s="21"/>
      <c r="ED90" s="21"/>
      <c r="EE90" s="21"/>
      <c r="EF90" s="21"/>
      <c r="EG90" s="21"/>
      <c r="EH90" s="21"/>
      <c r="EI90" s="21"/>
      <c r="EJ90" s="21"/>
      <c r="EK90" s="21"/>
      <c r="EL90" s="21"/>
      <c r="EM90" s="21"/>
      <c r="EN90" s="21"/>
      <c r="EO90" s="21"/>
      <c r="EP90" s="21"/>
      <c r="EQ90" s="21"/>
      <c r="ER90" s="21"/>
      <c r="ES90" s="21"/>
      <c r="ET90" s="21"/>
      <c r="EU90" s="21"/>
      <c r="EV90" s="21"/>
      <c r="EW90" s="21"/>
      <c r="EX90" s="21"/>
      <c r="EY90" s="21"/>
      <c r="EZ90" s="21"/>
      <c r="FA90" s="21"/>
      <c r="FB90" s="21"/>
      <c r="FC90" s="21"/>
      <c r="FD90" s="21"/>
      <c r="FE90" s="21"/>
      <c r="FF90" s="21"/>
      <c r="FG90" s="21"/>
      <c r="FH90" s="21"/>
      <c r="FI90" s="21"/>
      <c r="FJ90" s="21"/>
      <c r="FK90" s="21"/>
      <c r="FL90" s="21"/>
      <c r="FM90" s="21"/>
      <c r="FN90" s="21"/>
      <c r="FO90" s="21"/>
      <c r="FP90" s="21"/>
      <c r="FQ90" s="21"/>
      <c r="FR90" s="21"/>
      <c r="FS90" s="21"/>
      <c r="FT90" s="21"/>
      <c r="FU90" s="21"/>
      <c r="FV90" s="21"/>
      <c r="FW90" s="21"/>
      <c r="FX90" s="21"/>
      <c r="FY90" s="21"/>
      <c r="FZ90" s="21"/>
      <c r="GA90" s="21"/>
      <c r="GB90" s="21"/>
      <c r="GC90" s="21"/>
      <c r="GD90" s="21"/>
      <c r="GE90" s="21"/>
      <c r="GF90" s="21"/>
      <c r="GG90" s="21"/>
      <c r="GH90" s="21"/>
      <c r="GI90" s="21"/>
      <c r="GJ90" s="21"/>
      <c r="GK90" s="21"/>
      <c r="GL90" s="21"/>
      <c r="GM90" s="21"/>
      <c r="GN90" s="21"/>
      <c r="GO90" s="21"/>
      <c r="GP90" s="21"/>
      <c r="GQ90" s="21"/>
      <c r="GR90" s="21"/>
      <c r="GS90" s="21"/>
      <c r="GT90" s="21"/>
      <c r="GU90" s="21"/>
      <c r="GV90" s="21"/>
      <c r="GW90" s="21"/>
      <c r="GX90" s="21"/>
      <c r="GY90" s="21"/>
      <c r="GZ90" s="21"/>
      <c r="HA90" s="21"/>
      <c r="HB90" s="21"/>
      <c r="HC90" s="21"/>
      <c r="HD90" s="21"/>
      <c r="HE90" s="21"/>
      <c r="HF90" s="21"/>
      <c r="HG90" s="21"/>
      <c r="HH90" s="21"/>
      <c r="HI90" s="21"/>
      <c r="HJ90" s="21"/>
      <c r="HK90" s="21"/>
      <c r="HL90" s="21"/>
      <c r="HM90" s="21"/>
      <c r="HN90" s="21"/>
      <c r="HO90" s="21"/>
      <c r="HP90" s="21"/>
      <c r="HQ90" s="21"/>
      <c r="HR90" s="21"/>
      <c r="HS90" s="21"/>
      <c r="HT90" s="21"/>
      <c r="HU90" s="21"/>
      <c r="HV90" s="186"/>
      <c r="HW90" s="21"/>
      <c r="HX90" s="21"/>
      <c r="HY90" s="21"/>
      <c r="HZ90" s="21"/>
      <c r="IA90" s="21"/>
      <c r="IB90" s="21"/>
      <c r="IC90" s="21"/>
      <c r="ID90" s="21"/>
      <c r="IE90" s="21"/>
      <c r="IF90" s="21"/>
      <c r="IG90" s="21"/>
      <c r="IH90" s="21"/>
      <c r="II90" s="21"/>
      <c r="IJ90" s="21"/>
      <c r="IK90" s="21"/>
      <c r="IL90" s="21"/>
      <c r="IM90" s="21"/>
      <c r="IN90" s="21"/>
      <c r="IO90" s="21"/>
      <c r="IP90" s="21"/>
      <c r="IQ90" s="21"/>
      <c r="IR90" s="21"/>
      <c r="IS90" s="21"/>
      <c r="IT90" s="21"/>
      <c r="IU90" s="21"/>
      <c r="IV90" s="21"/>
      <c r="IW90" s="21"/>
      <c r="IX90" s="21"/>
      <c r="IY90" s="21"/>
      <c r="IZ90" s="21"/>
      <c r="JA90" s="21"/>
      <c r="JB90" s="21"/>
      <c r="JC90" s="21"/>
      <c r="JD90" s="21"/>
      <c r="JE90" s="21"/>
      <c r="JF90" s="21"/>
      <c r="JG90" s="21"/>
      <c r="JH90" s="21"/>
      <c r="JI90" s="21"/>
      <c r="JJ90" s="21"/>
      <c r="JK90" s="21"/>
      <c r="JL90" s="21"/>
      <c r="JM90" s="21"/>
      <c r="JN90" s="21"/>
      <c r="JO90" s="21"/>
      <c r="JP90" s="21"/>
      <c r="JQ90" s="21"/>
      <c r="JR90" s="21"/>
      <c r="JS90" s="21"/>
      <c r="JT90" s="21"/>
      <c r="JU90" s="21"/>
      <c r="JV90" s="21"/>
      <c r="JW90" s="21"/>
      <c r="JX90" s="21"/>
      <c r="JY90" s="21"/>
      <c r="JZ90" s="21"/>
      <c r="KA90" s="21"/>
      <c r="KB90" s="21"/>
      <c r="KC90" s="21"/>
      <c r="KD90" s="21"/>
      <c r="KE90" s="21"/>
      <c r="KF90" s="21"/>
      <c r="KG90" s="21"/>
      <c r="KH90" s="21"/>
    </row>
    <row r="91" spans="1:294" hidden="1" x14ac:dyDescent="0.25">
      <c r="A91" s="8"/>
      <c r="B91" s="5" t="s">
        <v>116</v>
      </c>
      <c r="C91" s="8"/>
      <c r="D91" s="1"/>
      <c r="E91" s="1"/>
      <c r="F91" s="1"/>
      <c r="G91" s="1"/>
      <c r="H91" s="1"/>
      <c r="I91" s="1"/>
      <c r="J91" s="1"/>
      <c r="K91" s="1"/>
      <c r="L91" s="5" t="s">
        <v>1228</v>
      </c>
      <c r="M91" s="11" t="e">
        <f>INDEX(cennik!$C$2:$L$529,MATCH($L91,cennik!$B$2:$B$522,0),MATCH(M$53,cennik!$C$1:$L$1,0))</f>
        <v>#N/A</v>
      </c>
      <c r="N91" s="11" t="e">
        <f>INDEX(cennik!$C$2:$L$529,MATCH($L91,cennik!$B$2:$B$522,0),MATCH(N$53,cennik!$C$1:$L$1,0))</f>
        <v>#N/A</v>
      </c>
      <c r="O91" s="11">
        <f>ROUNDUP(O93/100,0)</f>
        <v>0</v>
      </c>
      <c r="P91" s="11" t="e">
        <f>INDEX(cennik!$C$2:$L$529,MATCH($L91,cennik!$B$2:$B$522,0),MATCH(P$53,cennik!$C$1:$L$1,0))</f>
        <v>#N/A</v>
      </c>
      <c r="Q91" s="14" t="e">
        <f t="shared" si="29"/>
        <v>#N/A</v>
      </c>
      <c r="R91" s="14">
        <f t="shared" si="25"/>
        <v>0</v>
      </c>
      <c r="S91" s="34" t="e">
        <f t="shared" si="26"/>
        <v>#N/A</v>
      </c>
      <c r="T91" s="14" t="e">
        <f t="shared" si="30"/>
        <v>#N/A</v>
      </c>
      <c r="U91" s="34" t="e">
        <f>INDEX(cennik!$C$2:$L$529,MATCH($L91,cennik!$B$2:$B$522,0),MATCH(U$53,cennik!$C$1:$L$1,0))*O91</f>
        <v>#N/A</v>
      </c>
      <c r="V91" s="21"/>
      <c r="W91" s="21"/>
      <c r="X91" s="21"/>
      <c r="Y91" s="21"/>
      <c r="Z91" s="21"/>
      <c r="AA91" s="21"/>
      <c r="AB91" s="21"/>
      <c r="AC91" s="21"/>
      <c r="AD91" s="21"/>
      <c r="AE91" s="21"/>
      <c r="AF91" s="21"/>
      <c r="AG91" s="21" t="s">
        <v>1257</v>
      </c>
      <c r="AH91" s="21">
        <f>IF(E82=AF56,0,IF(E82=AF55,SUM(IF(A79=0,0,IF(A79&gt;0,(A79/2-1)*4*C79)),IF(A80=0,0,IF(A80&gt;0,(A80/2-1)*4*C80)),IF(A81=0,0,IF(A81&gt;0,(A81/2-1)*4*C81)),IF(A82=0,0,IF(A82&gt;0,(A82/2-1)*4*C82)),IF(A83=0,0,IF(A83&gt;0,(A83/2-1)*4*C83)),IF(A84=0,0,IF(A84&gt;0,(A84/2-1)*4*C84)),IF(A85=0,0,IF(A85&gt;0,(A85/2-1)*4*C85)),IF(A86=0,0,IF(A86&gt;0,(A86/2-1)*4*C86)),IF(A87=0,0,IF(A87&gt;0,(A87/2-1)*4*C87)),IF(A88=0,0,IF(A88&gt;0,(A88/2-1)*4*C88)),IF(A89=0,0,IF(A89&gt;0,(A89/2-1)*4*C89)),IF(A90=0,0,IF(A90&gt;0,(A90/2-1)*4*C90)),IF(A91=0,0,IF(A91&gt;0,(A91/2-1)*4*C91)),IF(A92=0,0,IF(A92&gt;0,(A92/2-1)*4*C92)),IF(A93=0,0,IF(A93&gt;0,(A93/2-1)*4*C93)),IF(A94=0,0,IF(A94&gt;0,(A94/2-1)*4*C94)))))</f>
        <v>16</v>
      </c>
      <c r="AI91" s="21">
        <f>IF(E82=AF56,0,IF(E82=AF55,SUM(IF(A79=0,0,IF((A79&gt;0),C79*8)),IF(A80=0,0,IF((A80&gt;0),C80*8)),IF(A81=0,0,IF((A81&gt;0),C81*8)),IF(A82=0,0,IF((A82&gt;0),C82*8)),IF(A83=0,0,IF((A83&gt;0),C83*8)),IF(A84=0,0,IF((A84&gt;0),C84*8)),IF(A85=0,0,IF((A85&gt;0),C85*8)),IF(A86=0,0,IF((A86&gt;0),C86*8)),IF(A87=0,0,IF((A87&gt;0),C87*8)),IF(A88=0,0,IF((A88&gt;0),C88*8)),IF(A89=0,0,IF((A89&gt;0),C89*8)),IF(A90=0,0,IF((A90&gt;0),C90*8)),IF(A91=0,0,IF((A91&gt;0),C91*8)),IF(A92=0,0,IF((A92&gt;0),C92*8)),IF(A93=0,0,IF((A93&gt;0),C93*8)),,IF(A94=0,0,IF((A94&gt;0),C94*8)))))</f>
        <v>8</v>
      </c>
      <c r="AJ91" s="21"/>
      <c r="AK91" s="21"/>
      <c r="AL91" s="21"/>
      <c r="AM91" s="21"/>
      <c r="AN91" s="21"/>
      <c r="AO91" s="21"/>
      <c r="AP91" s="21"/>
      <c r="AQ91" s="21"/>
      <c r="AR91" s="21"/>
      <c r="AS91" s="21"/>
      <c r="AT91" s="21"/>
      <c r="AU91" s="21"/>
      <c r="AV91" s="21"/>
      <c r="AW91" s="21"/>
      <c r="AX91" s="21"/>
      <c r="AY91" s="21"/>
      <c r="AZ91" s="21"/>
      <c r="BA91" s="21"/>
      <c r="BB91" s="21"/>
      <c r="BC91" s="21"/>
      <c r="BD91" s="21"/>
      <c r="BE91" s="21"/>
      <c r="BF91" s="21"/>
      <c r="BG91" s="21"/>
      <c r="BH91" s="21">
        <f t="shared" si="27"/>
        <v>0</v>
      </c>
      <c r="BI91" s="21">
        <f t="shared" si="28"/>
        <v>0</v>
      </c>
      <c r="BJ91" s="21"/>
      <c r="BK91" s="21"/>
      <c r="BL91" s="21"/>
      <c r="BM91" s="21"/>
      <c r="BN91" s="21"/>
      <c r="BO91" s="21"/>
      <c r="BP91" s="21"/>
      <c r="BQ91" s="21"/>
      <c r="BR91" s="21"/>
      <c r="BS91" s="21"/>
      <c r="BT91" s="21"/>
      <c r="BU91" s="21"/>
      <c r="BV91" s="21"/>
      <c r="BW91" s="21"/>
      <c r="BX91" s="21"/>
      <c r="BY91" s="21"/>
      <c r="BZ91" s="21"/>
      <c r="CA91" s="21"/>
      <c r="CB91" s="21"/>
      <c r="CC91" s="21"/>
      <c r="CD91" s="21"/>
      <c r="CE91" s="21"/>
      <c r="CF91" s="21"/>
      <c r="CG91" s="21"/>
      <c r="CH91" s="21"/>
      <c r="CI91" s="21"/>
      <c r="CJ91" s="21"/>
      <c r="CK91" s="21"/>
      <c r="CL91" s="21"/>
      <c r="CM91" s="21"/>
      <c r="CN91" s="21"/>
      <c r="CO91" s="21"/>
      <c r="CP91" s="21"/>
      <c r="CQ91" s="21"/>
      <c r="CR91" s="21"/>
      <c r="CS91" s="21"/>
      <c r="CT91" s="21"/>
      <c r="CU91" s="21"/>
      <c r="CV91" s="21"/>
      <c r="CW91" s="21"/>
      <c r="CX91" s="21"/>
      <c r="CY91" s="21"/>
      <c r="CZ91" s="21"/>
      <c r="DA91" s="21"/>
      <c r="DB91" s="21"/>
      <c r="DC91" s="21"/>
      <c r="DD91" s="21"/>
      <c r="DE91" s="21"/>
      <c r="DF91" s="21"/>
      <c r="DG91" s="21"/>
      <c r="DH91" s="21"/>
      <c r="DI91" s="21"/>
      <c r="DJ91" s="21"/>
      <c r="DK91" s="21"/>
      <c r="DL91" s="21"/>
      <c r="DM91" s="21"/>
      <c r="DN91" s="21"/>
      <c r="DO91" s="21"/>
      <c r="DP91" s="21"/>
      <c r="DQ91" s="21"/>
      <c r="DR91" s="21"/>
      <c r="DS91" s="21"/>
      <c r="DT91" s="21"/>
      <c r="DU91" s="21"/>
      <c r="DV91" s="21"/>
      <c r="DW91" s="21"/>
      <c r="DX91" s="21"/>
      <c r="DY91" s="21"/>
      <c r="DZ91" s="87"/>
      <c r="EA91" s="87"/>
      <c r="EB91" s="87"/>
      <c r="EC91" s="21"/>
      <c r="ED91" s="21"/>
      <c r="EE91" s="21"/>
      <c r="EF91" s="21"/>
      <c r="EG91" s="21"/>
      <c r="EH91" s="21"/>
      <c r="EI91" s="21"/>
      <c r="EJ91" s="21"/>
      <c r="EK91" s="21"/>
      <c r="EL91" s="21"/>
      <c r="EM91" s="21"/>
      <c r="EN91" s="21"/>
      <c r="EO91" s="21"/>
      <c r="EP91" s="21"/>
      <c r="EQ91" s="21"/>
      <c r="ER91" s="21"/>
      <c r="ES91" s="21"/>
      <c r="ET91" s="21"/>
      <c r="EU91" s="21"/>
      <c r="EV91" s="21"/>
      <c r="EW91" s="21"/>
      <c r="EX91" s="21"/>
      <c r="EY91" s="21"/>
      <c r="EZ91" s="21"/>
      <c r="FA91" s="21"/>
      <c r="FB91" s="21"/>
      <c r="FC91" s="21"/>
      <c r="FD91" s="21"/>
      <c r="FE91" s="21"/>
      <c r="FF91" s="21"/>
      <c r="FG91" s="21"/>
      <c r="FH91" s="21"/>
      <c r="FI91" s="21"/>
      <c r="FJ91" s="21"/>
      <c r="FK91" s="21"/>
      <c r="FL91" s="21"/>
      <c r="FM91" s="21"/>
      <c r="FN91" s="21"/>
      <c r="FO91" s="21"/>
      <c r="FP91" s="21"/>
      <c r="FQ91" s="21"/>
      <c r="FR91" s="21"/>
      <c r="FS91" s="21"/>
      <c r="FT91" s="21"/>
      <c r="FU91" s="21"/>
      <c r="FV91" s="21"/>
      <c r="FW91" s="21"/>
      <c r="FX91" s="21"/>
      <c r="FY91" s="21"/>
      <c r="FZ91" s="21"/>
      <c r="GA91" s="21"/>
      <c r="GB91" s="21"/>
      <c r="GC91" s="21"/>
      <c r="GD91" s="21"/>
      <c r="GE91" s="21"/>
      <c r="GF91" s="21"/>
      <c r="GG91" s="21"/>
      <c r="GH91" s="21"/>
      <c r="GI91" s="21"/>
      <c r="GJ91" s="21"/>
      <c r="GK91" s="21"/>
      <c r="GL91" s="21"/>
      <c r="GM91" s="21"/>
      <c r="GN91" s="21"/>
      <c r="GO91" s="21"/>
      <c r="GP91" s="21"/>
      <c r="GQ91" s="21"/>
      <c r="GR91" s="21"/>
      <c r="GS91" s="21"/>
      <c r="GT91" s="21"/>
      <c r="GU91" s="21"/>
      <c r="GV91" s="21"/>
      <c r="GW91" s="21"/>
      <c r="GX91" s="21"/>
      <c r="GY91" s="21"/>
      <c r="GZ91" s="21"/>
      <c r="HA91" s="21"/>
      <c r="HB91" s="21"/>
      <c r="HC91" s="21"/>
      <c r="HD91" s="21"/>
      <c r="HE91" s="21"/>
      <c r="HF91" s="21"/>
      <c r="HG91" s="21"/>
      <c r="HH91" s="21"/>
      <c r="HI91" s="21"/>
      <c r="HJ91" s="21"/>
      <c r="HK91" s="21"/>
      <c r="HL91" s="21"/>
      <c r="HM91" s="21"/>
      <c r="HN91" s="21"/>
      <c r="HO91" s="21"/>
      <c r="HP91" s="21"/>
      <c r="HQ91" s="21"/>
      <c r="HR91" s="21"/>
      <c r="HS91" s="21"/>
      <c r="HT91" s="21"/>
      <c r="HU91" s="21"/>
      <c r="HV91" s="186"/>
      <c r="HW91" s="21"/>
      <c r="HX91" s="21"/>
      <c r="HY91" s="21"/>
      <c r="HZ91" s="21"/>
      <c r="IA91" s="21"/>
      <c r="IB91" s="21"/>
      <c r="IC91" s="21"/>
      <c r="ID91" s="21"/>
      <c r="IE91" s="21"/>
      <c r="IF91" s="21"/>
      <c r="IG91" s="21"/>
      <c r="IH91" s="21"/>
      <c r="II91" s="21"/>
      <c r="IJ91" s="21"/>
      <c r="IK91" s="21"/>
      <c r="IL91" s="21"/>
      <c r="IM91" s="21"/>
      <c r="IN91" s="21"/>
      <c r="IO91" s="21"/>
      <c r="IP91" s="21"/>
      <c r="IQ91" s="21"/>
      <c r="IR91" s="21"/>
      <c r="IS91" s="21"/>
      <c r="IT91" s="21"/>
      <c r="IU91" s="21"/>
      <c r="IV91" s="21"/>
      <c r="IW91" s="21"/>
      <c r="IX91" s="21"/>
      <c r="IY91" s="21"/>
      <c r="IZ91" s="21"/>
      <c r="JA91" s="21"/>
      <c r="JB91" s="21"/>
      <c r="JC91" s="21"/>
      <c r="JD91" s="21"/>
      <c r="JE91" s="21"/>
      <c r="JF91" s="21"/>
      <c r="JG91" s="21"/>
      <c r="JH91" s="21"/>
      <c r="JI91" s="21"/>
      <c r="JJ91" s="21"/>
      <c r="JK91" s="21"/>
      <c r="JL91" s="21"/>
      <c r="JM91" s="21"/>
      <c r="JN91" s="21"/>
      <c r="JO91" s="21"/>
      <c r="JP91" s="21"/>
      <c r="JQ91" s="21"/>
      <c r="JR91" s="21"/>
      <c r="JS91" s="21"/>
      <c r="JT91" s="21"/>
      <c r="JU91" s="21"/>
      <c r="JV91" s="21"/>
      <c r="JW91" s="21"/>
      <c r="JX91" s="21"/>
      <c r="JY91" s="21"/>
      <c r="JZ91" s="21"/>
      <c r="KA91" s="21"/>
      <c r="KB91" s="21"/>
      <c r="KC91" s="21"/>
      <c r="KD91" s="21"/>
      <c r="KE91" s="21"/>
      <c r="KF91" s="21"/>
      <c r="KG91" s="21"/>
      <c r="KH91" s="21"/>
    </row>
    <row r="92" spans="1:294" hidden="1" x14ac:dyDescent="0.25">
      <c r="A92" s="8"/>
      <c r="B92" s="5" t="s">
        <v>116</v>
      </c>
      <c r="C92" s="8"/>
      <c r="D92" s="1"/>
      <c r="E92" s="1"/>
      <c r="F92" s="1"/>
      <c r="G92" s="1"/>
      <c r="H92" s="1"/>
      <c r="I92" s="1"/>
      <c r="J92" s="1"/>
      <c r="K92" s="1"/>
      <c r="L92" s="5" t="s">
        <v>1229</v>
      </c>
      <c r="M92" s="11" t="e">
        <f>INDEX(cennik!$C$2:$L$529,MATCH($L92,cennik!$B$2:$B$522,0),MATCH(M$53,cennik!$C$1:$L$1,0))</f>
        <v>#N/A</v>
      </c>
      <c r="N92" s="11" t="e">
        <f>INDEX(cennik!$C$2:$L$529,MATCH($L92,cennik!$B$2:$B$522,0),MATCH(N$53,cennik!$C$1:$L$1,0))</f>
        <v>#N/A</v>
      </c>
      <c r="O92" s="14">
        <f>O91</f>
        <v>0</v>
      </c>
      <c r="P92" s="11" t="e">
        <f>INDEX(cennik!$C$2:$L$529,MATCH($L92,cennik!$B$2:$B$522,0),MATCH(P$53,cennik!$C$1:$L$1,0))</f>
        <v>#N/A</v>
      </c>
      <c r="Q92" s="14" t="e">
        <f t="shared" si="29"/>
        <v>#N/A</v>
      </c>
      <c r="R92" s="14">
        <f t="shared" si="25"/>
        <v>0</v>
      </c>
      <c r="S92" s="34" t="e">
        <f t="shared" si="26"/>
        <v>#N/A</v>
      </c>
      <c r="T92" s="14" t="e">
        <f t="shared" si="30"/>
        <v>#N/A</v>
      </c>
      <c r="U92" s="34" t="e">
        <f>INDEX(cennik!$C$2:$L$529,MATCH($L92,cennik!$B$2:$B$522,0),MATCH(U$53,cennik!$C$1:$L$1,0))*O92</f>
        <v>#N/A</v>
      </c>
      <c r="V92" s="21"/>
      <c r="W92" s="21"/>
      <c r="X92" s="21"/>
      <c r="Y92" s="21"/>
      <c r="Z92" s="21"/>
      <c r="AA92" s="21"/>
      <c r="AB92" s="21"/>
      <c r="AC92" s="21"/>
      <c r="AD92" s="21"/>
      <c r="AE92" s="21"/>
      <c r="AF92" s="21"/>
      <c r="AG92" s="21" t="s">
        <v>1258</v>
      </c>
      <c r="AH92" s="21">
        <v>0</v>
      </c>
      <c r="AI92" s="21">
        <f>IF(E82=AF55,(SUM((A79*4*C79),(A80*4*C80),(A81*4*C81),(A82*4*C82),(A83*4*C83),(A84*4*C84),(A85*4*C85),(A86*4*C86),(A87*4*C87),(A88*4*C88),(A89*4*C89),(A90*4*C90),(A91*4*C91),(A92*4*C92),(A93*4*C93),(A94*4*C94))),0)</f>
        <v>40</v>
      </c>
      <c r="AJ92" s="21"/>
      <c r="AK92" s="21"/>
      <c r="AL92" s="21"/>
      <c r="AM92" s="21"/>
      <c r="AN92" s="21"/>
      <c r="AO92" s="21"/>
      <c r="AP92" s="21"/>
      <c r="AQ92" s="21"/>
      <c r="AR92" s="21"/>
      <c r="AS92" s="21"/>
      <c r="AT92" s="21"/>
      <c r="AU92" s="21"/>
      <c r="AV92" s="21"/>
      <c r="AW92" s="21"/>
      <c r="AX92" s="21"/>
      <c r="AY92" s="21"/>
      <c r="AZ92" s="21"/>
      <c r="BA92" s="21"/>
      <c r="BB92" s="21"/>
      <c r="BC92" s="21"/>
      <c r="BD92" s="21"/>
      <c r="BE92" s="21"/>
      <c r="BF92" s="21"/>
      <c r="BG92" s="21"/>
      <c r="BH92" s="21">
        <f t="shared" si="27"/>
        <v>0</v>
      </c>
      <c r="BI92" s="21">
        <f t="shared" si="28"/>
        <v>0</v>
      </c>
      <c r="BJ92" s="21"/>
      <c r="BK92" s="21"/>
      <c r="BL92" s="21"/>
      <c r="BM92" s="21"/>
      <c r="BN92" s="21"/>
      <c r="BO92" s="21"/>
      <c r="BP92" s="21"/>
      <c r="BQ92" s="21"/>
      <c r="BR92" s="21"/>
      <c r="BS92" s="21"/>
      <c r="BT92" s="21"/>
      <c r="BU92" s="21"/>
      <c r="BV92" s="21"/>
      <c r="BW92" s="21"/>
      <c r="BX92" s="21"/>
      <c r="BY92" s="21"/>
      <c r="BZ92" s="21"/>
      <c r="CA92" s="21"/>
      <c r="CB92" s="21"/>
      <c r="CC92" s="21"/>
      <c r="CD92" s="21"/>
      <c r="CE92" s="21"/>
      <c r="CF92" s="21"/>
      <c r="CG92" s="21"/>
      <c r="CH92" s="21"/>
      <c r="CI92" s="21"/>
      <c r="CJ92" s="21"/>
      <c r="CK92" s="21"/>
      <c r="CL92" s="21"/>
      <c r="CM92" s="21"/>
      <c r="CN92" s="21"/>
      <c r="CO92" s="21"/>
      <c r="CP92" s="21"/>
      <c r="CQ92" s="21"/>
      <c r="CR92" s="21"/>
      <c r="CS92" s="21"/>
      <c r="CT92" s="21"/>
      <c r="CU92" s="21"/>
      <c r="CV92" s="21"/>
      <c r="CW92" s="21"/>
      <c r="CX92" s="21"/>
      <c r="CY92" s="21"/>
      <c r="CZ92" s="21"/>
      <c r="DA92" s="21"/>
      <c r="DB92" s="21"/>
      <c r="DC92" s="21"/>
      <c r="DD92" s="21"/>
      <c r="DE92" s="21"/>
      <c r="DF92" s="21"/>
      <c r="DG92" s="21"/>
      <c r="DH92" s="21"/>
      <c r="DI92" s="21"/>
      <c r="DJ92" s="21"/>
      <c r="DK92" s="21"/>
      <c r="DL92" s="21"/>
      <c r="DM92" s="21"/>
      <c r="DN92" s="21"/>
      <c r="DO92" s="21"/>
      <c r="DP92" s="21"/>
      <c r="DQ92" s="21"/>
      <c r="DR92" s="21"/>
      <c r="DS92" s="21"/>
      <c r="DT92" s="21"/>
      <c r="DU92" s="21"/>
      <c r="DV92" s="21"/>
      <c r="DW92" s="21"/>
      <c r="DX92" s="21"/>
      <c r="DY92" s="21"/>
      <c r="DZ92" s="87"/>
      <c r="EA92" s="87"/>
      <c r="EB92" s="87"/>
      <c r="EC92" s="21"/>
      <c r="ED92" s="21"/>
      <c r="EE92" s="21"/>
      <c r="EF92" s="21"/>
      <c r="EG92" s="21"/>
      <c r="EH92" s="21"/>
      <c r="EI92" s="21"/>
      <c r="EJ92" s="21"/>
      <c r="EK92" s="21"/>
      <c r="EL92" s="21"/>
      <c r="EM92" s="21"/>
      <c r="EN92" s="21"/>
      <c r="EO92" s="21"/>
      <c r="EP92" s="21"/>
      <c r="EQ92" s="21"/>
      <c r="ER92" s="21"/>
      <c r="ES92" s="21"/>
      <c r="ET92" s="21"/>
      <c r="EU92" s="21"/>
      <c r="EV92" s="21"/>
      <c r="EW92" s="21"/>
      <c r="EX92" s="21"/>
      <c r="EY92" s="21"/>
      <c r="EZ92" s="21"/>
      <c r="FA92" s="21"/>
      <c r="FB92" s="21"/>
      <c r="FC92" s="21"/>
      <c r="FD92" s="21"/>
      <c r="FE92" s="21"/>
      <c r="FF92" s="21"/>
      <c r="FG92" s="21"/>
      <c r="FH92" s="21"/>
      <c r="FI92" s="21"/>
      <c r="FJ92" s="21"/>
      <c r="FK92" s="21"/>
      <c r="FL92" s="21"/>
      <c r="FM92" s="21"/>
      <c r="FN92" s="21"/>
      <c r="FO92" s="21"/>
      <c r="FP92" s="21"/>
      <c r="FQ92" s="21"/>
      <c r="FR92" s="21"/>
      <c r="FS92" s="21"/>
      <c r="FT92" s="21"/>
      <c r="FU92" s="21"/>
      <c r="FV92" s="21"/>
      <c r="FW92" s="21"/>
      <c r="FX92" s="21"/>
      <c r="FY92" s="21"/>
      <c r="FZ92" s="21"/>
      <c r="GA92" s="21"/>
      <c r="GB92" s="21"/>
      <c r="GC92" s="21"/>
      <c r="GD92" s="21"/>
      <c r="GE92" s="21"/>
      <c r="GF92" s="21"/>
      <c r="GG92" s="21"/>
      <c r="GH92" s="21"/>
      <c r="GI92" s="21"/>
      <c r="GJ92" s="21"/>
      <c r="GK92" s="21"/>
      <c r="GL92" s="21"/>
      <c r="GM92" s="21"/>
      <c r="GN92" s="21"/>
      <c r="GO92" s="21"/>
      <c r="GP92" s="21"/>
      <c r="GQ92" s="21"/>
      <c r="GR92" s="21"/>
      <c r="GS92" s="21"/>
      <c r="GT92" s="21"/>
      <c r="GU92" s="21"/>
      <c r="GV92" s="21"/>
      <c r="GW92" s="21"/>
      <c r="GX92" s="21"/>
      <c r="GY92" s="21"/>
      <c r="GZ92" s="21"/>
      <c r="HA92" s="21"/>
      <c r="HB92" s="21"/>
      <c r="HC92" s="21"/>
      <c r="HD92" s="21"/>
      <c r="HE92" s="21"/>
      <c r="HF92" s="21"/>
      <c r="HG92" s="21"/>
      <c r="HH92" s="21"/>
      <c r="HI92" s="21"/>
      <c r="HJ92" s="21"/>
      <c r="HK92" s="21"/>
      <c r="HL92" s="21"/>
      <c r="HM92" s="21"/>
      <c r="HN92" s="21"/>
      <c r="HO92" s="21"/>
      <c r="HP92" s="21"/>
      <c r="HQ92" s="21"/>
      <c r="HR92" s="21"/>
      <c r="HS92" s="21"/>
      <c r="HT92" s="21"/>
      <c r="HU92" s="21"/>
      <c r="HV92" s="186"/>
      <c r="HW92" s="21"/>
      <c r="HX92" s="21"/>
      <c r="HY92" s="21"/>
      <c r="HZ92" s="21"/>
      <c r="IA92" s="21"/>
      <c r="IB92" s="21"/>
      <c r="IC92" s="21"/>
      <c r="ID92" s="21"/>
      <c r="IE92" s="21"/>
      <c r="IF92" s="21"/>
      <c r="IG92" s="21"/>
      <c r="IH92" s="21"/>
      <c r="II92" s="21"/>
      <c r="IJ92" s="21"/>
      <c r="IK92" s="21"/>
      <c r="IL92" s="21"/>
      <c r="IM92" s="21"/>
      <c r="IN92" s="21"/>
      <c r="IO92" s="21"/>
      <c r="IP92" s="21"/>
      <c r="IQ92" s="21"/>
      <c r="IR92" s="21"/>
      <c r="IS92" s="21"/>
      <c r="IT92" s="21"/>
      <c r="IU92" s="21"/>
      <c r="IV92" s="21"/>
      <c r="IW92" s="21"/>
      <c r="IX92" s="21"/>
      <c r="IY92" s="21"/>
      <c r="IZ92" s="21"/>
      <c r="JA92" s="21"/>
      <c r="JB92" s="21"/>
      <c r="JC92" s="21"/>
      <c r="JD92" s="21"/>
      <c r="JE92" s="21"/>
      <c r="JF92" s="21"/>
      <c r="JG92" s="21"/>
      <c r="JH92" s="21"/>
      <c r="JI92" s="21"/>
      <c r="JJ92" s="21"/>
      <c r="JK92" s="21"/>
      <c r="JL92" s="21"/>
      <c r="JM92" s="21"/>
      <c r="JN92" s="21"/>
      <c r="JO92" s="21"/>
      <c r="JP92" s="21"/>
      <c r="JQ92" s="21"/>
      <c r="JR92" s="21"/>
      <c r="JS92" s="21"/>
      <c r="JT92" s="21"/>
      <c r="JU92" s="21"/>
      <c r="JV92" s="21"/>
      <c r="JW92" s="21"/>
      <c r="JX92" s="21"/>
      <c r="JY92" s="21"/>
      <c r="JZ92" s="21"/>
      <c r="KA92" s="21"/>
      <c r="KB92" s="21"/>
      <c r="KC92" s="21"/>
      <c r="KD92" s="21"/>
      <c r="KE92" s="21"/>
      <c r="KF92" s="21"/>
      <c r="KG92" s="21"/>
      <c r="KH92" s="21"/>
    </row>
    <row r="93" spans="1:294" hidden="1" x14ac:dyDescent="0.25">
      <c r="A93" s="8"/>
      <c r="B93" s="5" t="s">
        <v>116</v>
      </c>
      <c r="C93" s="8"/>
      <c r="D93" s="1"/>
      <c r="E93" s="1"/>
      <c r="F93" s="1"/>
      <c r="G93" s="1"/>
      <c r="H93" s="1"/>
      <c r="I93" s="1"/>
      <c r="J93" s="1"/>
      <c r="K93" s="1"/>
      <c r="L93" s="5" t="s">
        <v>91</v>
      </c>
      <c r="M93" s="11">
        <f>INDEX(cennik!$C$2:$L$529,MATCH($L93,cennik!$B$2:$B$522,0),MATCH(M$53,cennik!$C$1:$L$1,0))</f>
        <v>890433</v>
      </c>
      <c r="N93" s="11" t="str">
        <f>INDEX(cennik!$C$2:$L$529,MATCH($L93,cennik!$B$2:$B$522,0),MATCH(N$53,cennik!$C$1:$L$1,0))</f>
        <v>szt.</v>
      </c>
      <c r="O93" s="14">
        <f>IF(E83=AF61,O80*4,0)</f>
        <v>0</v>
      </c>
      <c r="P93" s="11">
        <f>INDEX(cennik!$C$2:$L$529,MATCH($L93,cennik!$B$2:$B$522,0),MATCH(P$53,cennik!$C$1:$L$1,0))</f>
        <v>20.36</v>
      </c>
      <c r="Q93" s="14">
        <f t="shared" si="29"/>
        <v>0</v>
      </c>
      <c r="R93" s="14">
        <f t="shared" si="25"/>
        <v>0</v>
      </c>
      <c r="S93" s="34">
        <f t="shared" si="26"/>
        <v>20.36</v>
      </c>
      <c r="T93" s="14">
        <f t="shared" si="30"/>
        <v>0</v>
      </c>
      <c r="U93" s="34">
        <f>INDEX(cennik!$C$2:$L$529,MATCH($L93,cennik!$B$2:$B$522,0),MATCH(U$53,cennik!$C$1:$L$1,0))*O93</f>
        <v>0</v>
      </c>
      <c r="V93" s="21"/>
      <c r="W93" s="21"/>
      <c r="X93" s="21"/>
      <c r="Y93" s="21"/>
      <c r="Z93" s="21"/>
      <c r="AA93" s="21"/>
      <c r="AB93" s="21"/>
      <c r="AC93" s="21"/>
      <c r="AD93" s="21"/>
      <c r="AE93" s="21"/>
      <c r="AF93" s="21"/>
      <c r="AG93" s="21"/>
      <c r="AH93" s="21"/>
      <c r="AI93" s="21"/>
      <c r="AJ93" s="21"/>
      <c r="AK93" s="21"/>
      <c r="AL93" s="21"/>
      <c r="AM93" s="21"/>
      <c r="AN93" s="21"/>
      <c r="AO93" s="21"/>
      <c r="AP93" s="21"/>
      <c r="AQ93" s="21"/>
      <c r="AR93" s="21"/>
      <c r="AS93" s="21"/>
      <c r="AT93" s="21"/>
      <c r="AU93" s="21"/>
      <c r="AV93" s="21"/>
      <c r="AW93" s="21"/>
      <c r="AX93" s="21"/>
      <c r="AY93" s="21"/>
      <c r="AZ93" s="21"/>
      <c r="BA93" s="21"/>
      <c r="BB93" s="21"/>
      <c r="BC93" s="21"/>
      <c r="BD93" s="21"/>
      <c r="BE93" s="21"/>
      <c r="BF93" s="21"/>
      <c r="BG93" s="21"/>
      <c r="BH93" s="21">
        <f t="shared" si="27"/>
        <v>0</v>
      </c>
      <c r="BI93" s="21">
        <f t="shared" si="28"/>
        <v>0</v>
      </c>
      <c r="BJ93" s="21"/>
      <c r="BK93" s="21"/>
      <c r="BL93" s="21"/>
      <c r="BM93" s="21"/>
      <c r="BN93" s="21"/>
      <c r="BO93" s="21"/>
      <c r="BP93" s="21"/>
      <c r="BQ93" s="21"/>
      <c r="BR93" s="21"/>
      <c r="BS93" s="21"/>
      <c r="BT93" s="21"/>
      <c r="BU93" s="21"/>
      <c r="BV93" s="21"/>
      <c r="BW93" s="21"/>
      <c r="BX93" s="21"/>
      <c r="BY93" s="21"/>
      <c r="BZ93" s="21"/>
      <c r="CA93" s="21"/>
      <c r="CB93" s="21"/>
      <c r="CC93" s="21"/>
      <c r="CD93" s="21"/>
      <c r="CE93" s="21"/>
      <c r="CF93" s="21"/>
      <c r="CG93" s="21"/>
      <c r="CH93" s="21"/>
      <c r="CI93" s="21"/>
      <c r="CJ93" s="21"/>
      <c r="CK93" s="21"/>
      <c r="CL93" s="21"/>
      <c r="CM93" s="21"/>
      <c r="CN93" s="21"/>
      <c r="CO93" s="21"/>
      <c r="CP93" s="21"/>
      <c r="CQ93" s="21"/>
      <c r="CR93" s="21"/>
      <c r="CS93" s="21"/>
      <c r="CT93" s="21"/>
      <c r="CU93" s="21"/>
      <c r="CV93" s="21"/>
      <c r="CW93" s="21"/>
      <c r="CX93" s="21"/>
      <c r="CY93" s="21"/>
      <c r="CZ93" s="21"/>
      <c r="DA93" s="21"/>
      <c r="DB93" s="21"/>
      <c r="DC93" s="21"/>
      <c r="DD93" s="21"/>
      <c r="DE93" s="21"/>
      <c r="DF93" s="21"/>
      <c r="DG93" s="21"/>
      <c r="DH93" s="21"/>
      <c r="DI93" s="21"/>
      <c r="DJ93" s="21"/>
      <c r="DK93" s="21"/>
      <c r="DL93" s="21"/>
      <c r="DM93" s="21"/>
      <c r="DN93" s="21"/>
      <c r="DO93" s="21"/>
      <c r="DP93" s="21"/>
      <c r="DQ93" s="21"/>
      <c r="DR93" s="21"/>
      <c r="DS93" s="21"/>
      <c r="DT93" s="21"/>
      <c r="DU93" s="21"/>
      <c r="DV93" s="21"/>
      <c r="DW93" s="21"/>
      <c r="DX93" s="21"/>
      <c r="DY93" s="21"/>
      <c r="DZ93" s="87"/>
      <c r="EA93" s="87"/>
      <c r="EB93" s="87"/>
      <c r="EC93" s="21"/>
      <c r="ED93" s="21"/>
      <c r="EE93" s="21"/>
      <c r="EF93" s="21"/>
      <c r="EG93" s="21"/>
      <c r="EH93" s="21"/>
      <c r="EI93" s="21"/>
      <c r="EJ93" s="21"/>
      <c r="EK93" s="21"/>
      <c r="EL93" s="21"/>
      <c r="EM93" s="21"/>
      <c r="EN93" s="21"/>
      <c r="EO93" s="21"/>
      <c r="EP93" s="21"/>
      <c r="EQ93" s="21"/>
      <c r="ER93" s="21"/>
      <c r="ES93" s="21"/>
      <c r="ET93" s="21"/>
      <c r="EU93" s="21"/>
      <c r="EV93" s="21"/>
      <c r="EW93" s="21"/>
      <c r="EX93" s="21"/>
      <c r="EY93" s="21"/>
      <c r="EZ93" s="21"/>
      <c r="FA93" s="21"/>
      <c r="FB93" s="21"/>
      <c r="FC93" s="21"/>
      <c r="FD93" s="21"/>
      <c r="FE93" s="21"/>
      <c r="FF93" s="21"/>
      <c r="FG93" s="21"/>
      <c r="FH93" s="21"/>
      <c r="FI93" s="21"/>
      <c r="FJ93" s="21"/>
      <c r="FK93" s="21"/>
      <c r="FL93" s="21"/>
      <c r="FM93" s="21"/>
      <c r="FN93" s="21"/>
      <c r="FO93" s="21"/>
      <c r="FP93" s="21"/>
      <c r="FQ93" s="21"/>
      <c r="FR93" s="21"/>
      <c r="FS93" s="21"/>
      <c r="FT93" s="21"/>
      <c r="FU93" s="21"/>
      <c r="FV93" s="21"/>
      <c r="FW93" s="21"/>
      <c r="FX93" s="21"/>
      <c r="FY93" s="21"/>
      <c r="FZ93" s="21"/>
      <c r="GA93" s="21"/>
      <c r="GB93" s="21"/>
      <c r="GC93" s="21"/>
      <c r="GD93" s="21"/>
      <c r="GE93" s="21"/>
      <c r="GF93" s="21"/>
      <c r="GG93" s="21"/>
      <c r="GH93" s="21"/>
      <c r="GI93" s="21"/>
      <c r="GJ93" s="21"/>
      <c r="GK93" s="21"/>
      <c r="GL93" s="21"/>
      <c r="GM93" s="21"/>
      <c r="GN93" s="21"/>
      <c r="GO93" s="21"/>
      <c r="GP93" s="21"/>
      <c r="GQ93" s="21"/>
      <c r="GR93" s="21"/>
      <c r="GS93" s="21"/>
      <c r="GT93" s="21"/>
      <c r="GU93" s="21"/>
      <c r="GV93" s="21"/>
      <c r="GW93" s="21"/>
      <c r="GX93" s="21"/>
      <c r="GY93" s="21"/>
      <c r="GZ93" s="21"/>
      <c r="HA93" s="21"/>
      <c r="HB93" s="21"/>
      <c r="HC93" s="21"/>
      <c r="HD93" s="21"/>
      <c r="HE93" s="21"/>
      <c r="HF93" s="21"/>
      <c r="HG93" s="21"/>
      <c r="HH93" s="21"/>
      <c r="HI93" s="21"/>
      <c r="HJ93" s="21"/>
      <c r="HK93" s="21"/>
      <c r="HL93" s="21"/>
      <c r="HM93" s="21"/>
      <c r="HN93" s="21"/>
      <c r="HO93" s="21"/>
      <c r="HP93" s="21"/>
      <c r="HQ93" s="21"/>
      <c r="HR93" s="21"/>
      <c r="HS93" s="21"/>
      <c r="HT93" s="21"/>
      <c r="HU93" s="21"/>
      <c r="HV93" s="186"/>
      <c r="HW93" s="21"/>
      <c r="HX93" s="21"/>
      <c r="HY93" s="21"/>
      <c r="HZ93" s="21"/>
      <c r="IA93" s="21"/>
      <c r="IB93" s="21"/>
      <c r="IC93" s="21"/>
      <c r="ID93" s="21"/>
      <c r="IE93" s="21"/>
      <c r="IF93" s="21"/>
      <c r="IG93" s="21"/>
      <c r="IH93" s="21"/>
      <c r="II93" s="21"/>
      <c r="IJ93" s="21"/>
      <c r="IK93" s="21"/>
      <c r="IL93" s="21"/>
      <c r="IM93" s="21"/>
      <c r="IN93" s="21"/>
      <c r="IO93" s="21"/>
      <c r="IP93" s="21"/>
      <c r="IQ93" s="21"/>
      <c r="IR93" s="21"/>
      <c r="IS93" s="21"/>
      <c r="IT93" s="21"/>
      <c r="IU93" s="21"/>
      <c r="IV93" s="21"/>
      <c r="IW93" s="21"/>
      <c r="IX93" s="21"/>
      <c r="IY93" s="21"/>
      <c r="IZ93" s="21"/>
      <c r="JA93" s="21"/>
      <c r="JB93" s="21"/>
      <c r="JC93" s="21"/>
      <c r="JD93" s="21"/>
      <c r="JE93" s="21"/>
      <c r="JF93" s="21"/>
      <c r="JG93" s="21"/>
      <c r="JH93" s="21"/>
      <c r="JI93" s="21"/>
      <c r="JJ93" s="21"/>
      <c r="JK93" s="21"/>
      <c r="JL93" s="21"/>
      <c r="JM93" s="21"/>
      <c r="JN93" s="21"/>
      <c r="JO93" s="21"/>
      <c r="JP93" s="21"/>
      <c r="JQ93" s="21"/>
      <c r="JR93" s="21"/>
      <c r="JS93" s="21"/>
      <c r="JT93" s="21"/>
      <c r="JU93" s="21"/>
      <c r="JV93" s="21"/>
      <c r="JW93" s="21"/>
      <c r="JX93" s="21"/>
      <c r="JY93" s="21"/>
      <c r="JZ93" s="21"/>
      <c r="KA93" s="21"/>
      <c r="KB93" s="21"/>
      <c r="KC93" s="21"/>
      <c r="KD93" s="21"/>
      <c r="KE93" s="21"/>
      <c r="KF93" s="21"/>
      <c r="KG93" s="21"/>
      <c r="KH93" s="21"/>
    </row>
    <row r="94" spans="1:294" hidden="1" x14ac:dyDescent="0.25">
      <c r="A94" s="8"/>
      <c r="B94" s="5" t="s">
        <v>116</v>
      </c>
      <c r="C94" s="8"/>
      <c r="D94" s="1"/>
      <c r="E94" s="17"/>
      <c r="F94" s="1"/>
      <c r="G94" s="1"/>
      <c r="H94" s="1"/>
      <c r="I94" s="1"/>
      <c r="J94" s="1"/>
      <c r="K94" s="1"/>
      <c r="L94" s="5" t="s">
        <v>1254</v>
      </c>
      <c r="M94" s="11">
        <f>INDEX(cennik!$C$2:$L$529,MATCH($L94,cennik!$B$2:$B$522,0),MATCH(M$53,cennik!$C$1:$L$1,0))</f>
        <v>856025</v>
      </c>
      <c r="N94" s="11" t="str">
        <f>INDEX(cennik!$C$2:$L$529,MATCH($L94,cennik!$B$2:$B$522,0),MATCH(N$53,cennik!$C$1:$L$1,0))</f>
        <v>szt.</v>
      </c>
      <c r="O94" s="14">
        <f>IF(E84=AH58,O80,0)*4</f>
        <v>0</v>
      </c>
      <c r="P94" s="11">
        <f>INDEX(cennik!$C$2:$L$529,MATCH($L94,cennik!$B$2:$B$522,0),MATCH(P$53,cennik!$C$1:$L$1,0))</f>
        <v>15.23</v>
      </c>
      <c r="Q94" s="14">
        <f t="shared" si="29"/>
        <v>0</v>
      </c>
      <c r="R94" s="14">
        <f t="shared" si="25"/>
        <v>0</v>
      </c>
      <c r="S94" s="34">
        <f t="shared" si="26"/>
        <v>15.23</v>
      </c>
      <c r="T94" s="14">
        <f t="shared" si="30"/>
        <v>0</v>
      </c>
      <c r="U94" s="34">
        <f>INDEX(cennik!$C$2:$L$529,MATCH($L94,cennik!$B$2:$B$522,0),MATCH(U$53,cennik!$C$1:$L$1,0))*O94</f>
        <v>0</v>
      </c>
      <c r="V94" s="21"/>
      <c r="W94" s="21"/>
      <c r="X94" s="21"/>
      <c r="Y94" s="21"/>
      <c r="Z94" s="21"/>
      <c r="AA94" s="21"/>
      <c r="AB94" s="21"/>
      <c r="AC94" s="21"/>
      <c r="AD94" s="21"/>
      <c r="AE94" s="21"/>
      <c r="AF94" s="21"/>
      <c r="AG94" s="21"/>
      <c r="AH94" s="21"/>
      <c r="AI94" s="21"/>
      <c r="AJ94" s="21"/>
      <c r="AK94" s="21"/>
      <c r="AL94" s="21"/>
      <c r="AM94" s="21"/>
      <c r="AN94" s="21"/>
      <c r="AO94" s="21"/>
      <c r="AP94" s="21"/>
      <c r="AQ94" s="21"/>
      <c r="AR94" s="21"/>
      <c r="AS94" s="21"/>
      <c r="AT94" s="21"/>
      <c r="AU94" s="21"/>
      <c r="AV94" s="21"/>
      <c r="AW94" s="21"/>
      <c r="AX94" s="21"/>
      <c r="AY94" s="21"/>
      <c r="AZ94" s="21"/>
      <c r="BA94" s="21"/>
      <c r="BB94" s="21"/>
      <c r="BC94" s="21"/>
      <c r="BD94" s="21"/>
      <c r="BE94" s="21"/>
      <c r="BF94" s="21"/>
      <c r="BG94" s="21"/>
      <c r="BH94" s="21">
        <f>IF(A94=0,0,IF(A94&gt;0,(A94+1)*C94))</f>
        <v>0</v>
      </c>
      <c r="BI94" s="21">
        <f t="shared" si="28"/>
        <v>0</v>
      </c>
      <c r="BJ94" s="21"/>
      <c r="BK94" s="21"/>
      <c r="BL94" s="21"/>
      <c r="BM94" s="21"/>
      <c r="BN94" s="21"/>
      <c r="BO94" s="21"/>
      <c r="BP94" s="21"/>
      <c r="BQ94" s="21"/>
      <c r="BR94" s="21"/>
      <c r="BS94" s="21"/>
      <c r="BT94" s="21"/>
      <c r="BU94" s="21"/>
      <c r="BV94" s="21"/>
      <c r="BW94" s="21"/>
      <c r="BX94" s="21"/>
      <c r="BY94" s="21"/>
      <c r="BZ94" s="21"/>
      <c r="CA94" s="21"/>
      <c r="CB94" s="21"/>
      <c r="CC94" s="21"/>
      <c r="CD94" s="21"/>
      <c r="CE94" s="21"/>
      <c r="CF94" s="21"/>
      <c r="CG94" s="21"/>
      <c r="CH94" s="21"/>
      <c r="CI94" s="21"/>
      <c r="CJ94" s="21"/>
      <c r="CK94" s="21"/>
      <c r="CL94" s="21"/>
      <c r="CM94" s="21"/>
      <c r="CN94" s="21"/>
      <c r="CO94" s="21"/>
      <c r="CP94" s="21"/>
      <c r="CQ94" s="21"/>
      <c r="CR94" s="21"/>
      <c r="CS94" s="21"/>
      <c r="CT94" s="21"/>
      <c r="CU94" s="21"/>
      <c r="CV94" s="21"/>
      <c r="CW94" s="21"/>
      <c r="CX94" s="21"/>
      <c r="CY94" s="21"/>
      <c r="CZ94" s="21"/>
      <c r="DA94" s="21"/>
      <c r="DB94" s="21"/>
      <c r="DC94" s="21"/>
      <c r="DD94" s="21"/>
      <c r="DE94" s="21"/>
      <c r="DF94" s="21"/>
      <c r="DG94" s="21"/>
      <c r="DH94" s="21"/>
      <c r="DI94" s="21"/>
      <c r="DJ94" s="21"/>
      <c r="DK94" s="21"/>
      <c r="DL94" s="21"/>
      <c r="DM94" s="21"/>
      <c r="DN94" s="21"/>
      <c r="DO94" s="21"/>
      <c r="DP94" s="21"/>
      <c r="DQ94" s="21"/>
      <c r="DR94" s="21"/>
      <c r="DS94" s="21"/>
      <c r="DT94" s="21"/>
      <c r="DU94" s="21"/>
      <c r="DV94" s="21"/>
      <c r="DW94" s="21"/>
      <c r="DX94" s="21"/>
      <c r="DY94" s="21"/>
      <c r="DZ94" s="87"/>
      <c r="EA94" s="87"/>
      <c r="EB94" s="87"/>
      <c r="EC94" s="21"/>
      <c r="ED94" s="21"/>
      <c r="EE94" s="21"/>
      <c r="EF94" s="21"/>
      <c r="EG94" s="21"/>
      <c r="EH94" s="21"/>
      <c r="EI94" s="21"/>
      <c r="EJ94" s="21"/>
      <c r="EK94" s="21"/>
      <c r="EL94" s="21"/>
      <c r="EM94" s="21"/>
      <c r="EN94" s="21"/>
      <c r="EO94" s="21"/>
      <c r="EP94" s="21"/>
      <c r="EQ94" s="21"/>
      <c r="ER94" s="21"/>
      <c r="ES94" s="21"/>
      <c r="ET94" s="21"/>
      <c r="EU94" s="21"/>
      <c r="EV94" s="21"/>
      <c r="EW94" s="21"/>
      <c r="EX94" s="21"/>
      <c r="EY94" s="21"/>
      <c r="EZ94" s="21"/>
      <c r="FA94" s="21"/>
      <c r="FB94" s="21"/>
      <c r="FC94" s="21"/>
      <c r="FD94" s="21"/>
      <c r="FE94" s="21"/>
      <c r="FF94" s="21"/>
      <c r="FG94" s="21"/>
      <c r="FH94" s="21"/>
      <c r="FI94" s="21"/>
      <c r="FJ94" s="21"/>
      <c r="FK94" s="21"/>
      <c r="FL94" s="21"/>
      <c r="FM94" s="21"/>
      <c r="FN94" s="21"/>
      <c r="FO94" s="21"/>
      <c r="FP94" s="21"/>
      <c r="FQ94" s="21"/>
      <c r="FR94" s="21"/>
      <c r="FS94" s="21"/>
      <c r="FT94" s="21"/>
      <c r="FU94" s="21"/>
      <c r="FV94" s="21"/>
      <c r="FW94" s="21"/>
      <c r="FX94" s="21"/>
      <c r="FY94" s="21"/>
      <c r="FZ94" s="21"/>
      <c r="GA94" s="21"/>
      <c r="GB94" s="21"/>
      <c r="GC94" s="21"/>
      <c r="GD94" s="21"/>
      <c r="GE94" s="21"/>
      <c r="GF94" s="21"/>
      <c r="GG94" s="21"/>
      <c r="GH94" s="21"/>
      <c r="GI94" s="21"/>
      <c r="GJ94" s="21"/>
      <c r="GK94" s="21"/>
      <c r="GL94" s="21"/>
      <c r="GM94" s="21"/>
      <c r="GN94" s="21"/>
      <c r="GO94" s="21"/>
      <c r="GP94" s="21"/>
      <c r="GQ94" s="21"/>
      <c r="GR94" s="21"/>
      <c r="GS94" s="21"/>
      <c r="GT94" s="21"/>
      <c r="GU94" s="21"/>
      <c r="GV94" s="21"/>
      <c r="GW94" s="21"/>
      <c r="GX94" s="21"/>
      <c r="GY94" s="21"/>
      <c r="GZ94" s="21"/>
      <c r="HA94" s="21"/>
      <c r="HB94" s="21"/>
      <c r="HC94" s="21"/>
      <c r="HD94" s="21"/>
      <c r="HE94" s="21"/>
      <c r="HF94" s="21"/>
      <c r="HG94" s="21"/>
      <c r="HH94" s="21"/>
      <c r="HI94" s="21"/>
      <c r="HJ94" s="21"/>
      <c r="HK94" s="21"/>
      <c r="HL94" s="21"/>
      <c r="HM94" s="21"/>
      <c r="HN94" s="21"/>
      <c r="HO94" s="21"/>
      <c r="HP94" s="21"/>
      <c r="HQ94" s="21"/>
      <c r="HR94" s="21"/>
      <c r="HS94" s="21"/>
      <c r="HT94" s="21"/>
      <c r="HU94" s="21"/>
      <c r="HV94" s="186"/>
      <c r="HW94" s="21"/>
      <c r="HX94" s="21"/>
      <c r="HY94" s="21"/>
      <c r="HZ94" s="21"/>
      <c r="IA94" s="21"/>
      <c r="IB94" s="21"/>
      <c r="IC94" s="21"/>
      <c r="ID94" s="21"/>
      <c r="IE94" s="21"/>
      <c r="IF94" s="21"/>
      <c r="IG94" s="21"/>
      <c r="IH94" s="21"/>
      <c r="II94" s="21"/>
      <c r="IJ94" s="21"/>
      <c r="IK94" s="21"/>
      <c r="IL94" s="21"/>
      <c r="IM94" s="21"/>
      <c r="IN94" s="21"/>
      <c r="IO94" s="21"/>
      <c r="IP94" s="21"/>
      <c r="IQ94" s="21"/>
      <c r="IR94" s="21"/>
      <c r="IS94" s="21"/>
      <c r="IT94" s="21"/>
      <c r="IU94" s="21"/>
      <c r="IV94" s="21"/>
      <c r="IW94" s="21"/>
      <c r="IX94" s="21"/>
      <c r="IY94" s="21"/>
      <c r="IZ94" s="21"/>
      <c r="JA94" s="21"/>
      <c r="JB94" s="21"/>
      <c r="JC94" s="21"/>
      <c r="JD94" s="21"/>
      <c r="JE94" s="21"/>
      <c r="JF94" s="21"/>
      <c r="JG94" s="21"/>
      <c r="JH94" s="21"/>
      <c r="JI94" s="21"/>
      <c r="JJ94" s="21"/>
      <c r="JK94" s="21"/>
      <c r="JL94" s="21"/>
      <c r="JM94" s="21"/>
      <c r="JN94" s="21"/>
      <c r="JO94" s="21"/>
      <c r="JP94" s="21"/>
      <c r="JQ94" s="21"/>
      <c r="JR94" s="21"/>
      <c r="JS94" s="21"/>
      <c r="JT94" s="21"/>
      <c r="JU94" s="21"/>
      <c r="JV94" s="21"/>
      <c r="JW94" s="21"/>
      <c r="JX94" s="21"/>
      <c r="JY94" s="21"/>
      <c r="JZ94" s="21"/>
      <c r="KA94" s="21"/>
      <c r="KB94" s="21"/>
      <c r="KC94" s="21"/>
      <c r="KD94" s="21"/>
      <c r="KE94" s="21"/>
      <c r="KF94" s="21"/>
      <c r="KG94" s="21"/>
      <c r="KH94" s="21"/>
    </row>
    <row r="95" spans="1:294" hidden="1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5" t="s">
        <v>948</v>
      </c>
      <c r="M95" s="11">
        <f>INDEX(cennik!$C$2:$L$529,MATCH($L95,cennik!$B$2:$B$522,0),MATCH(M$53,cennik!$C$1:$L$1,0))</f>
        <v>858432</v>
      </c>
      <c r="N95" s="11" t="str">
        <f>INDEX(cennik!$C$2:$L$529,MATCH($L95,cennik!$B$2:$B$522,0),MATCH(N$53,cennik!$C$1:$L$1,0))</f>
        <v>szt.</v>
      </c>
      <c r="O95" s="14">
        <f>IF(E85=AK59,O80*3,0)</f>
        <v>0</v>
      </c>
      <c r="P95" s="11">
        <f>INDEX(cennik!$C$2:$L$529,MATCH($L95,cennik!$B$2:$B$522,0),MATCH(P$53,cennik!$C$1:$L$1,0))</f>
        <v>6.8</v>
      </c>
      <c r="Q95" s="14">
        <f t="shared" si="29"/>
        <v>0</v>
      </c>
      <c r="R95" s="14">
        <f t="shared" si="25"/>
        <v>0</v>
      </c>
      <c r="S95" s="34">
        <f t="shared" si="26"/>
        <v>6.8</v>
      </c>
      <c r="T95" s="14">
        <f t="shared" si="30"/>
        <v>0</v>
      </c>
      <c r="U95" s="34">
        <f>INDEX(cennik!$C$2:$L$529,MATCH($L95,cennik!$B$2:$B$522,0),MATCH(U$53,cennik!$C$1:$L$1,0))*O95</f>
        <v>0</v>
      </c>
      <c r="V95" s="21"/>
      <c r="W95" s="21"/>
      <c r="X95" s="21"/>
      <c r="Y95" s="21"/>
      <c r="Z95" s="21"/>
      <c r="AA95" s="21"/>
      <c r="AB95" s="21"/>
      <c r="AC95" s="21"/>
      <c r="AD95" s="21"/>
      <c r="AE95" s="21"/>
      <c r="AF95" s="21"/>
      <c r="AG95" s="21"/>
      <c r="AH95" s="21"/>
      <c r="AI95" s="21"/>
      <c r="AJ95" s="21"/>
      <c r="AK95" s="21"/>
      <c r="AL95" s="21"/>
      <c r="AM95" s="21"/>
      <c r="AN95" s="21"/>
      <c r="AO95" s="21"/>
      <c r="AP95" s="21"/>
      <c r="AQ95" s="21"/>
      <c r="AR95" s="21"/>
      <c r="AS95" s="21"/>
      <c r="AT95" s="21"/>
      <c r="AU95" s="21"/>
      <c r="AV95" s="21"/>
      <c r="AW95" s="21"/>
      <c r="AX95" s="21"/>
      <c r="AY95" s="21"/>
      <c r="AZ95" s="21"/>
      <c r="BA95" s="21"/>
      <c r="BB95" s="21"/>
      <c r="BC95" s="21"/>
      <c r="BD95" s="21"/>
      <c r="BE95" s="21"/>
      <c r="BF95" s="21"/>
      <c r="BG95" s="21"/>
      <c r="BH95" s="21"/>
      <c r="BI95" s="21"/>
      <c r="BJ95" s="21"/>
      <c r="BK95" s="21"/>
      <c r="BL95" s="21"/>
      <c r="BM95" s="21"/>
      <c r="BN95" s="21"/>
      <c r="BO95" s="21"/>
      <c r="BP95" s="21"/>
      <c r="BQ95" s="21"/>
      <c r="BR95" s="21"/>
      <c r="BS95" s="21"/>
      <c r="BT95" s="21"/>
      <c r="BU95" s="21"/>
      <c r="BV95" s="21"/>
      <c r="BW95" s="21"/>
      <c r="BX95" s="21"/>
      <c r="BY95" s="21"/>
      <c r="BZ95" s="21"/>
      <c r="CA95" s="21"/>
      <c r="CB95" s="21"/>
      <c r="CC95" s="21"/>
      <c r="CD95" s="21"/>
      <c r="CE95" s="21"/>
      <c r="CF95" s="21"/>
      <c r="CG95" s="21"/>
      <c r="CH95" s="21"/>
      <c r="CI95" s="21"/>
      <c r="CJ95" s="21"/>
      <c r="CK95" s="21"/>
      <c r="CL95" s="21"/>
      <c r="CM95" s="21"/>
      <c r="CN95" s="21"/>
      <c r="CO95" s="21"/>
      <c r="CP95" s="21"/>
      <c r="CQ95" s="21"/>
      <c r="CR95" s="21"/>
      <c r="CS95" s="21"/>
      <c r="CT95" s="21"/>
      <c r="CU95" s="21"/>
      <c r="CV95" s="21"/>
      <c r="CW95" s="21"/>
      <c r="CX95" s="21"/>
      <c r="CY95" s="21"/>
      <c r="CZ95" s="21"/>
      <c r="DA95" s="21"/>
      <c r="DB95" s="21"/>
      <c r="DC95" s="21"/>
      <c r="DD95" s="21"/>
      <c r="DE95" s="21"/>
      <c r="DF95" s="21"/>
      <c r="DG95" s="21"/>
      <c r="DH95" s="21"/>
      <c r="DI95" s="21"/>
      <c r="DJ95" s="21"/>
      <c r="DK95" s="21"/>
      <c r="DL95" s="21"/>
      <c r="DM95" s="21"/>
      <c r="DN95" s="21"/>
      <c r="DO95" s="21"/>
      <c r="DP95" s="21"/>
      <c r="DQ95" s="21"/>
      <c r="DR95" s="21"/>
      <c r="DS95" s="21"/>
      <c r="DT95" s="21"/>
      <c r="DU95" s="21"/>
      <c r="DV95" s="21"/>
      <c r="DW95" s="21"/>
      <c r="DX95" s="21"/>
      <c r="DY95" s="21"/>
      <c r="DZ95" s="87"/>
      <c r="EA95" s="87"/>
      <c r="EB95" s="87"/>
      <c r="EC95" s="21"/>
      <c r="ED95" s="21"/>
      <c r="EE95" s="21"/>
      <c r="EF95" s="21"/>
      <c r="EG95" s="21"/>
      <c r="EH95" s="21"/>
      <c r="EI95" s="21"/>
      <c r="EJ95" s="21"/>
      <c r="EK95" s="21"/>
      <c r="EL95" s="21"/>
      <c r="EM95" s="21"/>
      <c r="EN95" s="21"/>
      <c r="EO95" s="21"/>
      <c r="EP95" s="21"/>
      <c r="EQ95" s="21"/>
      <c r="ER95" s="21"/>
      <c r="ES95" s="21"/>
      <c r="ET95" s="21"/>
      <c r="EU95" s="21"/>
      <c r="EV95" s="21"/>
      <c r="EW95" s="21"/>
      <c r="EX95" s="21"/>
      <c r="EY95" s="21"/>
      <c r="EZ95" s="21"/>
      <c r="FA95" s="21"/>
      <c r="FB95" s="21"/>
      <c r="FC95" s="21"/>
      <c r="FD95" s="21"/>
      <c r="FE95" s="21"/>
      <c r="FF95" s="21"/>
      <c r="FG95" s="21"/>
      <c r="FH95" s="21"/>
      <c r="FI95" s="21"/>
      <c r="FJ95" s="21"/>
      <c r="FK95" s="21"/>
      <c r="FL95" s="21"/>
      <c r="FM95" s="21"/>
      <c r="FN95" s="21"/>
      <c r="FO95" s="21"/>
      <c r="FP95" s="21"/>
      <c r="FQ95" s="21"/>
      <c r="FR95" s="21"/>
      <c r="FS95" s="21"/>
      <c r="FT95" s="21"/>
      <c r="FU95" s="21"/>
      <c r="FV95" s="21"/>
      <c r="FW95" s="21"/>
      <c r="FX95" s="21"/>
      <c r="FY95" s="21"/>
      <c r="FZ95" s="21"/>
      <c r="GA95" s="21"/>
      <c r="GB95" s="21"/>
      <c r="GC95" s="21"/>
      <c r="GD95" s="21"/>
      <c r="GE95" s="21"/>
      <c r="GF95" s="21"/>
      <c r="GG95" s="21"/>
      <c r="GH95" s="21"/>
      <c r="GI95" s="21"/>
      <c r="GJ95" s="21"/>
      <c r="GK95" s="21"/>
      <c r="GL95" s="21"/>
      <c r="GM95" s="21"/>
      <c r="GN95" s="21"/>
      <c r="GO95" s="21"/>
      <c r="GP95" s="21"/>
      <c r="GQ95" s="21"/>
      <c r="GR95" s="21"/>
      <c r="GS95" s="21"/>
      <c r="GT95" s="21"/>
      <c r="GU95" s="21"/>
      <c r="GV95" s="21"/>
      <c r="GW95" s="21"/>
      <c r="GX95" s="21"/>
      <c r="GY95" s="21"/>
      <c r="GZ95" s="21"/>
      <c r="HA95" s="21"/>
      <c r="HB95" s="21"/>
      <c r="HC95" s="21"/>
      <c r="HD95" s="21"/>
      <c r="HE95" s="21"/>
      <c r="HF95" s="21"/>
      <c r="HG95" s="21"/>
      <c r="HH95" s="21"/>
      <c r="HI95" s="21"/>
      <c r="HJ95" s="21"/>
      <c r="HK95" s="21"/>
      <c r="HL95" s="21"/>
      <c r="HM95" s="21"/>
      <c r="HN95" s="21"/>
      <c r="HO95" s="21"/>
      <c r="HP95" s="21"/>
      <c r="HQ95" s="21"/>
      <c r="HR95" s="21"/>
      <c r="HS95" s="21"/>
      <c r="HT95" s="21"/>
      <c r="HU95" s="21"/>
      <c r="HV95" s="186"/>
      <c r="HW95" s="21"/>
      <c r="HX95" s="21"/>
      <c r="HY95" s="21"/>
      <c r="HZ95" s="21"/>
      <c r="IA95" s="21"/>
      <c r="IB95" s="21"/>
      <c r="IC95" s="21"/>
      <c r="ID95" s="21"/>
      <c r="IE95" s="21"/>
      <c r="IF95" s="21"/>
      <c r="IG95" s="21"/>
      <c r="IH95" s="21"/>
      <c r="II95" s="21"/>
      <c r="IJ95" s="21"/>
      <c r="IK95" s="21"/>
      <c r="IL95" s="21"/>
      <c r="IM95" s="21"/>
      <c r="IN95" s="21"/>
      <c r="IO95" s="21"/>
      <c r="IP95" s="21"/>
      <c r="IQ95" s="21"/>
      <c r="IR95" s="21"/>
      <c r="IS95" s="21"/>
      <c r="IT95" s="21"/>
      <c r="IU95" s="21"/>
      <c r="IV95" s="21"/>
      <c r="IW95" s="21"/>
      <c r="IX95" s="21"/>
      <c r="IY95" s="21"/>
      <c r="IZ95" s="21"/>
      <c r="JA95" s="21"/>
      <c r="JB95" s="21"/>
      <c r="JC95" s="21"/>
      <c r="JD95" s="21"/>
      <c r="JE95" s="21"/>
      <c r="JF95" s="21"/>
      <c r="JG95" s="21"/>
      <c r="JH95" s="21"/>
      <c r="JI95" s="21"/>
      <c r="JJ95" s="21"/>
      <c r="JK95" s="21"/>
      <c r="JL95" s="21"/>
      <c r="JM95" s="21"/>
      <c r="JN95" s="21"/>
      <c r="JO95" s="21"/>
      <c r="JP95" s="21"/>
      <c r="JQ95" s="21"/>
      <c r="JR95" s="21"/>
      <c r="JS95" s="21"/>
      <c r="JT95" s="21"/>
      <c r="JU95" s="21"/>
      <c r="JV95" s="21"/>
      <c r="JW95" s="21"/>
      <c r="JX95" s="21"/>
      <c r="JY95" s="21"/>
      <c r="JZ95" s="21"/>
      <c r="KA95" s="21"/>
      <c r="KB95" s="21"/>
      <c r="KC95" s="21"/>
      <c r="KD95" s="21"/>
      <c r="KE95" s="21"/>
      <c r="KF95" s="21"/>
      <c r="KG95" s="21"/>
      <c r="KH95" s="21"/>
    </row>
    <row r="96" spans="1:294" hidden="1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5" t="s">
        <v>1006</v>
      </c>
      <c r="M96" s="11">
        <f>INDEX(cennik!$C$2:$L$529,MATCH($L96,cennik!$B$2:$B$522,0),MATCH(M$53,cennik!$C$1:$L$1,0))</f>
        <v>650093</v>
      </c>
      <c r="N96" s="11" t="str">
        <f>INDEX(cennik!$C$2:$L$529,MATCH($L96,cennik!$B$2:$B$522,0),MATCH(N$53,cennik!$C$1:$L$1,0))</f>
        <v>szt.</v>
      </c>
      <c r="O96" s="14">
        <f>IF(E83=AF60,O80*4,0)</f>
        <v>0</v>
      </c>
      <c r="P96" s="11">
        <f>INDEX(cennik!$C$2:$L$529,MATCH($L96,cennik!$B$2:$B$522,0),MATCH(P$53,cennik!$C$1:$L$1,0))</f>
        <v>3.29</v>
      </c>
      <c r="Q96" s="14">
        <f t="shared" si="29"/>
        <v>0</v>
      </c>
      <c r="R96" s="14">
        <f t="shared" si="25"/>
        <v>0</v>
      </c>
      <c r="S96" s="34">
        <f t="shared" si="26"/>
        <v>3.29</v>
      </c>
      <c r="T96" s="14">
        <f t="shared" si="30"/>
        <v>0</v>
      </c>
      <c r="U96" s="34">
        <f>INDEX(cennik!$C$2:$L$529,MATCH($L96,cennik!$B$2:$B$522,0),MATCH(U$53,cennik!$C$1:$L$1,0))*O96</f>
        <v>0</v>
      </c>
      <c r="V96" s="21"/>
      <c r="W96" s="21"/>
      <c r="X96" s="21"/>
      <c r="Y96" s="21"/>
      <c r="Z96" s="21"/>
      <c r="AA96" s="21"/>
      <c r="AB96" s="21"/>
      <c r="AC96" s="21"/>
      <c r="AD96" s="21"/>
      <c r="AE96" s="21"/>
      <c r="AF96" s="21"/>
      <c r="AG96" s="21"/>
      <c r="AH96" s="21"/>
      <c r="AI96" s="21"/>
      <c r="AJ96" s="21"/>
      <c r="AK96" s="21"/>
      <c r="AL96" s="21"/>
      <c r="AM96" s="21"/>
      <c r="AN96" s="21"/>
      <c r="AO96" s="21"/>
      <c r="AP96" s="21"/>
      <c r="AQ96" s="21"/>
      <c r="AR96" s="21"/>
      <c r="AS96" s="21"/>
      <c r="AT96" s="21"/>
      <c r="AU96" s="21"/>
      <c r="AV96" s="21"/>
      <c r="AW96" s="21"/>
      <c r="AX96" s="21"/>
      <c r="AY96" s="21"/>
      <c r="AZ96" s="21"/>
      <c r="BA96" s="21"/>
      <c r="BB96" s="21"/>
      <c r="BC96" s="21"/>
      <c r="BD96" s="21"/>
      <c r="BE96" s="21"/>
      <c r="BF96" s="21"/>
      <c r="BG96" s="21"/>
      <c r="BH96" s="21"/>
      <c r="BI96" s="21"/>
      <c r="BJ96" s="21"/>
      <c r="BK96" s="21"/>
      <c r="BL96" s="21"/>
      <c r="BM96" s="21"/>
      <c r="BN96" s="21"/>
      <c r="BO96" s="21"/>
      <c r="BP96" s="21"/>
      <c r="BQ96" s="21"/>
      <c r="BR96" s="21"/>
      <c r="BS96" s="21"/>
      <c r="BT96" s="21"/>
      <c r="BU96" s="21"/>
      <c r="BV96" s="21"/>
      <c r="BW96" s="21"/>
      <c r="BX96" s="21"/>
      <c r="BY96" s="21"/>
      <c r="BZ96" s="21"/>
      <c r="CA96" s="21"/>
      <c r="CB96" s="21"/>
      <c r="CC96" s="21"/>
      <c r="CD96" s="21"/>
      <c r="CE96" s="21"/>
      <c r="CF96" s="21"/>
      <c r="CG96" s="21"/>
      <c r="CH96" s="21"/>
      <c r="CI96" s="21"/>
      <c r="CJ96" s="21"/>
      <c r="CK96" s="21"/>
      <c r="CL96" s="21"/>
      <c r="CM96" s="21"/>
      <c r="CN96" s="21"/>
      <c r="CO96" s="21"/>
      <c r="CP96" s="21"/>
      <c r="CQ96" s="21"/>
      <c r="CR96" s="21"/>
      <c r="CS96" s="21"/>
      <c r="CT96" s="21"/>
      <c r="CU96" s="21"/>
      <c r="CV96" s="21"/>
      <c r="CW96" s="21"/>
      <c r="CX96" s="21"/>
      <c r="CY96" s="21"/>
      <c r="CZ96" s="21"/>
      <c r="DA96" s="21"/>
      <c r="DB96" s="21"/>
      <c r="DC96" s="21"/>
      <c r="DD96" s="21"/>
      <c r="DE96" s="21"/>
      <c r="DF96" s="21"/>
      <c r="DG96" s="21"/>
      <c r="DH96" s="21"/>
      <c r="DI96" s="21"/>
      <c r="DJ96" s="21"/>
      <c r="DK96" s="21"/>
      <c r="DL96" s="21"/>
      <c r="DM96" s="21"/>
      <c r="DN96" s="21"/>
      <c r="DO96" s="21"/>
      <c r="DP96" s="21"/>
      <c r="DQ96" s="21"/>
      <c r="DR96" s="21"/>
      <c r="DS96" s="21"/>
      <c r="DT96" s="21"/>
      <c r="DU96" s="21"/>
      <c r="DV96" s="21"/>
      <c r="DW96" s="21"/>
      <c r="DX96" s="21"/>
      <c r="DY96" s="21"/>
      <c r="DZ96" s="87"/>
      <c r="EA96" s="87"/>
      <c r="EB96" s="87"/>
      <c r="EC96" s="21"/>
      <c r="ED96" s="21"/>
      <c r="EE96" s="21"/>
      <c r="EF96" s="21"/>
      <c r="EG96" s="21"/>
      <c r="EH96" s="21"/>
      <c r="EI96" s="21"/>
      <c r="EJ96" s="21"/>
      <c r="EK96" s="21"/>
      <c r="EL96" s="21"/>
      <c r="EM96" s="21"/>
      <c r="EN96" s="21"/>
      <c r="EO96" s="21"/>
      <c r="EP96" s="21"/>
      <c r="EQ96" s="21"/>
      <c r="ER96" s="21"/>
      <c r="ES96" s="21"/>
      <c r="ET96" s="21"/>
      <c r="EU96" s="21"/>
      <c r="EV96" s="21"/>
      <c r="EW96" s="21"/>
      <c r="EX96" s="21"/>
      <c r="EY96" s="21"/>
      <c r="EZ96" s="21"/>
      <c r="FA96" s="21"/>
      <c r="FB96" s="21"/>
      <c r="FC96" s="21"/>
      <c r="FD96" s="21"/>
      <c r="FE96" s="21"/>
      <c r="FF96" s="21"/>
      <c r="FG96" s="21"/>
      <c r="FH96" s="21"/>
      <c r="FI96" s="21"/>
      <c r="FJ96" s="21"/>
      <c r="FK96" s="21"/>
      <c r="FL96" s="21"/>
      <c r="FM96" s="21"/>
      <c r="FN96" s="21"/>
      <c r="FO96" s="21"/>
      <c r="FP96" s="21"/>
      <c r="FQ96" s="21"/>
      <c r="FR96" s="21"/>
      <c r="FS96" s="21"/>
      <c r="FT96" s="21"/>
      <c r="FU96" s="21"/>
      <c r="FV96" s="21"/>
      <c r="FW96" s="21"/>
      <c r="FX96" s="21"/>
      <c r="FY96" s="21"/>
      <c r="FZ96" s="21"/>
      <c r="GA96" s="21"/>
      <c r="GB96" s="21"/>
      <c r="GC96" s="21"/>
      <c r="GD96" s="21"/>
      <c r="GE96" s="21"/>
      <c r="GF96" s="21"/>
      <c r="GG96" s="21"/>
      <c r="GH96" s="21"/>
      <c r="GI96" s="21"/>
      <c r="GJ96" s="21"/>
      <c r="GK96" s="21"/>
      <c r="GL96" s="21"/>
      <c r="GM96" s="21"/>
      <c r="GN96" s="21"/>
      <c r="GO96" s="21"/>
      <c r="GP96" s="21"/>
      <c r="GQ96" s="21"/>
      <c r="GR96" s="21"/>
      <c r="GS96" s="21"/>
      <c r="GT96" s="21"/>
      <c r="GU96" s="21"/>
      <c r="GV96" s="21"/>
      <c r="GW96" s="21"/>
      <c r="GX96" s="21"/>
      <c r="GY96" s="21"/>
      <c r="GZ96" s="21"/>
      <c r="HA96" s="21"/>
      <c r="HB96" s="21"/>
      <c r="HC96" s="21"/>
      <c r="HD96" s="21"/>
      <c r="HE96" s="21"/>
      <c r="HF96" s="21"/>
      <c r="HG96" s="21"/>
      <c r="HH96" s="21"/>
      <c r="HI96" s="21"/>
      <c r="HJ96" s="21"/>
      <c r="HK96" s="21"/>
      <c r="HL96" s="21"/>
      <c r="HM96" s="21"/>
      <c r="HN96" s="21"/>
      <c r="HO96" s="21"/>
      <c r="HP96" s="21"/>
      <c r="HQ96" s="21"/>
      <c r="HR96" s="21"/>
      <c r="HS96" s="21"/>
      <c r="HT96" s="21"/>
      <c r="HU96" s="21"/>
      <c r="HV96" s="186"/>
      <c r="HW96" s="21"/>
      <c r="HX96" s="21"/>
      <c r="HY96" s="21"/>
      <c r="HZ96" s="21"/>
      <c r="IA96" s="21"/>
      <c r="IB96" s="21"/>
      <c r="IC96" s="21"/>
      <c r="ID96" s="21"/>
      <c r="IE96" s="21"/>
      <c r="IF96" s="21"/>
      <c r="IG96" s="21"/>
      <c r="IH96" s="21"/>
      <c r="II96" s="21"/>
      <c r="IJ96" s="21"/>
      <c r="IK96" s="21"/>
      <c r="IL96" s="21"/>
      <c r="IM96" s="21"/>
      <c r="IN96" s="21"/>
      <c r="IO96" s="21"/>
      <c r="IP96" s="21"/>
      <c r="IQ96" s="21"/>
      <c r="IR96" s="21"/>
      <c r="IS96" s="21"/>
      <c r="IT96" s="21"/>
      <c r="IU96" s="21"/>
      <c r="IV96" s="21"/>
      <c r="IW96" s="21"/>
      <c r="IX96" s="21"/>
      <c r="IY96" s="21"/>
      <c r="IZ96" s="21"/>
      <c r="JA96" s="21"/>
      <c r="JB96" s="21"/>
      <c r="JC96" s="21"/>
      <c r="JD96" s="21"/>
      <c r="JE96" s="21"/>
      <c r="JF96" s="21"/>
      <c r="JG96" s="21"/>
      <c r="JH96" s="21"/>
      <c r="JI96" s="21"/>
      <c r="JJ96" s="21"/>
      <c r="JK96" s="21"/>
      <c r="JL96" s="21"/>
      <c r="JM96" s="21"/>
      <c r="JN96" s="21"/>
      <c r="JO96" s="21"/>
      <c r="JP96" s="21"/>
      <c r="JQ96" s="21"/>
      <c r="JR96" s="21"/>
      <c r="JS96" s="21"/>
      <c r="JT96" s="21"/>
      <c r="JU96" s="21"/>
      <c r="JV96" s="21"/>
      <c r="JW96" s="21"/>
      <c r="JX96" s="21"/>
      <c r="JY96" s="21"/>
      <c r="JZ96" s="21"/>
      <c r="KA96" s="21"/>
      <c r="KB96" s="21"/>
      <c r="KC96" s="21"/>
      <c r="KD96" s="21"/>
      <c r="KE96" s="21"/>
      <c r="KF96" s="21"/>
      <c r="KG96" s="21"/>
      <c r="KH96" s="21"/>
    </row>
    <row r="97" spans="1:294" hidden="1" x14ac:dyDescent="0.25">
      <c r="A97" s="1"/>
      <c r="B97" s="1"/>
      <c r="C97" s="1"/>
      <c r="D97" s="1"/>
      <c r="E97" s="1"/>
      <c r="F97" s="17" t="str">
        <f>IF(E83=AF86,"PROPOZYCJA KOTEW- DO WERFIKACJI","")</f>
        <v/>
      </c>
      <c r="G97" s="1"/>
      <c r="H97" s="1"/>
      <c r="I97" s="1"/>
      <c r="J97" s="1"/>
      <c r="K97" s="1"/>
      <c r="L97" s="5" t="s">
        <v>297</v>
      </c>
      <c r="M97" s="11">
        <f>INDEX(cennik!$C$2:$L$529,MATCH($L97,cennik!$B$2:$B$522,0),MATCH(M$53,cennik!$C$1:$L$1,0))</f>
        <v>894824</v>
      </c>
      <c r="N97" s="11" t="str">
        <f>INDEX(cennik!$C$2:$L$529,MATCH($L97,cennik!$B$2:$B$522,0),MATCH(N$53,cennik!$C$1:$L$1,0))</f>
        <v>szt.</v>
      </c>
      <c r="O97" s="14">
        <f>O93*4</f>
        <v>0</v>
      </c>
      <c r="P97" s="11">
        <f>INDEX(cennik!$C$2:$L$529,MATCH($L97,cennik!$B$2:$B$522,0),MATCH(P$53,cennik!$C$1:$L$1,0))</f>
        <v>1.85</v>
      </c>
      <c r="Q97" s="14">
        <f t="shared" si="29"/>
        <v>0</v>
      </c>
      <c r="R97" s="14">
        <f t="shared" si="25"/>
        <v>0</v>
      </c>
      <c r="S97" s="34">
        <f t="shared" si="26"/>
        <v>1.85</v>
      </c>
      <c r="T97" s="14">
        <f t="shared" si="30"/>
        <v>0</v>
      </c>
      <c r="U97" s="34">
        <f>INDEX(cennik!$C$2:$L$529,MATCH($L97,cennik!$B$2:$B$522,0),MATCH(U$53,cennik!$C$1:$L$1,0))*O97</f>
        <v>0</v>
      </c>
      <c r="V97" s="21"/>
      <c r="W97" s="21"/>
      <c r="X97" s="21"/>
      <c r="Y97" s="21"/>
      <c r="Z97" s="21"/>
      <c r="AA97" s="21"/>
      <c r="AB97" s="21"/>
      <c r="AC97" s="21"/>
      <c r="AD97" s="21"/>
      <c r="AE97" s="21"/>
      <c r="AF97" s="21"/>
      <c r="AG97" s="21"/>
      <c r="AH97" s="21"/>
      <c r="AI97" s="21"/>
      <c r="AJ97" s="21"/>
      <c r="AK97" s="21"/>
      <c r="AL97" s="21"/>
      <c r="AM97" s="21"/>
      <c r="AN97" s="21"/>
      <c r="AO97" s="21"/>
      <c r="AP97" s="21"/>
      <c r="AQ97" s="21"/>
      <c r="AR97" s="21"/>
      <c r="AS97" s="21"/>
      <c r="AT97" s="21"/>
      <c r="AU97" s="21"/>
      <c r="AV97" s="21"/>
      <c r="AW97" s="21"/>
      <c r="AX97" s="21"/>
      <c r="AY97" s="21"/>
      <c r="AZ97" s="21"/>
      <c r="BA97" s="21"/>
      <c r="BB97" s="21"/>
      <c r="BC97" s="21"/>
      <c r="BD97" s="21"/>
      <c r="BE97" s="21"/>
      <c r="BF97" s="21"/>
      <c r="BG97" s="21"/>
      <c r="BH97" s="21"/>
      <c r="BI97" s="21"/>
      <c r="BJ97" s="21"/>
      <c r="BK97" s="21"/>
      <c r="BL97" s="21"/>
      <c r="BM97" s="21"/>
      <c r="BN97" s="21"/>
      <c r="BO97" s="21"/>
      <c r="BP97" s="21"/>
      <c r="BQ97" s="21"/>
      <c r="BR97" s="21"/>
      <c r="BS97" s="21"/>
      <c r="BT97" s="21"/>
      <c r="BU97" s="21"/>
      <c r="BV97" s="21"/>
      <c r="BW97" s="21"/>
      <c r="BX97" s="21"/>
      <c r="BY97" s="21"/>
      <c r="BZ97" s="21"/>
      <c r="CA97" s="21"/>
      <c r="CB97" s="21"/>
      <c r="CC97" s="21"/>
      <c r="CD97" s="21"/>
      <c r="CE97" s="21"/>
      <c r="CF97" s="21"/>
      <c r="CG97" s="21"/>
      <c r="CH97" s="21"/>
      <c r="CI97" s="21"/>
      <c r="CJ97" s="21"/>
      <c r="CK97" s="21"/>
      <c r="CL97" s="21"/>
      <c r="CM97" s="21"/>
      <c r="CN97" s="21"/>
      <c r="CO97" s="21"/>
      <c r="CP97" s="21"/>
      <c r="CQ97" s="21"/>
      <c r="CR97" s="21"/>
      <c r="CS97" s="21"/>
      <c r="CT97" s="21"/>
      <c r="CU97" s="21"/>
      <c r="CV97" s="21"/>
      <c r="CW97" s="21"/>
      <c r="CX97" s="21"/>
      <c r="CY97" s="21"/>
      <c r="CZ97" s="21"/>
      <c r="DA97" s="21"/>
      <c r="DB97" s="21"/>
      <c r="DC97" s="21"/>
      <c r="DD97" s="21"/>
      <c r="DE97" s="21"/>
      <c r="DF97" s="21"/>
      <c r="DG97" s="21"/>
      <c r="DH97" s="21"/>
      <c r="DI97" s="21"/>
      <c r="DJ97" s="21"/>
      <c r="DK97" s="21"/>
      <c r="DL97" s="21"/>
      <c r="DM97" s="21"/>
      <c r="DN97" s="21"/>
      <c r="DO97" s="21"/>
      <c r="DP97" s="21"/>
      <c r="DQ97" s="21"/>
      <c r="DR97" s="21"/>
      <c r="DS97" s="21"/>
      <c r="DT97" s="21"/>
      <c r="DU97" s="21"/>
      <c r="DV97" s="21"/>
      <c r="DW97" s="21"/>
      <c r="DX97" s="21"/>
      <c r="DY97" s="21"/>
      <c r="DZ97" s="87"/>
      <c r="EA97" s="87"/>
      <c r="EB97" s="87"/>
      <c r="EC97" s="21"/>
      <c r="ED97" s="21"/>
      <c r="EE97" s="21"/>
      <c r="EF97" s="21"/>
      <c r="EG97" s="21"/>
      <c r="EH97" s="21"/>
      <c r="EI97" s="21"/>
      <c r="EJ97" s="21"/>
      <c r="EK97" s="21"/>
      <c r="EL97" s="21"/>
      <c r="EM97" s="21"/>
      <c r="EN97" s="21"/>
      <c r="EO97" s="21"/>
      <c r="EP97" s="21"/>
      <c r="EQ97" s="21"/>
      <c r="ER97" s="21"/>
      <c r="ES97" s="21"/>
      <c r="ET97" s="21"/>
      <c r="EU97" s="21"/>
      <c r="EV97" s="21"/>
      <c r="EW97" s="21"/>
      <c r="EX97" s="21"/>
      <c r="EY97" s="21"/>
      <c r="EZ97" s="21"/>
      <c r="FA97" s="21"/>
      <c r="FB97" s="21"/>
      <c r="FC97" s="21"/>
      <c r="FD97" s="21"/>
      <c r="FE97" s="21"/>
      <c r="FF97" s="21"/>
      <c r="FG97" s="21"/>
      <c r="FH97" s="21"/>
      <c r="FI97" s="21"/>
      <c r="FJ97" s="21"/>
      <c r="FK97" s="21"/>
      <c r="FL97" s="21"/>
      <c r="FM97" s="21"/>
      <c r="FN97" s="21"/>
      <c r="FO97" s="21"/>
      <c r="FP97" s="21"/>
      <c r="FQ97" s="21"/>
      <c r="FR97" s="21"/>
      <c r="FS97" s="21"/>
      <c r="FT97" s="21"/>
      <c r="FU97" s="21"/>
      <c r="FV97" s="21"/>
      <c r="FW97" s="21"/>
      <c r="FX97" s="21"/>
      <c r="FY97" s="21"/>
      <c r="FZ97" s="21"/>
      <c r="GA97" s="21"/>
      <c r="GB97" s="21"/>
      <c r="GC97" s="21"/>
      <c r="GD97" s="21"/>
      <c r="GE97" s="21"/>
      <c r="GF97" s="21"/>
      <c r="GG97" s="21"/>
      <c r="GH97" s="21"/>
      <c r="GI97" s="21"/>
      <c r="GJ97" s="21"/>
      <c r="GK97" s="21"/>
      <c r="GL97" s="21"/>
      <c r="GM97" s="21"/>
      <c r="GN97" s="21"/>
      <c r="GO97" s="21"/>
      <c r="GP97" s="21"/>
      <c r="GQ97" s="21"/>
      <c r="GR97" s="21"/>
      <c r="GS97" s="21"/>
      <c r="GT97" s="21"/>
      <c r="GU97" s="21"/>
      <c r="GV97" s="21"/>
      <c r="GW97" s="21"/>
      <c r="GX97" s="21"/>
      <c r="GY97" s="21"/>
      <c r="GZ97" s="21"/>
      <c r="HA97" s="21"/>
      <c r="HB97" s="21"/>
      <c r="HC97" s="21"/>
      <c r="HD97" s="21"/>
      <c r="HE97" s="21"/>
      <c r="HF97" s="21"/>
      <c r="HG97" s="21"/>
      <c r="HH97" s="21"/>
      <c r="HI97" s="21"/>
      <c r="HJ97" s="21"/>
      <c r="HK97" s="21"/>
      <c r="HL97" s="21"/>
      <c r="HM97" s="21"/>
      <c r="HN97" s="21"/>
      <c r="HO97" s="21"/>
      <c r="HP97" s="21"/>
      <c r="HQ97" s="21"/>
      <c r="HR97" s="21"/>
      <c r="HS97" s="21"/>
      <c r="HT97" s="21"/>
      <c r="HU97" s="21"/>
      <c r="HV97" s="186"/>
      <c r="HW97" s="21"/>
      <c r="HX97" s="21"/>
      <c r="HY97" s="21"/>
      <c r="HZ97" s="21"/>
      <c r="IA97" s="21"/>
      <c r="IB97" s="21"/>
      <c r="IC97" s="21"/>
      <c r="ID97" s="21"/>
      <c r="IE97" s="21"/>
      <c r="IF97" s="21"/>
      <c r="IG97" s="21"/>
      <c r="IH97" s="21"/>
      <c r="II97" s="21"/>
      <c r="IJ97" s="21"/>
      <c r="IK97" s="21"/>
      <c r="IL97" s="21"/>
      <c r="IM97" s="21"/>
      <c r="IN97" s="21"/>
      <c r="IO97" s="21"/>
      <c r="IP97" s="21"/>
      <c r="IQ97" s="21"/>
      <c r="IR97" s="21"/>
      <c r="IS97" s="21"/>
      <c r="IT97" s="21"/>
      <c r="IU97" s="21"/>
      <c r="IV97" s="21"/>
      <c r="IW97" s="21"/>
      <c r="IX97" s="21"/>
      <c r="IY97" s="21"/>
      <c r="IZ97" s="21"/>
      <c r="JA97" s="21"/>
      <c r="JB97" s="21"/>
      <c r="JC97" s="21"/>
      <c r="JD97" s="21"/>
      <c r="JE97" s="21"/>
      <c r="JF97" s="21"/>
      <c r="JG97" s="21"/>
      <c r="JH97" s="21"/>
      <c r="JI97" s="21"/>
      <c r="JJ97" s="21"/>
      <c r="JK97" s="21"/>
      <c r="JL97" s="21"/>
      <c r="JM97" s="21"/>
      <c r="JN97" s="21"/>
      <c r="JO97" s="21"/>
      <c r="JP97" s="21"/>
      <c r="JQ97" s="21"/>
      <c r="JR97" s="21"/>
      <c r="JS97" s="21"/>
      <c r="JT97" s="21"/>
      <c r="JU97" s="21"/>
      <c r="JV97" s="21"/>
      <c r="JW97" s="21"/>
      <c r="JX97" s="21"/>
      <c r="JY97" s="21"/>
      <c r="JZ97" s="21"/>
      <c r="KA97" s="21"/>
      <c r="KB97" s="21"/>
      <c r="KC97" s="21"/>
      <c r="KD97" s="21"/>
      <c r="KE97" s="21"/>
      <c r="KF97" s="21"/>
      <c r="KG97" s="21"/>
      <c r="KH97" s="21"/>
    </row>
    <row r="98" spans="1:294" hidden="1" x14ac:dyDescent="0.25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5" t="s">
        <v>67</v>
      </c>
      <c r="M98" s="11">
        <f>INDEX(cennik!$C$2:$L$529,MATCH($L98,cennik!$B$2:$B$522,0),MATCH(M$53,cennik!$C$1:$L$1,0))</f>
        <v>890008</v>
      </c>
      <c r="N98" s="11" t="str">
        <f>INDEX(cennik!$C$2:$L$529,MATCH($L98,cennik!$B$2:$B$522,0),MATCH(N$53,cennik!$C$1:$L$1,0))</f>
        <v>100 szt.</v>
      </c>
      <c r="O98" s="14">
        <f>O91</f>
        <v>0</v>
      </c>
      <c r="P98" s="11">
        <f>INDEX(cennik!$C$2:$L$529,MATCH($L98,cennik!$B$2:$B$522,0),MATCH(P$53,cennik!$C$1:$L$1,0))</f>
        <v>28.15</v>
      </c>
      <c r="Q98" s="14">
        <f t="shared" si="29"/>
        <v>0</v>
      </c>
      <c r="R98" s="14">
        <f t="shared" si="25"/>
        <v>0</v>
      </c>
      <c r="S98" s="34">
        <f t="shared" si="26"/>
        <v>28.15</v>
      </c>
      <c r="T98" s="14">
        <f t="shared" si="30"/>
        <v>0</v>
      </c>
      <c r="U98" s="34">
        <f>INDEX(cennik!$C$2:$L$529,MATCH($L98,cennik!$B$2:$B$522,0),MATCH(U$53,cennik!$C$1:$L$1,0))*O98</f>
        <v>0</v>
      </c>
      <c r="V98" s="21"/>
      <c r="W98" s="21"/>
      <c r="X98" s="21"/>
      <c r="Y98" s="21"/>
      <c r="Z98" s="21"/>
      <c r="AA98" s="21"/>
      <c r="AB98" s="21"/>
      <c r="AC98" s="21"/>
      <c r="AD98" s="21"/>
      <c r="AE98" s="21"/>
      <c r="AF98" s="21"/>
      <c r="AG98" s="21"/>
      <c r="AH98" s="21"/>
      <c r="AI98" s="21"/>
      <c r="AJ98" s="21"/>
      <c r="AK98" s="21"/>
      <c r="AL98" s="21"/>
      <c r="AM98" s="21"/>
      <c r="AN98" s="21"/>
      <c r="AO98" s="21"/>
      <c r="AP98" s="21"/>
      <c r="AQ98" s="21"/>
      <c r="AR98" s="21"/>
      <c r="AS98" s="21"/>
      <c r="AT98" s="21"/>
      <c r="AU98" s="21"/>
      <c r="AV98" s="21"/>
      <c r="AW98" s="21"/>
      <c r="AX98" s="21"/>
      <c r="AY98" s="21"/>
      <c r="AZ98" s="21"/>
      <c r="BA98" s="21"/>
      <c r="BB98" s="21"/>
      <c r="BC98" s="21"/>
      <c r="BD98" s="21"/>
      <c r="BE98" s="21"/>
      <c r="BF98" s="21"/>
      <c r="BG98" s="21"/>
      <c r="BH98" s="21"/>
      <c r="BI98" s="21"/>
      <c r="BJ98" s="21"/>
      <c r="BK98" s="21"/>
      <c r="BL98" s="21"/>
      <c r="BM98" s="21"/>
      <c r="BN98" s="21"/>
      <c r="BO98" s="21"/>
      <c r="BP98" s="21"/>
      <c r="BQ98" s="21"/>
      <c r="BR98" s="21"/>
      <c r="BS98" s="21"/>
      <c r="BT98" s="21"/>
      <c r="BU98" s="21"/>
      <c r="BV98" s="21"/>
      <c r="BW98" s="21"/>
      <c r="BX98" s="21"/>
      <c r="BY98" s="21"/>
      <c r="BZ98" s="21"/>
      <c r="CA98" s="21"/>
      <c r="CB98" s="21"/>
      <c r="CC98" s="21"/>
      <c r="CD98" s="21"/>
      <c r="CE98" s="21"/>
      <c r="CF98" s="21"/>
      <c r="CG98" s="21"/>
      <c r="CH98" s="21"/>
      <c r="CI98" s="21"/>
      <c r="CJ98" s="21"/>
      <c r="CK98" s="21"/>
      <c r="CL98" s="21"/>
      <c r="CM98" s="21"/>
      <c r="CN98" s="21"/>
      <c r="CO98" s="21"/>
      <c r="CP98" s="21"/>
      <c r="CQ98" s="21"/>
      <c r="CR98" s="21"/>
      <c r="CS98" s="21"/>
      <c r="CT98" s="21"/>
      <c r="CU98" s="21"/>
      <c r="CV98" s="21"/>
      <c r="CW98" s="21"/>
      <c r="CX98" s="21"/>
      <c r="CY98" s="21"/>
      <c r="CZ98" s="21"/>
      <c r="DA98" s="21"/>
      <c r="DB98" s="21"/>
      <c r="DC98" s="21"/>
      <c r="DD98" s="21"/>
      <c r="DE98" s="21"/>
      <c r="DF98" s="21"/>
      <c r="DG98" s="21"/>
      <c r="DH98" s="21"/>
      <c r="DI98" s="21"/>
      <c r="DJ98" s="21"/>
      <c r="DK98" s="21"/>
      <c r="DL98" s="21"/>
      <c r="DM98" s="21"/>
      <c r="DN98" s="21"/>
      <c r="DO98" s="21"/>
      <c r="DP98" s="21"/>
      <c r="DQ98" s="21"/>
      <c r="DR98" s="21"/>
      <c r="DS98" s="21"/>
      <c r="DT98" s="21"/>
      <c r="DU98" s="21"/>
      <c r="DV98" s="21"/>
      <c r="DW98" s="21"/>
      <c r="DX98" s="21"/>
      <c r="DY98" s="21"/>
      <c r="DZ98" s="87"/>
      <c r="EA98" s="87"/>
      <c r="EB98" s="87"/>
      <c r="EC98" s="21"/>
      <c r="ED98" s="21"/>
      <c r="EE98" s="21"/>
      <c r="EF98" s="21"/>
      <c r="EG98" s="21"/>
      <c r="EH98" s="21"/>
      <c r="EI98" s="21"/>
      <c r="EJ98" s="21"/>
      <c r="EK98" s="21"/>
      <c r="EL98" s="21"/>
      <c r="EM98" s="21"/>
      <c r="EN98" s="21"/>
      <c r="EO98" s="21"/>
      <c r="EP98" s="21"/>
      <c r="EQ98" s="21"/>
      <c r="ER98" s="21"/>
      <c r="ES98" s="21"/>
      <c r="ET98" s="21"/>
      <c r="EU98" s="21"/>
      <c r="EV98" s="21"/>
      <c r="EW98" s="21"/>
      <c r="EX98" s="21"/>
      <c r="EY98" s="21"/>
      <c r="EZ98" s="21"/>
      <c r="FA98" s="21"/>
      <c r="FB98" s="21"/>
      <c r="FC98" s="21"/>
      <c r="FD98" s="21"/>
      <c r="FE98" s="21"/>
      <c r="FF98" s="21"/>
      <c r="FG98" s="21"/>
      <c r="FH98" s="21"/>
      <c r="FI98" s="21"/>
      <c r="FJ98" s="21"/>
      <c r="FK98" s="21"/>
      <c r="FL98" s="21"/>
      <c r="FM98" s="21"/>
      <c r="FN98" s="21"/>
      <c r="FO98" s="21"/>
      <c r="FP98" s="21"/>
      <c r="FQ98" s="21"/>
      <c r="FR98" s="21"/>
      <c r="FS98" s="21"/>
      <c r="FT98" s="21"/>
      <c r="FU98" s="21"/>
      <c r="FV98" s="21"/>
      <c r="FW98" s="21"/>
      <c r="FX98" s="21"/>
      <c r="FY98" s="21"/>
      <c r="FZ98" s="21"/>
      <c r="GA98" s="21"/>
      <c r="GB98" s="21"/>
      <c r="GC98" s="21"/>
      <c r="GD98" s="21"/>
      <c r="GE98" s="21"/>
      <c r="GF98" s="21"/>
      <c r="GG98" s="21"/>
      <c r="GH98" s="21"/>
      <c r="GI98" s="21"/>
      <c r="GJ98" s="21"/>
      <c r="GK98" s="21"/>
      <c r="GL98" s="21"/>
      <c r="GM98" s="21"/>
      <c r="GN98" s="21"/>
      <c r="GO98" s="21"/>
      <c r="GP98" s="21"/>
      <c r="GQ98" s="21"/>
      <c r="GR98" s="21"/>
      <c r="GS98" s="21"/>
      <c r="GT98" s="21"/>
      <c r="GU98" s="21"/>
      <c r="GV98" s="21"/>
      <c r="GW98" s="21"/>
      <c r="GX98" s="21"/>
      <c r="GY98" s="21"/>
      <c r="GZ98" s="21"/>
      <c r="HA98" s="21"/>
      <c r="HB98" s="21"/>
      <c r="HC98" s="21"/>
      <c r="HD98" s="21"/>
      <c r="HE98" s="21"/>
      <c r="HF98" s="21"/>
      <c r="HG98" s="21"/>
      <c r="HH98" s="21"/>
      <c r="HI98" s="21"/>
      <c r="HJ98" s="21"/>
      <c r="HK98" s="21"/>
      <c r="HL98" s="21"/>
      <c r="HM98" s="21"/>
      <c r="HN98" s="21"/>
      <c r="HO98" s="21"/>
      <c r="HP98" s="21"/>
      <c r="HQ98" s="21"/>
      <c r="HR98" s="21"/>
      <c r="HS98" s="21"/>
      <c r="HT98" s="21"/>
      <c r="HU98" s="21"/>
      <c r="HV98" s="186"/>
      <c r="HW98" s="21"/>
      <c r="HX98" s="21"/>
      <c r="HY98" s="21"/>
      <c r="HZ98" s="21"/>
      <c r="IA98" s="21"/>
      <c r="IB98" s="21"/>
      <c r="IC98" s="21"/>
      <c r="ID98" s="21"/>
      <c r="IE98" s="21"/>
      <c r="IF98" s="21"/>
      <c r="IG98" s="21"/>
      <c r="IH98" s="21"/>
      <c r="II98" s="21"/>
      <c r="IJ98" s="21"/>
      <c r="IK98" s="21"/>
      <c r="IL98" s="21"/>
      <c r="IM98" s="21"/>
      <c r="IN98" s="21"/>
      <c r="IO98" s="21"/>
      <c r="IP98" s="21"/>
      <c r="IQ98" s="21"/>
      <c r="IR98" s="21"/>
      <c r="IS98" s="21"/>
      <c r="IT98" s="21"/>
      <c r="IU98" s="21"/>
      <c r="IV98" s="21"/>
      <c r="IW98" s="21"/>
      <c r="IX98" s="21"/>
      <c r="IY98" s="21"/>
      <c r="IZ98" s="21"/>
      <c r="JA98" s="21"/>
      <c r="JB98" s="21"/>
      <c r="JC98" s="21"/>
      <c r="JD98" s="21"/>
      <c r="JE98" s="21"/>
      <c r="JF98" s="21"/>
      <c r="JG98" s="21"/>
      <c r="JH98" s="21"/>
      <c r="JI98" s="21"/>
      <c r="JJ98" s="21"/>
      <c r="JK98" s="21"/>
      <c r="JL98" s="21"/>
      <c r="JM98" s="21"/>
      <c r="JN98" s="21"/>
      <c r="JO98" s="21"/>
      <c r="JP98" s="21"/>
      <c r="JQ98" s="21"/>
      <c r="JR98" s="21"/>
      <c r="JS98" s="21"/>
      <c r="JT98" s="21"/>
      <c r="JU98" s="21"/>
      <c r="JV98" s="21"/>
      <c r="JW98" s="21"/>
      <c r="JX98" s="21"/>
      <c r="JY98" s="21"/>
      <c r="JZ98" s="21"/>
      <c r="KA98" s="21"/>
      <c r="KB98" s="21"/>
      <c r="KC98" s="21"/>
      <c r="KD98" s="21"/>
      <c r="KE98" s="21"/>
      <c r="KF98" s="21"/>
      <c r="KG98" s="21"/>
      <c r="KH98" s="21"/>
    </row>
    <row r="99" spans="1:294" hidden="1" x14ac:dyDescent="0.25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94" t="s">
        <v>786</v>
      </c>
      <c r="M99" s="11">
        <f>INDEX(cennik!$C$2:$L$529,MATCH($L99,cennik!$B$2:$B$522,0),MATCH(M$53,cennik!$C$1:$L$1,0))</f>
        <v>651541</v>
      </c>
      <c r="N99" s="11" t="str">
        <f>INDEX(cennik!$C$2:$L$529,MATCH($L99,cennik!$B$2:$B$522,0),MATCH(N$53,cennik!$C$1:$L$1,0))</f>
        <v>100 szt.</v>
      </c>
      <c r="O99" s="14">
        <f>IF(E82=AF56,(SUM((A79*C79),(A80*C80),(A81*C81),(A82*C82),(A83*C83),(A84*C84),(A85*C85),(A86*C86),(A87*C87),(A88*C88),(A89*C89),(A90*C90),(A91*C91),(A92*C92),(A93*C93),(A94*C94)))*4,0)</f>
        <v>0</v>
      </c>
      <c r="P99" s="11">
        <f>INDEX(cennik!$C$2:$L$529,MATCH($L99,cennik!$B$2:$B$522,0),MATCH(P$53,cennik!$C$1:$L$1,0))</f>
        <v>78.89</v>
      </c>
      <c r="Q99" s="14">
        <f>O99*P99</f>
        <v>0</v>
      </c>
      <c r="R99" s="14">
        <f t="shared" si="25"/>
        <v>0</v>
      </c>
      <c r="S99" s="34">
        <f t="shared" si="26"/>
        <v>78.89</v>
      </c>
      <c r="T99" s="14">
        <f t="shared" si="30"/>
        <v>0</v>
      </c>
      <c r="U99" s="34">
        <f>INDEX(cennik!$C$2:$L$529,MATCH($L99,cennik!$B$2:$B$522,0),MATCH(U$53,cennik!$C$1:$L$1,0))*O99</f>
        <v>0</v>
      </c>
      <c r="V99" s="21"/>
      <c r="W99" s="21"/>
      <c r="X99" s="21"/>
      <c r="Y99" s="21"/>
      <c r="Z99" s="21"/>
      <c r="AA99" s="21"/>
      <c r="AB99" s="21"/>
      <c r="AC99" s="21"/>
      <c r="AD99" s="21"/>
      <c r="AE99" s="21"/>
      <c r="AF99" s="21"/>
      <c r="AG99" s="21"/>
      <c r="AH99" s="21"/>
      <c r="AI99" s="21"/>
      <c r="AJ99" s="21"/>
      <c r="AK99" s="21"/>
      <c r="AL99" s="21"/>
      <c r="AM99" s="21"/>
      <c r="AN99" s="21"/>
      <c r="AO99" s="21"/>
      <c r="AP99" s="21"/>
      <c r="AQ99" s="21"/>
      <c r="AR99" s="21"/>
      <c r="AS99" s="21"/>
      <c r="AT99" s="21"/>
      <c r="AU99" s="21"/>
      <c r="AV99" s="21"/>
      <c r="AW99" s="21"/>
      <c r="AX99" s="21"/>
      <c r="AY99" s="21"/>
      <c r="AZ99" s="21"/>
      <c r="BA99" s="21"/>
      <c r="BB99" s="21"/>
      <c r="BC99" s="21"/>
      <c r="BD99" s="21"/>
      <c r="BE99" s="21"/>
      <c r="BF99" s="21"/>
      <c r="BG99" s="21"/>
      <c r="BH99" s="21"/>
      <c r="BI99" s="21"/>
      <c r="BJ99" s="21"/>
      <c r="BK99" s="21"/>
      <c r="BL99" s="21"/>
      <c r="BM99" s="21"/>
      <c r="BN99" s="21"/>
      <c r="BO99" s="21"/>
      <c r="BP99" s="21"/>
      <c r="BQ99" s="21"/>
      <c r="BR99" s="21"/>
      <c r="BS99" s="21"/>
      <c r="BT99" s="21"/>
      <c r="BU99" s="21"/>
      <c r="BV99" s="21"/>
      <c r="BW99" s="21"/>
      <c r="BX99" s="21"/>
      <c r="BY99" s="21"/>
      <c r="BZ99" s="21"/>
      <c r="CA99" s="21"/>
      <c r="CB99" s="21"/>
      <c r="CC99" s="21"/>
      <c r="CD99" s="21"/>
      <c r="CE99" s="21"/>
      <c r="CF99" s="21"/>
      <c r="CG99" s="21"/>
      <c r="CH99" s="21"/>
      <c r="CI99" s="21"/>
      <c r="CJ99" s="21"/>
      <c r="CK99" s="21"/>
      <c r="CL99" s="21"/>
      <c r="CM99" s="21"/>
      <c r="CN99" s="21"/>
      <c r="CO99" s="21"/>
      <c r="CP99" s="21"/>
      <c r="CQ99" s="21"/>
      <c r="CR99" s="21"/>
      <c r="CS99" s="21"/>
      <c r="CT99" s="21"/>
      <c r="CU99" s="21"/>
      <c r="CV99" s="21"/>
      <c r="CW99" s="21"/>
      <c r="CX99" s="21"/>
      <c r="CY99" s="21"/>
      <c r="CZ99" s="21"/>
      <c r="DA99" s="21"/>
      <c r="DB99" s="21"/>
      <c r="DC99" s="21"/>
      <c r="DD99" s="21"/>
      <c r="DE99" s="21"/>
      <c r="DF99" s="21"/>
      <c r="DG99" s="21"/>
      <c r="DH99" s="21"/>
      <c r="DI99" s="21"/>
      <c r="DJ99" s="21"/>
      <c r="DK99" s="21"/>
      <c r="DL99" s="21"/>
      <c r="DM99" s="21"/>
      <c r="DN99" s="21"/>
      <c r="DO99" s="21"/>
      <c r="DP99" s="21"/>
      <c r="DQ99" s="21"/>
      <c r="DR99" s="21"/>
      <c r="DS99" s="21"/>
      <c r="DT99" s="21"/>
      <c r="DU99" s="21"/>
      <c r="DV99" s="21"/>
      <c r="DW99" s="21"/>
      <c r="DX99" s="21"/>
      <c r="DY99" s="21"/>
      <c r="DZ99" s="87"/>
      <c r="EA99" s="87"/>
      <c r="EB99" s="87"/>
      <c r="EC99" s="21"/>
      <c r="ED99" s="21"/>
      <c r="EE99" s="21"/>
      <c r="EF99" s="21"/>
      <c r="EG99" s="21"/>
      <c r="EH99" s="21"/>
      <c r="EI99" s="21"/>
      <c r="EJ99" s="21"/>
      <c r="EK99" s="21"/>
      <c r="EL99" s="21"/>
      <c r="EM99" s="21"/>
      <c r="EN99" s="21"/>
      <c r="EO99" s="21"/>
      <c r="EP99" s="21"/>
      <c r="EQ99" s="21"/>
      <c r="ER99" s="21"/>
      <c r="ES99" s="21"/>
      <c r="ET99" s="21"/>
      <c r="EU99" s="21"/>
      <c r="EV99" s="21"/>
      <c r="EW99" s="21"/>
      <c r="EX99" s="21"/>
      <c r="EY99" s="21"/>
      <c r="EZ99" s="21"/>
      <c r="FA99" s="21"/>
      <c r="FB99" s="21"/>
      <c r="FC99" s="21"/>
      <c r="FD99" s="21"/>
      <c r="FE99" s="21"/>
      <c r="FF99" s="21"/>
      <c r="FG99" s="21"/>
      <c r="FH99" s="21"/>
      <c r="FI99" s="21"/>
      <c r="FJ99" s="21"/>
      <c r="FK99" s="21"/>
      <c r="FL99" s="21"/>
      <c r="FM99" s="21"/>
      <c r="FN99" s="21"/>
      <c r="FO99" s="21"/>
      <c r="FP99" s="21"/>
      <c r="FQ99" s="21"/>
      <c r="FR99" s="21"/>
      <c r="FS99" s="21"/>
      <c r="FT99" s="21"/>
      <c r="FU99" s="21"/>
      <c r="FV99" s="21"/>
      <c r="FW99" s="21"/>
      <c r="FX99" s="21"/>
      <c r="FY99" s="21"/>
      <c r="FZ99" s="21"/>
      <c r="GA99" s="21"/>
      <c r="GB99" s="21"/>
      <c r="GC99" s="21"/>
      <c r="GD99" s="21"/>
      <c r="GE99" s="21"/>
      <c r="GF99" s="21"/>
      <c r="GG99" s="21"/>
      <c r="GH99" s="21"/>
      <c r="GI99" s="21"/>
      <c r="GJ99" s="21"/>
      <c r="GK99" s="21"/>
      <c r="GL99" s="21"/>
      <c r="GM99" s="21"/>
      <c r="GN99" s="21"/>
      <c r="GO99" s="21"/>
      <c r="GP99" s="21"/>
      <c r="GQ99" s="21"/>
      <c r="GR99" s="21"/>
      <c r="GS99" s="21"/>
      <c r="GT99" s="21"/>
      <c r="GU99" s="21"/>
      <c r="GV99" s="21"/>
      <c r="GW99" s="21"/>
      <c r="GX99" s="21"/>
      <c r="GY99" s="21"/>
      <c r="GZ99" s="21"/>
      <c r="HA99" s="21"/>
      <c r="HB99" s="21"/>
      <c r="HC99" s="21"/>
      <c r="HD99" s="21"/>
      <c r="HE99" s="21"/>
      <c r="HF99" s="21"/>
      <c r="HG99" s="21"/>
      <c r="HH99" s="21"/>
      <c r="HI99" s="21"/>
      <c r="HJ99" s="21"/>
      <c r="HK99" s="21"/>
      <c r="HL99" s="21"/>
      <c r="HM99" s="21"/>
      <c r="HN99" s="21"/>
      <c r="HO99" s="21"/>
      <c r="HP99" s="21"/>
      <c r="HQ99" s="21"/>
      <c r="HR99" s="21"/>
      <c r="HS99" s="21"/>
      <c r="HT99" s="21"/>
      <c r="HU99" s="21"/>
      <c r="HV99" s="186"/>
      <c r="HW99" s="21"/>
      <c r="HX99" s="21"/>
      <c r="HY99" s="21"/>
      <c r="HZ99" s="21"/>
      <c r="IA99" s="21"/>
      <c r="IB99" s="21"/>
      <c r="IC99" s="21"/>
      <c r="ID99" s="21"/>
      <c r="IE99" s="21"/>
      <c r="IF99" s="21"/>
      <c r="IG99" s="21"/>
      <c r="IH99" s="21"/>
      <c r="II99" s="21"/>
      <c r="IJ99" s="21"/>
      <c r="IK99" s="21"/>
      <c r="IL99" s="21"/>
      <c r="IM99" s="21"/>
      <c r="IN99" s="21"/>
      <c r="IO99" s="21"/>
      <c r="IP99" s="21"/>
      <c r="IQ99" s="21"/>
      <c r="IR99" s="21"/>
      <c r="IS99" s="21"/>
      <c r="IT99" s="21"/>
      <c r="IU99" s="21"/>
      <c r="IV99" s="21"/>
      <c r="IW99" s="21"/>
      <c r="IX99" s="21"/>
      <c r="IY99" s="21"/>
      <c r="IZ99" s="21"/>
      <c r="JA99" s="21"/>
      <c r="JB99" s="21"/>
      <c r="JC99" s="21"/>
      <c r="JD99" s="21"/>
      <c r="JE99" s="21"/>
      <c r="JF99" s="21"/>
      <c r="JG99" s="21"/>
      <c r="JH99" s="21"/>
      <c r="JI99" s="21"/>
      <c r="JJ99" s="21"/>
      <c r="JK99" s="21"/>
      <c r="JL99" s="21"/>
      <c r="JM99" s="21"/>
      <c r="JN99" s="21"/>
      <c r="JO99" s="21"/>
      <c r="JP99" s="21"/>
      <c r="JQ99" s="21"/>
      <c r="JR99" s="21"/>
      <c r="JS99" s="21"/>
      <c r="JT99" s="21"/>
      <c r="JU99" s="21"/>
      <c r="JV99" s="21"/>
      <c r="JW99" s="21"/>
      <c r="JX99" s="21"/>
      <c r="JY99" s="21"/>
      <c r="JZ99" s="21"/>
      <c r="KA99" s="21"/>
      <c r="KB99" s="21"/>
      <c r="KC99" s="21"/>
      <c r="KD99" s="21"/>
      <c r="KE99" s="21"/>
      <c r="KF99" s="21"/>
      <c r="KG99" s="21"/>
      <c r="KH99" s="21"/>
    </row>
    <row r="100" spans="1:294" hidden="1" x14ac:dyDescent="0.25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4" t="e" cm="1" vm="1">
        <f t="array" aca="1" ref="T100" ca="1">T80:T99</f>
        <v>#VALUE!</v>
      </c>
      <c r="U100" s="134" t="e">
        <f>SUM(U80:U99)</f>
        <v>#N/A</v>
      </c>
      <c r="V100" s="21"/>
      <c r="W100" s="21"/>
      <c r="X100" s="21"/>
      <c r="Y100" s="21"/>
      <c r="Z100" s="21"/>
      <c r="AA100" s="21"/>
      <c r="AB100" s="21"/>
      <c r="AC100" s="21"/>
      <c r="AD100" s="21"/>
      <c r="AE100" s="21"/>
      <c r="AF100" s="21"/>
      <c r="AG100" s="21"/>
      <c r="AH100" s="21"/>
      <c r="AI100" s="21"/>
      <c r="AJ100" s="21"/>
      <c r="AK100" s="21"/>
      <c r="AL100" s="21"/>
      <c r="AM100" s="21"/>
      <c r="AN100" s="21"/>
      <c r="AO100" s="21"/>
      <c r="AP100" s="21"/>
      <c r="AQ100" s="21"/>
      <c r="AR100" s="21"/>
      <c r="AS100" s="21"/>
      <c r="AT100" s="21"/>
      <c r="AU100" s="21"/>
      <c r="AV100" s="21"/>
      <c r="AW100" s="21"/>
      <c r="AX100" s="21"/>
      <c r="AY100" s="21"/>
      <c r="AZ100" s="21"/>
      <c r="BA100" s="21"/>
      <c r="BB100" s="21"/>
      <c r="BC100" s="21"/>
      <c r="BD100" s="21"/>
      <c r="BE100" s="21"/>
      <c r="BF100" s="21"/>
      <c r="BG100" s="21"/>
      <c r="BH100" s="21"/>
      <c r="BI100" s="21"/>
      <c r="BJ100" s="21"/>
      <c r="BK100" s="21"/>
      <c r="BL100" s="21"/>
      <c r="BM100" s="21"/>
      <c r="BN100" s="21"/>
      <c r="BO100" s="21"/>
      <c r="BP100" s="21"/>
      <c r="BQ100" s="21"/>
      <c r="BR100" s="21"/>
      <c r="BS100" s="21"/>
      <c r="BT100" s="21"/>
      <c r="BU100" s="21"/>
      <c r="BV100" s="21"/>
      <c r="BW100" s="21"/>
      <c r="BX100" s="21"/>
      <c r="BY100" s="21"/>
      <c r="BZ100" s="21"/>
      <c r="CA100" s="21"/>
      <c r="CB100" s="21"/>
      <c r="CC100" s="21"/>
      <c r="CD100" s="21"/>
      <c r="CE100" s="21"/>
      <c r="CF100" s="21"/>
      <c r="CG100" s="21"/>
      <c r="CH100" s="21"/>
      <c r="CI100" s="21"/>
      <c r="CJ100" s="21"/>
      <c r="CK100" s="21"/>
      <c r="CL100" s="21"/>
      <c r="CM100" s="21"/>
      <c r="CN100" s="21"/>
      <c r="CO100" s="21"/>
      <c r="CP100" s="21"/>
      <c r="CQ100" s="21"/>
      <c r="CR100" s="21"/>
      <c r="CS100" s="21"/>
      <c r="CT100" s="21"/>
      <c r="CU100" s="21"/>
      <c r="CV100" s="21"/>
      <c r="CW100" s="21"/>
      <c r="CX100" s="21"/>
      <c r="CY100" s="21"/>
      <c r="CZ100" s="21"/>
      <c r="DA100" s="21"/>
      <c r="DB100" s="21"/>
      <c r="DC100" s="21"/>
      <c r="DD100" s="21"/>
      <c r="DE100" s="21"/>
      <c r="DF100" s="21"/>
      <c r="DG100" s="21"/>
      <c r="DH100" s="21"/>
      <c r="DI100" s="21"/>
      <c r="DJ100" s="21"/>
      <c r="DK100" s="21"/>
      <c r="DL100" s="21"/>
      <c r="DM100" s="21"/>
      <c r="DN100" s="21"/>
      <c r="DO100" s="21"/>
      <c r="DP100" s="21"/>
      <c r="DQ100" s="21"/>
      <c r="DR100" s="21"/>
      <c r="DS100" s="21"/>
      <c r="DT100" s="21"/>
      <c r="DU100" s="21"/>
      <c r="DV100" s="21"/>
      <c r="DW100" s="21"/>
      <c r="DX100" s="21"/>
      <c r="DY100" s="21"/>
      <c r="DZ100" s="87"/>
      <c r="EA100" s="87"/>
      <c r="EB100" s="87"/>
      <c r="EC100" s="21"/>
      <c r="ED100" s="21"/>
      <c r="EE100" s="21"/>
      <c r="EF100" s="21"/>
      <c r="EG100" s="21"/>
      <c r="EH100" s="21"/>
      <c r="EI100" s="21"/>
      <c r="EJ100" s="21"/>
      <c r="EK100" s="21"/>
      <c r="EL100" s="21"/>
      <c r="EM100" s="21"/>
      <c r="EN100" s="21"/>
      <c r="EO100" s="21"/>
      <c r="EP100" s="21"/>
      <c r="EQ100" s="21"/>
      <c r="ER100" s="21"/>
      <c r="ES100" s="21"/>
      <c r="ET100" s="21"/>
      <c r="EU100" s="21"/>
      <c r="EV100" s="21"/>
      <c r="EW100" s="21"/>
      <c r="EX100" s="21"/>
      <c r="EY100" s="21"/>
      <c r="EZ100" s="21"/>
      <c r="FA100" s="21"/>
      <c r="FB100" s="21"/>
      <c r="FC100" s="21"/>
      <c r="FD100" s="21"/>
      <c r="FE100" s="21"/>
      <c r="FF100" s="21"/>
      <c r="FG100" s="21"/>
      <c r="FH100" s="21"/>
      <c r="FI100" s="21"/>
      <c r="FJ100" s="21"/>
      <c r="FK100" s="21"/>
      <c r="FL100" s="21"/>
      <c r="FM100" s="21"/>
      <c r="FN100" s="21"/>
      <c r="FO100" s="21"/>
      <c r="FP100" s="21"/>
      <c r="FQ100" s="21"/>
      <c r="FR100" s="21"/>
      <c r="FS100" s="21"/>
      <c r="FT100" s="21"/>
      <c r="FU100" s="21"/>
      <c r="FV100" s="21"/>
      <c r="FW100" s="21"/>
      <c r="FX100" s="21"/>
      <c r="FY100" s="21"/>
      <c r="FZ100" s="21"/>
      <c r="GA100" s="21"/>
      <c r="GB100" s="21"/>
      <c r="GC100" s="21"/>
      <c r="GD100" s="21"/>
      <c r="GE100" s="21"/>
      <c r="GF100" s="21"/>
      <c r="GG100" s="21"/>
      <c r="GH100" s="21"/>
      <c r="GI100" s="21"/>
      <c r="GJ100" s="21"/>
      <c r="GK100" s="21"/>
      <c r="GL100" s="21"/>
      <c r="GM100" s="21"/>
      <c r="GN100" s="21"/>
      <c r="GO100" s="21"/>
      <c r="GP100" s="21"/>
      <c r="GQ100" s="21"/>
      <c r="GR100" s="21"/>
      <c r="GS100" s="21"/>
      <c r="GT100" s="21"/>
      <c r="GU100" s="21"/>
      <c r="GV100" s="21"/>
      <c r="GW100" s="21"/>
      <c r="GX100" s="21"/>
      <c r="GY100" s="21"/>
      <c r="GZ100" s="21"/>
      <c r="HA100" s="21"/>
      <c r="HB100" s="21"/>
      <c r="HC100" s="21"/>
      <c r="HD100" s="21"/>
      <c r="HE100" s="21"/>
      <c r="HF100" s="21"/>
      <c r="HG100" s="21"/>
      <c r="HH100" s="21"/>
      <c r="HI100" s="21"/>
      <c r="HJ100" s="21"/>
      <c r="HK100" s="21"/>
      <c r="HL100" s="21"/>
      <c r="HM100" s="21"/>
      <c r="HN100" s="21"/>
      <c r="HO100" s="21"/>
      <c r="HP100" s="21"/>
      <c r="HQ100" s="21"/>
      <c r="HR100" s="21"/>
      <c r="HS100" s="21"/>
      <c r="HT100" s="21"/>
      <c r="HU100" s="21"/>
      <c r="HV100" s="186"/>
      <c r="HW100" s="21"/>
      <c r="HX100" s="21"/>
      <c r="HY100" s="21"/>
      <c r="HZ100" s="21"/>
      <c r="IA100" s="21"/>
      <c r="IB100" s="21"/>
      <c r="IC100" s="21"/>
      <c r="ID100" s="21"/>
      <c r="IE100" s="21"/>
      <c r="IF100" s="21"/>
      <c r="IG100" s="21"/>
      <c r="IH100" s="21"/>
      <c r="II100" s="21"/>
      <c r="IJ100" s="21"/>
      <c r="IK100" s="21"/>
      <c r="IL100" s="21"/>
      <c r="IM100" s="21"/>
      <c r="IN100" s="21"/>
      <c r="IO100" s="21"/>
      <c r="IP100" s="21"/>
      <c r="IQ100" s="21"/>
      <c r="IR100" s="21"/>
      <c r="IS100" s="21"/>
      <c r="IT100" s="21"/>
      <c r="IU100" s="21"/>
      <c r="IV100" s="21"/>
      <c r="IW100" s="21"/>
      <c r="IX100" s="21"/>
      <c r="IY100" s="21"/>
      <c r="IZ100" s="21"/>
      <c r="JA100" s="21"/>
      <c r="JB100" s="21"/>
      <c r="JC100" s="21"/>
      <c r="JD100" s="21"/>
      <c r="JE100" s="21"/>
      <c r="JF100" s="21"/>
      <c r="JG100" s="21"/>
      <c r="JH100" s="21"/>
      <c r="JI100" s="21"/>
      <c r="JJ100" s="21"/>
      <c r="JK100" s="21"/>
      <c r="JL100" s="21"/>
      <c r="JM100" s="21"/>
      <c r="JN100" s="21"/>
      <c r="JO100" s="21"/>
      <c r="JP100" s="21"/>
      <c r="JQ100" s="21"/>
      <c r="JR100" s="21"/>
      <c r="JS100" s="21"/>
      <c r="JT100" s="21"/>
      <c r="JU100" s="21"/>
      <c r="JV100" s="21"/>
      <c r="JW100" s="21"/>
      <c r="JX100" s="21"/>
      <c r="JY100" s="21"/>
      <c r="JZ100" s="21"/>
      <c r="KA100" s="21"/>
      <c r="KB100" s="21"/>
      <c r="KC100" s="21"/>
      <c r="KD100" s="21"/>
      <c r="KE100" s="21"/>
      <c r="KF100" s="21"/>
      <c r="KG100" s="21"/>
      <c r="KH100" s="21"/>
    </row>
    <row r="101" spans="1:294" hidden="1" x14ac:dyDescent="0.25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4"/>
      <c r="U101" s="134"/>
      <c r="V101" s="21"/>
      <c r="W101" s="21"/>
      <c r="X101" s="21"/>
      <c r="Y101" s="21"/>
      <c r="Z101" s="21"/>
      <c r="AA101" s="21"/>
      <c r="AB101" s="21"/>
      <c r="AC101" s="21"/>
      <c r="AD101" s="21"/>
      <c r="AE101" s="21"/>
      <c r="AF101" s="21"/>
      <c r="AG101" s="21"/>
      <c r="AH101" s="21"/>
      <c r="AI101" s="21"/>
      <c r="AJ101" s="21"/>
      <c r="AK101" s="21"/>
      <c r="AL101" s="21"/>
      <c r="AM101" s="21"/>
      <c r="AN101" s="21"/>
      <c r="AO101" s="21"/>
      <c r="AP101" s="21"/>
      <c r="AQ101" s="21"/>
      <c r="AR101" s="21"/>
      <c r="AS101" s="21"/>
      <c r="AT101" s="21"/>
      <c r="AU101" s="21"/>
      <c r="AV101" s="21"/>
      <c r="AW101" s="21"/>
      <c r="AX101" s="21"/>
      <c r="AY101" s="21"/>
      <c r="AZ101" s="21"/>
      <c r="BA101" s="21"/>
      <c r="BB101" s="21"/>
      <c r="BC101" s="21"/>
      <c r="BD101" s="21"/>
      <c r="BE101" s="21"/>
      <c r="BF101" s="21"/>
      <c r="BG101" s="21"/>
      <c r="BH101" s="21"/>
      <c r="BI101" s="21"/>
      <c r="BJ101" s="21"/>
      <c r="BK101" s="21"/>
      <c r="BL101" s="21"/>
      <c r="BM101" s="21"/>
      <c r="BN101" s="21"/>
      <c r="BO101" s="21"/>
      <c r="BP101" s="21"/>
      <c r="BQ101" s="21"/>
      <c r="BR101" s="21"/>
      <c r="BS101" s="21"/>
      <c r="BT101" s="21"/>
      <c r="BU101" s="21"/>
      <c r="BV101" s="21"/>
      <c r="BW101" s="21"/>
      <c r="BX101" s="21"/>
      <c r="BY101" s="21"/>
      <c r="BZ101" s="21"/>
      <c r="CA101" s="21"/>
      <c r="CB101" s="21"/>
      <c r="CC101" s="21"/>
      <c r="CD101" s="21"/>
      <c r="CE101" s="21"/>
      <c r="CF101" s="21"/>
      <c r="CG101" s="21"/>
      <c r="CH101" s="21"/>
      <c r="CI101" s="21"/>
      <c r="CJ101" s="21"/>
      <c r="CK101" s="21"/>
      <c r="CL101" s="21"/>
      <c r="CM101" s="21"/>
      <c r="CN101" s="21"/>
      <c r="CO101" s="21"/>
      <c r="CP101" s="21"/>
      <c r="CQ101" s="21"/>
      <c r="CR101" s="21"/>
      <c r="CS101" s="21"/>
      <c r="CT101" s="21"/>
      <c r="CU101" s="21"/>
      <c r="CV101" s="21"/>
      <c r="CW101" s="21"/>
      <c r="CX101" s="21"/>
      <c r="CY101" s="21"/>
      <c r="CZ101" s="21"/>
      <c r="DA101" s="21"/>
      <c r="DB101" s="21"/>
      <c r="DC101" s="21"/>
      <c r="DD101" s="21"/>
      <c r="DE101" s="21"/>
      <c r="DF101" s="21"/>
      <c r="DG101" s="21"/>
      <c r="DH101" s="21"/>
      <c r="DI101" s="21"/>
      <c r="DJ101" s="21"/>
      <c r="DK101" s="21"/>
      <c r="DL101" s="21"/>
      <c r="DM101" s="21"/>
      <c r="DN101" s="21"/>
      <c r="DO101" s="21"/>
      <c r="DP101" s="21"/>
      <c r="DQ101" s="21"/>
      <c r="DR101" s="21"/>
      <c r="DS101" s="21"/>
      <c r="DT101" s="21"/>
      <c r="DU101" s="21"/>
      <c r="DV101" s="21"/>
      <c r="DW101" s="21"/>
      <c r="DX101" s="21"/>
      <c r="DY101" s="21"/>
      <c r="DZ101" s="87"/>
      <c r="EA101" s="87"/>
      <c r="EB101" s="87"/>
      <c r="EC101" s="21"/>
      <c r="ED101" s="21"/>
      <c r="EE101" s="21"/>
      <c r="EF101" s="21"/>
      <c r="EG101" s="21"/>
      <c r="EH101" s="21"/>
      <c r="EI101" s="21"/>
      <c r="EJ101" s="21"/>
      <c r="EK101" s="21"/>
      <c r="EL101" s="21"/>
      <c r="EM101" s="21"/>
      <c r="EN101" s="21"/>
      <c r="EO101" s="21"/>
      <c r="EP101" s="21"/>
      <c r="EQ101" s="21"/>
      <c r="ER101" s="21"/>
      <c r="ES101" s="21"/>
      <c r="ET101" s="21"/>
      <c r="EU101" s="21"/>
      <c r="EV101" s="21"/>
      <c r="EW101" s="21"/>
      <c r="EX101" s="21"/>
      <c r="EY101" s="21"/>
      <c r="EZ101" s="21"/>
      <c r="FA101" s="21"/>
      <c r="FB101" s="21"/>
      <c r="FC101" s="21"/>
      <c r="FD101" s="21"/>
      <c r="FE101" s="21"/>
      <c r="FF101" s="21"/>
      <c r="FG101" s="21"/>
      <c r="FH101" s="21"/>
      <c r="FI101" s="21"/>
      <c r="FJ101" s="21"/>
      <c r="FK101" s="21"/>
      <c r="FL101" s="21"/>
      <c r="FM101" s="21"/>
      <c r="FN101" s="21"/>
      <c r="FO101" s="21"/>
      <c r="FP101" s="21"/>
      <c r="FQ101" s="21"/>
      <c r="FR101" s="21"/>
      <c r="FS101" s="21"/>
      <c r="FT101" s="21"/>
      <c r="FU101" s="21"/>
      <c r="FV101" s="21"/>
      <c r="FW101" s="21"/>
      <c r="FX101" s="21"/>
      <c r="FY101" s="21"/>
      <c r="FZ101" s="21"/>
      <c r="GA101" s="21"/>
      <c r="GB101" s="21"/>
      <c r="GC101" s="21"/>
      <c r="GD101" s="21"/>
      <c r="GE101" s="21"/>
      <c r="GF101" s="21"/>
      <c r="GG101" s="21"/>
      <c r="GH101" s="21"/>
      <c r="GI101" s="21"/>
      <c r="GJ101" s="21"/>
      <c r="GK101" s="21"/>
      <c r="GL101" s="21"/>
      <c r="GM101" s="21"/>
      <c r="GN101" s="21"/>
      <c r="GO101" s="21"/>
      <c r="GP101" s="21"/>
      <c r="GQ101" s="21"/>
      <c r="GR101" s="21"/>
      <c r="GS101" s="21"/>
      <c r="GT101" s="21"/>
      <c r="GU101" s="21"/>
      <c r="GV101" s="21"/>
      <c r="GW101" s="21"/>
      <c r="GX101" s="21"/>
      <c r="GY101" s="21"/>
      <c r="GZ101" s="21"/>
      <c r="HA101" s="21"/>
      <c r="HB101" s="21"/>
      <c r="HC101" s="21"/>
      <c r="HD101" s="21"/>
      <c r="HE101" s="21"/>
      <c r="HF101" s="21"/>
      <c r="HG101" s="21"/>
      <c r="HH101" s="21"/>
      <c r="HI101" s="21"/>
      <c r="HJ101" s="21"/>
      <c r="HK101" s="21"/>
      <c r="HL101" s="21"/>
      <c r="HM101" s="21"/>
      <c r="HN101" s="21"/>
      <c r="HO101" s="21"/>
      <c r="HP101" s="21"/>
      <c r="HQ101" s="21"/>
      <c r="HR101" s="21"/>
      <c r="HS101" s="21"/>
      <c r="HT101" s="21"/>
      <c r="HU101" s="21"/>
      <c r="HV101" s="186"/>
      <c r="HW101" s="21"/>
      <c r="HX101" s="21"/>
      <c r="HY101" s="21"/>
      <c r="HZ101" s="21"/>
      <c r="IA101" s="21"/>
      <c r="IB101" s="21"/>
      <c r="IC101" s="21"/>
      <c r="ID101" s="21"/>
      <c r="IE101" s="21"/>
      <c r="IF101" s="21"/>
      <c r="IG101" s="21"/>
      <c r="IH101" s="21"/>
      <c r="II101" s="21"/>
      <c r="IJ101" s="21"/>
      <c r="IK101" s="21"/>
      <c r="IL101" s="21"/>
      <c r="IM101" s="21"/>
      <c r="IN101" s="21"/>
      <c r="IO101" s="21"/>
      <c r="IP101" s="21"/>
      <c r="IQ101" s="21"/>
      <c r="IR101" s="21"/>
      <c r="IS101" s="21"/>
      <c r="IT101" s="21"/>
      <c r="IU101" s="21"/>
      <c r="IV101" s="21"/>
      <c r="IW101" s="21"/>
      <c r="IX101" s="21"/>
      <c r="IY101" s="21"/>
      <c r="IZ101" s="21"/>
      <c r="JA101" s="21"/>
      <c r="JB101" s="21"/>
      <c r="JC101" s="21"/>
      <c r="JD101" s="21"/>
      <c r="JE101" s="21"/>
      <c r="JF101" s="21"/>
      <c r="JG101" s="21"/>
      <c r="JH101" s="21"/>
      <c r="JI101" s="21"/>
      <c r="JJ101" s="21"/>
      <c r="JK101" s="21"/>
      <c r="JL101" s="21"/>
      <c r="JM101" s="21"/>
      <c r="JN101" s="21"/>
      <c r="JO101" s="21"/>
      <c r="JP101" s="21"/>
      <c r="JQ101" s="21"/>
      <c r="JR101" s="21"/>
      <c r="JS101" s="21"/>
      <c r="JT101" s="21"/>
      <c r="JU101" s="21"/>
      <c r="JV101" s="21"/>
      <c r="JW101" s="21"/>
      <c r="JX101" s="21"/>
      <c r="JY101" s="21"/>
      <c r="JZ101" s="21"/>
      <c r="KA101" s="21"/>
      <c r="KB101" s="21"/>
      <c r="KC101" s="21"/>
      <c r="KD101" s="21"/>
      <c r="KE101" s="21"/>
      <c r="KF101" s="21"/>
      <c r="KG101" s="21"/>
      <c r="KH101" s="21"/>
    </row>
    <row r="102" spans="1:294" x14ac:dyDescent="0.25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4"/>
      <c r="U102" s="134"/>
      <c r="V102" s="21"/>
      <c r="W102" s="21"/>
      <c r="X102" s="21"/>
      <c r="Y102" s="21"/>
      <c r="Z102" s="21"/>
      <c r="AA102" s="21"/>
      <c r="AB102" s="21"/>
      <c r="AC102" s="21"/>
      <c r="AD102" s="21"/>
      <c r="AE102" s="21"/>
      <c r="AF102" s="21"/>
      <c r="AG102" s="21"/>
      <c r="AH102" s="21"/>
      <c r="AI102" s="21"/>
      <c r="AJ102" s="21"/>
      <c r="AK102" s="21"/>
      <c r="AL102" s="21"/>
      <c r="AM102" s="21"/>
      <c r="AN102" s="21"/>
      <c r="AO102" s="21"/>
      <c r="AP102" s="21"/>
      <c r="AQ102" s="21"/>
      <c r="AR102" s="21"/>
      <c r="AS102" s="21"/>
      <c r="AT102" s="21"/>
      <c r="AU102" s="21"/>
      <c r="AV102" s="21"/>
      <c r="AW102" s="21"/>
      <c r="AX102" s="21"/>
      <c r="AY102" s="21"/>
      <c r="AZ102" s="21"/>
      <c r="BA102" s="21"/>
      <c r="BB102" s="21"/>
      <c r="BC102" s="21"/>
      <c r="BD102" s="21"/>
      <c r="BE102" s="21"/>
      <c r="BF102" s="21"/>
      <c r="BG102" s="21"/>
      <c r="BH102" s="21"/>
      <c r="BI102" s="21"/>
      <c r="BJ102" s="21"/>
      <c r="BK102" s="21"/>
      <c r="BL102" s="21"/>
      <c r="BM102" s="21"/>
      <c r="BN102" s="21"/>
      <c r="BO102" s="21"/>
      <c r="BP102" s="21"/>
      <c r="BQ102" s="21"/>
      <c r="BR102" s="21"/>
      <c r="BS102" s="21"/>
      <c r="BT102" s="21"/>
      <c r="BU102" s="21"/>
      <c r="BV102" s="21"/>
      <c r="BW102" s="21"/>
      <c r="BX102" s="21"/>
      <c r="BY102" s="21"/>
      <c r="BZ102" s="21"/>
      <c r="CA102" s="21"/>
      <c r="CB102" s="21"/>
      <c r="CC102" s="21"/>
      <c r="CD102" s="21"/>
      <c r="CE102" s="21"/>
      <c r="CF102" s="21"/>
      <c r="CG102" s="21"/>
      <c r="CH102" s="21"/>
      <c r="CI102" s="21"/>
      <c r="CJ102" s="21"/>
      <c r="CK102" s="21"/>
      <c r="CL102" s="21"/>
      <c r="CM102" s="21"/>
      <c r="CN102" s="21"/>
      <c r="CO102" s="21"/>
      <c r="CP102" s="21"/>
      <c r="CQ102" s="21"/>
      <c r="CR102" s="21"/>
      <c r="CS102" s="21"/>
      <c r="CT102" s="21"/>
      <c r="CU102" s="21"/>
      <c r="CV102" s="21"/>
      <c r="CW102" s="21"/>
      <c r="CX102" s="21"/>
      <c r="CY102" s="21"/>
      <c r="CZ102" s="21"/>
      <c r="DA102" s="21"/>
      <c r="DB102" s="21"/>
      <c r="DC102" s="21"/>
      <c r="DD102" s="21"/>
      <c r="DE102" s="21"/>
      <c r="DF102" s="21"/>
      <c r="DG102" s="21"/>
      <c r="DH102" s="21"/>
      <c r="DI102" s="21"/>
      <c r="DJ102" s="21"/>
      <c r="DK102" s="21"/>
      <c r="DL102" s="21"/>
      <c r="DM102" s="21"/>
      <c r="DN102" s="21"/>
      <c r="DO102" s="21"/>
      <c r="DP102" s="21"/>
      <c r="DQ102" s="21"/>
      <c r="DR102" s="21"/>
      <c r="DS102" s="21"/>
      <c r="DT102" s="21"/>
      <c r="DU102" s="21"/>
      <c r="DV102" s="21"/>
      <c r="DW102" s="21"/>
      <c r="DX102" s="21"/>
      <c r="DY102" s="21"/>
      <c r="DZ102" s="87"/>
      <c r="EA102" s="87"/>
      <c r="EB102" s="87"/>
      <c r="EC102" s="21"/>
      <c r="ED102" s="21"/>
      <c r="EE102" s="21"/>
      <c r="EF102" s="21"/>
      <c r="EG102" s="21"/>
      <c r="EH102" s="21"/>
      <c r="EI102" s="21"/>
      <c r="EJ102" s="21"/>
      <c r="EK102" s="21"/>
      <c r="EL102" s="21"/>
      <c r="EM102" s="21"/>
      <c r="EN102" s="21"/>
      <c r="EO102" s="21"/>
      <c r="EP102" s="21"/>
      <c r="EQ102" s="21"/>
      <c r="ER102" s="21"/>
      <c r="ES102" s="21"/>
      <c r="ET102" s="21"/>
      <c r="EU102" s="21"/>
      <c r="EV102" s="21"/>
      <c r="EW102" s="21"/>
      <c r="EX102" s="21"/>
      <c r="EY102" s="21"/>
      <c r="EZ102" s="21"/>
      <c r="FA102" s="21"/>
      <c r="FB102" s="21"/>
      <c r="FC102" s="21"/>
      <c r="FD102" s="21"/>
      <c r="FE102" s="21"/>
      <c r="FF102" s="21"/>
      <c r="FG102" s="21"/>
      <c r="FH102" s="21"/>
      <c r="FI102" s="21"/>
      <c r="FJ102" s="21"/>
      <c r="FK102" s="21"/>
      <c r="FL102" s="21"/>
      <c r="FM102" s="21"/>
      <c r="FN102" s="21"/>
      <c r="FO102" s="21"/>
      <c r="FP102" s="21"/>
      <c r="FQ102" s="21"/>
      <c r="FR102" s="21"/>
      <c r="FS102" s="21"/>
      <c r="FT102" s="21"/>
      <c r="FU102" s="21"/>
      <c r="FV102" s="21"/>
      <c r="FW102" s="21"/>
      <c r="FX102" s="21"/>
      <c r="FY102" s="21"/>
      <c r="FZ102" s="21"/>
      <c r="GA102" s="21"/>
      <c r="GB102" s="21"/>
      <c r="GC102" s="21"/>
      <c r="GD102" s="21"/>
      <c r="GE102" s="21"/>
      <c r="GF102" s="21"/>
      <c r="GG102" s="21"/>
      <c r="GH102" s="21"/>
      <c r="GI102" s="21"/>
      <c r="GJ102" s="21"/>
      <c r="GK102" s="21"/>
      <c r="GL102" s="21"/>
      <c r="GM102" s="21"/>
      <c r="GN102" s="21"/>
      <c r="GO102" s="21"/>
      <c r="GP102" s="21"/>
      <c r="GQ102" s="21"/>
      <c r="GR102" s="21"/>
      <c r="GS102" s="21"/>
      <c r="GT102" s="21"/>
      <c r="GU102" s="21"/>
      <c r="GV102" s="21"/>
      <c r="GW102" s="21"/>
      <c r="GX102" s="21"/>
      <c r="GY102" s="21"/>
      <c r="GZ102" s="21"/>
      <c r="HA102" s="21"/>
      <c r="HB102" s="21"/>
      <c r="HC102" s="21"/>
      <c r="HD102" s="21"/>
      <c r="HE102" s="21"/>
      <c r="HF102" s="21"/>
      <c r="HG102" s="21"/>
      <c r="HH102" s="21"/>
      <c r="HI102" s="21"/>
      <c r="HJ102" s="21"/>
      <c r="HK102" s="21"/>
      <c r="HL102" s="21"/>
      <c r="HM102" s="21"/>
      <c r="HN102" s="21"/>
      <c r="HO102" s="21"/>
      <c r="HP102" s="21"/>
      <c r="HQ102" s="21"/>
      <c r="HR102" s="21"/>
      <c r="HS102" s="21"/>
      <c r="HT102" s="21"/>
      <c r="HU102" s="21"/>
      <c r="HV102" s="186"/>
      <c r="HW102" s="21"/>
      <c r="HX102" s="21"/>
      <c r="HY102" s="21"/>
      <c r="HZ102" s="21"/>
      <c r="IA102" s="21"/>
      <c r="IB102" s="21"/>
      <c r="IC102" s="21"/>
      <c r="ID102" s="21"/>
      <c r="IE102" s="21"/>
      <c r="IF102" s="21"/>
      <c r="IG102" s="21"/>
      <c r="IH102" s="21"/>
      <c r="II102" s="21"/>
      <c r="IJ102" s="21"/>
      <c r="IK102" s="21"/>
      <c r="IL102" s="21"/>
      <c r="IM102" s="21"/>
      <c r="IN102" s="21"/>
      <c r="IO102" s="21"/>
      <c r="IP102" s="21"/>
      <c r="IQ102" s="21"/>
      <c r="IR102" s="21"/>
      <c r="IS102" s="21"/>
      <c r="IT102" s="21"/>
      <c r="IU102" s="21"/>
      <c r="IV102" s="21"/>
      <c r="IW102" s="21"/>
      <c r="IX102" s="21"/>
      <c r="IY102" s="21"/>
      <c r="IZ102" s="21"/>
      <c r="JA102" s="21"/>
      <c r="JB102" s="21"/>
      <c r="JC102" s="21"/>
      <c r="JD102" s="21"/>
      <c r="JE102" s="21"/>
      <c r="JF102" s="21"/>
      <c r="JG102" s="21"/>
      <c r="JH102" s="21"/>
      <c r="JI102" s="21"/>
      <c r="JJ102" s="21"/>
      <c r="JK102" s="21"/>
      <c r="JL102" s="21"/>
      <c r="JM102" s="21"/>
      <c r="JN102" s="21"/>
      <c r="JO102" s="21"/>
      <c r="JP102" s="21"/>
      <c r="JQ102" s="21"/>
      <c r="JR102" s="21"/>
      <c r="JS102" s="21"/>
      <c r="JT102" s="21"/>
      <c r="JU102" s="21"/>
      <c r="JV102" s="21"/>
      <c r="JW102" s="21"/>
      <c r="JX102" s="21"/>
      <c r="JY102" s="21"/>
      <c r="JZ102" s="21"/>
      <c r="KA102" s="21"/>
      <c r="KB102" s="21"/>
      <c r="KC102" s="21"/>
      <c r="KD102" s="21"/>
      <c r="KE102" s="21"/>
      <c r="KF102" s="21"/>
      <c r="KG102" s="21"/>
      <c r="KH102" s="21"/>
    </row>
    <row r="103" spans="1:294" ht="51.75" x14ac:dyDescent="0.25">
      <c r="A103" s="3" t="s">
        <v>120</v>
      </c>
      <c r="B103" s="3"/>
      <c r="C103" s="3" t="s">
        <v>121</v>
      </c>
      <c r="D103" s="9"/>
      <c r="E103" s="9"/>
      <c r="F103" s="9"/>
      <c r="G103" s="9"/>
      <c r="H103" s="9"/>
      <c r="I103" s="9"/>
      <c r="J103" s="9"/>
      <c r="K103" s="9"/>
      <c r="L103" s="360" t="str">
        <f>IF(E108=$Z$104,"KONSTRUKCJA DP-DNHBE",IF(E108=$Z$105,"KONSTRUKCJA DP-DNHKE",IF(E108=$Z$106,"KONSTRUKCJA DP-DNHWE",IF(E108=$Z$107,"KONSTRUKCJA DP-DNHKSE"))))</f>
        <v>KONSTRUKCJA DP-DNHKE</v>
      </c>
      <c r="M103" s="360"/>
      <c r="N103" s="360"/>
      <c r="O103" s="360"/>
      <c r="P103" s="360"/>
      <c r="Q103" s="360"/>
      <c r="R103" s="360"/>
      <c r="S103" s="360"/>
      <c r="T103" s="360"/>
      <c r="U103" s="360"/>
      <c r="V103" s="20"/>
      <c r="W103" s="27" t="s">
        <v>311</v>
      </c>
      <c r="X103" s="25" t="s">
        <v>114</v>
      </c>
      <c r="Y103" s="20"/>
      <c r="Z103" s="20"/>
      <c r="AA103" s="20"/>
      <c r="AB103" s="20"/>
      <c r="AC103" s="20"/>
      <c r="AD103" s="20"/>
      <c r="AE103" s="20"/>
      <c r="AF103" s="20"/>
      <c r="AG103" s="20"/>
      <c r="AH103" s="20"/>
      <c r="AI103" s="20"/>
      <c r="AJ103" s="20"/>
      <c r="AK103" s="20"/>
      <c r="AL103" s="20"/>
      <c r="AM103" s="20"/>
      <c r="AN103" s="20"/>
      <c r="AO103" s="20"/>
      <c r="AP103" s="20"/>
      <c r="AQ103" s="20"/>
      <c r="AR103" s="20"/>
      <c r="AS103" s="20"/>
      <c r="AT103" s="20"/>
      <c r="AU103" s="20"/>
      <c r="AV103" s="20"/>
      <c r="AW103" s="20"/>
      <c r="AX103" s="20"/>
      <c r="AY103" s="20"/>
      <c r="AZ103" s="20"/>
      <c r="BA103" s="20"/>
      <c r="BB103" s="20"/>
      <c r="BC103" s="20"/>
      <c r="BD103" s="20"/>
      <c r="BE103" s="20"/>
      <c r="BF103" s="20"/>
      <c r="BG103" s="20"/>
      <c r="BH103" s="20"/>
      <c r="BI103" s="20"/>
      <c r="BJ103" s="20"/>
      <c r="BK103" s="20"/>
      <c r="BL103" s="20"/>
      <c r="BM103" s="20"/>
      <c r="BN103" s="20"/>
      <c r="BO103" s="20"/>
      <c r="BP103" s="20"/>
      <c r="BQ103" s="20"/>
      <c r="BR103" s="20"/>
      <c r="BS103" s="20"/>
      <c r="BT103" s="20"/>
      <c r="BU103" s="20"/>
      <c r="BV103" s="20"/>
      <c r="BW103" s="20"/>
      <c r="BX103" s="20"/>
      <c r="BY103" s="20"/>
      <c r="BZ103" s="20"/>
      <c r="CA103" s="20"/>
      <c r="CB103" s="20"/>
      <c r="CC103" s="20"/>
      <c r="CD103" s="20"/>
      <c r="CE103" s="20"/>
      <c r="CF103" s="20"/>
      <c r="CG103" s="20"/>
      <c r="CH103" s="20"/>
      <c r="CI103" s="20"/>
      <c r="CJ103" s="20"/>
      <c r="CK103" s="20"/>
      <c r="CL103" s="20"/>
      <c r="CM103" s="20"/>
      <c r="CN103" s="20"/>
      <c r="CO103" s="20"/>
      <c r="CP103" s="20"/>
      <c r="CQ103" s="20"/>
      <c r="CR103" s="20"/>
      <c r="CS103" s="20"/>
      <c r="CT103" s="20"/>
      <c r="CU103" s="20"/>
      <c r="CV103" s="20"/>
      <c r="CW103" s="20"/>
      <c r="CX103" s="20"/>
      <c r="CY103" s="20"/>
      <c r="CZ103" s="20"/>
      <c r="DA103" s="20"/>
      <c r="DB103" s="20"/>
      <c r="DC103" s="20"/>
      <c r="DD103" s="20"/>
      <c r="DE103" s="20"/>
      <c r="DF103" s="20"/>
      <c r="DG103" s="20"/>
      <c r="DH103" s="20"/>
      <c r="DI103" s="20"/>
      <c r="DJ103" s="20"/>
      <c r="DK103" s="20"/>
      <c r="DL103" s="20"/>
      <c r="DM103" s="20"/>
      <c r="DN103" s="20"/>
      <c r="DO103" s="20"/>
      <c r="DP103" s="20"/>
      <c r="DQ103" s="20"/>
      <c r="DR103" s="20"/>
      <c r="DS103" s="20"/>
      <c r="DT103" s="20"/>
      <c r="DU103" s="20"/>
      <c r="DV103" s="20"/>
      <c r="DW103" s="20"/>
      <c r="DX103" s="20"/>
      <c r="DY103" s="20"/>
      <c r="DZ103" s="54">
        <v>0</v>
      </c>
      <c r="EA103" s="54">
        <v>0</v>
      </c>
      <c r="EB103" s="54"/>
      <c r="EC103" s="20"/>
      <c r="ED103" s="20"/>
      <c r="EE103" s="20"/>
      <c r="EF103" s="20"/>
      <c r="EG103" s="20"/>
      <c r="EH103" s="20"/>
      <c r="EI103" s="20"/>
      <c r="EJ103" s="20"/>
      <c r="EK103" s="20"/>
      <c r="EL103" s="20"/>
      <c r="EM103" s="20"/>
      <c r="EN103" s="20"/>
      <c r="EO103" s="20"/>
      <c r="EP103" s="20"/>
      <c r="EQ103" s="20"/>
      <c r="ER103" s="20"/>
      <c r="ES103" s="20"/>
      <c r="ET103" s="20"/>
      <c r="EU103" s="20"/>
      <c r="EV103" s="20"/>
      <c r="EW103" s="20"/>
      <c r="EX103" s="20"/>
      <c r="EY103" s="20"/>
      <c r="EZ103" s="20"/>
      <c r="FA103" s="20"/>
      <c r="FB103" s="20"/>
      <c r="FC103" s="20"/>
      <c r="FD103" s="20"/>
      <c r="FE103" s="20"/>
      <c r="FF103" s="20"/>
      <c r="FG103" s="20"/>
      <c r="FH103" s="20"/>
      <c r="FI103" s="20"/>
      <c r="FJ103" s="20"/>
      <c r="FK103" s="20"/>
      <c r="FL103" s="20"/>
      <c r="FM103" s="20"/>
      <c r="FN103" s="20"/>
      <c r="FO103" s="20"/>
      <c r="FP103" s="20"/>
      <c r="FQ103" s="20"/>
      <c r="FR103" s="20"/>
      <c r="FS103" s="20"/>
      <c r="FT103" s="20"/>
      <c r="FU103" s="20"/>
      <c r="FV103" s="20"/>
      <c r="FW103" s="20"/>
      <c r="FX103" s="20"/>
      <c r="FY103" s="20"/>
      <c r="FZ103" s="20"/>
      <c r="GA103" s="20"/>
      <c r="GB103" s="20"/>
      <c r="GC103" s="20"/>
      <c r="GD103" s="20"/>
      <c r="GE103" s="20"/>
      <c r="GF103" s="20"/>
      <c r="GG103" s="20"/>
      <c r="GH103" s="20"/>
      <c r="GI103" s="20"/>
      <c r="GJ103" s="20"/>
      <c r="GK103" s="20"/>
      <c r="GL103" s="20"/>
      <c r="GM103" s="20"/>
      <c r="GN103" s="20"/>
      <c r="GO103" s="20"/>
      <c r="GP103" s="20"/>
      <c r="GQ103" s="20"/>
      <c r="GR103" s="20"/>
      <c r="GS103" s="20"/>
      <c r="GT103" s="20"/>
      <c r="GU103" s="20"/>
      <c r="GV103" s="20"/>
      <c r="GW103" s="20"/>
      <c r="GX103" s="20"/>
      <c r="GY103" s="21"/>
      <c r="GZ103" s="21"/>
      <c r="HA103" s="21"/>
      <c r="HB103" s="21"/>
      <c r="HC103" s="21"/>
      <c r="HD103" s="21"/>
      <c r="HE103" s="21"/>
      <c r="HF103" s="21"/>
      <c r="HG103" s="21"/>
      <c r="HH103" s="21"/>
      <c r="HI103" s="21"/>
      <c r="HJ103" s="21"/>
      <c r="HK103" s="21"/>
      <c r="HL103" s="21"/>
      <c r="HM103" s="21"/>
      <c r="HN103" s="21"/>
      <c r="HO103" s="21"/>
      <c r="HP103" s="21"/>
      <c r="HQ103" s="21"/>
      <c r="HR103" s="21"/>
      <c r="HS103" s="21"/>
      <c r="HT103" s="21"/>
      <c r="HU103" s="21"/>
      <c r="HV103" s="186"/>
      <c r="HW103" s="21"/>
      <c r="HX103" s="21"/>
      <c r="HY103" s="21"/>
      <c r="HZ103" s="21"/>
      <c r="IA103" s="21"/>
      <c r="IB103" s="21"/>
      <c r="IC103" s="21"/>
      <c r="ID103" s="21"/>
      <c r="IE103" s="21"/>
      <c r="IF103" s="21"/>
      <c r="IG103" s="21"/>
      <c r="IH103" s="21"/>
      <c r="II103" s="21"/>
      <c r="IJ103" s="21"/>
      <c r="IK103" s="21"/>
      <c r="IL103" s="21"/>
      <c r="IM103" s="21"/>
      <c r="IN103" s="21"/>
      <c r="IO103" s="21"/>
      <c r="IP103" s="21"/>
      <c r="IQ103" s="21"/>
      <c r="IR103" s="21"/>
      <c r="IS103" s="21"/>
      <c r="IT103" s="21"/>
      <c r="IU103" s="21"/>
      <c r="IV103" s="21"/>
      <c r="IW103" s="21"/>
      <c r="IX103" s="21"/>
      <c r="IY103" s="21"/>
      <c r="IZ103" s="21"/>
      <c r="JA103" s="21"/>
      <c r="JB103" s="21"/>
      <c r="JC103" s="21"/>
      <c r="JD103" s="21"/>
      <c r="JE103" s="21"/>
      <c r="JF103" s="21"/>
      <c r="JG103" s="21"/>
      <c r="JH103" s="21"/>
      <c r="JI103" s="21"/>
      <c r="JJ103" s="21"/>
      <c r="JK103" s="21"/>
      <c r="JL103" s="21"/>
      <c r="JM103" s="21"/>
      <c r="JN103" s="21"/>
      <c r="JO103" s="21"/>
      <c r="JP103" s="21"/>
      <c r="JQ103" s="21"/>
      <c r="JR103" s="21"/>
      <c r="JS103" s="21"/>
      <c r="JT103" s="21"/>
      <c r="JU103" s="21"/>
      <c r="JV103" s="21"/>
      <c r="JW103" s="21"/>
      <c r="JX103" s="21"/>
      <c r="JY103" s="21"/>
      <c r="JZ103" s="21"/>
      <c r="KA103" s="21"/>
      <c r="KB103" s="21"/>
      <c r="KC103" s="21"/>
      <c r="KD103" s="21"/>
      <c r="KE103" s="21"/>
      <c r="KF103" s="21"/>
      <c r="KG103" s="21"/>
      <c r="KH103" s="21"/>
    </row>
    <row r="104" spans="1:294" x14ac:dyDescent="0.25">
      <c r="A104" s="8"/>
      <c r="B104" s="5" t="s">
        <v>116</v>
      </c>
      <c r="C104" s="8"/>
      <c r="D104" s="9"/>
      <c r="E104" s="9"/>
      <c r="F104" s="9"/>
      <c r="G104" s="9"/>
      <c r="H104" s="9"/>
      <c r="I104" s="9"/>
      <c r="J104" s="9"/>
      <c r="K104" s="9"/>
      <c r="L104" s="5" t="s">
        <v>103</v>
      </c>
      <c r="M104" s="5" t="s">
        <v>104</v>
      </c>
      <c r="N104" s="5" t="s">
        <v>107</v>
      </c>
      <c r="O104" s="5" t="s">
        <v>290</v>
      </c>
      <c r="P104" s="5" t="s">
        <v>446</v>
      </c>
      <c r="Q104" s="5" t="s">
        <v>448</v>
      </c>
      <c r="R104" s="5" t="s">
        <v>409</v>
      </c>
      <c r="S104" s="5" t="s">
        <v>447</v>
      </c>
      <c r="T104" s="5" t="s">
        <v>449</v>
      </c>
      <c r="U104" s="5" t="s">
        <v>106</v>
      </c>
      <c r="V104" s="20"/>
      <c r="W104" s="25">
        <f>IF(A104=0,0,IF(A104&gt;0,(A104+1)*C104))</f>
        <v>0</v>
      </c>
      <c r="X104" s="25" t="s">
        <v>115</v>
      </c>
      <c r="Y104" s="20"/>
      <c r="Z104" s="25" t="s">
        <v>308</v>
      </c>
      <c r="AA104" s="20"/>
      <c r="AB104" s="20"/>
      <c r="AC104" s="20"/>
      <c r="AD104" s="20"/>
      <c r="AE104" s="20"/>
      <c r="AF104" s="20"/>
      <c r="AG104" s="20"/>
      <c r="AH104" s="20"/>
      <c r="AI104" s="20"/>
      <c r="AJ104" s="20"/>
      <c r="AK104" s="20"/>
      <c r="AL104" s="20" t="s">
        <v>114</v>
      </c>
      <c r="AM104" s="20"/>
      <c r="AN104" s="20"/>
      <c r="AO104" s="20"/>
      <c r="AP104" s="20"/>
      <c r="AQ104" s="20"/>
      <c r="AR104" s="20"/>
      <c r="AS104" s="20"/>
      <c r="AT104" s="20"/>
      <c r="AU104" s="20"/>
      <c r="AV104" s="20"/>
      <c r="AW104" s="20"/>
      <c r="AX104" s="20"/>
      <c r="AY104" s="20"/>
      <c r="AZ104" s="20"/>
      <c r="BA104" s="20"/>
      <c r="BB104" s="20"/>
      <c r="BC104" s="20"/>
      <c r="BD104" s="20"/>
      <c r="BE104" s="20"/>
      <c r="BF104" s="20"/>
      <c r="BG104" s="20"/>
      <c r="BH104" s="20"/>
      <c r="BI104" s="20"/>
      <c r="BJ104" s="20"/>
      <c r="BK104" s="20"/>
      <c r="BL104" s="20"/>
      <c r="BM104" s="20"/>
      <c r="BN104" s="20"/>
      <c r="BO104" s="20"/>
      <c r="BP104" s="20"/>
      <c r="BQ104" s="20"/>
      <c r="BR104" s="20"/>
      <c r="BS104" s="20"/>
      <c r="BT104" s="20"/>
      <c r="BU104" s="20"/>
      <c r="BV104" s="20"/>
      <c r="BW104" s="20"/>
      <c r="BX104" s="20"/>
      <c r="BY104" s="20"/>
      <c r="BZ104" s="20"/>
      <c r="CA104" s="20"/>
      <c r="CB104" s="20"/>
      <c r="CC104" s="20"/>
      <c r="CD104" s="20"/>
      <c r="CE104" s="20"/>
      <c r="CF104" s="20"/>
      <c r="CG104" s="20"/>
      <c r="CH104" s="20"/>
      <c r="CI104" s="20"/>
      <c r="CJ104" s="20"/>
      <c r="CK104" s="20"/>
      <c r="CL104" s="20"/>
      <c r="CM104" s="20"/>
      <c r="CN104" s="20"/>
      <c r="CO104" s="20"/>
      <c r="CP104" s="20"/>
      <c r="CQ104" s="20"/>
      <c r="CR104" s="20"/>
      <c r="CS104" s="20"/>
      <c r="CT104" s="20"/>
      <c r="CU104" s="20"/>
      <c r="CV104" s="20"/>
      <c r="CW104" s="20"/>
      <c r="CX104" s="20"/>
      <c r="CY104" s="20"/>
      <c r="CZ104" s="20"/>
      <c r="DA104" s="20"/>
      <c r="DB104" s="20"/>
      <c r="DC104" s="20"/>
      <c r="DD104" s="20"/>
      <c r="DE104" s="20"/>
      <c r="DF104" s="20"/>
      <c r="DG104" s="20"/>
      <c r="DH104" s="20"/>
      <c r="DI104" s="20"/>
      <c r="DJ104" s="20"/>
      <c r="DK104" s="20"/>
      <c r="DL104" s="20"/>
      <c r="DM104" s="20"/>
      <c r="DN104" s="20"/>
      <c r="DO104" s="20"/>
      <c r="DP104" s="20"/>
      <c r="DQ104" s="20"/>
      <c r="DR104" s="20"/>
      <c r="DS104" s="20"/>
      <c r="DT104" s="20"/>
      <c r="DU104" s="20"/>
      <c r="DV104" s="20"/>
      <c r="DW104" s="20"/>
      <c r="DX104" s="20"/>
      <c r="DY104" s="20"/>
      <c r="DZ104" s="54">
        <v>1</v>
      </c>
      <c r="EA104" s="54">
        <v>2</v>
      </c>
      <c r="EB104" s="54">
        <v>10</v>
      </c>
      <c r="EC104" s="20"/>
      <c r="ED104" s="20"/>
      <c r="EE104" s="20"/>
      <c r="EF104" s="20"/>
      <c r="EG104" s="20"/>
      <c r="EH104" s="20"/>
      <c r="EI104" s="20"/>
      <c r="EJ104" s="20"/>
      <c r="EK104" s="20"/>
      <c r="EL104" s="20"/>
      <c r="EM104" s="20"/>
      <c r="EN104" s="20"/>
      <c r="EO104" s="20"/>
      <c r="EP104" s="20"/>
      <c r="EQ104" s="20"/>
      <c r="ER104" s="20"/>
      <c r="ES104" s="20"/>
      <c r="ET104" s="20"/>
      <c r="EU104" s="20"/>
      <c r="EV104" s="20"/>
      <c r="EW104" s="20"/>
      <c r="EX104" s="20"/>
      <c r="EY104" s="20"/>
      <c r="EZ104" s="20"/>
      <c r="FA104" s="20"/>
      <c r="FB104" s="20"/>
      <c r="FC104" s="20"/>
      <c r="FD104" s="20"/>
      <c r="FE104" s="20"/>
      <c r="FF104" s="20"/>
      <c r="FG104" s="20"/>
      <c r="FH104" s="20"/>
      <c r="FI104" s="20"/>
      <c r="FJ104" s="20"/>
      <c r="FK104" s="20"/>
      <c r="FL104" s="20"/>
      <c r="FM104" s="20"/>
      <c r="FN104" s="20"/>
      <c r="FO104" s="20"/>
      <c r="FP104" s="20"/>
      <c r="FQ104" s="20"/>
      <c r="FR104" s="20"/>
      <c r="FS104" s="20"/>
      <c r="FT104" s="20"/>
      <c r="FU104" s="20"/>
      <c r="FV104" s="20"/>
      <c r="FW104" s="20"/>
      <c r="FX104" s="20"/>
      <c r="FY104" s="20"/>
      <c r="FZ104" s="20"/>
      <c r="GA104" s="20"/>
      <c r="GB104" s="20"/>
      <c r="GC104" s="20"/>
      <c r="GD104" s="20"/>
      <c r="GE104" s="20"/>
      <c r="GF104" s="20"/>
      <c r="GG104" s="20"/>
      <c r="GH104" s="20"/>
      <c r="GI104" s="20"/>
      <c r="GJ104" s="20"/>
      <c r="GK104" s="20"/>
      <c r="GL104" s="20"/>
      <c r="GM104" s="20"/>
      <c r="GN104" s="20"/>
      <c r="GO104" s="20"/>
      <c r="GP104" s="20"/>
      <c r="GQ104" s="20"/>
      <c r="GR104" s="20"/>
      <c r="GS104" s="20"/>
      <c r="GT104" s="20"/>
      <c r="GU104" s="20"/>
      <c r="GV104" s="20"/>
      <c r="GW104" s="20"/>
      <c r="GX104" s="20"/>
      <c r="GY104" s="21"/>
      <c r="GZ104" s="21"/>
      <c r="HA104" s="21"/>
      <c r="HB104" s="21"/>
      <c r="HC104" s="21"/>
      <c r="HD104" s="21"/>
      <c r="HE104" s="21"/>
      <c r="HF104" s="21"/>
      <c r="HG104" s="21"/>
      <c r="HH104" s="21"/>
      <c r="HI104" s="21"/>
      <c r="HJ104" s="21"/>
      <c r="HK104" s="21"/>
      <c r="HL104" s="21"/>
      <c r="HM104" s="21"/>
      <c r="HN104" s="21"/>
      <c r="HO104" s="21"/>
      <c r="HP104" s="21"/>
      <c r="HQ104" s="21"/>
      <c r="HR104" s="21"/>
      <c r="HS104" s="21"/>
      <c r="HT104" s="21"/>
      <c r="HU104" s="21"/>
      <c r="HV104" s="186"/>
      <c r="HW104" s="21"/>
      <c r="HX104" s="21"/>
      <c r="HY104" s="21"/>
      <c r="HZ104" s="21"/>
      <c r="IA104" s="21"/>
      <c r="IB104" s="21"/>
      <c r="IC104" s="21"/>
      <c r="ID104" s="21"/>
      <c r="IE104" s="21"/>
      <c r="IF104" s="21"/>
      <c r="IG104" s="21"/>
      <c r="IH104" s="21"/>
      <c r="II104" s="21"/>
      <c r="IJ104" s="21"/>
      <c r="IK104" s="21"/>
      <c r="IL104" s="21"/>
      <c r="IM104" s="21"/>
      <c r="IN104" s="21"/>
      <c r="IO104" s="21"/>
      <c r="IP104" s="21"/>
      <c r="IQ104" s="21"/>
      <c r="IR104" s="21"/>
      <c r="IS104" s="21"/>
      <c r="IT104" s="21"/>
      <c r="IU104" s="21"/>
      <c r="IV104" s="21"/>
      <c r="IW104" s="21"/>
      <c r="IX104" s="21"/>
      <c r="IY104" s="21"/>
      <c r="IZ104" s="21"/>
      <c r="JA104" s="21"/>
      <c r="JB104" s="21"/>
      <c r="JC104" s="21"/>
      <c r="JD104" s="21"/>
      <c r="JE104" s="21"/>
      <c r="JF104" s="21"/>
      <c r="JG104" s="21"/>
      <c r="JH104" s="21"/>
      <c r="JI104" s="21"/>
      <c r="JJ104" s="21"/>
      <c r="JK104" s="21"/>
      <c r="JL104" s="21"/>
      <c r="JM104" s="21"/>
      <c r="JN104" s="21"/>
      <c r="JO104" s="21"/>
      <c r="JP104" s="21"/>
      <c r="JQ104" s="21"/>
      <c r="JR104" s="21"/>
      <c r="JS104" s="21"/>
      <c r="JT104" s="21"/>
      <c r="JU104" s="21"/>
      <c r="JV104" s="21"/>
      <c r="JW104" s="21"/>
      <c r="JX104" s="21"/>
      <c r="JY104" s="21"/>
      <c r="JZ104" s="21"/>
      <c r="KA104" s="21"/>
      <c r="KB104" s="21"/>
      <c r="KC104" s="21"/>
      <c r="KD104" s="21"/>
      <c r="KE104" s="21"/>
      <c r="KF104" s="21"/>
      <c r="KG104" s="21"/>
      <c r="KH104" s="21"/>
    </row>
    <row r="105" spans="1:294" x14ac:dyDescent="0.25">
      <c r="A105" s="8"/>
      <c r="B105" s="5" t="s">
        <v>116</v>
      </c>
      <c r="C105" s="8"/>
      <c r="D105" s="6" t="s">
        <v>118</v>
      </c>
      <c r="E105" s="8" t="s">
        <v>138</v>
      </c>
      <c r="F105" s="5" t="s">
        <v>116</v>
      </c>
      <c r="G105" s="8" t="s">
        <v>114</v>
      </c>
      <c r="H105" s="5" t="s">
        <v>116</v>
      </c>
      <c r="I105" s="8">
        <v>30</v>
      </c>
      <c r="J105" s="5" t="s">
        <v>119</v>
      </c>
      <c r="K105" s="9"/>
      <c r="L105" s="6" t="str">
        <f>IF(G105=X128,"CMP41H41/1,2MC",IF(G105=X129,"CMP41H41/1,2MC",IF(G105=X130,"CMP41H41/1,2MC",IF(G105=X131,"CMP41H41/1,5MC"))))</f>
        <v>CMP41H41/1,2MC</v>
      </c>
      <c r="M105" s="11">
        <f>INDEX(cennik!$C$2:$L$529,MATCH($L105,cennik!$B$2:$B$522,0),MATCH(M$104,cennik!$C$1:$L$1,0))</f>
        <v>856211</v>
      </c>
      <c r="N105" s="11" t="str">
        <f>INDEX(cennik!$C$2:$L$529,MATCH($L105,cennik!$B$2:$B$522,0),MATCH(N$104,cennik!$C$1:$L$1,0))</f>
        <v>szt.</v>
      </c>
      <c r="O105" s="11">
        <f>SUM(W104:W119)</f>
        <v>0</v>
      </c>
      <c r="P105" s="34">
        <f>INDEX(cennik!$C$2:$L$529,MATCH($L105,cennik!$B$2:$B$522,0),MATCH(P$104,cennik!$C$1:$L$1,0))</f>
        <v>25.2</v>
      </c>
      <c r="Q105" s="34">
        <f>O105*P105</f>
        <v>0</v>
      </c>
      <c r="R105" s="35">
        <f t="shared" ref="R105:R124" si="31">$E$110</f>
        <v>0</v>
      </c>
      <c r="S105" s="34">
        <f t="shared" ref="S105:S124" si="32">P105*((100-$E$110)/100)</f>
        <v>25.2</v>
      </c>
      <c r="T105" s="34">
        <f>O105*S105</f>
        <v>0</v>
      </c>
      <c r="U105" s="34">
        <f>INDEX(cennik!$C$2:$L$529,MATCH($L105,cennik!$B$2:$B$522,0),MATCH(U$104,cennik!$C$1:$L$1,0))*O105</f>
        <v>0</v>
      </c>
      <c r="V105" s="20"/>
      <c r="W105" s="25">
        <f t="shared" ref="W105:W119" si="33">IF(A105=0,0,IF(A105&gt;0,(A105+1)*C105))</f>
        <v>0</v>
      </c>
      <c r="X105" s="20" t="s">
        <v>474</v>
      </c>
      <c r="Y105" s="20"/>
      <c r="Z105" s="25" t="s">
        <v>309</v>
      </c>
      <c r="AA105" s="20"/>
      <c r="AB105" s="20"/>
      <c r="AC105" s="20"/>
      <c r="AD105" s="20"/>
      <c r="AE105" s="20"/>
      <c r="AF105" s="20"/>
      <c r="AG105" s="20"/>
      <c r="AH105" s="20"/>
      <c r="AI105" s="20"/>
      <c r="AJ105" s="20"/>
      <c r="AK105" s="20"/>
      <c r="AL105" s="20"/>
      <c r="AM105" s="20">
        <v>0</v>
      </c>
      <c r="AN105" s="20">
        <v>1</v>
      </c>
      <c r="AO105" s="20">
        <v>2</v>
      </c>
      <c r="AP105" s="20">
        <v>3</v>
      </c>
      <c r="AQ105" s="20">
        <v>4</v>
      </c>
      <c r="AR105" s="20">
        <v>5</v>
      </c>
      <c r="AS105" s="20">
        <v>6</v>
      </c>
      <c r="AT105" s="20">
        <v>7</v>
      </c>
      <c r="AU105" s="20">
        <v>8</v>
      </c>
      <c r="AV105" s="20">
        <v>9</v>
      </c>
      <c r="AW105" s="20">
        <v>10</v>
      </c>
      <c r="AX105" s="20">
        <v>11</v>
      </c>
      <c r="AY105" s="20">
        <v>12</v>
      </c>
      <c r="AZ105" s="20">
        <v>13</v>
      </c>
      <c r="BA105" s="20">
        <v>14</v>
      </c>
      <c r="BB105" s="20">
        <v>15</v>
      </c>
      <c r="BC105" s="20">
        <v>16</v>
      </c>
      <c r="BD105" s="20">
        <v>17</v>
      </c>
      <c r="BE105" s="20">
        <v>18</v>
      </c>
      <c r="BF105" s="20">
        <v>19</v>
      </c>
      <c r="BG105" s="20">
        <v>20</v>
      </c>
      <c r="BH105" s="20">
        <v>21</v>
      </c>
      <c r="BI105" s="20">
        <v>22</v>
      </c>
      <c r="BJ105" s="20">
        <v>23</v>
      </c>
      <c r="BK105" s="20">
        <v>24</v>
      </c>
      <c r="BL105" s="20">
        <v>25</v>
      </c>
      <c r="BM105" s="20">
        <v>26</v>
      </c>
      <c r="BN105" s="20">
        <v>27</v>
      </c>
      <c r="BO105" s="20">
        <v>28</v>
      </c>
      <c r="BP105" s="20">
        <v>29</v>
      </c>
      <c r="BQ105" s="20">
        <v>30</v>
      </c>
      <c r="BR105" s="20">
        <v>31</v>
      </c>
      <c r="BS105" s="20">
        <v>32</v>
      </c>
      <c r="BT105" s="20">
        <v>33</v>
      </c>
      <c r="BU105" s="20">
        <v>34</v>
      </c>
      <c r="BV105" s="20">
        <v>35</v>
      </c>
      <c r="BW105" s="20">
        <v>36</v>
      </c>
      <c r="BX105" s="20">
        <v>37</v>
      </c>
      <c r="BY105" s="20">
        <v>38</v>
      </c>
      <c r="BZ105" s="20">
        <v>39</v>
      </c>
      <c r="CA105" s="20">
        <v>40</v>
      </c>
      <c r="CB105" s="20">
        <v>41</v>
      </c>
      <c r="CC105" s="20">
        <v>42</v>
      </c>
      <c r="CD105" s="20">
        <v>43</v>
      </c>
      <c r="CE105" s="20">
        <v>44</v>
      </c>
      <c r="CF105" s="20">
        <v>45</v>
      </c>
      <c r="CG105" s="20">
        <v>46</v>
      </c>
      <c r="CH105" s="20">
        <v>47</v>
      </c>
      <c r="CI105" s="20">
        <v>48</v>
      </c>
      <c r="CJ105" s="20">
        <v>49</v>
      </c>
      <c r="CK105" s="20">
        <v>50</v>
      </c>
      <c r="CL105" s="20"/>
      <c r="CM105" s="20"/>
      <c r="CN105" s="20"/>
      <c r="CO105" s="20"/>
      <c r="CP105" s="20"/>
      <c r="CQ105" s="20"/>
      <c r="CR105" s="20"/>
      <c r="CS105" s="20"/>
      <c r="CT105" s="20"/>
      <c r="CU105" s="20"/>
      <c r="CV105" s="20"/>
      <c r="CW105" s="20"/>
      <c r="CX105" s="20"/>
      <c r="CY105" s="20"/>
      <c r="CZ105" s="20"/>
      <c r="DA105" s="20"/>
      <c r="DB105" s="20"/>
      <c r="DC105" s="20"/>
      <c r="DD105" s="20"/>
      <c r="DE105" s="20"/>
      <c r="DF105" s="20"/>
      <c r="DG105" s="20"/>
      <c r="DH105" s="20"/>
      <c r="DI105" s="20"/>
      <c r="DJ105" s="20"/>
      <c r="DK105" s="20"/>
      <c r="DL105" s="20"/>
      <c r="DM105" s="20"/>
      <c r="DN105" s="20"/>
      <c r="DO105" s="20"/>
      <c r="DP105" s="20"/>
      <c r="DQ105" s="20"/>
      <c r="DR105" s="20"/>
      <c r="DS105" s="20"/>
      <c r="DT105" s="20"/>
      <c r="DU105" s="20"/>
      <c r="DV105" s="20"/>
      <c r="DW105" s="20"/>
      <c r="DX105" s="20"/>
      <c r="DY105" s="20"/>
      <c r="DZ105" s="54">
        <v>2</v>
      </c>
      <c r="EA105" s="54">
        <v>4</v>
      </c>
      <c r="EB105" s="54">
        <v>15</v>
      </c>
      <c r="EC105" s="20"/>
      <c r="ED105" s="20"/>
      <c r="EE105" s="20"/>
      <c r="EF105" s="20"/>
      <c r="EG105" s="20"/>
      <c r="EH105" s="20"/>
      <c r="EI105" s="20"/>
      <c r="EJ105" s="20"/>
      <c r="EK105" s="20"/>
      <c r="EL105" s="20"/>
      <c r="EM105" s="20"/>
      <c r="EN105" s="20"/>
      <c r="EO105" s="20"/>
      <c r="EP105" s="20"/>
      <c r="EQ105" s="20"/>
      <c r="ER105" s="20"/>
      <c r="ES105" s="20"/>
      <c r="ET105" s="20"/>
      <c r="EU105" s="20"/>
      <c r="EV105" s="20" t="s">
        <v>114</v>
      </c>
      <c r="EW105" s="20"/>
      <c r="EX105" s="20"/>
      <c r="EY105" s="20"/>
      <c r="EZ105" s="20"/>
      <c r="FA105" s="20"/>
      <c r="FB105" s="20"/>
      <c r="FC105" s="20"/>
      <c r="FD105" s="20"/>
      <c r="FE105" s="20"/>
      <c r="FF105" s="20"/>
      <c r="FG105" s="20"/>
      <c r="FH105" s="20"/>
      <c r="FI105" s="20"/>
      <c r="FJ105" s="20"/>
      <c r="FK105" s="20"/>
      <c r="FL105" s="20"/>
      <c r="FM105" s="20"/>
      <c r="FN105" s="20"/>
      <c r="FO105" s="20"/>
      <c r="FP105" s="20"/>
      <c r="FQ105" s="20"/>
      <c r="FR105" s="20"/>
      <c r="FS105" s="20"/>
      <c r="FT105" s="20"/>
      <c r="FU105" s="20"/>
      <c r="FV105" s="20"/>
      <c r="FW105" s="20"/>
      <c r="FX105" s="20"/>
      <c r="FY105" s="20"/>
      <c r="FZ105" s="20"/>
      <c r="GA105" s="20"/>
      <c r="GB105" s="20"/>
      <c r="GC105" s="20"/>
      <c r="GD105" s="20"/>
      <c r="GE105" s="20"/>
      <c r="GF105" s="20"/>
      <c r="GG105" s="20"/>
      <c r="GH105" s="20"/>
      <c r="GI105" s="20"/>
      <c r="GJ105" s="20"/>
      <c r="GK105" s="20"/>
      <c r="GL105" s="20"/>
      <c r="GM105" s="20"/>
      <c r="GN105" s="20"/>
      <c r="GO105" s="20"/>
      <c r="GP105" s="20"/>
      <c r="GQ105" s="20"/>
      <c r="GR105" s="20"/>
      <c r="GS105" s="20"/>
      <c r="GT105" s="20"/>
      <c r="GU105" s="20"/>
      <c r="GV105" s="20"/>
      <c r="GW105" s="20"/>
      <c r="GX105" s="20"/>
      <c r="GY105" s="21" t="s">
        <v>114</v>
      </c>
      <c r="GZ105" s="21"/>
      <c r="HA105" s="21"/>
      <c r="HB105" s="21"/>
      <c r="HC105" s="21"/>
      <c r="HD105" s="21"/>
      <c r="HE105" s="21"/>
      <c r="HF105" s="21"/>
      <c r="HG105" s="21"/>
      <c r="HH105" s="21"/>
      <c r="HI105" s="21"/>
      <c r="HJ105" s="21"/>
      <c r="HK105" s="21"/>
      <c r="HL105" s="21"/>
      <c r="HM105" s="21"/>
      <c r="HN105" s="21"/>
      <c r="HO105" s="21"/>
      <c r="HP105" s="21"/>
      <c r="HQ105" s="21"/>
      <c r="HR105" s="21"/>
      <c r="HS105" s="21"/>
      <c r="HT105" s="21"/>
      <c r="HU105" s="346"/>
      <c r="HV105" s="186" t="s">
        <v>111</v>
      </c>
      <c r="HW105" s="20"/>
      <c r="HX105" s="20"/>
      <c r="HY105" s="20"/>
      <c r="HZ105" s="20"/>
      <c r="IA105" s="20"/>
      <c r="IB105" s="20"/>
      <c r="IC105" s="20"/>
      <c r="ID105" s="20"/>
      <c r="IE105" s="20"/>
      <c r="IF105" s="20"/>
      <c r="IG105" s="20"/>
      <c r="IH105" s="20"/>
      <c r="II105" s="20"/>
      <c r="IJ105" s="20"/>
      <c r="IK105" s="20"/>
      <c r="IL105" s="20"/>
      <c r="IM105" s="20"/>
      <c r="IN105" s="20"/>
      <c r="IO105" s="20"/>
      <c r="IP105" s="20"/>
      <c r="IQ105" s="20"/>
      <c r="IR105" s="21"/>
      <c r="IS105" s="21" t="s">
        <v>111</v>
      </c>
      <c r="IT105" s="21"/>
      <c r="IU105" s="21"/>
      <c r="IV105" s="21"/>
      <c r="IW105" s="21"/>
      <c r="IX105" s="21"/>
      <c r="IY105" s="21"/>
      <c r="IZ105" s="21"/>
      <c r="JA105" s="21"/>
      <c r="JB105" s="21"/>
      <c r="JC105" s="21"/>
      <c r="JD105" s="21"/>
      <c r="JE105" s="21"/>
      <c r="JF105" s="21"/>
      <c r="JG105" s="21"/>
      <c r="JH105" s="21"/>
      <c r="JI105" s="21"/>
      <c r="JJ105" s="21"/>
      <c r="JK105" s="21"/>
      <c r="JL105" s="21"/>
      <c r="JM105" s="21"/>
      <c r="JN105" s="21"/>
      <c r="JO105" s="21"/>
      <c r="JP105" s="21"/>
      <c r="JQ105" s="21"/>
      <c r="JR105" s="21"/>
      <c r="JS105" s="21"/>
      <c r="JT105" s="21"/>
      <c r="JU105" s="21"/>
      <c r="JV105" s="21"/>
      <c r="JW105" s="21"/>
      <c r="JX105" s="21"/>
      <c r="JY105" s="21"/>
      <c r="JZ105" s="21"/>
      <c r="KA105" s="21"/>
      <c r="KB105" s="21"/>
      <c r="KC105" s="21"/>
      <c r="KD105" s="21"/>
      <c r="KE105" s="21"/>
      <c r="KF105" s="21"/>
      <c r="KG105" s="21"/>
      <c r="KH105" s="21"/>
    </row>
    <row r="106" spans="1:294" x14ac:dyDescent="0.25">
      <c r="A106" s="8"/>
      <c r="B106" s="5" t="s">
        <v>116</v>
      </c>
      <c r="C106" s="8"/>
      <c r="D106" s="6" t="s">
        <v>129</v>
      </c>
      <c r="E106" s="8" t="s">
        <v>140</v>
      </c>
      <c r="F106" s="5"/>
      <c r="G106" s="5"/>
      <c r="H106" s="5"/>
      <c r="I106" s="5"/>
      <c r="J106" s="5"/>
      <c r="K106" s="9"/>
      <c r="L106" s="6" t="s">
        <v>924</v>
      </c>
      <c r="M106" s="11">
        <f>INDEX(cennik!$C$2:$L$529,MATCH($L106,cennik!$B$2:$B$522,0),MATCH(M$104,cennik!$C$1:$L$1,0))</f>
        <v>857016</v>
      </c>
      <c r="N106" s="11" t="str">
        <f>INDEX(cennik!$C$2:$L$529,MATCH($L106,cennik!$B$2:$B$522,0),MATCH(N$104,cennik!$C$1:$L$1,0))</f>
        <v>szt.</v>
      </c>
      <c r="O106" s="11">
        <f>O105</f>
        <v>0</v>
      </c>
      <c r="P106" s="34">
        <f>INDEX(cennik!$C$2:$L$529,MATCH($L106,cennik!$B$2:$B$522,0),MATCH(P$104,cennik!$C$1:$L$1,0))</f>
        <v>19.309999999999999</v>
      </c>
      <c r="Q106" s="34">
        <f t="shared" ref="Q106:Q124" si="34">O106*P106</f>
        <v>0</v>
      </c>
      <c r="R106" s="35">
        <f t="shared" si="31"/>
        <v>0</v>
      </c>
      <c r="S106" s="34">
        <f t="shared" si="32"/>
        <v>19.309999999999999</v>
      </c>
      <c r="T106" s="34">
        <f t="shared" ref="T106:T124" si="35">O106*S106</f>
        <v>0</v>
      </c>
      <c r="U106" s="34">
        <f>INDEX(cennik!$C$2:$L$529,MATCH($L106,cennik!$B$2:$B$522,0),MATCH(U$104,cennik!$C$1:$L$1,0))*O106</f>
        <v>0</v>
      </c>
      <c r="V106" s="20"/>
      <c r="W106" s="25">
        <f t="shared" si="33"/>
        <v>0</v>
      </c>
      <c r="X106" s="25" t="s">
        <v>125</v>
      </c>
      <c r="Y106" s="25" t="s">
        <v>130</v>
      </c>
      <c r="Z106" s="25" t="s">
        <v>562</v>
      </c>
      <c r="AA106" s="20"/>
      <c r="AB106" s="20"/>
      <c r="AC106" s="20"/>
      <c r="AD106" s="20"/>
      <c r="AE106" s="20"/>
      <c r="AF106" s="20"/>
      <c r="AG106" s="20"/>
      <c r="AH106" s="20"/>
      <c r="AI106" s="20"/>
      <c r="AJ106" s="20"/>
      <c r="AK106" s="20"/>
      <c r="AL106" s="20" t="s">
        <v>126</v>
      </c>
      <c r="AM106" s="20">
        <v>0</v>
      </c>
      <c r="AN106" s="20">
        <v>2</v>
      </c>
      <c r="AO106" s="20">
        <v>0</v>
      </c>
      <c r="AP106" s="20">
        <v>0</v>
      </c>
      <c r="AQ106" s="20">
        <v>0</v>
      </c>
      <c r="AR106" s="20">
        <v>0</v>
      </c>
      <c r="AS106" s="20">
        <v>0</v>
      </c>
      <c r="AT106" s="20">
        <v>0</v>
      </c>
      <c r="AU106" s="20">
        <v>0</v>
      </c>
      <c r="AV106" s="20">
        <v>0</v>
      </c>
      <c r="AW106" s="20">
        <v>0</v>
      </c>
      <c r="AX106" s="20">
        <v>0</v>
      </c>
      <c r="AY106" s="20">
        <v>0</v>
      </c>
      <c r="AZ106" s="20">
        <v>0</v>
      </c>
      <c r="BA106" s="20">
        <v>0</v>
      </c>
      <c r="BB106" s="20">
        <v>0</v>
      </c>
      <c r="BC106" s="20">
        <v>0</v>
      </c>
      <c r="BD106" s="20">
        <v>0</v>
      </c>
      <c r="BE106" s="20">
        <v>0</v>
      </c>
      <c r="BF106" s="20">
        <v>0</v>
      </c>
      <c r="BG106" s="20">
        <v>0</v>
      </c>
      <c r="BH106" s="20">
        <v>0</v>
      </c>
      <c r="BI106" s="20">
        <v>0</v>
      </c>
      <c r="BJ106" s="20">
        <v>0</v>
      </c>
      <c r="BK106" s="20">
        <v>0</v>
      </c>
      <c r="BL106" s="20">
        <v>0</v>
      </c>
      <c r="BM106" s="20">
        <v>0</v>
      </c>
      <c r="BN106" s="20">
        <v>0</v>
      </c>
      <c r="BO106" s="20">
        <v>0</v>
      </c>
      <c r="BP106" s="20">
        <v>0</v>
      </c>
      <c r="BQ106" s="20">
        <v>0</v>
      </c>
      <c r="BR106" s="20">
        <v>0</v>
      </c>
      <c r="BS106" s="20">
        <v>0</v>
      </c>
      <c r="BT106" s="20">
        <v>0</v>
      </c>
      <c r="BU106" s="20">
        <v>0</v>
      </c>
      <c r="BV106" s="20">
        <v>0</v>
      </c>
      <c r="BW106" s="20">
        <v>0</v>
      </c>
      <c r="BX106" s="20">
        <v>0</v>
      </c>
      <c r="BY106" s="20">
        <v>0</v>
      </c>
      <c r="BZ106" s="20">
        <v>0</v>
      </c>
      <c r="CA106" s="20">
        <v>0</v>
      </c>
      <c r="CB106" s="20">
        <v>0</v>
      </c>
      <c r="CC106" s="20">
        <v>0</v>
      </c>
      <c r="CD106" s="20">
        <v>0</v>
      </c>
      <c r="CE106" s="20">
        <v>0</v>
      </c>
      <c r="CF106" s="20">
        <v>0</v>
      </c>
      <c r="CG106" s="20">
        <v>0</v>
      </c>
      <c r="CH106" s="20">
        <v>0</v>
      </c>
      <c r="CI106" s="20">
        <v>0</v>
      </c>
      <c r="CJ106" s="20">
        <v>0</v>
      </c>
      <c r="CK106" s="20">
        <v>0</v>
      </c>
      <c r="CL106" s="20"/>
      <c r="CM106" s="20"/>
      <c r="CN106" s="20"/>
      <c r="CO106" s="20"/>
      <c r="CP106" s="20"/>
      <c r="CQ106" s="20"/>
      <c r="CR106" s="20"/>
      <c r="CS106" s="20"/>
      <c r="CT106" s="20"/>
      <c r="CU106" s="20"/>
      <c r="CV106" s="20"/>
      <c r="CW106" s="20"/>
      <c r="CX106" s="20"/>
      <c r="CY106" s="20"/>
      <c r="CZ106" s="20"/>
      <c r="DA106" s="20"/>
      <c r="DB106" s="20"/>
      <c r="DC106" s="20"/>
      <c r="DD106" s="20"/>
      <c r="DE106" s="20"/>
      <c r="DF106" s="20"/>
      <c r="DG106" s="20"/>
      <c r="DH106" s="20"/>
      <c r="DI106" s="20"/>
      <c r="DJ106" s="20"/>
      <c r="DK106" s="20"/>
      <c r="DL106" s="20"/>
      <c r="DM106" s="20"/>
      <c r="DN106" s="20"/>
      <c r="DO106" s="20"/>
      <c r="DP106" s="20"/>
      <c r="DQ106" s="20"/>
      <c r="DR106" s="20"/>
      <c r="DS106" s="20"/>
      <c r="DT106" s="20"/>
      <c r="DU106" s="20"/>
      <c r="DV106" s="20"/>
      <c r="DW106" s="20"/>
      <c r="DX106" s="20"/>
      <c r="DY106" s="20"/>
      <c r="DZ106" s="54">
        <v>3</v>
      </c>
      <c r="EA106" s="54">
        <v>6</v>
      </c>
      <c r="EB106" s="54">
        <v>20</v>
      </c>
      <c r="EC106" s="20"/>
      <c r="ED106" s="20"/>
      <c r="EE106" s="20"/>
      <c r="EF106" s="20"/>
      <c r="EG106" s="20"/>
      <c r="EH106" s="20"/>
      <c r="EI106" s="20"/>
      <c r="EJ106" s="20"/>
      <c r="EK106" s="20"/>
      <c r="EL106" s="20"/>
      <c r="EM106" s="20"/>
      <c r="EN106" s="20"/>
      <c r="EO106" s="20"/>
      <c r="EP106" s="20"/>
      <c r="EQ106" s="20"/>
      <c r="ER106" s="20"/>
      <c r="ES106" s="20"/>
      <c r="ET106" s="20"/>
      <c r="EU106" s="20"/>
      <c r="EV106" s="20"/>
      <c r="EW106" s="20">
        <v>0</v>
      </c>
      <c r="EX106" s="20">
        <v>1</v>
      </c>
      <c r="EY106" s="20">
        <v>2</v>
      </c>
      <c r="EZ106" s="20">
        <v>3</v>
      </c>
      <c r="FA106" s="20">
        <v>4</v>
      </c>
      <c r="FB106" s="20">
        <v>5</v>
      </c>
      <c r="FC106" s="20">
        <v>6</v>
      </c>
      <c r="FD106" s="20">
        <v>7</v>
      </c>
      <c r="FE106" s="20">
        <v>8</v>
      </c>
      <c r="FF106" s="20">
        <v>9</v>
      </c>
      <c r="FG106" s="20">
        <v>10</v>
      </c>
      <c r="FH106" s="20">
        <v>11</v>
      </c>
      <c r="FI106" s="20">
        <v>12</v>
      </c>
      <c r="FJ106" s="20">
        <v>13</v>
      </c>
      <c r="FK106" s="20">
        <v>14</v>
      </c>
      <c r="FL106" s="20">
        <v>15</v>
      </c>
      <c r="FM106" s="20">
        <v>16</v>
      </c>
      <c r="FN106" s="20">
        <v>17</v>
      </c>
      <c r="FO106" s="20">
        <v>18</v>
      </c>
      <c r="FP106" s="20">
        <v>19</v>
      </c>
      <c r="FQ106" s="20">
        <v>20</v>
      </c>
      <c r="FR106" s="20">
        <v>21</v>
      </c>
      <c r="FS106" s="20">
        <v>22</v>
      </c>
      <c r="FT106" s="20">
        <v>23</v>
      </c>
      <c r="FU106" s="20">
        <v>24</v>
      </c>
      <c r="FV106" s="20">
        <v>25</v>
      </c>
      <c r="FW106" s="20">
        <v>26</v>
      </c>
      <c r="FX106" s="20">
        <v>27</v>
      </c>
      <c r="FY106" s="20">
        <v>28</v>
      </c>
      <c r="FZ106" s="20">
        <v>29</v>
      </c>
      <c r="GA106" s="20">
        <v>30</v>
      </c>
      <c r="GB106" s="20">
        <v>31</v>
      </c>
      <c r="GC106" s="20">
        <v>32</v>
      </c>
      <c r="GD106" s="20">
        <v>33</v>
      </c>
      <c r="GE106" s="20">
        <v>34</v>
      </c>
      <c r="GF106" s="20">
        <v>35</v>
      </c>
      <c r="GG106" s="20">
        <v>36</v>
      </c>
      <c r="GH106" s="20">
        <v>37</v>
      </c>
      <c r="GI106" s="20">
        <v>38</v>
      </c>
      <c r="GJ106" s="20">
        <v>39</v>
      </c>
      <c r="GK106" s="20">
        <v>40</v>
      </c>
      <c r="GL106" s="20">
        <v>41</v>
      </c>
      <c r="GM106" s="20">
        <v>42</v>
      </c>
      <c r="GN106" s="20">
        <v>43</v>
      </c>
      <c r="GO106" s="20">
        <v>44</v>
      </c>
      <c r="GP106" s="20">
        <v>45</v>
      </c>
      <c r="GQ106" s="20">
        <v>46</v>
      </c>
      <c r="GR106" s="20">
        <v>47</v>
      </c>
      <c r="GS106" s="20">
        <v>48</v>
      </c>
      <c r="GT106" s="20">
        <v>49</v>
      </c>
      <c r="GU106" s="20">
        <v>50</v>
      </c>
      <c r="GV106" s="20"/>
      <c r="GW106" s="20"/>
      <c r="GX106" s="20"/>
      <c r="GY106" s="21"/>
      <c r="GZ106" s="21">
        <v>0</v>
      </c>
      <c r="HA106" s="21">
        <v>1</v>
      </c>
      <c r="HB106" s="21">
        <v>2</v>
      </c>
      <c r="HC106" s="21">
        <v>3</v>
      </c>
      <c r="HD106" s="21">
        <v>4</v>
      </c>
      <c r="HE106" s="21">
        <v>5</v>
      </c>
      <c r="HF106" s="21">
        <v>6</v>
      </c>
      <c r="HG106" s="21">
        <v>7</v>
      </c>
      <c r="HH106" s="21">
        <v>8</v>
      </c>
      <c r="HI106" s="21">
        <v>9</v>
      </c>
      <c r="HJ106" s="21">
        <v>10</v>
      </c>
      <c r="HK106" s="21">
        <v>11</v>
      </c>
      <c r="HL106" s="21">
        <v>12</v>
      </c>
      <c r="HM106" s="21">
        <v>13</v>
      </c>
      <c r="HN106" s="21">
        <v>14</v>
      </c>
      <c r="HO106" s="21">
        <v>15</v>
      </c>
      <c r="HP106" s="21">
        <v>16</v>
      </c>
      <c r="HQ106" s="21">
        <v>17</v>
      </c>
      <c r="HR106" s="21">
        <v>18</v>
      </c>
      <c r="HS106" s="21">
        <v>19</v>
      </c>
      <c r="HT106" s="21">
        <v>20</v>
      </c>
      <c r="HU106" s="21"/>
      <c r="HV106" s="186"/>
      <c r="HW106" s="20">
        <v>0</v>
      </c>
      <c r="HX106" s="20">
        <v>1</v>
      </c>
      <c r="HY106" s="20">
        <v>2</v>
      </c>
      <c r="HZ106" s="20">
        <v>3</v>
      </c>
      <c r="IA106" s="20">
        <v>4</v>
      </c>
      <c r="IB106" s="20">
        <v>5</v>
      </c>
      <c r="IC106" s="20">
        <v>6</v>
      </c>
      <c r="ID106" s="20">
        <v>7</v>
      </c>
      <c r="IE106" s="20">
        <v>8</v>
      </c>
      <c r="IF106" s="20">
        <v>9</v>
      </c>
      <c r="IG106" s="20">
        <v>10</v>
      </c>
      <c r="IH106" s="20">
        <v>11</v>
      </c>
      <c r="II106" s="20">
        <v>12</v>
      </c>
      <c r="IJ106" s="20">
        <v>13</v>
      </c>
      <c r="IK106" s="20">
        <v>14</v>
      </c>
      <c r="IL106" s="20">
        <v>15</v>
      </c>
      <c r="IM106" s="20">
        <v>16</v>
      </c>
      <c r="IN106" s="20">
        <v>17</v>
      </c>
      <c r="IO106" s="20">
        <v>18</v>
      </c>
      <c r="IP106" s="20">
        <v>19</v>
      </c>
      <c r="IQ106" s="20">
        <v>20</v>
      </c>
      <c r="IR106" s="21"/>
      <c r="IS106" s="21"/>
      <c r="IT106" s="21">
        <f>HW106*2</f>
        <v>0</v>
      </c>
      <c r="IU106" s="21">
        <f t="shared" ref="IU106:JN109" si="36">HX106*2</f>
        <v>2</v>
      </c>
      <c r="IV106" s="21">
        <f t="shared" si="36"/>
        <v>4</v>
      </c>
      <c r="IW106" s="21">
        <f t="shared" si="36"/>
        <v>6</v>
      </c>
      <c r="IX106" s="21">
        <f t="shared" si="36"/>
        <v>8</v>
      </c>
      <c r="IY106" s="21">
        <f t="shared" si="36"/>
        <v>10</v>
      </c>
      <c r="IZ106" s="21">
        <f t="shared" si="36"/>
        <v>12</v>
      </c>
      <c r="JA106" s="21">
        <f t="shared" si="36"/>
        <v>14</v>
      </c>
      <c r="JB106" s="21">
        <f t="shared" si="36"/>
        <v>16</v>
      </c>
      <c r="JC106" s="21">
        <f t="shared" si="36"/>
        <v>18</v>
      </c>
      <c r="JD106" s="21">
        <f t="shared" si="36"/>
        <v>20</v>
      </c>
      <c r="JE106" s="21">
        <f t="shared" si="36"/>
        <v>22</v>
      </c>
      <c r="JF106" s="21">
        <f t="shared" si="36"/>
        <v>24</v>
      </c>
      <c r="JG106" s="21">
        <f t="shared" si="36"/>
        <v>26</v>
      </c>
      <c r="JH106" s="21">
        <f t="shared" si="36"/>
        <v>28</v>
      </c>
      <c r="JI106" s="21">
        <f t="shared" si="36"/>
        <v>30</v>
      </c>
      <c r="JJ106" s="21">
        <f t="shared" si="36"/>
        <v>32</v>
      </c>
      <c r="JK106" s="21">
        <f t="shared" si="36"/>
        <v>34</v>
      </c>
      <c r="JL106" s="21">
        <f t="shared" si="36"/>
        <v>36</v>
      </c>
      <c r="JM106" s="21">
        <f t="shared" si="36"/>
        <v>38</v>
      </c>
      <c r="JN106" s="21">
        <f t="shared" si="36"/>
        <v>40</v>
      </c>
      <c r="JO106" s="21"/>
      <c r="JP106" s="21"/>
      <c r="JQ106" s="21"/>
      <c r="JR106" s="20"/>
      <c r="JS106" s="20"/>
      <c r="JT106" s="20"/>
      <c r="JU106" s="20"/>
      <c r="JV106" s="20"/>
      <c r="JW106" s="20"/>
      <c r="JX106" s="20"/>
      <c r="JY106" s="20"/>
      <c r="JZ106" s="20"/>
      <c r="KA106" s="20"/>
      <c r="KB106" s="20"/>
      <c r="KC106" s="20"/>
      <c r="KD106" s="20"/>
      <c r="KE106" s="20"/>
      <c r="KF106" s="20"/>
      <c r="KG106" s="20"/>
      <c r="KH106" s="20"/>
    </row>
    <row r="107" spans="1:294" x14ac:dyDescent="0.25">
      <c r="A107" s="8"/>
      <c r="B107" s="5" t="s">
        <v>116</v>
      </c>
      <c r="C107" s="8"/>
      <c r="D107" s="6" t="s">
        <v>124</v>
      </c>
      <c r="E107" s="8" t="s">
        <v>125</v>
      </c>
      <c r="F107" s="5"/>
      <c r="G107" s="5"/>
      <c r="H107" s="5"/>
      <c r="I107" s="5"/>
      <c r="J107" s="5"/>
      <c r="K107" s="9"/>
      <c r="L107" s="6" t="str">
        <f>IF(E109=10,"UPG10MC",IF(E109=15,"UPG15MC",IF(E109=20,"UPG20MC",0)))</f>
        <v>UPG15MC</v>
      </c>
      <c r="M107" s="11">
        <f>INDEX(cennik!$C$2:$L$529,MATCH($L107,cennik!$B$2:$B$522,0),MATCH(M$104,cennik!$C$1:$L$1,0))</f>
        <v>878115</v>
      </c>
      <c r="N107" s="11" t="str">
        <f>INDEX(cennik!$C$2:$L$529,MATCH($L107,cennik!$B$2:$B$522,0),MATCH(N$104,cennik!$C$1:$L$1,0))</f>
        <v>szt.</v>
      </c>
      <c r="O107" s="11">
        <f>O105</f>
        <v>0</v>
      </c>
      <c r="P107" s="34">
        <f>INDEX(cennik!$C$2:$L$529,MATCH($L107,cennik!$B$2:$B$522,0),MATCH(P$104,cennik!$C$1:$L$1,0))</f>
        <v>27.34</v>
      </c>
      <c r="Q107" s="34">
        <f t="shared" si="34"/>
        <v>0</v>
      </c>
      <c r="R107" s="35">
        <f t="shared" si="31"/>
        <v>0</v>
      </c>
      <c r="S107" s="34">
        <f t="shared" si="32"/>
        <v>27.34</v>
      </c>
      <c r="T107" s="34">
        <f t="shared" si="35"/>
        <v>0</v>
      </c>
      <c r="U107" s="34">
        <f>INDEX(cennik!$C$2:$L$529,MATCH($L107,cennik!$B$2:$B$522,0),MATCH(U$104,cennik!$C$1:$L$1,0))*O107</f>
        <v>0</v>
      </c>
      <c r="V107" s="20"/>
      <c r="W107" s="25">
        <f t="shared" si="33"/>
        <v>0</v>
      </c>
      <c r="X107" s="25" t="s">
        <v>144</v>
      </c>
      <c r="Y107" s="25" t="s">
        <v>140</v>
      </c>
      <c r="Z107" s="25" t="s">
        <v>848</v>
      </c>
      <c r="AA107" s="20"/>
      <c r="AB107" s="20"/>
      <c r="AC107" s="20"/>
      <c r="AD107" s="20"/>
      <c r="AE107" s="20"/>
      <c r="AF107" s="20"/>
      <c r="AG107" s="20"/>
      <c r="AH107" s="20"/>
      <c r="AI107" s="20"/>
      <c r="AJ107" s="20"/>
      <c r="AK107" s="20"/>
      <c r="AL107" s="20" t="s">
        <v>12</v>
      </c>
      <c r="AM107" s="20">
        <v>0</v>
      </c>
      <c r="AN107" s="20">
        <v>0</v>
      </c>
      <c r="AO107" s="20">
        <v>2</v>
      </c>
      <c r="AP107" s="20">
        <v>0</v>
      </c>
      <c r="AQ107" s="20">
        <v>4</v>
      </c>
      <c r="AR107" s="20">
        <v>2</v>
      </c>
      <c r="AS107" s="20">
        <v>0</v>
      </c>
      <c r="AT107" s="20">
        <v>4</v>
      </c>
      <c r="AU107" s="20">
        <v>2</v>
      </c>
      <c r="AV107" s="20">
        <v>0</v>
      </c>
      <c r="AW107" s="20">
        <v>4</v>
      </c>
      <c r="AX107" s="20">
        <v>2</v>
      </c>
      <c r="AY107" s="20">
        <v>0</v>
      </c>
      <c r="AZ107" s="20">
        <v>4</v>
      </c>
      <c r="BA107" s="20">
        <v>2</v>
      </c>
      <c r="BB107" s="20">
        <v>0</v>
      </c>
      <c r="BC107" s="20">
        <v>0</v>
      </c>
      <c r="BD107" s="20">
        <v>0</v>
      </c>
      <c r="BE107" s="20">
        <v>2</v>
      </c>
      <c r="BF107" s="20">
        <v>0</v>
      </c>
      <c r="BG107" s="20">
        <v>2</v>
      </c>
      <c r="BH107" s="20">
        <v>0</v>
      </c>
      <c r="BI107" s="20">
        <v>0</v>
      </c>
      <c r="BJ107" s="20">
        <v>0</v>
      </c>
      <c r="BK107" s="20">
        <v>0</v>
      </c>
      <c r="BL107" s="20">
        <v>0</v>
      </c>
      <c r="BM107" s="20">
        <v>0</v>
      </c>
      <c r="BN107" s="20">
        <v>0</v>
      </c>
      <c r="BO107" s="20">
        <v>0</v>
      </c>
      <c r="BP107" s="20">
        <v>0</v>
      </c>
      <c r="BQ107" s="20">
        <v>2</v>
      </c>
      <c r="BR107" s="20">
        <v>0</v>
      </c>
      <c r="BS107" s="20">
        <v>0</v>
      </c>
      <c r="BT107" s="20">
        <v>2</v>
      </c>
      <c r="BU107" s="20">
        <v>0</v>
      </c>
      <c r="BV107" s="20">
        <v>0</v>
      </c>
      <c r="BW107" s="20">
        <v>0</v>
      </c>
      <c r="BX107" s="20">
        <v>0</v>
      </c>
      <c r="BY107" s="20">
        <v>0</v>
      </c>
      <c r="BZ107" s="20">
        <v>0</v>
      </c>
      <c r="CA107" s="20">
        <v>0</v>
      </c>
      <c r="CB107" s="20">
        <v>0</v>
      </c>
      <c r="CC107" s="20">
        <v>2</v>
      </c>
      <c r="CD107" s="20">
        <v>0</v>
      </c>
      <c r="CE107" s="20">
        <v>0</v>
      </c>
      <c r="CF107" s="20">
        <v>0</v>
      </c>
      <c r="CG107" s="20">
        <v>0</v>
      </c>
      <c r="CH107" s="20">
        <v>0</v>
      </c>
      <c r="CI107" s="20">
        <v>0</v>
      </c>
      <c r="CJ107" s="20">
        <v>0</v>
      </c>
      <c r="CK107" s="20">
        <v>0</v>
      </c>
      <c r="CL107" s="20"/>
      <c r="CM107" s="20"/>
      <c r="CN107" s="20"/>
      <c r="CO107" s="20"/>
      <c r="CP107" s="20"/>
      <c r="CQ107" s="20"/>
      <c r="CR107" s="20"/>
      <c r="CS107" s="20"/>
      <c r="CT107" s="20"/>
      <c r="CU107" s="20"/>
      <c r="CV107" s="20"/>
      <c r="CW107" s="20"/>
      <c r="CX107" s="20"/>
      <c r="CY107" s="20"/>
      <c r="CZ107" s="20"/>
      <c r="DA107" s="20"/>
      <c r="DB107" s="20"/>
      <c r="DC107" s="20"/>
      <c r="DD107" s="20"/>
      <c r="DE107" s="20"/>
      <c r="DF107" s="20"/>
      <c r="DG107" s="20"/>
      <c r="DH107" s="20"/>
      <c r="DI107" s="20"/>
      <c r="DJ107" s="20"/>
      <c r="DK107" s="20"/>
      <c r="DL107" s="20"/>
      <c r="DM107" s="20"/>
      <c r="DN107" s="20"/>
      <c r="DO107" s="20"/>
      <c r="DP107" s="20"/>
      <c r="DQ107" s="20"/>
      <c r="DR107" s="20"/>
      <c r="DS107" s="20"/>
      <c r="DT107" s="20"/>
      <c r="DU107" s="20"/>
      <c r="DV107" s="20"/>
      <c r="DW107" s="20"/>
      <c r="DX107" s="20"/>
      <c r="DY107" s="20"/>
      <c r="DZ107" s="54">
        <v>4</v>
      </c>
      <c r="EA107" s="54">
        <v>8</v>
      </c>
      <c r="EB107" s="54">
        <v>25</v>
      </c>
      <c r="EC107" s="20"/>
      <c r="ED107" s="20"/>
      <c r="EE107" s="20"/>
      <c r="EF107" s="20"/>
      <c r="EG107" s="20"/>
      <c r="EH107" s="20"/>
      <c r="EI107" s="20"/>
      <c r="EJ107" s="20"/>
      <c r="EK107" s="20"/>
      <c r="EL107" s="20"/>
      <c r="EM107" s="20"/>
      <c r="EN107" s="20"/>
      <c r="EO107" s="20"/>
      <c r="EP107" s="20"/>
      <c r="EQ107" s="20"/>
      <c r="ER107" s="20"/>
      <c r="ES107" s="20"/>
      <c r="ET107" s="20"/>
      <c r="EU107" s="20"/>
      <c r="EV107" s="20" t="s">
        <v>210</v>
      </c>
      <c r="EW107" s="20">
        <v>0</v>
      </c>
      <c r="EX107" s="20">
        <v>0</v>
      </c>
      <c r="EY107" s="20">
        <v>0</v>
      </c>
      <c r="EZ107" s="20">
        <v>0</v>
      </c>
      <c r="FA107" s="20">
        <v>0</v>
      </c>
      <c r="FB107" s="20">
        <v>0</v>
      </c>
      <c r="FC107" s="20">
        <v>0</v>
      </c>
      <c r="FD107" s="20">
        <v>0</v>
      </c>
      <c r="FE107" s="20">
        <v>2</v>
      </c>
      <c r="FF107" s="20">
        <v>0</v>
      </c>
      <c r="FG107" s="20">
        <v>0</v>
      </c>
      <c r="FH107" s="20">
        <v>2</v>
      </c>
      <c r="FI107" s="20">
        <v>0</v>
      </c>
      <c r="FJ107" s="20">
        <v>0</v>
      </c>
      <c r="FK107" s="20">
        <v>0</v>
      </c>
      <c r="FL107" s="20">
        <v>0</v>
      </c>
      <c r="FM107" s="20">
        <v>0</v>
      </c>
      <c r="FN107" s="20">
        <v>0</v>
      </c>
      <c r="FO107" s="20">
        <v>0</v>
      </c>
      <c r="FP107" s="20">
        <v>0</v>
      </c>
      <c r="FQ107" s="20">
        <v>0</v>
      </c>
      <c r="FR107" s="20">
        <v>0</v>
      </c>
      <c r="FS107" s="20">
        <v>0</v>
      </c>
      <c r="FT107" s="20">
        <v>0</v>
      </c>
      <c r="FU107" s="20">
        <v>0</v>
      </c>
      <c r="FV107" s="20">
        <v>0</v>
      </c>
      <c r="FW107" s="20">
        <v>0</v>
      </c>
      <c r="FX107" s="20">
        <v>0</v>
      </c>
      <c r="FY107" s="20">
        <v>0</v>
      </c>
      <c r="FZ107" s="20">
        <v>0</v>
      </c>
      <c r="GA107" s="20">
        <v>0</v>
      </c>
      <c r="GB107" s="20">
        <v>0</v>
      </c>
      <c r="GC107" s="20">
        <v>0</v>
      </c>
      <c r="GD107" s="20">
        <v>0</v>
      </c>
      <c r="GE107" s="20">
        <v>0</v>
      </c>
      <c r="GF107" s="20">
        <v>0</v>
      </c>
      <c r="GG107" s="20">
        <v>0</v>
      </c>
      <c r="GH107" s="20">
        <v>0</v>
      </c>
      <c r="GI107" s="20">
        <v>0</v>
      </c>
      <c r="GJ107" s="20">
        <v>0</v>
      </c>
      <c r="GK107" s="20">
        <v>0</v>
      </c>
      <c r="GL107" s="20">
        <v>0</v>
      </c>
      <c r="GM107" s="20">
        <v>0</v>
      </c>
      <c r="GN107" s="20">
        <v>0</v>
      </c>
      <c r="GO107" s="20">
        <v>0</v>
      </c>
      <c r="GP107" s="20">
        <v>0</v>
      </c>
      <c r="GQ107" s="20">
        <v>0</v>
      </c>
      <c r="GR107" s="20">
        <v>0</v>
      </c>
      <c r="GS107" s="20">
        <v>0</v>
      </c>
      <c r="GT107" s="20">
        <v>0</v>
      </c>
      <c r="GU107" s="20">
        <v>0</v>
      </c>
      <c r="GV107" s="20"/>
      <c r="GW107" s="20"/>
      <c r="GX107" s="20"/>
      <c r="GY107" s="21" t="s">
        <v>826</v>
      </c>
      <c r="GZ107" s="21">
        <v>0</v>
      </c>
      <c r="HA107" s="21">
        <v>2</v>
      </c>
      <c r="HB107" s="21">
        <v>2</v>
      </c>
      <c r="HC107" s="21">
        <v>0</v>
      </c>
      <c r="HD107" s="21">
        <v>4</v>
      </c>
      <c r="HE107" s="21">
        <v>2</v>
      </c>
      <c r="HF107" s="21">
        <v>0</v>
      </c>
      <c r="HG107" s="21">
        <v>4</v>
      </c>
      <c r="HH107" s="21">
        <v>2</v>
      </c>
      <c r="HI107" s="21">
        <v>0</v>
      </c>
      <c r="HJ107" s="21">
        <v>4</v>
      </c>
      <c r="HK107" s="21">
        <v>2</v>
      </c>
      <c r="HL107" s="21">
        <v>0</v>
      </c>
      <c r="HM107" s="21">
        <v>4</v>
      </c>
      <c r="HN107" s="21">
        <v>2</v>
      </c>
      <c r="HO107" s="21">
        <v>2</v>
      </c>
      <c r="HP107" s="21">
        <v>0</v>
      </c>
      <c r="HQ107" s="21">
        <v>4</v>
      </c>
      <c r="HR107" s="21">
        <v>2</v>
      </c>
      <c r="HS107" s="21">
        <v>4</v>
      </c>
      <c r="HT107" s="21">
        <v>4</v>
      </c>
      <c r="HU107" s="21"/>
      <c r="HV107" s="21" t="s">
        <v>826</v>
      </c>
      <c r="HW107" s="20">
        <v>0</v>
      </c>
      <c r="HX107" s="20">
        <v>2</v>
      </c>
      <c r="HY107" s="20">
        <v>0</v>
      </c>
      <c r="HZ107" s="20">
        <v>2</v>
      </c>
      <c r="IA107" s="20">
        <v>0</v>
      </c>
      <c r="IB107" s="20">
        <v>2</v>
      </c>
      <c r="IC107" s="20">
        <v>0</v>
      </c>
      <c r="ID107" s="20">
        <v>2</v>
      </c>
      <c r="IE107" s="20">
        <v>0</v>
      </c>
      <c r="IF107" s="20">
        <v>2</v>
      </c>
      <c r="IG107" s="20">
        <v>0</v>
      </c>
      <c r="IH107" s="20">
        <v>2</v>
      </c>
      <c r="II107" s="20">
        <v>0</v>
      </c>
      <c r="IJ107" s="20">
        <v>2</v>
      </c>
      <c r="IK107" s="20">
        <v>0</v>
      </c>
      <c r="IL107" s="20">
        <v>2</v>
      </c>
      <c r="IM107" s="20">
        <v>0</v>
      </c>
      <c r="IN107" s="20">
        <v>2</v>
      </c>
      <c r="IO107" s="20">
        <v>0</v>
      </c>
      <c r="IP107" s="20">
        <v>2</v>
      </c>
      <c r="IQ107" s="20">
        <v>0</v>
      </c>
      <c r="IR107" s="21"/>
      <c r="IS107" s="21" t="s">
        <v>826</v>
      </c>
      <c r="IT107" s="21">
        <f t="shared" ref="IT107:IT109" si="37">HW107*2</f>
        <v>0</v>
      </c>
      <c r="IU107" s="21">
        <f t="shared" si="36"/>
        <v>4</v>
      </c>
      <c r="IV107" s="21">
        <f t="shared" si="36"/>
        <v>0</v>
      </c>
      <c r="IW107" s="21">
        <f t="shared" si="36"/>
        <v>4</v>
      </c>
      <c r="IX107" s="21">
        <f t="shared" si="36"/>
        <v>0</v>
      </c>
      <c r="IY107" s="21">
        <f t="shared" si="36"/>
        <v>4</v>
      </c>
      <c r="IZ107" s="21">
        <f t="shared" si="36"/>
        <v>0</v>
      </c>
      <c r="JA107" s="21">
        <f t="shared" si="36"/>
        <v>4</v>
      </c>
      <c r="JB107" s="21">
        <f t="shared" si="36"/>
        <v>0</v>
      </c>
      <c r="JC107" s="21">
        <f t="shared" si="36"/>
        <v>4</v>
      </c>
      <c r="JD107" s="21">
        <f t="shared" si="36"/>
        <v>0</v>
      </c>
      <c r="JE107" s="21">
        <f t="shared" si="36"/>
        <v>4</v>
      </c>
      <c r="JF107" s="21">
        <f t="shared" si="36"/>
        <v>0</v>
      </c>
      <c r="JG107" s="21">
        <f t="shared" si="36"/>
        <v>4</v>
      </c>
      <c r="JH107" s="21">
        <f t="shared" si="36"/>
        <v>0</v>
      </c>
      <c r="JI107" s="21">
        <f t="shared" si="36"/>
        <v>4</v>
      </c>
      <c r="JJ107" s="21">
        <f t="shared" si="36"/>
        <v>0</v>
      </c>
      <c r="JK107" s="21">
        <f t="shared" si="36"/>
        <v>4</v>
      </c>
      <c r="JL107" s="21">
        <f t="shared" si="36"/>
        <v>0</v>
      </c>
      <c r="JM107" s="21">
        <f t="shared" si="36"/>
        <v>4</v>
      </c>
      <c r="JN107" s="21">
        <f t="shared" si="36"/>
        <v>0</v>
      </c>
      <c r="JO107" s="21"/>
      <c r="JP107" s="21"/>
      <c r="JQ107" s="21"/>
      <c r="JR107" s="21"/>
      <c r="JS107" s="21"/>
      <c r="JT107" s="21"/>
      <c r="JU107" s="21"/>
      <c r="JV107" s="21"/>
      <c r="JW107" s="21"/>
      <c r="JX107" s="21"/>
      <c r="JY107" s="21"/>
      <c r="JZ107" s="21"/>
      <c r="KA107" s="21"/>
      <c r="KB107" s="21"/>
      <c r="KC107" s="21"/>
      <c r="KD107" s="21"/>
      <c r="KE107" s="21"/>
      <c r="KF107" s="21"/>
      <c r="KG107" s="21"/>
      <c r="KH107" s="21"/>
    </row>
    <row r="108" spans="1:294" x14ac:dyDescent="0.25">
      <c r="A108" s="8"/>
      <c r="B108" s="5" t="s">
        <v>116</v>
      </c>
      <c r="C108" s="8"/>
      <c r="D108" s="6" t="s">
        <v>307</v>
      </c>
      <c r="E108" s="8" t="s">
        <v>309</v>
      </c>
      <c r="F108" s="36" t="str">
        <f>IF(E108="balastowa","wartość balastu określa konstruktor","")</f>
        <v/>
      </c>
      <c r="G108" s="6"/>
      <c r="H108" s="6"/>
      <c r="I108" s="6"/>
      <c r="J108" s="6"/>
      <c r="K108" s="9"/>
      <c r="L108" s="6" t="str">
        <f>INDEX((EP121:ER130),MATCH(E105,EO121:EO130,0),MATCH(E109,EP120:ER120,0),1)</f>
        <v>OWN15/2,4NMC</v>
      </c>
      <c r="M108" s="11">
        <f>INDEX(cennik!$C$2:$L$529,MATCH($L108,cennik!$B$2:$B$522,0),MATCH(M$104,cennik!$C$1:$L$1,0))</f>
        <v>8515245</v>
      </c>
      <c r="N108" s="11" t="str">
        <f>INDEX(cennik!$C$2:$L$529,MATCH($L108,cennik!$B$2:$B$522,0),MATCH(N$104,cennik!$C$1:$L$1,0))</f>
        <v>szt.</v>
      </c>
      <c r="O108" s="11">
        <f>SUM((A104*C104),(A105*C105),(A106*C106),(A107*C107),(A108*C108),(A109*C109),(A110*C110),(A111*C111),(A112*C112),(A113*C113),(A114*C114),(A115*C115),(A116*C116),(A117*C117),(A118*C118),(A119*C119))</f>
        <v>0</v>
      </c>
      <c r="P108" s="34">
        <f>INDEX(cennik!$C$2:$L$529,MATCH($L108,cennik!$B$2:$B$522,0),MATCH(P$104,cennik!$C$1:$L$1,0))</f>
        <v>46.46</v>
      </c>
      <c r="Q108" s="34">
        <f t="shared" si="34"/>
        <v>0</v>
      </c>
      <c r="R108" s="35">
        <f t="shared" si="31"/>
        <v>0</v>
      </c>
      <c r="S108" s="34">
        <f t="shared" si="32"/>
        <v>46.46</v>
      </c>
      <c r="T108" s="34">
        <f t="shared" si="35"/>
        <v>0</v>
      </c>
      <c r="U108" s="34">
        <f>INDEX(cennik!$C$2:$L$529,MATCH($L108,cennik!$B$2:$B$522,0),MATCH(U$104,cennik!$C$1:$L$1,0))*O108</f>
        <v>0</v>
      </c>
      <c r="V108" s="20"/>
      <c r="W108" s="25">
        <f t="shared" si="33"/>
        <v>0</v>
      </c>
      <c r="X108" s="20"/>
      <c r="Y108" s="20"/>
      <c r="Z108" s="20"/>
      <c r="AA108" s="20"/>
      <c r="AB108" s="20"/>
      <c r="AC108" s="20"/>
      <c r="AD108" s="20"/>
      <c r="AE108" s="20"/>
      <c r="AF108" s="20"/>
      <c r="AG108" s="20"/>
      <c r="AH108" s="20"/>
      <c r="AI108" s="20"/>
      <c r="AJ108" s="20"/>
      <c r="AK108" s="20"/>
      <c r="AL108" s="20" t="s">
        <v>127</v>
      </c>
      <c r="AM108" s="20">
        <v>0</v>
      </c>
      <c r="AN108" s="20">
        <v>0</v>
      </c>
      <c r="AO108" s="20">
        <v>0</v>
      </c>
      <c r="AP108" s="20">
        <v>0</v>
      </c>
      <c r="AQ108" s="20">
        <v>0</v>
      </c>
      <c r="AR108" s="20">
        <v>0</v>
      </c>
      <c r="AS108" s="20">
        <v>0</v>
      </c>
      <c r="AT108" s="20">
        <v>0</v>
      </c>
      <c r="AU108" s="20">
        <v>0</v>
      </c>
      <c r="AV108" s="20">
        <v>0</v>
      </c>
      <c r="AW108" s="20">
        <v>0</v>
      </c>
      <c r="AX108" s="20">
        <v>0</v>
      </c>
      <c r="AY108" s="20">
        <v>0</v>
      </c>
      <c r="AZ108" s="20">
        <v>0</v>
      </c>
      <c r="BA108" s="20">
        <v>0</v>
      </c>
      <c r="BB108" s="20">
        <v>2</v>
      </c>
      <c r="BC108" s="20">
        <v>0</v>
      </c>
      <c r="BD108" s="20">
        <v>4</v>
      </c>
      <c r="BE108" s="20">
        <v>0</v>
      </c>
      <c r="BF108" s="20">
        <v>0</v>
      </c>
      <c r="BG108" s="20">
        <v>2</v>
      </c>
      <c r="BH108" s="20">
        <v>2</v>
      </c>
      <c r="BI108" s="20">
        <v>0</v>
      </c>
      <c r="BJ108" s="20">
        <v>4</v>
      </c>
      <c r="BK108" s="20">
        <v>4</v>
      </c>
      <c r="BL108" s="20">
        <v>0</v>
      </c>
      <c r="BM108" s="20">
        <v>4</v>
      </c>
      <c r="BN108" s="20">
        <v>2</v>
      </c>
      <c r="BO108" s="20">
        <v>0</v>
      </c>
      <c r="BP108" s="20">
        <v>0</v>
      </c>
      <c r="BQ108" s="20">
        <v>0</v>
      </c>
      <c r="BR108" s="20">
        <v>0</v>
      </c>
      <c r="BS108" s="20">
        <v>0</v>
      </c>
      <c r="BT108" s="20">
        <v>0</v>
      </c>
      <c r="BU108" s="20">
        <v>0</v>
      </c>
      <c r="BV108" s="20">
        <v>0</v>
      </c>
      <c r="BW108" s="20">
        <v>4</v>
      </c>
      <c r="BX108" s="20">
        <v>2</v>
      </c>
      <c r="BY108" s="20">
        <v>0</v>
      </c>
      <c r="BZ108" s="20">
        <v>4</v>
      </c>
      <c r="CA108" s="20">
        <v>0</v>
      </c>
      <c r="CB108" s="20">
        <v>0</v>
      </c>
      <c r="CC108" s="20">
        <v>0</v>
      </c>
      <c r="CD108" s="20">
        <v>2</v>
      </c>
      <c r="CE108" s="20">
        <v>0</v>
      </c>
      <c r="CF108" s="20">
        <v>0</v>
      </c>
      <c r="CG108" s="20">
        <v>4</v>
      </c>
      <c r="CH108" s="20">
        <v>0</v>
      </c>
      <c r="CI108" s="20">
        <v>0</v>
      </c>
      <c r="CJ108" s="20">
        <v>0</v>
      </c>
      <c r="CK108" s="20">
        <v>2</v>
      </c>
      <c r="CL108" s="20"/>
      <c r="CM108" s="20"/>
      <c r="CN108" s="20"/>
      <c r="CO108" s="20"/>
      <c r="CP108" s="20"/>
      <c r="CQ108" s="20"/>
      <c r="CR108" s="20"/>
      <c r="CS108" s="20"/>
      <c r="CT108" s="20"/>
      <c r="CU108" s="20"/>
      <c r="CV108" s="20"/>
      <c r="CW108" s="20"/>
      <c r="CX108" s="20"/>
      <c r="CY108" s="20"/>
      <c r="CZ108" s="20"/>
      <c r="DA108" s="20"/>
      <c r="DB108" s="20"/>
      <c r="DC108" s="20"/>
      <c r="DD108" s="20"/>
      <c r="DE108" s="20"/>
      <c r="DF108" s="20"/>
      <c r="DG108" s="20"/>
      <c r="DH108" s="20"/>
      <c r="DI108" s="20"/>
      <c r="DJ108" s="20"/>
      <c r="DK108" s="20"/>
      <c r="DL108" s="20"/>
      <c r="DM108" s="20"/>
      <c r="DN108" s="20"/>
      <c r="DO108" s="20"/>
      <c r="DP108" s="20"/>
      <c r="DQ108" s="20"/>
      <c r="DR108" s="20"/>
      <c r="DS108" s="20"/>
      <c r="DT108" s="20"/>
      <c r="DU108" s="20"/>
      <c r="DV108" s="20"/>
      <c r="DW108" s="20"/>
      <c r="DX108" s="20"/>
      <c r="DY108" s="20"/>
      <c r="DZ108" s="54">
        <v>5</v>
      </c>
      <c r="EA108" s="54">
        <v>10</v>
      </c>
      <c r="EB108" s="54">
        <v>30</v>
      </c>
      <c r="EC108" s="20"/>
      <c r="ED108" s="20"/>
      <c r="EE108" s="20"/>
      <c r="EF108" s="20"/>
      <c r="EG108" s="20"/>
      <c r="EH108" s="20"/>
      <c r="EI108" s="20"/>
      <c r="EJ108" s="20"/>
      <c r="EK108" s="20"/>
      <c r="EL108" s="20"/>
      <c r="EM108" s="20"/>
      <c r="EN108" s="20"/>
      <c r="EO108" s="20"/>
      <c r="EP108" s="20"/>
      <c r="EQ108" s="20"/>
      <c r="ER108" s="20"/>
      <c r="ES108" s="20"/>
      <c r="ET108" s="20"/>
      <c r="EU108" s="20"/>
      <c r="EV108" s="20" t="s">
        <v>9</v>
      </c>
      <c r="EW108" s="20">
        <v>0</v>
      </c>
      <c r="EX108" s="20">
        <v>2</v>
      </c>
      <c r="EY108" s="20">
        <v>0</v>
      </c>
      <c r="EZ108" s="20">
        <v>0</v>
      </c>
      <c r="FA108" s="20">
        <v>2</v>
      </c>
      <c r="FB108" s="20">
        <v>0</v>
      </c>
      <c r="FC108" s="20">
        <v>0</v>
      </c>
      <c r="FD108" s="20">
        <v>0</v>
      </c>
      <c r="FE108" s="20">
        <v>0</v>
      </c>
      <c r="FF108" s="20">
        <v>0</v>
      </c>
      <c r="FG108" s="20">
        <v>0</v>
      </c>
      <c r="FH108" s="20">
        <v>0</v>
      </c>
      <c r="FI108" s="20">
        <v>2</v>
      </c>
      <c r="FJ108" s="20">
        <v>0</v>
      </c>
      <c r="FK108" s="20">
        <v>0</v>
      </c>
      <c r="FL108" s="20">
        <v>0</v>
      </c>
      <c r="FM108" s="20">
        <v>0</v>
      </c>
      <c r="FN108" s="20">
        <v>0</v>
      </c>
      <c r="FO108" s="20">
        <v>0</v>
      </c>
      <c r="FP108" s="20">
        <v>0</v>
      </c>
      <c r="FQ108" s="20">
        <v>0</v>
      </c>
      <c r="FR108" s="20">
        <v>0</v>
      </c>
      <c r="FS108" s="20">
        <v>0</v>
      </c>
      <c r="FT108" s="20">
        <v>0</v>
      </c>
      <c r="FU108" s="20">
        <v>0</v>
      </c>
      <c r="FV108" s="20">
        <v>0</v>
      </c>
      <c r="FW108" s="20">
        <v>0</v>
      </c>
      <c r="FX108" s="20">
        <v>0</v>
      </c>
      <c r="FY108" s="20">
        <v>0</v>
      </c>
      <c r="FZ108" s="20">
        <v>0</v>
      </c>
      <c r="GA108" s="20">
        <v>0</v>
      </c>
      <c r="GB108" s="20">
        <v>0</v>
      </c>
      <c r="GC108" s="20">
        <v>0</v>
      </c>
      <c r="GD108" s="20">
        <v>0</v>
      </c>
      <c r="GE108" s="20">
        <v>0</v>
      </c>
      <c r="GF108" s="20">
        <v>0</v>
      </c>
      <c r="GG108" s="20">
        <v>0</v>
      </c>
      <c r="GH108" s="20">
        <v>0</v>
      </c>
      <c r="GI108" s="20">
        <v>0</v>
      </c>
      <c r="GJ108" s="20">
        <v>0</v>
      </c>
      <c r="GK108" s="20">
        <v>0</v>
      </c>
      <c r="GL108" s="20">
        <v>0</v>
      </c>
      <c r="GM108" s="20">
        <v>0</v>
      </c>
      <c r="GN108" s="20">
        <v>0</v>
      </c>
      <c r="GO108" s="20">
        <v>0</v>
      </c>
      <c r="GP108" s="20">
        <v>0</v>
      </c>
      <c r="GQ108" s="20">
        <v>0</v>
      </c>
      <c r="GR108" s="20">
        <v>0</v>
      </c>
      <c r="GS108" s="20">
        <v>0</v>
      </c>
      <c r="GT108" s="20">
        <v>0</v>
      </c>
      <c r="GU108" s="20">
        <v>0</v>
      </c>
      <c r="GV108" s="20"/>
      <c r="GW108" s="20"/>
      <c r="GX108" s="20"/>
      <c r="GY108" s="21" t="s">
        <v>825</v>
      </c>
      <c r="GZ108" s="21">
        <v>0</v>
      </c>
      <c r="HA108" s="21">
        <v>0</v>
      </c>
      <c r="HB108" s="21">
        <v>0</v>
      </c>
      <c r="HC108" s="21">
        <v>2</v>
      </c>
      <c r="HD108" s="21">
        <v>0</v>
      </c>
      <c r="HE108" s="21">
        <v>2</v>
      </c>
      <c r="HF108" s="21">
        <v>4</v>
      </c>
      <c r="HG108" s="21">
        <v>2</v>
      </c>
      <c r="HH108" s="21">
        <v>4</v>
      </c>
      <c r="HI108" s="21">
        <v>6</v>
      </c>
      <c r="HJ108" s="21">
        <v>4</v>
      </c>
      <c r="HK108" s="21">
        <v>6</v>
      </c>
      <c r="HL108" s="21">
        <v>8</v>
      </c>
      <c r="HM108" s="21">
        <v>6</v>
      </c>
      <c r="HN108" s="21">
        <v>8</v>
      </c>
      <c r="HO108" s="21">
        <v>8</v>
      </c>
      <c r="HP108" s="21">
        <v>10</v>
      </c>
      <c r="HQ108" s="21">
        <v>8</v>
      </c>
      <c r="HR108" s="21">
        <v>10</v>
      </c>
      <c r="HS108" s="21">
        <v>16</v>
      </c>
      <c r="HT108" s="21">
        <v>10</v>
      </c>
      <c r="HU108" s="21"/>
      <c r="HV108" s="21" t="s">
        <v>825</v>
      </c>
      <c r="HW108" s="20">
        <v>0</v>
      </c>
      <c r="HX108" s="20">
        <v>0</v>
      </c>
      <c r="HY108" s="20">
        <v>2</v>
      </c>
      <c r="HZ108" s="20">
        <v>2</v>
      </c>
      <c r="IA108" s="20">
        <v>4</v>
      </c>
      <c r="IB108" s="20">
        <v>4</v>
      </c>
      <c r="IC108" s="20">
        <v>6</v>
      </c>
      <c r="ID108" s="20">
        <v>6</v>
      </c>
      <c r="IE108" s="20">
        <v>8</v>
      </c>
      <c r="IF108" s="20">
        <v>8</v>
      </c>
      <c r="IG108" s="20">
        <v>10</v>
      </c>
      <c r="IH108" s="20">
        <v>10</v>
      </c>
      <c r="II108" s="20">
        <v>12</v>
      </c>
      <c r="IJ108" s="20">
        <v>12</v>
      </c>
      <c r="IK108" s="20">
        <v>14</v>
      </c>
      <c r="IL108" s="20">
        <v>14</v>
      </c>
      <c r="IM108" s="20">
        <v>16</v>
      </c>
      <c r="IN108" s="20">
        <v>16</v>
      </c>
      <c r="IO108" s="20">
        <v>18</v>
      </c>
      <c r="IP108" s="20">
        <v>18</v>
      </c>
      <c r="IQ108" s="20">
        <v>20</v>
      </c>
      <c r="IR108" s="21"/>
      <c r="IS108" s="21" t="s">
        <v>825</v>
      </c>
      <c r="IT108" s="21">
        <f t="shared" si="37"/>
        <v>0</v>
      </c>
      <c r="IU108" s="21">
        <f t="shared" si="36"/>
        <v>0</v>
      </c>
      <c r="IV108" s="21">
        <f t="shared" si="36"/>
        <v>4</v>
      </c>
      <c r="IW108" s="21">
        <f t="shared" si="36"/>
        <v>4</v>
      </c>
      <c r="IX108" s="21">
        <f t="shared" si="36"/>
        <v>8</v>
      </c>
      <c r="IY108" s="21">
        <f t="shared" si="36"/>
        <v>8</v>
      </c>
      <c r="IZ108" s="21">
        <f t="shared" si="36"/>
        <v>12</v>
      </c>
      <c r="JA108" s="21">
        <f t="shared" si="36"/>
        <v>12</v>
      </c>
      <c r="JB108" s="21">
        <f t="shared" si="36"/>
        <v>16</v>
      </c>
      <c r="JC108" s="21">
        <f t="shared" si="36"/>
        <v>16</v>
      </c>
      <c r="JD108" s="21">
        <f t="shared" si="36"/>
        <v>20</v>
      </c>
      <c r="JE108" s="21">
        <f t="shared" si="36"/>
        <v>20</v>
      </c>
      <c r="JF108" s="21">
        <f t="shared" si="36"/>
        <v>24</v>
      </c>
      <c r="JG108" s="21">
        <f t="shared" si="36"/>
        <v>24</v>
      </c>
      <c r="JH108" s="21">
        <f t="shared" si="36"/>
        <v>28</v>
      </c>
      <c r="JI108" s="21">
        <f t="shared" si="36"/>
        <v>28</v>
      </c>
      <c r="JJ108" s="21">
        <f t="shared" si="36"/>
        <v>32</v>
      </c>
      <c r="JK108" s="21">
        <f t="shared" si="36"/>
        <v>32</v>
      </c>
      <c r="JL108" s="21">
        <f t="shared" si="36"/>
        <v>36</v>
      </c>
      <c r="JM108" s="21">
        <f t="shared" si="36"/>
        <v>36</v>
      </c>
      <c r="JN108" s="21">
        <f t="shared" si="36"/>
        <v>40</v>
      </c>
      <c r="JO108" s="21"/>
      <c r="JP108" s="21"/>
      <c r="JQ108" s="26"/>
      <c r="JR108" s="21"/>
      <c r="JS108" s="21"/>
      <c r="JT108" s="21"/>
      <c r="JU108" s="21"/>
      <c r="JV108" s="21"/>
      <c r="JW108" s="21"/>
      <c r="JX108" s="21"/>
      <c r="JY108" s="21"/>
      <c r="JZ108" s="21"/>
      <c r="KA108" s="21"/>
      <c r="KB108" s="21"/>
      <c r="KC108" s="21"/>
      <c r="KD108" s="21"/>
      <c r="KE108" s="21"/>
      <c r="KF108" s="21"/>
      <c r="KG108" s="21"/>
      <c r="KH108" s="21"/>
    </row>
    <row r="109" spans="1:294" x14ac:dyDescent="0.25">
      <c r="A109" s="8"/>
      <c r="B109" s="5" t="s">
        <v>116</v>
      </c>
      <c r="C109" s="8"/>
      <c r="D109" s="6" t="s">
        <v>310</v>
      </c>
      <c r="E109" s="8">
        <v>15</v>
      </c>
      <c r="F109" s="5"/>
      <c r="G109" s="5"/>
      <c r="H109" s="5"/>
      <c r="I109" s="5"/>
      <c r="J109" s="5" t="s">
        <v>411</v>
      </c>
      <c r="K109" s="9"/>
      <c r="L109" s="6" t="str">
        <f>INDEX(($Z$191:$AA$201,$AE$191:$AF$201),MATCH(I105,$Y$191:$Y$200,0),MATCH(E107,$Z$190:$AA$190,0),MATCH(E106,$Y$106:$Y$107,0))</f>
        <v>BUFK30</v>
      </c>
      <c r="M109" s="11">
        <f>INDEX(cennik!$C$2:$L$529,MATCH($L109,cennik!$B$2:$B$522,0),MATCH(M$104,cennik!$C$1:$L$1,0))</f>
        <v>897430</v>
      </c>
      <c r="N109" s="11" t="str">
        <f>INDEX(cennik!$C$2:$L$529,MATCH($L109,cennik!$B$2:$B$522,0),MATCH(N$104,cennik!$C$1:$L$1,0))</f>
        <v>szt.</v>
      </c>
      <c r="O109" s="11">
        <f>SUM(IF(A104=0,0,IF((A104&gt;0),C104*4)),IF(A105=0,0,IF((A105&gt;0),C105*4)),IF(A106=0,0,IF((A106&gt;0),C106*4)),IF(A107=0,0,IF((A107&gt;0),C107*4)),IF(A108=0,0,IF((A108&gt;0),C108*4)),IF(A109=0,0,IF((A109&gt;0),C109*4)),IF(A110=0,0,IF((A110&gt;0),C110*4)),IF(A111=0,0,IF((A111&gt;0),C111*4)),IF(A112=0,0,IF((A112&gt;0),C112*4)),IF(A113=0,0,IF((A113&gt;0),C113*4)),IF(A114=0,0,IF((A114&gt;0),C114*4)),IF(A115=0,0,IF((A115&gt;0),C115*4)),IF(A116=0,0,IF((A116&gt;0),C116*4)),IF(A117=0,0,IF((A117&gt;0),C117*4)),IF(A118=0,0,IF((A118&gt;0),C118*4)),,IF(A119=0,0,IF((A119&gt;0),C119*4)))</f>
        <v>0</v>
      </c>
      <c r="P109" s="34">
        <f>INDEX(cennik!$C$2:$L$529,MATCH($L109,cennik!$B$2:$B$522,0),MATCH(P$104,cennik!$C$1:$L$1,0))</f>
        <v>5.87</v>
      </c>
      <c r="Q109" s="34">
        <f t="shared" si="34"/>
        <v>0</v>
      </c>
      <c r="R109" s="35">
        <f t="shared" si="31"/>
        <v>0</v>
      </c>
      <c r="S109" s="34">
        <f t="shared" si="32"/>
        <v>5.87</v>
      </c>
      <c r="T109" s="34">
        <f t="shared" si="35"/>
        <v>0</v>
      </c>
      <c r="U109" s="34">
        <f>INDEX(cennik!$C$2:$L$529,MATCH($L109,cennik!$B$2:$B$522,0),MATCH(U$104,cennik!$C$1:$L$1,0))*O109</f>
        <v>0</v>
      </c>
      <c r="V109" s="20"/>
      <c r="W109" s="25">
        <f t="shared" si="33"/>
        <v>0</v>
      </c>
      <c r="X109" s="20" t="s">
        <v>111</v>
      </c>
      <c r="Y109" s="20">
        <v>1650</v>
      </c>
      <c r="Z109" s="20" t="s">
        <v>303</v>
      </c>
      <c r="AA109" s="20">
        <v>1663</v>
      </c>
      <c r="AB109" s="20"/>
      <c r="AC109" s="20"/>
      <c r="AD109" s="20"/>
      <c r="AE109" s="20"/>
      <c r="AF109" s="20"/>
      <c r="AG109" s="20"/>
      <c r="AH109" s="20"/>
      <c r="AI109" s="20"/>
      <c r="AJ109" s="20"/>
      <c r="AK109" s="20"/>
      <c r="AL109" s="20" t="s">
        <v>15</v>
      </c>
      <c r="AM109" s="20">
        <v>0</v>
      </c>
      <c r="AN109" s="20">
        <v>0</v>
      </c>
      <c r="AO109" s="20">
        <v>0</v>
      </c>
      <c r="AP109" s="20">
        <v>2</v>
      </c>
      <c r="AQ109" s="20">
        <v>0</v>
      </c>
      <c r="AR109" s="20">
        <v>2</v>
      </c>
      <c r="AS109" s="20">
        <v>4</v>
      </c>
      <c r="AT109" s="20">
        <v>2</v>
      </c>
      <c r="AU109" s="20">
        <v>4</v>
      </c>
      <c r="AV109" s="20">
        <v>6</v>
      </c>
      <c r="AW109" s="20">
        <v>4</v>
      </c>
      <c r="AX109" s="20">
        <v>6</v>
      </c>
      <c r="AY109" s="20">
        <v>8</v>
      </c>
      <c r="AZ109" s="20">
        <v>6</v>
      </c>
      <c r="BA109" s="20">
        <v>8</v>
      </c>
      <c r="BB109" s="20">
        <v>0</v>
      </c>
      <c r="BC109" s="20">
        <v>0</v>
      </c>
      <c r="BD109" s="20">
        <v>0</v>
      </c>
      <c r="BE109" s="20">
        <v>0</v>
      </c>
      <c r="BF109" s="20">
        <v>2</v>
      </c>
      <c r="BG109" s="20">
        <v>2</v>
      </c>
      <c r="BH109" s="20">
        <v>4</v>
      </c>
      <c r="BI109" s="20">
        <v>6</v>
      </c>
      <c r="BJ109" s="20">
        <v>6</v>
      </c>
      <c r="BK109" s="20">
        <v>6</v>
      </c>
      <c r="BL109" s="20">
        <v>8</v>
      </c>
      <c r="BM109" s="20">
        <v>12</v>
      </c>
      <c r="BN109" s="20">
        <v>10</v>
      </c>
      <c r="BO109" s="20">
        <v>12</v>
      </c>
      <c r="BP109" s="20">
        <v>0</v>
      </c>
      <c r="BQ109" s="20">
        <v>12</v>
      </c>
      <c r="BR109" s="20">
        <v>14</v>
      </c>
      <c r="BS109" s="20">
        <v>0</v>
      </c>
      <c r="BT109" s="20">
        <v>14</v>
      </c>
      <c r="BU109" s="20">
        <v>16</v>
      </c>
      <c r="BV109" s="20">
        <v>4</v>
      </c>
      <c r="BW109" s="20">
        <v>8</v>
      </c>
      <c r="BX109" s="20">
        <v>4</v>
      </c>
      <c r="BY109" s="20">
        <v>6</v>
      </c>
      <c r="BZ109" s="20">
        <v>6</v>
      </c>
      <c r="CA109" s="20">
        <v>22</v>
      </c>
      <c r="CB109" s="20">
        <v>8</v>
      </c>
      <c r="CC109" s="20">
        <v>22</v>
      </c>
      <c r="CD109" s="20">
        <v>10</v>
      </c>
      <c r="CE109" s="20">
        <v>12</v>
      </c>
      <c r="CF109" s="20">
        <v>0</v>
      </c>
      <c r="CG109" s="20">
        <v>4</v>
      </c>
      <c r="CH109" s="20">
        <v>14</v>
      </c>
      <c r="CI109" s="20">
        <v>0</v>
      </c>
      <c r="CJ109" s="20">
        <v>30</v>
      </c>
      <c r="CK109" s="20">
        <v>2</v>
      </c>
      <c r="CL109" s="20"/>
      <c r="CM109" s="20"/>
      <c r="CN109" s="20"/>
      <c r="CO109" s="20"/>
      <c r="CP109" s="20"/>
      <c r="CQ109" s="20"/>
      <c r="CR109" s="20"/>
      <c r="CS109" s="20"/>
      <c r="CT109" s="20"/>
      <c r="CU109" s="20"/>
      <c r="CV109" s="20"/>
      <c r="CW109" s="20"/>
      <c r="CX109" s="20"/>
      <c r="CY109" s="20"/>
      <c r="CZ109" s="20"/>
      <c r="DA109" s="20"/>
      <c r="DB109" s="20"/>
      <c r="DC109" s="20"/>
      <c r="DD109" s="20"/>
      <c r="DE109" s="20"/>
      <c r="DF109" s="20"/>
      <c r="DG109" s="20"/>
      <c r="DH109" s="20"/>
      <c r="DI109" s="20"/>
      <c r="DJ109" s="20"/>
      <c r="DK109" s="20"/>
      <c r="DL109" s="20"/>
      <c r="DM109" s="20"/>
      <c r="DN109" s="20"/>
      <c r="DO109" s="20"/>
      <c r="DP109" s="20"/>
      <c r="DQ109" s="20"/>
      <c r="DR109" s="20"/>
      <c r="DS109" s="20"/>
      <c r="DT109" s="20"/>
      <c r="DU109" s="20"/>
      <c r="DV109" s="20"/>
      <c r="DW109" s="20"/>
      <c r="DX109" s="20"/>
      <c r="DY109" s="20"/>
      <c r="DZ109" s="54">
        <v>6</v>
      </c>
      <c r="EA109" s="54">
        <v>12</v>
      </c>
      <c r="EB109" s="54">
        <v>35</v>
      </c>
      <c r="EC109" s="20"/>
      <c r="ED109" s="20"/>
      <c r="EE109" s="20"/>
      <c r="EF109" s="20"/>
      <c r="EG109" s="20"/>
      <c r="EH109" s="20"/>
      <c r="EI109" s="20"/>
      <c r="EJ109" s="20"/>
      <c r="EK109" s="20"/>
      <c r="EL109" s="20"/>
      <c r="EM109" s="20"/>
      <c r="EN109" s="20"/>
      <c r="EO109" s="20"/>
      <c r="EP109" s="20"/>
      <c r="EQ109" s="20"/>
      <c r="ER109" s="20"/>
      <c r="ES109" s="20"/>
      <c r="ET109" s="20"/>
      <c r="EU109" s="20"/>
      <c r="EV109" s="20" t="s">
        <v>208</v>
      </c>
      <c r="EW109" s="20">
        <v>0</v>
      </c>
      <c r="EX109" s="20">
        <v>0</v>
      </c>
      <c r="EY109" s="20">
        <v>0</v>
      </c>
      <c r="EZ109" s="20">
        <v>0</v>
      </c>
      <c r="FA109" s="20">
        <v>0</v>
      </c>
      <c r="FB109" s="20">
        <v>2</v>
      </c>
      <c r="FC109" s="20">
        <v>0</v>
      </c>
      <c r="FD109" s="20">
        <v>0</v>
      </c>
      <c r="FE109" s="20">
        <v>0</v>
      </c>
      <c r="FF109" s="20">
        <v>0</v>
      </c>
      <c r="FG109" s="20">
        <v>0</v>
      </c>
      <c r="FH109" s="20">
        <v>0</v>
      </c>
      <c r="FI109" s="20">
        <v>0</v>
      </c>
      <c r="FJ109" s="20">
        <v>0</v>
      </c>
      <c r="FK109" s="20">
        <v>0</v>
      </c>
      <c r="FL109" s="20">
        <v>0</v>
      </c>
      <c r="FM109" s="20">
        <v>0</v>
      </c>
      <c r="FN109" s="20">
        <v>0</v>
      </c>
      <c r="FO109" s="20">
        <v>0</v>
      </c>
      <c r="FP109" s="20">
        <v>0</v>
      </c>
      <c r="FQ109" s="20">
        <v>0</v>
      </c>
      <c r="FR109" s="20">
        <v>0</v>
      </c>
      <c r="FS109" s="20">
        <v>0</v>
      </c>
      <c r="FT109" s="20">
        <v>0</v>
      </c>
      <c r="FU109" s="20">
        <v>0</v>
      </c>
      <c r="FV109" s="20">
        <v>0</v>
      </c>
      <c r="FW109" s="20">
        <v>0</v>
      </c>
      <c r="FX109" s="20">
        <v>0</v>
      </c>
      <c r="FY109" s="20">
        <v>0</v>
      </c>
      <c r="FZ109" s="20">
        <v>0</v>
      </c>
      <c r="GA109" s="20">
        <v>0</v>
      </c>
      <c r="GB109" s="20">
        <v>0</v>
      </c>
      <c r="GC109" s="20">
        <v>0</v>
      </c>
      <c r="GD109" s="20">
        <v>0</v>
      </c>
      <c r="GE109" s="20">
        <v>0</v>
      </c>
      <c r="GF109" s="20">
        <v>0</v>
      </c>
      <c r="GG109" s="20">
        <v>0</v>
      </c>
      <c r="GH109" s="20">
        <v>0</v>
      </c>
      <c r="GI109" s="20">
        <v>0</v>
      </c>
      <c r="GJ109" s="20">
        <v>0</v>
      </c>
      <c r="GK109" s="20">
        <v>0</v>
      </c>
      <c r="GL109" s="20">
        <v>0</v>
      </c>
      <c r="GM109" s="20">
        <v>0</v>
      </c>
      <c r="GN109" s="20">
        <v>0</v>
      </c>
      <c r="GO109" s="20">
        <v>0</v>
      </c>
      <c r="GP109" s="20">
        <v>0</v>
      </c>
      <c r="GQ109" s="20">
        <v>0</v>
      </c>
      <c r="GR109" s="20">
        <v>0</v>
      </c>
      <c r="GS109" s="20">
        <v>0</v>
      </c>
      <c r="GT109" s="20">
        <v>0</v>
      </c>
      <c r="GU109" s="20">
        <v>0</v>
      </c>
      <c r="GV109" s="20"/>
      <c r="GW109" s="20"/>
      <c r="GX109" s="20"/>
      <c r="GY109" s="21" t="s">
        <v>712</v>
      </c>
      <c r="GZ109" s="21">
        <v>0</v>
      </c>
      <c r="HA109" s="21">
        <v>0</v>
      </c>
      <c r="HB109" s="21">
        <v>0</v>
      </c>
      <c r="HC109" s="21">
        <v>0</v>
      </c>
      <c r="HD109" s="21">
        <v>2</v>
      </c>
      <c r="HE109" s="21">
        <v>2</v>
      </c>
      <c r="HF109" s="21">
        <v>2</v>
      </c>
      <c r="HG109" s="21">
        <v>4</v>
      </c>
      <c r="HH109" s="21">
        <v>4</v>
      </c>
      <c r="HI109" s="21">
        <v>4</v>
      </c>
      <c r="HJ109" s="21">
        <v>6</v>
      </c>
      <c r="HK109" s="21">
        <v>6</v>
      </c>
      <c r="HL109" s="21">
        <v>6</v>
      </c>
      <c r="HM109" s="21">
        <v>8</v>
      </c>
      <c r="HN109" s="21">
        <v>8</v>
      </c>
      <c r="HO109" s="21">
        <v>8</v>
      </c>
      <c r="HP109" s="21">
        <v>8</v>
      </c>
      <c r="HQ109" s="21">
        <v>10</v>
      </c>
      <c r="HR109" s="21">
        <v>10</v>
      </c>
      <c r="HS109" s="21">
        <v>8</v>
      </c>
      <c r="HT109" s="21">
        <v>12</v>
      </c>
      <c r="HU109" s="21"/>
      <c r="HV109" s="21" t="s">
        <v>853</v>
      </c>
      <c r="HW109" s="20">
        <v>0</v>
      </c>
      <c r="HX109" s="20">
        <v>0</v>
      </c>
      <c r="HY109" s="20">
        <v>0</v>
      </c>
      <c r="HZ109" s="20">
        <v>2</v>
      </c>
      <c r="IA109" s="20">
        <v>2</v>
      </c>
      <c r="IB109" s="20">
        <v>4</v>
      </c>
      <c r="IC109" s="20">
        <v>4</v>
      </c>
      <c r="ID109" s="20">
        <v>6</v>
      </c>
      <c r="IE109" s="20">
        <v>6</v>
      </c>
      <c r="IF109" s="20">
        <v>8</v>
      </c>
      <c r="IG109" s="20">
        <v>8</v>
      </c>
      <c r="IH109" s="20">
        <v>10</v>
      </c>
      <c r="II109" s="20">
        <v>10</v>
      </c>
      <c r="IJ109" s="20">
        <v>12</v>
      </c>
      <c r="IK109" s="20">
        <v>12</v>
      </c>
      <c r="IL109" s="20">
        <v>14</v>
      </c>
      <c r="IM109" s="20">
        <v>14</v>
      </c>
      <c r="IN109" s="20">
        <v>16</v>
      </c>
      <c r="IO109" s="20">
        <v>16</v>
      </c>
      <c r="IP109" s="20">
        <v>18</v>
      </c>
      <c r="IQ109" s="20">
        <v>18</v>
      </c>
      <c r="IR109" s="21"/>
      <c r="IS109" s="21" t="s">
        <v>853</v>
      </c>
      <c r="IT109" s="21">
        <f t="shared" si="37"/>
        <v>0</v>
      </c>
      <c r="IU109" s="21">
        <f t="shared" si="36"/>
        <v>0</v>
      </c>
      <c r="IV109" s="21">
        <f t="shared" si="36"/>
        <v>0</v>
      </c>
      <c r="IW109" s="21">
        <f t="shared" si="36"/>
        <v>4</v>
      </c>
      <c r="IX109" s="21">
        <f t="shared" si="36"/>
        <v>4</v>
      </c>
      <c r="IY109" s="21">
        <f t="shared" si="36"/>
        <v>8</v>
      </c>
      <c r="IZ109" s="21">
        <f t="shared" si="36"/>
        <v>8</v>
      </c>
      <c r="JA109" s="21">
        <f t="shared" si="36"/>
        <v>12</v>
      </c>
      <c r="JB109" s="21">
        <f>IE109*2</f>
        <v>12</v>
      </c>
      <c r="JC109" s="21">
        <f t="shared" si="36"/>
        <v>16</v>
      </c>
      <c r="JD109" s="21">
        <f t="shared" si="36"/>
        <v>16</v>
      </c>
      <c r="JE109" s="21">
        <f t="shared" si="36"/>
        <v>20</v>
      </c>
      <c r="JF109" s="21">
        <f t="shared" si="36"/>
        <v>20</v>
      </c>
      <c r="JG109" s="21">
        <f t="shared" si="36"/>
        <v>24</v>
      </c>
      <c r="JH109" s="21">
        <f t="shared" si="36"/>
        <v>24</v>
      </c>
      <c r="JI109" s="21">
        <f t="shared" si="36"/>
        <v>28</v>
      </c>
      <c r="JJ109" s="21">
        <f t="shared" si="36"/>
        <v>28</v>
      </c>
      <c r="JK109" s="21">
        <f t="shared" si="36"/>
        <v>32</v>
      </c>
      <c r="JL109" s="21">
        <f t="shared" si="36"/>
        <v>32</v>
      </c>
      <c r="JM109" s="21">
        <f t="shared" si="36"/>
        <v>36</v>
      </c>
      <c r="JN109" s="21">
        <f t="shared" si="36"/>
        <v>36</v>
      </c>
      <c r="JO109" s="21"/>
      <c r="JP109" s="21"/>
      <c r="JQ109" s="26"/>
      <c r="JR109" s="21"/>
      <c r="JS109" s="21"/>
      <c r="JT109" s="21"/>
      <c r="JU109" s="21"/>
      <c r="JV109" s="21"/>
      <c r="JW109" s="21"/>
      <c r="JX109" s="21"/>
      <c r="JY109" s="21"/>
      <c r="JZ109" s="21"/>
      <c r="KA109" s="21"/>
      <c r="KB109" s="21"/>
      <c r="KC109" s="21"/>
      <c r="KD109" s="21"/>
      <c r="KE109" s="21"/>
      <c r="KF109" s="21"/>
      <c r="KG109" s="26"/>
      <c r="KH109" s="21"/>
    </row>
    <row r="110" spans="1:294" x14ac:dyDescent="0.25">
      <c r="A110" s="8"/>
      <c r="B110" s="5" t="s">
        <v>116</v>
      </c>
      <c r="C110" s="8"/>
      <c r="D110" s="6" t="s">
        <v>162</v>
      </c>
      <c r="E110" s="8">
        <v>0</v>
      </c>
      <c r="F110" s="5"/>
      <c r="G110" s="5"/>
      <c r="H110" s="5"/>
      <c r="I110" s="5"/>
      <c r="J110" s="5" t="s">
        <v>163</v>
      </c>
      <c r="K110" s="9"/>
      <c r="L110" s="6" t="str">
        <f>INDEX(($Z$201:$AA$201,$AE$201:$AF$201),1,MATCH(E107,$Z$190:$AA$190,0),MATCH(E106,$Y$106:$Y$107,0))</f>
        <v>PUFK</v>
      </c>
      <c r="M110" s="11">
        <f>INDEX(cennik!$C$2:$L$529,MATCH($L110,cennik!$B$2:$B$522,0),MATCH(M$104,cennik!$C$1:$L$1,0))</f>
        <v>890300</v>
      </c>
      <c r="N110" s="11" t="str">
        <f>INDEX(cennik!$C$2:$L$529,MATCH($L110,cennik!$B$2:$B$522,0),MATCH(N$104,cennik!$C$1:$L$1,0))</f>
        <v>szt.</v>
      </c>
      <c r="O110" s="11">
        <f>SUM(IF(A104=0,0,IF(A104&gt;0,(A104-1)*2*C104)),IF(A105=0,0,IF(A105&gt;0,(A105-1)*2*C105)),IF(A106=0,0,IF(A106&gt;0,(A106-1)*2*C106)),IF(A107=0,0,IF(A107&gt;0,(A107-1)*2*C107)),IF(A108=0,0,IF(A108&gt;0,(A108-1)*2*C108)),IF(A109=0,0,IF(A109&gt;0,(A109-1)*2*C109)),IF(A110=0,0,IF(A110&gt;0,(A110-1)*2*C110)),IF(A111=0,0,IF(A111&gt;0,(A111-1)*2*C111)),IF(A112=0,0,IF(A112&gt;0,(A112-1)*2*C112)),IF(A113=0,0,IF(A113&gt;0,(A113-1)*2*C113)),IF(A114=0,0,IF(A114&gt;0,(A114-1)*2*C114)),IF(A115=0,0,IF(A115&gt;0,(A115-1)*2*C115)),IF(A116=0,0,IF(A116&gt;0,(A116-1)*2*C116)),IF(A117=0,0,IF(A117&gt;0,(A117-1)*2*C117)),IF(A118=0,0,IF(A118&gt;0,(A118-1)*2*C118)),IF(A119=0,0,IF(A119&gt;0,(A119-1)*2*C119)))</f>
        <v>0</v>
      </c>
      <c r="P110" s="34">
        <f>INDEX(cennik!$C$2:$L$529,MATCH($L110,cennik!$B$2:$B$522,0),MATCH(P$104,cennik!$C$1:$L$1,0))</f>
        <v>7.31</v>
      </c>
      <c r="Q110" s="34">
        <f t="shared" si="34"/>
        <v>0</v>
      </c>
      <c r="R110" s="35">
        <f t="shared" si="31"/>
        <v>0</v>
      </c>
      <c r="S110" s="34">
        <f t="shared" si="32"/>
        <v>7.31</v>
      </c>
      <c r="T110" s="34">
        <f t="shared" si="35"/>
        <v>0</v>
      </c>
      <c r="U110" s="34">
        <f>INDEX(cennik!$C$2:$L$529,MATCH($L110,cennik!$B$2:$B$522,0),MATCH(U$104,cennik!$C$1:$L$1,0))*O110</f>
        <v>0</v>
      </c>
      <c r="V110" s="20"/>
      <c r="W110" s="25">
        <f t="shared" si="33"/>
        <v>0</v>
      </c>
      <c r="X110" s="20" t="s">
        <v>112</v>
      </c>
      <c r="Y110" s="20">
        <v>1700</v>
      </c>
      <c r="Z110" s="20" t="s">
        <v>304</v>
      </c>
      <c r="AA110" s="20">
        <v>1700</v>
      </c>
      <c r="AB110" s="20"/>
      <c r="AC110" s="20"/>
      <c r="AD110" s="20"/>
      <c r="AE110" s="20"/>
      <c r="AF110" s="20"/>
      <c r="AG110" s="20"/>
      <c r="AH110" s="20"/>
      <c r="AI110" s="20"/>
      <c r="AJ110" s="20"/>
      <c r="AK110" s="20"/>
      <c r="AL110" s="20" t="s">
        <v>19</v>
      </c>
      <c r="AM110" s="20">
        <v>0</v>
      </c>
      <c r="AN110" s="20">
        <v>0</v>
      </c>
      <c r="AO110" s="20">
        <v>0</v>
      </c>
      <c r="AP110" s="20">
        <v>0</v>
      </c>
      <c r="AQ110" s="20">
        <v>0</v>
      </c>
      <c r="AR110" s="20">
        <v>0</v>
      </c>
      <c r="AS110" s="20">
        <v>0</v>
      </c>
      <c r="AT110" s="20">
        <v>0</v>
      </c>
      <c r="AU110" s="20">
        <v>0</v>
      </c>
      <c r="AV110" s="20">
        <v>0</v>
      </c>
      <c r="AW110" s="20">
        <v>0</v>
      </c>
      <c r="AX110" s="20">
        <v>0</v>
      </c>
      <c r="AY110" s="20">
        <v>0</v>
      </c>
      <c r="AZ110" s="20">
        <v>0</v>
      </c>
      <c r="BA110" s="20">
        <v>0</v>
      </c>
      <c r="BB110" s="20">
        <v>8</v>
      </c>
      <c r="BC110" s="20">
        <v>10</v>
      </c>
      <c r="BD110" s="20">
        <v>8</v>
      </c>
      <c r="BE110" s="20">
        <v>10</v>
      </c>
      <c r="BF110" s="20">
        <v>10</v>
      </c>
      <c r="BG110" s="20">
        <v>8</v>
      </c>
      <c r="BH110" s="20">
        <v>8</v>
      </c>
      <c r="BI110" s="20">
        <v>8</v>
      </c>
      <c r="BJ110" s="20">
        <v>6</v>
      </c>
      <c r="BK110" s="20">
        <v>6</v>
      </c>
      <c r="BL110" s="20">
        <v>8</v>
      </c>
      <c r="BM110" s="20">
        <v>2</v>
      </c>
      <c r="BN110" s="20">
        <v>6</v>
      </c>
      <c r="BO110" s="20">
        <v>6</v>
      </c>
      <c r="BP110" s="20">
        <v>18</v>
      </c>
      <c r="BQ110" s="20">
        <v>6</v>
      </c>
      <c r="BR110" s="20">
        <v>6</v>
      </c>
      <c r="BS110" s="20">
        <v>20</v>
      </c>
      <c r="BT110" s="20">
        <v>6</v>
      </c>
      <c r="BU110" s="20">
        <v>6</v>
      </c>
      <c r="BV110" s="20">
        <v>18</v>
      </c>
      <c r="BW110" s="20">
        <v>12</v>
      </c>
      <c r="BX110" s="20">
        <v>18</v>
      </c>
      <c r="BY110" s="20">
        <v>18</v>
      </c>
      <c r="BZ110" s="20">
        <v>16</v>
      </c>
      <c r="CA110" s="20">
        <v>4</v>
      </c>
      <c r="CB110" s="20">
        <v>18</v>
      </c>
      <c r="CC110" s="20">
        <v>4</v>
      </c>
      <c r="CD110" s="20">
        <v>16</v>
      </c>
      <c r="CE110" s="20">
        <v>16</v>
      </c>
      <c r="CF110" s="20">
        <v>28</v>
      </c>
      <c r="CG110" s="20">
        <v>22</v>
      </c>
      <c r="CH110" s="20">
        <v>16</v>
      </c>
      <c r="CI110" s="20">
        <v>30</v>
      </c>
      <c r="CJ110" s="20">
        <v>2</v>
      </c>
      <c r="CK110" s="20">
        <v>28</v>
      </c>
      <c r="CL110" s="20"/>
      <c r="CM110" s="20"/>
      <c r="CN110" s="20"/>
      <c r="CO110" s="20"/>
      <c r="CP110" s="20"/>
      <c r="CQ110" s="20"/>
      <c r="CR110" s="20"/>
      <c r="CS110" s="20"/>
      <c r="CT110" s="20"/>
      <c r="CU110" s="20"/>
      <c r="CV110" s="20"/>
      <c r="CW110" s="20"/>
      <c r="CX110" s="20"/>
      <c r="CY110" s="20"/>
      <c r="CZ110" s="20"/>
      <c r="DA110" s="20"/>
      <c r="DB110" s="20"/>
      <c r="DC110" s="20"/>
      <c r="DD110" s="20"/>
      <c r="DE110" s="20"/>
      <c r="DF110" s="20"/>
      <c r="DG110" s="20"/>
      <c r="DH110" s="20"/>
      <c r="DI110" s="20"/>
      <c r="DJ110" s="20"/>
      <c r="DK110" s="20"/>
      <c r="DL110" s="20"/>
      <c r="DM110" s="20"/>
      <c r="DN110" s="20"/>
      <c r="DO110" s="20"/>
      <c r="DP110" s="20"/>
      <c r="DQ110" s="20"/>
      <c r="DR110" s="20"/>
      <c r="DS110" s="20"/>
      <c r="DT110" s="20"/>
      <c r="DU110" s="20"/>
      <c r="DV110" s="20"/>
      <c r="DW110" s="20"/>
      <c r="DX110" s="20"/>
      <c r="DY110" s="20"/>
      <c r="DZ110" s="54">
        <v>7</v>
      </c>
      <c r="EA110" s="54">
        <v>14</v>
      </c>
      <c r="EB110" s="54"/>
      <c r="EC110" s="20"/>
      <c r="ED110" s="20"/>
      <c r="EE110" s="20"/>
      <c r="EF110" s="20"/>
      <c r="EG110" s="20"/>
      <c r="EH110" s="20"/>
      <c r="EI110" s="20"/>
      <c r="EJ110" s="20"/>
      <c r="EK110" s="20"/>
      <c r="EL110" s="20"/>
      <c r="EM110" s="20"/>
      <c r="EN110" s="20"/>
      <c r="EO110" s="20"/>
      <c r="EP110" s="20"/>
      <c r="EQ110" s="20"/>
      <c r="ER110" s="20"/>
      <c r="ES110" s="20"/>
      <c r="ET110" s="20"/>
      <c r="EU110" s="20"/>
      <c r="EV110" s="20" t="s">
        <v>211</v>
      </c>
      <c r="EW110" s="20">
        <v>0</v>
      </c>
      <c r="EX110" s="20">
        <v>0</v>
      </c>
      <c r="EY110" s="20">
        <v>0</v>
      </c>
      <c r="EZ110" s="20">
        <v>0</v>
      </c>
      <c r="FA110" s="20">
        <v>0</v>
      </c>
      <c r="FB110" s="20">
        <v>0</v>
      </c>
      <c r="FC110" s="20">
        <v>0</v>
      </c>
      <c r="FD110" s="20">
        <v>0</v>
      </c>
      <c r="FE110" s="20">
        <v>0</v>
      </c>
      <c r="FF110" s="20">
        <v>2</v>
      </c>
      <c r="FG110" s="20">
        <v>0</v>
      </c>
      <c r="FH110" s="20">
        <v>0</v>
      </c>
      <c r="FI110" s="20">
        <v>0</v>
      </c>
      <c r="FJ110" s="20">
        <v>0</v>
      </c>
      <c r="FK110" s="20">
        <v>0</v>
      </c>
      <c r="FL110" s="20">
        <v>0</v>
      </c>
      <c r="FM110" s="20">
        <v>0</v>
      </c>
      <c r="FN110" s="20">
        <v>0</v>
      </c>
      <c r="FO110" s="20">
        <v>0</v>
      </c>
      <c r="FP110" s="20">
        <v>0</v>
      </c>
      <c r="FQ110" s="20">
        <v>0</v>
      </c>
      <c r="FR110" s="20">
        <v>0</v>
      </c>
      <c r="FS110" s="20">
        <v>0</v>
      </c>
      <c r="FT110" s="20">
        <v>0</v>
      </c>
      <c r="FU110" s="20">
        <v>0</v>
      </c>
      <c r="FV110" s="20">
        <v>0</v>
      </c>
      <c r="FW110" s="20">
        <v>0</v>
      </c>
      <c r="FX110" s="20">
        <v>0</v>
      </c>
      <c r="FY110" s="20">
        <v>0</v>
      </c>
      <c r="FZ110" s="20">
        <v>0</v>
      </c>
      <c r="GA110" s="20">
        <v>0</v>
      </c>
      <c r="GB110" s="20">
        <v>0</v>
      </c>
      <c r="GC110" s="20">
        <v>0</v>
      </c>
      <c r="GD110" s="20">
        <v>0</v>
      </c>
      <c r="GE110" s="20">
        <v>0</v>
      </c>
      <c r="GF110" s="20">
        <v>0</v>
      </c>
      <c r="GG110" s="20">
        <v>0</v>
      </c>
      <c r="GH110" s="20">
        <v>0</v>
      </c>
      <c r="GI110" s="20">
        <v>0</v>
      </c>
      <c r="GJ110" s="20">
        <v>0</v>
      </c>
      <c r="GK110" s="20">
        <v>0</v>
      </c>
      <c r="GL110" s="20">
        <v>0</v>
      </c>
      <c r="GM110" s="20">
        <v>0</v>
      </c>
      <c r="GN110" s="20">
        <v>0</v>
      </c>
      <c r="GO110" s="20">
        <v>0</v>
      </c>
      <c r="GP110" s="20">
        <v>0</v>
      </c>
      <c r="GQ110" s="20">
        <v>0</v>
      </c>
      <c r="GR110" s="20">
        <v>0</v>
      </c>
      <c r="GS110" s="20">
        <v>0</v>
      </c>
      <c r="GT110" s="20">
        <v>0</v>
      </c>
      <c r="GU110" s="20">
        <v>0</v>
      </c>
      <c r="GV110" s="20"/>
      <c r="GW110" s="20"/>
      <c r="GX110" s="20"/>
      <c r="GY110" s="21"/>
      <c r="GZ110" s="21"/>
      <c r="HA110" s="21"/>
      <c r="HB110" s="21"/>
      <c r="HC110" s="21"/>
      <c r="HD110" s="21"/>
      <c r="HE110" s="21"/>
      <c r="HF110" s="21"/>
      <c r="HG110" s="21"/>
      <c r="HH110" s="21"/>
      <c r="HI110" s="21"/>
      <c r="HJ110" s="21"/>
      <c r="HK110" s="21"/>
      <c r="HL110" s="21"/>
      <c r="HM110" s="21"/>
      <c r="HN110" s="21"/>
      <c r="HO110" s="21"/>
      <c r="HP110" s="21"/>
      <c r="HQ110" s="21"/>
      <c r="HR110" s="21"/>
      <c r="HS110" s="21"/>
      <c r="HT110" s="21"/>
      <c r="HU110" s="21"/>
      <c r="HV110" s="186"/>
      <c r="HW110" s="20"/>
      <c r="HX110" s="20"/>
      <c r="HY110" s="20"/>
      <c r="HZ110" s="20"/>
      <c r="IA110" s="20"/>
      <c r="IB110" s="20"/>
      <c r="IC110" s="20"/>
      <c r="ID110" s="20"/>
      <c r="IE110" s="20"/>
      <c r="IF110" s="20"/>
      <c r="IG110" s="20"/>
      <c r="IH110" s="20"/>
      <c r="II110" s="20"/>
      <c r="IJ110" s="20"/>
      <c r="IK110" s="20"/>
      <c r="IL110" s="20"/>
      <c r="IM110" s="20"/>
      <c r="IN110" s="20"/>
      <c r="IO110" s="20"/>
      <c r="IP110" s="20"/>
      <c r="IQ110" s="20"/>
      <c r="IR110" s="21"/>
      <c r="IS110" s="21"/>
      <c r="IT110" s="21"/>
      <c r="IU110" s="21"/>
      <c r="IV110" s="21"/>
      <c r="IW110" s="21"/>
      <c r="IX110" s="21"/>
      <c r="IY110" s="21"/>
      <c r="IZ110" s="21"/>
      <c r="JA110" s="21"/>
      <c r="JB110" s="21"/>
      <c r="JC110" s="21"/>
      <c r="JD110" s="21"/>
      <c r="JE110" s="21"/>
      <c r="JF110" s="21"/>
      <c r="JG110" s="21"/>
      <c r="JH110" s="21"/>
      <c r="JI110" s="21"/>
      <c r="JJ110" s="21"/>
      <c r="JK110" s="21"/>
      <c r="JL110" s="21"/>
      <c r="JM110" s="21"/>
      <c r="JN110" s="21"/>
      <c r="JO110" s="21"/>
      <c r="JP110" s="21"/>
      <c r="JQ110" s="26"/>
      <c r="JR110" s="21"/>
      <c r="JS110" s="21"/>
      <c r="JT110" s="21"/>
      <c r="JU110" s="21"/>
      <c r="JV110" s="21"/>
      <c r="JW110" s="21"/>
      <c r="JX110" s="21"/>
      <c r="JY110" s="21"/>
      <c r="JZ110" s="21"/>
      <c r="KA110" s="21"/>
      <c r="KB110" s="21"/>
      <c r="KC110" s="21"/>
      <c r="KD110" s="21"/>
      <c r="KE110" s="21"/>
      <c r="KF110" s="21"/>
      <c r="KG110" s="26"/>
      <c r="KH110" s="21"/>
    </row>
    <row r="111" spans="1:294" x14ac:dyDescent="0.25">
      <c r="A111" s="8"/>
      <c r="B111" s="5" t="s">
        <v>116</v>
      </c>
      <c r="C111" s="8"/>
      <c r="D111" s="6" t="s">
        <v>510</v>
      </c>
      <c r="E111" s="8">
        <v>0</v>
      </c>
      <c r="F111" s="6"/>
      <c r="G111" s="6"/>
      <c r="H111" s="6"/>
      <c r="I111" s="6"/>
      <c r="J111" s="5" t="s">
        <v>412</v>
      </c>
      <c r="K111" s="9"/>
      <c r="L111" s="6" t="str">
        <f>INDEX(($AB$191:$AB$200,$AG$191:$AG$200),MATCH(I105,$Y$191:$Y$200,0),1,MATCH(E106,$Y$106:$Y$107,0))</f>
        <v>SAM8X25E</v>
      </c>
      <c r="M111" s="11">
        <f>INDEX(cennik!$C$2:$L$529,MATCH($L111,cennik!$B$2:$B$522,0),MATCH(M$104,cennik!$C$1:$L$1,0))</f>
        <v>898525</v>
      </c>
      <c r="N111" s="11" t="str">
        <f>INDEX(cennik!$C$2:$L$529,MATCH($L111,cennik!$B$2:$B$522,0),MATCH(N$104,cennik!$C$1:$L$1,0))</f>
        <v>szt.</v>
      </c>
      <c r="O111" s="11">
        <f>IF(AE133="suma",SUM(O109:O110),IF(AE133="tylko buf",O109,IF(AE133=0,0,0)))</f>
        <v>0</v>
      </c>
      <c r="P111" s="34">
        <f>INDEX(cennik!$C$2:$L$529,MATCH($L111,cennik!$B$2:$B$522,0),MATCH(P$104,cennik!$C$1:$L$1,0))</f>
        <v>0.45</v>
      </c>
      <c r="Q111" s="34">
        <f t="shared" si="34"/>
        <v>0</v>
      </c>
      <c r="R111" s="35">
        <f t="shared" si="31"/>
        <v>0</v>
      </c>
      <c r="S111" s="34">
        <f t="shared" si="32"/>
        <v>0.45</v>
      </c>
      <c r="T111" s="34">
        <f t="shared" si="35"/>
        <v>0</v>
      </c>
      <c r="U111" s="34">
        <f>INDEX(cennik!$C$2:$L$529,MATCH($L111,cennik!$B$2:$B$522,0),MATCH(U$104,cennik!$C$1:$L$1,0))*O111</f>
        <v>0</v>
      </c>
      <c r="V111" s="20"/>
      <c r="W111" s="25">
        <f t="shared" si="33"/>
        <v>0</v>
      </c>
      <c r="X111" s="20" t="s">
        <v>132</v>
      </c>
      <c r="Y111" s="20">
        <v>1750</v>
      </c>
      <c r="Z111" s="20" t="s">
        <v>481</v>
      </c>
      <c r="AA111" s="20">
        <v>1721</v>
      </c>
      <c r="AB111" s="20"/>
      <c r="AC111" s="20"/>
      <c r="AD111" s="20"/>
      <c r="AE111" s="20"/>
      <c r="AF111" s="20"/>
      <c r="AG111" s="20"/>
      <c r="AH111" s="20"/>
      <c r="AI111" s="20"/>
      <c r="AJ111" s="20"/>
      <c r="AK111" s="20"/>
      <c r="AL111" s="20" t="s">
        <v>408</v>
      </c>
      <c r="AM111" s="20">
        <v>0</v>
      </c>
      <c r="AN111" s="20">
        <f>((((SUM(AN106:AN110))/2)-1))*4</f>
        <v>0</v>
      </c>
      <c r="AO111" s="20">
        <f t="shared" ref="AO111:CK111" si="38">((((SUM(AO106:AO110))/2)-1))*4</f>
        <v>0</v>
      </c>
      <c r="AP111" s="20">
        <f t="shared" si="38"/>
        <v>0</v>
      </c>
      <c r="AQ111" s="20">
        <f t="shared" si="38"/>
        <v>4</v>
      </c>
      <c r="AR111" s="20">
        <f t="shared" si="38"/>
        <v>4</v>
      </c>
      <c r="AS111" s="20">
        <f t="shared" si="38"/>
        <v>4</v>
      </c>
      <c r="AT111" s="20">
        <f t="shared" si="38"/>
        <v>8</v>
      </c>
      <c r="AU111" s="20">
        <f t="shared" si="38"/>
        <v>8</v>
      </c>
      <c r="AV111" s="20">
        <f t="shared" si="38"/>
        <v>8</v>
      </c>
      <c r="AW111" s="20">
        <f t="shared" si="38"/>
        <v>12</v>
      </c>
      <c r="AX111" s="20">
        <f t="shared" si="38"/>
        <v>12</v>
      </c>
      <c r="AY111" s="20">
        <f t="shared" si="38"/>
        <v>12</v>
      </c>
      <c r="AZ111" s="20">
        <f t="shared" si="38"/>
        <v>16</v>
      </c>
      <c r="BA111" s="20">
        <f t="shared" si="38"/>
        <v>16</v>
      </c>
      <c r="BB111" s="20">
        <f t="shared" si="38"/>
        <v>16</v>
      </c>
      <c r="BC111" s="20">
        <f t="shared" si="38"/>
        <v>16</v>
      </c>
      <c r="BD111" s="20">
        <f t="shared" si="38"/>
        <v>20</v>
      </c>
      <c r="BE111" s="20">
        <f t="shared" si="38"/>
        <v>20</v>
      </c>
      <c r="BF111" s="20">
        <f t="shared" si="38"/>
        <v>20</v>
      </c>
      <c r="BG111" s="20">
        <f t="shared" si="38"/>
        <v>24</v>
      </c>
      <c r="BH111" s="20">
        <f t="shared" si="38"/>
        <v>24</v>
      </c>
      <c r="BI111" s="20">
        <f t="shared" si="38"/>
        <v>24</v>
      </c>
      <c r="BJ111" s="20">
        <f t="shared" si="38"/>
        <v>28</v>
      </c>
      <c r="BK111" s="20">
        <f t="shared" si="38"/>
        <v>28</v>
      </c>
      <c r="BL111" s="20">
        <f t="shared" si="38"/>
        <v>28</v>
      </c>
      <c r="BM111" s="20">
        <f t="shared" si="38"/>
        <v>32</v>
      </c>
      <c r="BN111" s="20">
        <f t="shared" si="38"/>
        <v>32</v>
      </c>
      <c r="BO111" s="20">
        <f t="shared" si="38"/>
        <v>32</v>
      </c>
      <c r="BP111" s="20">
        <f t="shared" si="38"/>
        <v>32</v>
      </c>
      <c r="BQ111" s="20">
        <f t="shared" si="38"/>
        <v>36</v>
      </c>
      <c r="BR111" s="20">
        <f t="shared" si="38"/>
        <v>36</v>
      </c>
      <c r="BS111" s="20">
        <f t="shared" si="38"/>
        <v>36</v>
      </c>
      <c r="BT111" s="20">
        <f t="shared" si="38"/>
        <v>40</v>
      </c>
      <c r="BU111" s="20">
        <f t="shared" si="38"/>
        <v>40</v>
      </c>
      <c r="BV111" s="20">
        <f t="shared" si="38"/>
        <v>40</v>
      </c>
      <c r="BW111" s="20">
        <f t="shared" si="38"/>
        <v>44</v>
      </c>
      <c r="BX111" s="20">
        <f t="shared" si="38"/>
        <v>44</v>
      </c>
      <c r="BY111" s="20">
        <f t="shared" si="38"/>
        <v>44</v>
      </c>
      <c r="BZ111" s="20">
        <f t="shared" si="38"/>
        <v>48</v>
      </c>
      <c r="CA111" s="20">
        <f t="shared" si="38"/>
        <v>48</v>
      </c>
      <c r="CB111" s="20">
        <f t="shared" si="38"/>
        <v>48</v>
      </c>
      <c r="CC111" s="20">
        <f t="shared" si="38"/>
        <v>52</v>
      </c>
      <c r="CD111" s="20">
        <f t="shared" si="38"/>
        <v>52</v>
      </c>
      <c r="CE111" s="20">
        <f t="shared" si="38"/>
        <v>52</v>
      </c>
      <c r="CF111" s="20">
        <f t="shared" si="38"/>
        <v>52</v>
      </c>
      <c r="CG111" s="20">
        <f t="shared" si="38"/>
        <v>56</v>
      </c>
      <c r="CH111" s="20">
        <f t="shared" si="38"/>
        <v>56</v>
      </c>
      <c r="CI111" s="20">
        <f t="shared" si="38"/>
        <v>56</v>
      </c>
      <c r="CJ111" s="20">
        <f t="shared" si="38"/>
        <v>60</v>
      </c>
      <c r="CK111" s="20">
        <f t="shared" si="38"/>
        <v>60</v>
      </c>
      <c r="CL111" s="20"/>
      <c r="CM111" s="20"/>
      <c r="CN111" s="20"/>
      <c r="CO111" s="20"/>
      <c r="CP111" s="20"/>
      <c r="CQ111" s="20"/>
      <c r="CR111" s="20"/>
      <c r="CS111" s="20"/>
      <c r="CT111" s="20"/>
      <c r="CU111" s="20"/>
      <c r="CV111" s="20"/>
      <c r="CW111" s="20"/>
      <c r="CX111" s="20"/>
      <c r="CY111" s="20"/>
      <c r="CZ111" s="20"/>
      <c r="DA111" s="20"/>
      <c r="DB111" s="20"/>
      <c r="DC111" s="20"/>
      <c r="DD111" s="20"/>
      <c r="DE111" s="20"/>
      <c r="DF111" s="20"/>
      <c r="DG111" s="20"/>
      <c r="DH111" s="20"/>
      <c r="DI111" s="20"/>
      <c r="DJ111" s="20"/>
      <c r="DK111" s="20"/>
      <c r="DL111" s="20"/>
      <c r="DM111" s="20"/>
      <c r="DN111" s="20"/>
      <c r="DO111" s="20"/>
      <c r="DP111" s="20"/>
      <c r="DQ111" s="20"/>
      <c r="DR111" s="20"/>
      <c r="DS111" s="20"/>
      <c r="DT111" s="20"/>
      <c r="DU111" s="20"/>
      <c r="DV111" s="20"/>
      <c r="DW111" s="20"/>
      <c r="DX111" s="20"/>
      <c r="DY111" s="20"/>
      <c r="DZ111" s="54">
        <v>8</v>
      </c>
      <c r="EA111" s="54">
        <v>16</v>
      </c>
      <c r="EB111" s="54"/>
      <c r="EC111" s="20"/>
      <c r="ED111" s="20"/>
      <c r="EE111" s="20"/>
      <c r="EF111" s="20"/>
      <c r="EG111" s="20"/>
      <c r="EH111" s="20"/>
      <c r="EI111" s="20"/>
      <c r="EJ111" s="20"/>
      <c r="EK111" s="20"/>
      <c r="EL111" s="20"/>
      <c r="EM111" s="20"/>
      <c r="EN111" s="20"/>
      <c r="EO111" s="20"/>
      <c r="EP111" s="20"/>
      <c r="EQ111" s="20"/>
      <c r="ER111" s="20"/>
      <c r="ES111" s="20"/>
      <c r="ET111" s="20"/>
      <c r="EU111" s="20"/>
      <c r="EV111" s="20" t="s">
        <v>293</v>
      </c>
      <c r="EW111" s="20">
        <v>0</v>
      </c>
      <c r="EX111" s="20">
        <v>0</v>
      </c>
      <c r="EY111" s="20">
        <v>2</v>
      </c>
      <c r="EZ111" s="20">
        <v>0</v>
      </c>
      <c r="FA111" s="20">
        <v>0</v>
      </c>
      <c r="FB111" s="20">
        <v>0</v>
      </c>
      <c r="FC111" s="20">
        <v>0</v>
      </c>
      <c r="FD111" s="20">
        <v>0</v>
      </c>
      <c r="FE111" s="20">
        <v>0</v>
      </c>
      <c r="FF111" s="20">
        <v>0</v>
      </c>
      <c r="FG111" s="20">
        <v>0</v>
      </c>
      <c r="FH111" s="20">
        <v>0</v>
      </c>
      <c r="FI111" s="20">
        <v>0</v>
      </c>
      <c r="FJ111" s="20">
        <v>0</v>
      </c>
      <c r="FK111" s="20">
        <v>0</v>
      </c>
      <c r="FL111" s="20">
        <v>0</v>
      </c>
      <c r="FM111" s="20">
        <v>0</v>
      </c>
      <c r="FN111" s="20">
        <v>0</v>
      </c>
      <c r="FO111" s="20">
        <v>0</v>
      </c>
      <c r="FP111" s="20">
        <v>0</v>
      </c>
      <c r="FQ111" s="20">
        <v>0</v>
      </c>
      <c r="FR111" s="20">
        <v>0</v>
      </c>
      <c r="FS111" s="20">
        <v>0</v>
      </c>
      <c r="FT111" s="20">
        <v>0</v>
      </c>
      <c r="FU111" s="20">
        <v>0</v>
      </c>
      <c r="FV111" s="20">
        <v>0</v>
      </c>
      <c r="FW111" s="20">
        <v>0</v>
      </c>
      <c r="FX111" s="20">
        <v>0</v>
      </c>
      <c r="FY111" s="20">
        <v>0</v>
      </c>
      <c r="FZ111" s="20">
        <v>0</v>
      </c>
      <c r="GA111" s="20">
        <v>0</v>
      </c>
      <c r="GB111" s="20">
        <v>0</v>
      </c>
      <c r="GC111" s="20">
        <v>0</v>
      </c>
      <c r="GD111" s="20">
        <v>0</v>
      </c>
      <c r="GE111" s="20">
        <v>0</v>
      </c>
      <c r="GF111" s="20">
        <v>0</v>
      </c>
      <c r="GG111" s="20">
        <v>0</v>
      </c>
      <c r="GH111" s="20">
        <v>2</v>
      </c>
      <c r="GI111" s="20">
        <v>0</v>
      </c>
      <c r="GJ111" s="20">
        <v>0</v>
      </c>
      <c r="GK111" s="20">
        <v>0</v>
      </c>
      <c r="GL111" s="20">
        <v>0</v>
      </c>
      <c r="GM111" s="20">
        <v>2</v>
      </c>
      <c r="GN111" s="20">
        <v>0</v>
      </c>
      <c r="GO111" s="20">
        <v>0</v>
      </c>
      <c r="GP111" s="20">
        <v>0</v>
      </c>
      <c r="GQ111" s="20">
        <v>0</v>
      </c>
      <c r="GR111" s="20">
        <v>0</v>
      </c>
      <c r="GS111" s="20">
        <v>0</v>
      </c>
      <c r="GT111" s="20">
        <v>0</v>
      </c>
      <c r="GU111" s="20">
        <v>0</v>
      </c>
      <c r="GV111" s="20"/>
      <c r="GW111" s="20"/>
      <c r="GX111" s="20"/>
      <c r="GY111" s="21" t="s">
        <v>115</v>
      </c>
      <c r="GZ111" s="21"/>
      <c r="HA111" s="21"/>
      <c r="HB111" s="21"/>
      <c r="HC111" s="21"/>
      <c r="HD111" s="21"/>
      <c r="HE111" s="21"/>
      <c r="HF111" s="21"/>
      <c r="HG111" s="21"/>
      <c r="HH111" s="21"/>
      <c r="HI111" s="21"/>
      <c r="HJ111" s="21"/>
      <c r="HK111" s="21"/>
      <c r="HL111" s="21"/>
      <c r="HM111" s="21"/>
      <c r="HN111" s="21"/>
      <c r="HO111" s="21"/>
      <c r="HP111" s="21"/>
      <c r="HQ111" s="21"/>
      <c r="HR111" s="21"/>
      <c r="HS111" s="21"/>
      <c r="HT111" s="21"/>
      <c r="HU111" s="346"/>
      <c r="HV111" s="186" t="s">
        <v>112</v>
      </c>
      <c r="HW111" s="20"/>
      <c r="HX111" s="20"/>
      <c r="HY111" s="20"/>
      <c r="HZ111" s="20"/>
      <c r="IA111" s="20"/>
      <c r="IB111" s="20"/>
      <c r="IC111" s="20"/>
      <c r="ID111" s="20"/>
      <c r="IE111" s="20"/>
      <c r="IF111" s="20"/>
      <c r="IG111" s="20"/>
      <c r="IH111" s="20"/>
      <c r="II111" s="20"/>
      <c r="IJ111" s="20"/>
      <c r="IK111" s="20"/>
      <c r="IL111" s="20"/>
      <c r="IM111" s="20"/>
      <c r="IN111" s="20"/>
      <c r="IO111" s="20"/>
      <c r="IP111" s="20"/>
      <c r="IQ111" s="20"/>
      <c r="IR111" s="21"/>
      <c r="IS111" s="21" t="s">
        <v>112</v>
      </c>
      <c r="IT111" s="21"/>
      <c r="IU111" s="21"/>
      <c r="IV111" s="21"/>
      <c r="IW111" s="21"/>
      <c r="IX111" s="21"/>
      <c r="IY111" s="21"/>
      <c r="IZ111" s="21"/>
      <c r="JA111" s="21"/>
      <c r="JB111" s="21"/>
      <c r="JC111" s="21"/>
      <c r="JD111" s="21"/>
      <c r="JE111" s="21"/>
      <c r="JF111" s="21"/>
      <c r="JG111" s="21"/>
      <c r="JH111" s="21"/>
      <c r="JI111" s="21"/>
      <c r="JJ111" s="21"/>
      <c r="JK111" s="21"/>
      <c r="JL111" s="21"/>
      <c r="JM111" s="21"/>
      <c r="JN111" s="21"/>
      <c r="JO111" s="21"/>
      <c r="JP111" s="21"/>
      <c r="JQ111" s="21"/>
      <c r="JR111" s="21"/>
      <c r="JS111" s="21"/>
      <c r="JT111" s="21"/>
      <c r="JU111" s="21"/>
      <c r="JV111" s="21"/>
      <c r="JW111" s="21"/>
      <c r="JX111" s="21"/>
      <c r="JY111" s="21"/>
      <c r="JZ111" s="21"/>
      <c r="KA111" s="21"/>
      <c r="KB111" s="21"/>
      <c r="KC111" s="21"/>
      <c r="KD111" s="21"/>
      <c r="KE111" s="21"/>
      <c r="KF111" s="21"/>
      <c r="KG111" s="26"/>
      <c r="KH111" s="21"/>
    </row>
    <row r="112" spans="1:294" x14ac:dyDescent="0.25">
      <c r="A112" s="8"/>
      <c r="B112" s="5" t="s">
        <v>116</v>
      </c>
      <c r="C112" s="8"/>
      <c r="D112" s="6" t="s">
        <v>511</v>
      </c>
      <c r="E112" s="9"/>
      <c r="F112" s="9"/>
      <c r="G112" s="9"/>
      <c r="H112" s="9"/>
      <c r="I112" s="9"/>
      <c r="J112" s="9"/>
      <c r="K112" s="9"/>
      <c r="L112" s="6" t="str">
        <f>INDEX(($AC$191:$AC$200,$AH$191:$AH$200),MATCH(I105,$Y$191:$Y$200,0),1,MATCH(E106,$Y$106:$Y$107,0))</f>
        <v>NKZM8E A2</v>
      </c>
      <c r="M112" s="11">
        <f>INDEX(cennik!$C$2:$L$529,MATCH($L112,cennik!$B$2:$B$522,0),MATCH(M$104,cennik!$C$1:$L$1,0))</f>
        <v>890008</v>
      </c>
      <c r="N112" s="11" t="str">
        <f>INDEX(cennik!$C$2:$L$529,MATCH($L112,cennik!$B$2:$B$522,0),MATCH(N$104,cennik!$C$1:$L$1,0))</f>
        <v>100 szt.</v>
      </c>
      <c r="O112" s="11">
        <f>ROUNDUP(((O111)+IF(L115="SMA40/033",O115,0))/100,0)</f>
        <v>0</v>
      </c>
      <c r="P112" s="34">
        <f>INDEX(cennik!$C$2:$L$529,MATCH($L112,cennik!$B$2:$B$522,0),MATCH(P$104,cennik!$C$1:$L$1,0))</f>
        <v>28.15</v>
      </c>
      <c r="Q112" s="34">
        <f t="shared" si="34"/>
        <v>0</v>
      </c>
      <c r="R112" s="35">
        <f t="shared" si="31"/>
        <v>0</v>
      </c>
      <c r="S112" s="34">
        <f t="shared" si="32"/>
        <v>28.15</v>
      </c>
      <c r="T112" s="34">
        <f t="shared" si="35"/>
        <v>0</v>
      </c>
      <c r="U112" s="34">
        <f>INDEX(cennik!$C$2:$L$529,MATCH($L112,cennik!$B$2:$B$522,0),MATCH(U$104,cennik!$C$1:$L$1,0))*O112</f>
        <v>0</v>
      </c>
      <c r="V112" s="20"/>
      <c r="W112" s="25">
        <f t="shared" si="33"/>
        <v>0</v>
      </c>
      <c r="X112" s="20" t="s">
        <v>470</v>
      </c>
      <c r="Y112" s="20">
        <v>1800</v>
      </c>
      <c r="Z112" s="20" t="s">
        <v>450</v>
      </c>
      <c r="AA112" s="20">
        <v>1758</v>
      </c>
      <c r="AB112" s="20"/>
      <c r="AC112" s="20"/>
      <c r="AD112" s="20"/>
      <c r="AE112" s="20"/>
      <c r="AF112" s="20"/>
      <c r="AG112" s="20"/>
      <c r="AH112" s="20"/>
      <c r="AI112" s="20"/>
      <c r="AJ112" s="20"/>
      <c r="AK112" s="20"/>
      <c r="AL112" s="20"/>
      <c r="AM112" s="20"/>
      <c r="AN112" s="20"/>
      <c r="AO112" s="20"/>
      <c r="AP112" s="20"/>
      <c r="AQ112" s="20"/>
      <c r="AR112" s="20"/>
      <c r="AS112" s="20"/>
      <c r="AT112" s="20"/>
      <c r="AU112" s="20"/>
      <c r="AV112" s="20"/>
      <c r="AW112" s="20"/>
      <c r="AX112" s="20"/>
      <c r="AY112" s="20"/>
      <c r="AZ112" s="20"/>
      <c r="BA112" s="20"/>
      <c r="BB112" s="20"/>
      <c r="BC112" s="20"/>
      <c r="BD112" s="20"/>
      <c r="BE112" s="20"/>
      <c r="BF112" s="20"/>
      <c r="BG112" s="20"/>
      <c r="BH112" s="20"/>
      <c r="BI112" s="20"/>
      <c r="BJ112" s="20"/>
      <c r="BK112" s="20"/>
      <c r="BL112" s="20"/>
      <c r="BM112" s="20"/>
      <c r="BN112" s="20"/>
      <c r="BO112" s="20"/>
      <c r="BP112" s="20"/>
      <c r="BQ112" s="20"/>
      <c r="BR112" s="20"/>
      <c r="BS112" s="20"/>
      <c r="BT112" s="20"/>
      <c r="BU112" s="20"/>
      <c r="BV112" s="20"/>
      <c r="BW112" s="20"/>
      <c r="BX112" s="20"/>
      <c r="BY112" s="20"/>
      <c r="BZ112" s="20"/>
      <c r="CA112" s="20"/>
      <c r="CB112" s="20"/>
      <c r="CC112" s="20"/>
      <c r="CD112" s="20"/>
      <c r="CE112" s="20"/>
      <c r="CF112" s="20"/>
      <c r="CG112" s="20"/>
      <c r="CH112" s="20"/>
      <c r="CI112" s="20"/>
      <c r="CJ112" s="20"/>
      <c r="CK112" s="20"/>
      <c r="CL112" s="20"/>
      <c r="CM112" s="20"/>
      <c r="CN112" s="20"/>
      <c r="CO112" s="20"/>
      <c r="CP112" s="20"/>
      <c r="CQ112" s="20"/>
      <c r="CR112" s="20"/>
      <c r="CS112" s="20"/>
      <c r="CT112" s="20"/>
      <c r="CU112" s="20"/>
      <c r="CV112" s="20"/>
      <c r="CW112" s="20"/>
      <c r="CX112" s="20"/>
      <c r="CY112" s="20"/>
      <c r="CZ112" s="20"/>
      <c r="DA112" s="20"/>
      <c r="DB112" s="20"/>
      <c r="DC112" s="20"/>
      <c r="DD112" s="20"/>
      <c r="DE112" s="20"/>
      <c r="DF112" s="20"/>
      <c r="DG112" s="20"/>
      <c r="DH112" s="20"/>
      <c r="DI112" s="20"/>
      <c r="DJ112" s="20"/>
      <c r="DK112" s="20"/>
      <c r="DL112" s="20"/>
      <c r="DM112" s="20"/>
      <c r="DN112" s="20"/>
      <c r="DO112" s="20"/>
      <c r="DP112" s="20"/>
      <c r="DQ112" s="20"/>
      <c r="DR112" s="20"/>
      <c r="DS112" s="20"/>
      <c r="DT112" s="20"/>
      <c r="DU112" s="20"/>
      <c r="DV112" s="20"/>
      <c r="DW112" s="20"/>
      <c r="DX112" s="20"/>
      <c r="DY112" s="20"/>
      <c r="DZ112" s="54">
        <v>9</v>
      </c>
      <c r="EA112" s="54">
        <v>18</v>
      </c>
      <c r="EB112" s="54"/>
      <c r="EC112" s="20"/>
      <c r="ED112" s="20"/>
      <c r="EE112" s="20"/>
      <c r="EF112" s="20"/>
      <c r="EG112" s="20"/>
      <c r="EH112" s="20"/>
      <c r="EI112" s="20"/>
      <c r="EJ112" s="20"/>
      <c r="EK112" s="20"/>
      <c r="EL112" s="20"/>
      <c r="EM112" s="20"/>
      <c r="EN112" s="20"/>
      <c r="EO112" s="20"/>
      <c r="EP112" s="20"/>
      <c r="EQ112" s="20"/>
      <c r="ER112" s="20"/>
      <c r="ES112" s="20"/>
      <c r="ET112" s="20"/>
      <c r="EU112" s="20"/>
      <c r="EV112" s="20" t="s">
        <v>10</v>
      </c>
      <c r="EW112" s="20">
        <v>0</v>
      </c>
      <c r="EX112" s="20">
        <v>0</v>
      </c>
      <c r="EY112" s="20">
        <v>0</v>
      </c>
      <c r="EZ112" s="20">
        <v>0</v>
      </c>
      <c r="FA112" s="20">
        <v>2</v>
      </c>
      <c r="FB112" s="20">
        <v>0</v>
      </c>
      <c r="FC112" s="20">
        <v>2</v>
      </c>
      <c r="FD112" s="20">
        <v>0</v>
      </c>
      <c r="FE112" s="20">
        <v>0</v>
      </c>
      <c r="FF112" s="20">
        <v>0</v>
      </c>
      <c r="FG112" s="20">
        <v>2</v>
      </c>
      <c r="FH112" s="20">
        <v>2</v>
      </c>
      <c r="FI112" s="20">
        <v>0</v>
      </c>
      <c r="FJ112" s="20">
        <v>4</v>
      </c>
      <c r="FK112" s="20">
        <v>0</v>
      </c>
      <c r="FL112" s="20">
        <v>8</v>
      </c>
      <c r="FM112" s="20">
        <v>4</v>
      </c>
      <c r="FN112" s="20">
        <v>2</v>
      </c>
      <c r="FO112" s="20">
        <v>0</v>
      </c>
      <c r="FP112" s="20">
        <v>6</v>
      </c>
      <c r="FQ112" s="20">
        <v>4</v>
      </c>
      <c r="FR112" s="20">
        <v>0</v>
      </c>
      <c r="FS112" s="20">
        <v>8</v>
      </c>
      <c r="FT112" s="20">
        <v>4</v>
      </c>
      <c r="FU112" s="20">
        <v>0</v>
      </c>
      <c r="FV112" s="20">
        <v>0</v>
      </c>
      <c r="FW112" s="20">
        <v>8</v>
      </c>
      <c r="FX112" s="20">
        <v>4</v>
      </c>
      <c r="FY112" s="20">
        <v>2</v>
      </c>
      <c r="FZ112" s="20">
        <v>8</v>
      </c>
      <c r="GA112" s="20">
        <v>4</v>
      </c>
      <c r="GB112" s="20">
        <v>2</v>
      </c>
      <c r="GC112" s="20">
        <v>0</v>
      </c>
      <c r="GD112" s="20">
        <v>4</v>
      </c>
      <c r="GE112" s="20">
        <v>4</v>
      </c>
      <c r="GF112" s="20">
        <v>2</v>
      </c>
      <c r="GG112" s="20">
        <v>0</v>
      </c>
      <c r="GH112" s="20">
        <v>4</v>
      </c>
      <c r="GI112" s="20">
        <v>2</v>
      </c>
      <c r="GJ112" s="20">
        <v>0</v>
      </c>
      <c r="GK112" s="20">
        <v>8</v>
      </c>
      <c r="GL112" s="20">
        <v>6</v>
      </c>
      <c r="GM112" s="20">
        <v>0</v>
      </c>
      <c r="GN112" s="20">
        <v>0</v>
      </c>
      <c r="GO112" s="20">
        <v>8</v>
      </c>
      <c r="GP112" s="20">
        <v>2</v>
      </c>
      <c r="GQ112" s="20">
        <v>2</v>
      </c>
      <c r="GR112" s="20">
        <v>0</v>
      </c>
      <c r="GS112" s="20">
        <v>6</v>
      </c>
      <c r="GT112" s="20">
        <v>2</v>
      </c>
      <c r="GU112" s="20">
        <v>0</v>
      </c>
      <c r="GV112" s="20"/>
      <c r="GW112" s="20"/>
      <c r="GX112" s="20"/>
      <c r="GY112" s="21"/>
      <c r="GZ112" s="21">
        <v>0</v>
      </c>
      <c r="HA112" s="21">
        <v>1</v>
      </c>
      <c r="HB112" s="21">
        <v>2</v>
      </c>
      <c r="HC112" s="21">
        <v>3</v>
      </c>
      <c r="HD112" s="21">
        <v>4</v>
      </c>
      <c r="HE112" s="21">
        <v>5</v>
      </c>
      <c r="HF112" s="21">
        <v>6</v>
      </c>
      <c r="HG112" s="21">
        <v>7</v>
      </c>
      <c r="HH112" s="21">
        <v>8</v>
      </c>
      <c r="HI112" s="21">
        <v>9</v>
      </c>
      <c r="HJ112" s="21">
        <v>10</v>
      </c>
      <c r="HK112" s="21">
        <v>11</v>
      </c>
      <c r="HL112" s="21">
        <v>12</v>
      </c>
      <c r="HM112" s="21">
        <v>13</v>
      </c>
      <c r="HN112" s="21">
        <v>14</v>
      </c>
      <c r="HO112" s="21">
        <v>15</v>
      </c>
      <c r="HP112" s="21">
        <v>16</v>
      </c>
      <c r="HQ112" s="21">
        <v>17</v>
      </c>
      <c r="HR112" s="21">
        <v>18</v>
      </c>
      <c r="HS112" s="21">
        <v>19</v>
      </c>
      <c r="HT112" s="21">
        <v>20</v>
      </c>
      <c r="HU112" s="21"/>
      <c r="HV112" s="186"/>
      <c r="HW112" s="20">
        <v>0</v>
      </c>
      <c r="HX112" s="20">
        <v>1</v>
      </c>
      <c r="HY112" s="20">
        <v>2</v>
      </c>
      <c r="HZ112" s="20">
        <v>3</v>
      </c>
      <c r="IA112" s="20">
        <v>4</v>
      </c>
      <c r="IB112" s="20">
        <v>5</v>
      </c>
      <c r="IC112" s="20">
        <v>6</v>
      </c>
      <c r="ID112" s="20">
        <v>7</v>
      </c>
      <c r="IE112" s="20">
        <v>8</v>
      </c>
      <c r="IF112" s="20">
        <v>9</v>
      </c>
      <c r="IG112" s="20">
        <v>10</v>
      </c>
      <c r="IH112" s="20">
        <v>11</v>
      </c>
      <c r="II112" s="20">
        <v>12</v>
      </c>
      <c r="IJ112" s="20">
        <v>13</v>
      </c>
      <c r="IK112" s="20">
        <v>14</v>
      </c>
      <c r="IL112" s="20">
        <v>15</v>
      </c>
      <c r="IM112" s="20">
        <v>16</v>
      </c>
      <c r="IN112" s="20">
        <v>17</v>
      </c>
      <c r="IO112" s="20">
        <v>18</v>
      </c>
      <c r="IP112" s="20">
        <v>19</v>
      </c>
      <c r="IQ112" s="20">
        <v>20</v>
      </c>
      <c r="IR112" s="21"/>
      <c r="IS112" s="21"/>
      <c r="IT112" s="21">
        <f t="shared" ref="IT112:JI133" si="39">HW112*2</f>
        <v>0</v>
      </c>
      <c r="IU112" s="21">
        <f t="shared" si="39"/>
        <v>2</v>
      </c>
      <c r="IV112" s="21">
        <f t="shared" si="39"/>
        <v>4</v>
      </c>
      <c r="IW112" s="21">
        <f t="shared" si="39"/>
        <v>6</v>
      </c>
      <c r="IX112" s="21">
        <f t="shared" si="39"/>
        <v>8</v>
      </c>
      <c r="IY112" s="21">
        <f t="shared" si="39"/>
        <v>10</v>
      </c>
      <c r="IZ112" s="21">
        <f t="shared" si="39"/>
        <v>12</v>
      </c>
      <c r="JA112" s="21">
        <f t="shared" si="39"/>
        <v>14</v>
      </c>
      <c r="JB112" s="21">
        <f t="shared" si="39"/>
        <v>16</v>
      </c>
      <c r="JC112" s="21">
        <f t="shared" si="39"/>
        <v>18</v>
      </c>
      <c r="JD112" s="21">
        <f t="shared" si="39"/>
        <v>20</v>
      </c>
      <c r="JE112" s="21">
        <f t="shared" si="39"/>
        <v>22</v>
      </c>
      <c r="JF112" s="21">
        <f t="shared" si="39"/>
        <v>24</v>
      </c>
      <c r="JG112" s="21">
        <f t="shared" si="39"/>
        <v>26</v>
      </c>
      <c r="JH112" s="21">
        <f t="shared" si="39"/>
        <v>28</v>
      </c>
      <c r="JI112" s="21">
        <f t="shared" si="39"/>
        <v>30</v>
      </c>
      <c r="JJ112" s="21">
        <f t="shared" ref="JJ112:JN174" si="40">IM112*2</f>
        <v>32</v>
      </c>
      <c r="JK112" s="21">
        <f t="shared" si="40"/>
        <v>34</v>
      </c>
      <c r="JL112" s="21">
        <f t="shared" si="40"/>
        <v>36</v>
      </c>
      <c r="JM112" s="21">
        <f t="shared" si="40"/>
        <v>38</v>
      </c>
      <c r="JN112" s="21">
        <f t="shared" si="40"/>
        <v>40</v>
      </c>
      <c r="JO112" s="21"/>
      <c r="JP112" s="21"/>
      <c r="JQ112" s="21"/>
      <c r="JR112" s="21"/>
      <c r="JS112" s="21"/>
      <c r="JT112" s="21"/>
      <c r="JU112" s="21"/>
      <c r="JV112" s="21"/>
      <c r="JW112" s="21"/>
      <c r="JX112" s="21"/>
      <c r="JY112" s="21"/>
      <c r="JZ112" s="21"/>
      <c r="KA112" s="21"/>
      <c r="KB112" s="21"/>
      <c r="KC112" s="21"/>
      <c r="KD112" s="21"/>
      <c r="KE112" s="21"/>
      <c r="KF112" s="21"/>
      <c r="KG112" s="21"/>
      <c r="KH112" s="21"/>
    </row>
    <row r="113" spans="1:294" x14ac:dyDescent="0.25">
      <c r="A113" s="8"/>
      <c r="B113" s="5" t="s">
        <v>116</v>
      </c>
      <c r="C113" s="8"/>
      <c r="D113" s="40" t="s">
        <v>941</v>
      </c>
      <c r="E113" s="9"/>
      <c r="F113" s="9"/>
      <c r="G113" s="9"/>
      <c r="H113" s="9"/>
      <c r="I113" s="9"/>
      <c r="J113" s="9"/>
      <c r="K113" s="9"/>
      <c r="L113" s="6" t="s">
        <v>883</v>
      </c>
      <c r="M113" s="11">
        <f>INDEX(cennik!$C$2:$L$529,MATCH($L113,cennik!$B$2:$B$522,0),MATCH(M$104,cennik!$C$1:$L$1,0))</f>
        <v>6505414</v>
      </c>
      <c r="N113" s="11" t="str">
        <f>INDEX(cennik!$C$2:$L$529,MATCH($L113,cennik!$B$2:$B$522,0),MATCH(N$104,cennik!$C$1:$L$1,0))</f>
        <v>100 szt.</v>
      </c>
      <c r="O113" s="11">
        <f>ROUNDUP((SUM(AK131:AK146))/100,0)</f>
        <v>0</v>
      </c>
      <c r="P113" s="34">
        <f>INDEX(cennik!$C$2:$L$529,MATCH($L113,cennik!$B$2:$B$522,0),MATCH(P$104,cennik!$C$1:$L$1,0))</f>
        <v>60.87</v>
      </c>
      <c r="Q113" s="34">
        <f t="shared" si="34"/>
        <v>0</v>
      </c>
      <c r="R113" s="35">
        <f t="shared" si="31"/>
        <v>0</v>
      </c>
      <c r="S113" s="34">
        <f t="shared" si="32"/>
        <v>60.87</v>
      </c>
      <c r="T113" s="34">
        <f t="shared" si="35"/>
        <v>0</v>
      </c>
      <c r="U113" s="34">
        <f>INDEX(cennik!$C$2:$L$529,MATCH($L113,cennik!$B$2:$B$522,0),MATCH(U$104,cennik!$C$1:$L$1,0))*O113</f>
        <v>0</v>
      </c>
      <c r="V113" s="20"/>
      <c r="W113" s="25">
        <f t="shared" si="33"/>
        <v>0</v>
      </c>
      <c r="X113" s="20" t="s">
        <v>472</v>
      </c>
      <c r="Y113" s="20">
        <v>1850</v>
      </c>
      <c r="Z113" s="20" t="s">
        <v>482</v>
      </c>
      <c r="AA113" s="20">
        <v>1796</v>
      </c>
      <c r="AB113" s="21"/>
      <c r="AC113" s="20" t="s">
        <v>866</v>
      </c>
      <c r="AD113" s="20" t="s">
        <v>867</v>
      </c>
      <c r="AE113" s="20" t="s">
        <v>868</v>
      </c>
      <c r="AF113" s="21" t="s">
        <v>866</v>
      </c>
      <c r="AG113" s="21" t="s">
        <v>867</v>
      </c>
      <c r="AH113" s="21" t="s">
        <v>868</v>
      </c>
      <c r="AI113" s="21"/>
      <c r="AJ113" s="21"/>
      <c r="AK113" s="21"/>
      <c r="AL113" s="21"/>
      <c r="AM113" s="21"/>
      <c r="AN113" s="21"/>
      <c r="AO113" s="20"/>
      <c r="AP113" s="20"/>
      <c r="AQ113" s="20"/>
      <c r="AR113" s="20"/>
      <c r="AS113" s="20"/>
      <c r="AT113" s="20"/>
      <c r="AU113" s="20"/>
      <c r="AV113" s="20"/>
      <c r="AW113" s="20"/>
      <c r="AX113" s="20"/>
      <c r="AY113" s="20"/>
      <c r="AZ113" s="20"/>
      <c r="BA113" s="20"/>
      <c r="BB113" s="20"/>
      <c r="BC113" s="20"/>
      <c r="BD113" s="20"/>
      <c r="BE113" s="20"/>
      <c r="BF113" s="20"/>
      <c r="BG113" s="20"/>
      <c r="BH113" s="20"/>
      <c r="BI113" s="20"/>
      <c r="BJ113" s="20"/>
      <c r="BK113" s="20"/>
      <c r="BL113" s="20"/>
      <c r="BM113" s="20"/>
      <c r="BN113" s="20"/>
      <c r="BO113" s="20"/>
      <c r="BP113" s="20"/>
      <c r="BQ113" s="20"/>
      <c r="BR113" s="20"/>
      <c r="BS113" s="20"/>
      <c r="BT113" s="20"/>
      <c r="BU113" s="20"/>
      <c r="BV113" s="20"/>
      <c r="BW113" s="20"/>
      <c r="BX113" s="20"/>
      <c r="BY113" s="20"/>
      <c r="BZ113" s="20"/>
      <c r="CA113" s="20"/>
      <c r="CB113" s="20"/>
      <c r="CC113" s="20"/>
      <c r="CD113" s="20"/>
      <c r="CE113" s="20"/>
      <c r="CF113" s="20"/>
      <c r="CG113" s="20"/>
      <c r="CH113" s="20"/>
      <c r="CI113" s="20"/>
      <c r="CJ113" s="20"/>
      <c r="CK113" s="20"/>
      <c r="CL113" s="20"/>
      <c r="CM113" s="20"/>
      <c r="CN113" s="20"/>
      <c r="CO113" s="20"/>
      <c r="CP113" s="20"/>
      <c r="CQ113" s="20"/>
      <c r="CR113" s="20"/>
      <c r="CS113" s="20"/>
      <c r="CT113" s="20"/>
      <c r="CU113" s="20"/>
      <c r="CV113" s="20"/>
      <c r="CW113" s="20"/>
      <c r="CX113" s="20"/>
      <c r="CY113" s="20"/>
      <c r="CZ113" s="20"/>
      <c r="DA113" s="20"/>
      <c r="DB113" s="20"/>
      <c r="DC113" s="20"/>
      <c r="DD113" s="20"/>
      <c r="DE113" s="20"/>
      <c r="DF113" s="20"/>
      <c r="DG113" s="20"/>
      <c r="DH113" s="20"/>
      <c r="DI113" s="20"/>
      <c r="DJ113" s="20"/>
      <c r="DK113" s="20"/>
      <c r="DL113" s="20"/>
      <c r="DM113" s="20"/>
      <c r="DN113" s="20"/>
      <c r="DO113" s="20"/>
      <c r="DP113" s="20"/>
      <c r="DQ113" s="20"/>
      <c r="DR113" s="20"/>
      <c r="DS113" s="20"/>
      <c r="DT113" s="20"/>
      <c r="DU113" s="20"/>
      <c r="DV113" s="20"/>
      <c r="DW113" s="20"/>
      <c r="DX113" s="20"/>
      <c r="DY113" s="20"/>
      <c r="DZ113" s="54">
        <v>10</v>
      </c>
      <c r="EA113" s="54">
        <v>20</v>
      </c>
      <c r="EB113" s="54"/>
      <c r="EC113" s="20"/>
      <c r="ED113" s="20"/>
      <c r="EE113" s="20"/>
      <c r="EF113" s="20"/>
      <c r="EG113" s="20"/>
      <c r="EH113" s="20"/>
      <c r="EI113" s="20"/>
      <c r="EJ113" s="20"/>
      <c r="EK113" s="20"/>
      <c r="EL113" s="20"/>
      <c r="EM113" s="20"/>
      <c r="EN113" s="20"/>
      <c r="EO113" s="20"/>
      <c r="EP113" s="20"/>
      <c r="EQ113" s="20"/>
      <c r="ER113" s="20"/>
      <c r="ES113" s="20"/>
      <c r="ET113" s="20"/>
      <c r="EU113" s="20"/>
      <c r="EV113" s="20" t="s">
        <v>212</v>
      </c>
      <c r="EW113" s="20">
        <v>0</v>
      </c>
      <c r="EX113" s="20">
        <v>0</v>
      </c>
      <c r="EY113" s="20">
        <v>0</v>
      </c>
      <c r="EZ113" s="20">
        <v>2</v>
      </c>
      <c r="FA113" s="20">
        <v>0</v>
      </c>
      <c r="FB113" s="20">
        <v>2</v>
      </c>
      <c r="FC113" s="20">
        <v>2</v>
      </c>
      <c r="FD113" s="20">
        <v>2</v>
      </c>
      <c r="FE113" s="20">
        <v>0</v>
      </c>
      <c r="FF113" s="20">
        <v>0</v>
      </c>
      <c r="FG113" s="20">
        <v>0</v>
      </c>
      <c r="FH113" s="20">
        <v>0</v>
      </c>
      <c r="FI113" s="20">
        <v>0</v>
      </c>
      <c r="FJ113" s="20">
        <v>0</v>
      </c>
      <c r="FK113" s="20">
        <v>4</v>
      </c>
      <c r="FL113" s="20">
        <v>2</v>
      </c>
      <c r="FM113" s="20">
        <v>6</v>
      </c>
      <c r="FN113" s="20">
        <v>4</v>
      </c>
      <c r="FO113" s="20">
        <v>0</v>
      </c>
      <c r="FP113" s="20">
        <v>6</v>
      </c>
      <c r="FQ113" s="20">
        <v>2</v>
      </c>
      <c r="FR113" s="20">
        <v>6</v>
      </c>
      <c r="FS113" s="20">
        <v>6</v>
      </c>
      <c r="FT113" s="20">
        <v>8</v>
      </c>
      <c r="FU113" s="20">
        <v>12</v>
      </c>
      <c r="FV113" s="20">
        <v>2</v>
      </c>
      <c r="FW113" s="20">
        <v>0</v>
      </c>
      <c r="FX113" s="20">
        <v>6</v>
      </c>
      <c r="FY113" s="20">
        <v>0</v>
      </c>
      <c r="FZ113" s="20">
        <v>6</v>
      </c>
      <c r="GA113" s="20">
        <v>10</v>
      </c>
      <c r="GB113" s="20">
        <v>6</v>
      </c>
      <c r="GC113" s="20">
        <v>6</v>
      </c>
      <c r="GD113" s="20">
        <v>16</v>
      </c>
      <c r="GE113" s="20">
        <v>6</v>
      </c>
      <c r="GF113" s="20">
        <v>2</v>
      </c>
      <c r="GG113" s="20">
        <v>0</v>
      </c>
      <c r="GH113" s="20">
        <v>0</v>
      </c>
      <c r="GI113" s="20">
        <v>8</v>
      </c>
      <c r="GJ113" s="20">
        <v>6</v>
      </c>
      <c r="GK113" s="20">
        <v>4</v>
      </c>
      <c r="GL113" s="20">
        <v>0</v>
      </c>
      <c r="GM113" s="20">
        <v>0</v>
      </c>
      <c r="GN113" s="20">
        <v>2</v>
      </c>
      <c r="GO113" s="20">
        <v>0</v>
      </c>
      <c r="GP113" s="20">
        <v>10</v>
      </c>
      <c r="GQ113" s="20">
        <v>0</v>
      </c>
      <c r="GR113" s="20">
        <v>0</v>
      </c>
      <c r="GS113" s="20">
        <v>2</v>
      </c>
      <c r="GT113" s="20">
        <v>6</v>
      </c>
      <c r="GU113" s="20">
        <v>4</v>
      </c>
      <c r="GV113" s="20"/>
      <c r="GW113" s="20"/>
      <c r="GX113" s="20"/>
      <c r="GY113" s="21" t="s">
        <v>710</v>
      </c>
      <c r="GZ113" s="21">
        <v>0</v>
      </c>
      <c r="HA113" s="21">
        <v>2</v>
      </c>
      <c r="HB113" s="21">
        <v>2</v>
      </c>
      <c r="HC113" s="21">
        <v>0</v>
      </c>
      <c r="HD113" s="21">
        <v>4</v>
      </c>
      <c r="HE113" s="21">
        <v>2</v>
      </c>
      <c r="HF113" s="21">
        <v>0</v>
      </c>
      <c r="HG113" s="21">
        <v>4</v>
      </c>
      <c r="HH113" s="21">
        <v>2</v>
      </c>
      <c r="HI113" s="21">
        <v>0</v>
      </c>
      <c r="HJ113" s="21">
        <v>4</v>
      </c>
      <c r="HK113" s="21">
        <v>2</v>
      </c>
      <c r="HL113" s="21">
        <v>0</v>
      </c>
      <c r="HM113" s="21">
        <v>4</v>
      </c>
      <c r="HN113" s="21">
        <v>2</v>
      </c>
      <c r="HO113" s="21">
        <v>0</v>
      </c>
      <c r="HP113" s="21">
        <v>4</v>
      </c>
      <c r="HQ113" s="21">
        <v>2</v>
      </c>
      <c r="HR113" s="21">
        <v>0</v>
      </c>
      <c r="HS113" s="21">
        <v>4</v>
      </c>
      <c r="HT113" s="21">
        <v>2</v>
      </c>
      <c r="HU113" s="21"/>
      <c r="HV113" s="21" t="s">
        <v>826</v>
      </c>
      <c r="HW113" s="20">
        <v>0</v>
      </c>
      <c r="HX113" s="20">
        <v>2</v>
      </c>
      <c r="HY113" s="20">
        <v>0</v>
      </c>
      <c r="HZ113" s="20">
        <v>2</v>
      </c>
      <c r="IA113" s="20">
        <v>0</v>
      </c>
      <c r="IB113" s="20">
        <v>2</v>
      </c>
      <c r="IC113" s="20">
        <v>0</v>
      </c>
      <c r="ID113" s="20">
        <v>2</v>
      </c>
      <c r="IE113" s="20">
        <v>4</v>
      </c>
      <c r="IF113" s="20">
        <v>2</v>
      </c>
      <c r="IG113" s="20">
        <v>4</v>
      </c>
      <c r="IH113" s="20">
        <v>2</v>
      </c>
      <c r="II113" s="20">
        <v>4</v>
      </c>
      <c r="IJ113" s="20">
        <v>2</v>
      </c>
      <c r="IK113" s="20">
        <v>4</v>
      </c>
      <c r="IL113" s="20">
        <v>2</v>
      </c>
      <c r="IM113" s="20">
        <v>4</v>
      </c>
      <c r="IN113" s="20">
        <v>0</v>
      </c>
      <c r="IO113" s="20">
        <v>4</v>
      </c>
      <c r="IP113" s="20">
        <v>0</v>
      </c>
      <c r="IQ113" s="20">
        <v>4</v>
      </c>
      <c r="IR113" s="21"/>
      <c r="IS113" s="21" t="s">
        <v>826</v>
      </c>
      <c r="IT113" s="21">
        <f t="shared" si="39"/>
        <v>0</v>
      </c>
      <c r="IU113" s="21">
        <f t="shared" si="39"/>
        <v>4</v>
      </c>
      <c r="IV113" s="21">
        <f t="shared" si="39"/>
        <v>0</v>
      </c>
      <c r="IW113" s="21">
        <f t="shared" si="39"/>
        <v>4</v>
      </c>
      <c r="IX113" s="21">
        <f t="shared" si="39"/>
        <v>0</v>
      </c>
      <c r="IY113" s="21">
        <f t="shared" si="39"/>
        <v>4</v>
      </c>
      <c r="IZ113" s="21">
        <f t="shared" si="39"/>
        <v>0</v>
      </c>
      <c r="JA113" s="21">
        <f t="shared" si="39"/>
        <v>4</v>
      </c>
      <c r="JB113" s="21">
        <f t="shared" si="39"/>
        <v>8</v>
      </c>
      <c r="JC113" s="21">
        <f t="shared" si="39"/>
        <v>4</v>
      </c>
      <c r="JD113" s="21">
        <f t="shared" si="39"/>
        <v>8</v>
      </c>
      <c r="JE113" s="21">
        <f t="shared" si="39"/>
        <v>4</v>
      </c>
      <c r="JF113" s="21">
        <f t="shared" si="39"/>
        <v>8</v>
      </c>
      <c r="JG113" s="21">
        <f t="shared" si="39"/>
        <v>4</v>
      </c>
      <c r="JH113" s="21">
        <f t="shared" si="39"/>
        <v>8</v>
      </c>
      <c r="JI113" s="21">
        <f t="shared" si="39"/>
        <v>4</v>
      </c>
      <c r="JJ113" s="21">
        <f t="shared" si="40"/>
        <v>8</v>
      </c>
      <c r="JK113" s="21">
        <f t="shared" si="40"/>
        <v>0</v>
      </c>
      <c r="JL113" s="21">
        <f t="shared" si="40"/>
        <v>8</v>
      </c>
      <c r="JM113" s="21">
        <f t="shared" si="40"/>
        <v>0</v>
      </c>
      <c r="JN113" s="21">
        <f t="shared" si="40"/>
        <v>8</v>
      </c>
      <c r="JO113" s="21"/>
      <c r="JP113" s="21"/>
      <c r="JQ113" s="21"/>
      <c r="JR113" s="21"/>
      <c r="JS113" s="21"/>
      <c r="JT113" s="21"/>
      <c r="JU113" s="21"/>
      <c r="JV113" s="21"/>
      <c r="JW113" s="21"/>
      <c r="JX113" s="21"/>
      <c r="JY113" s="21"/>
      <c r="JZ113" s="21"/>
      <c r="KA113" s="21"/>
      <c r="KB113" s="21"/>
      <c r="KC113" s="21"/>
      <c r="KD113" s="21"/>
      <c r="KE113" s="21"/>
      <c r="KF113" s="21"/>
      <c r="KG113" s="21"/>
      <c r="KH113" s="21"/>
    </row>
    <row r="114" spans="1:294" x14ac:dyDescent="0.25">
      <c r="A114" s="8"/>
      <c r="B114" s="5" t="s">
        <v>116</v>
      </c>
      <c r="C114" s="8"/>
      <c r="D114" s="40" t="s">
        <v>797</v>
      </c>
      <c r="E114" s="9"/>
      <c r="F114" s="9"/>
      <c r="G114" s="9"/>
      <c r="H114" s="9"/>
      <c r="I114" s="9"/>
      <c r="J114" s="9"/>
      <c r="K114" s="9"/>
      <c r="L114" s="6" t="str">
        <f>IF(E108=$Z$104,"SBV250X350",IF(E108=$Z$105,"SBV50X500",IF(E108=$Z$106,"-------",IF(E108=$Z$107,"-------",0))))</f>
        <v>SBV50X500</v>
      </c>
      <c r="M114" s="11">
        <f>INDEX(cennik!$C$2:$L$529,MATCH($L114,cennik!$B$2:$B$522,0),MATCH(M$104,cennik!$C$1:$L$1,0))</f>
        <v>895501</v>
      </c>
      <c r="N114" s="11" t="str">
        <f>INDEX(cennik!$C$2:$L$529,MATCH($L114,cennik!$B$2:$B$522,0),MATCH(N$104,cennik!$C$1:$L$1,0))</f>
        <v>szt.</v>
      </c>
      <c r="O114" s="11">
        <f>IF(E108=$Z$104,O105*2,IF(E108=$Z$105,O105,IF(E108=$Z$106,0,IF(E108=$Z$107,,0))))</f>
        <v>0</v>
      </c>
      <c r="P114" s="34">
        <f>INDEX(cennik!$C$2:$L$529,MATCH($L114,cennik!$B$2:$B$522,0),MATCH(P$104,cennik!$C$1:$L$1,0))</f>
        <v>1.24</v>
      </c>
      <c r="Q114" s="34">
        <f t="shared" si="34"/>
        <v>0</v>
      </c>
      <c r="R114" s="35">
        <f t="shared" si="31"/>
        <v>0</v>
      </c>
      <c r="S114" s="34">
        <f t="shared" si="32"/>
        <v>1.24</v>
      </c>
      <c r="T114" s="34">
        <f t="shared" si="35"/>
        <v>0</v>
      </c>
      <c r="U114" s="34">
        <f>INDEX(cennik!$C$2:$L$529,MATCH($L114,cennik!$B$2:$B$522,0),MATCH(U$104,cennik!$C$1:$L$1,0))*O114</f>
        <v>0</v>
      </c>
      <c r="V114" s="20"/>
      <c r="W114" s="25">
        <f t="shared" si="33"/>
        <v>0</v>
      </c>
      <c r="X114" s="20" t="s">
        <v>471</v>
      </c>
      <c r="Y114" s="20">
        <v>1900</v>
      </c>
      <c r="Z114" s="20" t="s">
        <v>483</v>
      </c>
      <c r="AA114" s="20">
        <v>1834</v>
      </c>
      <c r="AB114" s="20"/>
      <c r="AC1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</f>
        <v>0</v>
      </c>
      <c r="AD1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</f>
        <v>0</v>
      </c>
      <c r="AE1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</f>
        <v>0</v>
      </c>
      <c r="AF1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104,$GB$182:$GV$182,0),MATCH($E$105,$X$109:$X$126,0)))*C104</f>
        <v>0</v>
      </c>
      <c r="AG1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104,$GB$182:$GV$182,0),MATCH($E$105,$X$109:$X$126,0)))*C104</f>
        <v>0</v>
      </c>
      <c r="AH1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104,$GB$182:$GV$182,0),MATCH($E$105,$X$109:$X$126,0)))*C104</f>
        <v>0</v>
      </c>
      <c r="AI114" s="20">
        <f>SUM(AC114:AE114)</f>
        <v>0</v>
      </c>
      <c r="AJ114" s="20">
        <f>IF(AI114&lt;=1,0,IF(AI114&gt;1,(AI114*4-4),0))</f>
        <v>0</v>
      </c>
      <c r="AK114" s="20">
        <f>AJ114*C104</f>
        <v>0</v>
      </c>
      <c r="AL114" s="20"/>
      <c r="AM114" s="20">
        <v>0</v>
      </c>
      <c r="AN114" s="20">
        <v>1</v>
      </c>
      <c r="AO114" s="20">
        <v>2</v>
      </c>
      <c r="AP114" s="20">
        <v>3</v>
      </c>
      <c r="AQ114" s="20">
        <v>4</v>
      </c>
      <c r="AR114" s="20">
        <v>5</v>
      </c>
      <c r="AS114" s="20">
        <v>6</v>
      </c>
      <c r="AT114" s="20">
        <v>7</v>
      </c>
      <c r="AU114" s="20">
        <v>8</v>
      </c>
      <c r="AV114" s="20">
        <v>9</v>
      </c>
      <c r="AW114" s="20">
        <v>10</v>
      </c>
      <c r="AX114" s="20">
        <v>11</v>
      </c>
      <c r="AY114" s="20">
        <v>12</v>
      </c>
      <c r="AZ114" s="20">
        <v>13</v>
      </c>
      <c r="BA114" s="20">
        <v>14</v>
      </c>
      <c r="BB114" s="20">
        <v>15</v>
      </c>
      <c r="BC114" s="20">
        <v>16</v>
      </c>
      <c r="BD114" s="20">
        <v>17</v>
      </c>
      <c r="BE114" s="20">
        <v>18</v>
      </c>
      <c r="BF114" s="20">
        <v>19</v>
      </c>
      <c r="BG114" s="20">
        <v>20</v>
      </c>
      <c r="BH114" s="20">
        <v>21</v>
      </c>
      <c r="BI114" s="20">
        <v>22</v>
      </c>
      <c r="BJ114" s="20">
        <v>23</v>
      </c>
      <c r="BK114" s="20">
        <v>24</v>
      </c>
      <c r="BL114" s="20">
        <v>25</v>
      </c>
      <c r="BM114" s="20">
        <v>26</v>
      </c>
      <c r="BN114" s="20">
        <v>27</v>
      </c>
      <c r="BO114" s="20">
        <v>28</v>
      </c>
      <c r="BP114" s="20">
        <v>29</v>
      </c>
      <c r="BQ114" s="20">
        <v>30</v>
      </c>
      <c r="BR114" s="20">
        <v>31</v>
      </c>
      <c r="BS114" s="20">
        <v>32</v>
      </c>
      <c r="BT114" s="20">
        <v>33</v>
      </c>
      <c r="BU114" s="20">
        <v>34</v>
      </c>
      <c r="BV114" s="20">
        <v>35</v>
      </c>
      <c r="BW114" s="20">
        <v>36</v>
      </c>
      <c r="BX114" s="20">
        <v>37</v>
      </c>
      <c r="BY114" s="20">
        <v>38</v>
      </c>
      <c r="BZ114" s="20">
        <v>39</v>
      </c>
      <c r="CA114" s="20">
        <v>40</v>
      </c>
      <c r="CB114" s="20">
        <v>41</v>
      </c>
      <c r="CC114" s="20">
        <v>42</v>
      </c>
      <c r="CD114" s="20">
        <v>43</v>
      </c>
      <c r="CE114" s="20">
        <v>44</v>
      </c>
      <c r="CF114" s="20">
        <v>45</v>
      </c>
      <c r="CG114" s="20">
        <v>46</v>
      </c>
      <c r="CH114" s="20">
        <v>47</v>
      </c>
      <c r="CI114" s="20">
        <v>48</v>
      </c>
      <c r="CJ114" s="20">
        <v>49</v>
      </c>
      <c r="CK114" s="20">
        <v>50</v>
      </c>
      <c r="CL114" s="20"/>
      <c r="CM114" s="20"/>
      <c r="CN114" s="20">
        <v>39.08</v>
      </c>
      <c r="CO114" s="20">
        <v>43.4</v>
      </c>
      <c r="CP114" s="25">
        <v>44.1</v>
      </c>
      <c r="CQ114" s="20">
        <v>44.7</v>
      </c>
      <c r="CR114" s="25">
        <v>45.22</v>
      </c>
      <c r="CS114" s="25">
        <v>46.36</v>
      </c>
      <c r="CT114" s="25">
        <v>47.44</v>
      </c>
      <c r="CU114" s="25">
        <v>48.59</v>
      </c>
      <c r="CV114" s="25">
        <v>49.61</v>
      </c>
      <c r="CW114" s="20">
        <v>50.35</v>
      </c>
      <c r="CX114" s="20">
        <v>52.51</v>
      </c>
      <c r="CY114" s="20"/>
      <c r="CZ114" s="20"/>
      <c r="DA114" s="20"/>
      <c r="DB114" s="20"/>
      <c r="DC114" s="20"/>
      <c r="DD114" s="20"/>
      <c r="DE114" s="20"/>
      <c r="DF114" s="20"/>
      <c r="DG114" s="20"/>
      <c r="DH114" s="20"/>
      <c r="DI114" s="20"/>
      <c r="DJ114" s="20"/>
      <c r="DK114" s="20"/>
      <c r="DL114" s="20"/>
      <c r="DM114" s="20"/>
      <c r="DN114" s="20"/>
      <c r="DO114" s="20"/>
      <c r="DP114" s="20"/>
      <c r="DQ114" s="20"/>
      <c r="DR114" s="20"/>
      <c r="DS114" s="20"/>
      <c r="DT114" s="20"/>
      <c r="DU114" s="20"/>
      <c r="DV114" s="20"/>
      <c r="DW114" s="20"/>
      <c r="DX114" s="20"/>
      <c r="DY114" s="20"/>
      <c r="DZ114" s="54">
        <v>11</v>
      </c>
      <c r="EA114" s="54">
        <v>22</v>
      </c>
      <c r="EB114" s="54"/>
      <c r="EC114" s="20"/>
      <c r="ED114" s="20"/>
      <c r="EE114" s="20"/>
      <c r="EF114" s="20"/>
      <c r="EG114" s="20"/>
      <c r="EH114" s="20"/>
      <c r="EI114" s="20"/>
      <c r="EJ114" s="20"/>
      <c r="EK114" s="20"/>
      <c r="EL114" s="20"/>
      <c r="EM114" s="20"/>
      <c r="EN114" s="20"/>
      <c r="EO114" s="20"/>
      <c r="EP114" s="20"/>
      <c r="EQ114" s="20"/>
      <c r="ER114" s="20"/>
      <c r="ES114" s="20"/>
      <c r="ET114" s="20"/>
      <c r="EU114" s="20"/>
      <c r="EV114" s="20" t="s">
        <v>214</v>
      </c>
      <c r="EW114" s="20">
        <v>0</v>
      </c>
      <c r="EX114" s="20">
        <v>0</v>
      </c>
      <c r="EY114" s="20">
        <v>0</v>
      </c>
      <c r="EZ114" s="20">
        <v>0</v>
      </c>
      <c r="FA114" s="20">
        <v>0</v>
      </c>
      <c r="FB114" s="20">
        <v>0</v>
      </c>
      <c r="FC114" s="20">
        <v>0</v>
      </c>
      <c r="FD114" s="20">
        <v>2</v>
      </c>
      <c r="FE114" s="20">
        <v>4</v>
      </c>
      <c r="FF114" s="20">
        <v>4</v>
      </c>
      <c r="FG114" s="20">
        <v>4</v>
      </c>
      <c r="FH114" s="20">
        <v>4</v>
      </c>
      <c r="FI114" s="20">
        <v>6</v>
      </c>
      <c r="FJ114" s="20">
        <v>4</v>
      </c>
      <c r="FK114" s="20">
        <v>4</v>
      </c>
      <c r="FL114" s="20">
        <v>0</v>
      </c>
      <c r="FM114" s="20">
        <v>0</v>
      </c>
      <c r="FN114" s="20">
        <v>4</v>
      </c>
      <c r="FO114" s="20">
        <v>10</v>
      </c>
      <c r="FP114" s="20">
        <v>0</v>
      </c>
      <c r="FQ114" s="20">
        <v>6</v>
      </c>
      <c r="FR114" s="20">
        <v>6</v>
      </c>
      <c r="FS114" s="20">
        <v>0</v>
      </c>
      <c r="FT114" s="20">
        <v>2</v>
      </c>
      <c r="FU114" s="20">
        <v>2</v>
      </c>
      <c r="FV114" s="20">
        <v>12</v>
      </c>
      <c r="FW114" s="20">
        <v>8</v>
      </c>
      <c r="FX114" s="20">
        <v>6</v>
      </c>
      <c r="FY114" s="20">
        <v>14</v>
      </c>
      <c r="FZ114" s="20">
        <v>4</v>
      </c>
      <c r="GA114" s="20">
        <v>4</v>
      </c>
      <c r="GB114" s="20">
        <v>10</v>
      </c>
      <c r="GC114" s="20">
        <v>12</v>
      </c>
      <c r="GD114" s="20">
        <v>0</v>
      </c>
      <c r="GE114" s="20">
        <v>10</v>
      </c>
      <c r="GF114" s="20">
        <v>16</v>
      </c>
      <c r="GG114" s="20">
        <v>20</v>
      </c>
      <c r="GH114" s="20">
        <v>16</v>
      </c>
      <c r="GI114" s="20">
        <v>12</v>
      </c>
      <c r="GJ114" s="20">
        <v>16</v>
      </c>
      <c r="GK114" s="20">
        <v>12</v>
      </c>
      <c r="GL114" s="20">
        <v>18</v>
      </c>
      <c r="GM114" s="20">
        <v>22</v>
      </c>
      <c r="GN114" s="20">
        <v>22</v>
      </c>
      <c r="GO114" s="20">
        <v>18</v>
      </c>
      <c r="GP114" s="20">
        <v>14</v>
      </c>
      <c r="GQ114" s="20">
        <v>24</v>
      </c>
      <c r="GR114" s="20">
        <v>26</v>
      </c>
      <c r="GS114" s="20">
        <v>20</v>
      </c>
      <c r="GT114" s="20">
        <v>20</v>
      </c>
      <c r="GU114" s="20">
        <v>24</v>
      </c>
      <c r="GV114" s="20"/>
      <c r="GW114" s="20"/>
      <c r="GX114" s="20"/>
      <c r="GY114" s="21" t="s">
        <v>711</v>
      </c>
      <c r="GZ114" s="21">
        <v>0</v>
      </c>
      <c r="HA114" s="21">
        <v>0</v>
      </c>
      <c r="HB114" s="21">
        <v>0</v>
      </c>
      <c r="HC114" s="21">
        <v>2</v>
      </c>
      <c r="HD114" s="21">
        <v>0</v>
      </c>
      <c r="HE114" s="21">
        <v>2</v>
      </c>
      <c r="HF114" s="21">
        <v>4</v>
      </c>
      <c r="HG114" s="21">
        <v>2</v>
      </c>
      <c r="HH114" s="21">
        <v>4</v>
      </c>
      <c r="HI114" s="21">
        <v>6</v>
      </c>
      <c r="HJ114" s="21">
        <v>4</v>
      </c>
      <c r="HK114" s="21">
        <v>6</v>
      </c>
      <c r="HL114" s="21">
        <v>8</v>
      </c>
      <c r="HM114" s="21">
        <v>6</v>
      </c>
      <c r="HN114" s="21">
        <v>8</v>
      </c>
      <c r="HO114" s="21">
        <v>10</v>
      </c>
      <c r="HP114" s="21">
        <v>8</v>
      </c>
      <c r="HQ114" s="21">
        <v>10</v>
      </c>
      <c r="HR114" s="21">
        <v>12</v>
      </c>
      <c r="HS114" s="21">
        <v>10</v>
      </c>
      <c r="HT114" s="21">
        <v>12</v>
      </c>
      <c r="HU114" s="21"/>
      <c r="HV114" s="21" t="s">
        <v>825</v>
      </c>
      <c r="HW114" s="20">
        <v>0</v>
      </c>
      <c r="HX114" s="20">
        <v>0</v>
      </c>
      <c r="HY114" s="20">
        <v>2</v>
      </c>
      <c r="HZ114" s="20">
        <v>2</v>
      </c>
      <c r="IA114" s="20">
        <v>4</v>
      </c>
      <c r="IB114" s="20">
        <v>4</v>
      </c>
      <c r="IC114" s="20">
        <v>6</v>
      </c>
      <c r="ID114" s="20">
        <v>6</v>
      </c>
      <c r="IE114" s="20">
        <v>6</v>
      </c>
      <c r="IF114" s="20">
        <v>8</v>
      </c>
      <c r="IG114" s="20">
        <v>8</v>
      </c>
      <c r="IH114" s="20">
        <v>10</v>
      </c>
      <c r="II114" s="20">
        <v>10</v>
      </c>
      <c r="IJ114" s="20">
        <v>12</v>
      </c>
      <c r="IK114" s="20">
        <v>12</v>
      </c>
      <c r="IL114" s="20">
        <v>14</v>
      </c>
      <c r="IM114" s="20">
        <v>14</v>
      </c>
      <c r="IN114" s="20">
        <v>18</v>
      </c>
      <c r="IO114" s="20">
        <v>16</v>
      </c>
      <c r="IP114" s="20">
        <v>20</v>
      </c>
      <c r="IQ114" s="20">
        <v>18</v>
      </c>
      <c r="IR114" s="21"/>
      <c r="IS114" s="21" t="s">
        <v>825</v>
      </c>
      <c r="IT114" s="21">
        <f t="shared" si="39"/>
        <v>0</v>
      </c>
      <c r="IU114" s="21">
        <f t="shared" si="39"/>
        <v>0</v>
      </c>
      <c r="IV114" s="21">
        <f t="shared" si="39"/>
        <v>4</v>
      </c>
      <c r="IW114" s="21">
        <f t="shared" si="39"/>
        <v>4</v>
      </c>
      <c r="IX114" s="21">
        <f t="shared" si="39"/>
        <v>8</v>
      </c>
      <c r="IY114" s="21">
        <f t="shared" si="39"/>
        <v>8</v>
      </c>
      <c r="IZ114" s="21">
        <f t="shared" si="39"/>
        <v>12</v>
      </c>
      <c r="JA114" s="21">
        <f t="shared" si="39"/>
        <v>12</v>
      </c>
      <c r="JB114" s="21">
        <f t="shared" si="39"/>
        <v>12</v>
      </c>
      <c r="JC114" s="21">
        <f t="shared" si="39"/>
        <v>16</v>
      </c>
      <c r="JD114" s="21">
        <f t="shared" si="39"/>
        <v>16</v>
      </c>
      <c r="JE114" s="21">
        <f t="shared" si="39"/>
        <v>20</v>
      </c>
      <c r="JF114" s="21">
        <f t="shared" si="39"/>
        <v>20</v>
      </c>
      <c r="JG114" s="21">
        <f t="shared" si="39"/>
        <v>24</v>
      </c>
      <c r="JH114" s="21">
        <f t="shared" si="39"/>
        <v>24</v>
      </c>
      <c r="JI114" s="21">
        <f t="shared" si="39"/>
        <v>28</v>
      </c>
      <c r="JJ114" s="21">
        <f t="shared" si="40"/>
        <v>28</v>
      </c>
      <c r="JK114" s="21">
        <f t="shared" si="40"/>
        <v>36</v>
      </c>
      <c r="JL114" s="21">
        <f t="shared" si="40"/>
        <v>32</v>
      </c>
      <c r="JM114" s="21">
        <f t="shared" si="40"/>
        <v>40</v>
      </c>
      <c r="JN114" s="21">
        <f t="shared" si="40"/>
        <v>36</v>
      </c>
      <c r="JO114" s="21"/>
      <c r="JP114" s="21"/>
      <c r="JQ114" s="26"/>
      <c r="JR114" s="21"/>
      <c r="JS114" s="21"/>
      <c r="JT114" s="21"/>
      <c r="JU114" s="21"/>
      <c r="JV114" s="21"/>
      <c r="JW114" s="21"/>
      <c r="JX114" s="21"/>
      <c r="JY114" s="21"/>
      <c r="JZ114" s="21"/>
      <c r="KA114" s="21"/>
      <c r="KB114" s="21"/>
      <c r="KC114" s="21"/>
      <c r="KD114" s="21"/>
      <c r="KE114" s="21"/>
      <c r="KF114" s="21"/>
      <c r="KG114" s="21"/>
      <c r="KH114" s="21"/>
    </row>
    <row r="115" spans="1:294" x14ac:dyDescent="0.25">
      <c r="A115" s="8"/>
      <c r="B115" s="5" t="s">
        <v>116</v>
      </c>
      <c r="C115" s="8"/>
      <c r="D115" s="40" t="s">
        <v>942</v>
      </c>
      <c r="E115" s="9"/>
      <c r="F115" s="9"/>
      <c r="G115" s="9"/>
      <c r="H115" s="9"/>
      <c r="I115" s="9"/>
      <c r="J115" s="9"/>
      <c r="K115" s="9"/>
      <c r="L115" s="6" t="str">
        <f>IF(E108=$Z$104,"PBK40MC",IF(E108=$Z$105,"-------",IF(E108=$Z$106,"SPM2",IF(E108=$Z$107,"SMA40/033",0))))</f>
        <v>-------</v>
      </c>
      <c r="M115" s="11" t="str">
        <f>INDEX(cennik!$C$2:$L$529,MATCH($L115,cennik!$B$2:$B$522,0),MATCH(M$104,cennik!$C$1:$L$1,0))</f>
        <v>-------</v>
      </c>
      <c r="N115" s="11">
        <f>INDEX(cennik!$C$2:$L$529,MATCH($L115,cennik!$B$2:$B$522,0),MATCH(N$104,cennik!$C$1:$L$1,0))</f>
        <v>0</v>
      </c>
      <c r="O115" s="11">
        <f>IF(E108=$Z$104,O105*2,IF(E108=$Z$105,0,IF(E108=$Z$106,O105,IF(E108=$Z$107,O105*2,0))))</f>
        <v>0</v>
      </c>
      <c r="P115" s="34">
        <f>INDEX(cennik!$C$2:$L$529,MATCH($L115,cennik!$B$2:$B$522,0),MATCH(P$104,cennik!$C$1:$L$1,0))</f>
        <v>0</v>
      </c>
      <c r="Q115" s="34">
        <f t="shared" si="34"/>
        <v>0</v>
      </c>
      <c r="R115" s="35">
        <f t="shared" si="31"/>
        <v>0</v>
      </c>
      <c r="S115" s="34">
        <f t="shared" si="32"/>
        <v>0</v>
      </c>
      <c r="T115" s="34">
        <f t="shared" si="35"/>
        <v>0</v>
      </c>
      <c r="U115" s="34">
        <f>INDEX(cennik!$C$2:$L$529,MATCH($L115,cennik!$B$2:$B$522,0),MATCH(U$104,cennik!$C$1:$L$1,0))*O115</f>
        <v>0</v>
      </c>
      <c r="V115" s="20"/>
      <c r="W115" s="25">
        <f t="shared" si="33"/>
        <v>0</v>
      </c>
      <c r="X115" s="20" t="s">
        <v>473</v>
      </c>
      <c r="Y115" s="20">
        <v>1950</v>
      </c>
      <c r="Z115" s="20" t="s">
        <v>484</v>
      </c>
      <c r="AA115" s="20">
        <v>1872</v>
      </c>
      <c r="AB115" s="20"/>
      <c r="AC1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</f>
        <v>0</v>
      </c>
      <c r="AD1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</f>
        <v>0</v>
      </c>
      <c r="AE1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</f>
        <v>0</v>
      </c>
      <c r="AF1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105,$GB$182:$GV$182,0),MATCH($E$105,$X$109:$X$126,0)))*C105</f>
        <v>0</v>
      </c>
      <c r="AG1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105,$GB$182:$GV$182,0),MATCH($E$105,$X$109:$X$126,0)))*C105</f>
        <v>0</v>
      </c>
      <c r="AH1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105,$GB$182:$GV$182,0),MATCH($E$105,$X$109:$X$126,0)))*C105</f>
        <v>0</v>
      </c>
      <c r="AI115" s="20">
        <f t="shared" ref="AI115:AI128" si="41">SUM(AC115:AE115)</f>
        <v>0</v>
      </c>
      <c r="AJ115" s="20">
        <f t="shared" ref="AJ115:AJ129" si="42">IF(AI115&lt;=1,0,IF(AI115&gt;1,(AI115*4-4),0))</f>
        <v>0</v>
      </c>
      <c r="AK115" s="20">
        <f t="shared" ref="AK115:AK129" si="43">AJ115*C105</f>
        <v>0</v>
      </c>
      <c r="AL115" s="20" t="s">
        <v>126</v>
      </c>
      <c r="AM115" s="20">
        <v>0</v>
      </c>
      <c r="AN115" s="20">
        <v>2</v>
      </c>
      <c r="AO115" s="20">
        <v>0</v>
      </c>
      <c r="AP115" s="20">
        <v>0</v>
      </c>
      <c r="AQ115" s="20">
        <v>0</v>
      </c>
      <c r="AR115" s="20">
        <v>0</v>
      </c>
      <c r="AS115" s="20">
        <v>0</v>
      </c>
      <c r="AT115" s="20">
        <v>0</v>
      </c>
      <c r="AU115" s="20">
        <v>0</v>
      </c>
      <c r="AV115" s="20">
        <v>0</v>
      </c>
      <c r="AW115" s="20">
        <v>0</v>
      </c>
      <c r="AX115" s="20">
        <v>0</v>
      </c>
      <c r="AY115" s="20">
        <v>0</v>
      </c>
      <c r="AZ115" s="20">
        <v>0</v>
      </c>
      <c r="BA115" s="20">
        <v>0</v>
      </c>
      <c r="BB115" s="20">
        <v>0</v>
      </c>
      <c r="BC115" s="20">
        <v>0</v>
      </c>
      <c r="BD115" s="20">
        <v>0</v>
      </c>
      <c r="BE115" s="20">
        <v>0</v>
      </c>
      <c r="BF115" s="20">
        <v>0</v>
      </c>
      <c r="BG115" s="20">
        <v>0</v>
      </c>
      <c r="BH115" s="20">
        <v>0</v>
      </c>
      <c r="BI115" s="20">
        <v>0</v>
      </c>
      <c r="BJ115" s="20">
        <v>0</v>
      </c>
      <c r="BK115" s="20">
        <v>0</v>
      </c>
      <c r="BL115" s="20">
        <v>0</v>
      </c>
      <c r="BM115" s="20">
        <v>0</v>
      </c>
      <c r="BN115" s="20">
        <v>0</v>
      </c>
      <c r="BO115" s="20">
        <v>0</v>
      </c>
      <c r="BP115" s="20">
        <v>0</v>
      </c>
      <c r="BQ115" s="20">
        <v>0</v>
      </c>
      <c r="BR115" s="20">
        <v>0</v>
      </c>
      <c r="BS115" s="20">
        <v>0</v>
      </c>
      <c r="BT115" s="20">
        <v>0</v>
      </c>
      <c r="BU115" s="20">
        <v>0</v>
      </c>
      <c r="BV115" s="20">
        <v>0</v>
      </c>
      <c r="BW115" s="20">
        <v>0</v>
      </c>
      <c r="BX115" s="20">
        <v>2</v>
      </c>
      <c r="BY115" s="20">
        <v>0</v>
      </c>
      <c r="BZ115" s="20">
        <v>0</v>
      </c>
      <c r="CA115" s="20">
        <v>0</v>
      </c>
      <c r="CB115" s="20">
        <v>0</v>
      </c>
      <c r="CC115" s="20">
        <v>0</v>
      </c>
      <c r="CD115" s="20">
        <v>0</v>
      </c>
      <c r="CE115" s="20">
        <v>0</v>
      </c>
      <c r="CF115" s="20">
        <v>0</v>
      </c>
      <c r="CG115" s="20">
        <v>0</v>
      </c>
      <c r="CH115" s="20">
        <v>2</v>
      </c>
      <c r="CI115" s="20">
        <v>0</v>
      </c>
      <c r="CJ115" s="20">
        <v>0</v>
      </c>
      <c r="CK115" s="20">
        <v>0</v>
      </c>
      <c r="CL115" s="20"/>
      <c r="CM115" s="20"/>
      <c r="CN115" s="20">
        <v>46.6</v>
      </c>
      <c r="CO115" s="20">
        <v>52.08</v>
      </c>
      <c r="CP115" s="25">
        <v>52.4</v>
      </c>
      <c r="CQ115" s="20">
        <v>52.64</v>
      </c>
      <c r="CR115" s="25">
        <v>53.25</v>
      </c>
      <c r="CS115" s="25">
        <v>55.31</v>
      </c>
      <c r="CT115" s="25">
        <v>56.4</v>
      </c>
      <c r="CU115" s="25">
        <v>58.6</v>
      </c>
      <c r="CV115" s="25">
        <v>59.24</v>
      </c>
      <c r="CW115" s="20">
        <v>60.45</v>
      </c>
      <c r="CX115" s="20">
        <v>61.32</v>
      </c>
      <c r="CY115" s="20"/>
      <c r="CZ115" s="20"/>
      <c r="DA115" s="20"/>
      <c r="DB115" s="20"/>
      <c r="DC115" s="20"/>
      <c r="DD115" s="20"/>
      <c r="DE115" s="20"/>
      <c r="DF115" s="20"/>
      <c r="DG115" s="20"/>
      <c r="DH115" s="20"/>
      <c r="DI115" s="20"/>
      <c r="DJ115" s="20"/>
      <c r="DK115" s="20"/>
      <c r="DL115" s="20"/>
      <c r="DM115" s="20"/>
      <c r="DN115" s="20"/>
      <c r="DO115" s="20"/>
      <c r="DP115" s="20"/>
      <c r="DQ115" s="20"/>
      <c r="DR115" s="20"/>
      <c r="DS115" s="20"/>
      <c r="DT115" s="20"/>
      <c r="DU115" s="20"/>
      <c r="DV115" s="20"/>
      <c r="DW115" s="20"/>
      <c r="DX115" s="20"/>
      <c r="DY115" s="20"/>
      <c r="DZ115" s="54">
        <v>12</v>
      </c>
      <c r="EA115" s="54">
        <v>24</v>
      </c>
      <c r="EB115" s="54"/>
      <c r="EC115" s="20"/>
      <c r="ED115" s="20"/>
      <c r="EE115" s="20"/>
      <c r="EF115" s="20"/>
      <c r="EG115" s="20"/>
      <c r="EH115" s="20"/>
      <c r="EI115" s="20"/>
      <c r="EJ115" s="20"/>
      <c r="EK115" s="20"/>
      <c r="EL115" s="20"/>
      <c r="EM115" s="20"/>
      <c r="EN115" s="20"/>
      <c r="EO115" s="20"/>
      <c r="EP115" s="20"/>
      <c r="EQ115" s="20"/>
      <c r="ER115" s="20"/>
      <c r="ES115" s="20"/>
      <c r="ET115" s="20"/>
      <c r="EU115" s="20"/>
      <c r="EV115" s="20" t="s">
        <v>11</v>
      </c>
      <c r="EW115" s="20">
        <v>0</v>
      </c>
      <c r="EX115" s="20">
        <v>0</v>
      </c>
      <c r="EY115" s="20">
        <v>0</v>
      </c>
      <c r="EZ115" s="20">
        <v>0</v>
      </c>
      <c r="FA115" s="20">
        <v>2</v>
      </c>
      <c r="FB115" s="20">
        <v>2</v>
      </c>
      <c r="FC115" s="20">
        <v>2</v>
      </c>
      <c r="FD115" s="20">
        <v>2</v>
      </c>
      <c r="FE115" s="20">
        <v>4</v>
      </c>
      <c r="FF115" s="20">
        <v>4</v>
      </c>
      <c r="FG115" s="20">
        <v>4</v>
      </c>
      <c r="FH115" s="20">
        <v>6</v>
      </c>
      <c r="FI115" s="20">
        <v>6</v>
      </c>
      <c r="FJ115" s="20">
        <v>6</v>
      </c>
      <c r="FK115" s="20">
        <v>6</v>
      </c>
      <c r="FL115" s="20">
        <v>8</v>
      </c>
      <c r="FM115" s="20">
        <v>8</v>
      </c>
      <c r="FN115" s="20">
        <v>8</v>
      </c>
      <c r="FO115" s="20">
        <v>8</v>
      </c>
      <c r="FP115" s="20">
        <v>10</v>
      </c>
      <c r="FQ115" s="20">
        <v>10</v>
      </c>
      <c r="FR115" s="20">
        <v>10</v>
      </c>
      <c r="FS115" s="20">
        <v>12</v>
      </c>
      <c r="FT115" s="20">
        <v>12</v>
      </c>
      <c r="FU115" s="20">
        <v>12</v>
      </c>
      <c r="FV115" s="20">
        <v>12</v>
      </c>
      <c r="FW115" s="20">
        <v>14</v>
      </c>
      <c r="FX115" s="20">
        <v>14</v>
      </c>
      <c r="FY115" s="20">
        <v>14</v>
      </c>
      <c r="FZ115" s="20">
        <v>16</v>
      </c>
      <c r="GA115" s="20">
        <v>16</v>
      </c>
      <c r="GB115" s="20">
        <v>16</v>
      </c>
      <c r="GC115" s="20">
        <v>16</v>
      </c>
      <c r="GD115" s="20">
        <v>18</v>
      </c>
      <c r="GE115" s="20">
        <v>18</v>
      </c>
      <c r="GF115" s="20">
        <v>18</v>
      </c>
      <c r="GG115" s="20">
        <v>18</v>
      </c>
      <c r="GH115" s="20">
        <v>20</v>
      </c>
      <c r="GI115" s="20">
        <v>20</v>
      </c>
      <c r="GJ115" s="20">
        <v>20</v>
      </c>
      <c r="GK115" s="20">
        <v>22</v>
      </c>
      <c r="GL115" s="20">
        <v>22</v>
      </c>
      <c r="GM115" s="20">
        <v>22</v>
      </c>
      <c r="GN115" s="20">
        <v>22</v>
      </c>
      <c r="GO115" s="20">
        <v>24</v>
      </c>
      <c r="GP115" s="20">
        <v>24</v>
      </c>
      <c r="GQ115" s="20">
        <v>24</v>
      </c>
      <c r="GR115" s="20">
        <v>24</v>
      </c>
      <c r="GS115" s="20">
        <v>26</v>
      </c>
      <c r="GT115" s="20">
        <v>26</v>
      </c>
      <c r="GU115" s="20">
        <v>26</v>
      </c>
      <c r="GV115" s="20"/>
      <c r="GW115" s="20"/>
      <c r="GX115" s="20"/>
      <c r="GY115" s="21" t="s">
        <v>712</v>
      </c>
      <c r="GZ115" s="21">
        <v>0</v>
      </c>
      <c r="HA115" s="21">
        <v>0</v>
      </c>
      <c r="HB115" s="21">
        <v>0</v>
      </c>
      <c r="HC115" s="21">
        <v>0</v>
      </c>
      <c r="HD115" s="21">
        <v>2</v>
      </c>
      <c r="HE115" s="21">
        <v>2</v>
      </c>
      <c r="HF115" s="21">
        <v>2</v>
      </c>
      <c r="HG115" s="21">
        <v>4</v>
      </c>
      <c r="HH115" s="21">
        <v>4</v>
      </c>
      <c r="HI115" s="21">
        <v>4</v>
      </c>
      <c r="HJ115" s="21">
        <v>6</v>
      </c>
      <c r="HK115" s="21">
        <v>6</v>
      </c>
      <c r="HL115" s="21">
        <v>6</v>
      </c>
      <c r="HM115" s="21">
        <v>8</v>
      </c>
      <c r="HN115" s="21">
        <v>8</v>
      </c>
      <c r="HO115" s="21">
        <v>8</v>
      </c>
      <c r="HP115" s="21">
        <v>10</v>
      </c>
      <c r="HQ115" s="21">
        <v>10</v>
      </c>
      <c r="HR115" s="21">
        <v>10</v>
      </c>
      <c r="HS115" s="21">
        <v>12</v>
      </c>
      <c r="HT115" s="21">
        <v>12</v>
      </c>
      <c r="HU115" s="21"/>
      <c r="HV115" s="21" t="s">
        <v>853</v>
      </c>
      <c r="HW115" s="20">
        <v>0</v>
      </c>
      <c r="HX115" s="20">
        <v>0</v>
      </c>
      <c r="HY115" s="20">
        <v>0</v>
      </c>
      <c r="HZ115" s="20">
        <v>2</v>
      </c>
      <c r="IA115" s="20">
        <v>2</v>
      </c>
      <c r="IB115" s="20">
        <v>4</v>
      </c>
      <c r="IC115" s="20">
        <v>4</v>
      </c>
      <c r="ID115" s="20">
        <v>6</v>
      </c>
      <c r="IE115" s="20">
        <v>8</v>
      </c>
      <c r="IF115" s="20">
        <v>8</v>
      </c>
      <c r="IG115" s="20">
        <v>10</v>
      </c>
      <c r="IH115" s="20">
        <v>10</v>
      </c>
      <c r="II115" s="20">
        <v>12</v>
      </c>
      <c r="IJ115" s="20">
        <v>12</v>
      </c>
      <c r="IK115" s="20">
        <v>14</v>
      </c>
      <c r="IL115" s="20">
        <v>14</v>
      </c>
      <c r="IM115" s="20">
        <v>16</v>
      </c>
      <c r="IN115" s="20">
        <v>16</v>
      </c>
      <c r="IO115" s="20">
        <v>18</v>
      </c>
      <c r="IP115" s="20">
        <v>18</v>
      </c>
      <c r="IQ115" s="20">
        <v>20</v>
      </c>
      <c r="IR115" s="21"/>
      <c r="IS115" s="21" t="s">
        <v>853</v>
      </c>
      <c r="IT115" s="21">
        <f t="shared" si="39"/>
        <v>0</v>
      </c>
      <c r="IU115" s="21">
        <f t="shared" si="39"/>
        <v>0</v>
      </c>
      <c r="IV115" s="21">
        <f t="shared" si="39"/>
        <v>0</v>
      </c>
      <c r="IW115" s="21">
        <f t="shared" si="39"/>
        <v>4</v>
      </c>
      <c r="IX115" s="21">
        <f t="shared" si="39"/>
        <v>4</v>
      </c>
      <c r="IY115" s="21">
        <f t="shared" si="39"/>
        <v>8</v>
      </c>
      <c r="IZ115" s="21">
        <f t="shared" si="39"/>
        <v>8</v>
      </c>
      <c r="JA115" s="21">
        <f t="shared" si="39"/>
        <v>12</v>
      </c>
      <c r="JB115" s="21">
        <f t="shared" si="39"/>
        <v>16</v>
      </c>
      <c r="JC115" s="21">
        <f t="shared" si="39"/>
        <v>16</v>
      </c>
      <c r="JD115" s="21">
        <f t="shared" si="39"/>
        <v>20</v>
      </c>
      <c r="JE115" s="21">
        <f t="shared" si="39"/>
        <v>20</v>
      </c>
      <c r="JF115" s="21">
        <f t="shared" si="39"/>
        <v>24</v>
      </c>
      <c r="JG115" s="21">
        <f t="shared" si="39"/>
        <v>24</v>
      </c>
      <c r="JH115" s="21">
        <f t="shared" si="39"/>
        <v>28</v>
      </c>
      <c r="JI115" s="21">
        <f t="shared" si="39"/>
        <v>28</v>
      </c>
      <c r="JJ115" s="21">
        <f t="shared" si="40"/>
        <v>32</v>
      </c>
      <c r="JK115" s="21">
        <f t="shared" si="40"/>
        <v>32</v>
      </c>
      <c r="JL115" s="21">
        <f t="shared" si="40"/>
        <v>36</v>
      </c>
      <c r="JM115" s="21">
        <f t="shared" si="40"/>
        <v>36</v>
      </c>
      <c r="JN115" s="21">
        <f t="shared" si="40"/>
        <v>40</v>
      </c>
      <c r="JO115" s="21"/>
      <c r="JP115" s="21"/>
      <c r="JQ115" s="26"/>
      <c r="JR115" s="21"/>
      <c r="JS115" s="21"/>
      <c r="JT115" s="21"/>
      <c r="JU115" s="21"/>
      <c r="JV115" s="21"/>
      <c r="JW115" s="21"/>
      <c r="JX115" s="21"/>
      <c r="JY115" s="21"/>
      <c r="JZ115" s="21"/>
      <c r="KA115" s="21"/>
      <c r="KB115" s="21"/>
      <c r="KC115" s="21"/>
      <c r="KD115" s="21"/>
      <c r="KE115" s="21"/>
      <c r="KF115" s="21"/>
      <c r="KG115" s="26"/>
      <c r="KH115" s="21"/>
    </row>
    <row r="116" spans="1:294" x14ac:dyDescent="0.25">
      <c r="A116" s="8"/>
      <c r="B116" s="5" t="s">
        <v>116</v>
      </c>
      <c r="C116" s="8"/>
      <c r="D116" s="40" t="s">
        <v>943</v>
      </c>
      <c r="E116" s="9"/>
      <c r="F116" s="9"/>
      <c r="G116" s="9"/>
      <c r="H116" s="9"/>
      <c r="I116" s="9"/>
      <c r="J116" s="9"/>
      <c r="K116" s="9"/>
      <c r="L116" s="6" t="str">
        <f>IF(E108=$Z$104,"SGKFM10X20PV",IF(E108=$Z$105,"-------",IF(E108=$Z$106,"-------",IF(E108=$Z$107,"SMDP6,0X25E",0))))</f>
        <v>-------</v>
      </c>
      <c r="M116" s="11" t="str">
        <f>INDEX(cennik!$C$2:$L$529,MATCH($L116,cennik!$B$2:$B$522,0),MATCH(M$104,cennik!$C$1:$L$1,0))</f>
        <v>-------</v>
      </c>
      <c r="N116" s="11">
        <f>INDEX(cennik!$C$2:$L$529,MATCH($L116,cennik!$B$2:$B$522,0),MATCH(N$104,cennik!$C$1:$L$1,0))</f>
        <v>0</v>
      </c>
      <c r="O116" s="11">
        <f>IF(E108=$Z$104,ROUNDUP((O105*0)/100,0),IF(E108=$Z$105,0,IF(E108=$Z$106,0,IF(E108=$Z$107,O115*4,0))))</f>
        <v>0</v>
      </c>
      <c r="P116" s="34">
        <f>INDEX(cennik!$C$2:$L$529,MATCH($L116,cennik!$B$2:$B$522,0),MATCH(P$104,cennik!$C$1:$L$1,0))</f>
        <v>0</v>
      </c>
      <c r="Q116" s="34">
        <f t="shared" si="34"/>
        <v>0</v>
      </c>
      <c r="R116" s="35">
        <f t="shared" si="31"/>
        <v>0</v>
      </c>
      <c r="S116" s="34">
        <f t="shared" si="32"/>
        <v>0</v>
      </c>
      <c r="T116" s="34">
        <f t="shared" si="35"/>
        <v>0</v>
      </c>
      <c r="U116" s="34">
        <f>INDEX(cennik!$C$2:$L$529,MATCH($L116,cennik!$B$2:$B$522,0),MATCH(U$104,cennik!$C$1:$L$1,0))*O116</f>
        <v>0</v>
      </c>
      <c r="V116" s="20"/>
      <c r="W116" s="25">
        <f t="shared" si="33"/>
        <v>0</v>
      </c>
      <c r="X116" s="20" t="s">
        <v>113</v>
      </c>
      <c r="Y116" s="20">
        <v>2000</v>
      </c>
      <c r="Z116" s="20" t="s">
        <v>485</v>
      </c>
      <c r="AA116" s="20">
        <v>1910</v>
      </c>
      <c r="AB116" s="20"/>
      <c r="AC1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</f>
        <v>0</v>
      </c>
      <c r="AD1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</f>
        <v>0</v>
      </c>
      <c r="AE1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</f>
        <v>0</v>
      </c>
      <c r="AF1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106,$GB$182:$GV$182,0),MATCH($E$105,$X$109:$X$126,0)))*C106</f>
        <v>0</v>
      </c>
      <c r="AG1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106,$GB$182:$GV$182,0),MATCH($E$105,$X$109:$X$126,0)))*C106</f>
        <v>0</v>
      </c>
      <c r="AH1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106,$GB$182:$GV$182,0),MATCH($E$105,$X$109:$X$126,0)))*C106</f>
        <v>0</v>
      </c>
      <c r="AI116" s="20">
        <f t="shared" si="41"/>
        <v>0</v>
      </c>
      <c r="AJ116" s="20">
        <f t="shared" si="42"/>
        <v>0</v>
      </c>
      <c r="AK116" s="20">
        <f t="shared" si="43"/>
        <v>0</v>
      </c>
      <c r="AL116" s="20" t="s">
        <v>12</v>
      </c>
      <c r="AM116" s="20">
        <v>0</v>
      </c>
      <c r="AN116" s="20">
        <v>0</v>
      </c>
      <c r="AO116" s="20">
        <v>0</v>
      </c>
      <c r="AP116" s="20">
        <v>0</v>
      </c>
      <c r="AQ116" s="20">
        <v>0</v>
      </c>
      <c r="AR116" s="20">
        <v>0</v>
      </c>
      <c r="AS116" s="20">
        <v>0</v>
      </c>
      <c r="AT116" s="20">
        <v>0</v>
      </c>
      <c r="AU116" s="20">
        <v>2</v>
      </c>
      <c r="AV116" s="20">
        <v>0</v>
      </c>
      <c r="AW116" s="20">
        <v>0</v>
      </c>
      <c r="AX116" s="20">
        <v>0</v>
      </c>
      <c r="AY116" s="20">
        <v>0</v>
      </c>
      <c r="AZ116" s="20">
        <v>4</v>
      </c>
      <c r="BA116" s="20">
        <v>2</v>
      </c>
      <c r="BB116" s="20">
        <v>0</v>
      </c>
      <c r="BC116" s="20">
        <v>2</v>
      </c>
      <c r="BD116" s="20">
        <v>0</v>
      </c>
      <c r="BE116" s="20">
        <v>0</v>
      </c>
      <c r="BF116" s="20">
        <v>4</v>
      </c>
      <c r="BG116" s="20">
        <v>2</v>
      </c>
      <c r="BH116" s="20">
        <v>0</v>
      </c>
      <c r="BI116" s="20">
        <v>0</v>
      </c>
      <c r="BJ116" s="20">
        <v>2</v>
      </c>
      <c r="BK116" s="20">
        <v>0</v>
      </c>
      <c r="BL116" s="20">
        <v>0</v>
      </c>
      <c r="BM116" s="20">
        <v>0</v>
      </c>
      <c r="BN116" s="20">
        <v>0</v>
      </c>
      <c r="BO116" s="20">
        <v>4</v>
      </c>
      <c r="BP116" s="20">
        <v>2</v>
      </c>
      <c r="BQ116" s="20">
        <v>0</v>
      </c>
      <c r="BR116" s="20">
        <v>2</v>
      </c>
      <c r="BS116" s="20">
        <v>0</v>
      </c>
      <c r="BT116" s="20">
        <v>0</v>
      </c>
      <c r="BU116" s="20">
        <v>2</v>
      </c>
      <c r="BV116" s="20">
        <v>0</v>
      </c>
      <c r="BW116" s="20">
        <v>0</v>
      </c>
      <c r="BX116" s="20">
        <v>0</v>
      </c>
      <c r="BY116" s="20">
        <v>0</v>
      </c>
      <c r="BZ116" s="20">
        <v>0</v>
      </c>
      <c r="CA116" s="20">
        <v>0</v>
      </c>
      <c r="CB116" s="20">
        <v>0</v>
      </c>
      <c r="CC116" s="20">
        <v>0</v>
      </c>
      <c r="CD116" s="20">
        <v>0</v>
      </c>
      <c r="CE116" s="20">
        <v>0</v>
      </c>
      <c r="CF116" s="20">
        <v>0</v>
      </c>
      <c r="CG116" s="20">
        <v>0</v>
      </c>
      <c r="CH116" s="20">
        <v>0</v>
      </c>
      <c r="CI116" s="20">
        <v>0</v>
      </c>
      <c r="CJ116" s="20">
        <v>0</v>
      </c>
      <c r="CK116" s="20">
        <v>0</v>
      </c>
      <c r="CL116" s="20"/>
      <c r="CM116" s="20"/>
      <c r="CN116" s="20">
        <v>57.19</v>
      </c>
      <c r="CO116" s="20">
        <v>62.51</v>
      </c>
      <c r="CP116" s="25">
        <v>63.3</v>
      </c>
      <c r="CQ116" s="20">
        <v>64.38</v>
      </c>
      <c r="CR116" s="25">
        <v>65.8</v>
      </c>
      <c r="CS116" s="25">
        <v>67.22</v>
      </c>
      <c r="CT116" s="25">
        <v>68.349999999999994</v>
      </c>
      <c r="CU116" s="25">
        <v>69.900000000000006</v>
      </c>
      <c r="CV116" s="25">
        <v>71.8</v>
      </c>
      <c r="CW116" s="20">
        <v>72.52</v>
      </c>
      <c r="CX116" s="20">
        <v>73.2</v>
      </c>
      <c r="CY116" s="20"/>
      <c r="CZ116" s="20"/>
      <c r="DA116" s="20"/>
      <c r="DB116" s="20"/>
      <c r="DC116" s="20"/>
      <c r="DD116" s="20"/>
      <c r="DE116" s="20"/>
      <c r="DF116" s="20"/>
      <c r="DG116" s="20"/>
      <c r="DH116" s="20"/>
      <c r="DI116" s="20"/>
      <c r="DJ116" s="20"/>
      <c r="DK116" s="20"/>
      <c r="DL116" s="20"/>
      <c r="DM116" s="20"/>
      <c r="DN116" s="20"/>
      <c r="DO116" s="20"/>
      <c r="DP116" s="20"/>
      <c r="DQ116" s="20"/>
      <c r="DR116" s="20"/>
      <c r="DS116" s="20"/>
      <c r="DT116" s="20"/>
      <c r="DU116" s="20"/>
      <c r="DV116" s="20"/>
      <c r="DW116" s="20"/>
      <c r="DX116" s="20"/>
      <c r="DY116" s="20"/>
      <c r="DZ116" s="54">
        <v>13</v>
      </c>
      <c r="EA116" s="54">
        <v>26</v>
      </c>
      <c r="EB116" s="54"/>
      <c r="EC116" s="20"/>
      <c r="ED116" s="20"/>
      <c r="EE116" s="20"/>
      <c r="EF116" s="20"/>
      <c r="EG116" s="20"/>
      <c r="EH116" s="20"/>
      <c r="EI116" s="20"/>
      <c r="EJ116" s="20"/>
      <c r="EK116" s="20"/>
      <c r="EL116" s="20"/>
      <c r="EM116" s="20"/>
      <c r="EN116" s="20"/>
      <c r="EO116" s="27" t="s">
        <v>303</v>
      </c>
      <c r="EP116" s="27" t="s">
        <v>304</v>
      </c>
      <c r="EQ116" s="27" t="s">
        <v>450</v>
      </c>
      <c r="ER116" s="27" t="s">
        <v>305</v>
      </c>
      <c r="ES116" s="26" t="s">
        <v>306</v>
      </c>
      <c r="ET116" s="26"/>
      <c r="EU116" s="26"/>
      <c r="EV116" s="20"/>
      <c r="EW116" s="20"/>
      <c r="EX116" s="20"/>
      <c r="EY116" s="20"/>
      <c r="EZ116" s="20"/>
      <c r="FA116" s="20"/>
      <c r="FB116" s="20"/>
      <c r="FC116" s="20"/>
      <c r="FD116" s="20"/>
      <c r="FE116" s="20"/>
      <c r="FF116" s="20"/>
      <c r="FG116" s="20"/>
      <c r="FH116" s="20"/>
      <c r="FI116" s="20"/>
      <c r="FJ116" s="20"/>
      <c r="FK116" s="20"/>
      <c r="FL116" s="20"/>
      <c r="FM116" s="20"/>
      <c r="FN116" s="20"/>
      <c r="FO116" s="20"/>
      <c r="FP116" s="20"/>
      <c r="FQ116" s="20"/>
      <c r="FR116" s="20"/>
      <c r="FS116" s="20"/>
      <c r="FT116" s="20"/>
      <c r="FU116" s="20"/>
      <c r="FV116" s="20"/>
      <c r="FW116" s="20"/>
      <c r="FX116" s="20"/>
      <c r="FY116" s="20"/>
      <c r="FZ116" s="20"/>
      <c r="GA116" s="20"/>
      <c r="GB116" s="20"/>
      <c r="GC116" s="20"/>
      <c r="GD116" s="20"/>
      <c r="GE116" s="20"/>
      <c r="GF116" s="20"/>
      <c r="GG116" s="20"/>
      <c r="GH116" s="20"/>
      <c r="GI116" s="20"/>
      <c r="GJ116" s="20"/>
      <c r="GK116" s="20"/>
      <c r="GL116" s="20"/>
      <c r="GM116" s="20"/>
      <c r="GN116" s="20"/>
      <c r="GO116" s="20"/>
      <c r="GP116" s="20"/>
      <c r="GQ116" s="20"/>
      <c r="GR116" s="20"/>
      <c r="GS116" s="20"/>
      <c r="GT116" s="20"/>
      <c r="GU116" s="20"/>
      <c r="GV116" s="20"/>
      <c r="GW116" s="20"/>
      <c r="GX116" s="20"/>
      <c r="GY116" s="21"/>
      <c r="GZ116" s="21"/>
      <c r="HA116" s="21"/>
      <c r="HB116" s="21"/>
      <c r="HC116" s="21"/>
      <c r="HD116" s="21"/>
      <c r="HE116" s="21"/>
      <c r="HF116" s="21"/>
      <c r="HG116" s="21"/>
      <c r="HH116" s="21"/>
      <c r="HI116" s="21"/>
      <c r="HJ116" s="21"/>
      <c r="HK116" s="21"/>
      <c r="HL116" s="21"/>
      <c r="HM116" s="21"/>
      <c r="HN116" s="21"/>
      <c r="HO116" s="21"/>
      <c r="HP116" s="21"/>
      <c r="HQ116" s="21"/>
      <c r="HR116" s="21"/>
      <c r="HS116" s="21"/>
      <c r="HT116" s="21"/>
      <c r="HU116" s="21"/>
      <c r="HV116" s="186"/>
      <c r="HW116" s="20"/>
      <c r="HX116" s="20"/>
      <c r="HY116" s="20"/>
      <c r="HZ116" s="20"/>
      <c r="IA116" s="20"/>
      <c r="IB116" s="20"/>
      <c r="IC116" s="20"/>
      <c r="ID116" s="20"/>
      <c r="IE116" s="20"/>
      <c r="IF116" s="20"/>
      <c r="IG116" s="20"/>
      <c r="IH116" s="20"/>
      <c r="II116" s="20"/>
      <c r="IJ116" s="20"/>
      <c r="IK116" s="20"/>
      <c r="IL116" s="20"/>
      <c r="IM116" s="20"/>
      <c r="IN116" s="20"/>
      <c r="IO116" s="20"/>
      <c r="IP116" s="20"/>
      <c r="IQ116" s="20"/>
      <c r="IR116" s="21"/>
      <c r="IS116" s="21"/>
      <c r="IT116" s="21"/>
      <c r="IU116" s="21"/>
      <c r="IV116" s="21"/>
      <c r="IW116" s="21"/>
      <c r="IX116" s="21"/>
      <c r="IY116" s="21"/>
      <c r="IZ116" s="21"/>
      <c r="JA116" s="21"/>
      <c r="JB116" s="21"/>
      <c r="JC116" s="21"/>
      <c r="JD116" s="21"/>
      <c r="JE116" s="21"/>
      <c r="JF116" s="21"/>
      <c r="JG116" s="21"/>
      <c r="JH116" s="21"/>
      <c r="JI116" s="21"/>
      <c r="JJ116" s="21"/>
      <c r="JK116" s="21"/>
      <c r="JL116" s="21"/>
      <c r="JM116" s="21"/>
      <c r="JN116" s="21"/>
      <c r="JO116" s="21"/>
      <c r="JP116" s="21"/>
      <c r="JQ116" s="26"/>
      <c r="JR116" s="21"/>
      <c r="JS116" s="21"/>
      <c r="JT116" s="21"/>
      <c r="JU116" s="21"/>
      <c r="JV116" s="21"/>
      <c r="JW116" s="21"/>
      <c r="JX116" s="21"/>
      <c r="JY116" s="21"/>
      <c r="JZ116" s="21"/>
      <c r="KA116" s="21"/>
      <c r="KB116" s="21"/>
      <c r="KC116" s="21"/>
      <c r="KD116" s="21"/>
      <c r="KE116" s="21"/>
      <c r="KF116" s="21"/>
      <c r="KG116" s="26"/>
      <c r="KH116" s="21"/>
    </row>
    <row r="117" spans="1:294" x14ac:dyDescent="0.25">
      <c r="A117" s="8"/>
      <c r="B117" s="5" t="s">
        <v>116</v>
      </c>
      <c r="C117" s="8"/>
      <c r="D117" s="9"/>
      <c r="E117" s="9"/>
      <c r="F117" s="9"/>
      <c r="G117" s="9"/>
      <c r="H117" s="9"/>
      <c r="I117" s="9"/>
      <c r="J117" s="9"/>
      <c r="K117" s="9"/>
      <c r="L117" s="6" t="s">
        <v>20</v>
      </c>
      <c r="M117" s="11">
        <f>INDEX(cennik!$C$2:$L$529,MATCH($L117,cennik!$B$2:$B$522,0),MATCH(M$104,cennik!$C$1:$L$1,0))</f>
        <v>6506513</v>
      </c>
      <c r="N117" s="11" t="str">
        <f>INDEX(cennik!$C$2:$L$529,MATCH($L117,cennik!$B$2:$B$522,0),MATCH(N$104,cennik!$C$1:$L$1,0))</f>
        <v>szt.</v>
      </c>
      <c r="O117" s="11">
        <f>SUM(O106:O107)+E111</f>
        <v>0</v>
      </c>
      <c r="P117" s="34">
        <f>INDEX(cennik!$C$2:$L$529,MATCH($L117,cennik!$B$2:$B$522,0),MATCH(P$104,cennik!$C$1:$L$1,0))</f>
        <v>4.1900000000000004</v>
      </c>
      <c r="Q117" s="34">
        <f t="shared" si="34"/>
        <v>0</v>
      </c>
      <c r="R117" s="35">
        <f t="shared" si="31"/>
        <v>0</v>
      </c>
      <c r="S117" s="34">
        <f t="shared" si="32"/>
        <v>4.1900000000000004</v>
      </c>
      <c r="T117" s="34">
        <f t="shared" si="35"/>
        <v>0</v>
      </c>
      <c r="U117" s="34">
        <f>INDEX(cennik!$C$2:$L$529,MATCH($L117,cennik!$B$2:$B$522,0),MATCH(U$104,cennik!$C$1:$L$1,0))*O117</f>
        <v>0</v>
      </c>
      <c r="V117" s="20"/>
      <c r="W117" s="25">
        <f t="shared" si="33"/>
        <v>0</v>
      </c>
      <c r="X117" s="20" t="s">
        <v>137</v>
      </c>
      <c r="Y117" s="20">
        <v>2050</v>
      </c>
      <c r="Z117" s="20" t="s">
        <v>486</v>
      </c>
      <c r="AA117" s="21">
        <v>1942</v>
      </c>
      <c r="AB117" s="21">
        <f>IF($E$105=$Z$109,$AA$109,IF($E$105=$Z$110,$AA$110,IF($E$105=$Z$111,$AA$111,IF($E$105=$Z$112,$AA$112,IF($E$105=$Z$113,$AA$113,IF($E$105=$Z$114,$AA$114,IF($E$105=$Z$115,$AA$115,IF($E$105=$Z$116,$AA$116,IF($E$105=$Z$117,$AA$117,IF($E$105=$Z$118,$AA$118,IF($E$105=$Z$119,$AA$119,IF($E$105=$Z$120,$AA$120,IF($E$105=$Z$121,$AA$121,0)))))))))))))</f>
        <v>0</v>
      </c>
      <c r="AC1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</f>
        <v>0</v>
      </c>
      <c r="AD1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</f>
        <v>0</v>
      </c>
      <c r="AE1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</f>
        <v>0</v>
      </c>
      <c r="AF1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107,$GB$182:$GV$182,0),MATCH($E$105,$X$109:$X$126,0)))*C107</f>
        <v>0</v>
      </c>
      <c r="AG1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107,$GB$182:$GV$182,0),MATCH($E$105,$X$109:$X$126,0)))*C107</f>
        <v>0</v>
      </c>
      <c r="AH1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107,$GB$182:$GV$182,0),MATCH($E$105,$X$109:$X$126,0)))*C107</f>
        <v>0</v>
      </c>
      <c r="AI117" s="20">
        <f t="shared" si="41"/>
        <v>0</v>
      </c>
      <c r="AJ117" s="20">
        <f t="shared" si="42"/>
        <v>0</v>
      </c>
      <c r="AK117" s="20">
        <f t="shared" si="43"/>
        <v>0</v>
      </c>
      <c r="AL117" s="20" t="s">
        <v>127</v>
      </c>
      <c r="AM117" s="20">
        <v>0</v>
      </c>
      <c r="AN117" s="20">
        <v>0</v>
      </c>
      <c r="AO117" s="20">
        <v>2</v>
      </c>
      <c r="AP117" s="20">
        <v>0</v>
      </c>
      <c r="AQ117" s="20">
        <v>4</v>
      </c>
      <c r="AR117" s="20">
        <v>2</v>
      </c>
      <c r="AS117" s="20">
        <v>0</v>
      </c>
      <c r="AT117" s="20">
        <v>4</v>
      </c>
      <c r="AU117" s="20">
        <v>0</v>
      </c>
      <c r="AV117" s="20">
        <v>0</v>
      </c>
      <c r="AW117" s="20">
        <v>4</v>
      </c>
      <c r="AX117" s="20">
        <v>2</v>
      </c>
      <c r="AY117" s="20">
        <v>0</v>
      </c>
      <c r="AZ117" s="20">
        <v>0</v>
      </c>
      <c r="BA117" s="20">
        <v>0</v>
      </c>
      <c r="BB117" s="20">
        <v>0</v>
      </c>
      <c r="BC117" s="20">
        <v>2</v>
      </c>
      <c r="BD117" s="20">
        <v>2</v>
      </c>
      <c r="BE117" s="20">
        <v>0</v>
      </c>
      <c r="BF117" s="20">
        <v>0</v>
      </c>
      <c r="BG117" s="20">
        <v>0</v>
      </c>
      <c r="BH117" s="20">
        <v>0</v>
      </c>
      <c r="BI117" s="20">
        <v>4</v>
      </c>
      <c r="BJ117" s="20">
        <v>0</v>
      </c>
      <c r="BK117" s="20">
        <v>0</v>
      </c>
      <c r="BL117" s="20">
        <v>4</v>
      </c>
      <c r="BM117" s="20">
        <v>2</v>
      </c>
      <c r="BN117" s="20">
        <v>0</v>
      </c>
      <c r="BO117" s="20">
        <v>0</v>
      </c>
      <c r="BP117" s="20">
        <v>0</v>
      </c>
      <c r="BQ117" s="20">
        <v>0</v>
      </c>
      <c r="BR117" s="20">
        <v>2</v>
      </c>
      <c r="BS117" s="20">
        <v>2</v>
      </c>
      <c r="BT117" s="20">
        <v>0</v>
      </c>
      <c r="BU117" s="20">
        <v>0</v>
      </c>
      <c r="BV117" s="20">
        <v>0</v>
      </c>
      <c r="BW117" s="20">
        <v>0</v>
      </c>
      <c r="BX117" s="20">
        <v>2</v>
      </c>
      <c r="BY117" s="20">
        <v>0</v>
      </c>
      <c r="BZ117" s="20">
        <v>0</v>
      </c>
      <c r="CA117" s="20">
        <v>0</v>
      </c>
      <c r="CB117" s="20">
        <v>2</v>
      </c>
      <c r="CC117" s="20">
        <v>0</v>
      </c>
      <c r="CD117" s="20">
        <v>0</v>
      </c>
      <c r="CE117" s="20">
        <v>0</v>
      </c>
      <c r="CF117" s="20">
        <v>0</v>
      </c>
      <c r="CG117" s="20">
        <v>0</v>
      </c>
      <c r="CH117" s="20">
        <v>0</v>
      </c>
      <c r="CI117" s="20">
        <v>0</v>
      </c>
      <c r="CJ117" s="20">
        <v>0</v>
      </c>
      <c r="CK117" s="20">
        <v>2</v>
      </c>
      <c r="CL117" s="20"/>
      <c r="CM117" s="20"/>
      <c r="CN117" s="27" t="s">
        <v>303</v>
      </c>
      <c r="CO117" s="27" t="s">
        <v>304</v>
      </c>
      <c r="CP117" s="27" t="s">
        <v>481</v>
      </c>
      <c r="CQ117" s="27" t="s">
        <v>450</v>
      </c>
      <c r="CR117" s="26" t="s">
        <v>482</v>
      </c>
      <c r="CS117" s="26" t="s">
        <v>483</v>
      </c>
      <c r="CT117" s="26" t="s">
        <v>484</v>
      </c>
      <c r="CU117" s="26" t="s">
        <v>485</v>
      </c>
      <c r="CV117" s="26" t="s">
        <v>486</v>
      </c>
      <c r="CW117" s="27" t="s">
        <v>305</v>
      </c>
      <c r="CX117" s="27" t="s">
        <v>306</v>
      </c>
      <c r="CY117" s="26" t="s">
        <v>530</v>
      </c>
      <c r="CZ117" s="26" t="s">
        <v>531</v>
      </c>
      <c r="DA117" s="26" t="s">
        <v>532</v>
      </c>
      <c r="DB117" s="26" t="s">
        <v>533</v>
      </c>
      <c r="DC117" s="26" t="s">
        <v>534</v>
      </c>
      <c r="DD117" s="26" t="s">
        <v>535</v>
      </c>
      <c r="DE117" s="26" t="s">
        <v>536</v>
      </c>
      <c r="DF117" s="26" t="s">
        <v>537</v>
      </c>
      <c r="DG117" s="20"/>
      <c r="DH117" s="20"/>
      <c r="DI117" s="20"/>
      <c r="DJ117" s="20"/>
      <c r="DK117" s="20"/>
      <c r="DL117" s="20"/>
      <c r="DM117" s="20"/>
      <c r="DN117" s="20"/>
      <c r="DO117" s="20"/>
      <c r="DP117" s="20"/>
      <c r="DQ117" s="20"/>
      <c r="DR117" s="20"/>
      <c r="DS117" s="20"/>
      <c r="DT117" s="20"/>
      <c r="DU117" s="20"/>
      <c r="DV117" s="20"/>
      <c r="DW117" s="20"/>
      <c r="DX117" s="20"/>
      <c r="DY117" s="20"/>
      <c r="DZ117" s="54">
        <v>14</v>
      </c>
      <c r="EA117" s="54">
        <v>28</v>
      </c>
      <c r="EB117" s="54"/>
      <c r="EC117" s="20"/>
      <c r="ED117" s="20"/>
      <c r="EE117" s="20"/>
      <c r="EF117" s="20"/>
      <c r="EG117" s="20"/>
      <c r="EH117" s="20"/>
      <c r="EI117" s="20"/>
      <c r="EJ117" s="20"/>
      <c r="EK117" s="20"/>
      <c r="EL117" s="20"/>
      <c r="EM117" s="20"/>
      <c r="EN117" s="20"/>
      <c r="EO117" s="20"/>
      <c r="EP117" s="20"/>
      <c r="EQ117" s="20"/>
      <c r="ER117" s="20"/>
      <c r="ES117" s="20"/>
      <c r="ET117" s="20"/>
      <c r="EU117" s="20"/>
      <c r="EV117" s="20" t="s">
        <v>115</v>
      </c>
      <c r="EW117" s="20"/>
      <c r="EX117" s="20"/>
      <c r="EY117" s="20"/>
      <c r="EZ117" s="20"/>
      <c r="FA117" s="20"/>
      <c r="FB117" s="20"/>
      <c r="FC117" s="20"/>
      <c r="FD117" s="20"/>
      <c r="FE117" s="20"/>
      <c r="FF117" s="20"/>
      <c r="FG117" s="20"/>
      <c r="FH117" s="20"/>
      <c r="FI117" s="20"/>
      <c r="FJ117" s="20"/>
      <c r="FK117" s="20"/>
      <c r="FL117" s="20"/>
      <c r="FM117" s="20"/>
      <c r="FN117" s="20"/>
      <c r="FO117" s="20"/>
      <c r="FP117" s="20"/>
      <c r="FQ117" s="20"/>
      <c r="FR117" s="20"/>
      <c r="FS117" s="20"/>
      <c r="FT117" s="20"/>
      <c r="FU117" s="20"/>
      <c r="FV117" s="20"/>
      <c r="FW117" s="20"/>
      <c r="FX117" s="20"/>
      <c r="FY117" s="20"/>
      <c r="FZ117" s="20"/>
      <c r="GA117" s="20"/>
      <c r="GB117" s="20"/>
      <c r="GC117" s="20"/>
      <c r="GD117" s="20"/>
      <c r="GE117" s="20"/>
      <c r="GF117" s="20"/>
      <c r="GG117" s="20"/>
      <c r="GH117" s="20"/>
      <c r="GI117" s="20"/>
      <c r="GJ117" s="20"/>
      <c r="GK117" s="20"/>
      <c r="GL117" s="20"/>
      <c r="GM117" s="20"/>
      <c r="GN117" s="20"/>
      <c r="GO117" s="20"/>
      <c r="GP117" s="20"/>
      <c r="GQ117" s="20"/>
      <c r="GR117" s="20"/>
      <c r="GS117" s="20"/>
      <c r="GT117" s="20"/>
      <c r="GU117" s="20"/>
      <c r="GV117" s="20"/>
      <c r="GW117" s="20"/>
      <c r="GX117" s="20"/>
      <c r="GY117" s="21" t="s">
        <v>474</v>
      </c>
      <c r="GZ117" s="21"/>
      <c r="HA117" s="21"/>
      <c r="HB117" s="21"/>
      <c r="HC117" s="21"/>
      <c r="HD117" s="21"/>
      <c r="HE117" s="21"/>
      <c r="HF117" s="21"/>
      <c r="HG117" s="21"/>
      <c r="HH117" s="21"/>
      <c r="HI117" s="21"/>
      <c r="HJ117" s="21"/>
      <c r="HK117" s="21"/>
      <c r="HL117" s="21"/>
      <c r="HM117" s="21"/>
      <c r="HN117" s="21"/>
      <c r="HO117" s="21"/>
      <c r="HP117" s="21"/>
      <c r="HQ117" s="21"/>
      <c r="HR117" s="21"/>
      <c r="HS117" s="21"/>
      <c r="HT117" s="21"/>
      <c r="HU117" s="346"/>
      <c r="HV117" s="186" t="s">
        <v>132</v>
      </c>
      <c r="HW117" s="20"/>
      <c r="HX117" s="20"/>
      <c r="HY117" s="20"/>
      <c r="HZ117" s="20"/>
      <c r="IA117" s="20"/>
      <c r="IB117" s="20"/>
      <c r="IC117" s="20"/>
      <c r="ID117" s="20"/>
      <c r="IE117" s="20"/>
      <c r="IF117" s="20"/>
      <c r="IG117" s="20"/>
      <c r="IH117" s="20"/>
      <c r="II117" s="20"/>
      <c r="IJ117" s="20"/>
      <c r="IK117" s="20"/>
      <c r="IL117" s="20"/>
      <c r="IM117" s="20"/>
      <c r="IN117" s="20"/>
      <c r="IO117" s="20"/>
      <c r="IP117" s="20"/>
      <c r="IQ117" s="20"/>
      <c r="IR117" s="21"/>
      <c r="IS117" s="21" t="s">
        <v>132</v>
      </c>
      <c r="IT117" s="21"/>
      <c r="IU117" s="21"/>
      <c r="IV117" s="21"/>
      <c r="IW117" s="21"/>
      <c r="IX117" s="21"/>
      <c r="IY117" s="21"/>
      <c r="IZ117" s="21"/>
      <c r="JA117" s="21"/>
      <c r="JB117" s="21"/>
      <c r="JC117" s="21"/>
      <c r="JD117" s="21"/>
      <c r="JE117" s="21"/>
      <c r="JF117" s="21"/>
      <c r="JG117" s="21"/>
      <c r="JH117" s="21"/>
      <c r="JI117" s="21"/>
      <c r="JJ117" s="21"/>
      <c r="JK117" s="21"/>
      <c r="JL117" s="21"/>
      <c r="JM117" s="21"/>
      <c r="JN117" s="21"/>
      <c r="JO117" s="21"/>
      <c r="JP117" s="21"/>
      <c r="JQ117" s="21"/>
      <c r="JR117" s="21"/>
      <c r="JS117" s="21"/>
      <c r="JT117" s="21"/>
      <c r="JU117" s="21"/>
      <c r="JV117" s="21"/>
      <c r="JW117" s="21"/>
      <c r="JX117" s="21"/>
      <c r="JY117" s="21"/>
      <c r="JZ117" s="21"/>
      <c r="KA117" s="21"/>
      <c r="KB117" s="21"/>
      <c r="KC117" s="21"/>
      <c r="KD117" s="21"/>
      <c r="KE117" s="21"/>
      <c r="KF117" s="21"/>
      <c r="KG117" s="26"/>
      <c r="KH117" s="21"/>
    </row>
    <row r="118" spans="1:294" x14ac:dyDescent="0.25">
      <c r="A118" s="8"/>
      <c r="B118" s="5" t="s">
        <v>116</v>
      </c>
      <c r="C118" s="8"/>
      <c r="D118" s="9"/>
      <c r="E118" s="9"/>
      <c r="F118" s="9"/>
      <c r="G118" s="9"/>
      <c r="H118" s="9"/>
      <c r="I118" s="9"/>
      <c r="J118" s="9"/>
      <c r="K118" s="9"/>
      <c r="L118" s="6" t="str">
        <f>IF(E106="standard","PUP",IF(E106="klick","PUPK",0))</f>
        <v>PUPK</v>
      </c>
      <c r="M118" s="11">
        <f>INDEX(cennik!$C$2:$L$529,MATCH($L118,cennik!$B$2:$B$522,0),MATCH(M$104,cennik!$C$1:$L$1,0))</f>
        <v>897304</v>
      </c>
      <c r="N118" s="11" t="str">
        <f>INDEX(cennik!$C$2:$L$529,MATCH($L118,cennik!$B$2:$B$522,0),MATCH(N$104,cennik!$C$1:$L$1,0))</f>
        <v>szt.</v>
      </c>
      <c r="O118" s="11">
        <f>SUM((IF(MOD(A104,2)=0,A104/2,IF(MOD(A104,2)=1,FLOOR(A104/2,1)+1,0))*C104),(IF(MOD(A105,2)=0,A105/2,IF(MOD(A105,2)=1,FLOOR(A105/2,1)+1,0))*C105),(IF(MOD(A106,2)=0,A106/2,IF(MOD(A106,2)=1,FLOOR(A106/2,1)+1,0))*C106),(IF(MOD(A107,2)=0,A107/2,IF(MOD(A107,2)=1,FLOOR(A107/2,1)+1,0))*C107),(IF(MOD(A108,2)=0,A108/2,IF(MOD(A108,2)=1,FLOOR(A108/2,1)+1,0))*C108),(IF(MOD(A109,2)=0,A109/2,IF(MOD(A109,2)=1,FLOOR(A109/2,1)+1,0))*C109),(IF(MOD(A110,2)=0,A110/2,IF(MOD(A110,2)=1,FLOOR(A110/2,1)+1,0))*C110),(IF(MOD(A111,2)=0,A111/2,IF(MOD(A111,2)=1,FLOOR(A111/2,1)+1,0))*C111),(IF(MOD(A112,2)=0,A112/2,IF(MOD(A112,2)=1,FLOOR(A112/2,1)+1,0))*C112),(IF(MOD(A113,2)=0,A113/2,IF(MOD(A113,2)=1,FLOOR(A113/2,1)+1,0))*C113),(IF(MOD(A114,2)=0,A114/2,IF(MOD(A114,2)=1,FLOOR(A114/2,1)+1,0))*C114),(IF(MOD(A115,2)=0,A115/2,IF(MOD(A115,2)=1,FLOOR(A115/2,1)+1,0))*C115),(IF(MOD(A116,2)=0,A116/2,IF(MOD(A116,2)=1,FLOOR(A116/2,1)+1,0))*C116),(IF(MOD(A117,2)=0,A117/2,IF(MOD(A117,2)=1,FLOOR(A117/2,1)+1,0))*C117),(IF(MOD(A118,2)=0,A118/2,IF(MOD(A118,2)=1,FLOOR(A118/2,1)+1,0))*C118),(IF(MOD(A119,2)=0,A119/2,IF(MOD(A119,2)=1,FLOOR(A119/2,1)+1,0))*C119))</f>
        <v>0</v>
      </c>
      <c r="P118" s="34">
        <f>INDEX(cennik!$C$2:$L$529,MATCH($L118,cennik!$B$2:$B$522,0),MATCH(P$104,cennik!$C$1:$L$1,0))</f>
        <v>2.4</v>
      </c>
      <c r="Q118" s="34">
        <f t="shared" si="34"/>
        <v>0</v>
      </c>
      <c r="R118" s="35">
        <f t="shared" si="31"/>
        <v>0</v>
      </c>
      <c r="S118" s="34">
        <f t="shared" si="32"/>
        <v>2.4</v>
      </c>
      <c r="T118" s="34">
        <f t="shared" si="35"/>
        <v>0</v>
      </c>
      <c r="U118" s="34">
        <f>INDEX(cennik!$C$2:$L$529,MATCH($L118,cennik!$B$2:$B$522,0),MATCH(U$104,cennik!$C$1:$L$1,0))*O118</f>
        <v>0</v>
      </c>
      <c r="V118" s="20"/>
      <c r="W118" s="25">
        <f t="shared" si="33"/>
        <v>0</v>
      </c>
      <c r="X118" s="20" t="s">
        <v>138</v>
      </c>
      <c r="Y118" s="20">
        <v>2100</v>
      </c>
      <c r="Z118" s="20" t="s">
        <v>305</v>
      </c>
      <c r="AA118" s="20">
        <v>1980</v>
      </c>
      <c r="AB118" s="20"/>
      <c r="AC1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</f>
        <v>0</v>
      </c>
      <c r="AD1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</f>
        <v>0</v>
      </c>
      <c r="AE1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</f>
        <v>0</v>
      </c>
      <c r="AF1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108,$GB$182:$GV$182,0),MATCH($E$105,$X$109:$X$126,0)))*C108</f>
        <v>0</v>
      </c>
      <c r="AG1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108,$GB$182:$GV$182,0),MATCH($E$105,$X$109:$X$126,0)))*C108</f>
        <v>0</v>
      </c>
      <c r="AH1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108,$GB$182:$GV$182,0),MATCH($E$105,$X$109:$X$126,0)))*C108</f>
        <v>0</v>
      </c>
      <c r="AI118" s="20">
        <f t="shared" si="41"/>
        <v>0</v>
      </c>
      <c r="AJ118" s="20">
        <f t="shared" si="42"/>
        <v>0</v>
      </c>
      <c r="AK118" s="20">
        <f t="shared" si="43"/>
        <v>0</v>
      </c>
      <c r="AL118" s="20" t="s">
        <v>15</v>
      </c>
      <c r="AM118" s="20">
        <v>0</v>
      </c>
      <c r="AN118" s="20">
        <v>0</v>
      </c>
      <c r="AO118" s="20">
        <v>0</v>
      </c>
      <c r="AP118" s="20">
        <v>0</v>
      </c>
      <c r="AQ118" s="20">
        <v>0</v>
      </c>
      <c r="AR118" s="20">
        <v>0</v>
      </c>
      <c r="AS118" s="20">
        <v>0</v>
      </c>
      <c r="AT118" s="20">
        <v>2</v>
      </c>
      <c r="AU118" s="20">
        <v>0</v>
      </c>
      <c r="AV118" s="20">
        <v>2</v>
      </c>
      <c r="AW118" s="20">
        <v>2</v>
      </c>
      <c r="AX118" s="20">
        <v>2</v>
      </c>
      <c r="AY118" s="20">
        <v>4</v>
      </c>
      <c r="AZ118" s="20">
        <v>0</v>
      </c>
      <c r="BA118" s="20">
        <v>2</v>
      </c>
      <c r="BB118" s="20">
        <v>4</v>
      </c>
      <c r="BC118" s="20">
        <v>2</v>
      </c>
      <c r="BD118" s="20">
        <v>6</v>
      </c>
      <c r="BE118" s="20">
        <v>4</v>
      </c>
      <c r="BF118" s="20">
        <v>2</v>
      </c>
      <c r="BG118" s="20">
        <v>4</v>
      </c>
      <c r="BH118" s="20">
        <v>6</v>
      </c>
      <c r="BI118" s="20">
        <v>8</v>
      </c>
      <c r="BJ118" s="20">
        <v>4</v>
      </c>
      <c r="BK118" s="20">
        <v>6</v>
      </c>
      <c r="BL118" s="20">
        <v>6</v>
      </c>
      <c r="BM118" s="20">
        <v>6</v>
      </c>
      <c r="BN118" s="20">
        <v>6</v>
      </c>
      <c r="BO118" s="20">
        <v>4</v>
      </c>
      <c r="BP118" s="20">
        <v>6</v>
      </c>
      <c r="BQ118" s="20">
        <v>8</v>
      </c>
      <c r="BR118" s="20">
        <v>6</v>
      </c>
      <c r="BS118" s="20">
        <v>12</v>
      </c>
      <c r="BT118" s="20">
        <v>8</v>
      </c>
      <c r="BU118" s="20">
        <v>22</v>
      </c>
      <c r="BV118" s="20">
        <v>24</v>
      </c>
      <c r="BW118" s="20">
        <v>10</v>
      </c>
      <c r="BX118" s="20">
        <v>0</v>
      </c>
      <c r="BY118" s="20">
        <v>24</v>
      </c>
      <c r="BZ118" s="20">
        <v>10</v>
      </c>
      <c r="CA118" s="20">
        <v>0</v>
      </c>
      <c r="CB118" s="20">
        <v>10</v>
      </c>
      <c r="CC118" s="20">
        <v>10</v>
      </c>
      <c r="CD118" s="20">
        <v>0</v>
      </c>
      <c r="CE118" s="20">
        <v>26</v>
      </c>
      <c r="CF118" s="20">
        <v>12</v>
      </c>
      <c r="CG118" s="20">
        <v>0</v>
      </c>
      <c r="CH118" s="20">
        <v>4</v>
      </c>
      <c r="CI118" s="20">
        <v>12</v>
      </c>
      <c r="CJ118" s="20">
        <v>0</v>
      </c>
      <c r="CK118" s="20">
        <v>12</v>
      </c>
      <c r="CL118" s="20"/>
      <c r="CM118" s="26">
        <v>10</v>
      </c>
      <c r="CN118" s="20" t="s">
        <v>341</v>
      </c>
      <c r="CO118" s="20" t="s">
        <v>329</v>
      </c>
      <c r="CP118" s="20" t="s">
        <v>487</v>
      </c>
      <c r="CQ118" s="20" t="s">
        <v>338</v>
      </c>
      <c r="CR118" s="20" t="s">
        <v>488</v>
      </c>
      <c r="CS118" s="20" t="s">
        <v>489</v>
      </c>
      <c r="CT118" s="20" t="s">
        <v>490</v>
      </c>
      <c r="CU118" s="20" t="s">
        <v>491</v>
      </c>
      <c r="CV118" s="20" t="s">
        <v>492</v>
      </c>
      <c r="CW118" s="20" t="s">
        <v>332</v>
      </c>
      <c r="CX118" s="20" t="s">
        <v>335</v>
      </c>
      <c r="CY118" s="20" t="s">
        <v>538</v>
      </c>
      <c r="CZ118" s="20" t="s">
        <v>541</v>
      </c>
      <c r="DA118" s="20" t="s">
        <v>544</v>
      </c>
      <c r="DB118" s="20" t="s">
        <v>547</v>
      </c>
      <c r="DC118" s="20" t="s">
        <v>550</v>
      </c>
      <c r="DD118" s="20" t="s">
        <v>553</v>
      </c>
      <c r="DE118" s="20" t="s">
        <v>556</v>
      </c>
      <c r="DF118" s="20" t="s">
        <v>559</v>
      </c>
      <c r="DG118" s="20"/>
      <c r="DH118" s="20"/>
      <c r="DI118" s="20"/>
      <c r="DJ118" s="20"/>
      <c r="DK118" s="20"/>
      <c r="DL118" s="20"/>
      <c r="DM118" s="20"/>
      <c r="DN118" s="20"/>
      <c r="DO118" s="20"/>
      <c r="DP118" s="20"/>
      <c r="DQ118" s="20"/>
      <c r="DR118" s="20"/>
      <c r="DS118" s="20"/>
      <c r="DT118" s="20"/>
      <c r="DU118" s="20"/>
      <c r="DV118" s="20"/>
      <c r="DW118" s="20"/>
      <c r="DX118" s="20"/>
      <c r="DY118" s="20"/>
      <c r="DZ118" s="54">
        <v>15</v>
      </c>
      <c r="EA118" s="54">
        <v>30</v>
      </c>
      <c r="EB118" s="54"/>
      <c r="EC118" s="20"/>
      <c r="ED118" s="20"/>
      <c r="EE118" s="20"/>
      <c r="EF118" s="20"/>
      <c r="EG118" s="20"/>
      <c r="EH118" s="20"/>
      <c r="EI118" s="20"/>
      <c r="EJ118" s="20"/>
      <c r="EK118" s="20"/>
      <c r="EL118" s="20"/>
      <c r="EM118" s="20"/>
      <c r="EN118" s="20"/>
      <c r="EO118" s="20"/>
      <c r="EP118" s="20"/>
      <c r="EQ118" s="20"/>
      <c r="ER118" s="20"/>
      <c r="ES118" s="20"/>
      <c r="ET118" s="20"/>
      <c r="EU118" s="20"/>
      <c r="EV118" s="20"/>
      <c r="EW118" s="20">
        <v>0</v>
      </c>
      <c r="EX118" s="20">
        <v>1</v>
      </c>
      <c r="EY118" s="20">
        <v>2</v>
      </c>
      <c r="EZ118" s="20">
        <v>3</v>
      </c>
      <c r="FA118" s="20">
        <v>4</v>
      </c>
      <c r="FB118" s="20">
        <v>5</v>
      </c>
      <c r="FC118" s="20">
        <v>6</v>
      </c>
      <c r="FD118" s="20">
        <v>7</v>
      </c>
      <c r="FE118" s="20">
        <v>8</v>
      </c>
      <c r="FF118" s="20">
        <v>9</v>
      </c>
      <c r="FG118" s="20">
        <v>10</v>
      </c>
      <c r="FH118" s="20">
        <v>11</v>
      </c>
      <c r="FI118" s="20">
        <v>12</v>
      </c>
      <c r="FJ118" s="20">
        <v>13</v>
      </c>
      <c r="FK118" s="20">
        <v>14</v>
      </c>
      <c r="FL118" s="20">
        <v>15</v>
      </c>
      <c r="FM118" s="20">
        <v>16</v>
      </c>
      <c r="FN118" s="20">
        <v>17</v>
      </c>
      <c r="FO118" s="20">
        <v>18</v>
      </c>
      <c r="FP118" s="20">
        <v>19</v>
      </c>
      <c r="FQ118" s="20">
        <v>20</v>
      </c>
      <c r="FR118" s="20">
        <v>21</v>
      </c>
      <c r="FS118" s="20">
        <v>22</v>
      </c>
      <c r="FT118" s="20">
        <v>23</v>
      </c>
      <c r="FU118" s="20">
        <v>24</v>
      </c>
      <c r="FV118" s="20">
        <v>25</v>
      </c>
      <c r="FW118" s="20">
        <v>26</v>
      </c>
      <c r="FX118" s="20">
        <v>27</v>
      </c>
      <c r="FY118" s="20">
        <v>28</v>
      </c>
      <c r="FZ118" s="20">
        <v>29</v>
      </c>
      <c r="GA118" s="20">
        <v>30</v>
      </c>
      <c r="GB118" s="20">
        <v>31</v>
      </c>
      <c r="GC118" s="20">
        <v>32</v>
      </c>
      <c r="GD118" s="20">
        <v>33</v>
      </c>
      <c r="GE118" s="20">
        <v>34</v>
      </c>
      <c r="GF118" s="20">
        <v>35</v>
      </c>
      <c r="GG118" s="20">
        <v>36</v>
      </c>
      <c r="GH118" s="20">
        <v>37</v>
      </c>
      <c r="GI118" s="20">
        <v>38</v>
      </c>
      <c r="GJ118" s="20">
        <v>39</v>
      </c>
      <c r="GK118" s="20">
        <v>40</v>
      </c>
      <c r="GL118" s="20">
        <v>41</v>
      </c>
      <c r="GM118" s="20">
        <v>42</v>
      </c>
      <c r="GN118" s="20">
        <v>43</v>
      </c>
      <c r="GO118" s="20">
        <v>44</v>
      </c>
      <c r="GP118" s="20">
        <v>45</v>
      </c>
      <c r="GQ118" s="20">
        <v>46</v>
      </c>
      <c r="GR118" s="20">
        <v>47</v>
      </c>
      <c r="GS118" s="20">
        <v>48</v>
      </c>
      <c r="GT118" s="20">
        <v>49</v>
      </c>
      <c r="GU118" s="20">
        <v>50</v>
      </c>
      <c r="GV118" s="20"/>
      <c r="GW118" s="20"/>
      <c r="GX118" s="20"/>
      <c r="GY118" s="21"/>
      <c r="GZ118" s="21">
        <v>0</v>
      </c>
      <c r="HA118" s="21">
        <v>1</v>
      </c>
      <c r="HB118" s="21">
        <v>2</v>
      </c>
      <c r="HC118" s="21">
        <v>3</v>
      </c>
      <c r="HD118" s="21">
        <v>4</v>
      </c>
      <c r="HE118" s="21">
        <v>5</v>
      </c>
      <c r="HF118" s="21">
        <v>6</v>
      </c>
      <c r="HG118" s="21">
        <v>7</v>
      </c>
      <c r="HH118" s="21">
        <v>8</v>
      </c>
      <c r="HI118" s="21">
        <v>9</v>
      </c>
      <c r="HJ118" s="21">
        <v>10</v>
      </c>
      <c r="HK118" s="21">
        <v>11</v>
      </c>
      <c r="HL118" s="21">
        <v>12</v>
      </c>
      <c r="HM118" s="21">
        <v>13</v>
      </c>
      <c r="HN118" s="21">
        <v>14</v>
      </c>
      <c r="HO118" s="21">
        <v>15</v>
      </c>
      <c r="HP118" s="21">
        <v>16</v>
      </c>
      <c r="HQ118" s="21">
        <v>17</v>
      </c>
      <c r="HR118" s="21">
        <v>18</v>
      </c>
      <c r="HS118" s="21">
        <v>19</v>
      </c>
      <c r="HT118" s="21">
        <v>20</v>
      </c>
      <c r="HU118" s="21"/>
      <c r="HV118" s="186"/>
      <c r="HW118" s="20">
        <v>0</v>
      </c>
      <c r="HX118" s="20">
        <v>1</v>
      </c>
      <c r="HY118" s="20">
        <v>2</v>
      </c>
      <c r="HZ118" s="20">
        <v>3</v>
      </c>
      <c r="IA118" s="20">
        <v>4</v>
      </c>
      <c r="IB118" s="20">
        <v>5</v>
      </c>
      <c r="IC118" s="20">
        <v>6</v>
      </c>
      <c r="ID118" s="20">
        <v>7</v>
      </c>
      <c r="IE118" s="20">
        <v>8</v>
      </c>
      <c r="IF118" s="20">
        <v>9</v>
      </c>
      <c r="IG118" s="20">
        <v>10</v>
      </c>
      <c r="IH118" s="20">
        <v>11</v>
      </c>
      <c r="II118" s="20">
        <v>12</v>
      </c>
      <c r="IJ118" s="20">
        <v>13</v>
      </c>
      <c r="IK118" s="20">
        <v>14</v>
      </c>
      <c r="IL118" s="20">
        <v>15</v>
      </c>
      <c r="IM118" s="20">
        <v>16</v>
      </c>
      <c r="IN118" s="20">
        <v>17</v>
      </c>
      <c r="IO118" s="20">
        <v>18</v>
      </c>
      <c r="IP118" s="20">
        <v>19</v>
      </c>
      <c r="IQ118" s="20">
        <v>20</v>
      </c>
      <c r="IR118" s="21"/>
      <c r="IS118" s="21"/>
      <c r="IT118" s="21">
        <f t="shared" si="39"/>
        <v>0</v>
      </c>
      <c r="IU118" s="21">
        <f t="shared" si="39"/>
        <v>2</v>
      </c>
      <c r="IV118" s="21">
        <f t="shared" si="39"/>
        <v>4</v>
      </c>
      <c r="IW118" s="21">
        <f t="shared" si="39"/>
        <v>6</v>
      </c>
      <c r="IX118" s="21">
        <f t="shared" si="39"/>
        <v>8</v>
      </c>
      <c r="IY118" s="21">
        <f t="shared" si="39"/>
        <v>10</v>
      </c>
      <c r="IZ118" s="21">
        <f t="shared" si="39"/>
        <v>12</v>
      </c>
      <c r="JA118" s="21">
        <f t="shared" si="39"/>
        <v>14</v>
      </c>
      <c r="JB118" s="21">
        <f t="shared" si="39"/>
        <v>16</v>
      </c>
      <c r="JC118" s="21">
        <f t="shared" si="39"/>
        <v>18</v>
      </c>
      <c r="JD118" s="21">
        <f t="shared" si="39"/>
        <v>20</v>
      </c>
      <c r="JE118" s="21">
        <f t="shared" si="39"/>
        <v>22</v>
      </c>
      <c r="JF118" s="21">
        <f t="shared" si="39"/>
        <v>24</v>
      </c>
      <c r="JG118" s="21">
        <f t="shared" si="39"/>
        <v>26</v>
      </c>
      <c r="JH118" s="21">
        <f t="shared" si="39"/>
        <v>28</v>
      </c>
      <c r="JI118" s="21">
        <f t="shared" si="39"/>
        <v>30</v>
      </c>
      <c r="JJ118" s="21">
        <f t="shared" si="40"/>
        <v>32</v>
      </c>
      <c r="JK118" s="21">
        <f t="shared" si="40"/>
        <v>34</v>
      </c>
      <c r="JL118" s="21">
        <f t="shared" si="40"/>
        <v>36</v>
      </c>
      <c r="JM118" s="21">
        <f t="shared" si="40"/>
        <v>38</v>
      </c>
      <c r="JN118" s="21">
        <f t="shared" si="40"/>
        <v>40</v>
      </c>
      <c r="JO118" s="21"/>
      <c r="JP118" s="21"/>
      <c r="JQ118" s="21"/>
      <c r="JR118" s="21"/>
      <c r="JS118" s="21"/>
      <c r="JT118" s="21"/>
      <c r="JU118" s="21"/>
      <c r="JV118" s="21"/>
      <c r="JW118" s="21"/>
      <c r="JX118" s="21"/>
      <c r="JY118" s="21"/>
      <c r="JZ118" s="21"/>
      <c r="KA118" s="21"/>
      <c r="KB118" s="21"/>
      <c r="KC118" s="21"/>
      <c r="KD118" s="21"/>
      <c r="KE118" s="21"/>
      <c r="KF118" s="21"/>
      <c r="KG118" s="21"/>
      <c r="KH118" s="21"/>
    </row>
    <row r="119" spans="1:294" x14ac:dyDescent="0.25">
      <c r="A119" s="8"/>
      <c r="B119" s="5" t="s">
        <v>116</v>
      </c>
      <c r="C119" s="8"/>
      <c r="D119" s="9"/>
      <c r="E119" s="9"/>
      <c r="F119" s="17" t="str">
        <f>IF(L119="PSRM10X90F","PROPOZYCJA KOTEW- DO WERFIKACJI",IF(L119="-------","",""))</f>
        <v>PROPOZYCJA KOTEW- DO WERFIKACJI</v>
      </c>
      <c r="G119" s="9"/>
      <c r="H119" s="9"/>
      <c r="I119" s="9"/>
      <c r="J119" s="9"/>
      <c r="K119" s="9"/>
      <c r="L119" s="6" t="str">
        <f>IF(E108=$Z$104,"-------",IF(E108=$Z$105,"PSRM10X90F",IF(E108=$Z$106,"-------",IF(E108=$Z$107,"SSZ8X30E A2",0))))</f>
        <v>PSRM10X90F</v>
      </c>
      <c r="M119" s="11">
        <f>INDEX(cennik!$C$2:$L$529,MATCH($L119,cennik!$B$2:$B$522,0),MATCH(M$104,cennik!$C$1:$L$1,0))</f>
        <v>650093</v>
      </c>
      <c r="N119" s="11" t="str">
        <f>INDEX(cennik!$C$2:$L$529,MATCH($L119,cennik!$B$2:$B$522,0),MATCH(N$104,cennik!$C$1:$L$1,0))</f>
        <v>szt.</v>
      </c>
      <c r="O119" s="11">
        <f>IF(E108=$Z$104,0,IF(E108=$Z$105,O105*4,IF(E108=$Z$106,0,IF(E108=$Z$107,ROUNDUP((O105*2)/100,0),0))))</f>
        <v>0</v>
      </c>
      <c r="P119" s="34">
        <f>INDEX(cennik!$C$2:$L$529,MATCH($L119,cennik!$B$2:$B$522,0),MATCH(P$104,cennik!$C$1:$L$1,0))</f>
        <v>3.29</v>
      </c>
      <c r="Q119" s="34">
        <f t="shared" si="34"/>
        <v>0</v>
      </c>
      <c r="R119" s="35">
        <f t="shared" si="31"/>
        <v>0</v>
      </c>
      <c r="S119" s="34">
        <f t="shared" si="32"/>
        <v>3.29</v>
      </c>
      <c r="T119" s="34">
        <f t="shared" si="35"/>
        <v>0</v>
      </c>
      <c r="U119" s="34">
        <f>INDEX(cennik!$C$2:$L$529,MATCH($L119,cennik!$B$2:$B$522,0),MATCH(U$104,cennik!$C$1:$L$1,0))*O119</f>
        <v>0</v>
      </c>
      <c r="V119" s="20"/>
      <c r="W119" s="25">
        <f t="shared" si="33"/>
        <v>0</v>
      </c>
      <c r="X119" s="20" t="s">
        <v>478</v>
      </c>
      <c r="Y119" s="20">
        <v>2150</v>
      </c>
      <c r="Z119" s="20" t="s">
        <v>306</v>
      </c>
      <c r="AA119" s="20">
        <v>2018</v>
      </c>
      <c r="AB119" s="20" t="s">
        <v>838</v>
      </c>
      <c r="AC1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</f>
        <v>0</v>
      </c>
      <c r="AD1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</f>
        <v>0</v>
      </c>
      <c r="AE1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</f>
        <v>0</v>
      </c>
      <c r="AF1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109,$GB$182:$GV$182,0),MATCH($E$105,$X$109:$X$126,0)))*C109</f>
        <v>0</v>
      </c>
      <c r="AG1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109,$GB$182:$GV$182,0),MATCH($E$105,$X$109:$X$126,0)))*C109</f>
        <v>0</v>
      </c>
      <c r="AH1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109,$GB$182:$GV$182,0),MATCH($E$105,$X$109:$X$126,0)))*C109</f>
        <v>0</v>
      </c>
      <c r="AI119" s="20">
        <f t="shared" si="41"/>
        <v>0</v>
      </c>
      <c r="AJ119" s="20">
        <f t="shared" si="42"/>
        <v>0</v>
      </c>
      <c r="AK119" s="20">
        <f t="shared" si="43"/>
        <v>0</v>
      </c>
      <c r="AL119" s="20" t="s">
        <v>19</v>
      </c>
      <c r="AM119" s="20">
        <v>0</v>
      </c>
      <c r="AN119" s="20">
        <v>0</v>
      </c>
      <c r="AO119" s="20">
        <v>0</v>
      </c>
      <c r="AP119" s="20">
        <v>2</v>
      </c>
      <c r="AQ119" s="20">
        <v>0</v>
      </c>
      <c r="AR119" s="20">
        <v>2</v>
      </c>
      <c r="AS119" s="20">
        <v>4</v>
      </c>
      <c r="AT119" s="20">
        <v>0</v>
      </c>
      <c r="AU119" s="20">
        <v>4</v>
      </c>
      <c r="AV119" s="20">
        <v>4</v>
      </c>
      <c r="AW119" s="20">
        <v>2</v>
      </c>
      <c r="AX119" s="20">
        <v>4</v>
      </c>
      <c r="AY119" s="20">
        <v>4</v>
      </c>
      <c r="AZ119" s="20">
        <v>6</v>
      </c>
      <c r="BA119" s="20">
        <v>6</v>
      </c>
      <c r="BB119" s="20">
        <v>6</v>
      </c>
      <c r="BC119" s="20">
        <v>6</v>
      </c>
      <c r="BD119" s="20">
        <v>4</v>
      </c>
      <c r="BE119" s="20">
        <v>8</v>
      </c>
      <c r="BF119" s="20">
        <v>8</v>
      </c>
      <c r="BG119" s="20">
        <v>8</v>
      </c>
      <c r="BH119" s="20">
        <v>8</v>
      </c>
      <c r="BI119" s="20">
        <v>4</v>
      </c>
      <c r="BJ119" s="20">
        <v>10</v>
      </c>
      <c r="BK119" s="20">
        <v>10</v>
      </c>
      <c r="BL119" s="20">
        <v>8</v>
      </c>
      <c r="BM119" s="20">
        <v>10</v>
      </c>
      <c r="BN119" s="20">
        <v>12</v>
      </c>
      <c r="BO119" s="20">
        <v>12</v>
      </c>
      <c r="BP119" s="20">
        <v>12</v>
      </c>
      <c r="BQ119" s="20">
        <v>12</v>
      </c>
      <c r="BR119" s="20">
        <v>12</v>
      </c>
      <c r="BS119" s="20">
        <v>8</v>
      </c>
      <c r="BT119" s="20">
        <v>14</v>
      </c>
      <c r="BU119" s="20">
        <v>0</v>
      </c>
      <c r="BV119" s="20">
        <v>0</v>
      </c>
      <c r="BW119" s="20">
        <v>14</v>
      </c>
      <c r="BX119" s="20">
        <v>22</v>
      </c>
      <c r="BY119" s="20">
        <v>2</v>
      </c>
      <c r="BZ119" s="20">
        <v>16</v>
      </c>
      <c r="CA119" s="20">
        <v>26</v>
      </c>
      <c r="CB119" s="20">
        <v>16</v>
      </c>
      <c r="CC119" s="20">
        <v>18</v>
      </c>
      <c r="CD119" s="20">
        <v>28</v>
      </c>
      <c r="CE119" s="20">
        <v>4</v>
      </c>
      <c r="CF119" s="20">
        <v>18</v>
      </c>
      <c r="CG119" s="20">
        <v>30</v>
      </c>
      <c r="CH119" s="20">
        <v>26</v>
      </c>
      <c r="CI119" s="20">
        <v>20</v>
      </c>
      <c r="CJ119" s="20">
        <v>32</v>
      </c>
      <c r="CK119" s="20">
        <v>20</v>
      </c>
      <c r="CL119" s="20"/>
      <c r="CM119" s="26">
        <v>15</v>
      </c>
      <c r="CN119" s="20" t="s">
        <v>342</v>
      </c>
      <c r="CO119" s="20" t="s">
        <v>330</v>
      </c>
      <c r="CP119" s="20" t="s">
        <v>493</v>
      </c>
      <c r="CQ119" s="20" t="s">
        <v>339</v>
      </c>
      <c r="CR119" s="20" t="s">
        <v>494</v>
      </c>
      <c r="CS119" s="20" t="s">
        <v>495</v>
      </c>
      <c r="CT119" s="20" t="s">
        <v>496</v>
      </c>
      <c r="CU119" s="20" t="s">
        <v>497</v>
      </c>
      <c r="CV119" s="20" t="s">
        <v>498</v>
      </c>
      <c r="CW119" s="20" t="s">
        <v>333</v>
      </c>
      <c r="CX119" s="20" t="s">
        <v>336</v>
      </c>
      <c r="CY119" s="20" t="s">
        <v>539</v>
      </c>
      <c r="CZ119" s="20" t="s">
        <v>542</v>
      </c>
      <c r="DA119" s="20" t="s">
        <v>545</v>
      </c>
      <c r="DB119" s="20" t="s">
        <v>548</v>
      </c>
      <c r="DC119" s="20" t="s">
        <v>551</v>
      </c>
      <c r="DD119" s="20" t="s">
        <v>554</v>
      </c>
      <c r="DE119" s="20" t="s">
        <v>557</v>
      </c>
      <c r="DF119" s="20" t="s">
        <v>560</v>
      </c>
      <c r="DG119" s="20"/>
      <c r="DH119" s="20"/>
      <c r="DI119" s="20"/>
      <c r="DJ119" s="20"/>
      <c r="DK119" s="20"/>
      <c r="DL119" s="20"/>
      <c r="DM119" s="20"/>
      <c r="DN119" s="20"/>
      <c r="DO119" s="20"/>
      <c r="DP119" s="20"/>
      <c r="DQ119" s="20"/>
      <c r="DR119" s="20"/>
      <c r="DS119" s="20"/>
      <c r="DT119" s="20"/>
      <c r="DU119" s="20"/>
      <c r="DV119" s="20"/>
      <c r="DW119" s="20"/>
      <c r="DX119" s="20"/>
      <c r="DY119" s="20"/>
      <c r="DZ119" s="54">
        <v>16</v>
      </c>
      <c r="EA119" s="54">
        <v>32</v>
      </c>
      <c r="EB119" s="54"/>
      <c r="EC119" s="20"/>
      <c r="ED119" s="20"/>
      <c r="EE119" s="20"/>
      <c r="EF119" s="20"/>
      <c r="EG119" s="20"/>
      <c r="EH119" s="20"/>
      <c r="EI119" s="20"/>
      <c r="EJ119" s="20"/>
      <c r="EK119" s="20"/>
      <c r="EL119" s="20"/>
      <c r="EM119" s="20"/>
      <c r="EN119" s="20"/>
      <c r="EO119" s="20"/>
      <c r="EP119" s="20"/>
      <c r="EQ119" s="20"/>
      <c r="ER119" s="20"/>
      <c r="ES119" s="20"/>
      <c r="ET119" s="20"/>
      <c r="EU119" s="20"/>
      <c r="EV119" s="20" t="s">
        <v>210</v>
      </c>
      <c r="EW119" s="20">
        <v>0</v>
      </c>
      <c r="EX119" s="20">
        <v>0</v>
      </c>
      <c r="EY119" s="20">
        <v>0</v>
      </c>
      <c r="EZ119" s="20">
        <v>0</v>
      </c>
      <c r="FA119" s="20">
        <v>2</v>
      </c>
      <c r="FB119" s="20">
        <v>0</v>
      </c>
      <c r="FC119" s="20">
        <v>0</v>
      </c>
      <c r="FD119" s="20">
        <v>2</v>
      </c>
      <c r="FE119" s="20">
        <v>0</v>
      </c>
      <c r="FF119" s="20">
        <v>0</v>
      </c>
      <c r="FG119" s="20">
        <v>0</v>
      </c>
      <c r="FH119" s="20">
        <v>2</v>
      </c>
      <c r="FI119" s="20">
        <v>0</v>
      </c>
      <c r="FJ119" s="20">
        <v>0</v>
      </c>
      <c r="FK119" s="20">
        <v>2</v>
      </c>
      <c r="FL119" s="20">
        <v>0</v>
      </c>
      <c r="FM119" s="20">
        <v>0</v>
      </c>
      <c r="FN119" s="20">
        <v>0</v>
      </c>
      <c r="FO119" s="20">
        <v>0</v>
      </c>
      <c r="FP119" s="20">
        <v>0</v>
      </c>
      <c r="FQ119" s="20">
        <v>0</v>
      </c>
      <c r="FR119" s="20">
        <v>0</v>
      </c>
      <c r="FS119" s="20">
        <v>0</v>
      </c>
      <c r="FT119" s="20">
        <v>0</v>
      </c>
      <c r="FU119" s="20">
        <v>0</v>
      </c>
      <c r="FV119" s="20">
        <v>0</v>
      </c>
      <c r="FW119" s="20">
        <v>0</v>
      </c>
      <c r="FX119" s="20">
        <v>0</v>
      </c>
      <c r="FY119" s="20">
        <v>0</v>
      </c>
      <c r="FZ119" s="20">
        <v>0</v>
      </c>
      <c r="GA119" s="20">
        <v>0</v>
      </c>
      <c r="GB119" s="20">
        <v>0</v>
      </c>
      <c r="GC119" s="20">
        <v>0</v>
      </c>
      <c r="GD119" s="20">
        <v>0</v>
      </c>
      <c r="GE119" s="20">
        <v>0</v>
      </c>
      <c r="GF119" s="20">
        <v>0</v>
      </c>
      <c r="GG119" s="20">
        <v>0</v>
      </c>
      <c r="GH119" s="20">
        <v>0</v>
      </c>
      <c r="GI119" s="20">
        <v>0</v>
      </c>
      <c r="GJ119" s="20">
        <v>0</v>
      </c>
      <c r="GK119" s="20">
        <v>0</v>
      </c>
      <c r="GL119" s="20">
        <v>0</v>
      </c>
      <c r="GM119" s="20">
        <v>0</v>
      </c>
      <c r="GN119" s="20">
        <v>0</v>
      </c>
      <c r="GO119" s="20">
        <v>0</v>
      </c>
      <c r="GP119" s="20">
        <v>0</v>
      </c>
      <c r="GQ119" s="20">
        <v>0</v>
      </c>
      <c r="GR119" s="20">
        <v>0</v>
      </c>
      <c r="GS119" s="20">
        <v>0</v>
      </c>
      <c r="GT119" s="20">
        <v>0</v>
      </c>
      <c r="GU119" s="20">
        <v>0</v>
      </c>
      <c r="GV119" s="20"/>
      <c r="GW119" s="20"/>
      <c r="GX119" s="20"/>
      <c r="GY119" s="21" t="s">
        <v>710</v>
      </c>
      <c r="GZ119" s="21">
        <v>0</v>
      </c>
      <c r="HA119" s="21">
        <v>2</v>
      </c>
      <c r="HB119" s="21">
        <v>0</v>
      </c>
      <c r="HC119" s="21">
        <v>4</v>
      </c>
      <c r="HD119" s="21">
        <v>2</v>
      </c>
      <c r="HE119" s="21">
        <v>0</v>
      </c>
      <c r="HF119" s="21">
        <v>4</v>
      </c>
      <c r="HG119" s="21">
        <v>2</v>
      </c>
      <c r="HH119" s="21">
        <v>0</v>
      </c>
      <c r="HI119" s="21">
        <v>4</v>
      </c>
      <c r="HJ119" s="21">
        <v>2</v>
      </c>
      <c r="HK119" s="21">
        <v>0</v>
      </c>
      <c r="HL119" s="21">
        <v>4</v>
      </c>
      <c r="HM119" s="21">
        <v>2</v>
      </c>
      <c r="HN119" s="21">
        <v>0</v>
      </c>
      <c r="HO119" s="21">
        <v>4</v>
      </c>
      <c r="HP119" s="21">
        <v>2</v>
      </c>
      <c r="HQ119" s="21">
        <v>0</v>
      </c>
      <c r="HR119" s="21">
        <v>4</v>
      </c>
      <c r="HS119" s="21">
        <v>2</v>
      </c>
      <c r="HT119" s="21">
        <v>0</v>
      </c>
      <c r="HU119" s="21"/>
      <c r="HV119" s="21" t="s">
        <v>826</v>
      </c>
      <c r="HW119" s="20">
        <v>0</v>
      </c>
      <c r="HX119" s="20">
        <v>2</v>
      </c>
      <c r="HY119" s="20">
        <v>0</v>
      </c>
      <c r="HZ119" s="20">
        <v>2</v>
      </c>
      <c r="IA119" s="20">
        <v>0</v>
      </c>
      <c r="IB119" s="20">
        <v>2</v>
      </c>
      <c r="IC119" s="20">
        <v>4</v>
      </c>
      <c r="ID119" s="20">
        <v>2</v>
      </c>
      <c r="IE119" s="20">
        <v>4</v>
      </c>
      <c r="IF119" s="20">
        <v>0</v>
      </c>
      <c r="IG119" s="20">
        <v>4</v>
      </c>
      <c r="IH119" s="20">
        <v>0</v>
      </c>
      <c r="II119" s="20">
        <v>4</v>
      </c>
      <c r="IJ119" s="20">
        <v>0</v>
      </c>
      <c r="IK119" s="20">
        <v>2</v>
      </c>
      <c r="IL119" s="20">
        <v>0</v>
      </c>
      <c r="IM119" s="20">
        <v>2</v>
      </c>
      <c r="IN119" s="20">
        <v>0</v>
      </c>
      <c r="IO119" s="20">
        <v>2</v>
      </c>
      <c r="IP119" s="20">
        <v>4</v>
      </c>
      <c r="IQ119" s="20">
        <v>2</v>
      </c>
      <c r="IR119" s="21"/>
      <c r="IS119" s="21" t="s">
        <v>826</v>
      </c>
      <c r="IT119" s="21">
        <f t="shared" si="39"/>
        <v>0</v>
      </c>
      <c r="IU119" s="21">
        <f t="shared" si="39"/>
        <v>4</v>
      </c>
      <c r="IV119" s="21">
        <f t="shared" si="39"/>
        <v>0</v>
      </c>
      <c r="IW119" s="21">
        <f t="shared" si="39"/>
        <v>4</v>
      </c>
      <c r="IX119" s="21">
        <f t="shared" si="39"/>
        <v>0</v>
      </c>
      <c r="IY119" s="21">
        <f t="shared" si="39"/>
        <v>4</v>
      </c>
      <c r="IZ119" s="21">
        <f t="shared" si="39"/>
        <v>8</v>
      </c>
      <c r="JA119" s="21">
        <f t="shared" si="39"/>
        <v>4</v>
      </c>
      <c r="JB119" s="21">
        <f t="shared" si="39"/>
        <v>8</v>
      </c>
      <c r="JC119" s="21">
        <f t="shared" si="39"/>
        <v>0</v>
      </c>
      <c r="JD119" s="21">
        <f t="shared" si="39"/>
        <v>8</v>
      </c>
      <c r="JE119" s="21">
        <f t="shared" si="39"/>
        <v>0</v>
      </c>
      <c r="JF119" s="21">
        <f t="shared" si="39"/>
        <v>8</v>
      </c>
      <c r="JG119" s="21">
        <f t="shared" si="39"/>
        <v>0</v>
      </c>
      <c r="JH119" s="21">
        <f t="shared" si="39"/>
        <v>4</v>
      </c>
      <c r="JI119" s="21">
        <f t="shared" si="39"/>
        <v>0</v>
      </c>
      <c r="JJ119" s="21">
        <f t="shared" si="40"/>
        <v>4</v>
      </c>
      <c r="JK119" s="21">
        <f t="shared" si="40"/>
        <v>0</v>
      </c>
      <c r="JL119" s="21">
        <f t="shared" si="40"/>
        <v>4</v>
      </c>
      <c r="JM119" s="21">
        <f t="shared" si="40"/>
        <v>8</v>
      </c>
      <c r="JN119" s="21">
        <f t="shared" si="40"/>
        <v>4</v>
      </c>
      <c r="JO119" s="21"/>
      <c r="JP119" s="21"/>
      <c r="JQ119" s="21"/>
      <c r="JR119" s="21"/>
      <c r="JS119" s="21"/>
      <c r="JT119" s="21"/>
      <c r="JU119" s="21"/>
      <c r="JV119" s="21"/>
      <c r="JW119" s="21"/>
      <c r="JX119" s="21"/>
      <c r="JY119" s="21"/>
      <c r="JZ119" s="21"/>
      <c r="KA119" s="21"/>
      <c r="KB119" s="21"/>
      <c r="KC119" s="21"/>
      <c r="KD119" s="21"/>
      <c r="KE119" s="21"/>
      <c r="KF119" s="21"/>
      <c r="KG119" s="21"/>
      <c r="KH119" s="21"/>
    </row>
    <row r="120" spans="1:294" x14ac:dyDescent="0.25">
      <c r="A120" s="9"/>
      <c r="B120" s="6"/>
      <c r="C120" s="9"/>
      <c r="D120" s="9"/>
      <c r="E120" s="9"/>
      <c r="F120" s="9"/>
      <c r="G120" s="9"/>
      <c r="H120" s="9"/>
      <c r="I120" s="9"/>
      <c r="J120" s="9"/>
      <c r="K120" s="9"/>
      <c r="L120" s="6" t="str">
        <f>IF(E108=$Z$104,"PW8E A2",IF(E108=$Z$105,"PW8E A2",IF(E108=$Z$106,"PW8E A2",IF(E108=$Z$107,"PW8E A2",0))))</f>
        <v>PW8E A2</v>
      </c>
      <c r="M120" s="11">
        <f>INDEX(cennik!$C$2:$L$529,MATCH($L120,cennik!$B$2:$B$522,0),MATCH(M$104,cennik!$C$1:$L$1,0))</f>
        <v>660944</v>
      </c>
      <c r="N120" s="11" t="str">
        <f>INDEX(cennik!$C$2:$L$529,MATCH($L120,cennik!$B$2:$B$522,0),MATCH(N$104,cennik!$C$1:$L$1,0))</f>
        <v>100 szt.</v>
      </c>
      <c r="O120" s="11">
        <f>ROUNDUP(((IF(E108=$Z$104,(O107*2)+((SUM(AK131:AK146)*2)),IF(E108=$Z$105,(O107*2)+((SUM(AK131:AK146)*2)),IF(E108=$Z$106,(O107*2)+((SUM(AK131:AK146)*2)),IF(E108=$Z$107,(O105*2)+(O107*2)+((SUM(AK131:AK146)*2)),0))))))/100,0)</f>
        <v>0</v>
      </c>
      <c r="P120" s="34">
        <f>INDEX(cennik!$C$2:$L$529,MATCH($L120,cennik!$B$2:$B$522,0),MATCH(P$104,cennik!$C$1:$L$1,0))</f>
        <v>21.26</v>
      </c>
      <c r="Q120" s="34">
        <f t="shared" si="34"/>
        <v>0</v>
      </c>
      <c r="R120" s="35">
        <f t="shared" si="31"/>
        <v>0</v>
      </c>
      <c r="S120" s="34">
        <f t="shared" si="32"/>
        <v>21.26</v>
      </c>
      <c r="T120" s="34">
        <f t="shared" si="35"/>
        <v>0</v>
      </c>
      <c r="U120" s="34">
        <f>INDEX(cennik!$C$2:$L$529,MATCH($L120,cennik!$B$2:$B$522,0),MATCH(U$104,cennik!$C$1:$L$1,0))*O120</f>
        <v>0</v>
      </c>
      <c r="V120" s="20"/>
      <c r="W120" s="20"/>
      <c r="X120" s="20" t="s">
        <v>479</v>
      </c>
      <c r="Y120" s="20">
        <v>2200</v>
      </c>
      <c r="Z120" s="20" t="s">
        <v>530</v>
      </c>
      <c r="AA120" s="20">
        <v>2056</v>
      </c>
      <c r="AB120" s="20">
        <f t="shared" ref="AB120:AB135" si="44">ROUNDUP((((IF(((INT((((A104*$AB$117)+((A104-1)*20))/2000))*2000)+200)&gt;=(((A104*$AB$117)+((A104-1)*20))),(INT((((A104*$AB$117)+((A104-1)*20))/2000))),IF(((INT((((A104*$AB$117)+((A104-1)*20))/2000))*2000)+200)&lt;(((A104*$AB$117)+((A104-1)*20))),(INT((((A104*$AB$117)+((A104-1)*20))/2000))+1),0)))*C104)/2),0)</f>
        <v>0</v>
      </c>
      <c r="AC1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</f>
        <v>0</v>
      </c>
      <c r="AD1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</f>
        <v>0</v>
      </c>
      <c r="AE1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</f>
        <v>0</v>
      </c>
      <c r="AF1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110,$GB$182:$GV$182,0),MATCH($E$105,$X$109:$X$126,0)))*C110</f>
        <v>0</v>
      </c>
      <c r="AG1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110,$GB$182:$GV$182,0),MATCH($E$105,$X$109:$X$126,0)))*C110</f>
        <v>0</v>
      </c>
      <c r="AH1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110,$GB$182:$GV$182,0),MATCH($E$105,$X$109:$X$126,0)))*C110</f>
        <v>0</v>
      </c>
      <c r="AI120" s="20">
        <f t="shared" si="41"/>
        <v>0</v>
      </c>
      <c r="AJ120" s="20">
        <f t="shared" si="42"/>
        <v>0</v>
      </c>
      <c r="AK120" s="20">
        <f t="shared" si="43"/>
        <v>0</v>
      </c>
      <c r="AL120" s="20" t="s">
        <v>408</v>
      </c>
      <c r="AM120" s="20">
        <v>0</v>
      </c>
      <c r="AN120" s="20">
        <f>((((SUM(AN115:AN119))/2)-1))*4</f>
        <v>0</v>
      </c>
      <c r="AO120" s="20">
        <f>((((SUM(AO115:AO119))/2)-1))*4</f>
        <v>0</v>
      </c>
      <c r="AP120" s="20">
        <f t="shared" ref="AP120:CK120" si="45">((((SUM(AP115:AP119))/2)-1))*4</f>
        <v>0</v>
      </c>
      <c r="AQ120" s="20">
        <f t="shared" si="45"/>
        <v>4</v>
      </c>
      <c r="AR120" s="20">
        <f t="shared" si="45"/>
        <v>4</v>
      </c>
      <c r="AS120" s="20">
        <f t="shared" si="45"/>
        <v>4</v>
      </c>
      <c r="AT120" s="20">
        <f t="shared" si="45"/>
        <v>8</v>
      </c>
      <c r="AU120" s="20">
        <f t="shared" si="45"/>
        <v>8</v>
      </c>
      <c r="AV120" s="20">
        <f t="shared" si="45"/>
        <v>8</v>
      </c>
      <c r="AW120" s="20">
        <f t="shared" si="45"/>
        <v>12</v>
      </c>
      <c r="AX120" s="20">
        <f t="shared" si="45"/>
        <v>12</v>
      </c>
      <c r="AY120" s="20">
        <f t="shared" si="45"/>
        <v>12</v>
      </c>
      <c r="AZ120" s="20">
        <f t="shared" si="45"/>
        <v>16</v>
      </c>
      <c r="BA120" s="20">
        <f t="shared" si="45"/>
        <v>16</v>
      </c>
      <c r="BB120" s="20">
        <f t="shared" si="45"/>
        <v>16</v>
      </c>
      <c r="BC120" s="20">
        <f t="shared" si="45"/>
        <v>20</v>
      </c>
      <c r="BD120" s="20">
        <f t="shared" si="45"/>
        <v>20</v>
      </c>
      <c r="BE120" s="20">
        <f t="shared" si="45"/>
        <v>20</v>
      </c>
      <c r="BF120" s="20">
        <f t="shared" si="45"/>
        <v>24</v>
      </c>
      <c r="BG120" s="20">
        <f t="shared" si="45"/>
        <v>24</v>
      </c>
      <c r="BH120" s="20">
        <f t="shared" si="45"/>
        <v>24</v>
      </c>
      <c r="BI120" s="20">
        <f t="shared" si="45"/>
        <v>28</v>
      </c>
      <c r="BJ120" s="20">
        <f t="shared" si="45"/>
        <v>28</v>
      </c>
      <c r="BK120" s="20">
        <f t="shared" si="45"/>
        <v>28</v>
      </c>
      <c r="BL120" s="20">
        <f t="shared" si="45"/>
        <v>32</v>
      </c>
      <c r="BM120" s="20">
        <f t="shared" si="45"/>
        <v>32</v>
      </c>
      <c r="BN120" s="20">
        <f t="shared" si="45"/>
        <v>32</v>
      </c>
      <c r="BO120" s="20">
        <f t="shared" si="45"/>
        <v>36</v>
      </c>
      <c r="BP120" s="20">
        <f t="shared" si="45"/>
        <v>36</v>
      </c>
      <c r="BQ120" s="20">
        <f t="shared" si="45"/>
        <v>36</v>
      </c>
      <c r="BR120" s="20">
        <f t="shared" si="45"/>
        <v>40</v>
      </c>
      <c r="BS120" s="20">
        <f t="shared" si="45"/>
        <v>40</v>
      </c>
      <c r="BT120" s="20">
        <f t="shared" si="45"/>
        <v>40</v>
      </c>
      <c r="BU120" s="20">
        <f t="shared" si="45"/>
        <v>44</v>
      </c>
      <c r="BV120" s="20">
        <f t="shared" si="45"/>
        <v>44</v>
      </c>
      <c r="BW120" s="20">
        <f t="shared" si="45"/>
        <v>44</v>
      </c>
      <c r="BX120" s="20">
        <f t="shared" si="45"/>
        <v>48</v>
      </c>
      <c r="BY120" s="20">
        <f t="shared" si="45"/>
        <v>48</v>
      </c>
      <c r="BZ120" s="20">
        <f t="shared" si="45"/>
        <v>48</v>
      </c>
      <c r="CA120" s="20">
        <f t="shared" si="45"/>
        <v>48</v>
      </c>
      <c r="CB120" s="20">
        <f t="shared" si="45"/>
        <v>52</v>
      </c>
      <c r="CC120" s="20">
        <f t="shared" si="45"/>
        <v>52</v>
      </c>
      <c r="CD120" s="20">
        <f t="shared" si="45"/>
        <v>52</v>
      </c>
      <c r="CE120" s="20">
        <f t="shared" si="45"/>
        <v>56</v>
      </c>
      <c r="CF120" s="20">
        <f t="shared" si="45"/>
        <v>56</v>
      </c>
      <c r="CG120" s="20">
        <f t="shared" si="45"/>
        <v>56</v>
      </c>
      <c r="CH120" s="20">
        <f t="shared" si="45"/>
        <v>60</v>
      </c>
      <c r="CI120" s="20">
        <f t="shared" si="45"/>
        <v>60</v>
      </c>
      <c r="CJ120" s="20">
        <f t="shared" si="45"/>
        <v>60</v>
      </c>
      <c r="CK120" s="20">
        <f t="shared" si="45"/>
        <v>64</v>
      </c>
      <c r="CL120" s="20"/>
      <c r="CM120" s="26">
        <v>20</v>
      </c>
      <c r="CN120" s="20" t="s">
        <v>343</v>
      </c>
      <c r="CO120" s="20" t="s">
        <v>331</v>
      </c>
      <c r="CP120" s="20" t="s">
        <v>499</v>
      </c>
      <c r="CQ120" s="20" t="s">
        <v>340</v>
      </c>
      <c r="CR120" s="20" t="s">
        <v>500</v>
      </c>
      <c r="CS120" s="20" t="s">
        <v>501</v>
      </c>
      <c r="CT120" s="20" t="s">
        <v>502</v>
      </c>
      <c r="CU120" s="20" t="s">
        <v>503</v>
      </c>
      <c r="CV120" s="20" t="s">
        <v>504</v>
      </c>
      <c r="CW120" s="20" t="s">
        <v>334</v>
      </c>
      <c r="CX120" s="20" t="s">
        <v>337</v>
      </c>
      <c r="CY120" s="20" t="s">
        <v>540</v>
      </c>
      <c r="CZ120" s="20" t="s">
        <v>543</v>
      </c>
      <c r="DA120" s="20" t="s">
        <v>546</v>
      </c>
      <c r="DB120" s="20" t="s">
        <v>549</v>
      </c>
      <c r="DC120" s="20" t="s">
        <v>552</v>
      </c>
      <c r="DD120" s="20" t="s">
        <v>555</v>
      </c>
      <c r="DE120" s="20" t="s">
        <v>558</v>
      </c>
      <c r="DF120" s="20" t="s">
        <v>561</v>
      </c>
      <c r="DG120" s="20"/>
      <c r="DH120" s="20"/>
      <c r="DI120" s="20"/>
      <c r="DJ120" s="20"/>
      <c r="DK120" s="20"/>
      <c r="DL120" s="20"/>
      <c r="DM120" s="20"/>
      <c r="DN120" s="20"/>
      <c r="DO120" s="20"/>
      <c r="DP120" s="20"/>
      <c r="DQ120" s="20"/>
      <c r="DR120" s="20"/>
      <c r="DS120" s="20"/>
      <c r="DT120" s="20"/>
      <c r="DU120" s="20"/>
      <c r="DV120" s="20"/>
      <c r="DW120" s="20"/>
      <c r="DX120" s="20"/>
      <c r="DY120" s="20"/>
      <c r="DZ120" s="54">
        <v>17</v>
      </c>
      <c r="EA120" s="54">
        <v>34</v>
      </c>
      <c r="EB120" s="54"/>
      <c r="EC120" s="20"/>
      <c r="ED120" s="20"/>
      <c r="EE120" s="20"/>
      <c r="EF120" s="20"/>
      <c r="EG120" s="20"/>
      <c r="EH120" s="20"/>
      <c r="EI120" s="20"/>
      <c r="EJ120" s="20"/>
      <c r="EK120" s="20"/>
      <c r="EL120" s="20"/>
      <c r="EM120" s="20"/>
      <c r="EN120" s="20"/>
      <c r="EO120" s="20"/>
      <c r="EP120" s="20">
        <v>10</v>
      </c>
      <c r="EQ120" s="20">
        <v>15</v>
      </c>
      <c r="ER120" s="20">
        <v>20</v>
      </c>
      <c r="ES120" s="20"/>
      <c r="ET120" s="20"/>
      <c r="EU120" s="20"/>
      <c r="EV120" s="20" t="s">
        <v>9</v>
      </c>
      <c r="EW120" s="20">
        <v>0</v>
      </c>
      <c r="EX120" s="20">
        <v>2</v>
      </c>
      <c r="EY120" s="20">
        <v>0</v>
      </c>
      <c r="EZ120" s="20">
        <v>0</v>
      </c>
      <c r="FA120" s="20">
        <v>0</v>
      </c>
      <c r="FB120" s="20">
        <v>0</v>
      </c>
      <c r="FC120" s="20">
        <v>0</v>
      </c>
      <c r="FD120" s="20">
        <v>0</v>
      </c>
      <c r="FE120" s="20">
        <v>0</v>
      </c>
      <c r="FF120" s="20">
        <v>0</v>
      </c>
      <c r="FG120" s="20">
        <v>0</v>
      </c>
      <c r="FH120" s="20">
        <v>0</v>
      </c>
      <c r="FI120" s="20">
        <v>0</v>
      </c>
      <c r="FJ120" s="20">
        <v>0</v>
      </c>
      <c r="FK120" s="20">
        <v>0</v>
      </c>
      <c r="FL120" s="20">
        <v>0</v>
      </c>
      <c r="FM120" s="20">
        <v>0</v>
      </c>
      <c r="FN120" s="20">
        <v>0</v>
      </c>
      <c r="FO120" s="20">
        <v>0</v>
      </c>
      <c r="FP120" s="20">
        <v>0</v>
      </c>
      <c r="FQ120" s="20">
        <v>0</v>
      </c>
      <c r="FR120" s="20">
        <v>0</v>
      </c>
      <c r="FS120" s="20">
        <v>0</v>
      </c>
      <c r="FT120" s="20">
        <v>0</v>
      </c>
      <c r="FU120" s="20">
        <v>0</v>
      </c>
      <c r="FV120" s="20">
        <v>0</v>
      </c>
      <c r="FW120" s="20">
        <v>0</v>
      </c>
      <c r="FX120" s="20">
        <v>0</v>
      </c>
      <c r="FY120" s="20">
        <v>0</v>
      </c>
      <c r="FZ120" s="20">
        <v>0</v>
      </c>
      <c r="GA120" s="20">
        <v>0</v>
      </c>
      <c r="GB120" s="20">
        <v>0</v>
      </c>
      <c r="GC120" s="20">
        <v>0</v>
      </c>
      <c r="GD120" s="20">
        <v>0</v>
      </c>
      <c r="GE120" s="20">
        <v>0</v>
      </c>
      <c r="GF120" s="20">
        <v>0</v>
      </c>
      <c r="GG120" s="20">
        <v>0</v>
      </c>
      <c r="GH120" s="20">
        <v>0</v>
      </c>
      <c r="GI120" s="20">
        <v>0</v>
      </c>
      <c r="GJ120" s="20">
        <v>0</v>
      </c>
      <c r="GK120" s="20">
        <v>0</v>
      </c>
      <c r="GL120" s="20">
        <v>0</v>
      </c>
      <c r="GM120" s="20">
        <v>0</v>
      </c>
      <c r="GN120" s="20">
        <v>0</v>
      </c>
      <c r="GO120" s="20">
        <v>0</v>
      </c>
      <c r="GP120" s="20">
        <v>0</v>
      </c>
      <c r="GQ120" s="20">
        <v>0</v>
      </c>
      <c r="GR120" s="20">
        <v>0</v>
      </c>
      <c r="GS120" s="20">
        <v>0</v>
      </c>
      <c r="GT120" s="20">
        <v>0</v>
      </c>
      <c r="GU120" s="20">
        <v>0</v>
      </c>
      <c r="GV120" s="20"/>
      <c r="GW120" s="20"/>
      <c r="GX120" s="20"/>
      <c r="GY120" s="21" t="s">
        <v>711</v>
      </c>
      <c r="GZ120" s="21">
        <v>0</v>
      </c>
      <c r="HA120" s="21">
        <v>0</v>
      </c>
      <c r="HB120" s="21">
        <v>2</v>
      </c>
      <c r="HC120" s="21">
        <v>0</v>
      </c>
      <c r="HD120" s="21">
        <v>2</v>
      </c>
      <c r="HE120" s="21">
        <v>4</v>
      </c>
      <c r="HF120" s="21">
        <v>2</v>
      </c>
      <c r="HG120" s="21">
        <v>4</v>
      </c>
      <c r="HH120" s="21">
        <v>6</v>
      </c>
      <c r="HI120" s="21">
        <v>4</v>
      </c>
      <c r="HJ120" s="21">
        <v>6</v>
      </c>
      <c r="HK120" s="21">
        <v>8</v>
      </c>
      <c r="HL120" s="21">
        <v>6</v>
      </c>
      <c r="HM120" s="21">
        <v>8</v>
      </c>
      <c r="HN120" s="21">
        <v>10</v>
      </c>
      <c r="HO120" s="21">
        <v>8</v>
      </c>
      <c r="HP120" s="21">
        <v>10</v>
      </c>
      <c r="HQ120" s="21">
        <v>12</v>
      </c>
      <c r="HR120" s="21">
        <v>10</v>
      </c>
      <c r="HS120" s="21">
        <v>12</v>
      </c>
      <c r="HT120" s="21">
        <v>14</v>
      </c>
      <c r="HU120" s="21"/>
      <c r="HV120" s="21" t="s">
        <v>825</v>
      </c>
      <c r="HW120" s="20">
        <v>0</v>
      </c>
      <c r="HX120" s="20">
        <v>0</v>
      </c>
      <c r="HY120" s="20">
        <v>2</v>
      </c>
      <c r="HZ120" s="20">
        <v>2</v>
      </c>
      <c r="IA120" s="20">
        <v>4</v>
      </c>
      <c r="IB120" s="20">
        <v>4</v>
      </c>
      <c r="IC120" s="20">
        <v>4</v>
      </c>
      <c r="ID120" s="20">
        <v>6</v>
      </c>
      <c r="IE120" s="20">
        <v>6</v>
      </c>
      <c r="IF120" s="20">
        <v>10</v>
      </c>
      <c r="IG120" s="20">
        <v>8</v>
      </c>
      <c r="IH120" s="20">
        <v>12</v>
      </c>
      <c r="II120" s="20">
        <v>10</v>
      </c>
      <c r="IJ120" s="20">
        <v>14</v>
      </c>
      <c r="IK120" s="20">
        <v>14</v>
      </c>
      <c r="IL120" s="20">
        <v>16</v>
      </c>
      <c r="IM120" s="20">
        <v>16</v>
      </c>
      <c r="IN120" s="20">
        <v>18</v>
      </c>
      <c r="IO120" s="20">
        <v>18</v>
      </c>
      <c r="IP120" s="20">
        <v>18</v>
      </c>
      <c r="IQ120" s="20">
        <v>20</v>
      </c>
      <c r="IR120" s="21"/>
      <c r="IS120" s="21" t="s">
        <v>825</v>
      </c>
      <c r="IT120" s="21">
        <f t="shared" si="39"/>
        <v>0</v>
      </c>
      <c r="IU120" s="21">
        <f t="shared" si="39"/>
        <v>0</v>
      </c>
      <c r="IV120" s="21">
        <f t="shared" si="39"/>
        <v>4</v>
      </c>
      <c r="IW120" s="21">
        <f t="shared" si="39"/>
        <v>4</v>
      </c>
      <c r="IX120" s="21">
        <f t="shared" si="39"/>
        <v>8</v>
      </c>
      <c r="IY120" s="21">
        <f t="shared" si="39"/>
        <v>8</v>
      </c>
      <c r="IZ120" s="21">
        <f t="shared" si="39"/>
        <v>8</v>
      </c>
      <c r="JA120" s="21">
        <f t="shared" si="39"/>
        <v>12</v>
      </c>
      <c r="JB120" s="21">
        <f t="shared" si="39"/>
        <v>12</v>
      </c>
      <c r="JC120" s="21">
        <f t="shared" si="39"/>
        <v>20</v>
      </c>
      <c r="JD120" s="21">
        <f t="shared" si="39"/>
        <v>16</v>
      </c>
      <c r="JE120" s="21">
        <f t="shared" si="39"/>
        <v>24</v>
      </c>
      <c r="JF120" s="21">
        <f t="shared" si="39"/>
        <v>20</v>
      </c>
      <c r="JG120" s="21">
        <f t="shared" si="39"/>
        <v>28</v>
      </c>
      <c r="JH120" s="21">
        <f t="shared" si="39"/>
        <v>28</v>
      </c>
      <c r="JI120" s="21">
        <f t="shared" si="39"/>
        <v>32</v>
      </c>
      <c r="JJ120" s="21">
        <f t="shared" si="40"/>
        <v>32</v>
      </c>
      <c r="JK120" s="21">
        <f t="shared" si="40"/>
        <v>36</v>
      </c>
      <c r="JL120" s="21">
        <f t="shared" si="40"/>
        <v>36</v>
      </c>
      <c r="JM120" s="21">
        <f t="shared" si="40"/>
        <v>36</v>
      </c>
      <c r="JN120" s="21">
        <f t="shared" si="40"/>
        <v>40</v>
      </c>
      <c r="JO120" s="21"/>
      <c r="JP120" s="21"/>
      <c r="JQ120" s="26"/>
      <c r="JR120" s="21"/>
      <c r="JS120" s="21"/>
      <c r="JT120" s="21"/>
      <c r="JU120" s="21"/>
      <c r="JV120" s="21"/>
      <c r="JW120" s="21"/>
      <c r="JX120" s="21"/>
      <c r="JY120" s="21"/>
      <c r="JZ120" s="21"/>
      <c r="KA120" s="21"/>
      <c r="KB120" s="21"/>
      <c r="KC120" s="21"/>
      <c r="KD120" s="21"/>
      <c r="KE120" s="21"/>
      <c r="KF120" s="21"/>
      <c r="KG120" s="21"/>
      <c r="KH120" s="21"/>
    </row>
    <row r="121" spans="1:294" x14ac:dyDescent="0.25">
      <c r="A121" s="9"/>
      <c r="B121" s="6"/>
      <c r="C121" s="9"/>
      <c r="D121" s="9"/>
      <c r="E121" s="9"/>
      <c r="F121" s="1"/>
      <c r="G121" s="9"/>
      <c r="H121" s="9"/>
      <c r="I121" s="9"/>
      <c r="J121" s="9"/>
      <c r="K121" s="9"/>
      <c r="L121" s="6" t="str">
        <f>IF(E108=$Z$104,"PC50P",IF(E108=$Z$105,"PC50P",IF(E108=$Z$106,"PC50P",IF(E108=$Z$107,"-------",0))))</f>
        <v>PC50P</v>
      </c>
      <c r="M121" s="11">
        <f>INDEX(cennik!$C$2:$L$529,MATCH($L121,cennik!$B$2:$B$522,0),MATCH(M$104,cennik!$C$1:$L$1,0))</f>
        <v>858434</v>
      </c>
      <c r="N121" s="11" t="str">
        <f>INDEX(cennik!$C$2:$L$529,MATCH($L121,cennik!$B$2:$B$522,0),MATCH(N$104,cennik!$C$1:$L$1,0))</f>
        <v>szt.</v>
      </c>
      <c r="O121" s="11">
        <f>IF(E108=$Z$104,O105*2,IF(E108=$Z$105,O105*2,IF(E108=$Z$106,O105*2,IF(E108=$Z$107,0,0))))</f>
        <v>0</v>
      </c>
      <c r="P121" s="34">
        <f>INDEX(cennik!$C$2:$L$529,MATCH($L121,cennik!$B$2:$B$522,0),MATCH(P$104,cennik!$C$1:$L$1,0))</f>
        <v>5.17</v>
      </c>
      <c r="Q121" s="34">
        <f t="shared" si="34"/>
        <v>0</v>
      </c>
      <c r="R121" s="35">
        <f t="shared" si="31"/>
        <v>0</v>
      </c>
      <c r="S121" s="34">
        <f t="shared" si="32"/>
        <v>5.17</v>
      </c>
      <c r="T121" s="34">
        <f t="shared" si="35"/>
        <v>0</v>
      </c>
      <c r="U121" s="34">
        <f>INDEX(cennik!$C$2:$L$529,MATCH($L121,cennik!$B$2:$B$522,0),MATCH(U$104,cennik!$C$1:$L$1,0))*O121</f>
        <v>0</v>
      </c>
      <c r="V121" s="20"/>
      <c r="W121" s="20"/>
      <c r="X121" s="20" t="s">
        <v>508</v>
      </c>
      <c r="Y121" s="20">
        <v>2250</v>
      </c>
      <c r="Z121" s="20" t="s">
        <v>531</v>
      </c>
      <c r="AA121" s="20">
        <v>2094</v>
      </c>
      <c r="AB121" s="20">
        <f t="shared" si="44"/>
        <v>0</v>
      </c>
      <c r="AC1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</f>
        <v>0</v>
      </c>
      <c r="AD1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</f>
        <v>0</v>
      </c>
      <c r="AE1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</f>
        <v>0</v>
      </c>
      <c r="AF1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111,$GB$182:$GV$182,0),MATCH($E$105,$X$109:$X$126,0)))*C111</f>
        <v>0</v>
      </c>
      <c r="AG1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111,$GB$182:$GV$182,0),MATCH($E$105,$X$109:$X$126,0)))*C111</f>
        <v>0</v>
      </c>
      <c r="AH1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111,$GB$182:$GV$182,0),MATCH($E$105,$X$109:$X$126,0)))*C111</f>
        <v>0</v>
      </c>
      <c r="AI121" s="20">
        <f t="shared" si="41"/>
        <v>0</v>
      </c>
      <c r="AJ121" s="20">
        <f t="shared" si="42"/>
        <v>0</v>
      </c>
      <c r="AK121" s="20">
        <f t="shared" si="43"/>
        <v>0</v>
      </c>
      <c r="AL121" s="20"/>
      <c r="AM121" s="20"/>
      <c r="AN121" s="20"/>
      <c r="AO121" s="20"/>
      <c r="AP121" s="20"/>
      <c r="AQ121" s="20"/>
      <c r="AR121" s="20"/>
      <c r="AS121" s="20"/>
      <c r="AT121" s="20"/>
      <c r="AU121" s="20"/>
      <c r="AV121" s="20"/>
      <c r="AW121" s="20"/>
      <c r="AX121" s="20"/>
      <c r="AY121" s="20"/>
      <c r="AZ121" s="20"/>
      <c r="BA121" s="20"/>
      <c r="BB121" s="20"/>
      <c r="BC121" s="20"/>
      <c r="BD121" s="20"/>
      <c r="BE121" s="20"/>
      <c r="BF121" s="20"/>
      <c r="BG121" s="20"/>
      <c r="BH121" s="20"/>
      <c r="BI121" s="20"/>
      <c r="BJ121" s="20"/>
      <c r="BK121" s="20"/>
      <c r="BL121" s="20"/>
      <c r="BM121" s="20"/>
      <c r="BN121" s="20"/>
      <c r="BO121" s="20"/>
      <c r="BP121" s="20"/>
      <c r="BQ121" s="20"/>
      <c r="BR121" s="20"/>
      <c r="BS121" s="20"/>
      <c r="BT121" s="20"/>
      <c r="BU121" s="20"/>
      <c r="BV121" s="20"/>
      <c r="BW121" s="20"/>
      <c r="BX121" s="20"/>
      <c r="BY121" s="20"/>
      <c r="BZ121" s="20"/>
      <c r="CA121" s="20"/>
      <c r="CB121" s="20"/>
      <c r="CC121" s="20"/>
      <c r="CD121" s="20"/>
      <c r="CE121" s="20"/>
      <c r="CF121" s="20"/>
      <c r="CG121" s="20"/>
      <c r="CH121" s="20"/>
      <c r="CI121" s="20"/>
      <c r="CJ121" s="20"/>
      <c r="CK121" s="20"/>
      <c r="CL121" s="20"/>
      <c r="CM121" s="26"/>
      <c r="CN121" s="20"/>
      <c r="CO121" s="20"/>
      <c r="CP121" s="20"/>
      <c r="CQ121" s="20"/>
      <c r="CR121" s="20"/>
      <c r="CS121" s="20"/>
      <c r="CT121" s="20"/>
      <c r="CU121" s="20"/>
      <c r="CV121" s="20"/>
      <c r="CW121" s="20"/>
      <c r="CX121" s="20"/>
      <c r="CY121" s="20"/>
      <c r="CZ121" s="20"/>
      <c r="DA121" s="20"/>
      <c r="DB121" s="20"/>
      <c r="DC121" s="20"/>
      <c r="DD121" s="20"/>
      <c r="DE121" s="20"/>
      <c r="DF121" s="20"/>
      <c r="DG121" s="20"/>
      <c r="DH121" s="20"/>
      <c r="DI121" s="20"/>
      <c r="DJ121" s="20"/>
      <c r="DK121" s="20"/>
      <c r="DL121" s="20"/>
      <c r="DM121" s="20"/>
      <c r="DN121" s="20"/>
      <c r="DO121" s="20"/>
      <c r="DP121" s="20"/>
      <c r="DQ121" s="20"/>
      <c r="DR121" s="20"/>
      <c r="DS121" s="20"/>
      <c r="DT121" s="20"/>
      <c r="DU121" s="20"/>
      <c r="DV121" s="20"/>
      <c r="DW121" s="20"/>
      <c r="DX121" s="20"/>
      <c r="DY121" s="20"/>
      <c r="DZ121" s="54">
        <v>18</v>
      </c>
      <c r="EA121" s="54">
        <v>36</v>
      </c>
      <c r="EB121" s="54"/>
      <c r="EC121" s="20"/>
      <c r="ED121" s="20"/>
      <c r="EE121" s="20"/>
      <c r="EF121" s="20"/>
      <c r="EG121" s="20"/>
      <c r="EH121" s="20"/>
      <c r="EI121" s="20"/>
      <c r="EJ121" s="20" t="str">
        <f>INDEX((EP121:ER130),MATCH(E105,EO121:EO130,0),MATCH(E109,EP120:ER120,0),1)</f>
        <v>OWN15/2,4NMC</v>
      </c>
      <c r="EK121" s="20"/>
      <c r="EL121" s="20"/>
      <c r="EM121" s="20"/>
      <c r="EN121" s="20"/>
      <c r="EO121" s="20" t="s">
        <v>111</v>
      </c>
      <c r="EP121" s="20" t="s">
        <v>1363</v>
      </c>
      <c r="EQ121" s="20" t="s">
        <v>1369</v>
      </c>
      <c r="ER121" s="20" t="s">
        <v>1286</v>
      </c>
      <c r="ES121" s="20"/>
      <c r="ET121" s="20"/>
      <c r="EU121" s="20"/>
      <c r="EV121" s="20" t="s">
        <v>208</v>
      </c>
      <c r="EW121" s="20">
        <v>0</v>
      </c>
      <c r="EX121" s="20">
        <v>0</v>
      </c>
      <c r="EY121" s="20">
        <v>0</v>
      </c>
      <c r="EZ121" s="20">
        <v>0</v>
      </c>
      <c r="FA121" s="20">
        <v>0</v>
      </c>
      <c r="FB121" s="20">
        <v>0</v>
      </c>
      <c r="FC121" s="20">
        <v>0</v>
      </c>
      <c r="FD121" s="20">
        <v>0</v>
      </c>
      <c r="FE121" s="20">
        <v>2</v>
      </c>
      <c r="FF121" s="20">
        <v>0</v>
      </c>
      <c r="FG121" s="20">
        <v>0</v>
      </c>
      <c r="FH121" s="20">
        <v>0</v>
      </c>
      <c r="FI121" s="20">
        <v>0</v>
      </c>
      <c r="FJ121" s="20">
        <v>0</v>
      </c>
      <c r="FK121" s="20">
        <v>0</v>
      </c>
      <c r="FL121" s="20">
        <v>0</v>
      </c>
      <c r="FM121" s="20">
        <v>0</v>
      </c>
      <c r="FN121" s="20">
        <v>0</v>
      </c>
      <c r="FO121" s="20">
        <v>0</v>
      </c>
      <c r="FP121" s="20">
        <v>0</v>
      </c>
      <c r="FQ121" s="20">
        <v>0</v>
      </c>
      <c r="FR121" s="20">
        <v>0</v>
      </c>
      <c r="FS121" s="20">
        <v>0</v>
      </c>
      <c r="FT121" s="20">
        <v>0</v>
      </c>
      <c r="FU121" s="20">
        <v>0</v>
      </c>
      <c r="FV121" s="20">
        <v>0</v>
      </c>
      <c r="FW121" s="20">
        <v>0</v>
      </c>
      <c r="FX121" s="20">
        <v>0</v>
      </c>
      <c r="FY121" s="20">
        <v>0</v>
      </c>
      <c r="FZ121" s="20">
        <v>0</v>
      </c>
      <c r="GA121" s="20">
        <v>0</v>
      </c>
      <c r="GB121" s="20">
        <v>0</v>
      </c>
      <c r="GC121" s="20">
        <v>0</v>
      </c>
      <c r="GD121" s="20">
        <v>0</v>
      </c>
      <c r="GE121" s="20">
        <v>0</v>
      </c>
      <c r="GF121" s="20">
        <v>0</v>
      </c>
      <c r="GG121" s="20">
        <v>0</v>
      </c>
      <c r="GH121" s="20">
        <v>0</v>
      </c>
      <c r="GI121" s="20">
        <v>0</v>
      </c>
      <c r="GJ121" s="20">
        <v>0</v>
      </c>
      <c r="GK121" s="20">
        <v>0</v>
      </c>
      <c r="GL121" s="20">
        <v>0</v>
      </c>
      <c r="GM121" s="20">
        <v>0</v>
      </c>
      <c r="GN121" s="20">
        <v>0</v>
      </c>
      <c r="GO121" s="20">
        <v>0</v>
      </c>
      <c r="GP121" s="20">
        <v>0</v>
      </c>
      <c r="GQ121" s="20">
        <v>0</v>
      </c>
      <c r="GR121" s="20">
        <v>0</v>
      </c>
      <c r="GS121" s="20">
        <v>0</v>
      </c>
      <c r="GT121" s="20">
        <v>0</v>
      </c>
      <c r="GU121" s="20">
        <v>0</v>
      </c>
      <c r="GV121" s="20"/>
      <c r="GW121" s="20"/>
      <c r="GX121" s="20"/>
      <c r="GY121" s="21" t="s">
        <v>712</v>
      </c>
      <c r="GZ121" s="21">
        <v>0</v>
      </c>
      <c r="HA121" s="21">
        <v>0</v>
      </c>
      <c r="HB121" s="21">
        <v>0</v>
      </c>
      <c r="HC121" s="21">
        <v>2</v>
      </c>
      <c r="HD121" s="21">
        <v>2</v>
      </c>
      <c r="HE121" s="21">
        <v>2</v>
      </c>
      <c r="HF121" s="21">
        <v>4</v>
      </c>
      <c r="HG121" s="21">
        <v>4</v>
      </c>
      <c r="HH121" s="21">
        <v>4</v>
      </c>
      <c r="HI121" s="21">
        <v>6</v>
      </c>
      <c r="HJ121" s="21">
        <v>6</v>
      </c>
      <c r="HK121" s="21">
        <v>6</v>
      </c>
      <c r="HL121" s="21">
        <v>8</v>
      </c>
      <c r="HM121" s="21">
        <v>8</v>
      </c>
      <c r="HN121" s="21">
        <v>8</v>
      </c>
      <c r="HO121" s="21">
        <v>10</v>
      </c>
      <c r="HP121" s="21">
        <v>10</v>
      </c>
      <c r="HQ121" s="21">
        <v>10</v>
      </c>
      <c r="HR121" s="21">
        <v>12</v>
      </c>
      <c r="HS121" s="21">
        <v>12</v>
      </c>
      <c r="HT121" s="21">
        <v>12</v>
      </c>
      <c r="HU121" s="21"/>
      <c r="HV121" s="21" t="s">
        <v>853</v>
      </c>
      <c r="HW121" s="20">
        <v>0</v>
      </c>
      <c r="HX121" s="20">
        <v>0</v>
      </c>
      <c r="HY121" s="20">
        <v>0</v>
      </c>
      <c r="HZ121" s="20">
        <v>2</v>
      </c>
      <c r="IA121" s="20">
        <v>2</v>
      </c>
      <c r="IB121" s="20">
        <v>4</v>
      </c>
      <c r="IC121" s="20">
        <v>6</v>
      </c>
      <c r="ID121" s="20">
        <v>6</v>
      </c>
      <c r="IE121" s="20">
        <v>8</v>
      </c>
      <c r="IF121" s="20">
        <v>8</v>
      </c>
      <c r="IG121" s="20">
        <v>10</v>
      </c>
      <c r="IH121" s="20">
        <v>10</v>
      </c>
      <c r="II121" s="20">
        <v>12</v>
      </c>
      <c r="IJ121" s="20">
        <v>12</v>
      </c>
      <c r="IK121" s="20">
        <v>14</v>
      </c>
      <c r="IL121" s="20">
        <v>14</v>
      </c>
      <c r="IM121" s="20">
        <v>16</v>
      </c>
      <c r="IN121" s="20">
        <v>16</v>
      </c>
      <c r="IO121" s="20">
        <v>18</v>
      </c>
      <c r="IP121" s="20">
        <v>20</v>
      </c>
      <c r="IQ121" s="20">
        <v>20</v>
      </c>
      <c r="IR121" s="21"/>
      <c r="IS121" s="21" t="s">
        <v>853</v>
      </c>
      <c r="IT121" s="21">
        <f t="shared" si="39"/>
        <v>0</v>
      </c>
      <c r="IU121" s="21">
        <f t="shared" si="39"/>
        <v>0</v>
      </c>
      <c r="IV121" s="21">
        <f t="shared" si="39"/>
        <v>0</v>
      </c>
      <c r="IW121" s="21">
        <f t="shared" si="39"/>
        <v>4</v>
      </c>
      <c r="IX121" s="21">
        <f t="shared" si="39"/>
        <v>4</v>
      </c>
      <c r="IY121" s="21">
        <f t="shared" si="39"/>
        <v>8</v>
      </c>
      <c r="IZ121" s="21">
        <f t="shared" si="39"/>
        <v>12</v>
      </c>
      <c r="JA121" s="21">
        <f t="shared" si="39"/>
        <v>12</v>
      </c>
      <c r="JB121" s="21">
        <f t="shared" si="39"/>
        <v>16</v>
      </c>
      <c r="JC121" s="21">
        <f t="shared" si="39"/>
        <v>16</v>
      </c>
      <c r="JD121" s="21">
        <f t="shared" si="39"/>
        <v>20</v>
      </c>
      <c r="JE121" s="21">
        <f t="shared" si="39"/>
        <v>20</v>
      </c>
      <c r="JF121" s="21">
        <f t="shared" si="39"/>
        <v>24</v>
      </c>
      <c r="JG121" s="21">
        <f t="shared" si="39"/>
        <v>24</v>
      </c>
      <c r="JH121" s="21">
        <f t="shared" si="39"/>
        <v>28</v>
      </c>
      <c r="JI121" s="21">
        <f t="shared" si="39"/>
        <v>28</v>
      </c>
      <c r="JJ121" s="21">
        <f t="shared" si="40"/>
        <v>32</v>
      </c>
      <c r="JK121" s="21">
        <f t="shared" si="40"/>
        <v>32</v>
      </c>
      <c r="JL121" s="21">
        <f t="shared" si="40"/>
        <v>36</v>
      </c>
      <c r="JM121" s="21">
        <f t="shared" si="40"/>
        <v>40</v>
      </c>
      <c r="JN121" s="21">
        <f t="shared" si="40"/>
        <v>40</v>
      </c>
      <c r="JO121" s="21"/>
      <c r="JP121" s="21"/>
      <c r="JQ121" s="26"/>
      <c r="JR121" s="21"/>
      <c r="JS121" s="21"/>
      <c r="JT121" s="21"/>
      <c r="JU121" s="21"/>
      <c r="JV121" s="21"/>
      <c r="JW121" s="21"/>
      <c r="JX121" s="21"/>
      <c r="JY121" s="21"/>
      <c r="JZ121" s="21"/>
      <c r="KA121" s="21"/>
      <c r="KB121" s="21"/>
      <c r="KC121" s="21"/>
      <c r="KD121" s="21"/>
      <c r="KE121" s="21"/>
      <c r="KF121" s="21"/>
      <c r="KG121" s="26"/>
      <c r="KH121" s="21"/>
    </row>
    <row r="122" spans="1:294" x14ac:dyDescent="0.25">
      <c r="A122" s="9"/>
      <c r="B122" s="9"/>
      <c r="C122" s="9"/>
      <c r="D122" s="9"/>
      <c r="E122" s="9"/>
      <c r="F122" s="9"/>
      <c r="G122" s="11"/>
      <c r="H122" s="9"/>
      <c r="I122" s="9"/>
      <c r="J122" s="9"/>
      <c r="K122" s="9"/>
      <c r="L122" s="6" t="s">
        <v>1005</v>
      </c>
      <c r="M122" s="11">
        <f>INDEX(cennik!$C$2:$L$529,MATCH($L122,cennik!$B$2:$B$522,0),MATCH(M$104,cennik!$C$1:$L$1,0))</f>
        <v>760401</v>
      </c>
      <c r="N122" s="11" t="str">
        <f>INDEX(cennik!$C$2:$L$529,MATCH($L122,cennik!$B$2:$B$522,0),MATCH(N$104,cennik!$C$1:$L$1,0))</f>
        <v>szt.</v>
      </c>
      <c r="O122" s="11">
        <f>O105*2</f>
        <v>0</v>
      </c>
      <c r="P122" s="34">
        <f>INDEX(cennik!$C$2:$L$529,MATCH($L122,cennik!$B$2:$B$522,0),MATCH(P$104,cennik!$C$1:$L$1,0))</f>
        <v>1.97</v>
      </c>
      <c r="Q122" s="34">
        <f t="shared" si="34"/>
        <v>0</v>
      </c>
      <c r="R122" s="35">
        <f t="shared" si="31"/>
        <v>0</v>
      </c>
      <c r="S122" s="34">
        <f t="shared" si="32"/>
        <v>1.97</v>
      </c>
      <c r="T122" s="34">
        <f t="shared" si="35"/>
        <v>0</v>
      </c>
      <c r="U122" s="34">
        <f>INDEX(cennik!$C$2:$L$529,MATCH($L122,cennik!$B$2:$B$522,0),MATCH(U$104,cennik!$C$1:$L$1,0))*O122</f>
        <v>0</v>
      </c>
      <c r="V122" s="20"/>
      <c r="W122" s="20"/>
      <c r="X122" s="20" t="s">
        <v>507</v>
      </c>
      <c r="Y122" s="20">
        <v>2300</v>
      </c>
      <c r="Z122" s="20"/>
      <c r="AA122" s="20"/>
      <c r="AB122" s="20">
        <f t="shared" si="44"/>
        <v>0</v>
      </c>
      <c r="AC1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</f>
        <v>0</v>
      </c>
      <c r="AD1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</f>
        <v>0</v>
      </c>
      <c r="AE1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</f>
        <v>0</v>
      </c>
      <c r="AF1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112,$GB$182:$GV$182,0),MATCH($E$105,$X$109:$X$126,0)))*C112</f>
        <v>0</v>
      </c>
      <c r="AG1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112,$GB$182:$GV$182,0),MATCH($E$105,$X$109:$X$126,0)))*C112</f>
        <v>0</v>
      </c>
      <c r="AH1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112,$GB$182:$GV$182,0),MATCH($E$105,$X$109:$X$126,0)))*C112</f>
        <v>0</v>
      </c>
      <c r="AI122" s="20">
        <f t="shared" si="41"/>
        <v>0</v>
      </c>
      <c r="AJ122" s="20">
        <f t="shared" si="42"/>
        <v>0</v>
      </c>
      <c r="AK122" s="20">
        <f t="shared" si="43"/>
        <v>0</v>
      </c>
      <c r="AL122" s="20" t="s">
        <v>115</v>
      </c>
      <c r="AM122" s="20"/>
      <c r="AN122" s="20"/>
      <c r="AO122" s="20"/>
      <c r="AP122" s="20"/>
      <c r="AQ122" s="20"/>
      <c r="AR122" s="20"/>
      <c r="AS122" s="20"/>
      <c r="AT122" s="20"/>
      <c r="AU122" s="20"/>
      <c r="AV122" s="20"/>
      <c r="AW122" s="20"/>
      <c r="AX122" s="20"/>
      <c r="AY122" s="20"/>
      <c r="AZ122" s="20"/>
      <c r="BA122" s="20"/>
      <c r="BB122" s="20"/>
      <c r="BC122" s="20"/>
      <c r="BD122" s="20"/>
      <c r="BE122" s="20"/>
      <c r="BF122" s="20"/>
      <c r="BG122" s="20"/>
      <c r="BH122" s="20"/>
      <c r="BI122" s="20"/>
      <c r="BJ122" s="20"/>
      <c r="BK122" s="20"/>
      <c r="BL122" s="20"/>
      <c r="BM122" s="20"/>
      <c r="BN122" s="20"/>
      <c r="BO122" s="20"/>
      <c r="BP122" s="20"/>
      <c r="BQ122" s="20"/>
      <c r="BR122" s="20"/>
      <c r="BS122" s="20"/>
      <c r="BT122" s="20"/>
      <c r="BU122" s="20"/>
      <c r="BV122" s="20"/>
      <c r="BW122" s="20"/>
      <c r="BX122" s="20"/>
      <c r="BY122" s="20"/>
      <c r="BZ122" s="20"/>
      <c r="CA122" s="20"/>
      <c r="CB122" s="20"/>
      <c r="CC122" s="20"/>
      <c r="CD122" s="20"/>
      <c r="CE122" s="20"/>
      <c r="CF122" s="20"/>
      <c r="CG122" s="20"/>
      <c r="CH122" s="20"/>
      <c r="CI122" s="20"/>
      <c r="CJ122" s="20"/>
      <c r="CK122" s="20"/>
      <c r="CL122" s="20"/>
      <c r="CM122" s="20"/>
      <c r="CN122" s="20"/>
      <c r="CO122" s="20"/>
      <c r="CP122" s="20"/>
      <c r="CQ122" s="20"/>
      <c r="CR122" s="20"/>
      <c r="CS122" s="20"/>
      <c r="CT122" s="20"/>
      <c r="CU122" s="20"/>
      <c r="CV122" s="20"/>
      <c r="CW122" s="20"/>
      <c r="CX122" s="20"/>
      <c r="CY122" s="20"/>
      <c r="CZ122" s="20"/>
      <c r="DA122" s="20"/>
      <c r="DB122" s="20"/>
      <c r="DC122" s="20"/>
      <c r="DD122" s="20"/>
      <c r="DE122" s="20"/>
      <c r="DF122" s="20"/>
      <c r="DG122" s="20"/>
      <c r="DH122" s="20"/>
      <c r="DI122" s="20"/>
      <c r="DJ122" s="20"/>
      <c r="DK122" s="20"/>
      <c r="DL122" s="20"/>
      <c r="DM122" s="20"/>
      <c r="DN122" s="20"/>
      <c r="DO122" s="20"/>
      <c r="DP122" s="20"/>
      <c r="DQ122" s="20"/>
      <c r="DR122" s="20"/>
      <c r="DS122" s="20"/>
      <c r="DT122" s="20"/>
      <c r="DU122" s="20"/>
      <c r="DV122" s="20"/>
      <c r="DW122" s="20"/>
      <c r="DX122" s="20"/>
      <c r="DY122" s="20"/>
      <c r="DZ122" s="54">
        <v>19</v>
      </c>
      <c r="EA122" s="54">
        <v>38</v>
      </c>
      <c r="EB122" s="54"/>
      <c r="EC122" s="20"/>
      <c r="ED122" s="20"/>
      <c r="EE122" s="20"/>
      <c r="EF122" s="20"/>
      <c r="EG122" s="20"/>
      <c r="EH122" s="20"/>
      <c r="EI122" s="20"/>
      <c r="EJ122" s="20"/>
      <c r="EK122" s="20"/>
      <c r="EL122" s="20"/>
      <c r="EM122" s="20"/>
      <c r="EN122" s="20"/>
      <c r="EO122" s="20" t="s">
        <v>112</v>
      </c>
      <c r="EP122" s="20" t="s">
        <v>1363</v>
      </c>
      <c r="EQ122" s="20" t="s">
        <v>1369</v>
      </c>
      <c r="ER122" s="20" t="s">
        <v>1286</v>
      </c>
      <c r="ES122" s="20"/>
      <c r="ET122" s="20"/>
      <c r="EU122" s="20"/>
      <c r="EV122" s="20" t="s">
        <v>211</v>
      </c>
      <c r="EW122" s="20">
        <v>0</v>
      </c>
      <c r="EX122" s="20">
        <v>0</v>
      </c>
      <c r="EY122" s="20">
        <v>0</v>
      </c>
      <c r="EZ122" s="20">
        <v>0</v>
      </c>
      <c r="FA122" s="20">
        <v>0</v>
      </c>
      <c r="FB122" s="20">
        <v>2</v>
      </c>
      <c r="FC122" s="20">
        <v>0</v>
      </c>
      <c r="FD122" s="20">
        <v>0</v>
      </c>
      <c r="FE122" s="20">
        <v>0</v>
      </c>
      <c r="FF122" s="20">
        <v>0</v>
      </c>
      <c r="FG122" s="20">
        <v>0</v>
      </c>
      <c r="FH122" s="20">
        <v>0</v>
      </c>
      <c r="FI122" s="20">
        <v>0</v>
      </c>
      <c r="FJ122" s="20">
        <v>0</v>
      </c>
      <c r="FK122" s="20">
        <v>0</v>
      </c>
      <c r="FL122" s="20">
        <v>0</v>
      </c>
      <c r="FM122" s="20">
        <v>0</v>
      </c>
      <c r="FN122" s="20">
        <v>0</v>
      </c>
      <c r="FO122" s="20">
        <v>0</v>
      </c>
      <c r="FP122" s="20">
        <v>0</v>
      </c>
      <c r="FQ122" s="20">
        <v>0</v>
      </c>
      <c r="FR122" s="20">
        <v>0</v>
      </c>
      <c r="FS122" s="20">
        <v>0</v>
      </c>
      <c r="FT122" s="20">
        <v>0</v>
      </c>
      <c r="FU122" s="20">
        <v>0</v>
      </c>
      <c r="FV122" s="20">
        <v>0</v>
      </c>
      <c r="FW122" s="20">
        <v>0</v>
      </c>
      <c r="FX122" s="20">
        <v>0</v>
      </c>
      <c r="FY122" s="20">
        <v>0</v>
      </c>
      <c r="FZ122" s="20">
        <v>0</v>
      </c>
      <c r="GA122" s="20">
        <v>0</v>
      </c>
      <c r="GB122" s="20">
        <v>0</v>
      </c>
      <c r="GC122" s="20">
        <v>0</v>
      </c>
      <c r="GD122" s="20">
        <v>0</v>
      </c>
      <c r="GE122" s="20">
        <v>0</v>
      </c>
      <c r="GF122" s="20">
        <v>0</v>
      </c>
      <c r="GG122" s="20">
        <v>0</v>
      </c>
      <c r="GH122" s="20">
        <v>0</v>
      </c>
      <c r="GI122" s="20">
        <v>0</v>
      </c>
      <c r="GJ122" s="20">
        <v>0</v>
      </c>
      <c r="GK122" s="20">
        <v>0</v>
      </c>
      <c r="GL122" s="20">
        <v>0</v>
      </c>
      <c r="GM122" s="20">
        <v>0</v>
      </c>
      <c r="GN122" s="20">
        <v>0</v>
      </c>
      <c r="GO122" s="20">
        <v>0</v>
      </c>
      <c r="GP122" s="20">
        <v>0</v>
      </c>
      <c r="GQ122" s="20">
        <v>0</v>
      </c>
      <c r="GR122" s="20">
        <v>0</v>
      </c>
      <c r="GS122" s="20">
        <v>0</v>
      </c>
      <c r="GT122" s="20">
        <v>0</v>
      </c>
      <c r="GU122" s="20">
        <v>0</v>
      </c>
      <c r="GV122" s="20"/>
      <c r="GW122" s="20"/>
      <c r="GX122" s="20"/>
      <c r="GY122" s="21"/>
      <c r="GZ122" s="21"/>
      <c r="HA122" s="21"/>
      <c r="HB122" s="21"/>
      <c r="HC122" s="21"/>
      <c r="HD122" s="21"/>
      <c r="HE122" s="21"/>
      <c r="HF122" s="21"/>
      <c r="HG122" s="21"/>
      <c r="HH122" s="21"/>
      <c r="HI122" s="21"/>
      <c r="HJ122" s="21"/>
      <c r="HK122" s="21"/>
      <c r="HL122" s="21"/>
      <c r="HM122" s="21"/>
      <c r="HN122" s="21"/>
      <c r="HO122" s="21"/>
      <c r="HP122" s="21"/>
      <c r="HQ122" s="21"/>
      <c r="HR122" s="21"/>
      <c r="HS122" s="21"/>
      <c r="HT122" s="21"/>
      <c r="HU122" s="21"/>
      <c r="HV122" s="186"/>
      <c r="HW122" s="20"/>
      <c r="HX122" s="20"/>
      <c r="HY122" s="20"/>
      <c r="HZ122" s="20"/>
      <c r="IA122" s="20"/>
      <c r="IB122" s="20"/>
      <c r="IC122" s="20"/>
      <c r="ID122" s="20"/>
      <c r="IE122" s="20"/>
      <c r="IF122" s="20"/>
      <c r="IG122" s="20"/>
      <c r="IH122" s="20"/>
      <c r="II122" s="20"/>
      <c r="IJ122" s="20"/>
      <c r="IK122" s="20"/>
      <c r="IL122" s="20"/>
      <c r="IM122" s="20"/>
      <c r="IN122" s="20"/>
      <c r="IO122" s="20"/>
      <c r="IP122" s="20"/>
      <c r="IQ122" s="20"/>
      <c r="IR122" s="21"/>
      <c r="IS122" s="21"/>
      <c r="IT122" s="21"/>
      <c r="IU122" s="21"/>
      <c r="IV122" s="21"/>
      <c r="IW122" s="21"/>
      <c r="IX122" s="21"/>
      <c r="IY122" s="21"/>
      <c r="IZ122" s="21"/>
      <c r="JA122" s="21"/>
      <c r="JB122" s="21"/>
      <c r="JC122" s="21"/>
      <c r="JD122" s="21"/>
      <c r="JE122" s="21"/>
      <c r="JF122" s="21"/>
      <c r="JG122" s="21"/>
      <c r="JH122" s="21"/>
      <c r="JI122" s="21"/>
      <c r="JJ122" s="21"/>
      <c r="JK122" s="21"/>
      <c r="JL122" s="21"/>
      <c r="JM122" s="21"/>
      <c r="JN122" s="21"/>
      <c r="JO122" s="21"/>
      <c r="JP122" s="21"/>
      <c r="JQ122" s="26"/>
      <c r="JR122" s="21"/>
      <c r="JS122" s="21"/>
      <c r="JT122" s="21"/>
      <c r="JU122" s="21"/>
      <c r="JV122" s="21"/>
      <c r="JW122" s="21"/>
      <c r="JX122" s="21"/>
      <c r="JY122" s="21"/>
      <c r="JZ122" s="21"/>
      <c r="KA122" s="21"/>
      <c r="KB122" s="21"/>
      <c r="KC122" s="21"/>
      <c r="KD122" s="21"/>
      <c r="KE122" s="21"/>
      <c r="KF122" s="21"/>
      <c r="KG122" s="26"/>
      <c r="KH122" s="21"/>
    </row>
    <row r="123" spans="1:294" x14ac:dyDescent="0.25">
      <c r="A123" s="9"/>
      <c r="B123" s="9"/>
      <c r="C123" s="9"/>
      <c r="D123" s="9"/>
      <c r="E123" s="9"/>
      <c r="F123" s="9"/>
      <c r="G123" s="9"/>
      <c r="H123" s="9"/>
      <c r="I123" s="9"/>
      <c r="J123" s="9"/>
      <c r="K123" s="9"/>
      <c r="L123" s="6" t="s">
        <v>1017</v>
      </c>
      <c r="M123" s="11">
        <f>INDEX(cennik!$C$2:$L$529,MATCH($L123,cennik!$B$2:$B$522,0),MATCH(M$104,cennik!$C$1:$L$1,0))</f>
        <v>998121</v>
      </c>
      <c r="N123" s="11" t="str">
        <f>INDEX(cennik!$C$2:$L$529,MATCH($L123,cennik!$B$2:$B$522,0),MATCH(N$104,cennik!$C$1:$L$1,0))</f>
        <v>100 szt.</v>
      </c>
      <c r="O123" s="11">
        <f>ROUNDUP(O107*2/100,0)</f>
        <v>0</v>
      </c>
      <c r="P123" s="34">
        <f>INDEX(cennik!$C$2:$L$529,MATCH($L123,cennik!$B$2:$B$522,0),MATCH(P$104,cennik!$C$1:$L$1,0))</f>
        <v>24.99</v>
      </c>
      <c r="Q123" s="34">
        <f t="shared" si="34"/>
        <v>0</v>
      </c>
      <c r="R123" s="35">
        <f t="shared" si="31"/>
        <v>0</v>
      </c>
      <c r="S123" s="34">
        <f t="shared" si="32"/>
        <v>24.99</v>
      </c>
      <c r="T123" s="34">
        <f t="shared" si="35"/>
        <v>0</v>
      </c>
      <c r="U123" s="34">
        <f>INDEX(cennik!$C$2:$L$529,MATCH($L123,cennik!$B$2:$B$522,0),MATCH(U$104,cennik!$C$1:$L$1,0))*O123</f>
        <v>0</v>
      </c>
      <c r="V123" s="20"/>
      <c r="W123" s="27" t="s">
        <v>311</v>
      </c>
      <c r="X123" s="20" t="s">
        <v>763</v>
      </c>
      <c r="Y123" s="20">
        <v>2350</v>
      </c>
      <c r="Z123" s="20"/>
      <c r="AA123" s="20"/>
      <c r="AB123" s="20">
        <f t="shared" si="44"/>
        <v>0</v>
      </c>
      <c r="AC12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</f>
        <v>0</v>
      </c>
      <c r="AD12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</f>
        <v>0</v>
      </c>
      <c r="AE12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</f>
        <v>0</v>
      </c>
      <c r="AF12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113,$GB$182:$GV$182,0),MATCH($E$105,$X$109:$X$126,0)))*C113</f>
        <v>0</v>
      </c>
      <c r="AG12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113,$GB$182:$GV$182,0),MATCH($E$105,$X$109:$X$126,0)))*C113</f>
        <v>0</v>
      </c>
      <c r="AH12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113,$GB$182:$GV$182,0),MATCH($E$105,$X$109:$X$126,0)))*C113</f>
        <v>0</v>
      </c>
      <c r="AI123" s="20">
        <f t="shared" si="41"/>
        <v>0</v>
      </c>
      <c r="AJ123" s="20">
        <f t="shared" si="42"/>
        <v>0</v>
      </c>
      <c r="AK123" s="20">
        <f t="shared" si="43"/>
        <v>0</v>
      </c>
      <c r="AL123" s="20"/>
      <c r="AM123" s="20">
        <v>0</v>
      </c>
      <c r="AN123" s="20">
        <v>1</v>
      </c>
      <c r="AO123" s="20">
        <v>2</v>
      </c>
      <c r="AP123" s="20">
        <v>3</v>
      </c>
      <c r="AQ123" s="20">
        <v>4</v>
      </c>
      <c r="AR123" s="20">
        <v>5</v>
      </c>
      <c r="AS123" s="20">
        <v>6</v>
      </c>
      <c r="AT123" s="20">
        <v>7</v>
      </c>
      <c r="AU123" s="20">
        <v>8</v>
      </c>
      <c r="AV123" s="20">
        <v>9</v>
      </c>
      <c r="AW123" s="20">
        <v>10</v>
      </c>
      <c r="AX123" s="20">
        <v>11</v>
      </c>
      <c r="AY123" s="20">
        <v>12</v>
      </c>
      <c r="AZ123" s="20">
        <v>13</v>
      </c>
      <c r="BA123" s="20">
        <v>14</v>
      </c>
      <c r="BB123" s="20">
        <v>15</v>
      </c>
      <c r="BC123" s="20">
        <v>16</v>
      </c>
      <c r="BD123" s="20">
        <v>17</v>
      </c>
      <c r="BE123" s="20">
        <v>18</v>
      </c>
      <c r="BF123" s="20">
        <v>19</v>
      </c>
      <c r="BG123" s="20">
        <v>20</v>
      </c>
      <c r="BH123" s="20">
        <v>21</v>
      </c>
      <c r="BI123" s="20">
        <v>22</v>
      </c>
      <c r="BJ123" s="20">
        <v>23</v>
      </c>
      <c r="BK123" s="20">
        <v>24</v>
      </c>
      <c r="BL123" s="20">
        <v>25</v>
      </c>
      <c r="BM123" s="20">
        <v>26</v>
      </c>
      <c r="BN123" s="20">
        <v>27</v>
      </c>
      <c r="BO123" s="20">
        <v>28</v>
      </c>
      <c r="BP123" s="20">
        <v>29</v>
      </c>
      <c r="BQ123" s="20">
        <v>30</v>
      </c>
      <c r="BR123" s="20">
        <v>31</v>
      </c>
      <c r="BS123" s="20">
        <v>32</v>
      </c>
      <c r="BT123" s="20">
        <v>33</v>
      </c>
      <c r="BU123" s="20">
        <v>34</v>
      </c>
      <c r="BV123" s="20">
        <v>35</v>
      </c>
      <c r="BW123" s="20">
        <v>36</v>
      </c>
      <c r="BX123" s="20">
        <v>37</v>
      </c>
      <c r="BY123" s="20">
        <v>38</v>
      </c>
      <c r="BZ123" s="20">
        <v>39</v>
      </c>
      <c r="CA123" s="20">
        <v>40</v>
      </c>
      <c r="CB123" s="20">
        <v>41</v>
      </c>
      <c r="CC123" s="20">
        <v>42</v>
      </c>
      <c r="CD123" s="20">
        <v>43</v>
      </c>
      <c r="CE123" s="20">
        <v>44</v>
      </c>
      <c r="CF123" s="20">
        <v>45</v>
      </c>
      <c r="CG123" s="20">
        <v>46</v>
      </c>
      <c r="CH123" s="20">
        <v>47</v>
      </c>
      <c r="CI123" s="20">
        <v>48</v>
      </c>
      <c r="CJ123" s="20">
        <v>49</v>
      </c>
      <c r="CK123" s="20">
        <v>50</v>
      </c>
      <c r="CL123" s="20"/>
      <c r="CM123" s="20"/>
      <c r="CN123" s="27" t="s">
        <v>303</v>
      </c>
      <c r="CO123" s="27" t="s">
        <v>304</v>
      </c>
      <c r="CP123" s="27" t="s">
        <v>481</v>
      </c>
      <c r="CQ123" s="27" t="s">
        <v>450</v>
      </c>
      <c r="CR123" s="26" t="s">
        <v>482</v>
      </c>
      <c r="CS123" s="26" t="s">
        <v>483</v>
      </c>
      <c r="CT123" s="26" t="s">
        <v>484</v>
      </c>
      <c r="CU123" s="26" t="s">
        <v>485</v>
      </c>
      <c r="CV123" s="26" t="s">
        <v>486</v>
      </c>
      <c r="CW123" s="27" t="s">
        <v>305</v>
      </c>
      <c r="CX123" s="27" t="s">
        <v>306</v>
      </c>
      <c r="CY123" s="26" t="s">
        <v>530</v>
      </c>
      <c r="CZ123" s="26" t="s">
        <v>531</v>
      </c>
      <c r="DA123" s="26" t="s">
        <v>532</v>
      </c>
      <c r="DB123" s="26" t="s">
        <v>533</v>
      </c>
      <c r="DC123" s="26" t="s">
        <v>534</v>
      </c>
      <c r="DD123" s="26" t="s">
        <v>535</v>
      </c>
      <c r="DE123" s="26" t="s">
        <v>536</v>
      </c>
      <c r="DF123" s="26" t="s">
        <v>537</v>
      </c>
      <c r="DG123" s="20"/>
      <c r="DH123" s="20"/>
      <c r="DI123" s="20"/>
      <c r="DJ123" s="20"/>
      <c r="DK123" s="20"/>
      <c r="DL123" s="20"/>
      <c r="DM123" s="20"/>
      <c r="DN123" s="20"/>
      <c r="DO123" s="20"/>
      <c r="DP123" s="20"/>
      <c r="DQ123" s="20"/>
      <c r="DR123" s="20"/>
      <c r="DS123" s="20"/>
      <c r="DT123" s="20"/>
      <c r="DU123" s="20"/>
      <c r="DV123" s="20"/>
      <c r="DW123" s="20"/>
      <c r="DX123" s="20"/>
      <c r="DY123" s="20"/>
      <c r="DZ123" s="54">
        <v>20</v>
      </c>
      <c r="EA123" s="54">
        <v>40</v>
      </c>
      <c r="EB123" s="54"/>
      <c r="EC123" s="20"/>
      <c r="ED123" s="20"/>
      <c r="EE123" s="20"/>
      <c r="EF123" s="20"/>
      <c r="EG123" s="20"/>
      <c r="EH123" s="20"/>
      <c r="EI123" s="20"/>
      <c r="EJ123" s="20"/>
      <c r="EK123" s="20"/>
      <c r="EL123" s="20"/>
      <c r="EM123" s="20"/>
      <c r="EN123" s="20"/>
      <c r="EO123" s="20" t="s">
        <v>132</v>
      </c>
      <c r="EP123" s="20" t="s">
        <v>1365</v>
      </c>
      <c r="EQ123" s="20" t="s">
        <v>1371</v>
      </c>
      <c r="ER123" s="20" t="s">
        <v>1287</v>
      </c>
      <c r="ES123" s="20"/>
      <c r="ET123" s="20"/>
      <c r="EU123" s="20"/>
      <c r="EV123" s="20" t="s">
        <v>293</v>
      </c>
      <c r="EW123" s="20">
        <v>0</v>
      </c>
      <c r="EX123" s="20">
        <v>0</v>
      </c>
      <c r="EY123" s="20">
        <v>2</v>
      </c>
      <c r="EZ123" s="20">
        <v>0</v>
      </c>
      <c r="FA123" s="20">
        <v>0</v>
      </c>
      <c r="FB123" s="20">
        <v>0</v>
      </c>
      <c r="FC123" s="20">
        <v>0</v>
      </c>
      <c r="FD123" s="20">
        <v>0</v>
      </c>
      <c r="FE123" s="20">
        <v>0</v>
      </c>
      <c r="FF123" s="20">
        <v>0</v>
      </c>
      <c r="FG123" s="20">
        <v>0</v>
      </c>
      <c r="FH123" s="20">
        <v>0</v>
      </c>
      <c r="FI123" s="20">
        <v>2</v>
      </c>
      <c r="FJ123" s="20">
        <v>0</v>
      </c>
      <c r="FK123" s="20">
        <v>0</v>
      </c>
      <c r="FL123" s="20">
        <v>0</v>
      </c>
      <c r="FM123" s="20">
        <v>0</v>
      </c>
      <c r="FN123" s="20">
        <v>0</v>
      </c>
      <c r="FO123" s="20">
        <v>0</v>
      </c>
      <c r="FP123" s="20">
        <v>0</v>
      </c>
      <c r="FQ123" s="20">
        <v>0</v>
      </c>
      <c r="FR123" s="20">
        <v>0</v>
      </c>
      <c r="FS123" s="20">
        <v>2</v>
      </c>
      <c r="FT123" s="20">
        <v>0</v>
      </c>
      <c r="FU123" s="20">
        <v>0</v>
      </c>
      <c r="FV123" s="20">
        <v>0</v>
      </c>
      <c r="FW123" s="20">
        <v>0</v>
      </c>
      <c r="FX123" s="20">
        <v>0</v>
      </c>
      <c r="FY123" s="20">
        <v>0</v>
      </c>
      <c r="FZ123" s="20">
        <v>0</v>
      </c>
      <c r="GA123" s="20">
        <v>0</v>
      </c>
      <c r="GB123" s="20">
        <v>0</v>
      </c>
      <c r="GC123" s="20">
        <v>2</v>
      </c>
      <c r="GD123" s="20">
        <v>0</v>
      </c>
      <c r="GE123" s="20">
        <v>0</v>
      </c>
      <c r="GF123" s="20">
        <v>0</v>
      </c>
      <c r="GG123" s="20">
        <v>0</v>
      </c>
      <c r="GH123" s="20">
        <v>0</v>
      </c>
      <c r="GI123" s="20">
        <v>0</v>
      </c>
      <c r="GJ123" s="20">
        <v>0</v>
      </c>
      <c r="GK123" s="20">
        <v>0</v>
      </c>
      <c r="GL123" s="20">
        <v>0</v>
      </c>
      <c r="GM123" s="20">
        <v>2</v>
      </c>
      <c r="GN123" s="20">
        <v>0</v>
      </c>
      <c r="GO123" s="20">
        <v>0</v>
      </c>
      <c r="GP123" s="20">
        <v>0</v>
      </c>
      <c r="GQ123" s="20">
        <v>0</v>
      </c>
      <c r="GR123" s="20">
        <v>0</v>
      </c>
      <c r="GS123" s="20">
        <v>0</v>
      </c>
      <c r="GT123" s="20">
        <v>0</v>
      </c>
      <c r="GU123" s="20">
        <v>0</v>
      </c>
      <c r="GV123" s="20"/>
      <c r="GW123" s="20"/>
      <c r="GX123" s="20"/>
      <c r="GY123" s="21" t="s">
        <v>480</v>
      </c>
      <c r="GZ123" s="21"/>
      <c r="HA123" s="21"/>
      <c r="HB123" s="21"/>
      <c r="HC123" s="21"/>
      <c r="HD123" s="21"/>
      <c r="HE123" s="21"/>
      <c r="HF123" s="21"/>
      <c r="HG123" s="21"/>
      <c r="HH123" s="21"/>
      <c r="HI123" s="21"/>
      <c r="HJ123" s="21"/>
      <c r="HK123" s="21"/>
      <c r="HL123" s="21"/>
      <c r="HM123" s="21"/>
      <c r="HN123" s="21"/>
      <c r="HO123" s="21"/>
      <c r="HP123" s="21"/>
      <c r="HQ123" s="21"/>
      <c r="HR123" s="21"/>
      <c r="HS123" s="21"/>
      <c r="HT123" s="21"/>
      <c r="HU123" s="346"/>
      <c r="HV123" s="186" t="s">
        <v>470</v>
      </c>
      <c r="HW123" s="20"/>
      <c r="HX123" s="20"/>
      <c r="HY123" s="20"/>
      <c r="HZ123" s="20"/>
      <c r="IA123" s="20"/>
      <c r="IB123" s="20"/>
      <c r="IC123" s="20"/>
      <c r="ID123" s="20"/>
      <c r="IE123" s="20"/>
      <c r="IF123" s="20"/>
      <c r="IG123" s="20"/>
      <c r="IH123" s="20"/>
      <c r="II123" s="20"/>
      <c r="IJ123" s="20"/>
      <c r="IK123" s="20"/>
      <c r="IL123" s="20"/>
      <c r="IM123" s="20"/>
      <c r="IN123" s="20"/>
      <c r="IO123" s="20"/>
      <c r="IP123" s="20"/>
      <c r="IQ123" s="20"/>
      <c r="IR123" s="21"/>
      <c r="IS123" s="21" t="s">
        <v>470</v>
      </c>
      <c r="IT123" s="21"/>
      <c r="IU123" s="21"/>
      <c r="IV123" s="21"/>
      <c r="IW123" s="21"/>
      <c r="IX123" s="21"/>
      <c r="IY123" s="21"/>
      <c r="IZ123" s="21"/>
      <c r="JA123" s="21"/>
      <c r="JB123" s="21"/>
      <c r="JC123" s="21"/>
      <c r="JD123" s="21"/>
      <c r="JE123" s="21"/>
      <c r="JF123" s="21"/>
      <c r="JG123" s="21"/>
      <c r="JH123" s="21"/>
      <c r="JI123" s="21"/>
      <c r="JJ123" s="21"/>
      <c r="JK123" s="21"/>
      <c r="JL123" s="21"/>
      <c r="JM123" s="21"/>
      <c r="JN123" s="21"/>
      <c r="JO123" s="21"/>
      <c r="JP123" s="21"/>
      <c r="JQ123" s="21"/>
      <c r="JR123" s="21"/>
      <c r="JS123" s="21"/>
      <c r="JT123" s="21"/>
      <c r="JU123" s="21"/>
      <c r="JV123" s="21"/>
      <c r="JW123" s="21"/>
      <c r="JX123" s="21"/>
      <c r="JY123" s="21"/>
      <c r="JZ123" s="21"/>
      <c r="KA123" s="21"/>
      <c r="KB123" s="21"/>
      <c r="KC123" s="21"/>
      <c r="KD123" s="21"/>
      <c r="KE123" s="21"/>
      <c r="KF123" s="21"/>
      <c r="KG123" s="26"/>
      <c r="KH123" s="21"/>
    </row>
    <row r="124" spans="1:294" x14ac:dyDescent="0.25">
      <c r="A124" s="9"/>
      <c r="B124" s="9"/>
      <c r="C124" s="9"/>
      <c r="D124" s="9"/>
      <c r="E124" s="9"/>
      <c r="F124" s="9"/>
      <c r="G124" s="9"/>
      <c r="H124" s="9"/>
      <c r="I124" s="9"/>
      <c r="J124" s="9"/>
      <c r="K124" s="9"/>
      <c r="L124" s="6" t="s">
        <v>1019</v>
      </c>
      <c r="M124" s="11">
        <f>INDEX(cennik!$C$2:$L$529,MATCH($L124,cennik!$B$2:$B$522,0),MATCH(M$104,cennik!$C$1:$L$1,0))</f>
        <v>166794</v>
      </c>
      <c r="N124" s="11" t="str">
        <f>INDEX(cennik!$C$2:$L$529,MATCH($L124,cennik!$B$2:$B$522,0),MATCH(N$104,cennik!$C$1:$L$1,0))</f>
        <v>100 szt.</v>
      </c>
      <c r="O124" s="11">
        <f>ROUNDUP((O111+(O107*2))/100,0)</f>
        <v>0</v>
      </c>
      <c r="P124" s="34">
        <f>INDEX(cennik!$C$2:$L$529,MATCH($L124,cennik!$B$2:$B$522,0),MATCH(P$104,cennik!$C$1:$L$1,0))</f>
        <v>3.95</v>
      </c>
      <c r="Q124" s="34">
        <f t="shared" si="34"/>
        <v>0</v>
      </c>
      <c r="R124" s="35">
        <f t="shared" si="31"/>
        <v>0</v>
      </c>
      <c r="S124" s="34">
        <f t="shared" si="32"/>
        <v>3.95</v>
      </c>
      <c r="T124" s="34">
        <f t="shared" si="35"/>
        <v>0</v>
      </c>
      <c r="U124" s="34">
        <f>INDEX(cennik!$C$2:$L$529,MATCH($L124,cennik!$B$2:$B$522,0),MATCH(U$104,cennik!$C$1:$L$1,0))*O124</f>
        <v>0</v>
      </c>
      <c r="V124" s="20"/>
      <c r="W124" s="25">
        <f t="shared" ref="W124:W139" si="46">IF(A129=0,0,IF(A129&gt;0,((A129/2)+1)*C129))</f>
        <v>0</v>
      </c>
      <c r="X124" s="20" t="s">
        <v>764</v>
      </c>
      <c r="Y124" s="20">
        <v>2400</v>
      </c>
      <c r="Z124" s="20"/>
      <c r="AA124" s="20"/>
      <c r="AB124" s="20">
        <f t="shared" si="44"/>
        <v>0</v>
      </c>
      <c r="AC12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</f>
        <v>0</v>
      </c>
      <c r="AD12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</f>
        <v>0</v>
      </c>
      <c r="AE12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</f>
        <v>0</v>
      </c>
      <c r="AF12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114,$GB$182:$GV$182,0),MATCH($E$105,$X$109:$X$126,0)))*C114</f>
        <v>0</v>
      </c>
      <c r="AG12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114,$GB$182:$GV$182,0),MATCH($E$105,$X$109:$X$126,0)))*C114</f>
        <v>0</v>
      </c>
      <c r="AH12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114,$GB$182:$GV$182,0),MATCH($E$105,$X$109:$X$126,0)))*C114</f>
        <v>0</v>
      </c>
      <c r="AI124" s="20">
        <f t="shared" si="41"/>
        <v>0</v>
      </c>
      <c r="AJ124" s="20">
        <f t="shared" si="42"/>
        <v>0</v>
      </c>
      <c r="AK124" s="20">
        <f t="shared" si="43"/>
        <v>0</v>
      </c>
      <c r="AL124" s="20" t="s">
        <v>126</v>
      </c>
      <c r="AM124" s="20">
        <v>0</v>
      </c>
      <c r="AN124" s="20">
        <v>2</v>
      </c>
      <c r="AO124" s="20">
        <v>0</v>
      </c>
      <c r="AP124" s="20">
        <v>0</v>
      </c>
      <c r="AQ124" s="20">
        <v>0</v>
      </c>
      <c r="AR124" s="20">
        <v>0</v>
      </c>
      <c r="AS124" s="20">
        <v>0</v>
      </c>
      <c r="AT124" s="20">
        <v>0</v>
      </c>
      <c r="AU124" s="20">
        <v>0</v>
      </c>
      <c r="AV124" s="20">
        <v>0</v>
      </c>
      <c r="AW124" s="20">
        <v>0</v>
      </c>
      <c r="AX124" s="20">
        <v>0</v>
      </c>
      <c r="AY124" s="20">
        <v>0</v>
      </c>
      <c r="AZ124" s="20">
        <v>0</v>
      </c>
      <c r="BA124" s="20">
        <v>0</v>
      </c>
      <c r="BB124" s="20">
        <v>0</v>
      </c>
      <c r="BC124" s="20">
        <v>0</v>
      </c>
      <c r="BD124" s="20">
        <v>0</v>
      </c>
      <c r="BE124" s="20">
        <v>0</v>
      </c>
      <c r="BF124" s="20">
        <v>0</v>
      </c>
      <c r="BG124" s="20">
        <v>0</v>
      </c>
      <c r="BH124" s="20">
        <v>0</v>
      </c>
      <c r="BI124" s="20">
        <v>0</v>
      </c>
      <c r="BJ124" s="20">
        <v>0</v>
      </c>
      <c r="BK124" s="20">
        <v>0</v>
      </c>
      <c r="BL124" s="20">
        <v>0</v>
      </c>
      <c r="BM124" s="20">
        <v>0</v>
      </c>
      <c r="BN124" s="20">
        <v>0</v>
      </c>
      <c r="BO124" s="20">
        <v>0</v>
      </c>
      <c r="BP124" s="20">
        <v>0</v>
      </c>
      <c r="BQ124" s="20">
        <v>0</v>
      </c>
      <c r="BR124" s="20">
        <v>0</v>
      </c>
      <c r="BS124" s="20">
        <v>0</v>
      </c>
      <c r="BT124" s="20">
        <v>0</v>
      </c>
      <c r="BU124" s="20">
        <v>0</v>
      </c>
      <c r="BV124" s="20">
        <v>0</v>
      </c>
      <c r="BW124" s="20">
        <v>0</v>
      </c>
      <c r="BX124" s="20">
        <v>2</v>
      </c>
      <c r="BY124" s="20">
        <v>0</v>
      </c>
      <c r="BZ124" s="20">
        <v>0</v>
      </c>
      <c r="CA124" s="20">
        <v>0</v>
      </c>
      <c r="CB124" s="20">
        <v>0</v>
      </c>
      <c r="CC124" s="20">
        <v>0</v>
      </c>
      <c r="CD124" s="20">
        <v>0</v>
      </c>
      <c r="CE124" s="20">
        <v>0</v>
      </c>
      <c r="CF124" s="20">
        <v>0</v>
      </c>
      <c r="CG124" s="20">
        <v>0</v>
      </c>
      <c r="CH124" s="20">
        <v>2</v>
      </c>
      <c r="CI124" s="20">
        <v>0</v>
      </c>
      <c r="CJ124" s="20">
        <v>0</v>
      </c>
      <c r="CK124" s="20">
        <v>0</v>
      </c>
      <c r="CL124" s="20"/>
      <c r="CM124" s="26">
        <v>10</v>
      </c>
      <c r="CN124" s="20" t="s">
        <v>608</v>
      </c>
      <c r="CO124" s="20" t="s">
        <v>608</v>
      </c>
      <c r="CP124" s="20" t="s">
        <v>608</v>
      </c>
      <c r="CQ124" s="20" t="s">
        <v>608</v>
      </c>
      <c r="CR124" s="20" t="s">
        <v>608</v>
      </c>
      <c r="CS124" s="20" t="s">
        <v>608</v>
      </c>
      <c r="CT124" s="20" t="s">
        <v>608</v>
      </c>
      <c r="CU124" s="20" t="s">
        <v>608</v>
      </c>
      <c r="CV124" s="20" t="s">
        <v>608</v>
      </c>
      <c r="CW124" s="20" t="s">
        <v>608</v>
      </c>
      <c r="CX124" s="20" t="s">
        <v>608</v>
      </c>
      <c r="CY124" s="20" t="s">
        <v>608</v>
      </c>
      <c r="CZ124" s="20" t="s">
        <v>608</v>
      </c>
      <c r="DA124" s="20" t="s">
        <v>608</v>
      </c>
      <c r="DB124" s="20" t="s">
        <v>547</v>
      </c>
      <c r="DC124" s="20" t="s">
        <v>550</v>
      </c>
      <c r="DD124" s="20" t="s">
        <v>553</v>
      </c>
      <c r="DE124" s="20" t="s">
        <v>556</v>
      </c>
      <c r="DF124" s="20" t="s">
        <v>559</v>
      </c>
      <c r="DG124" s="20"/>
      <c r="DH124" s="20"/>
      <c r="DI124" s="20"/>
      <c r="DJ124" s="20"/>
      <c r="DK124" s="20"/>
      <c r="DL124" s="20"/>
      <c r="DM124" s="20"/>
      <c r="DN124" s="20"/>
      <c r="DO124" s="20"/>
      <c r="DP124" s="20"/>
      <c r="DQ124" s="20"/>
      <c r="DR124" s="20"/>
      <c r="DS124" s="20"/>
      <c r="DT124" s="20"/>
      <c r="DU124" s="20"/>
      <c r="DV124" s="20"/>
      <c r="DW124" s="20"/>
      <c r="DX124" s="20"/>
      <c r="DY124" s="20"/>
      <c r="DZ124" s="54">
        <v>21</v>
      </c>
      <c r="EA124" s="54">
        <v>42</v>
      </c>
      <c r="EB124" s="54"/>
      <c r="EC124" s="20"/>
      <c r="ED124" s="20"/>
      <c r="EE124" s="20"/>
      <c r="EF124" s="20"/>
      <c r="EG124" s="20"/>
      <c r="EH124" s="20"/>
      <c r="EI124" s="20"/>
      <c r="EJ124" s="20"/>
      <c r="EK124" s="20"/>
      <c r="EL124" s="20"/>
      <c r="EM124" s="20"/>
      <c r="EN124" s="20"/>
      <c r="EO124" s="20" t="s">
        <v>470</v>
      </c>
      <c r="EP124" s="20" t="s">
        <v>1365</v>
      </c>
      <c r="EQ124" s="20" t="s">
        <v>1371</v>
      </c>
      <c r="ER124" s="20" t="s">
        <v>1287</v>
      </c>
      <c r="ES124" s="20"/>
      <c r="ET124" s="20"/>
      <c r="EU124" s="20"/>
      <c r="EV124" s="20" t="s">
        <v>10</v>
      </c>
      <c r="EW124" s="20">
        <v>0</v>
      </c>
      <c r="EX124" s="20">
        <v>0</v>
      </c>
      <c r="EY124" s="20">
        <v>0</v>
      </c>
      <c r="EZ124" s="20">
        <v>0</v>
      </c>
      <c r="FA124" s="20">
        <v>0</v>
      </c>
      <c r="FB124" s="20">
        <v>0</v>
      </c>
      <c r="FC124" s="20">
        <v>2</v>
      </c>
      <c r="FD124" s="20">
        <v>2</v>
      </c>
      <c r="FE124" s="20">
        <v>0</v>
      </c>
      <c r="FF124" s="20">
        <v>4</v>
      </c>
      <c r="FG124" s="20">
        <v>0</v>
      </c>
      <c r="FH124" s="20">
        <v>0</v>
      </c>
      <c r="FI124" s="20">
        <v>0</v>
      </c>
      <c r="FJ124" s="20">
        <v>2</v>
      </c>
      <c r="FK124" s="20">
        <v>2</v>
      </c>
      <c r="FL124" s="20">
        <v>6</v>
      </c>
      <c r="FM124" s="20">
        <v>2</v>
      </c>
      <c r="FN124" s="20">
        <v>0</v>
      </c>
      <c r="FO124" s="20">
        <v>6</v>
      </c>
      <c r="FP124" s="20">
        <v>2</v>
      </c>
      <c r="FQ124" s="20">
        <v>0</v>
      </c>
      <c r="FR124" s="20">
        <v>8</v>
      </c>
      <c r="FS124" s="20">
        <v>0</v>
      </c>
      <c r="FT124" s="20">
        <v>0</v>
      </c>
      <c r="FU124" s="20">
        <v>0</v>
      </c>
      <c r="FV124" s="20">
        <v>4</v>
      </c>
      <c r="FW124" s="20">
        <v>2</v>
      </c>
      <c r="FX124" s="20">
        <v>0</v>
      </c>
      <c r="FY124" s="20">
        <v>8</v>
      </c>
      <c r="FZ124" s="20">
        <v>2</v>
      </c>
      <c r="GA124" s="20">
        <v>2</v>
      </c>
      <c r="GB124" s="20">
        <v>0</v>
      </c>
      <c r="GC124" s="20">
        <v>0</v>
      </c>
      <c r="GD124" s="20">
        <v>2</v>
      </c>
      <c r="GE124" s="20">
        <v>0</v>
      </c>
      <c r="GF124" s="20">
        <v>6</v>
      </c>
      <c r="GG124" s="20">
        <v>4</v>
      </c>
      <c r="GH124" s="20">
        <v>2</v>
      </c>
      <c r="GI124" s="20">
        <v>6</v>
      </c>
      <c r="GJ124" s="20">
        <v>4</v>
      </c>
      <c r="GK124" s="20">
        <v>0</v>
      </c>
      <c r="GL124" s="20">
        <v>0</v>
      </c>
      <c r="GM124" s="20">
        <v>0</v>
      </c>
      <c r="GN124" s="20">
        <v>4</v>
      </c>
      <c r="GO124" s="20">
        <v>0</v>
      </c>
      <c r="GP124" s="20">
        <v>8</v>
      </c>
      <c r="GQ124" s="20">
        <v>6</v>
      </c>
      <c r="GR124" s="20">
        <v>0</v>
      </c>
      <c r="GS124" s="20">
        <v>0</v>
      </c>
      <c r="GT124" s="20">
        <v>6</v>
      </c>
      <c r="GU124" s="20">
        <v>4</v>
      </c>
      <c r="GV124" s="20"/>
      <c r="GW124" s="20"/>
      <c r="GX124" s="20"/>
      <c r="GY124" s="21"/>
      <c r="GZ124" s="21">
        <v>0</v>
      </c>
      <c r="HA124" s="21">
        <v>1</v>
      </c>
      <c r="HB124" s="21">
        <v>2</v>
      </c>
      <c r="HC124" s="21">
        <v>3</v>
      </c>
      <c r="HD124" s="21">
        <v>4</v>
      </c>
      <c r="HE124" s="21">
        <v>5</v>
      </c>
      <c r="HF124" s="21">
        <v>6</v>
      </c>
      <c r="HG124" s="21">
        <v>7</v>
      </c>
      <c r="HH124" s="21">
        <v>8</v>
      </c>
      <c r="HI124" s="21">
        <v>9</v>
      </c>
      <c r="HJ124" s="21">
        <v>10</v>
      </c>
      <c r="HK124" s="21">
        <v>11</v>
      </c>
      <c r="HL124" s="21">
        <v>12</v>
      </c>
      <c r="HM124" s="21">
        <v>13</v>
      </c>
      <c r="HN124" s="21">
        <v>14</v>
      </c>
      <c r="HO124" s="21">
        <v>15</v>
      </c>
      <c r="HP124" s="21">
        <v>16</v>
      </c>
      <c r="HQ124" s="21">
        <v>17</v>
      </c>
      <c r="HR124" s="21">
        <v>18</v>
      </c>
      <c r="HS124" s="21">
        <v>19</v>
      </c>
      <c r="HT124" s="21">
        <v>20</v>
      </c>
      <c r="HU124" s="21"/>
      <c r="HV124" s="186"/>
      <c r="HW124" s="20">
        <v>0</v>
      </c>
      <c r="HX124" s="20">
        <v>1</v>
      </c>
      <c r="HY124" s="20">
        <v>2</v>
      </c>
      <c r="HZ124" s="20">
        <v>3</v>
      </c>
      <c r="IA124" s="20">
        <v>4</v>
      </c>
      <c r="IB124" s="20">
        <v>5</v>
      </c>
      <c r="IC124" s="20">
        <v>6</v>
      </c>
      <c r="ID124" s="20">
        <v>7</v>
      </c>
      <c r="IE124" s="20">
        <v>8</v>
      </c>
      <c r="IF124" s="20">
        <v>9</v>
      </c>
      <c r="IG124" s="20">
        <v>10</v>
      </c>
      <c r="IH124" s="20">
        <v>11</v>
      </c>
      <c r="II124" s="20">
        <v>12</v>
      </c>
      <c r="IJ124" s="20">
        <v>13</v>
      </c>
      <c r="IK124" s="20">
        <v>14</v>
      </c>
      <c r="IL124" s="20">
        <v>15</v>
      </c>
      <c r="IM124" s="20">
        <v>16</v>
      </c>
      <c r="IN124" s="20">
        <v>17</v>
      </c>
      <c r="IO124" s="20">
        <v>18</v>
      </c>
      <c r="IP124" s="20">
        <v>19</v>
      </c>
      <c r="IQ124" s="20">
        <v>20</v>
      </c>
      <c r="IR124" s="21"/>
      <c r="IS124" s="21"/>
      <c r="IT124" s="21">
        <f t="shared" si="39"/>
        <v>0</v>
      </c>
      <c r="IU124" s="21">
        <f t="shared" si="39"/>
        <v>2</v>
      </c>
      <c r="IV124" s="21">
        <f t="shared" si="39"/>
        <v>4</v>
      </c>
      <c r="IW124" s="21">
        <f t="shared" si="39"/>
        <v>6</v>
      </c>
      <c r="IX124" s="21">
        <f t="shared" si="39"/>
        <v>8</v>
      </c>
      <c r="IY124" s="21">
        <f t="shared" si="39"/>
        <v>10</v>
      </c>
      <c r="IZ124" s="21">
        <f t="shared" si="39"/>
        <v>12</v>
      </c>
      <c r="JA124" s="21">
        <f t="shared" si="39"/>
        <v>14</v>
      </c>
      <c r="JB124" s="21">
        <f t="shared" si="39"/>
        <v>16</v>
      </c>
      <c r="JC124" s="21">
        <f t="shared" si="39"/>
        <v>18</v>
      </c>
      <c r="JD124" s="21">
        <f t="shared" si="39"/>
        <v>20</v>
      </c>
      <c r="JE124" s="21">
        <f t="shared" si="39"/>
        <v>22</v>
      </c>
      <c r="JF124" s="21">
        <f t="shared" si="39"/>
        <v>24</v>
      </c>
      <c r="JG124" s="21">
        <f t="shared" si="39"/>
        <v>26</v>
      </c>
      <c r="JH124" s="21">
        <f t="shared" si="39"/>
        <v>28</v>
      </c>
      <c r="JI124" s="21">
        <f t="shared" si="39"/>
        <v>30</v>
      </c>
      <c r="JJ124" s="21">
        <f t="shared" si="40"/>
        <v>32</v>
      </c>
      <c r="JK124" s="21">
        <f t="shared" si="40"/>
        <v>34</v>
      </c>
      <c r="JL124" s="21">
        <f t="shared" si="40"/>
        <v>36</v>
      </c>
      <c r="JM124" s="21">
        <f t="shared" si="40"/>
        <v>38</v>
      </c>
      <c r="JN124" s="21">
        <f t="shared" si="40"/>
        <v>40</v>
      </c>
      <c r="JO124" s="21"/>
      <c r="JP124" s="21"/>
      <c r="JQ124" s="21"/>
      <c r="JR124" s="21"/>
      <c r="JS124" s="21"/>
      <c r="JT124" s="21"/>
      <c r="JU124" s="21"/>
      <c r="JV124" s="21"/>
      <c r="JW124" s="21"/>
      <c r="JX124" s="21"/>
      <c r="JY124" s="21"/>
      <c r="JZ124" s="21"/>
      <c r="KA124" s="21"/>
      <c r="KB124" s="21"/>
      <c r="KC124" s="21"/>
      <c r="KD124" s="21"/>
      <c r="KE124" s="21"/>
      <c r="KF124" s="21"/>
      <c r="KG124" s="21"/>
      <c r="KH124" s="21"/>
    </row>
    <row r="125" spans="1:294" x14ac:dyDescent="0.25">
      <c r="A125" s="9"/>
      <c r="B125" s="9"/>
      <c r="C125" s="9"/>
      <c r="D125" s="9"/>
      <c r="E125" s="9"/>
      <c r="F125" s="9"/>
      <c r="G125" s="9"/>
      <c r="H125" s="9"/>
      <c r="I125" s="9"/>
      <c r="J125" s="9"/>
      <c r="K125" s="9"/>
      <c r="L125" s="6"/>
      <c r="M125" s="11"/>
      <c r="N125" s="11"/>
      <c r="O125" s="62"/>
      <c r="P125" s="34"/>
      <c r="Q125" s="34"/>
      <c r="R125" s="35"/>
      <c r="S125" s="34"/>
      <c r="T125" s="34">
        <f>SUM(T105:T124)</f>
        <v>0</v>
      </c>
      <c r="U125" s="34">
        <f>SUM(U105:U124)</f>
        <v>0</v>
      </c>
      <c r="V125" s="20"/>
      <c r="W125" s="25">
        <f t="shared" si="46"/>
        <v>0</v>
      </c>
      <c r="X125" s="20" t="s">
        <v>832</v>
      </c>
      <c r="Y125" s="20">
        <v>2450</v>
      </c>
      <c r="Z125" s="20"/>
      <c r="AA125" s="20"/>
      <c r="AB125" s="20">
        <f t="shared" si="44"/>
        <v>0</v>
      </c>
      <c r="AC12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</f>
        <v>0</v>
      </c>
      <c r="AD12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</f>
        <v>0</v>
      </c>
      <c r="AE12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</f>
        <v>0</v>
      </c>
      <c r="AF12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115,$GB$182:$GV$182,0),MATCH($E$105,$X$109:$X$126,0)))*C115</f>
        <v>0</v>
      </c>
      <c r="AG12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115,$GB$182:$GV$182,0),MATCH($E$105,$X$109:$X$126,0)))*C115</f>
        <v>0</v>
      </c>
      <c r="AH12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115,$GB$182:$GV$182,0),MATCH($E$105,$X$109:$X$126,0)))*C115</f>
        <v>0</v>
      </c>
      <c r="AI125" s="20">
        <f t="shared" si="41"/>
        <v>0</v>
      </c>
      <c r="AJ125" s="20">
        <f t="shared" si="42"/>
        <v>0</v>
      </c>
      <c r="AK125" s="20">
        <f t="shared" si="43"/>
        <v>0</v>
      </c>
      <c r="AL125" s="20" t="s">
        <v>12</v>
      </c>
      <c r="AM125" s="20">
        <v>0</v>
      </c>
      <c r="AN125" s="20">
        <v>0</v>
      </c>
      <c r="AO125" s="20">
        <v>0</v>
      </c>
      <c r="AP125" s="20">
        <v>0</v>
      </c>
      <c r="AQ125" s="20">
        <v>0</v>
      </c>
      <c r="AR125" s="20">
        <v>0</v>
      </c>
      <c r="AS125" s="20">
        <v>0</v>
      </c>
      <c r="AT125" s="20">
        <v>0</v>
      </c>
      <c r="AU125" s="20">
        <v>2</v>
      </c>
      <c r="AV125" s="20">
        <v>0</v>
      </c>
      <c r="AW125" s="20">
        <v>0</v>
      </c>
      <c r="AX125" s="20">
        <v>0</v>
      </c>
      <c r="AY125" s="20">
        <v>0</v>
      </c>
      <c r="AZ125" s="20">
        <v>4</v>
      </c>
      <c r="BA125" s="20">
        <v>2</v>
      </c>
      <c r="BB125" s="20">
        <v>0</v>
      </c>
      <c r="BC125" s="20">
        <v>2</v>
      </c>
      <c r="BD125" s="20">
        <v>0</v>
      </c>
      <c r="BE125" s="20">
        <v>0</v>
      </c>
      <c r="BF125" s="20">
        <v>4</v>
      </c>
      <c r="BG125" s="20">
        <v>2</v>
      </c>
      <c r="BH125" s="20">
        <v>0</v>
      </c>
      <c r="BI125" s="20">
        <v>0</v>
      </c>
      <c r="BJ125" s="20">
        <v>2</v>
      </c>
      <c r="BK125" s="20">
        <v>0</v>
      </c>
      <c r="BL125" s="20">
        <v>0</v>
      </c>
      <c r="BM125" s="20">
        <v>0</v>
      </c>
      <c r="BN125" s="20">
        <v>0</v>
      </c>
      <c r="BO125" s="20">
        <v>4</v>
      </c>
      <c r="BP125" s="20">
        <v>2</v>
      </c>
      <c r="BQ125" s="20">
        <v>0</v>
      </c>
      <c r="BR125" s="20">
        <v>2</v>
      </c>
      <c r="BS125" s="20">
        <v>0</v>
      </c>
      <c r="BT125" s="20">
        <v>0</v>
      </c>
      <c r="BU125" s="20">
        <v>2</v>
      </c>
      <c r="BV125" s="20">
        <v>0</v>
      </c>
      <c r="BW125" s="20">
        <v>0</v>
      </c>
      <c r="BX125" s="20">
        <v>0</v>
      </c>
      <c r="BY125" s="20">
        <v>0</v>
      </c>
      <c r="BZ125" s="20">
        <v>0</v>
      </c>
      <c r="CA125" s="20">
        <v>0</v>
      </c>
      <c r="CB125" s="20">
        <v>0</v>
      </c>
      <c r="CC125" s="20">
        <v>0</v>
      </c>
      <c r="CD125" s="20">
        <v>0</v>
      </c>
      <c r="CE125" s="20">
        <v>0</v>
      </c>
      <c r="CF125" s="20">
        <v>0</v>
      </c>
      <c r="CG125" s="20">
        <v>0</v>
      </c>
      <c r="CH125" s="20">
        <v>0</v>
      </c>
      <c r="CI125" s="20">
        <v>0</v>
      </c>
      <c r="CJ125" s="20">
        <v>0</v>
      </c>
      <c r="CK125" s="20">
        <v>0</v>
      </c>
      <c r="CL125" s="20"/>
      <c r="CM125" s="26">
        <v>15</v>
      </c>
      <c r="CN125" s="20" t="s">
        <v>609</v>
      </c>
      <c r="CO125" s="20" t="s">
        <v>609</v>
      </c>
      <c r="CP125" s="20" t="s">
        <v>609</v>
      </c>
      <c r="CQ125" s="20" t="s">
        <v>609</v>
      </c>
      <c r="CR125" s="20" t="s">
        <v>609</v>
      </c>
      <c r="CS125" s="20" t="s">
        <v>609</v>
      </c>
      <c r="CT125" s="20" t="s">
        <v>609</v>
      </c>
      <c r="CU125" s="20" t="s">
        <v>609</v>
      </c>
      <c r="CV125" s="20" t="s">
        <v>609</v>
      </c>
      <c r="CW125" s="20" t="s">
        <v>609</v>
      </c>
      <c r="CX125" s="20" t="s">
        <v>609</v>
      </c>
      <c r="CY125" s="20" t="s">
        <v>609</v>
      </c>
      <c r="CZ125" s="20" t="s">
        <v>609</v>
      </c>
      <c r="DA125" s="20" t="s">
        <v>609</v>
      </c>
      <c r="DB125" s="20" t="s">
        <v>548</v>
      </c>
      <c r="DC125" s="20" t="s">
        <v>551</v>
      </c>
      <c r="DD125" s="20" t="s">
        <v>554</v>
      </c>
      <c r="DE125" s="20" t="s">
        <v>557</v>
      </c>
      <c r="DF125" s="20" t="s">
        <v>560</v>
      </c>
      <c r="DG125" s="20"/>
      <c r="DH125" s="20"/>
      <c r="DI125" s="20"/>
      <c r="DJ125" s="20"/>
      <c r="DK125" s="20"/>
      <c r="DL125" s="20"/>
      <c r="DM125" s="20"/>
      <c r="DN125" s="20"/>
      <c r="DO125" s="20"/>
      <c r="DP125" s="20"/>
      <c r="DQ125" s="20"/>
      <c r="DR125" s="20"/>
      <c r="DS125" s="20"/>
      <c r="DT125" s="20"/>
      <c r="DU125" s="20"/>
      <c r="DV125" s="20"/>
      <c r="DW125" s="20"/>
      <c r="DX125" s="20"/>
      <c r="DY125" s="20"/>
      <c r="DZ125" s="54">
        <v>22</v>
      </c>
      <c r="EA125" s="54">
        <v>44</v>
      </c>
      <c r="EB125" s="54"/>
      <c r="EC125" s="20"/>
      <c r="ED125" s="20"/>
      <c r="EE125" s="20"/>
      <c r="EF125" s="20"/>
      <c r="EG125" s="20"/>
      <c r="EH125" s="20"/>
      <c r="EI125" s="20"/>
      <c r="EJ125" s="20"/>
      <c r="EK125" s="20"/>
      <c r="EL125" s="20"/>
      <c r="EM125" s="20"/>
      <c r="EN125" s="20"/>
      <c r="EO125" s="20" t="s">
        <v>472</v>
      </c>
      <c r="EP125" s="20" t="s">
        <v>1365</v>
      </c>
      <c r="EQ125" s="20" t="s">
        <v>1371</v>
      </c>
      <c r="ER125" s="20" t="s">
        <v>1287</v>
      </c>
      <c r="ES125" s="20"/>
      <c r="ET125" s="20"/>
      <c r="EU125" s="20"/>
      <c r="EV125" s="20" t="s">
        <v>212</v>
      </c>
      <c r="EW125" s="20">
        <v>0</v>
      </c>
      <c r="EX125" s="20">
        <v>0</v>
      </c>
      <c r="EY125" s="20">
        <v>0</v>
      </c>
      <c r="EZ125" s="20">
        <v>2</v>
      </c>
      <c r="FA125" s="20">
        <v>2</v>
      </c>
      <c r="FB125" s="20">
        <v>2</v>
      </c>
      <c r="FC125" s="20">
        <v>2</v>
      </c>
      <c r="FD125" s="20">
        <v>0</v>
      </c>
      <c r="FE125" s="20">
        <v>4</v>
      </c>
      <c r="FF125" s="20">
        <v>0</v>
      </c>
      <c r="FG125" s="20">
        <v>2</v>
      </c>
      <c r="FH125" s="20">
        <v>2</v>
      </c>
      <c r="FI125" s="20">
        <v>4</v>
      </c>
      <c r="FJ125" s="20">
        <v>0</v>
      </c>
      <c r="FK125" s="20">
        <v>0</v>
      </c>
      <c r="FL125" s="20">
        <v>2</v>
      </c>
      <c r="FM125" s="20">
        <v>6</v>
      </c>
      <c r="FN125" s="20">
        <v>2</v>
      </c>
      <c r="FO125" s="20">
        <v>6</v>
      </c>
      <c r="FP125" s="20">
        <v>10</v>
      </c>
      <c r="FQ125" s="20">
        <v>6</v>
      </c>
      <c r="FR125" s="20">
        <v>4</v>
      </c>
      <c r="FS125" s="20">
        <v>8</v>
      </c>
      <c r="FT125" s="20">
        <v>10</v>
      </c>
      <c r="FU125" s="20">
        <v>0</v>
      </c>
      <c r="FV125" s="20">
        <v>12</v>
      </c>
      <c r="FW125" s="20">
        <v>8</v>
      </c>
      <c r="FX125" s="20">
        <v>4</v>
      </c>
      <c r="FY125" s="20">
        <v>2</v>
      </c>
      <c r="FZ125" s="20">
        <v>12</v>
      </c>
      <c r="GA125" s="20">
        <v>2</v>
      </c>
      <c r="GB125" s="20">
        <v>0</v>
      </c>
      <c r="GC125" s="20">
        <v>12</v>
      </c>
      <c r="GD125" s="20">
        <v>6</v>
      </c>
      <c r="GE125" s="20">
        <v>2</v>
      </c>
      <c r="GF125" s="20">
        <v>8</v>
      </c>
      <c r="GG125" s="20">
        <v>4</v>
      </c>
      <c r="GH125" s="20">
        <v>0</v>
      </c>
      <c r="GI125" s="20">
        <v>12</v>
      </c>
      <c r="GJ125" s="20">
        <v>8</v>
      </c>
      <c r="GK125" s="20">
        <v>12</v>
      </c>
      <c r="GL125" s="20">
        <v>2</v>
      </c>
      <c r="GM125" s="20">
        <v>16</v>
      </c>
      <c r="GN125" s="20">
        <v>2</v>
      </c>
      <c r="GO125" s="20">
        <v>6</v>
      </c>
      <c r="GP125" s="20">
        <v>4</v>
      </c>
      <c r="GQ125" s="20">
        <v>0</v>
      </c>
      <c r="GR125" s="20">
        <v>10</v>
      </c>
      <c r="GS125" s="20">
        <v>0</v>
      </c>
      <c r="GT125" s="20">
        <v>4</v>
      </c>
      <c r="GU125" s="20">
        <v>0</v>
      </c>
      <c r="GV125" s="20"/>
      <c r="GW125" s="20"/>
      <c r="GX125" s="20"/>
      <c r="GY125" s="21" t="s">
        <v>710</v>
      </c>
      <c r="GZ125" s="21">
        <v>0</v>
      </c>
      <c r="HA125" s="21">
        <v>2</v>
      </c>
      <c r="HB125" s="21">
        <v>0</v>
      </c>
      <c r="HC125" s="21">
        <v>4</v>
      </c>
      <c r="HD125" s="21">
        <v>2</v>
      </c>
      <c r="HE125" s="21">
        <v>0</v>
      </c>
      <c r="HF125" s="21">
        <v>4</v>
      </c>
      <c r="HG125" s="21">
        <v>2</v>
      </c>
      <c r="HH125" s="21">
        <v>0</v>
      </c>
      <c r="HI125" s="21">
        <v>4</v>
      </c>
      <c r="HJ125" s="21">
        <v>2</v>
      </c>
      <c r="HK125" s="21">
        <v>0</v>
      </c>
      <c r="HL125" s="21">
        <v>4</v>
      </c>
      <c r="HM125" s="21">
        <v>2</v>
      </c>
      <c r="HN125" s="21">
        <v>0</v>
      </c>
      <c r="HO125" s="21">
        <v>2</v>
      </c>
      <c r="HP125" s="21">
        <v>0</v>
      </c>
      <c r="HQ125" s="21">
        <v>4</v>
      </c>
      <c r="HR125" s="21">
        <v>2</v>
      </c>
      <c r="HS125" s="21">
        <v>0</v>
      </c>
      <c r="HT125" s="21">
        <v>4</v>
      </c>
      <c r="HU125" s="21"/>
      <c r="HV125" s="21" t="s">
        <v>826</v>
      </c>
      <c r="HW125" s="20">
        <v>0</v>
      </c>
      <c r="HX125" s="20">
        <v>2</v>
      </c>
      <c r="HY125" s="20">
        <v>0</v>
      </c>
      <c r="HZ125" s="20">
        <v>2</v>
      </c>
      <c r="IA125" s="20">
        <v>4</v>
      </c>
      <c r="IB125" s="20">
        <v>2</v>
      </c>
      <c r="IC125" s="20">
        <v>4</v>
      </c>
      <c r="ID125" s="20">
        <v>0</v>
      </c>
      <c r="IE125" s="20">
        <v>4</v>
      </c>
      <c r="IF125" s="20">
        <v>0</v>
      </c>
      <c r="IG125" s="20">
        <v>2</v>
      </c>
      <c r="IH125" s="20">
        <v>0</v>
      </c>
      <c r="II125" s="20">
        <v>2</v>
      </c>
      <c r="IJ125" s="20">
        <v>4</v>
      </c>
      <c r="IK125" s="20">
        <v>2</v>
      </c>
      <c r="IL125" s="20">
        <v>4</v>
      </c>
      <c r="IM125" s="20">
        <v>2</v>
      </c>
      <c r="IN125" s="20">
        <v>4</v>
      </c>
      <c r="IO125" s="20">
        <v>0</v>
      </c>
      <c r="IP125" s="20">
        <v>4</v>
      </c>
      <c r="IQ125" s="20">
        <v>0</v>
      </c>
      <c r="IR125" s="21"/>
      <c r="IS125" s="21" t="s">
        <v>826</v>
      </c>
      <c r="IT125" s="21">
        <f t="shared" si="39"/>
        <v>0</v>
      </c>
      <c r="IU125" s="21">
        <f t="shared" si="39"/>
        <v>4</v>
      </c>
      <c r="IV125" s="21">
        <f t="shared" si="39"/>
        <v>0</v>
      </c>
      <c r="IW125" s="21">
        <f t="shared" si="39"/>
        <v>4</v>
      </c>
      <c r="IX125" s="21">
        <f t="shared" si="39"/>
        <v>8</v>
      </c>
      <c r="IY125" s="21">
        <f t="shared" si="39"/>
        <v>4</v>
      </c>
      <c r="IZ125" s="21">
        <f t="shared" si="39"/>
        <v>8</v>
      </c>
      <c r="JA125" s="21">
        <f t="shared" si="39"/>
        <v>0</v>
      </c>
      <c r="JB125" s="21">
        <f t="shared" si="39"/>
        <v>8</v>
      </c>
      <c r="JC125" s="21">
        <f t="shared" si="39"/>
        <v>0</v>
      </c>
      <c r="JD125" s="21">
        <f t="shared" si="39"/>
        <v>4</v>
      </c>
      <c r="JE125" s="21">
        <f t="shared" si="39"/>
        <v>0</v>
      </c>
      <c r="JF125" s="21">
        <f t="shared" si="39"/>
        <v>4</v>
      </c>
      <c r="JG125" s="21">
        <f t="shared" si="39"/>
        <v>8</v>
      </c>
      <c r="JH125" s="21">
        <f t="shared" si="39"/>
        <v>4</v>
      </c>
      <c r="JI125" s="21">
        <f t="shared" si="39"/>
        <v>8</v>
      </c>
      <c r="JJ125" s="21">
        <f t="shared" si="40"/>
        <v>4</v>
      </c>
      <c r="JK125" s="21">
        <f t="shared" si="40"/>
        <v>8</v>
      </c>
      <c r="JL125" s="21">
        <f t="shared" si="40"/>
        <v>0</v>
      </c>
      <c r="JM125" s="21">
        <f t="shared" si="40"/>
        <v>8</v>
      </c>
      <c r="JN125" s="21">
        <f t="shared" si="40"/>
        <v>0</v>
      </c>
      <c r="JO125" s="21"/>
      <c r="JP125" s="21"/>
      <c r="JQ125" s="21"/>
      <c r="JR125" s="21"/>
      <c r="JS125" s="21"/>
      <c r="JT125" s="21"/>
      <c r="JU125" s="21"/>
      <c r="JV125" s="21"/>
      <c r="JW125" s="21"/>
      <c r="JX125" s="21"/>
      <c r="JY125" s="21"/>
      <c r="JZ125" s="21"/>
      <c r="KA125" s="21"/>
      <c r="KB125" s="21"/>
      <c r="KC125" s="21"/>
      <c r="KD125" s="21"/>
      <c r="KE125" s="21"/>
      <c r="KF125" s="21"/>
      <c r="KG125" s="21"/>
      <c r="KH125" s="21"/>
    </row>
    <row r="126" spans="1:294" x14ac:dyDescent="0.25">
      <c r="A126" s="9"/>
      <c r="B126" s="9"/>
      <c r="C126" s="9"/>
      <c r="D126" s="9"/>
      <c r="E126" s="9"/>
      <c r="F126" s="9"/>
      <c r="G126" s="9"/>
      <c r="H126" s="9"/>
      <c r="I126" s="9"/>
      <c r="J126" s="9"/>
      <c r="K126" s="9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20"/>
      <c r="W126" s="25">
        <f t="shared" si="46"/>
        <v>0</v>
      </c>
      <c r="X126" s="20" t="s">
        <v>833</v>
      </c>
      <c r="Y126" s="20">
        <v>2500</v>
      </c>
      <c r="Z126" s="20"/>
      <c r="AA126" s="20"/>
      <c r="AB126" s="20">
        <f t="shared" si="44"/>
        <v>0</v>
      </c>
      <c r="AC12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</f>
        <v>0</v>
      </c>
      <c r="AD12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</f>
        <v>0</v>
      </c>
      <c r="AE12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</f>
        <v>0</v>
      </c>
      <c r="AF12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116,$GB$182:$GV$182,0),MATCH($E$105,$X$109:$X$126,0)))*C116</f>
        <v>0</v>
      </c>
      <c r="AG12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116,$GB$182:$GV$182,0),MATCH($E$105,$X$109:$X$126,0)))*C116</f>
        <v>0</v>
      </c>
      <c r="AH12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116,$GB$182:$GV$182,0),MATCH($E$105,$X$109:$X$126,0)))*C116</f>
        <v>0</v>
      </c>
      <c r="AI126" s="20">
        <f t="shared" si="41"/>
        <v>0</v>
      </c>
      <c r="AJ126" s="20">
        <f t="shared" si="42"/>
        <v>0</v>
      </c>
      <c r="AK126" s="20">
        <f t="shared" si="43"/>
        <v>0</v>
      </c>
      <c r="AL126" s="20" t="s">
        <v>127</v>
      </c>
      <c r="AM126" s="20">
        <v>0</v>
      </c>
      <c r="AN126" s="20">
        <v>0</v>
      </c>
      <c r="AO126" s="20">
        <v>2</v>
      </c>
      <c r="AP126" s="20">
        <v>0</v>
      </c>
      <c r="AQ126" s="20">
        <v>4</v>
      </c>
      <c r="AR126" s="20">
        <v>2</v>
      </c>
      <c r="AS126" s="20">
        <v>0</v>
      </c>
      <c r="AT126" s="20">
        <v>4</v>
      </c>
      <c r="AU126" s="20">
        <v>0</v>
      </c>
      <c r="AV126" s="20">
        <v>0</v>
      </c>
      <c r="AW126" s="20">
        <v>4</v>
      </c>
      <c r="AX126" s="20">
        <v>2</v>
      </c>
      <c r="AY126" s="20">
        <v>0</v>
      </c>
      <c r="AZ126" s="20">
        <v>0</v>
      </c>
      <c r="BA126" s="20">
        <v>0</v>
      </c>
      <c r="BB126" s="20">
        <v>0</v>
      </c>
      <c r="BC126" s="20">
        <v>2</v>
      </c>
      <c r="BD126" s="20">
        <v>2</v>
      </c>
      <c r="BE126" s="20">
        <v>0</v>
      </c>
      <c r="BF126" s="20">
        <v>0</v>
      </c>
      <c r="BG126" s="20">
        <v>0</v>
      </c>
      <c r="BH126" s="20">
        <v>0</v>
      </c>
      <c r="BI126" s="20">
        <v>4</v>
      </c>
      <c r="BJ126" s="20">
        <v>0</v>
      </c>
      <c r="BK126" s="20">
        <v>0</v>
      </c>
      <c r="BL126" s="20">
        <v>4</v>
      </c>
      <c r="BM126" s="20">
        <v>2</v>
      </c>
      <c r="BN126" s="20">
        <v>0</v>
      </c>
      <c r="BO126" s="20">
        <v>0</v>
      </c>
      <c r="BP126" s="20">
        <v>0</v>
      </c>
      <c r="BQ126" s="20">
        <v>0</v>
      </c>
      <c r="BR126" s="20">
        <v>2</v>
      </c>
      <c r="BS126" s="20">
        <v>2</v>
      </c>
      <c r="BT126" s="20">
        <v>0</v>
      </c>
      <c r="BU126" s="20">
        <v>0</v>
      </c>
      <c r="BV126" s="20">
        <v>0</v>
      </c>
      <c r="BW126" s="20">
        <v>0</v>
      </c>
      <c r="BX126" s="20">
        <v>2</v>
      </c>
      <c r="BY126" s="20">
        <v>0</v>
      </c>
      <c r="BZ126" s="20">
        <v>0</v>
      </c>
      <c r="CA126" s="20">
        <v>0</v>
      </c>
      <c r="CB126" s="20">
        <v>2</v>
      </c>
      <c r="CC126" s="20">
        <v>0</v>
      </c>
      <c r="CD126" s="20">
        <v>0</v>
      </c>
      <c r="CE126" s="20">
        <v>0</v>
      </c>
      <c r="CF126" s="20">
        <v>0</v>
      </c>
      <c r="CG126" s="20">
        <v>0</v>
      </c>
      <c r="CH126" s="20">
        <v>0</v>
      </c>
      <c r="CI126" s="20">
        <v>0</v>
      </c>
      <c r="CJ126" s="20">
        <v>0</v>
      </c>
      <c r="CK126" s="20">
        <v>2</v>
      </c>
      <c r="CL126" s="20"/>
      <c r="CM126" s="26">
        <v>20</v>
      </c>
      <c r="CN126" s="20" t="s">
        <v>610</v>
      </c>
      <c r="CO126" s="20" t="s">
        <v>610</v>
      </c>
      <c r="CP126" s="20" t="s">
        <v>610</v>
      </c>
      <c r="CQ126" s="20" t="s">
        <v>610</v>
      </c>
      <c r="CR126" s="20" t="s">
        <v>610</v>
      </c>
      <c r="CS126" s="20" t="s">
        <v>610</v>
      </c>
      <c r="CT126" s="20" t="s">
        <v>610</v>
      </c>
      <c r="CU126" s="20" t="s">
        <v>610</v>
      </c>
      <c r="CV126" s="20" t="s">
        <v>610</v>
      </c>
      <c r="CW126" s="20" t="s">
        <v>610</v>
      </c>
      <c r="CX126" s="20" t="s">
        <v>610</v>
      </c>
      <c r="CY126" s="20" t="s">
        <v>610</v>
      </c>
      <c r="CZ126" s="20" t="s">
        <v>610</v>
      </c>
      <c r="DA126" s="20" t="s">
        <v>610</v>
      </c>
      <c r="DB126" s="20" t="s">
        <v>549</v>
      </c>
      <c r="DC126" s="20" t="s">
        <v>552</v>
      </c>
      <c r="DD126" s="20" t="s">
        <v>555</v>
      </c>
      <c r="DE126" s="20" t="s">
        <v>558</v>
      </c>
      <c r="DF126" s="20" t="s">
        <v>561</v>
      </c>
      <c r="DG126" s="20"/>
      <c r="DH126" s="20"/>
      <c r="DI126" s="20"/>
      <c r="DJ126" s="20"/>
      <c r="DK126" s="20"/>
      <c r="DL126" s="20"/>
      <c r="DM126" s="20"/>
      <c r="DN126" s="20"/>
      <c r="DO126" s="20"/>
      <c r="DP126" s="20"/>
      <c r="DQ126" s="20"/>
      <c r="DR126" s="20"/>
      <c r="DS126" s="20"/>
      <c r="DT126" s="20"/>
      <c r="DU126" s="20"/>
      <c r="DV126" s="20"/>
      <c r="DW126" s="20"/>
      <c r="DX126" s="20"/>
      <c r="DY126" s="20"/>
      <c r="DZ126" s="54">
        <v>23</v>
      </c>
      <c r="EA126" s="54">
        <v>46</v>
      </c>
      <c r="EB126" s="54"/>
      <c r="EC126" s="20"/>
      <c r="ED126" s="20"/>
      <c r="EE126" s="20"/>
      <c r="EF126" s="20"/>
      <c r="EG126" s="20"/>
      <c r="EH126" s="20"/>
      <c r="EI126" s="20"/>
      <c r="EJ126" s="20"/>
      <c r="EK126" s="20"/>
      <c r="EL126" s="20"/>
      <c r="EM126" s="20"/>
      <c r="EN126" s="20"/>
      <c r="EO126" s="20" t="s">
        <v>471</v>
      </c>
      <c r="EP126" s="20" t="s">
        <v>1365</v>
      </c>
      <c r="EQ126" s="20" t="s">
        <v>1371</v>
      </c>
      <c r="ER126" s="20" t="s">
        <v>1287</v>
      </c>
      <c r="ES126" s="20"/>
      <c r="ET126" s="20"/>
      <c r="EU126" s="20"/>
      <c r="EV126" s="20" t="s">
        <v>214</v>
      </c>
      <c r="EW126" s="20">
        <v>0</v>
      </c>
      <c r="EX126" s="20">
        <v>0</v>
      </c>
      <c r="EY126" s="20">
        <v>0</v>
      </c>
      <c r="EZ126" s="20">
        <v>0</v>
      </c>
      <c r="FA126" s="20">
        <v>0</v>
      </c>
      <c r="FB126" s="20">
        <v>0</v>
      </c>
      <c r="FC126" s="20">
        <v>0</v>
      </c>
      <c r="FD126" s="20">
        <v>2</v>
      </c>
      <c r="FE126" s="20">
        <v>0</v>
      </c>
      <c r="FF126" s="20">
        <v>2</v>
      </c>
      <c r="FG126" s="20">
        <v>4</v>
      </c>
      <c r="FH126" s="20">
        <v>4</v>
      </c>
      <c r="FI126" s="20">
        <v>2</v>
      </c>
      <c r="FJ126" s="20">
        <v>6</v>
      </c>
      <c r="FK126" s="20">
        <v>6</v>
      </c>
      <c r="FL126" s="20">
        <v>2</v>
      </c>
      <c r="FM126" s="20">
        <v>2</v>
      </c>
      <c r="FN126" s="20">
        <v>8</v>
      </c>
      <c r="FO126" s="20">
        <v>0</v>
      </c>
      <c r="FP126" s="20">
        <v>0</v>
      </c>
      <c r="FQ126" s="20">
        <v>6</v>
      </c>
      <c r="FR126" s="20">
        <v>2</v>
      </c>
      <c r="FS126" s="20">
        <v>4</v>
      </c>
      <c r="FT126" s="20">
        <v>4</v>
      </c>
      <c r="FU126" s="20">
        <v>14</v>
      </c>
      <c r="FV126" s="20">
        <v>0</v>
      </c>
      <c r="FW126" s="20">
        <v>6</v>
      </c>
      <c r="FX126" s="20">
        <v>12</v>
      </c>
      <c r="FY126" s="20">
        <v>8</v>
      </c>
      <c r="FZ126" s="20">
        <v>4</v>
      </c>
      <c r="GA126" s="20">
        <v>14</v>
      </c>
      <c r="GB126" s="20">
        <v>18</v>
      </c>
      <c r="GC126" s="20">
        <v>6</v>
      </c>
      <c r="GD126" s="20">
        <v>12</v>
      </c>
      <c r="GE126" s="20">
        <v>18</v>
      </c>
      <c r="GF126" s="20">
        <v>8</v>
      </c>
      <c r="GG126" s="20">
        <v>14</v>
      </c>
      <c r="GH126" s="20">
        <v>20</v>
      </c>
      <c r="GI126" s="20">
        <v>6</v>
      </c>
      <c r="GJ126" s="20">
        <v>12</v>
      </c>
      <c r="GK126" s="20">
        <v>12</v>
      </c>
      <c r="GL126" s="20">
        <v>22</v>
      </c>
      <c r="GM126" s="20">
        <v>8</v>
      </c>
      <c r="GN126" s="20">
        <v>20</v>
      </c>
      <c r="GO126" s="20">
        <v>20</v>
      </c>
      <c r="GP126" s="20">
        <v>16</v>
      </c>
      <c r="GQ126" s="20">
        <v>22</v>
      </c>
      <c r="GR126" s="20">
        <v>18</v>
      </c>
      <c r="GS126" s="20">
        <v>28</v>
      </c>
      <c r="GT126" s="20">
        <v>20</v>
      </c>
      <c r="GU126" s="20">
        <v>26</v>
      </c>
      <c r="GV126" s="20"/>
      <c r="GW126" s="20"/>
      <c r="GX126" s="20"/>
      <c r="GY126" s="21" t="s">
        <v>711</v>
      </c>
      <c r="GZ126" s="21">
        <v>0</v>
      </c>
      <c r="HA126" s="21">
        <v>0</v>
      </c>
      <c r="HB126" s="21">
        <v>2</v>
      </c>
      <c r="HC126" s="21">
        <v>0</v>
      </c>
      <c r="HD126" s="21">
        <v>2</v>
      </c>
      <c r="HE126" s="21">
        <v>4</v>
      </c>
      <c r="HF126" s="21">
        <v>2</v>
      </c>
      <c r="HG126" s="21">
        <v>4</v>
      </c>
      <c r="HH126" s="21">
        <v>6</v>
      </c>
      <c r="HI126" s="21">
        <v>4</v>
      </c>
      <c r="HJ126" s="21">
        <v>6</v>
      </c>
      <c r="HK126" s="21">
        <v>8</v>
      </c>
      <c r="HL126" s="21">
        <v>6</v>
      </c>
      <c r="HM126" s="21">
        <v>8</v>
      </c>
      <c r="HN126" s="21">
        <v>10</v>
      </c>
      <c r="HO126" s="21">
        <v>10</v>
      </c>
      <c r="HP126" s="21">
        <v>12</v>
      </c>
      <c r="HQ126" s="21">
        <v>10</v>
      </c>
      <c r="HR126" s="21">
        <v>12</v>
      </c>
      <c r="HS126" s="21">
        <v>14</v>
      </c>
      <c r="HT126" s="21">
        <v>12</v>
      </c>
      <c r="HU126" s="21"/>
      <c r="HV126" s="21" t="s">
        <v>825</v>
      </c>
      <c r="HW126" s="20">
        <v>0</v>
      </c>
      <c r="HX126" s="20">
        <v>0</v>
      </c>
      <c r="HY126" s="20">
        <v>2</v>
      </c>
      <c r="HZ126" s="20">
        <v>2</v>
      </c>
      <c r="IA126" s="20">
        <v>2</v>
      </c>
      <c r="IB126" s="20">
        <v>4</v>
      </c>
      <c r="IC126" s="20">
        <v>4</v>
      </c>
      <c r="ID126" s="20">
        <v>8</v>
      </c>
      <c r="IE126" s="20">
        <v>6</v>
      </c>
      <c r="IF126" s="20">
        <v>10</v>
      </c>
      <c r="IG126" s="20">
        <v>10</v>
      </c>
      <c r="IH126" s="20">
        <v>12</v>
      </c>
      <c r="II126" s="20">
        <v>12</v>
      </c>
      <c r="IJ126" s="20">
        <v>12</v>
      </c>
      <c r="IK126" s="20">
        <v>14</v>
      </c>
      <c r="IL126" s="20">
        <v>14</v>
      </c>
      <c r="IM126" s="20">
        <v>16</v>
      </c>
      <c r="IN126" s="20">
        <v>16</v>
      </c>
      <c r="IO126" s="20">
        <v>20</v>
      </c>
      <c r="IP126" s="20">
        <v>18</v>
      </c>
      <c r="IQ126" s="20">
        <v>22</v>
      </c>
      <c r="IR126" s="21"/>
      <c r="IS126" s="21" t="s">
        <v>825</v>
      </c>
      <c r="IT126" s="21">
        <f t="shared" si="39"/>
        <v>0</v>
      </c>
      <c r="IU126" s="21">
        <f t="shared" si="39"/>
        <v>0</v>
      </c>
      <c r="IV126" s="21">
        <f t="shared" si="39"/>
        <v>4</v>
      </c>
      <c r="IW126" s="21">
        <f t="shared" si="39"/>
        <v>4</v>
      </c>
      <c r="IX126" s="21">
        <f t="shared" si="39"/>
        <v>4</v>
      </c>
      <c r="IY126" s="21">
        <f t="shared" si="39"/>
        <v>8</v>
      </c>
      <c r="IZ126" s="21">
        <f t="shared" si="39"/>
        <v>8</v>
      </c>
      <c r="JA126" s="21">
        <f t="shared" si="39"/>
        <v>16</v>
      </c>
      <c r="JB126" s="21">
        <f t="shared" si="39"/>
        <v>12</v>
      </c>
      <c r="JC126" s="21">
        <f t="shared" si="39"/>
        <v>20</v>
      </c>
      <c r="JD126" s="21">
        <f t="shared" si="39"/>
        <v>20</v>
      </c>
      <c r="JE126" s="21">
        <f t="shared" si="39"/>
        <v>24</v>
      </c>
      <c r="JF126" s="21">
        <f t="shared" si="39"/>
        <v>24</v>
      </c>
      <c r="JG126" s="21">
        <f t="shared" si="39"/>
        <v>24</v>
      </c>
      <c r="JH126" s="21">
        <f t="shared" si="39"/>
        <v>28</v>
      </c>
      <c r="JI126" s="21">
        <f t="shared" si="39"/>
        <v>28</v>
      </c>
      <c r="JJ126" s="21">
        <f t="shared" si="40"/>
        <v>32</v>
      </c>
      <c r="JK126" s="21">
        <f t="shared" si="40"/>
        <v>32</v>
      </c>
      <c r="JL126" s="21">
        <f t="shared" si="40"/>
        <v>40</v>
      </c>
      <c r="JM126" s="21">
        <f t="shared" si="40"/>
        <v>36</v>
      </c>
      <c r="JN126" s="21">
        <f t="shared" si="40"/>
        <v>44</v>
      </c>
      <c r="JO126" s="21"/>
      <c r="JP126" s="21"/>
      <c r="JQ126" s="26"/>
      <c r="JR126" s="21"/>
      <c r="JS126" s="21"/>
      <c r="JT126" s="21"/>
      <c r="JU126" s="21"/>
      <c r="JV126" s="21"/>
      <c r="JW126" s="21"/>
      <c r="JX126" s="21"/>
      <c r="JY126" s="21"/>
      <c r="JZ126" s="21"/>
      <c r="KA126" s="21"/>
      <c r="KB126" s="21"/>
      <c r="KC126" s="21"/>
      <c r="KD126" s="21"/>
      <c r="KE126" s="21"/>
      <c r="KF126" s="21"/>
      <c r="KG126" s="21"/>
      <c r="KH126" s="21"/>
    </row>
    <row r="127" spans="1:294" x14ac:dyDescent="0.25">
      <c r="A127" s="9"/>
      <c r="B127" s="9"/>
      <c r="C127" s="9"/>
      <c r="D127" s="9"/>
      <c r="E127" s="9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34"/>
      <c r="U127" s="34"/>
      <c r="V127" s="20"/>
      <c r="W127" s="25">
        <f t="shared" si="46"/>
        <v>0</v>
      </c>
      <c r="X127" s="21"/>
      <c r="Y127" s="21"/>
      <c r="Z127" s="20"/>
      <c r="AA127" s="20"/>
      <c r="AB127" s="20">
        <f t="shared" si="44"/>
        <v>0</v>
      </c>
      <c r="AC12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</f>
        <v>0</v>
      </c>
      <c r="AD12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</f>
        <v>0</v>
      </c>
      <c r="AE12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</f>
        <v>0</v>
      </c>
      <c r="AF12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117,$GB$182:$GV$182,0),MATCH($E$105,$X$109:$X$126,0)))*C117</f>
        <v>0</v>
      </c>
      <c r="AG12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117,$GB$182:$GV$182,0),MATCH($E$105,$X$109:$X$126,0)))*C117</f>
        <v>0</v>
      </c>
      <c r="AH12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117,$GB$182:$GV$182,0),MATCH($E$105,$X$109:$X$126,0)))*C117</f>
        <v>0</v>
      </c>
      <c r="AI127" s="20">
        <f t="shared" si="41"/>
        <v>0</v>
      </c>
      <c r="AJ127" s="20">
        <f t="shared" si="42"/>
        <v>0</v>
      </c>
      <c r="AK127" s="20">
        <f>AJ127*C117</f>
        <v>0</v>
      </c>
      <c r="AL127" s="20" t="s">
        <v>15</v>
      </c>
      <c r="AM127" s="20">
        <v>0</v>
      </c>
      <c r="AN127" s="20">
        <v>0</v>
      </c>
      <c r="AO127" s="20">
        <v>0</v>
      </c>
      <c r="AP127" s="20">
        <v>0</v>
      </c>
      <c r="AQ127" s="20">
        <v>0</v>
      </c>
      <c r="AR127" s="20">
        <v>0</v>
      </c>
      <c r="AS127" s="20">
        <v>0</v>
      </c>
      <c r="AT127" s="20">
        <v>2</v>
      </c>
      <c r="AU127" s="20">
        <v>0</v>
      </c>
      <c r="AV127" s="20">
        <v>2</v>
      </c>
      <c r="AW127" s="20">
        <v>2</v>
      </c>
      <c r="AX127" s="20">
        <v>2</v>
      </c>
      <c r="AY127" s="20">
        <v>4</v>
      </c>
      <c r="AZ127" s="20">
        <v>0</v>
      </c>
      <c r="BA127" s="20">
        <v>2</v>
      </c>
      <c r="BB127" s="20">
        <v>4</v>
      </c>
      <c r="BC127" s="20">
        <v>2</v>
      </c>
      <c r="BD127" s="20">
        <v>6</v>
      </c>
      <c r="BE127" s="20">
        <v>4</v>
      </c>
      <c r="BF127" s="20">
        <v>2</v>
      </c>
      <c r="BG127" s="20">
        <v>4</v>
      </c>
      <c r="BH127" s="20">
        <v>6</v>
      </c>
      <c r="BI127" s="20">
        <v>8</v>
      </c>
      <c r="BJ127" s="20">
        <v>4</v>
      </c>
      <c r="BK127" s="20">
        <v>6</v>
      </c>
      <c r="BL127" s="20">
        <v>6</v>
      </c>
      <c r="BM127" s="20">
        <v>6</v>
      </c>
      <c r="BN127" s="20">
        <v>6</v>
      </c>
      <c r="BO127" s="20">
        <v>4</v>
      </c>
      <c r="BP127" s="20">
        <v>6</v>
      </c>
      <c r="BQ127" s="20">
        <v>8</v>
      </c>
      <c r="BR127" s="20">
        <v>6</v>
      </c>
      <c r="BS127" s="20">
        <v>12</v>
      </c>
      <c r="BT127" s="20">
        <v>8</v>
      </c>
      <c r="BU127" s="20">
        <v>22</v>
      </c>
      <c r="BV127" s="20">
        <v>24</v>
      </c>
      <c r="BW127" s="20">
        <v>10</v>
      </c>
      <c r="BX127" s="20">
        <v>0</v>
      </c>
      <c r="BY127" s="20">
        <v>24</v>
      </c>
      <c r="BZ127" s="20">
        <v>10</v>
      </c>
      <c r="CA127" s="20">
        <v>0</v>
      </c>
      <c r="CB127" s="20">
        <v>10</v>
      </c>
      <c r="CC127" s="20">
        <v>10</v>
      </c>
      <c r="CD127" s="20">
        <v>0</v>
      </c>
      <c r="CE127" s="20">
        <v>26</v>
      </c>
      <c r="CF127" s="20">
        <v>12</v>
      </c>
      <c r="CG127" s="20">
        <v>0</v>
      </c>
      <c r="CH127" s="20">
        <v>4</v>
      </c>
      <c r="CI127" s="20">
        <v>12</v>
      </c>
      <c r="CJ127" s="20">
        <v>0</v>
      </c>
      <c r="CK127" s="20">
        <v>12</v>
      </c>
      <c r="CL127" s="20"/>
      <c r="CM127" s="20"/>
      <c r="CN127" s="20"/>
      <c r="CO127" s="20"/>
      <c r="CP127" s="20"/>
      <c r="CQ127" s="20"/>
      <c r="CR127" s="20"/>
      <c r="CS127" s="20"/>
      <c r="CT127" s="20"/>
      <c r="CU127" s="20"/>
      <c r="CV127" s="20"/>
      <c r="CW127" s="20"/>
      <c r="CX127" s="20"/>
      <c r="CY127" s="20"/>
      <c r="CZ127" s="20"/>
      <c r="DA127" s="20"/>
      <c r="DB127" s="20"/>
      <c r="DC127" s="20"/>
      <c r="DD127" s="20"/>
      <c r="DE127" s="20"/>
      <c r="DF127" s="20"/>
      <c r="DG127" s="20"/>
      <c r="DH127" s="20"/>
      <c r="DI127" s="20"/>
      <c r="DJ127" s="20"/>
      <c r="DK127" s="20"/>
      <c r="DL127" s="20"/>
      <c r="DM127" s="20"/>
      <c r="DN127" s="20"/>
      <c r="DO127" s="20"/>
      <c r="DP127" s="20"/>
      <c r="DQ127" s="20"/>
      <c r="DR127" s="20"/>
      <c r="DS127" s="20"/>
      <c r="DT127" s="20"/>
      <c r="DU127" s="20"/>
      <c r="DV127" s="20"/>
      <c r="DW127" s="20"/>
      <c r="DX127" s="20"/>
      <c r="DY127" s="20"/>
      <c r="DZ127" s="54">
        <v>24</v>
      </c>
      <c r="EA127" s="54">
        <v>48</v>
      </c>
      <c r="EB127" s="54"/>
      <c r="EC127" s="20"/>
      <c r="ED127" s="20"/>
      <c r="EE127" s="20"/>
      <c r="EF127" s="20"/>
      <c r="EG127" s="20"/>
      <c r="EH127" s="20"/>
      <c r="EI127" s="20"/>
      <c r="EJ127" s="20"/>
      <c r="EK127" s="20"/>
      <c r="EL127" s="20"/>
      <c r="EM127" s="20"/>
      <c r="EN127" s="20"/>
      <c r="EO127" s="20" t="s">
        <v>473</v>
      </c>
      <c r="EP127" s="20" t="s">
        <v>1365</v>
      </c>
      <c r="EQ127" s="20" t="s">
        <v>1371</v>
      </c>
      <c r="ER127" s="20" t="s">
        <v>1287</v>
      </c>
      <c r="ES127" s="20"/>
      <c r="ET127" s="20"/>
      <c r="EU127" s="20"/>
      <c r="EV127" s="20" t="s">
        <v>11</v>
      </c>
      <c r="EW127" s="20">
        <v>0</v>
      </c>
      <c r="EX127" s="20">
        <v>0</v>
      </c>
      <c r="EY127" s="20">
        <v>0</v>
      </c>
      <c r="EZ127" s="20">
        <v>0</v>
      </c>
      <c r="FA127" s="20">
        <v>2</v>
      </c>
      <c r="FB127" s="20">
        <v>2</v>
      </c>
      <c r="FC127" s="20">
        <v>2</v>
      </c>
      <c r="FD127" s="20">
        <v>4</v>
      </c>
      <c r="FE127" s="20">
        <v>4</v>
      </c>
      <c r="FF127" s="20">
        <v>4</v>
      </c>
      <c r="FG127" s="20">
        <v>4</v>
      </c>
      <c r="FH127" s="20">
        <v>6</v>
      </c>
      <c r="FI127" s="20">
        <v>6</v>
      </c>
      <c r="FJ127" s="20">
        <v>6</v>
      </c>
      <c r="FK127" s="20">
        <v>8</v>
      </c>
      <c r="FL127" s="20">
        <v>8</v>
      </c>
      <c r="FM127" s="20">
        <v>8</v>
      </c>
      <c r="FN127" s="20">
        <v>8</v>
      </c>
      <c r="FO127" s="20">
        <v>10</v>
      </c>
      <c r="FP127" s="20">
        <v>10</v>
      </c>
      <c r="FQ127" s="20">
        <v>10</v>
      </c>
      <c r="FR127" s="20">
        <v>12</v>
      </c>
      <c r="FS127" s="20">
        <v>12</v>
      </c>
      <c r="FT127" s="20">
        <v>12</v>
      </c>
      <c r="FU127" s="20">
        <v>12</v>
      </c>
      <c r="FV127" s="20">
        <v>14</v>
      </c>
      <c r="FW127" s="20">
        <v>14</v>
      </c>
      <c r="FX127" s="20">
        <v>14</v>
      </c>
      <c r="FY127" s="20">
        <v>16</v>
      </c>
      <c r="FZ127" s="20">
        <v>16</v>
      </c>
      <c r="GA127" s="20">
        <v>16</v>
      </c>
      <c r="GB127" s="20">
        <v>16</v>
      </c>
      <c r="GC127" s="20">
        <v>18</v>
      </c>
      <c r="GD127" s="20">
        <v>18</v>
      </c>
      <c r="GE127" s="20">
        <v>18</v>
      </c>
      <c r="GF127" s="20">
        <v>20</v>
      </c>
      <c r="GG127" s="20">
        <v>20</v>
      </c>
      <c r="GH127" s="20">
        <v>20</v>
      </c>
      <c r="GI127" s="20">
        <v>22</v>
      </c>
      <c r="GJ127" s="20">
        <v>22</v>
      </c>
      <c r="GK127" s="20">
        <v>22</v>
      </c>
      <c r="GL127" s="20">
        <v>22</v>
      </c>
      <c r="GM127" s="20">
        <v>24</v>
      </c>
      <c r="GN127" s="20">
        <v>24</v>
      </c>
      <c r="GO127" s="20">
        <v>24</v>
      </c>
      <c r="GP127" s="20">
        <v>26</v>
      </c>
      <c r="GQ127" s="20">
        <v>26</v>
      </c>
      <c r="GR127" s="20">
        <v>26</v>
      </c>
      <c r="GS127" s="20">
        <v>26</v>
      </c>
      <c r="GT127" s="20">
        <v>28</v>
      </c>
      <c r="GU127" s="20">
        <v>28</v>
      </c>
      <c r="GV127" s="20"/>
      <c r="GW127" s="20"/>
      <c r="GX127" s="20"/>
      <c r="GY127" s="21" t="s">
        <v>712</v>
      </c>
      <c r="GZ127" s="21">
        <v>0</v>
      </c>
      <c r="HA127" s="21">
        <v>0</v>
      </c>
      <c r="HB127" s="21">
        <v>0</v>
      </c>
      <c r="HC127" s="21">
        <v>2</v>
      </c>
      <c r="HD127" s="21">
        <v>2</v>
      </c>
      <c r="HE127" s="21">
        <v>2</v>
      </c>
      <c r="HF127" s="21">
        <v>4</v>
      </c>
      <c r="HG127" s="21">
        <v>4</v>
      </c>
      <c r="HH127" s="21">
        <v>4</v>
      </c>
      <c r="HI127" s="21">
        <v>6</v>
      </c>
      <c r="HJ127" s="21">
        <v>6</v>
      </c>
      <c r="HK127" s="21">
        <v>6</v>
      </c>
      <c r="HL127" s="21">
        <v>8</v>
      </c>
      <c r="HM127" s="21">
        <v>8</v>
      </c>
      <c r="HN127" s="21">
        <v>8</v>
      </c>
      <c r="HO127" s="21">
        <v>10</v>
      </c>
      <c r="HP127" s="21">
        <v>10</v>
      </c>
      <c r="HQ127" s="21">
        <v>12</v>
      </c>
      <c r="HR127" s="21">
        <v>12</v>
      </c>
      <c r="HS127" s="21">
        <v>12</v>
      </c>
      <c r="HT127" s="21">
        <v>14</v>
      </c>
      <c r="HU127" s="21"/>
      <c r="HV127" s="21" t="s">
        <v>853</v>
      </c>
      <c r="HW127" s="20">
        <v>0</v>
      </c>
      <c r="HX127" s="20">
        <v>0</v>
      </c>
      <c r="HY127" s="20">
        <v>0</v>
      </c>
      <c r="HZ127" s="20">
        <v>2</v>
      </c>
      <c r="IA127" s="20">
        <v>4</v>
      </c>
      <c r="IB127" s="20">
        <v>4</v>
      </c>
      <c r="IC127" s="20">
        <v>6</v>
      </c>
      <c r="ID127" s="20">
        <v>6</v>
      </c>
      <c r="IE127" s="20">
        <v>8</v>
      </c>
      <c r="IF127" s="20">
        <v>8</v>
      </c>
      <c r="IG127" s="20">
        <v>10</v>
      </c>
      <c r="IH127" s="20">
        <v>10</v>
      </c>
      <c r="II127" s="20">
        <v>12</v>
      </c>
      <c r="IJ127" s="20">
        <v>14</v>
      </c>
      <c r="IK127" s="20">
        <v>14</v>
      </c>
      <c r="IL127" s="20">
        <v>16</v>
      </c>
      <c r="IM127" s="20">
        <v>16</v>
      </c>
      <c r="IN127" s="20">
        <v>18</v>
      </c>
      <c r="IO127" s="20">
        <v>18</v>
      </c>
      <c r="IP127" s="20">
        <v>20</v>
      </c>
      <c r="IQ127" s="20">
        <v>20</v>
      </c>
      <c r="IR127" s="21"/>
      <c r="IS127" s="21" t="s">
        <v>853</v>
      </c>
      <c r="IT127" s="21">
        <f t="shared" si="39"/>
        <v>0</v>
      </c>
      <c r="IU127" s="21">
        <f t="shared" si="39"/>
        <v>0</v>
      </c>
      <c r="IV127" s="21">
        <f t="shared" si="39"/>
        <v>0</v>
      </c>
      <c r="IW127" s="21">
        <f t="shared" si="39"/>
        <v>4</v>
      </c>
      <c r="IX127" s="21">
        <f t="shared" si="39"/>
        <v>8</v>
      </c>
      <c r="IY127" s="21">
        <f t="shared" si="39"/>
        <v>8</v>
      </c>
      <c r="IZ127" s="21">
        <f t="shared" si="39"/>
        <v>12</v>
      </c>
      <c r="JA127" s="21">
        <f t="shared" si="39"/>
        <v>12</v>
      </c>
      <c r="JB127" s="21">
        <f t="shared" si="39"/>
        <v>16</v>
      </c>
      <c r="JC127" s="21">
        <f t="shared" si="39"/>
        <v>16</v>
      </c>
      <c r="JD127" s="21">
        <f t="shared" si="39"/>
        <v>20</v>
      </c>
      <c r="JE127" s="21">
        <f t="shared" si="39"/>
        <v>20</v>
      </c>
      <c r="JF127" s="21">
        <f t="shared" si="39"/>
        <v>24</v>
      </c>
      <c r="JG127" s="21">
        <f t="shared" si="39"/>
        <v>28</v>
      </c>
      <c r="JH127" s="21">
        <f t="shared" si="39"/>
        <v>28</v>
      </c>
      <c r="JI127" s="21">
        <f t="shared" si="39"/>
        <v>32</v>
      </c>
      <c r="JJ127" s="21">
        <f t="shared" si="40"/>
        <v>32</v>
      </c>
      <c r="JK127" s="21">
        <f t="shared" si="40"/>
        <v>36</v>
      </c>
      <c r="JL127" s="21">
        <f t="shared" si="40"/>
        <v>36</v>
      </c>
      <c r="JM127" s="21">
        <f t="shared" si="40"/>
        <v>40</v>
      </c>
      <c r="JN127" s="21">
        <f t="shared" si="40"/>
        <v>40</v>
      </c>
      <c r="JO127" s="21"/>
      <c r="JP127" s="21"/>
      <c r="JQ127" s="26"/>
      <c r="JR127" s="21"/>
      <c r="JS127" s="21"/>
      <c r="JT127" s="21"/>
      <c r="JU127" s="21"/>
      <c r="JV127" s="21"/>
      <c r="JW127" s="21"/>
      <c r="JX127" s="21"/>
      <c r="JY127" s="21"/>
      <c r="JZ127" s="21"/>
      <c r="KA127" s="21"/>
      <c r="KB127" s="21"/>
      <c r="KC127" s="21"/>
      <c r="KD127" s="21"/>
      <c r="KE127" s="21"/>
      <c r="KF127" s="21"/>
      <c r="KG127" s="26"/>
      <c r="KH127" s="21"/>
    </row>
    <row r="128" spans="1:294" ht="64.5" x14ac:dyDescent="0.25">
      <c r="A128" s="3" t="s">
        <v>410</v>
      </c>
      <c r="B128" s="3"/>
      <c r="C128" s="3" t="s">
        <v>121</v>
      </c>
      <c r="D128" s="9"/>
      <c r="E128" s="9"/>
      <c r="F128" s="9"/>
      <c r="G128" s="9"/>
      <c r="H128" s="9"/>
      <c r="I128" s="9"/>
      <c r="J128" s="9"/>
      <c r="K128" s="9"/>
      <c r="L128" s="360" t="str">
        <f>IF(E132=Z104,"KONSTRUKCJA DP-DNHBE-WSCHÓD/ZACHÓD",IF(E132=Z105,"KONSTRUKCJA DP-DNHKE-WSCHÓD/ZACHÓD",IF(E132=Z106,"KONSTRUKCJA DP-DNHWE-WSCHÓD/ZACHÓD",IF(E132=Z107,"KONSTRUKCJA DP-DNHKSE-WSCHÓD/ZACHÓD"))))</f>
        <v>KONSTRUKCJA DP-DNHKE-WSCHÓD/ZACHÓD</v>
      </c>
      <c r="M128" s="360"/>
      <c r="N128" s="360"/>
      <c r="O128" s="360"/>
      <c r="P128" s="360"/>
      <c r="Q128" s="360"/>
      <c r="R128" s="360"/>
      <c r="S128" s="360"/>
      <c r="T128" s="360"/>
      <c r="U128" s="360"/>
      <c r="V128" s="20"/>
      <c r="W128" s="25">
        <f t="shared" si="46"/>
        <v>0</v>
      </c>
      <c r="X128" s="20" t="s">
        <v>114</v>
      </c>
      <c r="Y128" s="20">
        <v>1000</v>
      </c>
      <c r="Z128" s="20"/>
      <c r="AA128" s="20"/>
      <c r="AB128" s="20">
        <f t="shared" si="44"/>
        <v>0</v>
      </c>
      <c r="AC12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</f>
        <v>0</v>
      </c>
      <c r="AD12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</f>
        <v>0</v>
      </c>
      <c r="AE12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</f>
        <v>0</v>
      </c>
      <c r="AF12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118,$GB$182:$GV$182,0),MATCH($E$105,$X$109:$X$126,0)))*C118</f>
        <v>0</v>
      </c>
      <c r="AG12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118,$GB$182:$GV$182,0),MATCH($E$105,$X$109:$X$126,0)))*C118</f>
        <v>0</v>
      </c>
      <c r="AH12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118,$GB$182:$GV$182,0),MATCH($E$105,$X$109:$X$126,0)))*C118</f>
        <v>0</v>
      </c>
      <c r="AI128" s="20">
        <f t="shared" si="41"/>
        <v>0</v>
      </c>
      <c r="AJ128" s="20">
        <f t="shared" si="42"/>
        <v>0</v>
      </c>
      <c r="AK128" s="20">
        <f t="shared" si="43"/>
        <v>0</v>
      </c>
      <c r="AL128" s="20" t="s">
        <v>19</v>
      </c>
      <c r="AM128" s="20">
        <v>0</v>
      </c>
      <c r="AN128" s="20">
        <v>0</v>
      </c>
      <c r="AO128" s="20">
        <v>0</v>
      </c>
      <c r="AP128" s="20">
        <v>2</v>
      </c>
      <c r="AQ128" s="20">
        <v>0</v>
      </c>
      <c r="AR128" s="20">
        <v>2</v>
      </c>
      <c r="AS128" s="20">
        <v>4</v>
      </c>
      <c r="AT128" s="20">
        <v>0</v>
      </c>
      <c r="AU128" s="20">
        <v>4</v>
      </c>
      <c r="AV128" s="20">
        <v>4</v>
      </c>
      <c r="AW128" s="20">
        <v>2</v>
      </c>
      <c r="AX128" s="20">
        <v>4</v>
      </c>
      <c r="AY128" s="20">
        <v>4</v>
      </c>
      <c r="AZ128" s="20">
        <v>6</v>
      </c>
      <c r="BA128" s="20">
        <v>6</v>
      </c>
      <c r="BB128" s="20">
        <v>6</v>
      </c>
      <c r="BC128" s="20">
        <v>6</v>
      </c>
      <c r="BD128" s="20">
        <v>4</v>
      </c>
      <c r="BE128" s="20">
        <v>8</v>
      </c>
      <c r="BF128" s="20">
        <v>8</v>
      </c>
      <c r="BG128" s="20">
        <v>8</v>
      </c>
      <c r="BH128" s="20">
        <v>8</v>
      </c>
      <c r="BI128" s="20">
        <v>4</v>
      </c>
      <c r="BJ128" s="20">
        <v>10</v>
      </c>
      <c r="BK128" s="20">
        <v>10</v>
      </c>
      <c r="BL128" s="20">
        <v>8</v>
      </c>
      <c r="BM128" s="20">
        <v>10</v>
      </c>
      <c r="BN128" s="20">
        <v>12</v>
      </c>
      <c r="BO128" s="20">
        <v>12</v>
      </c>
      <c r="BP128" s="20">
        <v>12</v>
      </c>
      <c r="BQ128" s="20">
        <v>12</v>
      </c>
      <c r="BR128" s="20">
        <v>12</v>
      </c>
      <c r="BS128" s="20">
        <v>8</v>
      </c>
      <c r="BT128" s="20">
        <v>14</v>
      </c>
      <c r="BU128" s="20">
        <v>0</v>
      </c>
      <c r="BV128" s="20">
        <v>0</v>
      </c>
      <c r="BW128" s="20">
        <v>14</v>
      </c>
      <c r="BX128" s="20">
        <v>22</v>
      </c>
      <c r="BY128" s="20">
        <v>2</v>
      </c>
      <c r="BZ128" s="20">
        <v>16</v>
      </c>
      <c r="CA128" s="20">
        <v>26</v>
      </c>
      <c r="CB128" s="20">
        <v>16</v>
      </c>
      <c r="CC128" s="20">
        <v>18</v>
      </c>
      <c r="CD128" s="20">
        <v>28</v>
      </c>
      <c r="CE128" s="20">
        <v>4</v>
      </c>
      <c r="CF128" s="20">
        <v>18</v>
      </c>
      <c r="CG128" s="20">
        <v>30</v>
      </c>
      <c r="CH128" s="20">
        <v>26</v>
      </c>
      <c r="CI128" s="20">
        <v>20</v>
      </c>
      <c r="CJ128" s="20">
        <v>32</v>
      </c>
      <c r="CK128" s="20">
        <v>20</v>
      </c>
      <c r="CL128" s="20"/>
      <c r="CM128" s="20"/>
      <c r="CN128" s="20"/>
      <c r="CO128" s="20"/>
      <c r="CP128" s="20"/>
      <c r="CQ128" s="20"/>
      <c r="CR128" s="20"/>
      <c r="CS128" s="20"/>
      <c r="CT128" s="20"/>
      <c r="CU128" s="20"/>
      <c r="CV128" s="20"/>
      <c r="CW128" s="20"/>
      <c r="CX128" s="20"/>
      <c r="CY128" s="20"/>
      <c r="CZ128" s="20"/>
      <c r="DA128" s="20"/>
      <c r="DB128" s="20"/>
      <c r="DC128" s="20"/>
      <c r="DD128" s="20"/>
      <c r="DE128" s="20"/>
      <c r="DF128" s="20"/>
      <c r="DG128" s="20"/>
      <c r="DH128" s="20"/>
      <c r="DI128" s="20"/>
      <c r="DJ128" s="20"/>
      <c r="DK128" s="20"/>
      <c r="DL128" s="20"/>
      <c r="DM128" s="20"/>
      <c r="DN128" s="20"/>
      <c r="DO128" s="20"/>
      <c r="DP128" s="20"/>
      <c r="DQ128" s="20"/>
      <c r="DR128" s="20"/>
      <c r="DS128" s="20"/>
      <c r="DT128" s="20"/>
      <c r="DU128" s="20"/>
      <c r="DV128" s="20"/>
      <c r="DW128" s="20"/>
      <c r="DX128" s="20"/>
      <c r="DY128" s="20"/>
      <c r="DZ128" s="54">
        <v>25</v>
      </c>
      <c r="EA128" s="54">
        <v>50</v>
      </c>
      <c r="EB128" s="54"/>
      <c r="EC128" s="20"/>
      <c r="ED128" s="20"/>
      <c r="EE128" s="20"/>
      <c r="EF128" s="20"/>
      <c r="EG128" s="20"/>
      <c r="EH128" s="20"/>
      <c r="EI128" s="20"/>
      <c r="EJ128" s="20"/>
      <c r="EK128" s="20"/>
      <c r="EL128" s="20"/>
      <c r="EM128" s="20"/>
      <c r="EN128" s="20"/>
      <c r="EO128" s="20" t="s">
        <v>113</v>
      </c>
      <c r="EP128" s="20" t="s">
        <v>1365</v>
      </c>
      <c r="EQ128" s="20" t="s">
        <v>1371</v>
      </c>
      <c r="ER128" s="20" t="s">
        <v>1287</v>
      </c>
      <c r="ES128" s="20"/>
      <c r="ET128" s="20"/>
      <c r="EU128" s="20"/>
      <c r="EV128" s="20"/>
      <c r="EW128" s="20"/>
      <c r="EX128" s="20"/>
      <c r="EY128" s="20"/>
      <c r="EZ128" s="20"/>
      <c r="FA128" s="20"/>
      <c r="FB128" s="20"/>
      <c r="FC128" s="20"/>
      <c r="FD128" s="20"/>
      <c r="FE128" s="20"/>
      <c r="FF128" s="20"/>
      <c r="FG128" s="20"/>
      <c r="FH128" s="20"/>
      <c r="FI128" s="20"/>
      <c r="FJ128" s="20"/>
      <c r="FK128" s="20"/>
      <c r="FL128" s="20"/>
      <c r="FM128" s="20"/>
      <c r="FN128" s="20"/>
      <c r="FO128" s="20"/>
      <c r="FP128" s="20"/>
      <c r="FQ128" s="20"/>
      <c r="FR128" s="20"/>
      <c r="FS128" s="20"/>
      <c r="FT128" s="20"/>
      <c r="FU128" s="20"/>
      <c r="FV128" s="20"/>
      <c r="FW128" s="20"/>
      <c r="FX128" s="20"/>
      <c r="FY128" s="20"/>
      <c r="FZ128" s="20"/>
      <c r="GA128" s="20"/>
      <c r="GB128" s="20"/>
      <c r="GC128" s="20"/>
      <c r="GD128" s="20"/>
      <c r="GE128" s="20"/>
      <c r="GF128" s="20"/>
      <c r="GG128" s="20"/>
      <c r="GH128" s="20"/>
      <c r="GI128" s="20"/>
      <c r="GJ128" s="20"/>
      <c r="GK128" s="20"/>
      <c r="GL128" s="20"/>
      <c r="GM128" s="20"/>
      <c r="GN128" s="20"/>
      <c r="GO128" s="20"/>
      <c r="GP128" s="20"/>
      <c r="GQ128" s="20"/>
      <c r="GR128" s="20"/>
      <c r="GS128" s="20"/>
      <c r="GT128" s="20"/>
      <c r="GU128" s="20"/>
      <c r="GV128" s="20"/>
      <c r="GW128" s="20"/>
      <c r="GX128" s="20"/>
      <c r="GY128" s="21"/>
      <c r="GZ128" s="21"/>
      <c r="HA128" s="21"/>
      <c r="HB128" s="21"/>
      <c r="HC128" s="21"/>
      <c r="HD128" s="21"/>
      <c r="HE128" s="21"/>
      <c r="HF128" s="21"/>
      <c r="HG128" s="21"/>
      <c r="HH128" s="21"/>
      <c r="HI128" s="21"/>
      <c r="HJ128" s="21"/>
      <c r="HK128" s="21"/>
      <c r="HL128" s="21"/>
      <c r="HM128" s="21"/>
      <c r="HN128" s="21"/>
      <c r="HO128" s="21"/>
      <c r="HP128" s="21"/>
      <c r="HQ128" s="21"/>
      <c r="HR128" s="21"/>
      <c r="HS128" s="21"/>
      <c r="HT128" s="21"/>
      <c r="HU128" s="21"/>
      <c r="HV128" s="21"/>
      <c r="HW128" s="20"/>
      <c r="HX128" s="20"/>
      <c r="HY128" s="20"/>
      <c r="HZ128" s="20"/>
      <c r="IA128" s="20"/>
      <c r="IB128" s="20"/>
      <c r="IC128" s="20"/>
      <c r="ID128" s="20"/>
      <c r="IE128" s="20"/>
      <c r="IF128" s="20"/>
      <c r="IG128" s="20"/>
      <c r="IH128" s="20"/>
      <c r="II128" s="20"/>
      <c r="IJ128" s="20"/>
      <c r="IK128" s="20"/>
      <c r="IL128" s="20"/>
      <c r="IM128" s="20"/>
      <c r="IN128" s="20"/>
      <c r="IO128" s="20"/>
      <c r="IP128" s="20"/>
      <c r="IQ128" s="20"/>
      <c r="IR128" s="21"/>
      <c r="IS128" s="21"/>
      <c r="IT128" s="21"/>
      <c r="IU128" s="21"/>
      <c r="IV128" s="21"/>
      <c r="IW128" s="21"/>
      <c r="IX128" s="21"/>
      <c r="IY128" s="21"/>
      <c r="IZ128" s="21"/>
      <c r="JA128" s="21"/>
      <c r="JB128" s="21"/>
      <c r="JC128" s="21"/>
      <c r="JD128" s="21"/>
      <c r="JE128" s="21"/>
      <c r="JF128" s="21"/>
      <c r="JG128" s="21"/>
      <c r="JH128" s="21"/>
      <c r="JI128" s="21"/>
      <c r="JJ128" s="21"/>
      <c r="JK128" s="21"/>
      <c r="JL128" s="21"/>
      <c r="JM128" s="21"/>
      <c r="JN128" s="21"/>
      <c r="JO128" s="21"/>
      <c r="JP128" s="21"/>
      <c r="JQ128" s="26"/>
      <c r="JR128" s="21"/>
      <c r="JS128" s="21"/>
      <c r="JT128" s="21"/>
      <c r="JU128" s="21"/>
      <c r="JV128" s="21"/>
      <c r="JW128" s="21"/>
      <c r="JX128" s="21"/>
      <c r="JY128" s="21"/>
      <c r="JZ128" s="21"/>
      <c r="KA128" s="21"/>
      <c r="KB128" s="21"/>
      <c r="KC128" s="21"/>
      <c r="KD128" s="21"/>
      <c r="KE128" s="21"/>
      <c r="KF128" s="21"/>
      <c r="KG128" s="26"/>
      <c r="KH128" s="21"/>
    </row>
    <row r="129" spans="1:294" x14ac:dyDescent="0.25">
      <c r="A129" s="8"/>
      <c r="B129" s="5" t="s">
        <v>116</v>
      </c>
      <c r="C129" s="8"/>
      <c r="D129" s="9"/>
      <c r="E129" s="9"/>
      <c r="F129" s="9"/>
      <c r="G129" s="9"/>
      <c r="H129" s="9"/>
      <c r="I129" s="9"/>
      <c r="J129" s="9"/>
      <c r="K129" s="9"/>
      <c r="L129" s="5" t="s">
        <v>103</v>
      </c>
      <c r="M129" s="5" t="s">
        <v>104</v>
      </c>
      <c r="N129" s="5" t="s">
        <v>107</v>
      </c>
      <c r="O129" s="5" t="s">
        <v>290</v>
      </c>
      <c r="P129" s="5" t="s">
        <v>446</v>
      </c>
      <c r="Q129" s="5" t="s">
        <v>448</v>
      </c>
      <c r="R129" s="5" t="s">
        <v>409</v>
      </c>
      <c r="S129" s="5" t="s">
        <v>447</v>
      </c>
      <c r="T129" s="5" t="s">
        <v>449</v>
      </c>
      <c r="U129" s="5" t="s">
        <v>106</v>
      </c>
      <c r="V129" s="20"/>
      <c r="W129" s="25">
        <f t="shared" si="46"/>
        <v>0</v>
      </c>
      <c r="X129" s="20" t="s">
        <v>115</v>
      </c>
      <c r="Y129" s="20">
        <v>1050</v>
      </c>
      <c r="Z129" s="20"/>
      <c r="AA129" s="20"/>
      <c r="AB129" s="20">
        <f t="shared" si="44"/>
        <v>0</v>
      </c>
      <c r="AC12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</f>
        <v>0</v>
      </c>
      <c r="AD12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</f>
        <v>0</v>
      </c>
      <c r="AE12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</f>
        <v>0</v>
      </c>
      <c r="AF12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A119,$GB$182:$GV$182,0),MATCH($E$105,$X$109:$X$126,0)))*C119</f>
        <v>0</v>
      </c>
      <c r="AG12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A119,$GB$182:$GV$182,0),MATCH($E$105,$X$109:$X$126,0)))*C119</f>
        <v>0</v>
      </c>
      <c r="AH12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A119,$GB$182:$GV$182,0),MATCH($E$105,$X$109:$X$126,0)))*C119</f>
        <v>0</v>
      </c>
      <c r="AI129" s="20">
        <f>SUM(AC129:AE129)</f>
        <v>0</v>
      </c>
      <c r="AJ129" s="20">
        <f t="shared" si="42"/>
        <v>0</v>
      </c>
      <c r="AK129" s="20">
        <f t="shared" si="43"/>
        <v>0</v>
      </c>
      <c r="AL129" s="20" t="s">
        <v>408</v>
      </c>
      <c r="AM129" s="20">
        <v>0</v>
      </c>
      <c r="AN129" s="20">
        <v>0</v>
      </c>
      <c r="AO129" s="20">
        <v>0</v>
      </c>
      <c r="AP129" s="20">
        <v>0</v>
      </c>
      <c r="AQ129" s="20">
        <v>4</v>
      </c>
      <c r="AR129" s="20">
        <v>4</v>
      </c>
      <c r="AS129" s="20">
        <v>4</v>
      </c>
      <c r="AT129" s="20">
        <v>8</v>
      </c>
      <c r="AU129" s="20">
        <v>8</v>
      </c>
      <c r="AV129" s="20">
        <v>8</v>
      </c>
      <c r="AW129" s="20">
        <v>12</v>
      </c>
      <c r="AX129" s="20">
        <v>12</v>
      </c>
      <c r="AY129" s="20">
        <v>12</v>
      </c>
      <c r="AZ129" s="20">
        <v>16</v>
      </c>
      <c r="BA129" s="20">
        <v>16</v>
      </c>
      <c r="BB129" s="20">
        <v>16</v>
      </c>
      <c r="BC129" s="20">
        <v>20</v>
      </c>
      <c r="BD129" s="20">
        <v>20</v>
      </c>
      <c r="BE129" s="20">
        <v>20</v>
      </c>
      <c r="BF129" s="20">
        <v>24</v>
      </c>
      <c r="BG129" s="20">
        <v>24</v>
      </c>
      <c r="BH129" s="20">
        <v>24</v>
      </c>
      <c r="BI129" s="20">
        <v>28</v>
      </c>
      <c r="BJ129" s="20">
        <v>28</v>
      </c>
      <c r="BK129" s="20">
        <v>28</v>
      </c>
      <c r="BL129" s="20">
        <v>32</v>
      </c>
      <c r="BM129" s="20">
        <v>32</v>
      </c>
      <c r="BN129" s="20">
        <v>32</v>
      </c>
      <c r="BO129" s="20">
        <v>36</v>
      </c>
      <c r="BP129" s="20">
        <v>36</v>
      </c>
      <c r="BQ129" s="20">
        <v>36</v>
      </c>
      <c r="BR129" s="20">
        <v>40</v>
      </c>
      <c r="BS129" s="20">
        <v>40</v>
      </c>
      <c r="BT129" s="20">
        <v>40</v>
      </c>
      <c r="BU129" s="20">
        <v>44</v>
      </c>
      <c r="BV129" s="20">
        <v>44</v>
      </c>
      <c r="BW129" s="20">
        <v>44</v>
      </c>
      <c r="BX129" s="20">
        <v>48</v>
      </c>
      <c r="BY129" s="20">
        <v>48</v>
      </c>
      <c r="BZ129" s="20">
        <v>48</v>
      </c>
      <c r="CA129" s="20">
        <v>48</v>
      </c>
      <c r="CB129" s="20">
        <v>52</v>
      </c>
      <c r="CC129" s="20">
        <v>52</v>
      </c>
      <c r="CD129" s="20">
        <v>52</v>
      </c>
      <c r="CE129" s="20">
        <v>56</v>
      </c>
      <c r="CF129" s="20">
        <v>56</v>
      </c>
      <c r="CG129" s="20">
        <v>56</v>
      </c>
      <c r="CH129" s="20">
        <v>60</v>
      </c>
      <c r="CI129" s="20">
        <v>60</v>
      </c>
      <c r="CJ129" s="20">
        <v>60</v>
      </c>
      <c r="CK129" s="20">
        <v>64</v>
      </c>
      <c r="CL129" s="20"/>
      <c r="CM129" s="20"/>
      <c r="CN129" s="20"/>
      <c r="CO129" s="20"/>
      <c r="CP129" s="20"/>
      <c r="CQ129" s="20"/>
      <c r="CR129" s="20"/>
      <c r="CS129" s="20"/>
      <c r="CT129" s="20"/>
      <c r="CU129" s="20"/>
      <c r="CV129" s="20"/>
      <c r="CW129" s="20"/>
      <c r="CX129" s="20"/>
      <c r="CY129" s="20"/>
      <c r="CZ129" s="20"/>
      <c r="DA129" s="20"/>
      <c r="DB129" s="20"/>
      <c r="DC129" s="20"/>
      <c r="DD129" s="20"/>
      <c r="DE129" s="20"/>
      <c r="DF129" s="20"/>
      <c r="DG129" s="20"/>
      <c r="DH129" s="20"/>
      <c r="DI129" s="20"/>
      <c r="DJ129" s="20"/>
      <c r="DK129" s="20"/>
      <c r="DL129" s="20"/>
      <c r="DM129" s="20"/>
      <c r="DN129" s="20"/>
      <c r="DO129" s="20"/>
      <c r="DP129" s="20"/>
      <c r="DQ129" s="20"/>
      <c r="DR129" s="20"/>
      <c r="DS129" s="20"/>
      <c r="DT129" s="20"/>
      <c r="DU129" s="20"/>
      <c r="DV129" s="20"/>
      <c r="DW129" s="20"/>
      <c r="DX129" s="20"/>
      <c r="DY129" s="20"/>
      <c r="DZ129" s="54">
        <v>26</v>
      </c>
      <c r="EA129" s="54"/>
      <c r="EB129" s="54"/>
      <c r="EC129" s="20"/>
      <c r="ED129" s="20"/>
      <c r="EE129" s="20"/>
      <c r="EF129" s="20"/>
      <c r="EG129" s="20"/>
      <c r="EH129" s="20"/>
      <c r="EI129" s="20"/>
      <c r="EJ129" s="20"/>
      <c r="EK129" s="20"/>
      <c r="EL129" s="20"/>
      <c r="EM129" s="20"/>
      <c r="EN129" s="20"/>
      <c r="EO129" s="20" t="s">
        <v>137</v>
      </c>
      <c r="EP129" s="20" t="s">
        <v>1365</v>
      </c>
      <c r="EQ129" s="20" t="s">
        <v>1371</v>
      </c>
      <c r="ER129" s="20" t="s">
        <v>1287</v>
      </c>
      <c r="ES129" s="20"/>
      <c r="ET129" s="20"/>
      <c r="EU129" s="20"/>
      <c r="EV129" s="20"/>
      <c r="EW129" s="20"/>
      <c r="EX129" s="20"/>
      <c r="EY129" s="20"/>
      <c r="EZ129" s="20"/>
      <c r="FA129" s="20"/>
      <c r="FB129" s="20"/>
      <c r="FC129" s="20"/>
      <c r="FD129" s="20"/>
      <c r="FE129" s="20"/>
      <c r="FF129" s="20"/>
      <c r="FG129" s="20"/>
      <c r="FH129" s="20"/>
      <c r="FI129" s="20"/>
      <c r="FJ129" s="20"/>
      <c r="FK129" s="20"/>
      <c r="FL129" s="20"/>
      <c r="FM129" s="20"/>
      <c r="FN129" s="20"/>
      <c r="FO129" s="20"/>
      <c r="FP129" s="20"/>
      <c r="FQ129" s="20"/>
      <c r="FR129" s="20"/>
      <c r="FS129" s="20"/>
      <c r="FT129" s="20"/>
      <c r="FU129" s="20"/>
      <c r="FV129" s="20"/>
      <c r="FW129" s="20"/>
      <c r="FX129" s="20"/>
      <c r="FY129" s="20"/>
      <c r="FZ129" s="20"/>
      <c r="GA129" s="20"/>
      <c r="GB129" s="20"/>
      <c r="GC129" s="20"/>
      <c r="GD129" s="20"/>
      <c r="GE129" s="20"/>
      <c r="GF129" s="20"/>
      <c r="GG129" s="20"/>
      <c r="GH129" s="20"/>
      <c r="GI129" s="20"/>
      <c r="GJ129" s="20"/>
      <c r="GK129" s="20"/>
      <c r="GL129" s="20"/>
      <c r="GM129" s="20"/>
      <c r="GN129" s="20"/>
      <c r="GO129" s="20"/>
      <c r="GP129" s="20"/>
      <c r="GQ129" s="20"/>
      <c r="GR129" s="20"/>
      <c r="GS129" s="20"/>
      <c r="GT129" s="20"/>
      <c r="GU129" s="20"/>
      <c r="GV129" s="20"/>
      <c r="GW129" s="20"/>
      <c r="GX129" s="20"/>
      <c r="GY129" s="21" t="s">
        <v>713</v>
      </c>
      <c r="GZ129" s="21"/>
      <c r="HA129" s="21"/>
      <c r="HB129" s="21"/>
      <c r="HC129" s="21"/>
      <c r="HD129" s="21"/>
      <c r="HE129" s="21"/>
      <c r="HF129" s="21"/>
      <c r="HG129" s="21"/>
      <c r="HH129" s="21"/>
      <c r="HI129" s="21"/>
      <c r="HJ129" s="21"/>
      <c r="HK129" s="21"/>
      <c r="HL129" s="21"/>
      <c r="HM129" s="21"/>
      <c r="HN129" s="21"/>
      <c r="HO129" s="21"/>
      <c r="HP129" s="21"/>
      <c r="HQ129" s="21"/>
      <c r="HR129" s="21"/>
      <c r="HS129" s="21"/>
      <c r="HT129" s="21"/>
      <c r="HU129" s="346"/>
      <c r="HV129" s="186" t="s">
        <v>472</v>
      </c>
      <c r="HW129" s="20"/>
      <c r="HX129" s="20"/>
      <c r="HY129" s="20"/>
      <c r="HZ129" s="20"/>
      <c r="IA129" s="20"/>
      <c r="IB129" s="20"/>
      <c r="IC129" s="20"/>
      <c r="ID129" s="20"/>
      <c r="IE129" s="20"/>
      <c r="IF129" s="20"/>
      <c r="IG129" s="20"/>
      <c r="IH129" s="20"/>
      <c r="II129" s="20"/>
      <c r="IJ129" s="20"/>
      <c r="IK129" s="20"/>
      <c r="IL129" s="20"/>
      <c r="IM129" s="20"/>
      <c r="IN129" s="20"/>
      <c r="IO129" s="20"/>
      <c r="IP129" s="20"/>
      <c r="IQ129" s="20"/>
      <c r="IR129" s="21"/>
      <c r="IS129" s="21" t="s">
        <v>472</v>
      </c>
      <c r="IT129" s="21"/>
      <c r="IU129" s="21"/>
      <c r="IV129" s="21"/>
      <c r="IW129" s="21"/>
      <c r="IX129" s="21"/>
      <c r="IY129" s="21"/>
      <c r="IZ129" s="21"/>
      <c r="JA129" s="21"/>
      <c r="JB129" s="21"/>
      <c r="JC129" s="21"/>
      <c r="JD129" s="21"/>
      <c r="JE129" s="21"/>
      <c r="JF129" s="21"/>
      <c r="JG129" s="21"/>
      <c r="JH129" s="21"/>
      <c r="JI129" s="21"/>
      <c r="JJ129" s="21"/>
      <c r="JK129" s="21"/>
      <c r="JL129" s="21"/>
      <c r="JM129" s="21"/>
      <c r="JN129" s="21"/>
      <c r="JO129" s="21"/>
      <c r="JP129" s="21"/>
      <c r="JQ129" s="21"/>
      <c r="JR129" s="21"/>
      <c r="JS129" s="21"/>
      <c r="JT129" s="21"/>
      <c r="JU129" s="21"/>
      <c r="JV129" s="21"/>
      <c r="JW129" s="21"/>
      <c r="JX129" s="21"/>
      <c r="JY129" s="21"/>
      <c r="JZ129" s="21"/>
      <c r="KA129" s="21"/>
      <c r="KB129" s="21"/>
      <c r="KC129" s="21"/>
      <c r="KD129" s="21"/>
      <c r="KE129" s="21"/>
      <c r="KF129" s="21"/>
      <c r="KG129" s="26"/>
      <c r="KH129" s="21"/>
    </row>
    <row r="130" spans="1:294" x14ac:dyDescent="0.25">
      <c r="A130" s="8"/>
      <c r="B130" s="5" t="s">
        <v>116</v>
      </c>
      <c r="C130" s="8"/>
      <c r="D130" s="6" t="s">
        <v>118</v>
      </c>
      <c r="E130" s="8" t="s">
        <v>138</v>
      </c>
      <c r="F130" s="5" t="s">
        <v>116</v>
      </c>
      <c r="G130" s="8" t="s">
        <v>480</v>
      </c>
      <c r="H130" s="5" t="s">
        <v>116</v>
      </c>
      <c r="I130" s="8">
        <v>30</v>
      </c>
      <c r="J130" s="5" t="s">
        <v>119</v>
      </c>
      <c r="K130" s="9"/>
      <c r="L130" s="6" t="str">
        <f>IF(G130=X128,"CMP41H41/2,2MC",IF(G130=X129,"CMP41H41/2,2MC",IF(G130=X130,"CMP41H41/2,5MC",IF(G130=X131,"CMP41H41/2,5MC",0))))</f>
        <v>CMP41H41/2,5MC</v>
      </c>
      <c r="M130" s="11">
        <f>INDEX(cennik!$C$2:$L$529,MATCH($L130,cennik!$B$2:$B$522,0),MATCH(M$104,cennik!$C$1:$L$1,0))</f>
        <v>851125</v>
      </c>
      <c r="N130" s="11" t="str">
        <f>INDEX(cennik!$C$2:$L$529,MATCH($L130,cennik!$B$2:$B$522,0),MATCH(N$104,cennik!$C$1:$L$1,0))</f>
        <v>szt.</v>
      </c>
      <c r="O130" s="11">
        <f>SUM(W124:W139)</f>
        <v>0</v>
      </c>
      <c r="P130" s="34">
        <f>INDEX(cennik!$C$2:$L$529,MATCH($L130,cennik!$B$2:$B$522,0),MATCH(P$104,cennik!$C$1:$L$1,0))</f>
        <v>52.5</v>
      </c>
      <c r="Q130" s="34">
        <f>O130*P130</f>
        <v>0</v>
      </c>
      <c r="R130" s="35">
        <f t="shared" ref="R130:R146" si="47">$E$134</f>
        <v>0</v>
      </c>
      <c r="S130" s="34">
        <f t="shared" ref="S130:S141" si="48">P130*((100-$E$134)/100)</f>
        <v>52.5</v>
      </c>
      <c r="T130" s="34">
        <f>O130*S130</f>
        <v>0</v>
      </c>
      <c r="U130" s="34">
        <f>INDEX(cennik!$C$2:$L$529,MATCH($L130,cennik!$B$2:$B$522,0),MATCH(U$104,cennik!$C$1:$L$1,0))*O130</f>
        <v>0</v>
      </c>
      <c r="V130" s="20"/>
      <c r="W130" s="25">
        <f t="shared" si="46"/>
        <v>0</v>
      </c>
      <c r="X130" s="20" t="s">
        <v>474</v>
      </c>
      <c r="Y130" s="20">
        <v>1100</v>
      </c>
      <c r="Z130" s="20"/>
      <c r="AA130" s="20"/>
      <c r="AB130" s="20">
        <f t="shared" si="44"/>
        <v>0</v>
      </c>
      <c r="AC130" s="20"/>
      <c r="AD130" s="20"/>
      <c r="AE130" s="20"/>
      <c r="AF130" s="20"/>
      <c r="AG130" s="20"/>
      <c r="AH130" s="20"/>
      <c r="AI130" s="20"/>
      <c r="AJ130" s="20"/>
      <c r="AK130" s="20" t="s">
        <v>884</v>
      </c>
      <c r="AL130" s="20"/>
      <c r="AM130" s="20"/>
      <c r="AN130" s="20"/>
      <c r="AO130" s="20"/>
      <c r="AP130" s="20"/>
      <c r="AQ130" s="20"/>
      <c r="AR130" s="20"/>
      <c r="AS130" s="20"/>
      <c r="AT130" s="20"/>
      <c r="AU130" s="20"/>
      <c r="AV130" s="20"/>
      <c r="AW130" s="20"/>
      <c r="AX130" s="20"/>
      <c r="AY130" s="20"/>
      <c r="AZ130" s="20"/>
      <c r="BA130" s="20"/>
      <c r="BB130" s="20"/>
      <c r="BC130" s="20"/>
      <c r="BD130" s="20"/>
      <c r="BE130" s="20"/>
      <c r="BF130" s="20"/>
      <c r="BG130" s="20"/>
      <c r="BH130" s="20"/>
      <c r="BI130" s="20"/>
      <c r="BJ130" s="20"/>
      <c r="BK130" s="20"/>
      <c r="BL130" s="20"/>
      <c r="BM130" s="20"/>
      <c r="BN130" s="20"/>
      <c r="BO130" s="20"/>
      <c r="BP130" s="20"/>
      <c r="BQ130" s="20"/>
      <c r="BR130" s="20"/>
      <c r="BS130" s="20"/>
      <c r="BT130" s="20"/>
      <c r="BU130" s="20"/>
      <c r="BV130" s="20"/>
      <c r="BW130" s="20"/>
      <c r="BX130" s="20"/>
      <c r="BY130" s="20"/>
      <c r="BZ130" s="20"/>
      <c r="CA130" s="20"/>
      <c r="CB130" s="20"/>
      <c r="CC130" s="20"/>
      <c r="CD130" s="20"/>
      <c r="CE130" s="20"/>
      <c r="CF130" s="20"/>
      <c r="CG130" s="20"/>
      <c r="CH130" s="20"/>
      <c r="CI130" s="20"/>
      <c r="CJ130" s="20"/>
      <c r="CK130" s="20"/>
      <c r="CL130" s="20"/>
      <c r="CM130" s="20"/>
      <c r="CN130" s="20"/>
      <c r="CO130" s="20"/>
      <c r="CP130" s="20"/>
      <c r="CQ130" s="20"/>
      <c r="CR130" s="20"/>
      <c r="CS130" s="20"/>
      <c r="CT130" s="20"/>
      <c r="CU130" s="20"/>
      <c r="CV130" s="20"/>
      <c r="CW130" s="20"/>
      <c r="CX130" s="20"/>
      <c r="CY130" s="20"/>
      <c r="CZ130" s="20"/>
      <c r="DA130" s="20"/>
      <c r="DB130" s="20"/>
      <c r="DC130" s="20"/>
      <c r="DD130" s="20"/>
      <c r="DE130" s="20"/>
      <c r="DF130" s="20"/>
      <c r="DG130" s="20"/>
      <c r="DH130" s="20"/>
      <c r="DI130" s="20"/>
      <c r="DJ130" s="20"/>
      <c r="DK130" s="20"/>
      <c r="DL130" s="20"/>
      <c r="DM130" s="20"/>
      <c r="DN130" s="20"/>
      <c r="DO130" s="20"/>
      <c r="DP130" s="20"/>
      <c r="DQ130" s="20"/>
      <c r="DR130" s="20"/>
      <c r="DS130" s="20"/>
      <c r="DT130" s="20"/>
      <c r="DU130" s="20"/>
      <c r="DV130" s="20"/>
      <c r="DW130" s="20"/>
      <c r="DX130" s="20"/>
      <c r="DY130" s="20"/>
      <c r="DZ130" s="54">
        <v>27</v>
      </c>
      <c r="EA130" s="54"/>
      <c r="EB130" s="54"/>
      <c r="EC130" s="20"/>
      <c r="ED130" s="20"/>
      <c r="EE130" s="20"/>
      <c r="EF130" s="20"/>
      <c r="EG130" s="20"/>
      <c r="EH130" s="20"/>
      <c r="EI130" s="20"/>
      <c r="EJ130" s="20"/>
      <c r="EK130" s="20"/>
      <c r="EL130" s="20"/>
      <c r="EM130" s="20"/>
      <c r="EN130" s="20"/>
      <c r="EO130" s="20" t="s">
        <v>138</v>
      </c>
      <c r="EP130" s="20" t="s">
        <v>1367</v>
      </c>
      <c r="EQ130" s="20" t="s">
        <v>1373</v>
      </c>
      <c r="ER130" s="20" t="s">
        <v>1288</v>
      </c>
      <c r="ES130" s="20"/>
      <c r="ET130" s="20"/>
      <c r="EU130" s="20"/>
      <c r="EV130" s="20" t="s">
        <v>474</v>
      </c>
      <c r="EW130" s="20"/>
      <c r="EX130" s="20"/>
      <c r="EY130" s="20"/>
      <c r="EZ130" s="20"/>
      <c r="FA130" s="20"/>
      <c r="FB130" s="20"/>
      <c r="FC130" s="20"/>
      <c r="FD130" s="20"/>
      <c r="FE130" s="20"/>
      <c r="FF130" s="20"/>
      <c r="FG130" s="20"/>
      <c r="FH130" s="20"/>
      <c r="FI130" s="20"/>
      <c r="FJ130" s="20"/>
      <c r="FK130" s="20"/>
      <c r="FL130" s="20"/>
      <c r="FM130" s="20"/>
      <c r="FN130" s="20"/>
      <c r="FO130" s="20"/>
      <c r="FP130" s="20"/>
      <c r="FQ130" s="20"/>
      <c r="FR130" s="20"/>
      <c r="FS130" s="20"/>
      <c r="FT130" s="20"/>
      <c r="FU130" s="20"/>
      <c r="FV130" s="20"/>
      <c r="FW130" s="20"/>
      <c r="FX130" s="20"/>
      <c r="FY130" s="20"/>
      <c r="FZ130" s="20"/>
      <c r="GA130" s="20"/>
      <c r="GB130" s="20"/>
      <c r="GC130" s="20"/>
      <c r="GD130" s="20"/>
      <c r="GE130" s="20"/>
      <c r="GF130" s="20"/>
      <c r="GG130" s="20"/>
      <c r="GH130" s="20"/>
      <c r="GI130" s="20"/>
      <c r="GJ130" s="20"/>
      <c r="GK130" s="20"/>
      <c r="GL130" s="20"/>
      <c r="GM130" s="20"/>
      <c r="GN130" s="20"/>
      <c r="GO130" s="20"/>
      <c r="GP130" s="20"/>
      <c r="GQ130" s="20"/>
      <c r="GR130" s="20"/>
      <c r="GS130" s="20"/>
      <c r="GT130" s="20"/>
      <c r="GU130" s="20"/>
      <c r="GV130" s="20"/>
      <c r="GW130" s="20"/>
      <c r="GX130" s="20"/>
      <c r="GY130" s="21"/>
      <c r="GZ130" s="21">
        <v>0</v>
      </c>
      <c r="HA130" s="21">
        <v>1</v>
      </c>
      <c r="HB130" s="21">
        <v>2</v>
      </c>
      <c r="HC130" s="21">
        <v>3</v>
      </c>
      <c r="HD130" s="21">
        <v>4</v>
      </c>
      <c r="HE130" s="21">
        <v>5</v>
      </c>
      <c r="HF130" s="21">
        <v>6</v>
      </c>
      <c r="HG130" s="21">
        <v>7</v>
      </c>
      <c r="HH130" s="21">
        <v>8</v>
      </c>
      <c r="HI130" s="21">
        <v>9</v>
      </c>
      <c r="HJ130" s="21">
        <v>10</v>
      </c>
      <c r="HK130" s="21">
        <v>11</v>
      </c>
      <c r="HL130" s="21">
        <v>12</v>
      </c>
      <c r="HM130" s="21">
        <v>13</v>
      </c>
      <c r="HN130" s="21">
        <v>14</v>
      </c>
      <c r="HO130" s="21">
        <v>15</v>
      </c>
      <c r="HP130" s="21">
        <v>16</v>
      </c>
      <c r="HQ130" s="21">
        <v>17</v>
      </c>
      <c r="HR130" s="21">
        <v>18</v>
      </c>
      <c r="HS130" s="21">
        <v>19</v>
      </c>
      <c r="HT130" s="21">
        <v>20</v>
      </c>
      <c r="HU130" s="21"/>
      <c r="HV130" s="186"/>
      <c r="HW130" s="20">
        <v>0</v>
      </c>
      <c r="HX130" s="20">
        <v>1</v>
      </c>
      <c r="HY130" s="20">
        <v>2</v>
      </c>
      <c r="HZ130" s="20">
        <v>3</v>
      </c>
      <c r="IA130" s="20">
        <v>4</v>
      </c>
      <c r="IB130" s="20">
        <v>5</v>
      </c>
      <c r="IC130" s="20">
        <v>6</v>
      </c>
      <c r="ID130" s="20">
        <v>7</v>
      </c>
      <c r="IE130" s="20">
        <v>8</v>
      </c>
      <c r="IF130" s="20">
        <v>9</v>
      </c>
      <c r="IG130" s="20">
        <v>10</v>
      </c>
      <c r="IH130" s="20">
        <v>11</v>
      </c>
      <c r="II130" s="20">
        <v>12</v>
      </c>
      <c r="IJ130" s="20">
        <v>13</v>
      </c>
      <c r="IK130" s="20">
        <v>14</v>
      </c>
      <c r="IL130" s="20">
        <v>15</v>
      </c>
      <c r="IM130" s="20">
        <v>16</v>
      </c>
      <c r="IN130" s="20">
        <v>17</v>
      </c>
      <c r="IO130" s="20">
        <v>18</v>
      </c>
      <c r="IP130" s="20">
        <v>19</v>
      </c>
      <c r="IQ130" s="20">
        <v>20</v>
      </c>
      <c r="IR130" s="21"/>
      <c r="IS130" s="21"/>
      <c r="IT130" s="21">
        <f t="shared" si="39"/>
        <v>0</v>
      </c>
      <c r="IU130" s="21">
        <f t="shared" si="39"/>
        <v>2</v>
      </c>
      <c r="IV130" s="21">
        <f t="shared" si="39"/>
        <v>4</v>
      </c>
      <c r="IW130" s="21">
        <f t="shared" si="39"/>
        <v>6</v>
      </c>
      <c r="IX130" s="21">
        <f t="shared" si="39"/>
        <v>8</v>
      </c>
      <c r="IY130" s="21">
        <f t="shared" si="39"/>
        <v>10</v>
      </c>
      <c r="IZ130" s="21">
        <f t="shared" si="39"/>
        <v>12</v>
      </c>
      <c r="JA130" s="21">
        <f t="shared" si="39"/>
        <v>14</v>
      </c>
      <c r="JB130" s="21">
        <f t="shared" si="39"/>
        <v>16</v>
      </c>
      <c r="JC130" s="21">
        <f t="shared" si="39"/>
        <v>18</v>
      </c>
      <c r="JD130" s="21">
        <f t="shared" si="39"/>
        <v>20</v>
      </c>
      <c r="JE130" s="21">
        <f t="shared" si="39"/>
        <v>22</v>
      </c>
      <c r="JF130" s="21">
        <f t="shared" si="39"/>
        <v>24</v>
      </c>
      <c r="JG130" s="21">
        <f t="shared" si="39"/>
        <v>26</v>
      </c>
      <c r="JH130" s="21">
        <f t="shared" si="39"/>
        <v>28</v>
      </c>
      <c r="JI130" s="21">
        <f t="shared" si="39"/>
        <v>30</v>
      </c>
      <c r="JJ130" s="21">
        <f t="shared" si="40"/>
        <v>32</v>
      </c>
      <c r="JK130" s="21">
        <f t="shared" si="40"/>
        <v>34</v>
      </c>
      <c r="JL130" s="21">
        <f t="shared" si="40"/>
        <v>36</v>
      </c>
      <c r="JM130" s="21">
        <f t="shared" si="40"/>
        <v>38</v>
      </c>
      <c r="JN130" s="21">
        <f t="shared" si="40"/>
        <v>40</v>
      </c>
      <c r="JO130" s="21"/>
      <c r="JP130" s="21"/>
      <c r="JQ130" s="21"/>
      <c r="JR130" s="20"/>
      <c r="JS130" s="20"/>
      <c r="JT130" s="20"/>
      <c r="JU130" s="20"/>
      <c r="JV130" s="20"/>
      <c r="JW130" s="20"/>
      <c r="JX130" s="20"/>
      <c r="JY130" s="20"/>
      <c r="JZ130" s="20"/>
      <c r="KA130" s="20"/>
      <c r="KB130" s="20"/>
      <c r="KC130" s="20"/>
      <c r="KD130" s="20"/>
      <c r="KE130" s="20"/>
      <c r="KF130" s="20"/>
      <c r="KG130" s="21"/>
      <c r="KH130" s="21"/>
    </row>
    <row r="131" spans="1:294" x14ac:dyDescent="0.25">
      <c r="A131" s="8"/>
      <c r="B131" s="5" t="s">
        <v>116</v>
      </c>
      <c r="C131" s="8"/>
      <c r="D131" s="6" t="s">
        <v>124</v>
      </c>
      <c r="E131" s="8" t="s">
        <v>125</v>
      </c>
      <c r="F131" s="5"/>
      <c r="G131" s="5"/>
      <c r="H131" s="5"/>
      <c r="I131" s="5"/>
      <c r="J131" s="5"/>
      <c r="K131" s="9"/>
      <c r="L131" s="6" t="s">
        <v>924</v>
      </c>
      <c r="M131" s="11">
        <f>INDEX(cennik!$C$2:$L$529,MATCH($L131,cennik!$B$2:$B$522,0),MATCH(M$104,cennik!$C$1:$L$1,0))</f>
        <v>857016</v>
      </c>
      <c r="N131" s="11" t="str">
        <f>INDEX(cennik!$C$2:$L$529,MATCH($L131,cennik!$B$2:$B$522,0),MATCH(N$104,cennik!$C$1:$L$1,0))</f>
        <v>szt.</v>
      </c>
      <c r="O131" s="11">
        <f>O130*2</f>
        <v>0</v>
      </c>
      <c r="P131" s="34">
        <f>INDEX(cennik!$C$2:$L$529,MATCH($L131,cennik!$B$2:$B$522,0),MATCH(P$104,cennik!$C$1:$L$1,0))</f>
        <v>19.309999999999999</v>
      </c>
      <c r="Q131" s="34">
        <f t="shared" ref="Q131:Q148" si="49">O131*P131</f>
        <v>0</v>
      </c>
      <c r="R131" s="35">
        <f t="shared" si="47"/>
        <v>0</v>
      </c>
      <c r="S131" s="34">
        <f t="shared" si="48"/>
        <v>19.309999999999999</v>
      </c>
      <c r="T131" s="34">
        <f t="shared" ref="T131:T148" si="50">O131*S131</f>
        <v>0</v>
      </c>
      <c r="U131" s="34">
        <f>INDEX(cennik!$C$2:$L$529,MATCH($L131,cennik!$B$2:$B$522,0),MATCH(U$104,cennik!$C$1:$L$1,0))*O131</f>
        <v>0</v>
      </c>
      <c r="V131" s="20"/>
      <c r="W131" s="25">
        <f t="shared" si="46"/>
        <v>0</v>
      </c>
      <c r="X131" s="20" t="s">
        <v>480</v>
      </c>
      <c r="Y131" s="20">
        <v>1150</v>
      </c>
      <c r="Z131" s="20"/>
      <c r="AA131" s="20"/>
      <c r="AB131" s="20">
        <f t="shared" si="44"/>
        <v>0</v>
      </c>
      <c r="AC131" s="20"/>
      <c r="AD131" s="20"/>
      <c r="AE131" s="20"/>
      <c r="AF131" s="25"/>
      <c r="AG131" s="25" t="s">
        <v>130</v>
      </c>
      <c r="AH131" s="25" t="s">
        <v>140</v>
      </c>
      <c r="AI131" s="20"/>
      <c r="AJ131" s="20">
        <f>IF(A104&lt;=1,0,IF(A104&gt;1,A104-1,0))</f>
        <v>0</v>
      </c>
      <c r="AK131" s="20">
        <f>AJ131*4*C104</f>
        <v>0</v>
      </c>
      <c r="AL131" s="20" t="s">
        <v>474</v>
      </c>
      <c r="AM131" s="20"/>
      <c r="AN131" s="20"/>
      <c r="AO131" s="20"/>
      <c r="AP131" s="20"/>
      <c r="AQ131" s="20"/>
      <c r="AR131" s="20"/>
      <c r="AS131" s="20"/>
      <c r="AT131" s="20"/>
      <c r="AU131" s="20"/>
      <c r="AV131" s="20"/>
      <c r="AW131" s="20"/>
      <c r="AX131" s="20"/>
      <c r="AY131" s="20"/>
      <c r="AZ131" s="20"/>
      <c r="BA131" s="20"/>
      <c r="BB131" s="20"/>
      <c r="BC131" s="20"/>
      <c r="BD131" s="20"/>
      <c r="BE131" s="20"/>
      <c r="BF131" s="20"/>
      <c r="BG131" s="20"/>
      <c r="BH131" s="20"/>
      <c r="BI131" s="20"/>
      <c r="BJ131" s="20"/>
      <c r="BK131" s="20"/>
      <c r="BL131" s="20"/>
      <c r="BM131" s="20"/>
      <c r="BN131" s="20"/>
      <c r="BO131" s="20"/>
      <c r="BP131" s="20"/>
      <c r="BQ131" s="20"/>
      <c r="BR131" s="20"/>
      <c r="BS131" s="20"/>
      <c r="BT131" s="20"/>
      <c r="BU131" s="20"/>
      <c r="BV131" s="20"/>
      <c r="BW131" s="20"/>
      <c r="BX131" s="20"/>
      <c r="BY131" s="20"/>
      <c r="BZ131" s="20"/>
      <c r="CA131" s="20"/>
      <c r="CB131" s="20"/>
      <c r="CC131" s="20"/>
      <c r="CD131" s="20"/>
      <c r="CE131" s="20"/>
      <c r="CF131" s="20"/>
      <c r="CG131" s="20"/>
      <c r="CH131" s="20"/>
      <c r="CI131" s="20"/>
      <c r="CJ131" s="20"/>
      <c r="CK131" s="20"/>
      <c r="CL131" s="20"/>
      <c r="CM131" s="20"/>
      <c r="CN131" s="20"/>
      <c r="CO131" s="20"/>
      <c r="CP131" s="20"/>
      <c r="CQ131" s="20"/>
      <c r="CR131" s="20"/>
      <c r="CS131" s="20"/>
      <c r="CT131" s="20"/>
      <c r="CU131" s="20"/>
      <c r="CV131" s="20"/>
      <c r="CW131" s="20"/>
      <c r="CX131" s="20"/>
      <c r="CY131" s="20"/>
      <c r="CZ131" s="20"/>
      <c r="DA131" s="20"/>
      <c r="DB131" s="20"/>
      <c r="DC131" s="20"/>
      <c r="DD131" s="20"/>
      <c r="DE131" s="20"/>
      <c r="DF131" s="20"/>
      <c r="DG131" s="20"/>
      <c r="DH131" s="20"/>
      <c r="DI131" s="20"/>
      <c r="DJ131" s="20"/>
      <c r="DK131" s="20"/>
      <c r="DL131" s="20"/>
      <c r="DM131" s="20"/>
      <c r="DN131" s="20"/>
      <c r="DO131" s="20"/>
      <c r="DP131" s="20"/>
      <c r="DQ131" s="20"/>
      <c r="DR131" s="20"/>
      <c r="DS131" s="20"/>
      <c r="DT131" s="20"/>
      <c r="DU131" s="20"/>
      <c r="DV131" s="20"/>
      <c r="DW131" s="20"/>
      <c r="DX131" s="20"/>
      <c r="DY131" s="20"/>
      <c r="DZ131" s="54">
        <v>28</v>
      </c>
      <c r="EA131" s="54"/>
      <c r="EB131" s="54"/>
      <c r="EC131" s="20"/>
      <c r="ED131" s="20"/>
      <c r="EE131" s="20"/>
      <c r="EF131" s="20"/>
      <c r="EG131" s="20"/>
      <c r="EH131" s="20"/>
      <c r="EI131" s="20"/>
      <c r="EJ131" s="20"/>
      <c r="EK131" s="20"/>
      <c r="EL131" s="20"/>
      <c r="EM131" s="20"/>
      <c r="EN131" s="20"/>
      <c r="EO131" s="20"/>
      <c r="EP131" s="20"/>
      <c r="EQ131" s="20"/>
      <c r="ER131" s="20"/>
      <c r="ES131" s="20"/>
      <c r="ET131" s="20"/>
      <c r="EU131" s="20"/>
      <c r="EV131" s="20"/>
      <c r="EW131" s="20">
        <v>0</v>
      </c>
      <c r="EX131" s="20">
        <v>1</v>
      </c>
      <c r="EY131" s="20">
        <v>2</v>
      </c>
      <c r="EZ131" s="20">
        <v>3</v>
      </c>
      <c r="FA131" s="20">
        <v>4</v>
      </c>
      <c r="FB131" s="20">
        <v>5</v>
      </c>
      <c r="FC131" s="20">
        <v>6</v>
      </c>
      <c r="FD131" s="20">
        <v>7</v>
      </c>
      <c r="FE131" s="20">
        <v>8</v>
      </c>
      <c r="FF131" s="20">
        <v>9</v>
      </c>
      <c r="FG131" s="20">
        <v>10</v>
      </c>
      <c r="FH131" s="20">
        <v>11</v>
      </c>
      <c r="FI131" s="20">
        <v>12</v>
      </c>
      <c r="FJ131" s="20">
        <v>13</v>
      </c>
      <c r="FK131" s="20">
        <v>14</v>
      </c>
      <c r="FL131" s="20">
        <v>15</v>
      </c>
      <c r="FM131" s="20">
        <v>16</v>
      </c>
      <c r="FN131" s="20">
        <v>17</v>
      </c>
      <c r="FO131" s="20">
        <v>18</v>
      </c>
      <c r="FP131" s="20">
        <v>19</v>
      </c>
      <c r="FQ131" s="20">
        <v>20</v>
      </c>
      <c r="FR131" s="20">
        <v>21</v>
      </c>
      <c r="FS131" s="20">
        <v>22</v>
      </c>
      <c r="FT131" s="20">
        <v>23</v>
      </c>
      <c r="FU131" s="20">
        <v>24</v>
      </c>
      <c r="FV131" s="20">
        <v>25</v>
      </c>
      <c r="FW131" s="20">
        <v>26</v>
      </c>
      <c r="FX131" s="20">
        <v>27</v>
      </c>
      <c r="FY131" s="20">
        <v>28</v>
      </c>
      <c r="FZ131" s="20">
        <v>29</v>
      </c>
      <c r="GA131" s="20">
        <v>30</v>
      </c>
      <c r="GB131" s="20">
        <v>31</v>
      </c>
      <c r="GC131" s="20">
        <v>32</v>
      </c>
      <c r="GD131" s="20">
        <v>33</v>
      </c>
      <c r="GE131" s="20">
        <v>34</v>
      </c>
      <c r="GF131" s="20">
        <v>35</v>
      </c>
      <c r="GG131" s="20">
        <v>36</v>
      </c>
      <c r="GH131" s="20">
        <v>37</v>
      </c>
      <c r="GI131" s="20">
        <v>38</v>
      </c>
      <c r="GJ131" s="20">
        <v>39</v>
      </c>
      <c r="GK131" s="20">
        <v>40</v>
      </c>
      <c r="GL131" s="20">
        <v>41</v>
      </c>
      <c r="GM131" s="20">
        <v>42</v>
      </c>
      <c r="GN131" s="20">
        <v>43</v>
      </c>
      <c r="GO131" s="20">
        <v>44</v>
      </c>
      <c r="GP131" s="20">
        <v>45</v>
      </c>
      <c r="GQ131" s="20">
        <v>46</v>
      </c>
      <c r="GR131" s="20">
        <v>47</v>
      </c>
      <c r="GS131" s="20">
        <v>48</v>
      </c>
      <c r="GT131" s="20">
        <v>49</v>
      </c>
      <c r="GU131" s="20">
        <v>50</v>
      </c>
      <c r="GV131" s="20"/>
      <c r="GW131" s="20"/>
      <c r="GX131" s="20"/>
      <c r="GY131" s="21" t="s">
        <v>710</v>
      </c>
      <c r="GZ131" s="21">
        <v>0</v>
      </c>
      <c r="HA131" s="21">
        <v>2</v>
      </c>
      <c r="HB131" s="21">
        <v>0</v>
      </c>
      <c r="HC131" s="21">
        <v>4</v>
      </c>
      <c r="HD131" s="21">
        <v>2</v>
      </c>
      <c r="HE131" s="21">
        <v>0</v>
      </c>
      <c r="HF131" s="21">
        <v>4</v>
      </c>
      <c r="HG131" s="21">
        <v>2</v>
      </c>
      <c r="HH131" s="21">
        <v>0</v>
      </c>
      <c r="HI131" s="21">
        <v>2</v>
      </c>
      <c r="HJ131" s="21">
        <v>0</v>
      </c>
      <c r="HK131" s="21">
        <v>4</v>
      </c>
      <c r="HL131" s="21">
        <v>2</v>
      </c>
      <c r="HM131" s="21">
        <v>0</v>
      </c>
      <c r="HN131" s="21">
        <v>4</v>
      </c>
      <c r="HO131" s="21">
        <v>2</v>
      </c>
      <c r="HP131" s="21">
        <v>0</v>
      </c>
      <c r="HQ131" s="21">
        <v>4</v>
      </c>
      <c r="HR131" s="21">
        <v>0</v>
      </c>
      <c r="HS131" s="21">
        <v>4</v>
      </c>
      <c r="HT131" s="21">
        <v>2</v>
      </c>
      <c r="HU131" s="21"/>
      <c r="HV131" s="21" t="s">
        <v>826</v>
      </c>
      <c r="HW131" s="20">
        <v>0</v>
      </c>
      <c r="HX131" s="20">
        <v>2</v>
      </c>
      <c r="HY131" s="20">
        <v>0</v>
      </c>
      <c r="HZ131" s="20">
        <v>2</v>
      </c>
      <c r="IA131" s="20">
        <v>4</v>
      </c>
      <c r="IB131" s="20">
        <v>0</v>
      </c>
      <c r="IC131" s="20">
        <v>4</v>
      </c>
      <c r="ID131" s="20">
        <v>0</v>
      </c>
      <c r="IE131" s="20">
        <v>2</v>
      </c>
      <c r="IF131" s="20">
        <v>0</v>
      </c>
      <c r="IG131" s="20">
        <v>2</v>
      </c>
      <c r="IH131" s="20">
        <v>4</v>
      </c>
      <c r="II131" s="20">
        <v>2</v>
      </c>
      <c r="IJ131" s="20">
        <v>4</v>
      </c>
      <c r="IK131" s="20">
        <v>0</v>
      </c>
      <c r="IL131" s="20">
        <v>2</v>
      </c>
      <c r="IM131" s="20">
        <v>0</v>
      </c>
      <c r="IN131" s="20">
        <v>2</v>
      </c>
      <c r="IO131" s="20">
        <v>4</v>
      </c>
      <c r="IP131" s="20">
        <v>2</v>
      </c>
      <c r="IQ131" s="20">
        <v>4</v>
      </c>
      <c r="IR131" s="21"/>
      <c r="IS131" s="21" t="s">
        <v>826</v>
      </c>
      <c r="IT131" s="21">
        <f t="shared" si="39"/>
        <v>0</v>
      </c>
      <c r="IU131" s="21">
        <f t="shared" si="39"/>
        <v>4</v>
      </c>
      <c r="IV131" s="21">
        <f t="shared" si="39"/>
        <v>0</v>
      </c>
      <c r="IW131" s="21">
        <f t="shared" si="39"/>
        <v>4</v>
      </c>
      <c r="IX131" s="21">
        <f t="shared" si="39"/>
        <v>8</v>
      </c>
      <c r="IY131" s="21">
        <f t="shared" si="39"/>
        <v>0</v>
      </c>
      <c r="IZ131" s="21">
        <f t="shared" si="39"/>
        <v>8</v>
      </c>
      <c r="JA131" s="21">
        <f t="shared" si="39"/>
        <v>0</v>
      </c>
      <c r="JB131" s="21">
        <f t="shared" si="39"/>
        <v>4</v>
      </c>
      <c r="JC131" s="21">
        <f t="shared" si="39"/>
        <v>0</v>
      </c>
      <c r="JD131" s="21">
        <f t="shared" si="39"/>
        <v>4</v>
      </c>
      <c r="JE131" s="21">
        <f t="shared" si="39"/>
        <v>8</v>
      </c>
      <c r="JF131" s="21">
        <f t="shared" si="39"/>
        <v>4</v>
      </c>
      <c r="JG131" s="21">
        <f t="shared" si="39"/>
        <v>8</v>
      </c>
      <c r="JH131" s="21">
        <f t="shared" si="39"/>
        <v>0</v>
      </c>
      <c r="JI131" s="21">
        <f t="shared" si="39"/>
        <v>4</v>
      </c>
      <c r="JJ131" s="21">
        <f t="shared" si="40"/>
        <v>0</v>
      </c>
      <c r="JK131" s="21">
        <f t="shared" si="40"/>
        <v>4</v>
      </c>
      <c r="JL131" s="21">
        <f t="shared" si="40"/>
        <v>8</v>
      </c>
      <c r="JM131" s="21">
        <f t="shared" si="40"/>
        <v>4</v>
      </c>
      <c r="JN131" s="21">
        <f t="shared" si="40"/>
        <v>8</v>
      </c>
      <c r="JO131" s="21"/>
      <c r="JP131" s="21"/>
      <c r="JQ131" s="21"/>
      <c r="JR131" s="21"/>
      <c r="JS131" s="21"/>
      <c r="JT131" s="21"/>
      <c r="JU131" s="21"/>
      <c r="JV131" s="21"/>
      <c r="JW131" s="21"/>
      <c r="JX131" s="21"/>
      <c r="JY131" s="21"/>
      <c r="JZ131" s="21"/>
      <c r="KA131" s="21"/>
      <c r="KB131" s="21"/>
      <c r="KC131" s="21"/>
      <c r="KD131" s="21"/>
      <c r="KE131" s="21"/>
      <c r="KF131" s="21"/>
      <c r="KG131" s="21"/>
      <c r="KH131" s="21"/>
    </row>
    <row r="132" spans="1:294" x14ac:dyDescent="0.25">
      <c r="A132" s="8"/>
      <c r="B132" s="5" t="s">
        <v>116</v>
      </c>
      <c r="C132" s="8"/>
      <c r="D132" s="6" t="s">
        <v>307</v>
      </c>
      <c r="E132" s="8" t="s">
        <v>309</v>
      </c>
      <c r="F132" s="37" t="str">
        <f>IF(E132="balastowa","wartość balastu określa konstruktor","")</f>
        <v/>
      </c>
      <c r="G132" s="37"/>
      <c r="H132" s="37"/>
      <c r="I132" s="37"/>
      <c r="J132" s="37"/>
      <c r="K132" s="37"/>
      <c r="L132" s="6" t="str">
        <f>IF(E133=10,"UPG10MC",IF(E133=15,"UPG15MC",IF(E133=20,"UPG20MC",0)))</f>
        <v>UPG20MC</v>
      </c>
      <c r="M132" s="11">
        <f>INDEX(cennik!$C$2:$L$529,MATCH($L132,cennik!$B$2:$B$522,0),MATCH(M$104,cennik!$C$1:$L$1,0))</f>
        <v>878120</v>
      </c>
      <c r="N132" s="11" t="str">
        <f>INDEX(cennik!$C$2:$L$529,MATCH($L132,cennik!$B$2:$B$522,0),MATCH(N$104,cennik!$C$1:$L$1,0))</f>
        <v>szt.</v>
      </c>
      <c r="O132" s="11">
        <f>O130*2</f>
        <v>0</v>
      </c>
      <c r="P132" s="34">
        <f>INDEX(cennik!$C$2:$L$529,MATCH($L132,cennik!$B$2:$B$522,0),MATCH(P$104,cennik!$C$1:$L$1,0))</f>
        <v>29.77</v>
      </c>
      <c r="Q132" s="34">
        <f t="shared" si="49"/>
        <v>0</v>
      </c>
      <c r="R132" s="35">
        <f t="shared" si="47"/>
        <v>0</v>
      </c>
      <c r="S132" s="34">
        <f t="shared" si="48"/>
        <v>29.77</v>
      </c>
      <c r="T132" s="34">
        <f t="shared" si="50"/>
        <v>0</v>
      </c>
      <c r="U132" s="34">
        <f>INDEX(cennik!$C$2:$L$529,MATCH($L132,cennik!$B$2:$B$522,0),MATCH(U$104,cennik!$C$1:$L$1,0))*O132</f>
        <v>0</v>
      </c>
      <c r="V132" s="20"/>
      <c r="W132" s="25">
        <f t="shared" si="46"/>
        <v>0</v>
      </c>
      <c r="X132" s="20" t="s">
        <v>713</v>
      </c>
      <c r="Y132" s="20">
        <v>1200</v>
      </c>
      <c r="Z132" s="20"/>
      <c r="AA132" s="20"/>
      <c r="AB132" s="20">
        <f t="shared" si="44"/>
        <v>0</v>
      </c>
      <c r="AC132" s="20"/>
      <c r="AD132" s="20"/>
      <c r="AE132" s="20"/>
      <c r="AF132" s="20">
        <v>30</v>
      </c>
      <c r="AG132" s="20" t="s">
        <v>881</v>
      </c>
      <c r="AH132" s="20">
        <v>0</v>
      </c>
      <c r="AI132" s="20"/>
      <c r="AJ132" s="20">
        <f t="shared" ref="AJ132:AJ144" si="51">IF(A105&lt;=1,0,IF(A105&gt;1,A105-1,0))</f>
        <v>0</v>
      </c>
      <c r="AK132" s="20">
        <f t="shared" ref="AK132:AK146" si="52">AJ132*4*C105</f>
        <v>0</v>
      </c>
      <c r="AL132" s="20"/>
      <c r="AM132" s="20">
        <v>0</v>
      </c>
      <c r="AN132" s="20">
        <v>1</v>
      </c>
      <c r="AO132" s="20">
        <v>2</v>
      </c>
      <c r="AP132" s="20">
        <v>3</v>
      </c>
      <c r="AQ132" s="20">
        <v>4</v>
      </c>
      <c r="AR132" s="20">
        <v>5</v>
      </c>
      <c r="AS132" s="20">
        <v>6</v>
      </c>
      <c r="AT132" s="20">
        <v>7</v>
      </c>
      <c r="AU132" s="20">
        <v>8</v>
      </c>
      <c r="AV132" s="20">
        <v>9</v>
      </c>
      <c r="AW132" s="20">
        <v>10</v>
      </c>
      <c r="AX132" s="20">
        <v>11</v>
      </c>
      <c r="AY132" s="20">
        <v>12</v>
      </c>
      <c r="AZ132" s="20">
        <v>13</v>
      </c>
      <c r="BA132" s="20">
        <v>14</v>
      </c>
      <c r="BB132" s="20">
        <v>15</v>
      </c>
      <c r="BC132" s="20">
        <v>16</v>
      </c>
      <c r="BD132" s="20">
        <v>17</v>
      </c>
      <c r="BE132" s="20">
        <v>18</v>
      </c>
      <c r="BF132" s="20">
        <v>19</v>
      </c>
      <c r="BG132" s="20">
        <v>20</v>
      </c>
      <c r="BH132" s="20">
        <v>21</v>
      </c>
      <c r="BI132" s="20">
        <v>22</v>
      </c>
      <c r="BJ132" s="20">
        <v>23</v>
      </c>
      <c r="BK132" s="20">
        <v>24</v>
      </c>
      <c r="BL132" s="20">
        <v>25</v>
      </c>
      <c r="BM132" s="20">
        <v>26</v>
      </c>
      <c r="BN132" s="20">
        <v>27</v>
      </c>
      <c r="BO132" s="20">
        <v>28</v>
      </c>
      <c r="BP132" s="20">
        <v>29</v>
      </c>
      <c r="BQ132" s="20">
        <v>30</v>
      </c>
      <c r="BR132" s="20">
        <v>31</v>
      </c>
      <c r="BS132" s="20">
        <v>32</v>
      </c>
      <c r="BT132" s="20">
        <v>33</v>
      </c>
      <c r="BU132" s="20">
        <v>34</v>
      </c>
      <c r="BV132" s="20">
        <v>35</v>
      </c>
      <c r="BW132" s="20">
        <v>36</v>
      </c>
      <c r="BX132" s="20">
        <v>37</v>
      </c>
      <c r="BY132" s="20">
        <v>38</v>
      </c>
      <c r="BZ132" s="20">
        <v>39</v>
      </c>
      <c r="CA132" s="20">
        <v>40</v>
      </c>
      <c r="CB132" s="20">
        <v>41</v>
      </c>
      <c r="CC132" s="20">
        <v>42</v>
      </c>
      <c r="CD132" s="20">
        <v>43</v>
      </c>
      <c r="CE132" s="20">
        <v>44</v>
      </c>
      <c r="CF132" s="20">
        <v>45</v>
      </c>
      <c r="CG132" s="20">
        <v>46</v>
      </c>
      <c r="CH132" s="20">
        <v>47</v>
      </c>
      <c r="CI132" s="20">
        <v>48</v>
      </c>
      <c r="CJ132" s="20">
        <v>49</v>
      </c>
      <c r="CK132" s="20">
        <v>50</v>
      </c>
      <c r="CL132" s="20"/>
      <c r="CM132" s="20"/>
      <c r="CN132" s="20"/>
      <c r="CO132" s="20"/>
      <c r="CP132" s="20"/>
      <c r="CQ132" s="20"/>
      <c r="CR132" s="20"/>
      <c r="CS132" s="20"/>
      <c r="CT132" s="20"/>
      <c r="CU132" s="20"/>
      <c r="CV132" s="20"/>
      <c r="CW132" s="20"/>
      <c r="CX132" s="20"/>
      <c r="CY132" s="20"/>
      <c r="CZ132" s="20"/>
      <c r="DA132" s="20"/>
      <c r="DB132" s="20"/>
      <c r="DC132" s="20"/>
      <c r="DD132" s="20"/>
      <c r="DE132" s="20"/>
      <c r="DF132" s="20"/>
      <c r="DG132" s="20"/>
      <c r="DH132" s="20"/>
      <c r="DI132" s="20"/>
      <c r="DJ132" s="20"/>
      <c r="DK132" s="20"/>
      <c r="DL132" s="20"/>
      <c r="DM132" s="20"/>
      <c r="DN132" s="20"/>
      <c r="DO132" s="20"/>
      <c r="DP132" s="20"/>
      <c r="DQ132" s="20"/>
      <c r="DR132" s="20"/>
      <c r="DS132" s="20"/>
      <c r="DT132" s="20"/>
      <c r="DU132" s="20"/>
      <c r="DV132" s="20"/>
      <c r="DW132" s="20"/>
      <c r="DX132" s="20"/>
      <c r="DY132" s="20"/>
      <c r="DZ132" s="54">
        <v>29</v>
      </c>
      <c r="EA132" s="54"/>
      <c r="EB132" s="54">
        <v>30</v>
      </c>
      <c r="EC132" s="20"/>
      <c r="ED132" s="20"/>
      <c r="EE132" s="20"/>
      <c r="EF132" s="20"/>
      <c r="EG132" s="20"/>
      <c r="EH132" s="20"/>
      <c r="EI132" s="20"/>
      <c r="EJ132" s="20"/>
      <c r="EK132" s="20"/>
      <c r="EL132" s="20"/>
      <c r="EM132" s="20"/>
      <c r="EN132" s="20"/>
      <c r="EO132" s="20"/>
      <c r="EP132" s="20"/>
      <c r="EQ132" s="20"/>
      <c r="ER132" s="20"/>
      <c r="ES132" s="20"/>
      <c r="ET132" s="20"/>
      <c r="EU132" s="20"/>
      <c r="EV132" s="20" t="s">
        <v>210</v>
      </c>
      <c r="EW132" s="20">
        <v>0</v>
      </c>
      <c r="EX132" s="20">
        <v>0</v>
      </c>
      <c r="EY132" s="20">
        <v>0</v>
      </c>
      <c r="EZ132" s="20">
        <v>0</v>
      </c>
      <c r="FA132" s="20">
        <v>2</v>
      </c>
      <c r="FB132" s="20">
        <v>0</v>
      </c>
      <c r="FC132" s="20">
        <v>0</v>
      </c>
      <c r="FD132" s="20">
        <v>0</v>
      </c>
      <c r="FE132" s="20">
        <v>0</v>
      </c>
      <c r="FF132" s="20">
        <v>0</v>
      </c>
      <c r="FG132" s="20">
        <v>2</v>
      </c>
      <c r="FH132" s="20">
        <v>0</v>
      </c>
      <c r="FI132" s="20">
        <v>0</v>
      </c>
      <c r="FJ132" s="20">
        <v>0</v>
      </c>
      <c r="FK132" s="20">
        <v>2</v>
      </c>
      <c r="FL132" s="20">
        <v>0</v>
      </c>
      <c r="FM132" s="20">
        <v>0</v>
      </c>
      <c r="FN132" s="20">
        <v>0</v>
      </c>
      <c r="FO132" s="20">
        <v>0</v>
      </c>
      <c r="FP132" s="20">
        <v>0</v>
      </c>
      <c r="FQ132" s="20">
        <v>0</v>
      </c>
      <c r="FR132" s="20">
        <v>0</v>
      </c>
      <c r="FS132" s="20">
        <v>0</v>
      </c>
      <c r="FT132" s="20">
        <v>0</v>
      </c>
      <c r="FU132" s="20">
        <v>0</v>
      </c>
      <c r="FV132" s="20">
        <v>0</v>
      </c>
      <c r="FW132" s="20">
        <v>0</v>
      </c>
      <c r="FX132" s="20">
        <v>0</v>
      </c>
      <c r="FY132" s="20">
        <v>0</v>
      </c>
      <c r="FZ132" s="20">
        <v>0</v>
      </c>
      <c r="GA132" s="20">
        <v>0</v>
      </c>
      <c r="GB132" s="20">
        <v>0</v>
      </c>
      <c r="GC132" s="20">
        <v>0</v>
      </c>
      <c r="GD132" s="20">
        <v>0</v>
      </c>
      <c r="GE132" s="20">
        <v>0</v>
      </c>
      <c r="GF132" s="20">
        <v>0</v>
      </c>
      <c r="GG132" s="20">
        <v>0</v>
      </c>
      <c r="GH132" s="20">
        <v>0</v>
      </c>
      <c r="GI132" s="20">
        <v>0</v>
      </c>
      <c r="GJ132" s="20">
        <v>0</v>
      </c>
      <c r="GK132" s="20">
        <v>0</v>
      </c>
      <c r="GL132" s="20">
        <v>0</v>
      </c>
      <c r="GM132" s="20">
        <v>0</v>
      </c>
      <c r="GN132" s="20">
        <v>0</v>
      </c>
      <c r="GO132" s="20">
        <v>0</v>
      </c>
      <c r="GP132" s="20">
        <v>0</v>
      </c>
      <c r="GQ132" s="20">
        <v>0</v>
      </c>
      <c r="GR132" s="20">
        <v>0</v>
      </c>
      <c r="GS132" s="20">
        <v>0</v>
      </c>
      <c r="GT132" s="20">
        <v>0</v>
      </c>
      <c r="GU132" s="20">
        <v>0</v>
      </c>
      <c r="GV132" s="20"/>
      <c r="GW132" s="20"/>
      <c r="GX132" s="20"/>
      <c r="GY132" s="21" t="s">
        <v>711</v>
      </c>
      <c r="GZ132" s="21">
        <v>0</v>
      </c>
      <c r="HA132" s="21">
        <v>0</v>
      </c>
      <c r="HB132" s="21">
        <v>2</v>
      </c>
      <c r="HC132" s="21">
        <v>0</v>
      </c>
      <c r="HD132" s="21">
        <v>2</v>
      </c>
      <c r="HE132" s="21">
        <v>4</v>
      </c>
      <c r="HF132" s="21">
        <v>2</v>
      </c>
      <c r="HG132" s="21">
        <v>4</v>
      </c>
      <c r="HH132" s="21">
        <v>6</v>
      </c>
      <c r="HI132" s="21">
        <v>6</v>
      </c>
      <c r="HJ132" s="21">
        <v>8</v>
      </c>
      <c r="HK132" s="21">
        <v>6</v>
      </c>
      <c r="HL132" s="21">
        <v>8</v>
      </c>
      <c r="HM132" s="21">
        <v>10</v>
      </c>
      <c r="HN132" s="21">
        <v>8</v>
      </c>
      <c r="HO132" s="21">
        <v>10</v>
      </c>
      <c r="HP132" s="21">
        <v>12</v>
      </c>
      <c r="HQ132" s="21">
        <v>10</v>
      </c>
      <c r="HR132" s="21">
        <v>14</v>
      </c>
      <c r="HS132" s="21">
        <v>12</v>
      </c>
      <c r="HT132" s="21">
        <v>14</v>
      </c>
      <c r="HU132" s="21"/>
      <c r="HV132" s="21" t="s">
        <v>825</v>
      </c>
      <c r="HW132" s="20">
        <v>0</v>
      </c>
      <c r="HX132" s="20">
        <v>0</v>
      </c>
      <c r="HY132" s="20">
        <v>2</v>
      </c>
      <c r="HZ132" s="20">
        <v>2</v>
      </c>
      <c r="IA132" s="20">
        <v>2</v>
      </c>
      <c r="IB132" s="20">
        <v>6</v>
      </c>
      <c r="IC132" s="20">
        <v>4</v>
      </c>
      <c r="ID132" s="20">
        <v>8</v>
      </c>
      <c r="IE132" s="20">
        <v>8</v>
      </c>
      <c r="IF132" s="20">
        <v>10</v>
      </c>
      <c r="IG132" s="20">
        <v>10</v>
      </c>
      <c r="IH132" s="20">
        <v>10</v>
      </c>
      <c r="II132" s="20">
        <v>12</v>
      </c>
      <c r="IJ132" s="20">
        <v>12</v>
      </c>
      <c r="IK132" s="20">
        <v>16</v>
      </c>
      <c r="IL132" s="20">
        <v>16</v>
      </c>
      <c r="IM132" s="20">
        <v>18</v>
      </c>
      <c r="IN132" s="20">
        <v>18</v>
      </c>
      <c r="IO132" s="20">
        <v>18</v>
      </c>
      <c r="IP132" s="20">
        <v>20</v>
      </c>
      <c r="IQ132" s="20">
        <v>20</v>
      </c>
      <c r="IR132" s="21"/>
      <c r="IS132" s="21" t="s">
        <v>825</v>
      </c>
      <c r="IT132" s="21">
        <f t="shared" si="39"/>
        <v>0</v>
      </c>
      <c r="IU132" s="21">
        <f t="shared" si="39"/>
        <v>0</v>
      </c>
      <c r="IV132" s="21">
        <f t="shared" si="39"/>
        <v>4</v>
      </c>
      <c r="IW132" s="21">
        <f t="shared" si="39"/>
        <v>4</v>
      </c>
      <c r="IX132" s="21">
        <f t="shared" si="39"/>
        <v>4</v>
      </c>
      <c r="IY132" s="21">
        <f t="shared" si="39"/>
        <v>12</v>
      </c>
      <c r="IZ132" s="21">
        <f t="shared" si="39"/>
        <v>8</v>
      </c>
      <c r="JA132" s="21">
        <f t="shared" si="39"/>
        <v>16</v>
      </c>
      <c r="JB132" s="21">
        <f t="shared" si="39"/>
        <v>16</v>
      </c>
      <c r="JC132" s="21">
        <f t="shared" si="39"/>
        <v>20</v>
      </c>
      <c r="JD132" s="21">
        <f t="shared" si="39"/>
        <v>20</v>
      </c>
      <c r="JE132" s="21">
        <f t="shared" si="39"/>
        <v>20</v>
      </c>
      <c r="JF132" s="21">
        <f t="shared" si="39"/>
        <v>24</v>
      </c>
      <c r="JG132" s="21">
        <f t="shared" si="39"/>
        <v>24</v>
      </c>
      <c r="JH132" s="21">
        <f t="shared" si="39"/>
        <v>32</v>
      </c>
      <c r="JI132" s="21">
        <f t="shared" si="39"/>
        <v>32</v>
      </c>
      <c r="JJ132" s="21">
        <f t="shared" si="40"/>
        <v>36</v>
      </c>
      <c r="JK132" s="21">
        <f t="shared" si="40"/>
        <v>36</v>
      </c>
      <c r="JL132" s="21">
        <f t="shared" si="40"/>
        <v>36</v>
      </c>
      <c r="JM132" s="21">
        <f t="shared" si="40"/>
        <v>40</v>
      </c>
      <c r="JN132" s="21">
        <f t="shared" si="40"/>
        <v>40</v>
      </c>
      <c r="JO132" s="21"/>
      <c r="JP132" s="21"/>
      <c r="JQ132" s="26"/>
      <c r="JR132" s="21"/>
      <c r="JS132" s="21"/>
      <c r="JT132" s="21"/>
      <c r="JU132" s="21"/>
      <c r="JV132" s="21"/>
      <c r="JW132" s="21"/>
      <c r="JX132" s="21"/>
      <c r="JY132" s="21"/>
      <c r="JZ132" s="21"/>
      <c r="KA132" s="21"/>
      <c r="KB132" s="21"/>
      <c r="KC132" s="21"/>
      <c r="KD132" s="21"/>
      <c r="KE132" s="21"/>
      <c r="KF132" s="21"/>
      <c r="KG132" s="21"/>
      <c r="KH132" s="21"/>
    </row>
    <row r="133" spans="1:294" x14ac:dyDescent="0.25">
      <c r="A133" s="8"/>
      <c r="B133" s="5" t="s">
        <v>116</v>
      </c>
      <c r="C133" s="8"/>
      <c r="D133" s="6" t="s">
        <v>310</v>
      </c>
      <c r="E133" s="8">
        <v>20</v>
      </c>
      <c r="F133" s="5"/>
      <c r="G133" s="5"/>
      <c r="H133" s="5"/>
      <c r="I133" s="5"/>
      <c r="J133" s="5" t="s">
        <v>411</v>
      </c>
      <c r="K133" s="9"/>
      <c r="L133" s="6" t="str">
        <f>INDEX(($AE$191:$AF$201),MATCH(I130,$AD$191:$AD$200,0),MATCH(E131,$AE$190:$AF$190,0),1)</f>
        <v>BUFK30</v>
      </c>
      <c r="M133" s="11">
        <f>INDEX(cennik!$C$2:$L$529,MATCH($L133,cennik!$B$2:$B$522,0),MATCH(M$104,cennik!$C$1:$L$1,0))</f>
        <v>897430</v>
      </c>
      <c r="N133" s="11" t="str">
        <f>INDEX(cennik!$C$2:$L$529,MATCH($L133,cennik!$B$2:$B$522,0),MATCH(N$104,cennik!$C$1:$L$1,0))</f>
        <v>szt.</v>
      </c>
      <c r="O133" s="11">
        <f>SUM(IF(A129=0,0,IF((A129&gt;0),C129*8)),IF(A130=0,0,IF((A130&gt;0),C130*8)),IF(A131=0,0,IF((A131&gt;0),C131*8)),IF(A132=0,0,IF((A132&gt;0),C132*8)),IF(A133=0,0,IF((A133&gt;0),C133*8)),IF(A134=0,0,IF((A134&gt;0),C134*8)),IF(A135=0,0,IF((A135&gt;0),C135*8)),IF(A136=0,0,IF((A136&gt;0),C136*8)),IF(A137=0,0,IF((A137&gt;0),C137*8)),IF(A138=0,0,IF((A138&gt;0),C138*8)),IF(A139=0,0,IF((A139&gt;0),C139*8)),IF(A140=0,0,IF((A140&gt;0),C140*8)),IF(A141=0,0,IF((A141&gt;0),C141*8)),IF(A142=0,0,IF((A142&gt;0),C142*8)),IF(A143=0,0,IF((A143&gt;0),C143*8)),IF(A144=0,0,IF((A144&gt;0),C144*8)))</f>
        <v>0</v>
      </c>
      <c r="P133" s="34">
        <f>INDEX(cennik!$C$2:$L$529,MATCH($L133,cennik!$B$2:$B$522,0),MATCH(P$104,cennik!$C$1:$L$1,0))</f>
        <v>5.87</v>
      </c>
      <c r="Q133" s="34">
        <f t="shared" si="49"/>
        <v>0</v>
      </c>
      <c r="R133" s="35">
        <f t="shared" si="47"/>
        <v>0</v>
      </c>
      <c r="S133" s="34">
        <f t="shared" si="48"/>
        <v>5.87</v>
      </c>
      <c r="T133" s="34">
        <f t="shared" si="50"/>
        <v>0</v>
      </c>
      <c r="U133" s="34">
        <f>INDEX(cennik!$C$2:$L$529,MATCH($L133,cennik!$B$2:$B$522,0),MATCH(U$104,cennik!$C$1:$L$1,0))*O133</f>
        <v>0</v>
      </c>
      <c r="V133" s="20"/>
      <c r="W133" s="25">
        <f t="shared" si="46"/>
        <v>0</v>
      </c>
      <c r="X133" s="20" t="s">
        <v>714</v>
      </c>
      <c r="Y133" s="20">
        <v>1250</v>
      </c>
      <c r="Z133" s="20"/>
      <c r="AA133" s="20"/>
      <c r="AB133" s="20">
        <f t="shared" si="44"/>
        <v>0</v>
      </c>
      <c r="AC133" s="20"/>
      <c r="AD133" s="21"/>
      <c r="AE133" s="20">
        <f>INDEX(($AG$132:$AH$141),MATCH(I105,$AF$132:$AF$141,0),MATCH(E106,$AG$131:$AH$131,0))</f>
        <v>0</v>
      </c>
      <c r="AF133" s="20">
        <v>32</v>
      </c>
      <c r="AG133" s="20" t="s">
        <v>881</v>
      </c>
      <c r="AH133" s="20">
        <v>0</v>
      </c>
      <c r="AI133" s="20"/>
      <c r="AJ133" s="20">
        <f t="shared" si="51"/>
        <v>0</v>
      </c>
      <c r="AK133" s="20">
        <f t="shared" si="52"/>
        <v>0</v>
      </c>
      <c r="AL133" s="20" t="s">
        <v>126</v>
      </c>
      <c r="AM133" s="20">
        <v>0</v>
      </c>
      <c r="AN133" s="20">
        <v>0</v>
      </c>
      <c r="AO133" s="20">
        <v>4</v>
      </c>
      <c r="AP133" s="20">
        <v>6</v>
      </c>
      <c r="AQ133" s="20">
        <v>0</v>
      </c>
      <c r="AR133" s="20">
        <v>0</v>
      </c>
      <c r="AS133" s="20">
        <v>0</v>
      </c>
      <c r="AT133" s="20">
        <v>0</v>
      </c>
      <c r="AU133" s="20">
        <v>0</v>
      </c>
      <c r="AV133" s="20">
        <v>0</v>
      </c>
      <c r="AW133" s="20">
        <v>0</v>
      </c>
      <c r="AX133" s="20">
        <v>0</v>
      </c>
      <c r="AY133" s="20">
        <v>0</v>
      </c>
      <c r="AZ133" s="20">
        <v>0</v>
      </c>
      <c r="BA133" s="20">
        <v>0</v>
      </c>
      <c r="BB133" s="20">
        <v>0</v>
      </c>
      <c r="BC133" s="20">
        <v>0</v>
      </c>
      <c r="BD133" s="20">
        <v>0</v>
      </c>
      <c r="BE133" s="20">
        <v>0</v>
      </c>
      <c r="BF133" s="20">
        <v>0</v>
      </c>
      <c r="BG133" s="20">
        <v>0</v>
      </c>
      <c r="BH133" s="20">
        <v>0</v>
      </c>
      <c r="BI133" s="20">
        <v>0</v>
      </c>
      <c r="BJ133" s="20">
        <v>0</v>
      </c>
      <c r="BK133" s="20">
        <v>0</v>
      </c>
      <c r="BL133" s="20">
        <v>0</v>
      </c>
      <c r="BM133" s="20">
        <v>0</v>
      </c>
      <c r="BN133" s="20">
        <v>0</v>
      </c>
      <c r="BO133" s="20">
        <v>0</v>
      </c>
      <c r="BP133" s="20">
        <v>0</v>
      </c>
      <c r="BQ133" s="20">
        <v>0</v>
      </c>
      <c r="BR133" s="20">
        <v>0</v>
      </c>
      <c r="BS133" s="20">
        <v>0</v>
      </c>
      <c r="BT133" s="20">
        <v>0</v>
      </c>
      <c r="BU133" s="20">
        <v>0</v>
      </c>
      <c r="BV133" s="20">
        <v>0</v>
      </c>
      <c r="BW133" s="20">
        <v>0</v>
      </c>
      <c r="BX133" s="20">
        <v>0</v>
      </c>
      <c r="BY133" s="20">
        <v>0</v>
      </c>
      <c r="BZ133" s="20">
        <v>0</v>
      </c>
      <c r="CA133" s="20">
        <v>0</v>
      </c>
      <c r="CB133" s="20">
        <v>0</v>
      </c>
      <c r="CC133" s="20">
        <v>0</v>
      </c>
      <c r="CD133" s="20">
        <v>0</v>
      </c>
      <c r="CE133" s="20">
        <v>0</v>
      </c>
      <c r="CF133" s="20">
        <v>0</v>
      </c>
      <c r="CG133" s="20">
        <v>0</v>
      </c>
      <c r="CH133" s="20">
        <v>0</v>
      </c>
      <c r="CI133" s="20">
        <v>0</v>
      </c>
      <c r="CJ133" s="20">
        <v>0</v>
      </c>
      <c r="CK133" s="20">
        <v>0</v>
      </c>
      <c r="CL133" s="20"/>
      <c r="CM133" s="20"/>
      <c r="CN133" s="20"/>
      <c r="CO133" s="20"/>
      <c r="CP133" s="20"/>
      <c r="CQ133" s="20"/>
      <c r="CR133" s="20"/>
      <c r="CS133" s="20"/>
      <c r="CT133" s="20"/>
      <c r="CU133" s="20"/>
      <c r="CV133" s="20"/>
      <c r="CW133" s="20"/>
      <c r="CX133" s="20"/>
      <c r="CY133" s="20"/>
      <c r="CZ133" s="20"/>
      <c r="DA133" s="20"/>
      <c r="DB133" s="20"/>
      <c r="DC133" s="20"/>
      <c r="DD133" s="20"/>
      <c r="DE133" s="20"/>
      <c r="DF133" s="20"/>
      <c r="DG133" s="20"/>
      <c r="DH133" s="20"/>
      <c r="DI133" s="20"/>
      <c r="DJ133" s="20"/>
      <c r="DK133" s="20"/>
      <c r="DL133" s="20"/>
      <c r="DM133" s="20"/>
      <c r="DN133" s="20"/>
      <c r="DO133" s="20"/>
      <c r="DP133" s="20"/>
      <c r="DQ133" s="20"/>
      <c r="DR133" s="20"/>
      <c r="DS133" s="20"/>
      <c r="DT133" s="20"/>
      <c r="DU133" s="20"/>
      <c r="DV133" s="20"/>
      <c r="DW133" s="20"/>
      <c r="DX133" s="20"/>
      <c r="DY133" s="20"/>
      <c r="DZ133" s="54">
        <v>30</v>
      </c>
      <c r="EA133" s="54"/>
      <c r="EB133" s="54">
        <v>32</v>
      </c>
      <c r="EC133" s="20"/>
      <c r="ED133" s="20"/>
      <c r="EE133" s="20"/>
      <c r="EF133" s="20"/>
      <c r="EG133" s="20"/>
      <c r="EH133" s="20"/>
      <c r="EI133" s="20"/>
      <c r="EJ133" s="20"/>
      <c r="EK133" s="20"/>
      <c r="EL133" s="20"/>
      <c r="EM133" s="20"/>
      <c r="EN133" s="20"/>
      <c r="EO133" s="20"/>
      <c r="EP133" s="20"/>
      <c r="EQ133" s="20"/>
      <c r="ER133" s="20"/>
      <c r="ES133" s="20"/>
      <c r="ET133" s="20"/>
      <c r="EU133" s="20"/>
      <c r="EV133" s="20" t="s">
        <v>9</v>
      </c>
      <c r="EW133" s="20">
        <v>0</v>
      </c>
      <c r="EX133" s="20">
        <v>2</v>
      </c>
      <c r="EY133" s="20">
        <v>4</v>
      </c>
      <c r="EZ133" s="20">
        <v>0</v>
      </c>
      <c r="FA133" s="20">
        <v>0</v>
      </c>
      <c r="FB133" s="20">
        <v>0</v>
      </c>
      <c r="FC133" s="20">
        <v>0</v>
      </c>
      <c r="FD133" s="20">
        <v>2</v>
      </c>
      <c r="FE133" s="20">
        <v>0</v>
      </c>
      <c r="FF133" s="20">
        <v>0</v>
      </c>
      <c r="FG133" s="20">
        <v>0</v>
      </c>
      <c r="FH133" s="20">
        <v>0</v>
      </c>
      <c r="FI133" s="20">
        <v>0</v>
      </c>
      <c r="FJ133" s="20">
        <v>0</v>
      </c>
      <c r="FK133" s="20">
        <v>0</v>
      </c>
      <c r="FL133" s="20">
        <v>0</v>
      </c>
      <c r="FM133" s="20">
        <v>0</v>
      </c>
      <c r="FN133" s="20">
        <v>0</v>
      </c>
      <c r="FO133" s="20">
        <v>0</v>
      </c>
      <c r="FP133" s="20">
        <v>0</v>
      </c>
      <c r="FQ133" s="20">
        <v>0</v>
      </c>
      <c r="FR133" s="20">
        <v>0</v>
      </c>
      <c r="FS133" s="20">
        <v>0</v>
      </c>
      <c r="FT133" s="20">
        <v>0</v>
      </c>
      <c r="FU133" s="20">
        <v>0</v>
      </c>
      <c r="FV133" s="20">
        <v>0</v>
      </c>
      <c r="FW133" s="20">
        <v>0</v>
      </c>
      <c r="FX133" s="20">
        <v>0</v>
      </c>
      <c r="FY133" s="20">
        <v>0</v>
      </c>
      <c r="FZ133" s="20">
        <v>0</v>
      </c>
      <c r="GA133" s="20">
        <v>0</v>
      </c>
      <c r="GB133" s="20">
        <v>0</v>
      </c>
      <c r="GC133" s="20">
        <v>0</v>
      </c>
      <c r="GD133" s="20">
        <v>0</v>
      </c>
      <c r="GE133" s="20">
        <v>0</v>
      </c>
      <c r="GF133" s="20">
        <v>0</v>
      </c>
      <c r="GG133" s="20">
        <v>0</v>
      </c>
      <c r="GH133" s="20">
        <v>0</v>
      </c>
      <c r="GI133" s="20">
        <v>0</v>
      </c>
      <c r="GJ133" s="20">
        <v>0</v>
      </c>
      <c r="GK133" s="20">
        <v>0</v>
      </c>
      <c r="GL133" s="20">
        <v>0</v>
      </c>
      <c r="GM133" s="20">
        <v>0</v>
      </c>
      <c r="GN133" s="20">
        <v>0</v>
      </c>
      <c r="GO133" s="20">
        <v>0</v>
      </c>
      <c r="GP133" s="20">
        <v>0</v>
      </c>
      <c r="GQ133" s="20">
        <v>0</v>
      </c>
      <c r="GR133" s="20">
        <v>0</v>
      </c>
      <c r="GS133" s="20">
        <v>0</v>
      </c>
      <c r="GT133" s="20">
        <v>0</v>
      </c>
      <c r="GU133" s="20">
        <v>0</v>
      </c>
      <c r="GV133" s="20"/>
      <c r="GW133" s="20"/>
      <c r="GX133" s="20"/>
      <c r="GY133" s="21" t="s">
        <v>712</v>
      </c>
      <c r="GZ133" s="21">
        <v>0</v>
      </c>
      <c r="HA133" s="21">
        <v>0</v>
      </c>
      <c r="HB133" s="21">
        <v>0</v>
      </c>
      <c r="HC133" s="21">
        <v>2</v>
      </c>
      <c r="HD133" s="21">
        <v>2</v>
      </c>
      <c r="HE133" s="21">
        <v>2</v>
      </c>
      <c r="HF133" s="21">
        <v>4</v>
      </c>
      <c r="HG133" s="21">
        <v>4</v>
      </c>
      <c r="HH133" s="21">
        <v>4</v>
      </c>
      <c r="HI133" s="21">
        <v>6</v>
      </c>
      <c r="HJ133" s="21">
        <v>6</v>
      </c>
      <c r="HK133" s="21">
        <v>8</v>
      </c>
      <c r="HL133" s="21">
        <v>8</v>
      </c>
      <c r="HM133" s="21">
        <v>8</v>
      </c>
      <c r="HN133" s="21">
        <v>10</v>
      </c>
      <c r="HO133" s="21">
        <v>10</v>
      </c>
      <c r="HP133" s="21">
        <v>10</v>
      </c>
      <c r="HQ133" s="21">
        <v>12</v>
      </c>
      <c r="HR133" s="21">
        <v>12</v>
      </c>
      <c r="HS133" s="21">
        <v>14</v>
      </c>
      <c r="HT133" s="21">
        <v>14</v>
      </c>
      <c r="HU133" s="21"/>
      <c r="HV133" s="21" t="s">
        <v>853</v>
      </c>
      <c r="HW133" s="20">
        <v>0</v>
      </c>
      <c r="HX133" s="20">
        <v>0</v>
      </c>
      <c r="HY133" s="20">
        <v>0</v>
      </c>
      <c r="HZ133" s="20">
        <v>2</v>
      </c>
      <c r="IA133" s="20">
        <v>4</v>
      </c>
      <c r="IB133" s="20">
        <v>4</v>
      </c>
      <c r="IC133" s="20">
        <v>6</v>
      </c>
      <c r="ID133" s="20">
        <v>6</v>
      </c>
      <c r="IE133" s="20">
        <v>8</v>
      </c>
      <c r="IF133" s="20">
        <v>8</v>
      </c>
      <c r="IG133" s="20">
        <v>10</v>
      </c>
      <c r="IH133" s="20">
        <v>12</v>
      </c>
      <c r="II133" s="20">
        <v>12</v>
      </c>
      <c r="IJ133" s="20">
        <v>14</v>
      </c>
      <c r="IK133" s="20">
        <v>14</v>
      </c>
      <c r="IL133" s="20">
        <v>16</v>
      </c>
      <c r="IM133" s="20">
        <v>16</v>
      </c>
      <c r="IN133" s="20">
        <v>18</v>
      </c>
      <c r="IO133" s="20">
        <v>20</v>
      </c>
      <c r="IP133" s="20">
        <v>20</v>
      </c>
      <c r="IQ133" s="20">
        <v>22</v>
      </c>
      <c r="IR133" s="21"/>
      <c r="IS133" s="21" t="s">
        <v>853</v>
      </c>
      <c r="IT133" s="21">
        <f t="shared" si="39"/>
        <v>0</v>
      </c>
      <c r="IU133" s="21">
        <f t="shared" si="39"/>
        <v>0</v>
      </c>
      <c r="IV133" s="21">
        <f t="shared" si="39"/>
        <v>0</v>
      </c>
      <c r="IW133" s="21">
        <f t="shared" si="39"/>
        <v>4</v>
      </c>
      <c r="IX133" s="21">
        <f t="shared" si="39"/>
        <v>8</v>
      </c>
      <c r="IY133" s="21">
        <f t="shared" si="39"/>
        <v>8</v>
      </c>
      <c r="IZ133" s="21">
        <f t="shared" si="39"/>
        <v>12</v>
      </c>
      <c r="JA133" s="21">
        <f t="shared" si="39"/>
        <v>12</v>
      </c>
      <c r="JB133" s="21">
        <f t="shared" si="39"/>
        <v>16</v>
      </c>
      <c r="JC133" s="21">
        <f t="shared" si="39"/>
        <v>16</v>
      </c>
      <c r="JD133" s="21">
        <f t="shared" si="39"/>
        <v>20</v>
      </c>
      <c r="JE133" s="21">
        <f t="shared" si="39"/>
        <v>24</v>
      </c>
      <c r="JF133" s="21">
        <f t="shared" si="39"/>
        <v>24</v>
      </c>
      <c r="JG133" s="21">
        <f t="shared" si="39"/>
        <v>28</v>
      </c>
      <c r="JH133" s="21">
        <f t="shared" si="39"/>
        <v>28</v>
      </c>
      <c r="JI133" s="21">
        <f t="shared" ref="JI133:JN193" si="53">IL133*2</f>
        <v>32</v>
      </c>
      <c r="JJ133" s="21">
        <f t="shared" si="40"/>
        <v>32</v>
      </c>
      <c r="JK133" s="21">
        <f t="shared" si="40"/>
        <v>36</v>
      </c>
      <c r="JL133" s="21">
        <f t="shared" si="40"/>
        <v>40</v>
      </c>
      <c r="JM133" s="21">
        <f t="shared" si="40"/>
        <v>40</v>
      </c>
      <c r="JN133" s="21">
        <f t="shared" si="40"/>
        <v>44</v>
      </c>
      <c r="JO133" s="21"/>
      <c r="JP133" s="21"/>
      <c r="JQ133" s="26"/>
      <c r="JR133" s="21"/>
      <c r="JS133" s="21"/>
      <c r="JT133" s="21"/>
      <c r="JU133" s="21"/>
      <c r="JV133" s="21"/>
      <c r="JW133" s="21"/>
      <c r="JX133" s="21"/>
      <c r="JY133" s="21"/>
      <c r="JZ133" s="21"/>
      <c r="KA133" s="21"/>
      <c r="KB133" s="21"/>
      <c r="KC133" s="21"/>
      <c r="KD133" s="21"/>
      <c r="KE133" s="21"/>
      <c r="KF133" s="21"/>
      <c r="KG133" s="26"/>
      <c r="KH133" s="21"/>
    </row>
    <row r="134" spans="1:294" x14ac:dyDescent="0.25">
      <c r="A134" s="8"/>
      <c r="B134" s="5" t="s">
        <v>116</v>
      </c>
      <c r="C134" s="8"/>
      <c r="D134" s="6" t="s">
        <v>162</v>
      </c>
      <c r="E134" s="8">
        <v>0</v>
      </c>
      <c r="F134" s="5"/>
      <c r="G134" s="5"/>
      <c r="H134" s="5"/>
      <c r="I134" s="5"/>
      <c r="J134" s="5" t="s">
        <v>163</v>
      </c>
      <c r="K134" s="9"/>
      <c r="L134" s="6" t="str">
        <f>INDEX(($AE$201:$AF$201),1,MATCH(E131,$AE$190:$AF$190,0),1)</f>
        <v>PUFK</v>
      </c>
      <c r="M134" s="11">
        <f>INDEX(cennik!$C$2:$L$529,MATCH($L134,cennik!$B$2:$B$522,0),MATCH(M$104,cennik!$C$1:$L$1,0))</f>
        <v>890300</v>
      </c>
      <c r="N134" s="11" t="str">
        <f>INDEX(cennik!$C$2:$L$529,MATCH($L134,cennik!$B$2:$B$522,0),MATCH(N$104,cennik!$C$1:$L$1,0))</f>
        <v>szt.</v>
      </c>
      <c r="O134" s="11">
        <f>SUM(IF(A129=0,0,IF(A129&gt;0,(A129-2)*2*C129)),IF(A130=0,0,IF(A130&gt;0,(A130-2)*2*C130)),IF(A131=0,0,IF(A131&gt;0,(A131-2)*2*C131)),IF(A132=0,0,IF(A132&gt;0,(A132-2)*2*C132)),IF(A133=0,0,IF(A133&gt;0,(A133-2)*2*C133)),IF(A134=0,0,IF(A134&gt;0,(A134-2)*2*C134)),IF(A135=0,0,IF(A135&gt;0,(A135-2)*2*C135)),IF(A136=0,0,IF(A136&gt;0,(A136-2)*2*C136)),IF(A137=0,0,IF(A137&gt;0,(A137-2)*2*C137)),IF(A138=0,0,IF(A138&gt;0,(A138-2)*2*C138)),IF(A139=0,0,IF(A139&gt;0,(A139-2)*2*C139)),IF(A140=0,0,IF(A140&gt;0,(A140-2)*2*C140)),IF(A141=0,0,IF(A141&gt;0,(A141-2)*2*C141)),IF(A142=0,0,IF(A142&gt;0,(A142-2)*2*C142)),IF(A143=0,0,IF(A143&gt;0,(A143-2)*2*C143)),IF(A144=0,0,IF(A144&gt;0,(A144-2)*2*C144)))</f>
        <v>0</v>
      </c>
      <c r="P134" s="34">
        <f>INDEX(cennik!$C$2:$L$529,MATCH($L134,cennik!$B$2:$B$522,0),MATCH(P$104,cennik!$C$1:$L$1,0))</f>
        <v>7.31</v>
      </c>
      <c r="Q134" s="34">
        <f t="shared" si="49"/>
        <v>0</v>
      </c>
      <c r="R134" s="35">
        <f t="shared" si="47"/>
        <v>0</v>
      </c>
      <c r="S134" s="34">
        <f t="shared" si="48"/>
        <v>7.31</v>
      </c>
      <c r="T134" s="34">
        <f t="shared" si="50"/>
        <v>0</v>
      </c>
      <c r="U134" s="34">
        <f>INDEX(cennik!$C$2:$L$529,MATCH($L134,cennik!$B$2:$B$522,0),MATCH(U$104,cennik!$C$1:$L$1,0))*O134</f>
        <v>0</v>
      </c>
      <c r="V134" s="20"/>
      <c r="W134" s="25">
        <f t="shared" si="46"/>
        <v>0</v>
      </c>
      <c r="X134" s="20" t="s">
        <v>715</v>
      </c>
      <c r="Y134" s="20">
        <v>1300</v>
      </c>
      <c r="Z134" s="20"/>
      <c r="AA134" s="20"/>
      <c r="AB134" s="20">
        <f t="shared" si="44"/>
        <v>0</v>
      </c>
      <c r="AC134" s="20"/>
      <c r="AD134" s="20"/>
      <c r="AE134" s="20"/>
      <c r="AF134" s="20">
        <v>33</v>
      </c>
      <c r="AG134" s="20" t="s">
        <v>881</v>
      </c>
      <c r="AH134" s="20">
        <v>0</v>
      </c>
      <c r="AI134" s="20"/>
      <c r="AJ134" s="20">
        <f t="shared" si="51"/>
        <v>0</v>
      </c>
      <c r="AK134" s="20">
        <f t="shared" si="52"/>
        <v>0</v>
      </c>
      <c r="AL134" s="20" t="s">
        <v>12</v>
      </c>
      <c r="AM134" s="20">
        <v>0</v>
      </c>
      <c r="AN134" s="20">
        <v>2</v>
      </c>
      <c r="AO134" s="20">
        <v>0</v>
      </c>
      <c r="AP134" s="20">
        <v>0</v>
      </c>
      <c r="AQ134" s="20">
        <v>2</v>
      </c>
      <c r="AR134" s="20">
        <v>0</v>
      </c>
      <c r="AS134" s="20">
        <v>4</v>
      </c>
      <c r="AT134" s="20">
        <v>2</v>
      </c>
      <c r="AU134" s="20">
        <v>0</v>
      </c>
      <c r="AV134" s="20">
        <v>4</v>
      </c>
      <c r="AW134" s="20">
        <v>2</v>
      </c>
      <c r="AX134" s="20">
        <v>0</v>
      </c>
      <c r="AY134" s="20">
        <v>4</v>
      </c>
      <c r="AZ134" s="20">
        <v>2</v>
      </c>
      <c r="BA134" s="20">
        <v>0</v>
      </c>
      <c r="BB134" s="20">
        <v>0</v>
      </c>
      <c r="BC134" s="20">
        <v>2</v>
      </c>
      <c r="BD134" s="20">
        <v>0</v>
      </c>
      <c r="BE134" s="20">
        <v>4</v>
      </c>
      <c r="BF134" s="20">
        <v>0</v>
      </c>
      <c r="BG134" s="20">
        <v>0</v>
      </c>
      <c r="BH134" s="20">
        <v>2</v>
      </c>
      <c r="BI134" s="20">
        <v>0</v>
      </c>
      <c r="BJ134" s="20">
        <v>0</v>
      </c>
      <c r="BK134" s="20">
        <v>0</v>
      </c>
      <c r="BL134" s="20">
        <v>0</v>
      </c>
      <c r="BM134" s="20">
        <v>0</v>
      </c>
      <c r="BN134" s="20">
        <v>4</v>
      </c>
      <c r="BO134" s="20">
        <v>0</v>
      </c>
      <c r="BP134" s="20">
        <v>0</v>
      </c>
      <c r="BQ134" s="20">
        <v>0</v>
      </c>
      <c r="BR134" s="20">
        <v>0</v>
      </c>
      <c r="BS134" s="20">
        <v>0</v>
      </c>
      <c r="BT134" s="20">
        <v>2</v>
      </c>
      <c r="BU134" s="20">
        <v>0</v>
      </c>
      <c r="BV134" s="20">
        <v>0</v>
      </c>
      <c r="BW134" s="20">
        <v>0</v>
      </c>
      <c r="BX134" s="20">
        <v>0</v>
      </c>
      <c r="BY134" s="20">
        <v>0</v>
      </c>
      <c r="BZ134" s="20">
        <v>0</v>
      </c>
      <c r="CA134" s="20">
        <v>0</v>
      </c>
      <c r="CB134" s="20">
        <v>0</v>
      </c>
      <c r="CC134" s="20">
        <v>4</v>
      </c>
      <c r="CD134" s="20">
        <v>0</v>
      </c>
      <c r="CE134" s="20">
        <v>0</v>
      </c>
      <c r="CF134" s="20">
        <v>0</v>
      </c>
      <c r="CG134" s="20">
        <v>0</v>
      </c>
      <c r="CH134" s="20">
        <v>0</v>
      </c>
      <c r="CI134" s="20">
        <v>0</v>
      </c>
      <c r="CJ134" s="20">
        <v>0</v>
      </c>
      <c r="CK134" s="20">
        <v>0</v>
      </c>
      <c r="CL134" s="20"/>
      <c r="CM134" s="20"/>
      <c r="CN134" s="20"/>
      <c r="CO134" s="20"/>
      <c r="CP134" s="20"/>
      <c r="CQ134" s="20"/>
      <c r="CR134" s="20"/>
      <c r="CS134" s="20"/>
      <c r="CT134" s="20"/>
      <c r="CU134" s="20"/>
      <c r="CV134" s="20"/>
      <c r="CW134" s="20"/>
      <c r="CX134" s="20"/>
      <c r="CY134" s="20"/>
      <c r="CZ134" s="20"/>
      <c r="DA134" s="20"/>
      <c r="DB134" s="20"/>
      <c r="DC134" s="20"/>
      <c r="DD134" s="20"/>
      <c r="DE134" s="20"/>
      <c r="DF134" s="20"/>
      <c r="DG134" s="20"/>
      <c r="DH134" s="20"/>
      <c r="DI134" s="20"/>
      <c r="DJ134" s="20"/>
      <c r="DK134" s="20"/>
      <c r="DL134" s="20"/>
      <c r="DM134" s="20"/>
      <c r="DN134" s="20"/>
      <c r="DO134" s="20"/>
      <c r="DP134" s="20"/>
      <c r="DQ134" s="20"/>
      <c r="DR134" s="20"/>
      <c r="DS134" s="20"/>
      <c r="DT134" s="20"/>
      <c r="DU134" s="20"/>
      <c r="DV134" s="20"/>
      <c r="DW134" s="20"/>
      <c r="DX134" s="20"/>
      <c r="DY134" s="20"/>
      <c r="DZ134" s="54">
        <v>31</v>
      </c>
      <c r="EA134" s="54"/>
      <c r="EB134" s="54">
        <v>35</v>
      </c>
      <c r="EC134" s="20"/>
      <c r="ED134" s="20"/>
      <c r="EE134" s="20"/>
      <c r="EF134" s="20"/>
      <c r="EG134" s="20"/>
      <c r="EH134" s="20"/>
      <c r="EI134" s="20"/>
      <c r="EJ134" s="20"/>
      <c r="EK134" s="20"/>
      <c r="EL134" s="20"/>
      <c r="EM134" s="20"/>
      <c r="EN134" s="20"/>
      <c r="EO134" s="20"/>
      <c r="EP134" s="20"/>
      <c r="EQ134" s="20"/>
      <c r="ER134" s="20"/>
      <c r="ES134" s="20"/>
      <c r="ET134" s="20"/>
      <c r="EU134" s="20"/>
      <c r="EV134" s="20" t="s">
        <v>208</v>
      </c>
      <c r="EW134" s="20">
        <v>0</v>
      </c>
      <c r="EX134" s="20">
        <v>0</v>
      </c>
      <c r="EY134" s="20">
        <v>0</v>
      </c>
      <c r="EZ134" s="20">
        <v>0</v>
      </c>
      <c r="FA134" s="20">
        <v>0</v>
      </c>
      <c r="FB134" s="20">
        <v>0</v>
      </c>
      <c r="FC134" s="20">
        <v>0</v>
      </c>
      <c r="FD134" s="20">
        <v>0</v>
      </c>
      <c r="FE134" s="20">
        <v>2</v>
      </c>
      <c r="FF134" s="20">
        <v>0</v>
      </c>
      <c r="FG134" s="20">
        <v>0</v>
      </c>
      <c r="FH134" s="20">
        <v>0</v>
      </c>
      <c r="FI134" s="20">
        <v>0</v>
      </c>
      <c r="FJ134" s="20">
        <v>0</v>
      </c>
      <c r="FK134" s="20">
        <v>0</v>
      </c>
      <c r="FL134" s="20">
        <v>0</v>
      </c>
      <c r="FM134" s="20">
        <v>0</v>
      </c>
      <c r="FN134" s="20">
        <v>0</v>
      </c>
      <c r="FO134" s="20">
        <v>0</v>
      </c>
      <c r="FP134" s="20">
        <v>0</v>
      </c>
      <c r="FQ134" s="20">
        <v>0</v>
      </c>
      <c r="FR134" s="20">
        <v>0</v>
      </c>
      <c r="FS134" s="20">
        <v>0</v>
      </c>
      <c r="FT134" s="20">
        <v>0</v>
      </c>
      <c r="FU134" s="20">
        <v>0</v>
      </c>
      <c r="FV134" s="20">
        <v>0</v>
      </c>
      <c r="FW134" s="20">
        <v>0</v>
      </c>
      <c r="FX134" s="20">
        <v>0</v>
      </c>
      <c r="FY134" s="20">
        <v>0</v>
      </c>
      <c r="FZ134" s="20">
        <v>0</v>
      </c>
      <c r="GA134" s="20">
        <v>0</v>
      </c>
      <c r="GB134" s="20">
        <v>0</v>
      </c>
      <c r="GC134" s="20">
        <v>0</v>
      </c>
      <c r="GD134" s="20">
        <v>0</v>
      </c>
      <c r="GE134" s="20">
        <v>0</v>
      </c>
      <c r="GF134" s="20">
        <v>0</v>
      </c>
      <c r="GG134" s="20">
        <v>0</v>
      </c>
      <c r="GH134" s="20">
        <v>0</v>
      </c>
      <c r="GI134" s="20">
        <v>0</v>
      </c>
      <c r="GJ134" s="20">
        <v>0</v>
      </c>
      <c r="GK134" s="20">
        <v>0</v>
      </c>
      <c r="GL134" s="20">
        <v>0</v>
      </c>
      <c r="GM134" s="20">
        <v>0</v>
      </c>
      <c r="GN134" s="20">
        <v>0</v>
      </c>
      <c r="GO134" s="20">
        <v>0</v>
      </c>
      <c r="GP134" s="20">
        <v>0</v>
      </c>
      <c r="GQ134" s="20">
        <v>0</v>
      </c>
      <c r="GR134" s="20">
        <v>0</v>
      </c>
      <c r="GS134" s="20">
        <v>0</v>
      </c>
      <c r="GT134" s="20">
        <v>0</v>
      </c>
      <c r="GU134" s="20">
        <v>0</v>
      </c>
      <c r="GV134" s="20"/>
      <c r="GW134" s="20"/>
      <c r="GX134" s="20"/>
      <c r="GY134" s="21"/>
      <c r="GZ134" s="21"/>
      <c r="HA134" s="21"/>
      <c r="HB134" s="21"/>
      <c r="HC134" s="21"/>
      <c r="HD134" s="21"/>
      <c r="HE134" s="21"/>
      <c r="HF134" s="21"/>
      <c r="HG134" s="21"/>
      <c r="HH134" s="21"/>
      <c r="HI134" s="21"/>
      <c r="HJ134" s="21"/>
      <c r="HK134" s="21"/>
      <c r="HL134" s="21"/>
      <c r="HM134" s="21"/>
      <c r="HN134" s="21"/>
      <c r="HO134" s="21"/>
      <c r="HP134" s="21"/>
      <c r="HQ134" s="21"/>
      <c r="HR134" s="21"/>
      <c r="HS134" s="21"/>
      <c r="HT134" s="21"/>
      <c r="HU134" s="21"/>
      <c r="HV134" s="186"/>
      <c r="HW134" s="21"/>
      <c r="HX134" s="21"/>
      <c r="HY134" s="21"/>
      <c r="HZ134" s="21"/>
      <c r="IA134" s="21"/>
      <c r="IB134" s="21"/>
      <c r="IC134" s="21"/>
      <c r="ID134" s="21"/>
      <c r="IE134" s="21"/>
      <c r="IF134" s="21"/>
      <c r="IG134" s="21"/>
      <c r="IH134" s="21"/>
      <c r="II134" s="21"/>
      <c r="IJ134" s="21"/>
      <c r="IK134" s="21"/>
      <c r="IL134" s="21"/>
      <c r="IM134" s="21"/>
      <c r="IN134" s="21"/>
      <c r="IO134" s="21"/>
      <c r="IP134" s="21"/>
      <c r="IQ134" s="21"/>
      <c r="IR134" s="21"/>
      <c r="IS134" s="21"/>
      <c r="IT134" s="21"/>
      <c r="IU134" s="21"/>
      <c r="IV134" s="21"/>
      <c r="IW134" s="21"/>
      <c r="IX134" s="21"/>
      <c r="IY134" s="21"/>
      <c r="IZ134" s="21"/>
      <c r="JA134" s="21"/>
      <c r="JB134" s="21"/>
      <c r="JC134" s="21"/>
      <c r="JD134" s="21"/>
      <c r="JE134" s="21"/>
      <c r="JF134" s="21"/>
      <c r="JG134" s="21"/>
      <c r="JH134" s="21"/>
      <c r="JI134" s="21"/>
      <c r="JJ134" s="21"/>
      <c r="JK134" s="21"/>
      <c r="JL134" s="21"/>
      <c r="JM134" s="21"/>
      <c r="JN134" s="21"/>
      <c r="JO134" s="21"/>
      <c r="JP134" s="21"/>
      <c r="JQ134" s="26"/>
      <c r="JR134" s="21"/>
      <c r="JS134" s="21"/>
      <c r="JT134" s="21"/>
      <c r="JU134" s="21"/>
      <c r="JV134" s="21"/>
      <c r="JW134" s="21"/>
      <c r="JX134" s="21"/>
      <c r="JY134" s="21"/>
      <c r="JZ134" s="21"/>
      <c r="KA134" s="21"/>
      <c r="KB134" s="21"/>
      <c r="KC134" s="21"/>
      <c r="KD134" s="21"/>
      <c r="KE134" s="21"/>
      <c r="KF134" s="21"/>
      <c r="KG134" s="26"/>
      <c r="KH134" s="21"/>
    </row>
    <row r="135" spans="1:294" x14ac:dyDescent="0.25">
      <c r="A135" s="8"/>
      <c r="B135" s="5" t="s">
        <v>116</v>
      </c>
      <c r="C135" s="8"/>
      <c r="D135" s="6" t="s">
        <v>510</v>
      </c>
      <c r="E135" s="8">
        <v>0</v>
      </c>
      <c r="F135" s="6"/>
      <c r="G135" s="6"/>
      <c r="H135" s="6"/>
      <c r="I135" s="6"/>
      <c r="J135" s="5" t="s">
        <v>412</v>
      </c>
      <c r="K135" s="9"/>
      <c r="L135" s="6" t="s">
        <v>923</v>
      </c>
      <c r="M135" s="11">
        <f>INDEX(cennik!$C$2:$L$529,MATCH($L135,cennik!$B$2:$B$522,0),MATCH(M$104,cennik!$C$1:$L$1,0))</f>
        <v>651542</v>
      </c>
      <c r="N135" s="11" t="str">
        <f>INDEX(cennik!$C$2:$L$529,MATCH($L135,cennik!$B$2:$B$522,0),MATCH(N$104,cennik!$C$1:$L$1,0))</f>
        <v>100 szt.</v>
      </c>
      <c r="O135" s="11">
        <f>ROUNDUP(O132/100,0)</f>
        <v>0</v>
      </c>
      <c r="P135" s="34">
        <f>INDEX(cennik!$C$2:$L$529,MATCH($L135,cennik!$B$2:$B$522,0),MATCH(P$104,cennik!$C$1:$L$1,0))</f>
        <v>89.15</v>
      </c>
      <c r="Q135" s="34">
        <f t="shared" si="49"/>
        <v>0</v>
      </c>
      <c r="R135" s="35">
        <f t="shared" si="47"/>
        <v>0</v>
      </c>
      <c r="S135" s="34">
        <f t="shared" si="48"/>
        <v>89.15</v>
      </c>
      <c r="T135" s="34">
        <f t="shared" si="50"/>
        <v>0</v>
      </c>
      <c r="U135" s="34">
        <f>INDEX(cennik!$C$2:$L$529,MATCH($L135,cennik!$B$2:$B$522,0),MATCH(U$104,cennik!$C$1:$L$1,0))*O135</f>
        <v>0</v>
      </c>
      <c r="V135" s="20"/>
      <c r="W135" s="25">
        <f t="shared" si="46"/>
        <v>0</v>
      </c>
      <c r="X135" s="20" t="s">
        <v>762</v>
      </c>
      <c r="Y135" s="20">
        <v>1350</v>
      </c>
      <c r="Z135" s="20"/>
      <c r="AA135" s="20"/>
      <c r="AB135" s="20">
        <f t="shared" si="44"/>
        <v>0</v>
      </c>
      <c r="AC135" s="20"/>
      <c r="AD135" s="20"/>
      <c r="AE135" s="20"/>
      <c r="AF135" s="20">
        <v>34</v>
      </c>
      <c r="AG135" s="20" t="s">
        <v>881</v>
      </c>
      <c r="AH135" s="20">
        <v>0</v>
      </c>
      <c r="AI135" s="20"/>
      <c r="AJ135" s="20">
        <f t="shared" si="51"/>
        <v>0</v>
      </c>
      <c r="AK135" s="20">
        <f t="shared" si="52"/>
        <v>0</v>
      </c>
      <c r="AL135" s="20" t="s">
        <v>127</v>
      </c>
      <c r="AM135" s="20">
        <v>0</v>
      </c>
      <c r="AN135" s="20">
        <v>0</v>
      </c>
      <c r="AO135" s="20">
        <v>0</v>
      </c>
      <c r="AP135" s="20">
        <v>0</v>
      </c>
      <c r="AQ135" s="20">
        <v>0</v>
      </c>
      <c r="AR135" s="20">
        <v>0</v>
      </c>
      <c r="AS135" s="20">
        <v>0</v>
      </c>
      <c r="AT135" s="20">
        <v>0</v>
      </c>
      <c r="AU135" s="20">
        <v>0</v>
      </c>
      <c r="AV135" s="20">
        <v>0</v>
      </c>
      <c r="AW135" s="20">
        <v>0</v>
      </c>
      <c r="AX135" s="20">
        <v>0</v>
      </c>
      <c r="AY135" s="20">
        <v>0</v>
      </c>
      <c r="AZ135" s="20">
        <v>0</v>
      </c>
      <c r="BA135" s="20">
        <v>0</v>
      </c>
      <c r="BB135" s="20">
        <v>4</v>
      </c>
      <c r="BC135" s="20">
        <v>0</v>
      </c>
      <c r="BD135" s="20">
        <v>0</v>
      </c>
      <c r="BE135" s="20">
        <v>0</v>
      </c>
      <c r="BF135" s="20">
        <v>2</v>
      </c>
      <c r="BG135" s="20">
        <v>0</v>
      </c>
      <c r="BH135" s="20">
        <v>2</v>
      </c>
      <c r="BI135" s="20">
        <v>2</v>
      </c>
      <c r="BJ135" s="20">
        <v>0</v>
      </c>
      <c r="BK135" s="20">
        <v>4</v>
      </c>
      <c r="BL135" s="20">
        <v>2</v>
      </c>
      <c r="BM135" s="20">
        <v>0</v>
      </c>
      <c r="BN135" s="20">
        <v>0</v>
      </c>
      <c r="BO135" s="20">
        <v>0</v>
      </c>
      <c r="BP135" s="20">
        <v>0</v>
      </c>
      <c r="BQ135" s="20">
        <v>2</v>
      </c>
      <c r="BR135" s="20">
        <v>0</v>
      </c>
      <c r="BS135" s="20">
        <v>0</v>
      </c>
      <c r="BT135" s="20">
        <v>0</v>
      </c>
      <c r="BU135" s="20">
        <v>2</v>
      </c>
      <c r="BV135" s="20">
        <v>0</v>
      </c>
      <c r="BW135" s="20">
        <v>2</v>
      </c>
      <c r="BX135" s="20">
        <v>2</v>
      </c>
      <c r="BY135" s="20">
        <v>0</v>
      </c>
      <c r="BZ135" s="20">
        <v>0</v>
      </c>
      <c r="CA135" s="20">
        <v>0</v>
      </c>
      <c r="CB135" s="20">
        <v>0</v>
      </c>
      <c r="CC135" s="20">
        <v>0</v>
      </c>
      <c r="CD135" s="20">
        <v>0</v>
      </c>
      <c r="CE135" s="20">
        <v>0</v>
      </c>
      <c r="CF135" s="20">
        <v>2</v>
      </c>
      <c r="CG135" s="20">
        <v>0</v>
      </c>
      <c r="CH135" s="20">
        <v>0</v>
      </c>
      <c r="CI135" s="20">
        <v>0</v>
      </c>
      <c r="CJ135" s="20">
        <v>0</v>
      </c>
      <c r="CK135" s="20">
        <v>0</v>
      </c>
      <c r="CL135" s="20"/>
      <c r="CM135" s="20"/>
      <c r="CN135" s="20"/>
      <c r="CO135" s="20"/>
      <c r="CP135" s="20"/>
      <c r="CQ135" s="20"/>
      <c r="CR135" s="20"/>
      <c r="CS135" s="20"/>
      <c r="CT135" s="20"/>
      <c r="CU135" s="20"/>
      <c r="CV135" s="20"/>
      <c r="CW135" s="20"/>
      <c r="CX135" s="20"/>
      <c r="CY135" s="20"/>
      <c r="CZ135" s="20"/>
      <c r="DA135" s="20"/>
      <c r="DB135" s="20"/>
      <c r="DC135" s="20"/>
      <c r="DD135" s="20"/>
      <c r="DE135" s="20"/>
      <c r="DF135" s="20"/>
      <c r="DG135" s="20"/>
      <c r="DH135" s="20"/>
      <c r="DI135" s="20"/>
      <c r="DJ135" s="20"/>
      <c r="DK135" s="20"/>
      <c r="DL135" s="20"/>
      <c r="DM135" s="20"/>
      <c r="DN135" s="20"/>
      <c r="DO135" s="20"/>
      <c r="DP135" s="20"/>
      <c r="DQ135" s="20"/>
      <c r="DR135" s="20"/>
      <c r="DS135" s="20"/>
      <c r="DT135" s="20"/>
      <c r="DU135" s="20"/>
      <c r="DV135" s="20"/>
      <c r="DW135" s="20"/>
      <c r="DX135" s="20"/>
      <c r="DY135" s="20"/>
      <c r="DZ135" s="54">
        <v>32</v>
      </c>
      <c r="EA135" s="54"/>
      <c r="EB135" s="54">
        <v>38</v>
      </c>
      <c r="EC135" s="20"/>
      <c r="ED135" s="20"/>
      <c r="EE135" s="20"/>
      <c r="EF135" s="20"/>
      <c r="EG135" s="20"/>
      <c r="EH135" s="20"/>
      <c r="EI135" s="20"/>
      <c r="EJ135" s="20"/>
      <c r="EK135" s="20"/>
      <c r="EL135" s="20"/>
      <c r="EM135" s="20"/>
      <c r="EN135" s="20"/>
      <c r="EO135" s="20"/>
      <c r="EP135" s="20"/>
      <c r="EQ135" s="20"/>
      <c r="ER135" s="20"/>
      <c r="ES135" s="20"/>
      <c r="ET135" s="20"/>
      <c r="EU135" s="20"/>
      <c r="EV135" s="20" t="s">
        <v>211</v>
      </c>
      <c r="EW135" s="20">
        <v>0</v>
      </c>
      <c r="EX135" s="20">
        <v>0</v>
      </c>
      <c r="EY135" s="20">
        <v>0</v>
      </c>
      <c r="EZ135" s="20">
        <v>0</v>
      </c>
      <c r="FA135" s="20">
        <v>0</v>
      </c>
      <c r="FB135" s="20">
        <v>2</v>
      </c>
      <c r="FC135" s="20">
        <v>0</v>
      </c>
      <c r="FD135" s="20">
        <v>0</v>
      </c>
      <c r="FE135" s="20">
        <v>0</v>
      </c>
      <c r="FF135" s="20">
        <v>0</v>
      </c>
      <c r="FG135" s="20">
        <v>0</v>
      </c>
      <c r="FH135" s="20">
        <v>0</v>
      </c>
      <c r="FI135" s="20">
        <v>0</v>
      </c>
      <c r="FJ135" s="20">
        <v>0</v>
      </c>
      <c r="FK135" s="20">
        <v>0</v>
      </c>
      <c r="FL135" s="20">
        <v>0</v>
      </c>
      <c r="FM135" s="20">
        <v>0</v>
      </c>
      <c r="FN135" s="20">
        <v>0</v>
      </c>
      <c r="FO135" s="20">
        <v>0</v>
      </c>
      <c r="FP135" s="20">
        <v>0</v>
      </c>
      <c r="FQ135" s="20">
        <v>0</v>
      </c>
      <c r="FR135" s="20">
        <v>0</v>
      </c>
      <c r="FS135" s="20">
        <v>0</v>
      </c>
      <c r="FT135" s="20">
        <v>0</v>
      </c>
      <c r="FU135" s="20">
        <v>0</v>
      </c>
      <c r="FV135" s="20">
        <v>0</v>
      </c>
      <c r="FW135" s="20">
        <v>0</v>
      </c>
      <c r="FX135" s="20">
        <v>0</v>
      </c>
      <c r="FY135" s="20">
        <v>0</v>
      </c>
      <c r="FZ135" s="20">
        <v>0</v>
      </c>
      <c r="GA135" s="20">
        <v>0</v>
      </c>
      <c r="GB135" s="20">
        <v>0</v>
      </c>
      <c r="GC135" s="20">
        <v>0</v>
      </c>
      <c r="GD135" s="20">
        <v>0</v>
      </c>
      <c r="GE135" s="20">
        <v>0</v>
      </c>
      <c r="GF135" s="20">
        <v>0</v>
      </c>
      <c r="GG135" s="20">
        <v>0</v>
      </c>
      <c r="GH135" s="20">
        <v>0</v>
      </c>
      <c r="GI135" s="20">
        <v>0</v>
      </c>
      <c r="GJ135" s="20">
        <v>0</v>
      </c>
      <c r="GK135" s="20">
        <v>0</v>
      </c>
      <c r="GL135" s="20">
        <v>0</v>
      </c>
      <c r="GM135" s="20">
        <v>0</v>
      </c>
      <c r="GN135" s="20">
        <v>0</v>
      </c>
      <c r="GO135" s="20">
        <v>0</v>
      </c>
      <c r="GP135" s="20">
        <v>0</v>
      </c>
      <c r="GQ135" s="20">
        <v>0</v>
      </c>
      <c r="GR135" s="20">
        <v>0</v>
      </c>
      <c r="GS135" s="20">
        <v>0</v>
      </c>
      <c r="GT135" s="20">
        <v>0</v>
      </c>
      <c r="GU135" s="20">
        <v>0</v>
      </c>
      <c r="GV135" s="20"/>
      <c r="GW135" s="20"/>
      <c r="GX135" s="20"/>
      <c r="GY135" s="21" t="s">
        <v>714</v>
      </c>
      <c r="GZ135" s="21"/>
      <c r="HA135" s="21"/>
      <c r="HB135" s="21"/>
      <c r="HC135" s="21"/>
      <c r="HD135" s="21"/>
      <c r="HE135" s="21"/>
      <c r="HF135" s="21"/>
      <c r="HG135" s="21"/>
      <c r="HH135" s="21"/>
      <c r="HI135" s="21"/>
      <c r="HJ135" s="21"/>
      <c r="HK135" s="21"/>
      <c r="HL135" s="21"/>
      <c r="HM135" s="21"/>
      <c r="HN135" s="21"/>
      <c r="HO135" s="21"/>
      <c r="HP135" s="21"/>
      <c r="HQ135" s="21"/>
      <c r="HR135" s="21"/>
      <c r="HS135" s="21"/>
      <c r="HT135" s="21"/>
      <c r="HU135" s="346"/>
      <c r="HV135" s="186" t="s">
        <v>471</v>
      </c>
      <c r="HW135" s="21"/>
      <c r="HX135" s="21"/>
      <c r="HY135" s="21"/>
      <c r="HZ135" s="21"/>
      <c r="IA135" s="21"/>
      <c r="IB135" s="21"/>
      <c r="IC135" s="21"/>
      <c r="ID135" s="21"/>
      <c r="IE135" s="21"/>
      <c r="IF135" s="21"/>
      <c r="IG135" s="21"/>
      <c r="IH135" s="21"/>
      <c r="II135" s="21"/>
      <c r="IJ135" s="21"/>
      <c r="IK135" s="21"/>
      <c r="IL135" s="21"/>
      <c r="IM135" s="21"/>
      <c r="IN135" s="21"/>
      <c r="IO135" s="21"/>
      <c r="IP135" s="21"/>
      <c r="IQ135" s="21"/>
      <c r="IR135" s="21"/>
      <c r="IS135" s="21" t="s">
        <v>471</v>
      </c>
      <c r="IT135" s="21"/>
      <c r="IU135" s="21"/>
      <c r="IV135" s="21"/>
      <c r="IW135" s="21"/>
      <c r="IX135" s="21"/>
      <c r="IY135" s="21"/>
      <c r="IZ135" s="21"/>
      <c r="JA135" s="21"/>
      <c r="JB135" s="21"/>
      <c r="JC135" s="21"/>
      <c r="JD135" s="21"/>
      <c r="JE135" s="21"/>
      <c r="JF135" s="21"/>
      <c r="JG135" s="21"/>
      <c r="JH135" s="21"/>
      <c r="JI135" s="21"/>
      <c r="JJ135" s="21"/>
      <c r="JK135" s="21"/>
      <c r="JL135" s="21"/>
      <c r="JM135" s="21"/>
      <c r="JN135" s="21"/>
      <c r="JO135" s="21"/>
      <c r="JP135" s="21"/>
      <c r="JQ135" s="21"/>
      <c r="JR135" s="21"/>
      <c r="JS135" s="21"/>
      <c r="JT135" s="21"/>
      <c r="JU135" s="21"/>
      <c r="JV135" s="21"/>
      <c r="JW135" s="21"/>
      <c r="JX135" s="21"/>
      <c r="JY135" s="21"/>
      <c r="JZ135" s="21"/>
      <c r="KA135" s="21"/>
      <c r="KB135" s="21"/>
      <c r="KC135" s="21"/>
      <c r="KD135" s="21"/>
      <c r="KE135" s="21"/>
      <c r="KF135" s="21"/>
      <c r="KG135" s="26"/>
      <c r="KH135" s="21"/>
    </row>
    <row r="136" spans="1:294" x14ac:dyDescent="0.25">
      <c r="A136" s="8"/>
      <c r="B136" s="5" t="s">
        <v>116</v>
      </c>
      <c r="C136" s="8"/>
      <c r="D136" s="6" t="s">
        <v>511</v>
      </c>
      <c r="E136" s="9"/>
      <c r="F136" s="9"/>
      <c r="G136" s="9"/>
      <c r="H136" s="9"/>
      <c r="I136" s="9"/>
      <c r="J136" s="9"/>
      <c r="K136" s="9"/>
      <c r="L136" s="6" t="str">
        <f>IF(E132=$Z$104,"SBV250X350",IF(E132=$Z$105,"-------",IF(E132=$Z$106,"-------",IF(E132=$Z$107,"-------",0))))</f>
        <v>-------</v>
      </c>
      <c r="M136" s="11" t="str">
        <f>INDEX(cennik!$C$2:$L$529,MATCH($L136,cennik!$B$2:$B$522,0),MATCH(M$104,cennik!$C$1:$L$1,0))</f>
        <v>-------</v>
      </c>
      <c r="N136" s="11">
        <f>INDEX(cennik!$C$2:$L$529,MATCH($L136,cennik!$B$2:$B$522,0),MATCH(N$104,cennik!$C$1:$L$1,0))</f>
        <v>0</v>
      </c>
      <c r="O136" s="11">
        <f>IF(E132=$Z$104,O130*2,IF(E132=$Z$105,0,IF(E132=$Z$106,0,IF(E132=$Z$107,0))))</f>
        <v>0</v>
      </c>
      <c r="P136" s="34">
        <f>INDEX(cennik!$C$2:$L$529,MATCH($L136,cennik!$B$2:$B$522,0),MATCH(P$104,cennik!$C$1:$L$1,0))</f>
        <v>0</v>
      </c>
      <c r="Q136" s="34">
        <f t="shared" si="49"/>
        <v>0</v>
      </c>
      <c r="R136" s="35">
        <f t="shared" si="47"/>
        <v>0</v>
      </c>
      <c r="S136" s="34">
        <f t="shared" si="48"/>
        <v>0</v>
      </c>
      <c r="T136" s="34">
        <f t="shared" si="50"/>
        <v>0</v>
      </c>
      <c r="U136" s="34">
        <f>INDEX(cennik!$C$2:$L$529,MATCH($L136,cennik!$B$2:$B$522,0),MATCH(U$104,cennik!$C$1:$L$1,0))*O136</f>
        <v>0</v>
      </c>
      <c r="V136" s="20"/>
      <c r="W136" s="25">
        <f t="shared" si="46"/>
        <v>0</v>
      </c>
      <c r="X136" s="20"/>
      <c r="Y136" s="21"/>
      <c r="Z136" s="20"/>
      <c r="AA136" s="20"/>
      <c r="AB136" s="20"/>
      <c r="AC136" s="20"/>
      <c r="AD136" s="20"/>
      <c r="AE136" s="20"/>
      <c r="AF136" s="20">
        <v>35</v>
      </c>
      <c r="AG136" s="20" t="s">
        <v>881</v>
      </c>
      <c r="AH136" s="20">
        <v>0</v>
      </c>
      <c r="AI136" s="20"/>
      <c r="AJ136" s="20">
        <f t="shared" si="51"/>
        <v>0</v>
      </c>
      <c r="AK136" s="20">
        <f t="shared" si="52"/>
        <v>0</v>
      </c>
      <c r="AL136" s="20" t="s">
        <v>15</v>
      </c>
      <c r="AM136" s="20">
        <v>0</v>
      </c>
      <c r="AN136" s="20">
        <v>0</v>
      </c>
      <c r="AO136" s="20">
        <v>0</v>
      </c>
      <c r="AP136" s="20">
        <v>0</v>
      </c>
      <c r="AQ136" s="20">
        <v>2</v>
      </c>
      <c r="AR136" s="20">
        <v>4</v>
      </c>
      <c r="AS136" s="20">
        <v>2</v>
      </c>
      <c r="AT136" s="20">
        <v>4</v>
      </c>
      <c r="AU136" s="20">
        <v>6</v>
      </c>
      <c r="AV136" s="20">
        <v>4</v>
      </c>
      <c r="AW136" s="20">
        <v>6</v>
      </c>
      <c r="AX136" s="20">
        <v>8</v>
      </c>
      <c r="AY136" s="20">
        <v>6</v>
      </c>
      <c r="AZ136" s="20">
        <v>8</v>
      </c>
      <c r="BA136" s="20">
        <v>8</v>
      </c>
      <c r="BB136" s="20">
        <v>8</v>
      </c>
      <c r="BC136" s="20">
        <v>6</v>
      </c>
      <c r="BD136" s="20">
        <v>8</v>
      </c>
      <c r="BE136" s="20">
        <v>4</v>
      </c>
      <c r="BF136" s="20">
        <v>6</v>
      </c>
      <c r="BG136" s="20">
        <v>6</v>
      </c>
      <c r="BH136" s="20">
        <v>4</v>
      </c>
      <c r="BI136" s="20">
        <v>8</v>
      </c>
      <c r="BJ136" s="20">
        <v>6</v>
      </c>
      <c r="BK136" s="20">
        <v>4</v>
      </c>
      <c r="BL136" s="20">
        <v>4</v>
      </c>
      <c r="BM136" s="20">
        <v>4</v>
      </c>
      <c r="BN136" s="20">
        <v>4</v>
      </c>
      <c r="BO136" s="20">
        <v>18</v>
      </c>
      <c r="BP136" s="20">
        <v>2</v>
      </c>
      <c r="BQ136" s="20">
        <v>16</v>
      </c>
      <c r="BR136" s="20">
        <v>16</v>
      </c>
      <c r="BS136" s="20">
        <v>2</v>
      </c>
      <c r="BT136" s="20">
        <v>14</v>
      </c>
      <c r="BU136" s="20">
        <v>0</v>
      </c>
      <c r="BV136" s="20">
        <v>0</v>
      </c>
      <c r="BW136" s="20">
        <v>14</v>
      </c>
      <c r="BX136" s="20">
        <v>4</v>
      </c>
      <c r="BY136" s="20">
        <v>0</v>
      </c>
      <c r="BZ136" s="20">
        <v>28</v>
      </c>
      <c r="CA136" s="20">
        <v>12</v>
      </c>
      <c r="CB136" s="20">
        <v>0</v>
      </c>
      <c r="CC136" s="20">
        <v>0</v>
      </c>
      <c r="CD136" s="20">
        <v>12</v>
      </c>
      <c r="CE136" s="20">
        <v>0</v>
      </c>
      <c r="CF136" s="20">
        <v>10</v>
      </c>
      <c r="CG136" s="20">
        <v>10</v>
      </c>
      <c r="CH136" s="20">
        <v>0</v>
      </c>
      <c r="CI136" s="20">
        <v>24</v>
      </c>
      <c r="CJ136" s="20">
        <v>8</v>
      </c>
      <c r="CK136" s="20">
        <v>0</v>
      </c>
      <c r="CL136" s="20"/>
      <c r="CM136" s="20"/>
      <c r="CN136" s="20"/>
      <c r="CO136" s="20"/>
      <c r="CP136" s="20"/>
      <c r="CQ136" s="20"/>
      <c r="CR136" s="20"/>
      <c r="CS136" s="20"/>
      <c r="CT136" s="20"/>
      <c r="CU136" s="20"/>
      <c r="CV136" s="20"/>
      <c r="CW136" s="20"/>
      <c r="CX136" s="20"/>
      <c r="CY136" s="20"/>
      <c r="CZ136" s="20"/>
      <c r="DA136" s="20"/>
      <c r="DB136" s="20"/>
      <c r="DC136" s="20"/>
      <c r="DD136" s="20"/>
      <c r="DE136" s="20"/>
      <c r="DF136" s="20"/>
      <c r="DG136" s="20"/>
      <c r="DH136" s="20"/>
      <c r="DI136" s="20"/>
      <c r="DJ136" s="20"/>
      <c r="DK136" s="20"/>
      <c r="DL136" s="20"/>
      <c r="DM136" s="20"/>
      <c r="DN136" s="20"/>
      <c r="DO136" s="20"/>
      <c r="DP136" s="20"/>
      <c r="DQ136" s="20"/>
      <c r="DR136" s="20"/>
      <c r="DS136" s="20"/>
      <c r="DT136" s="20"/>
      <c r="DU136" s="20"/>
      <c r="DV136" s="20"/>
      <c r="DW136" s="20"/>
      <c r="DX136" s="20"/>
      <c r="DY136" s="20"/>
      <c r="DZ136" s="54">
        <v>33</v>
      </c>
      <c r="EA136" s="54"/>
      <c r="EB136" s="54">
        <v>40</v>
      </c>
      <c r="EC136" s="20"/>
      <c r="ED136" s="20"/>
      <c r="EE136" s="20"/>
      <c r="EF136" s="20"/>
      <c r="EG136" s="20"/>
      <c r="EH136" s="20"/>
      <c r="EI136" s="20"/>
      <c r="EJ136" s="20"/>
      <c r="EK136" s="20"/>
      <c r="EL136" s="20"/>
      <c r="EM136" s="20"/>
      <c r="EN136" s="20"/>
      <c r="EO136" s="20"/>
      <c r="EP136" s="20"/>
      <c r="EQ136" s="20"/>
      <c r="ER136" s="20"/>
      <c r="ES136" s="20"/>
      <c r="ET136" s="20"/>
      <c r="EU136" s="20"/>
      <c r="EV136" s="20" t="s">
        <v>293</v>
      </c>
      <c r="EW136" s="20">
        <v>0</v>
      </c>
      <c r="EX136" s="20">
        <v>0</v>
      </c>
      <c r="EY136" s="20">
        <v>0</v>
      </c>
      <c r="EZ136" s="20">
        <v>0</v>
      </c>
      <c r="FA136" s="20">
        <v>0</v>
      </c>
      <c r="FB136" s="20">
        <v>0</v>
      </c>
      <c r="FC136" s="20">
        <v>0</v>
      </c>
      <c r="FD136" s="20">
        <v>0</v>
      </c>
      <c r="FE136" s="20">
        <v>0</v>
      </c>
      <c r="FF136" s="20">
        <v>0</v>
      </c>
      <c r="FG136" s="20">
        <v>0</v>
      </c>
      <c r="FH136" s="20">
        <v>0</v>
      </c>
      <c r="FI136" s="20">
        <v>0</v>
      </c>
      <c r="FJ136" s="20">
        <v>0</v>
      </c>
      <c r="FK136" s="20">
        <v>0</v>
      </c>
      <c r="FL136" s="20">
        <v>0</v>
      </c>
      <c r="FM136" s="20">
        <v>0</v>
      </c>
      <c r="FN136" s="20">
        <v>2</v>
      </c>
      <c r="FO136" s="20">
        <v>0</v>
      </c>
      <c r="FP136" s="20">
        <v>0</v>
      </c>
      <c r="FQ136" s="20">
        <v>0</v>
      </c>
      <c r="FR136" s="20">
        <v>0</v>
      </c>
      <c r="FS136" s="20">
        <v>0</v>
      </c>
      <c r="FT136" s="20">
        <v>0</v>
      </c>
      <c r="FU136" s="20">
        <v>0</v>
      </c>
      <c r="FV136" s="20">
        <v>0</v>
      </c>
      <c r="FW136" s="20">
        <v>0</v>
      </c>
      <c r="FX136" s="20">
        <v>2</v>
      </c>
      <c r="FY136" s="20">
        <v>0</v>
      </c>
      <c r="FZ136" s="20">
        <v>0</v>
      </c>
      <c r="GA136" s="20">
        <v>0</v>
      </c>
      <c r="GB136" s="20">
        <v>0</v>
      </c>
      <c r="GC136" s="20">
        <v>0</v>
      </c>
      <c r="GD136" s="20">
        <v>0</v>
      </c>
      <c r="GE136" s="20">
        <v>0</v>
      </c>
      <c r="GF136" s="20">
        <v>0</v>
      </c>
      <c r="GG136" s="20">
        <v>0</v>
      </c>
      <c r="GH136" s="20">
        <v>2</v>
      </c>
      <c r="GI136" s="20">
        <v>0</v>
      </c>
      <c r="GJ136" s="20">
        <v>0</v>
      </c>
      <c r="GK136" s="20">
        <v>0</v>
      </c>
      <c r="GL136" s="20">
        <v>0</v>
      </c>
      <c r="GM136" s="20">
        <v>0</v>
      </c>
      <c r="GN136" s="20">
        <v>0</v>
      </c>
      <c r="GO136" s="20">
        <v>0</v>
      </c>
      <c r="GP136" s="20">
        <v>0</v>
      </c>
      <c r="GQ136" s="20">
        <v>0</v>
      </c>
      <c r="GR136" s="20">
        <v>2</v>
      </c>
      <c r="GS136" s="20">
        <v>0</v>
      </c>
      <c r="GT136" s="20">
        <v>0</v>
      </c>
      <c r="GU136" s="20">
        <v>0</v>
      </c>
      <c r="GV136" s="20"/>
      <c r="GW136" s="20"/>
      <c r="GX136" s="20"/>
      <c r="GY136" s="21"/>
      <c r="GZ136" s="21">
        <v>0</v>
      </c>
      <c r="HA136" s="21">
        <v>1</v>
      </c>
      <c r="HB136" s="21">
        <v>2</v>
      </c>
      <c r="HC136" s="21">
        <v>3</v>
      </c>
      <c r="HD136" s="21">
        <v>4</v>
      </c>
      <c r="HE136" s="21">
        <v>5</v>
      </c>
      <c r="HF136" s="21">
        <v>6</v>
      </c>
      <c r="HG136" s="21">
        <v>7</v>
      </c>
      <c r="HH136" s="21">
        <v>8</v>
      </c>
      <c r="HI136" s="21">
        <v>9</v>
      </c>
      <c r="HJ136" s="21">
        <v>10</v>
      </c>
      <c r="HK136" s="21">
        <v>11</v>
      </c>
      <c r="HL136" s="21">
        <v>12</v>
      </c>
      <c r="HM136" s="21">
        <v>13</v>
      </c>
      <c r="HN136" s="21">
        <v>14</v>
      </c>
      <c r="HO136" s="21">
        <v>15</v>
      </c>
      <c r="HP136" s="21">
        <v>16</v>
      </c>
      <c r="HQ136" s="21">
        <v>17</v>
      </c>
      <c r="HR136" s="21">
        <v>18</v>
      </c>
      <c r="HS136" s="21">
        <v>19</v>
      </c>
      <c r="HT136" s="21">
        <v>20</v>
      </c>
      <c r="HU136" s="21"/>
      <c r="HV136" s="186"/>
      <c r="HW136" s="21">
        <v>0</v>
      </c>
      <c r="HX136" s="21">
        <v>1</v>
      </c>
      <c r="HY136" s="21">
        <v>2</v>
      </c>
      <c r="HZ136" s="21">
        <v>3</v>
      </c>
      <c r="IA136" s="21">
        <v>4</v>
      </c>
      <c r="IB136" s="21">
        <v>5</v>
      </c>
      <c r="IC136" s="21">
        <v>6</v>
      </c>
      <c r="ID136" s="21">
        <v>7</v>
      </c>
      <c r="IE136" s="21">
        <v>8</v>
      </c>
      <c r="IF136" s="21">
        <v>9</v>
      </c>
      <c r="IG136" s="21">
        <v>10</v>
      </c>
      <c r="IH136" s="21">
        <v>11</v>
      </c>
      <c r="II136" s="21">
        <v>12</v>
      </c>
      <c r="IJ136" s="21">
        <v>13</v>
      </c>
      <c r="IK136" s="21">
        <v>14</v>
      </c>
      <c r="IL136" s="21">
        <v>15</v>
      </c>
      <c r="IM136" s="21">
        <v>16</v>
      </c>
      <c r="IN136" s="21">
        <v>17</v>
      </c>
      <c r="IO136" s="21">
        <v>18</v>
      </c>
      <c r="IP136" s="21">
        <v>19</v>
      </c>
      <c r="IQ136" s="21">
        <v>20</v>
      </c>
      <c r="IR136" s="21"/>
      <c r="IS136" s="21"/>
      <c r="IT136" s="21">
        <f t="shared" ref="IT136:JH160" si="54">HW136*2</f>
        <v>0</v>
      </c>
      <c r="IU136" s="21">
        <f t="shared" si="54"/>
        <v>2</v>
      </c>
      <c r="IV136" s="21">
        <f t="shared" si="54"/>
        <v>4</v>
      </c>
      <c r="IW136" s="21">
        <f t="shared" si="54"/>
        <v>6</v>
      </c>
      <c r="IX136" s="21">
        <f t="shared" si="54"/>
        <v>8</v>
      </c>
      <c r="IY136" s="21">
        <f t="shared" si="54"/>
        <v>10</v>
      </c>
      <c r="IZ136" s="21">
        <f t="shared" si="54"/>
        <v>12</v>
      </c>
      <c r="JA136" s="21">
        <f t="shared" si="54"/>
        <v>14</v>
      </c>
      <c r="JB136" s="21">
        <f t="shared" si="54"/>
        <v>16</v>
      </c>
      <c r="JC136" s="21">
        <f t="shared" si="54"/>
        <v>18</v>
      </c>
      <c r="JD136" s="21">
        <f t="shared" si="54"/>
        <v>20</v>
      </c>
      <c r="JE136" s="21">
        <f t="shared" si="54"/>
        <v>22</v>
      </c>
      <c r="JF136" s="21">
        <f t="shared" si="54"/>
        <v>24</v>
      </c>
      <c r="JG136" s="21">
        <f t="shared" si="54"/>
        <v>26</v>
      </c>
      <c r="JH136" s="21">
        <f t="shared" si="54"/>
        <v>28</v>
      </c>
      <c r="JI136" s="21">
        <f t="shared" si="53"/>
        <v>30</v>
      </c>
      <c r="JJ136" s="21">
        <f t="shared" si="40"/>
        <v>32</v>
      </c>
      <c r="JK136" s="21">
        <f t="shared" si="40"/>
        <v>34</v>
      </c>
      <c r="JL136" s="21">
        <f t="shared" si="40"/>
        <v>36</v>
      </c>
      <c r="JM136" s="21">
        <f t="shared" si="40"/>
        <v>38</v>
      </c>
      <c r="JN136" s="21">
        <f t="shared" si="40"/>
        <v>40</v>
      </c>
      <c r="JO136" s="21"/>
      <c r="JP136" s="21"/>
      <c r="JQ136" s="21"/>
      <c r="JR136" s="21"/>
      <c r="JS136" s="21"/>
      <c r="JT136" s="21"/>
      <c r="JU136" s="21"/>
      <c r="JV136" s="21"/>
      <c r="JW136" s="21"/>
      <c r="JX136" s="21"/>
      <c r="JY136" s="21"/>
      <c r="JZ136" s="21"/>
      <c r="KA136" s="21"/>
      <c r="KB136" s="21"/>
      <c r="KC136" s="21"/>
      <c r="KD136" s="21"/>
      <c r="KE136" s="21"/>
      <c r="KF136" s="21"/>
      <c r="KG136" s="21"/>
      <c r="KH136" s="21"/>
    </row>
    <row r="137" spans="1:294" x14ac:dyDescent="0.25">
      <c r="A137" s="8"/>
      <c r="B137" s="5" t="s">
        <v>116</v>
      </c>
      <c r="C137" s="8"/>
      <c r="D137" s="40" t="s">
        <v>941</v>
      </c>
      <c r="E137" s="9"/>
      <c r="F137" s="9"/>
      <c r="G137" s="9"/>
      <c r="H137" s="9"/>
      <c r="I137" s="9"/>
      <c r="J137" s="9"/>
      <c r="K137" s="9"/>
      <c r="L137" s="6" t="str">
        <f>IF(E132=$Z$104,"PBK40MC",IF(E132=$Z$105,"-------",IF(E132=$Z$106,"SPM1",IF(E132=$Z$107,"SMA40/033",0))))</f>
        <v>-------</v>
      </c>
      <c r="M137" s="11" t="str">
        <f>INDEX(cennik!$C$2:$L$529,MATCH($L137,cennik!$B$2:$B$522,0),MATCH(M$104,cennik!$C$1:$L$1,0))</f>
        <v>-------</v>
      </c>
      <c r="N137" s="11">
        <f>INDEX(cennik!$C$2:$L$529,MATCH($L137,cennik!$B$2:$B$522,0),MATCH(N$104,cennik!$C$1:$L$1,0))</f>
        <v>0</v>
      </c>
      <c r="O137" s="11">
        <f>IF(E132=$Z$104,O130*2,IF(E132=$Z$105,0,IF(E132=$Z$106,O130*2,IF(E132=$Z$107,O130*4,0))))</f>
        <v>0</v>
      </c>
      <c r="P137" s="34">
        <f>INDEX(cennik!$C$2:$L$529,MATCH($L137,cennik!$B$2:$B$522,0),MATCH(P$104,cennik!$C$1:$L$1,0))</f>
        <v>0</v>
      </c>
      <c r="Q137" s="34">
        <f t="shared" si="49"/>
        <v>0</v>
      </c>
      <c r="R137" s="35">
        <f t="shared" si="47"/>
        <v>0</v>
      </c>
      <c r="S137" s="34">
        <f t="shared" si="48"/>
        <v>0</v>
      </c>
      <c r="T137" s="34">
        <f t="shared" si="50"/>
        <v>0</v>
      </c>
      <c r="U137" s="34">
        <f>INDEX(cennik!$C$2:$L$529,MATCH($L137,cennik!$B$2:$B$522,0),MATCH(U$104,cennik!$C$1:$L$1,0))*O137</f>
        <v>0</v>
      </c>
      <c r="V137" s="20"/>
      <c r="W137" s="25">
        <f t="shared" si="46"/>
        <v>0</v>
      </c>
      <c r="X137" s="20"/>
      <c r="Y137" s="20"/>
      <c r="Z137" s="20"/>
      <c r="AA137" s="20"/>
      <c r="AB137" s="20"/>
      <c r="AC137" s="20"/>
      <c r="AD137" s="20"/>
      <c r="AE137" s="20"/>
      <c r="AF137" s="20">
        <v>38</v>
      </c>
      <c r="AG137" s="20" t="s">
        <v>881</v>
      </c>
      <c r="AH137" s="20">
        <v>0</v>
      </c>
      <c r="AI137" s="20"/>
      <c r="AJ137" s="20">
        <f t="shared" si="51"/>
        <v>0</v>
      </c>
      <c r="AK137" s="20">
        <f t="shared" si="52"/>
        <v>0</v>
      </c>
      <c r="AL137" s="20" t="s">
        <v>19</v>
      </c>
      <c r="AM137" s="20">
        <v>0</v>
      </c>
      <c r="AN137" s="20">
        <v>0</v>
      </c>
      <c r="AO137" s="20">
        <v>0</v>
      </c>
      <c r="AP137" s="20">
        <v>0</v>
      </c>
      <c r="AQ137" s="20">
        <v>0</v>
      </c>
      <c r="AR137" s="20">
        <v>0</v>
      </c>
      <c r="AS137" s="20">
        <v>0</v>
      </c>
      <c r="AT137" s="20">
        <v>0</v>
      </c>
      <c r="AU137" s="20">
        <v>0</v>
      </c>
      <c r="AV137" s="20">
        <v>0</v>
      </c>
      <c r="AW137" s="20">
        <v>0</v>
      </c>
      <c r="AX137" s="20">
        <v>0</v>
      </c>
      <c r="AY137" s="20">
        <v>0</v>
      </c>
      <c r="AZ137" s="20">
        <v>0</v>
      </c>
      <c r="BA137" s="20">
        <v>2</v>
      </c>
      <c r="BB137" s="20">
        <v>0</v>
      </c>
      <c r="BC137" s="20">
        <v>4</v>
      </c>
      <c r="BD137" s="20">
        <v>4</v>
      </c>
      <c r="BE137" s="20">
        <v>6</v>
      </c>
      <c r="BF137" s="20">
        <v>6</v>
      </c>
      <c r="BG137" s="20">
        <v>8</v>
      </c>
      <c r="BH137" s="20">
        <v>8</v>
      </c>
      <c r="BI137" s="20">
        <v>6</v>
      </c>
      <c r="BJ137" s="20">
        <v>10</v>
      </c>
      <c r="BK137" s="20">
        <v>10</v>
      </c>
      <c r="BL137" s="20">
        <v>12</v>
      </c>
      <c r="BM137" s="20">
        <v>14</v>
      </c>
      <c r="BN137" s="20">
        <v>12</v>
      </c>
      <c r="BO137" s="20">
        <v>2</v>
      </c>
      <c r="BP137" s="20">
        <v>18</v>
      </c>
      <c r="BQ137" s="20">
        <v>4</v>
      </c>
      <c r="BR137" s="20">
        <v>6</v>
      </c>
      <c r="BS137" s="20">
        <v>20</v>
      </c>
      <c r="BT137" s="20">
        <v>8</v>
      </c>
      <c r="BU137" s="20">
        <v>22</v>
      </c>
      <c r="BV137" s="20">
        <v>24</v>
      </c>
      <c r="BW137" s="20">
        <v>10</v>
      </c>
      <c r="BX137" s="20">
        <v>20</v>
      </c>
      <c r="BY137" s="20">
        <v>26</v>
      </c>
      <c r="BZ137" s="20">
        <v>0</v>
      </c>
      <c r="CA137" s="20">
        <v>16</v>
      </c>
      <c r="CB137" s="20">
        <v>28</v>
      </c>
      <c r="CC137" s="20">
        <v>26</v>
      </c>
      <c r="CD137" s="20">
        <v>18</v>
      </c>
      <c r="CE137" s="20">
        <v>30</v>
      </c>
      <c r="CF137" s="20">
        <v>20</v>
      </c>
      <c r="CG137" s="20">
        <v>22</v>
      </c>
      <c r="CH137" s="20">
        <v>32</v>
      </c>
      <c r="CI137" s="20">
        <v>10</v>
      </c>
      <c r="CJ137" s="20">
        <v>26</v>
      </c>
      <c r="CK137" s="20">
        <v>34</v>
      </c>
      <c r="CL137" s="20"/>
      <c r="CM137" s="20"/>
      <c r="CN137" s="20"/>
      <c r="CO137" s="20"/>
      <c r="CP137" s="20"/>
      <c r="CQ137" s="20"/>
      <c r="CR137" s="20"/>
      <c r="CS137" s="20"/>
      <c r="CT137" s="20"/>
      <c r="CU137" s="20"/>
      <c r="CV137" s="20"/>
      <c r="CW137" s="20"/>
      <c r="CX137" s="20"/>
      <c r="CY137" s="20"/>
      <c r="CZ137" s="20"/>
      <c r="DA137" s="20"/>
      <c r="DB137" s="20"/>
      <c r="DC137" s="20"/>
      <c r="DD137" s="20"/>
      <c r="DE137" s="20"/>
      <c r="DF137" s="20"/>
      <c r="DG137" s="20"/>
      <c r="DH137" s="20"/>
      <c r="DI137" s="20"/>
      <c r="DJ137" s="20"/>
      <c r="DK137" s="20"/>
      <c r="DL137" s="20"/>
      <c r="DM137" s="20"/>
      <c r="DN137" s="20"/>
      <c r="DO137" s="20"/>
      <c r="DP137" s="20"/>
      <c r="DQ137" s="20"/>
      <c r="DR137" s="20"/>
      <c r="DS137" s="20"/>
      <c r="DT137" s="20"/>
      <c r="DU137" s="20"/>
      <c r="DV137" s="20"/>
      <c r="DW137" s="20"/>
      <c r="DX137" s="20"/>
      <c r="DY137" s="20"/>
      <c r="DZ137" s="54">
        <v>34</v>
      </c>
      <c r="EA137" s="54"/>
      <c r="EB137" s="54">
        <v>42</v>
      </c>
      <c r="EC137" s="20"/>
      <c r="ED137" s="20"/>
      <c r="EE137" s="20"/>
      <c r="EF137" s="20"/>
      <c r="EG137" s="20"/>
      <c r="EH137" s="20"/>
      <c r="EI137" s="20"/>
      <c r="EJ137" s="20"/>
      <c r="EK137" s="20"/>
      <c r="EL137" s="20"/>
      <c r="EM137" s="20"/>
      <c r="EN137" s="20"/>
      <c r="EO137" s="20"/>
      <c r="EP137" s="20"/>
      <c r="EQ137" s="20"/>
      <c r="ER137" s="20"/>
      <c r="ES137" s="20"/>
      <c r="ET137" s="20"/>
      <c r="EU137" s="20"/>
      <c r="EV137" s="20" t="s">
        <v>10</v>
      </c>
      <c r="EW137" s="20">
        <v>0</v>
      </c>
      <c r="EX137" s="20">
        <v>0</v>
      </c>
      <c r="EY137" s="20">
        <v>0</v>
      </c>
      <c r="EZ137" s="20">
        <v>0</v>
      </c>
      <c r="FA137" s="20">
        <v>0</v>
      </c>
      <c r="FB137" s="20">
        <v>0</v>
      </c>
      <c r="FC137" s="20">
        <v>0</v>
      </c>
      <c r="FD137" s="20">
        <v>2</v>
      </c>
      <c r="FE137" s="20">
        <v>0</v>
      </c>
      <c r="FF137" s="20">
        <v>2</v>
      </c>
      <c r="FG137" s="20">
        <v>2</v>
      </c>
      <c r="FH137" s="20">
        <v>6</v>
      </c>
      <c r="FI137" s="20">
        <v>2</v>
      </c>
      <c r="FJ137" s="20">
        <v>0</v>
      </c>
      <c r="FK137" s="20">
        <v>0</v>
      </c>
      <c r="FL137" s="20">
        <v>2</v>
      </c>
      <c r="FM137" s="20">
        <v>0</v>
      </c>
      <c r="FN137" s="20">
        <v>4</v>
      </c>
      <c r="FO137" s="20">
        <v>4</v>
      </c>
      <c r="FP137" s="20">
        <v>2</v>
      </c>
      <c r="FQ137" s="20">
        <v>8</v>
      </c>
      <c r="FR137" s="20">
        <v>6</v>
      </c>
      <c r="FS137" s="20">
        <v>0</v>
      </c>
      <c r="FT137" s="20">
        <v>0</v>
      </c>
      <c r="FU137" s="20">
        <v>4</v>
      </c>
      <c r="FV137" s="20">
        <v>2</v>
      </c>
      <c r="FW137" s="20">
        <v>0</v>
      </c>
      <c r="FX137" s="20">
        <v>2</v>
      </c>
      <c r="FY137" s="20">
        <v>4</v>
      </c>
      <c r="FZ137" s="20">
        <v>0</v>
      </c>
      <c r="GA137" s="20">
        <v>8</v>
      </c>
      <c r="GB137" s="20">
        <v>2</v>
      </c>
      <c r="GC137" s="20">
        <v>2</v>
      </c>
      <c r="GD137" s="20">
        <v>8</v>
      </c>
      <c r="GE137" s="20">
        <v>4</v>
      </c>
      <c r="GF137" s="20">
        <v>2</v>
      </c>
      <c r="GG137" s="20">
        <v>0</v>
      </c>
      <c r="GH137" s="20">
        <v>4</v>
      </c>
      <c r="GI137" s="20">
        <v>4</v>
      </c>
      <c r="GJ137" s="20">
        <v>0</v>
      </c>
      <c r="GK137" s="20">
        <v>8</v>
      </c>
      <c r="GL137" s="20">
        <v>2</v>
      </c>
      <c r="GM137" s="20">
        <v>0</v>
      </c>
      <c r="GN137" s="20">
        <v>6</v>
      </c>
      <c r="GO137" s="20">
        <v>4</v>
      </c>
      <c r="GP137" s="20">
        <v>2</v>
      </c>
      <c r="GQ137" s="20">
        <v>0</v>
      </c>
      <c r="GR137" s="20">
        <v>2</v>
      </c>
      <c r="GS137" s="20">
        <v>0</v>
      </c>
      <c r="GT137" s="20">
        <v>0</v>
      </c>
      <c r="GU137" s="20">
        <v>4</v>
      </c>
      <c r="GV137" s="20"/>
      <c r="GW137" s="20"/>
      <c r="GX137" s="20"/>
      <c r="GY137" s="21" t="s">
        <v>710</v>
      </c>
      <c r="GZ137" s="21">
        <v>0</v>
      </c>
      <c r="HA137" s="21">
        <v>2</v>
      </c>
      <c r="HB137" s="21">
        <v>0</v>
      </c>
      <c r="HC137" s="21">
        <v>4</v>
      </c>
      <c r="HD137" s="21">
        <v>2</v>
      </c>
      <c r="HE137" s="21">
        <v>0</v>
      </c>
      <c r="HF137" s="21">
        <v>4</v>
      </c>
      <c r="HG137" s="21">
        <v>0</v>
      </c>
      <c r="HH137" s="21">
        <v>4</v>
      </c>
      <c r="HI137" s="21">
        <v>2</v>
      </c>
      <c r="HJ137" s="21">
        <v>0</v>
      </c>
      <c r="HK137" s="21">
        <v>4</v>
      </c>
      <c r="HL137" s="21">
        <v>2</v>
      </c>
      <c r="HM137" s="21">
        <v>4</v>
      </c>
      <c r="HN137" s="21">
        <v>2</v>
      </c>
      <c r="HO137" s="21">
        <v>0</v>
      </c>
      <c r="HP137" s="21">
        <v>4</v>
      </c>
      <c r="HQ137" s="21">
        <v>2</v>
      </c>
      <c r="HR137" s="21">
        <v>0</v>
      </c>
      <c r="HS137" s="21">
        <v>4</v>
      </c>
      <c r="HT137" s="21">
        <v>0</v>
      </c>
      <c r="HU137" s="21"/>
      <c r="HV137" s="21" t="s">
        <v>826</v>
      </c>
      <c r="HW137" s="21">
        <v>0</v>
      </c>
      <c r="HX137" s="21">
        <v>2</v>
      </c>
      <c r="HY137" s="21">
        <v>4</v>
      </c>
      <c r="HZ137" s="21">
        <v>2</v>
      </c>
      <c r="IA137" s="21">
        <v>4</v>
      </c>
      <c r="IB137" s="21">
        <v>0</v>
      </c>
      <c r="IC137" s="21">
        <v>4</v>
      </c>
      <c r="ID137" s="21">
        <v>0</v>
      </c>
      <c r="IE137" s="21">
        <v>2</v>
      </c>
      <c r="IF137" s="21">
        <v>4</v>
      </c>
      <c r="IG137" s="21">
        <v>2</v>
      </c>
      <c r="IH137" s="21">
        <v>4</v>
      </c>
      <c r="II137" s="21">
        <v>0</v>
      </c>
      <c r="IJ137" s="21">
        <v>2</v>
      </c>
      <c r="IK137" s="21">
        <v>0</v>
      </c>
      <c r="IL137" s="21">
        <v>2</v>
      </c>
      <c r="IM137" s="21">
        <v>4</v>
      </c>
      <c r="IN137" s="21">
        <v>0</v>
      </c>
      <c r="IO137" s="21">
        <v>4</v>
      </c>
      <c r="IP137" s="21">
        <v>0</v>
      </c>
      <c r="IQ137" s="21">
        <v>2</v>
      </c>
      <c r="IR137" s="21"/>
      <c r="IS137" s="21" t="s">
        <v>826</v>
      </c>
      <c r="IT137" s="21">
        <f t="shared" si="54"/>
        <v>0</v>
      </c>
      <c r="IU137" s="21">
        <f t="shared" si="54"/>
        <v>4</v>
      </c>
      <c r="IV137" s="21">
        <f t="shared" si="54"/>
        <v>8</v>
      </c>
      <c r="IW137" s="21">
        <f t="shared" si="54"/>
        <v>4</v>
      </c>
      <c r="IX137" s="21">
        <f t="shared" si="54"/>
        <v>8</v>
      </c>
      <c r="IY137" s="21">
        <f t="shared" si="54"/>
        <v>0</v>
      </c>
      <c r="IZ137" s="21">
        <f t="shared" si="54"/>
        <v>8</v>
      </c>
      <c r="JA137" s="21">
        <f t="shared" si="54"/>
        <v>0</v>
      </c>
      <c r="JB137" s="21">
        <f t="shared" si="54"/>
        <v>4</v>
      </c>
      <c r="JC137" s="21">
        <f t="shared" si="54"/>
        <v>8</v>
      </c>
      <c r="JD137" s="21">
        <f t="shared" si="54"/>
        <v>4</v>
      </c>
      <c r="JE137" s="21">
        <f t="shared" si="54"/>
        <v>8</v>
      </c>
      <c r="JF137" s="21">
        <f t="shared" si="54"/>
        <v>0</v>
      </c>
      <c r="JG137" s="21">
        <f t="shared" si="54"/>
        <v>4</v>
      </c>
      <c r="JH137" s="21">
        <f t="shared" si="54"/>
        <v>0</v>
      </c>
      <c r="JI137" s="21">
        <f t="shared" si="53"/>
        <v>4</v>
      </c>
      <c r="JJ137" s="21">
        <f t="shared" si="40"/>
        <v>8</v>
      </c>
      <c r="JK137" s="21">
        <f t="shared" si="40"/>
        <v>0</v>
      </c>
      <c r="JL137" s="21">
        <f t="shared" si="40"/>
        <v>8</v>
      </c>
      <c r="JM137" s="21">
        <f t="shared" si="40"/>
        <v>0</v>
      </c>
      <c r="JN137" s="21">
        <f t="shared" si="40"/>
        <v>4</v>
      </c>
      <c r="JO137" s="21"/>
      <c r="JP137" s="21"/>
      <c r="JQ137" s="21"/>
      <c r="JR137" s="21"/>
      <c r="JS137" s="21"/>
      <c r="JT137" s="21"/>
      <c r="JU137" s="21"/>
      <c r="JV137" s="21"/>
      <c r="JW137" s="21"/>
      <c r="JX137" s="21"/>
      <c r="JY137" s="21"/>
      <c r="JZ137" s="21"/>
      <c r="KA137" s="21"/>
      <c r="KB137" s="21"/>
      <c r="KC137" s="21"/>
      <c r="KD137" s="21"/>
      <c r="KE137" s="21"/>
      <c r="KF137" s="21"/>
      <c r="KG137" s="21"/>
      <c r="KH137" s="21"/>
    </row>
    <row r="138" spans="1:294" x14ac:dyDescent="0.25">
      <c r="A138" s="8"/>
      <c r="B138" s="5" t="s">
        <v>116</v>
      </c>
      <c r="C138" s="8"/>
      <c r="D138" s="40" t="s">
        <v>797</v>
      </c>
      <c r="E138" s="9"/>
      <c r="F138" s="9"/>
      <c r="G138" s="9"/>
      <c r="H138" s="9"/>
      <c r="I138" s="9"/>
      <c r="J138" s="9"/>
      <c r="K138" s="9"/>
      <c r="L138" s="6" t="str">
        <f>IF(E132=$Z$104,"SGKFM10X20PV",IF(E132=$Z$105,"-------",IF(E132=$Z$106,"-------",IF(E132=$Z$107,"SMDP6,0X25E",0))))</f>
        <v>-------</v>
      </c>
      <c r="M138" s="11" t="str">
        <f>INDEX(cennik!$C$2:$L$529,MATCH($L138,cennik!$B$2:$B$522,0),MATCH(M$104,cennik!$C$1:$L$1,0))</f>
        <v>-------</v>
      </c>
      <c r="N138" s="11">
        <f>INDEX(cennik!$C$2:$L$529,MATCH($L138,cennik!$B$2:$B$522,0),MATCH(N$104,cennik!$C$1:$L$1,0))</f>
        <v>0</v>
      </c>
      <c r="O138" s="11">
        <f>IF(E132=$Z$104,ROUNDUP((O130*0)/100,0),IF(E132=$Z$105,0,IF(E132=$Z$106,0,IF(E132=$Z$107,O137*4,0))))</f>
        <v>0</v>
      </c>
      <c r="P138" s="34">
        <f>INDEX(cennik!$C$2:$L$529,MATCH($L138,cennik!$B$2:$B$522,0),MATCH(P$104,cennik!$C$1:$L$1,0))</f>
        <v>0</v>
      </c>
      <c r="Q138" s="34">
        <f t="shared" si="49"/>
        <v>0</v>
      </c>
      <c r="R138" s="35">
        <f t="shared" si="47"/>
        <v>0</v>
      </c>
      <c r="S138" s="34">
        <f t="shared" si="48"/>
        <v>0</v>
      </c>
      <c r="T138" s="34">
        <f t="shared" si="50"/>
        <v>0</v>
      </c>
      <c r="U138" s="34">
        <f>INDEX(cennik!$C$2:$L$529,MATCH($L138,cennik!$B$2:$B$522,0),MATCH(U$104,cennik!$C$1:$L$1,0))*O138</f>
        <v>0</v>
      </c>
      <c r="V138" s="20"/>
      <c r="W138" s="25">
        <f t="shared" si="46"/>
        <v>0</v>
      </c>
      <c r="X138" s="20"/>
      <c r="Y138" s="20"/>
      <c r="Z138" s="20"/>
      <c r="AA138" s="20"/>
      <c r="AB138" s="20"/>
      <c r="AC138" s="20"/>
      <c r="AD138" s="20"/>
      <c r="AE138" s="20"/>
      <c r="AF138" s="20">
        <v>40</v>
      </c>
      <c r="AG138" s="20" t="s">
        <v>881</v>
      </c>
      <c r="AH138" s="20">
        <v>0</v>
      </c>
      <c r="AI138" s="20"/>
      <c r="AJ138" s="20">
        <f t="shared" si="51"/>
        <v>0</v>
      </c>
      <c r="AK138" s="20">
        <f t="shared" si="52"/>
        <v>0</v>
      </c>
      <c r="AL138" s="20" t="s">
        <v>408</v>
      </c>
      <c r="AM138" s="20">
        <v>0</v>
      </c>
      <c r="AN138" s="20">
        <f>((((SUM(AN133:AN137))/2)-1))*4</f>
        <v>0</v>
      </c>
      <c r="AO138" s="20">
        <f t="shared" ref="AO138:BS138" si="55">((((SUM(AO133:AO137))/2)-1))*4</f>
        <v>4</v>
      </c>
      <c r="AP138" s="20">
        <f t="shared" si="55"/>
        <v>8</v>
      </c>
      <c r="AQ138" s="20">
        <f t="shared" si="55"/>
        <v>4</v>
      </c>
      <c r="AR138" s="20">
        <f t="shared" si="55"/>
        <v>4</v>
      </c>
      <c r="AS138" s="20">
        <f t="shared" si="55"/>
        <v>8</v>
      </c>
      <c r="AT138" s="20">
        <f t="shared" si="55"/>
        <v>8</v>
      </c>
      <c r="AU138" s="20">
        <f t="shared" si="55"/>
        <v>8</v>
      </c>
      <c r="AV138" s="20">
        <f t="shared" si="55"/>
        <v>12</v>
      </c>
      <c r="AW138" s="20">
        <f t="shared" si="55"/>
        <v>12</v>
      </c>
      <c r="AX138" s="20">
        <f t="shared" si="55"/>
        <v>12</v>
      </c>
      <c r="AY138" s="20">
        <f t="shared" si="55"/>
        <v>16</v>
      </c>
      <c r="AZ138" s="20">
        <f t="shared" si="55"/>
        <v>16</v>
      </c>
      <c r="BA138" s="20">
        <f t="shared" si="55"/>
        <v>16</v>
      </c>
      <c r="BB138" s="20">
        <f t="shared" si="55"/>
        <v>20</v>
      </c>
      <c r="BC138" s="20">
        <f t="shared" si="55"/>
        <v>20</v>
      </c>
      <c r="BD138" s="20">
        <f t="shared" si="55"/>
        <v>20</v>
      </c>
      <c r="BE138" s="20">
        <f t="shared" si="55"/>
        <v>24</v>
      </c>
      <c r="BF138" s="20">
        <f t="shared" si="55"/>
        <v>24</v>
      </c>
      <c r="BG138" s="20">
        <f t="shared" si="55"/>
        <v>24</v>
      </c>
      <c r="BH138" s="20">
        <f t="shared" si="55"/>
        <v>28</v>
      </c>
      <c r="BI138" s="20">
        <f t="shared" si="55"/>
        <v>28</v>
      </c>
      <c r="BJ138" s="20">
        <f t="shared" si="55"/>
        <v>28</v>
      </c>
      <c r="BK138" s="20">
        <f t="shared" si="55"/>
        <v>32</v>
      </c>
      <c r="BL138" s="20">
        <f t="shared" si="55"/>
        <v>32</v>
      </c>
      <c r="BM138" s="20">
        <f t="shared" si="55"/>
        <v>32</v>
      </c>
      <c r="BN138" s="20">
        <f t="shared" si="55"/>
        <v>36</v>
      </c>
      <c r="BO138" s="20">
        <f t="shared" si="55"/>
        <v>36</v>
      </c>
      <c r="BP138" s="20">
        <f t="shared" si="55"/>
        <v>36</v>
      </c>
      <c r="BQ138" s="20">
        <f t="shared" si="55"/>
        <v>40</v>
      </c>
      <c r="BR138" s="20">
        <f t="shared" si="55"/>
        <v>40</v>
      </c>
      <c r="BS138" s="20">
        <f t="shared" si="55"/>
        <v>40</v>
      </c>
      <c r="BT138" s="20">
        <f t="shared" ref="BT138:CK138" si="56">((((SUM(BT133:BT137))/2)-1))*4</f>
        <v>44</v>
      </c>
      <c r="BU138" s="20">
        <f t="shared" si="56"/>
        <v>44</v>
      </c>
      <c r="BV138" s="20">
        <f t="shared" si="56"/>
        <v>44</v>
      </c>
      <c r="BW138" s="20">
        <f t="shared" si="56"/>
        <v>48</v>
      </c>
      <c r="BX138" s="20">
        <f t="shared" si="56"/>
        <v>48</v>
      </c>
      <c r="BY138" s="20">
        <f t="shared" si="56"/>
        <v>48</v>
      </c>
      <c r="BZ138" s="20">
        <f t="shared" si="56"/>
        <v>52</v>
      </c>
      <c r="CA138" s="20">
        <f t="shared" si="56"/>
        <v>52</v>
      </c>
      <c r="CB138" s="20">
        <f t="shared" si="56"/>
        <v>52</v>
      </c>
      <c r="CC138" s="20">
        <f t="shared" si="56"/>
        <v>56</v>
      </c>
      <c r="CD138" s="20">
        <f t="shared" si="56"/>
        <v>56</v>
      </c>
      <c r="CE138" s="20">
        <f t="shared" si="56"/>
        <v>56</v>
      </c>
      <c r="CF138" s="20">
        <f t="shared" si="56"/>
        <v>60</v>
      </c>
      <c r="CG138" s="20">
        <f t="shared" si="56"/>
        <v>60</v>
      </c>
      <c r="CH138" s="20">
        <f t="shared" si="56"/>
        <v>60</v>
      </c>
      <c r="CI138" s="20">
        <f t="shared" si="56"/>
        <v>64</v>
      </c>
      <c r="CJ138" s="20">
        <f t="shared" si="56"/>
        <v>64</v>
      </c>
      <c r="CK138" s="20">
        <f t="shared" si="56"/>
        <v>64</v>
      </c>
      <c r="CL138" s="20"/>
      <c r="CM138" s="20"/>
      <c r="CN138" s="20"/>
      <c r="CO138" s="20"/>
      <c r="CP138" s="20"/>
      <c r="CQ138" s="20"/>
      <c r="CR138" s="20"/>
      <c r="CS138" s="20"/>
      <c r="CT138" s="20"/>
      <c r="CU138" s="20"/>
      <c r="CV138" s="20"/>
      <c r="CW138" s="20"/>
      <c r="CX138" s="20"/>
      <c r="CY138" s="20"/>
      <c r="CZ138" s="20"/>
      <c r="DA138" s="20"/>
      <c r="DB138" s="20"/>
      <c r="DC138" s="20"/>
      <c r="DD138" s="20"/>
      <c r="DE138" s="20"/>
      <c r="DF138" s="20"/>
      <c r="DG138" s="20"/>
      <c r="DH138" s="20"/>
      <c r="DI138" s="20"/>
      <c r="DJ138" s="20"/>
      <c r="DK138" s="20"/>
      <c r="DL138" s="20"/>
      <c r="DM138" s="20"/>
      <c r="DN138" s="20"/>
      <c r="DO138" s="20"/>
      <c r="DP138" s="20"/>
      <c r="DQ138" s="20"/>
      <c r="DR138" s="20"/>
      <c r="DS138" s="20"/>
      <c r="DT138" s="20"/>
      <c r="DU138" s="20"/>
      <c r="DV138" s="20"/>
      <c r="DW138" s="20"/>
      <c r="DX138" s="20"/>
      <c r="DY138" s="20"/>
      <c r="DZ138" s="54">
        <v>35</v>
      </c>
      <c r="EA138" s="54"/>
      <c r="EB138" s="54">
        <v>45</v>
      </c>
      <c r="EC138" s="20"/>
      <c r="ED138" s="20"/>
      <c r="EE138" s="20"/>
      <c r="EF138" s="20"/>
      <c r="EG138" s="20"/>
      <c r="EH138" s="20"/>
      <c r="EI138" s="20"/>
      <c r="EJ138" s="20"/>
      <c r="EK138" s="20"/>
      <c r="EL138" s="20"/>
      <c r="EM138" s="20"/>
      <c r="EN138" s="20"/>
      <c r="EO138" s="20"/>
      <c r="EP138" s="20"/>
      <c r="EQ138" s="20"/>
      <c r="ER138" s="20"/>
      <c r="ES138" s="20"/>
      <c r="ET138" s="20"/>
      <c r="EU138" s="20"/>
      <c r="EV138" s="20" t="s">
        <v>212</v>
      </c>
      <c r="EW138" s="20">
        <v>0</v>
      </c>
      <c r="EX138" s="20">
        <v>0</v>
      </c>
      <c r="EY138" s="20">
        <v>0</v>
      </c>
      <c r="EZ138" s="20">
        <v>2</v>
      </c>
      <c r="FA138" s="20">
        <v>0</v>
      </c>
      <c r="FB138" s="20">
        <v>0</v>
      </c>
      <c r="FC138" s="20">
        <v>4</v>
      </c>
      <c r="FD138" s="20">
        <v>0</v>
      </c>
      <c r="FE138" s="20">
        <v>0</v>
      </c>
      <c r="FF138" s="20">
        <v>2</v>
      </c>
      <c r="FG138" s="20">
        <v>0</v>
      </c>
      <c r="FH138" s="20">
        <v>2</v>
      </c>
      <c r="FI138" s="20">
        <v>6</v>
      </c>
      <c r="FJ138" s="20">
        <v>0</v>
      </c>
      <c r="FK138" s="20">
        <v>0</v>
      </c>
      <c r="FL138" s="20">
        <v>8</v>
      </c>
      <c r="FM138" s="20">
        <v>4</v>
      </c>
      <c r="FN138" s="20">
        <v>2</v>
      </c>
      <c r="FO138" s="20">
        <v>4</v>
      </c>
      <c r="FP138" s="20">
        <v>0</v>
      </c>
      <c r="FQ138" s="20">
        <v>6</v>
      </c>
      <c r="FR138" s="20">
        <v>0</v>
      </c>
      <c r="FS138" s="20">
        <v>12</v>
      </c>
      <c r="FT138" s="20">
        <v>0</v>
      </c>
      <c r="FU138" s="20">
        <v>10</v>
      </c>
      <c r="FV138" s="20">
        <v>6</v>
      </c>
      <c r="FW138" s="20">
        <v>2</v>
      </c>
      <c r="FX138" s="20">
        <v>8</v>
      </c>
      <c r="FY138" s="20">
        <v>2</v>
      </c>
      <c r="FZ138" s="20">
        <v>6</v>
      </c>
      <c r="GA138" s="20">
        <v>2</v>
      </c>
      <c r="GB138" s="20">
        <v>12</v>
      </c>
      <c r="GC138" s="20">
        <v>4</v>
      </c>
      <c r="GD138" s="20">
        <v>6</v>
      </c>
      <c r="GE138" s="20">
        <v>8</v>
      </c>
      <c r="GF138" s="20">
        <v>4</v>
      </c>
      <c r="GG138" s="20">
        <v>0</v>
      </c>
      <c r="GH138" s="20">
        <v>0</v>
      </c>
      <c r="GI138" s="20">
        <v>0</v>
      </c>
      <c r="GJ138" s="20">
        <v>4</v>
      </c>
      <c r="GK138" s="20">
        <v>0</v>
      </c>
      <c r="GL138" s="20">
        <v>10</v>
      </c>
      <c r="GM138" s="20">
        <v>6</v>
      </c>
      <c r="GN138" s="20">
        <v>10</v>
      </c>
      <c r="GO138" s="20">
        <v>6</v>
      </c>
      <c r="GP138" s="20">
        <v>2</v>
      </c>
      <c r="GQ138" s="20">
        <v>0</v>
      </c>
      <c r="GR138" s="20">
        <v>6</v>
      </c>
      <c r="GS138" s="20">
        <v>12</v>
      </c>
      <c r="GT138" s="20">
        <v>2</v>
      </c>
      <c r="GU138" s="20">
        <v>12</v>
      </c>
      <c r="GV138" s="20"/>
      <c r="GW138" s="20"/>
      <c r="GX138" s="20"/>
      <c r="GY138" s="21" t="s">
        <v>711</v>
      </c>
      <c r="GZ138" s="21">
        <v>0</v>
      </c>
      <c r="HA138" s="21">
        <v>0</v>
      </c>
      <c r="HB138" s="21">
        <v>2</v>
      </c>
      <c r="HC138" s="21">
        <v>0</v>
      </c>
      <c r="HD138" s="21">
        <v>2</v>
      </c>
      <c r="HE138" s="21">
        <v>4</v>
      </c>
      <c r="HF138" s="21">
        <v>2</v>
      </c>
      <c r="HG138" s="21">
        <v>6</v>
      </c>
      <c r="HH138" s="21">
        <v>4</v>
      </c>
      <c r="HI138" s="21">
        <v>6</v>
      </c>
      <c r="HJ138" s="21">
        <v>8</v>
      </c>
      <c r="HK138" s="21">
        <v>6</v>
      </c>
      <c r="HL138" s="21">
        <v>8</v>
      </c>
      <c r="HM138" s="21">
        <v>8</v>
      </c>
      <c r="HN138" s="21">
        <v>10</v>
      </c>
      <c r="HO138" s="21">
        <v>12</v>
      </c>
      <c r="HP138" s="21">
        <v>10</v>
      </c>
      <c r="HQ138" s="21">
        <v>12</v>
      </c>
      <c r="HR138" s="21">
        <v>14</v>
      </c>
      <c r="HS138" s="21">
        <v>12</v>
      </c>
      <c r="HT138" s="21">
        <v>16</v>
      </c>
      <c r="HU138" s="21"/>
      <c r="HV138" s="21" t="s">
        <v>825</v>
      </c>
      <c r="HW138" s="21">
        <v>0</v>
      </c>
      <c r="HX138" s="21">
        <v>0</v>
      </c>
      <c r="HY138" s="21">
        <v>0</v>
      </c>
      <c r="HZ138" s="21">
        <v>2</v>
      </c>
      <c r="IA138" s="21">
        <v>2</v>
      </c>
      <c r="IB138" s="21">
        <v>6</v>
      </c>
      <c r="IC138" s="21">
        <v>4</v>
      </c>
      <c r="ID138" s="21">
        <v>8</v>
      </c>
      <c r="IE138" s="21">
        <v>8</v>
      </c>
      <c r="IF138" s="21">
        <v>8</v>
      </c>
      <c r="IG138" s="21">
        <v>10</v>
      </c>
      <c r="IH138" s="21">
        <v>10</v>
      </c>
      <c r="II138" s="21">
        <v>14</v>
      </c>
      <c r="IJ138" s="21">
        <v>14</v>
      </c>
      <c r="IK138" s="21">
        <v>16</v>
      </c>
      <c r="IL138" s="21">
        <v>16</v>
      </c>
      <c r="IM138" s="21">
        <v>16</v>
      </c>
      <c r="IN138" s="21">
        <v>20</v>
      </c>
      <c r="IO138" s="21">
        <v>18</v>
      </c>
      <c r="IP138" s="21">
        <v>22</v>
      </c>
      <c r="IQ138" s="21">
        <v>22</v>
      </c>
      <c r="IR138" s="21"/>
      <c r="IS138" s="21" t="s">
        <v>825</v>
      </c>
      <c r="IT138" s="21">
        <f t="shared" si="54"/>
        <v>0</v>
      </c>
      <c r="IU138" s="21">
        <f t="shared" si="54"/>
        <v>0</v>
      </c>
      <c r="IV138" s="21">
        <f t="shared" si="54"/>
        <v>0</v>
      </c>
      <c r="IW138" s="21">
        <f t="shared" si="54"/>
        <v>4</v>
      </c>
      <c r="IX138" s="21">
        <f t="shared" si="54"/>
        <v>4</v>
      </c>
      <c r="IY138" s="21">
        <f t="shared" si="54"/>
        <v>12</v>
      </c>
      <c r="IZ138" s="21">
        <f t="shared" si="54"/>
        <v>8</v>
      </c>
      <c r="JA138" s="21">
        <f t="shared" si="54"/>
        <v>16</v>
      </c>
      <c r="JB138" s="21">
        <f t="shared" si="54"/>
        <v>16</v>
      </c>
      <c r="JC138" s="21">
        <f t="shared" si="54"/>
        <v>16</v>
      </c>
      <c r="JD138" s="21">
        <f t="shared" si="54"/>
        <v>20</v>
      </c>
      <c r="JE138" s="21">
        <f t="shared" si="54"/>
        <v>20</v>
      </c>
      <c r="JF138" s="21">
        <f t="shared" si="54"/>
        <v>28</v>
      </c>
      <c r="JG138" s="21">
        <f t="shared" si="54"/>
        <v>28</v>
      </c>
      <c r="JH138" s="21">
        <f t="shared" si="54"/>
        <v>32</v>
      </c>
      <c r="JI138" s="21">
        <f t="shared" si="53"/>
        <v>32</v>
      </c>
      <c r="JJ138" s="21">
        <f t="shared" si="40"/>
        <v>32</v>
      </c>
      <c r="JK138" s="21">
        <f t="shared" si="40"/>
        <v>40</v>
      </c>
      <c r="JL138" s="21">
        <f t="shared" si="40"/>
        <v>36</v>
      </c>
      <c r="JM138" s="21">
        <f t="shared" si="40"/>
        <v>44</v>
      </c>
      <c r="JN138" s="21">
        <f t="shared" si="40"/>
        <v>44</v>
      </c>
      <c r="JO138" s="21"/>
      <c r="JP138" s="21"/>
      <c r="JQ138" s="26"/>
      <c r="JR138" s="21"/>
      <c r="JS138" s="21"/>
      <c r="JT138" s="21"/>
      <c r="JU138" s="21"/>
      <c r="JV138" s="21"/>
      <c r="JW138" s="21"/>
      <c r="JX138" s="21"/>
      <c r="JY138" s="21"/>
      <c r="JZ138" s="21"/>
      <c r="KA138" s="21"/>
      <c r="KB138" s="21"/>
      <c r="KC138" s="21"/>
      <c r="KD138" s="21"/>
      <c r="KE138" s="21"/>
      <c r="KF138" s="21"/>
      <c r="KG138" s="21"/>
      <c r="KH138" s="21"/>
    </row>
    <row r="139" spans="1:294" x14ac:dyDescent="0.25">
      <c r="A139" s="8"/>
      <c r="B139" s="5" t="s">
        <v>116</v>
      </c>
      <c r="C139" s="8"/>
      <c r="D139" s="40" t="s">
        <v>942</v>
      </c>
      <c r="E139" s="9"/>
      <c r="F139" s="9"/>
      <c r="G139" s="9"/>
      <c r="H139" s="9"/>
      <c r="I139" s="9"/>
      <c r="J139" s="9"/>
      <c r="K139" s="9"/>
      <c r="L139" s="6" t="s">
        <v>20</v>
      </c>
      <c r="M139" s="11">
        <f>INDEX(cennik!$C$2:$L$529,MATCH($L139,cennik!$B$2:$B$522,0),MATCH(M$104,cennik!$C$1:$L$1,0))</f>
        <v>6506513</v>
      </c>
      <c r="N139" s="11" t="str">
        <f>INDEX(cennik!$C$2:$L$529,MATCH($L139,cennik!$B$2:$B$522,0),MATCH(N$104,cennik!$C$1:$L$1,0))</f>
        <v>szt.</v>
      </c>
      <c r="O139" s="11">
        <f>SUM(O131:O132)+E135</f>
        <v>0</v>
      </c>
      <c r="P139" s="34">
        <f>INDEX(cennik!$C$2:$L$529,MATCH($L139,cennik!$B$2:$B$522,0),MATCH(P$104,cennik!$C$1:$L$1,0))</f>
        <v>4.1900000000000004</v>
      </c>
      <c r="Q139" s="34">
        <f t="shared" si="49"/>
        <v>0</v>
      </c>
      <c r="R139" s="35">
        <f t="shared" si="47"/>
        <v>0</v>
      </c>
      <c r="S139" s="34">
        <f t="shared" si="48"/>
        <v>4.1900000000000004</v>
      </c>
      <c r="T139" s="34">
        <f t="shared" si="50"/>
        <v>0</v>
      </c>
      <c r="U139" s="34">
        <f>INDEX(cennik!$C$2:$L$529,MATCH($L139,cennik!$B$2:$B$522,0),MATCH(U$104,cennik!$C$1:$L$1,0))*O139</f>
        <v>0</v>
      </c>
      <c r="V139" s="20"/>
      <c r="W139" s="25">
        <f t="shared" si="46"/>
        <v>0</v>
      </c>
      <c r="X139" s="20"/>
      <c r="Y139" s="20"/>
      <c r="Z139" s="20"/>
      <c r="AA139" s="20"/>
      <c r="AB139" s="20"/>
      <c r="AC139" s="20"/>
      <c r="AD139" s="20"/>
      <c r="AE139" s="20"/>
      <c r="AF139" s="20">
        <v>42</v>
      </c>
      <c r="AG139" s="20" t="s">
        <v>881</v>
      </c>
      <c r="AH139" s="20">
        <v>0</v>
      </c>
      <c r="AI139" s="20"/>
      <c r="AJ139" s="20">
        <f t="shared" si="51"/>
        <v>0</v>
      </c>
      <c r="AK139" s="20">
        <f t="shared" si="52"/>
        <v>0</v>
      </c>
      <c r="AL139" s="20"/>
      <c r="AM139" s="20"/>
      <c r="AN139" s="20"/>
      <c r="AO139" s="20"/>
      <c r="AP139" s="20"/>
      <c r="AQ139" s="20"/>
      <c r="AR139" s="20"/>
      <c r="AS139" s="20"/>
      <c r="AT139" s="20"/>
      <c r="AU139" s="20"/>
      <c r="AV139" s="20"/>
      <c r="AW139" s="20"/>
      <c r="AX139" s="20"/>
      <c r="AY139" s="20"/>
      <c r="AZ139" s="20"/>
      <c r="BA139" s="20"/>
      <c r="BB139" s="20"/>
      <c r="BC139" s="20"/>
      <c r="BD139" s="20"/>
      <c r="BE139" s="20"/>
      <c r="BF139" s="20"/>
      <c r="BG139" s="20"/>
      <c r="BH139" s="20"/>
      <c r="BI139" s="20"/>
      <c r="BJ139" s="20"/>
      <c r="BK139" s="20"/>
      <c r="BL139" s="20"/>
      <c r="BM139" s="20"/>
      <c r="BN139" s="20"/>
      <c r="BO139" s="20"/>
      <c r="BP139" s="20"/>
      <c r="BQ139" s="20"/>
      <c r="BR139" s="20"/>
      <c r="BS139" s="20"/>
      <c r="BT139" s="20"/>
      <c r="BU139" s="20"/>
      <c r="BV139" s="20"/>
      <c r="BW139" s="20"/>
      <c r="BX139" s="20"/>
      <c r="BY139" s="20"/>
      <c r="BZ139" s="20"/>
      <c r="CA139" s="20"/>
      <c r="CB139" s="20"/>
      <c r="CC139" s="20"/>
      <c r="CD139" s="20"/>
      <c r="CE139" s="20"/>
      <c r="CF139" s="20"/>
      <c r="CG139" s="20"/>
      <c r="CH139" s="20"/>
      <c r="CI139" s="20"/>
      <c r="CJ139" s="20"/>
      <c r="CK139" s="20"/>
      <c r="CL139" s="20"/>
      <c r="CM139" s="20"/>
      <c r="CN139" s="20"/>
      <c r="CO139" s="20"/>
      <c r="CP139" s="20"/>
      <c r="CQ139" s="20"/>
      <c r="CR139" s="20"/>
      <c r="CS139" s="20"/>
      <c r="CT139" s="20"/>
      <c r="CU139" s="20"/>
      <c r="CV139" s="20"/>
      <c r="CW139" s="20"/>
      <c r="CX139" s="20"/>
      <c r="CY139" s="20"/>
      <c r="CZ139" s="20"/>
      <c r="DA139" s="20"/>
      <c r="DB139" s="20"/>
      <c r="DC139" s="20"/>
      <c r="DD139" s="20"/>
      <c r="DE139" s="20"/>
      <c r="DF139" s="20"/>
      <c r="DG139" s="20"/>
      <c r="DH139" s="20"/>
      <c r="DI139" s="20"/>
      <c r="DJ139" s="20"/>
      <c r="DK139" s="20"/>
      <c r="DL139" s="20"/>
      <c r="DM139" s="20"/>
      <c r="DN139" s="20"/>
      <c r="DO139" s="20"/>
      <c r="DP139" s="20"/>
      <c r="DQ139" s="20"/>
      <c r="DR139" s="20"/>
      <c r="DS139" s="20"/>
      <c r="DT139" s="20"/>
      <c r="DU139" s="20"/>
      <c r="DV139" s="20"/>
      <c r="DW139" s="20"/>
      <c r="DX139" s="20"/>
      <c r="DY139" s="20"/>
      <c r="DZ139" s="54">
        <v>36</v>
      </c>
      <c r="EA139" s="54"/>
      <c r="EB139" s="54">
        <v>50</v>
      </c>
      <c r="EC139" s="20"/>
      <c r="ED139" s="20"/>
      <c r="EE139" s="20"/>
      <c r="EF139" s="20"/>
      <c r="EG139" s="20"/>
      <c r="EH139" s="20"/>
      <c r="EI139" s="20"/>
      <c r="EJ139" s="20"/>
      <c r="EK139" s="20"/>
      <c r="EL139" s="20"/>
      <c r="EM139" s="20"/>
      <c r="EN139" s="20"/>
      <c r="EO139" s="20"/>
      <c r="EP139" s="20"/>
      <c r="EQ139" s="20"/>
      <c r="ER139" s="20"/>
      <c r="ES139" s="20"/>
      <c r="ET139" s="20"/>
      <c r="EU139" s="20"/>
      <c r="EV139" s="20" t="s">
        <v>214</v>
      </c>
      <c r="EW139" s="20">
        <v>0</v>
      </c>
      <c r="EX139" s="20">
        <v>0</v>
      </c>
      <c r="EY139" s="20">
        <v>0</v>
      </c>
      <c r="EZ139" s="20">
        <v>0</v>
      </c>
      <c r="FA139" s="20">
        <v>2</v>
      </c>
      <c r="FB139" s="20">
        <v>2</v>
      </c>
      <c r="FC139" s="20">
        <v>0</v>
      </c>
      <c r="FD139" s="20">
        <v>2</v>
      </c>
      <c r="FE139" s="20">
        <v>4</v>
      </c>
      <c r="FF139" s="20">
        <v>2</v>
      </c>
      <c r="FG139" s="20">
        <v>4</v>
      </c>
      <c r="FH139" s="20">
        <v>0</v>
      </c>
      <c r="FI139" s="20">
        <v>0</v>
      </c>
      <c r="FJ139" s="20">
        <v>8</v>
      </c>
      <c r="FK139" s="20">
        <v>8</v>
      </c>
      <c r="FL139" s="20">
        <v>0</v>
      </c>
      <c r="FM139" s="20">
        <v>6</v>
      </c>
      <c r="FN139" s="20">
        <v>4</v>
      </c>
      <c r="FO139" s="20">
        <v>4</v>
      </c>
      <c r="FP139" s="20">
        <v>10</v>
      </c>
      <c r="FQ139" s="20">
        <v>0</v>
      </c>
      <c r="FR139" s="20">
        <v>8</v>
      </c>
      <c r="FS139" s="20">
        <v>2</v>
      </c>
      <c r="FT139" s="20">
        <v>14</v>
      </c>
      <c r="FU139" s="20">
        <v>2</v>
      </c>
      <c r="FV139" s="20">
        <v>8</v>
      </c>
      <c r="FW139" s="20">
        <v>14</v>
      </c>
      <c r="FX139" s="20">
        <v>6</v>
      </c>
      <c r="FY139" s="20">
        <v>12</v>
      </c>
      <c r="FZ139" s="20">
        <v>12</v>
      </c>
      <c r="GA139" s="20">
        <v>10</v>
      </c>
      <c r="GB139" s="20">
        <v>6</v>
      </c>
      <c r="GC139" s="20">
        <v>14</v>
      </c>
      <c r="GD139" s="20">
        <v>8</v>
      </c>
      <c r="GE139" s="20">
        <v>10</v>
      </c>
      <c r="GF139" s="20">
        <v>16</v>
      </c>
      <c r="GG139" s="20">
        <v>22</v>
      </c>
      <c r="GH139" s="20">
        <v>18</v>
      </c>
      <c r="GI139" s="20">
        <v>20</v>
      </c>
      <c r="GJ139" s="20">
        <v>20</v>
      </c>
      <c r="GK139" s="20">
        <v>18</v>
      </c>
      <c r="GL139" s="20">
        <v>14</v>
      </c>
      <c r="GM139" s="20">
        <v>20</v>
      </c>
      <c r="GN139" s="20">
        <v>12</v>
      </c>
      <c r="GO139" s="20">
        <v>18</v>
      </c>
      <c r="GP139" s="20">
        <v>24</v>
      </c>
      <c r="GQ139" s="20">
        <v>28</v>
      </c>
      <c r="GR139" s="20">
        <v>20</v>
      </c>
      <c r="GS139" s="20">
        <v>18</v>
      </c>
      <c r="GT139" s="20">
        <v>28</v>
      </c>
      <c r="GU139" s="20">
        <v>16</v>
      </c>
      <c r="GV139" s="20"/>
      <c r="GW139" s="20"/>
      <c r="GX139" s="20"/>
      <c r="GY139" s="21" t="s">
        <v>712</v>
      </c>
      <c r="GZ139" s="21">
        <v>0</v>
      </c>
      <c r="HA139" s="21">
        <v>0</v>
      </c>
      <c r="HB139" s="21">
        <v>0</v>
      </c>
      <c r="HC139" s="21">
        <v>2</v>
      </c>
      <c r="HD139" s="21">
        <v>2</v>
      </c>
      <c r="HE139" s="21">
        <v>2</v>
      </c>
      <c r="HF139" s="21">
        <v>4</v>
      </c>
      <c r="HG139" s="21">
        <v>4</v>
      </c>
      <c r="HH139" s="21">
        <v>6</v>
      </c>
      <c r="HI139" s="21">
        <v>6</v>
      </c>
      <c r="HJ139" s="21">
        <v>6</v>
      </c>
      <c r="HK139" s="21">
        <v>8</v>
      </c>
      <c r="HL139" s="21">
        <v>8</v>
      </c>
      <c r="HM139" s="21">
        <v>10</v>
      </c>
      <c r="HN139" s="21">
        <v>10</v>
      </c>
      <c r="HO139" s="21">
        <v>10</v>
      </c>
      <c r="HP139" s="21">
        <v>12</v>
      </c>
      <c r="HQ139" s="21">
        <v>12</v>
      </c>
      <c r="HR139" s="21">
        <v>12</v>
      </c>
      <c r="HS139" s="21">
        <v>14</v>
      </c>
      <c r="HT139" s="21">
        <v>14</v>
      </c>
      <c r="HU139" s="21"/>
      <c r="HV139" s="21" t="s">
        <v>853</v>
      </c>
      <c r="HW139" s="21">
        <v>0</v>
      </c>
      <c r="HX139" s="21">
        <v>0</v>
      </c>
      <c r="HY139" s="21">
        <v>2</v>
      </c>
      <c r="HZ139" s="21">
        <v>2</v>
      </c>
      <c r="IA139" s="21">
        <v>4</v>
      </c>
      <c r="IB139" s="21">
        <v>4</v>
      </c>
      <c r="IC139" s="21">
        <v>6</v>
      </c>
      <c r="ID139" s="21">
        <v>6</v>
      </c>
      <c r="IE139" s="21">
        <v>8</v>
      </c>
      <c r="IF139" s="21">
        <v>10</v>
      </c>
      <c r="IG139" s="21">
        <v>10</v>
      </c>
      <c r="IH139" s="21">
        <v>12</v>
      </c>
      <c r="II139" s="21">
        <v>12</v>
      </c>
      <c r="IJ139" s="21">
        <v>14</v>
      </c>
      <c r="IK139" s="21">
        <v>14</v>
      </c>
      <c r="IL139" s="21">
        <v>16</v>
      </c>
      <c r="IM139" s="21">
        <v>18</v>
      </c>
      <c r="IN139" s="21">
        <v>18</v>
      </c>
      <c r="IO139" s="21">
        <v>20</v>
      </c>
      <c r="IP139" s="21">
        <v>20</v>
      </c>
      <c r="IQ139" s="21">
        <v>22</v>
      </c>
      <c r="IR139" s="21"/>
      <c r="IS139" s="21" t="s">
        <v>853</v>
      </c>
      <c r="IT139" s="21">
        <f t="shared" si="54"/>
        <v>0</v>
      </c>
      <c r="IU139" s="21">
        <f t="shared" si="54"/>
        <v>0</v>
      </c>
      <c r="IV139" s="21">
        <f t="shared" si="54"/>
        <v>4</v>
      </c>
      <c r="IW139" s="21">
        <f t="shared" si="54"/>
        <v>4</v>
      </c>
      <c r="IX139" s="21">
        <f t="shared" si="54"/>
        <v>8</v>
      </c>
      <c r="IY139" s="21">
        <f t="shared" si="54"/>
        <v>8</v>
      </c>
      <c r="IZ139" s="21">
        <f t="shared" si="54"/>
        <v>12</v>
      </c>
      <c r="JA139" s="21">
        <f t="shared" si="54"/>
        <v>12</v>
      </c>
      <c r="JB139" s="21">
        <f t="shared" si="54"/>
        <v>16</v>
      </c>
      <c r="JC139" s="21">
        <f t="shared" si="54"/>
        <v>20</v>
      </c>
      <c r="JD139" s="21">
        <f t="shared" si="54"/>
        <v>20</v>
      </c>
      <c r="JE139" s="21">
        <f t="shared" si="54"/>
        <v>24</v>
      </c>
      <c r="JF139" s="21">
        <f t="shared" si="54"/>
        <v>24</v>
      </c>
      <c r="JG139" s="21">
        <f t="shared" si="54"/>
        <v>28</v>
      </c>
      <c r="JH139" s="21">
        <f t="shared" si="54"/>
        <v>28</v>
      </c>
      <c r="JI139" s="21">
        <f t="shared" si="53"/>
        <v>32</v>
      </c>
      <c r="JJ139" s="21">
        <f t="shared" si="40"/>
        <v>36</v>
      </c>
      <c r="JK139" s="21">
        <f t="shared" si="40"/>
        <v>36</v>
      </c>
      <c r="JL139" s="21">
        <f t="shared" si="40"/>
        <v>40</v>
      </c>
      <c r="JM139" s="21">
        <f t="shared" si="40"/>
        <v>40</v>
      </c>
      <c r="JN139" s="21">
        <f t="shared" si="40"/>
        <v>44</v>
      </c>
      <c r="JO139" s="21"/>
      <c r="JP139" s="21"/>
      <c r="JQ139" s="26"/>
      <c r="JR139" s="21"/>
      <c r="JS139" s="21"/>
      <c r="JT139" s="21"/>
      <c r="JU139" s="21"/>
      <c r="JV139" s="21"/>
      <c r="JW139" s="21"/>
      <c r="JX139" s="21"/>
      <c r="JY139" s="21"/>
      <c r="JZ139" s="21"/>
      <c r="KA139" s="21"/>
      <c r="KB139" s="21"/>
      <c r="KC139" s="21"/>
      <c r="KD139" s="21"/>
      <c r="KE139" s="21"/>
      <c r="KF139" s="21"/>
      <c r="KG139" s="26"/>
      <c r="KH139" s="21"/>
    </row>
    <row r="140" spans="1:294" x14ac:dyDescent="0.25">
      <c r="A140" s="8"/>
      <c r="B140" s="5" t="s">
        <v>116</v>
      </c>
      <c r="C140" s="8"/>
      <c r="D140" s="40" t="s">
        <v>943</v>
      </c>
      <c r="E140" s="9"/>
      <c r="F140" s="9"/>
      <c r="G140" s="9"/>
      <c r="H140" s="9"/>
      <c r="I140" s="9"/>
      <c r="J140" s="9"/>
      <c r="K140" s="9"/>
      <c r="L140" s="6" t="s">
        <v>346</v>
      </c>
      <c r="M140" s="11">
        <f>INDEX(cennik!$C$2:$L$529,MATCH($L140,cennik!$B$2:$B$522,0),MATCH(M$104,cennik!$C$1:$L$1,0))</f>
        <v>897304</v>
      </c>
      <c r="N140" s="11" t="str">
        <f>INDEX(cennik!$C$2:$L$529,MATCH($L140,cennik!$B$2:$B$522,0),MATCH(N$104,cennik!$C$1:$L$1,0))</f>
        <v>szt.</v>
      </c>
      <c r="O140" s="10">
        <f>O134/2</f>
        <v>0</v>
      </c>
      <c r="P140" s="34">
        <f>INDEX(cennik!$C$2:$L$529,MATCH($L140,cennik!$B$2:$B$522,0),MATCH(P$104,cennik!$C$1:$L$1,0))</f>
        <v>2.4</v>
      </c>
      <c r="Q140" s="34">
        <f t="shared" si="49"/>
        <v>0</v>
      </c>
      <c r="R140" s="35">
        <f t="shared" si="47"/>
        <v>0</v>
      </c>
      <c r="S140" s="34">
        <f t="shared" si="48"/>
        <v>2.4</v>
      </c>
      <c r="T140" s="34">
        <f t="shared" si="50"/>
        <v>0</v>
      </c>
      <c r="U140" s="34">
        <f>INDEX(cennik!$C$2:$L$529,MATCH($L140,cennik!$B$2:$B$522,0),MATCH(U$104,cennik!$C$1:$L$1,0))*O140</f>
        <v>0</v>
      </c>
      <c r="V140" s="20"/>
      <c r="W140" s="20"/>
      <c r="X140" s="20"/>
      <c r="Y140" s="20"/>
      <c r="Z140" s="20"/>
      <c r="AA140" s="20"/>
      <c r="AB140" s="20"/>
      <c r="AC140" s="20"/>
      <c r="AD140" s="20"/>
      <c r="AE140" s="20"/>
      <c r="AF140" s="20">
        <v>45</v>
      </c>
      <c r="AG140" s="20" t="s">
        <v>881</v>
      </c>
      <c r="AH140" s="20">
        <v>0</v>
      </c>
      <c r="AI140" s="20"/>
      <c r="AJ140" s="20">
        <f t="shared" si="51"/>
        <v>0</v>
      </c>
      <c r="AK140" s="20">
        <f t="shared" si="52"/>
        <v>0</v>
      </c>
      <c r="AL140" s="20" t="s">
        <v>111</v>
      </c>
      <c r="AM140" s="20"/>
      <c r="AN140" s="20"/>
      <c r="AO140" s="20"/>
      <c r="AP140" s="20"/>
      <c r="AQ140" s="20"/>
      <c r="AR140" s="20"/>
      <c r="AS140" s="20"/>
      <c r="AT140" s="20"/>
      <c r="AU140" s="20"/>
      <c r="AV140" s="20"/>
      <c r="AW140" s="20"/>
      <c r="AX140" s="20"/>
      <c r="AY140" s="20"/>
      <c r="AZ140" s="20"/>
      <c r="BA140" s="20"/>
      <c r="BB140" s="20"/>
      <c r="BC140" s="20"/>
      <c r="BD140" s="20"/>
      <c r="BE140" s="20"/>
      <c r="BF140" s="20"/>
      <c r="BG140" s="20"/>
      <c r="BH140" s="20"/>
      <c r="BI140" s="20"/>
      <c r="BJ140" s="20"/>
      <c r="BK140" s="20"/>
      <c r="BL140" s="20"/>
      <c r="BM140" s="20"/>
      <c r="BN140" s="20"/>
      <c r="BO140" s="20"/>
      <c r="BP140" s="20"/>
      <c r="BQ140" s="20"/>
      <c r="BR140" s="20"/>
      <c r="BS140" s="20"/>
      <c r="BT140" s="20"/>
      <c r="BU140" s="20"/>
      <c r="BV140" s="20"/>
      <c r="BW140" s="20"/>
      <c r="BX140" s="20"/>
      <c r="BY140" s="20"/>
      <c r="BZ140" s="20"/>
      <c r="CA140" s="20"/>
      <c r="CB140" s="20"/>
      <c r="CC140" s="20"/>
      <c r="CD140" s="20"/>
      <c r="CE140" s="20"/>
      <c r="CF140" s="20"/>
      <c r="CG140" s="20"/>
      <c r="CH140" s="20"/>
      <c r="CI140" s="20"/>
      <c r="CJ140" s="20"/>
      <c r="CK140" s="20"/>
      <c r="CL140" s="20"/>
      <c r="CM140" s="20"/>
      <c r="CN140" s="20"/>
      <c r="CO140" s="20"/>
      <c r="CP140" s="20"/>
      <c r="CQ140" s="20"/>
      <c r="CR140" s="20"/>
      <c r="CS140" s="20"/>
      <c r="CT140" s="20"/>
      <c r="CU140" s="20"/>
      <c r="CV140" s="20"/>
      <c r="CW140" s="20"/>
      <c r="CX140" s="20"/>
      <c r="CY140" s="20"/>
      <c r="CZ140" s="20"/>
      <c r="DA140" s="20"/>
      <c r="DB140" s="20"/>
      <c r="DC140" s="20"/>
      <c r="DD140" s="20"/>
      <c r="DE140" s="20"/>
      <c r="DF140" s="20"/>
      <c r="DG140" s="20"/>
      <c r="DH140" s="20"/>
      <c r="DI140" s="20"/>
      <c r="DJ140" s="20"/>
      <c r="DK140" s="20"/>
      <c r="DL140" s="20"/>
      <c r="DM140" s="20"/>
      <c r="DN140" s="20"/>
      <c r="DO140" s="20"/>
      <c r="DP140" s="20"/>
      <c r="DQ140" s="20"/>
      <c r="DR140" s="20"/>
      <c r="DS140" s="20"/>
      <c r="DT140" s="20"/>
      <c r="DU140" s="20"/>
      <c r="DV140" s="20"/>
      <c r="DW140" s="20"/>
      <c r="DX140" s="20"/>
      <c r="DY140" s="20"/>
      <c r="DZ140" s="54">
        <v>37</v>
      </c>
      <c r="EA140" s="54"/>
      <c r="EB140" s="54"/>
      <c r="EC140" s="20"/>
      <c r="ED140" s="20"/>
      <c r="EE140" s="20"/>
      <c r="EF140" s="20"/>
      <c r="EG140" s="20"/>
      <c r="EH140" s="20"/>
      <c r="EI140" s="20"/>
      <c r="EJ140" s="20"/>
      <c r="EK140" s="20"/>
      <c r="EL140" s="20"/>
      <c r="EM140" s="20"/>
      <c r="EN140" s="20"/>
      <c r="EO140" s="20"/>
      <c r="EP140" s="20"/>
      <c r="EQ140" s="20"/>
      <c r="ER140" s="20"/>
      <c r="ES140" s="20"/>
      <c r="ET140" s="20"/>
      <c r="EU140" s="20"/>
      <c r="EV140" s="20" t="s">
        <v>11</v>
      </c>
      <c r="EW140" s="20">
        <v>0</v>
      </c>
      <c r="EX140" s="20">
        <v>0</v>
      </c>
      <c r="EY140" s="20">
        <v>2</v>
      </c>
      <c r="EZ140" s="20">
        <v>0</v>
      </c>
      <c r="FA140" s="20">
        <v>2</v>
      </c>
      <c r="FB140" s="20">
        <v>2</v>
      </c>
      <c r="FC140" s="20">
        <v>2</v>
      </c>
      <c r="FD140" s="20">
        <v>4</v>
      </c>
      <c r="FE140" s="20">
        <v>4</v>
      </c>
      <c r="FF140" s="20">
        <v>4</v>
      </c>
      <c r="FG140" s="20">
        <v>6</v>
      </c>
      <c r="FH140" s="20">
        <v>6</v>
      </c>
      <c r="FI140" s="20">
        <v>6</v>
      </c>
      <c r="FJ140" s="20">
        <v>6</v>
      </c>
      <c r="FK140" s="20">
        <v>8</v>
      </c>
      <c r="FL140" s="20">
        <v>8</v>
      </c>
      <c r="FM140" s="20">
        <v>8</v>
      </c>
      <c r="FN140" s="20">
        <v>10</v>
      </c>
      <c r="FO140" s="20">
        <v>10</v>
      </c>
      <c r="FP140" s="20">
        <v>10</v>
      </c>
      <c r="FQ140" s="20">
        <v>12</v>
      </c>
      <c r="FR140" s="20">
        <v>12</v>
      </c>
      <c r="FS140" s="20">
        <v>12</v>
      </c>
      <c r="FT140" s="20">
        <v>12</v>
      </c>
      <c r="FU140" s="20">
        <v>14</v>
      </c>
      <c r="FV140" s="20">
        <v>14</v>
      </c>
      <c r="FW140" s="20">
        <v>14</v>
      </c>
      <c r="FX140" s="20">
        <v>16</v>
      </c>
      <c r="FY140" s="20">
        <v>16</v>
      </c>
      <c r="FZ140" s="20">
        <v>16</v>
      </c>
      <c r="GA140" s="20">
        <v>18</v>
      </c>
      <c r="GB140" s="20">
        <v>18</v>
      </c>
      <c r="GC140" s="20">
        <v>18</v>
      </c>
      <c r="GD140" s="20">
        <v>20</v>
      </c>
      <c r="GE140" s="20">
        <v>20</v>
      </c>
      <c r="GF140" s="20">
        <v>20</v>
      </c>
      <c r="GG140" s="20">
        <v>20</v>
      </c>
      <c r="GH140" s="20">
        <v>22</v>
      </c>
      <c r="GI140" s="20">
        <v>22</v>
      </c>
      <c r="GJ140" s="20">
        <v>22</v>
      </c>
      <c r="GK140" s="20">
        <v>24</v>
      </c>
      <c r="GL140" s="20">
        <v>24</v>
      </c>
      <c r="GM140" s="20">
        <v>24</v>
      </c>
      <c r="GN140" s="20">
        <v>26</v>
      </c>
      <c r="GO140" s="20">
        <v>26</v>
      </c>
      <c r="GP140" s="20">
        <v>26</v>
      </c>
      <c r="GQ140" s="20">
        <v>26</v>
      </c>
      <c r="GR140" s="20">
        <v>28</v>
      </c>
      <c r="GS140" s="20">
        <v>28</v>
      </c>
      <c r="GT140" s="20">
        <v>28</v>
      </c>
      <c r="GU140" s="20">
        <v>30</v>
      </c>
      <c r="GV140" s="20"/>
      <c r="GW140" s="20"/>
      <c r="GX140" s="20"/>
      <c r="GY140" s="21"/>
      <c r="GZ140" s="21"/>
      <c r="HA140" s="21"/>
      <c r="HB140" s="21"/>
      <c r="HC140" s="21"/>
      <c r="HD140" s="21"/>
      <c r="HE140" s="21"/>
      <c r="HF140" s="21"/>
      <c r="HG140" s="21"/>
      <c r="HH140" s="21"/>
      <c r="HI140" s="21"/>
      <c r="HJ140" s="21"/>
      <c r="HK140" s="21"/>
      <c r="HL140" s="21"/>
      <c r="HM140" s="21"/>
      <c r="HN140" s="21"/>
      <c r="HO140" s="21"/>
      <c r="HP140" s="21"/>
      <c r="HQ140" s="21"/>
      <c r="HR140" s="21"/>
      <c r="HS140" s="21"/>
      <c r="HT140" s="21"/>
      <c r="HU140" s="21"/>
      <c r="HV140" s="186"/>
      <c r="HW140" s="21"/>
      <c r="HX140" s="21"/>
      <c r="HY140" s="21"/>
      <c r="HZ140" s="21"/>
      <c r="IA140" s="21"/>
      <c r="IB140" s="21"/>
      <c r="IC140" s="21"/>
      <c r="ID140" s="21"/>
      <c r="IE140" s="21"/>
      <c r="IF140" s="21"/>
      <c r="IG140" s="21"/>
      <c r="IH140" s="21"/>
      <c r="II140" s="21"/>
      <c r="IJ140" s="21"/>
      <c r="IK140" s="21"/>
      <c r="IL140" s="21"/>
      <c r="IM140" s="21"/>
      <c r="IN140" s="21"/>
      <c r="IO140" s="21"/>
      <c r="IP140" s="21"/>
      <c r="IQ140" s="21"/>
      <c r="IR140" s="21"/>
      <c r="IS140" s="21"/>
      <c r="IT140" s="21"/>
      <c r="IU140" s="21"/>
      <c r="IV140" s="21"/>
      <c r="IW140" s="21"/>
      <c r="IX140" s="21"/>
      <c r="IY140" s="21"/>
      <c r="IZ140" s="21"/>
      <c r="JA140" s="21"/>
      <c r="JB140" s="21"/>
      <c r="JC140" s="21"/>
      <c r="JD140" s="21"/>
      <c r="JE140" s="21"/>
      <c r="JF140" s="21"/>
      <c r="JG140" s="21"/>
      <c r="JH140" s="21"/>
      <c r="JI140" s="21"/>
      <c r="JJ140" s="21"/>
      <c r="JK140" s="21"/>
      <c r="JL140" s="21"/>
      <c r="JM140" s="21"/>
      <c r="JN140" s="21"/>
      <c r="JO140" s="21"/>
      <c r="JP140" s="21"/>
      <c r="JQ140" s="26"/>
      <c r="JR140" s="21"/>
      <c r="JS140" s="21"/>
      <c r="JT140" s="21"/>
      <c r="JU140" s="21"/>
      <c r="JV140" s="21"/>
      <c r="JW140" s="21"/>
      <c r="JX140" s="21"/>
      <c r="JY140" s="21"/>
      <c r="JZ140" s="21"/>
      <c r="KA140" s="21"/>
      <c r="KB140" s="21"/>
      <c r="KC140" s="21"/>
      <c r="KD140" s="21"/>
      <c r="KE140" s="21"/>
      <c r="KF140" s="21"/>
      <c r="KG140" s="26"/>
      <c r="KH140" s="21"/>
    </row>
    <row r="141" spans="1:294" x14ac:dyDescent="0.25">
      <c r="A141" s="8"/>
      <c r="B141" s="5" t="s">
        <v>116</v>
      </c>
      <c r="C141" s="8"/>
      <c r="D141" s="9"/>
      <c r="E141" s="9"/>
      <c r="F141" s="9"/>
      <c r="G141" s="9"/>
      <c r="H141" s="9"/>
      <c r="I141" s="9"/>
      <c r="J141" s="9"/>
      <c r="K141" s="9"/>
      <c r="L141" s="6" t="str">
        <f>IF(E132=$Z$104,"-------",IF(E132=$Z$105,"SBV50X500",IF(E132=$Z$106,"-------",IF(E132=$Z$107,"-------",0))))</f>
        <v>SBV50X500</v>
      </c>
      <c r="M141" s="11">
        <f>INDEX(cennik!$C$2:$L$529,MATCH($L141,cennik!$B$2:$B$522,0),MATCH(M$104,cennik!$C$1:$L$1,0))</f>
        <v>895501</v>
      </c>
      <c r="N141" s="11" t="str">
        <f>INDEX(cennik!$C$2:$L$529,MATCH($L141,cennik!$B$2:$B$522,0),MATCH(N$104,cennik!$C$1:$L$1,0))</f>
        <v>szt.</v>
      </c>
      <c r="O141" s="11">
        <f>IF(E132=$Z$104,0,IF(E132=$Z$105,O130*2,IF(E132=$Z$106,0,IF(E132=$Z$107,0,0))))</f>
        <v>0</v>
      </c>
      <c r="P141" s="34">
        <f>INDEX(cennik!$C$2:$L$529,MATCH($L141,cennik!$B$2:$B$522,0),MATCH(P$104,cennik!$C$1:$L$1,0))</f>
        <v>1.24</v>
      </c>
      <c r="Q141" s="34">
        <f t="shared" si="49"/>
        <v>0</v>
      </c>
      <c r="R141" s="35">
        <f t="shared" si="47"/>
        <v>0</v>
      </c>
      <c r="S141" s="34">
        <f t="shared" si="48"/>
        <v>1.24</v>
      </c>
      <c r="T141" s="34">
        <f t="shared" si="50"/>
        <v>0</v>
      </c>
      <c r="U141" s="34">
        <f>INDEX(cennik!$C$2:$L$529,MATCH($L141,cennik!$B$2:$B$522,0),MATCH(U$104,cennik!$C$1:$L$1,0))*O141</f>
        <v>0</v>
      </c>
      <c r="V141" s="20"/>
      <c r="W141" s="20"/>
      <c r="X141" s="20"/>
      <c r="Y141" s="20"/>
      <c r="Z141" s="20"/>
      <c r="AA141" s="20"/>
      <c r="AB141" s="20"/>
      <c r="AC141" s="20"/>
      <c r="AD141" s="20"/>
      <c r="AE141" s="20"/>
      <c r="AF141" s="20">
        <v>50</v>
      </c>
      <c r="AG141" s="20" t="s">
        <v>881</v>
      </c>
      <c r="AH141" s="20">
        <v>0</v>
      </c>
      <c r="AI141" s="20"/>
      <c r="AJ141" s="20">
        <f t="shared" si="51"/>
        <v>0</v>
      </c>
      <c r="AK141" s="20">
        <f t="shared" si="52"/>
        <v>0</v>
      </c>
      <c r="AL141" s="20"/>
      <c r="AM141" s="20">
        <v>0</v>
      </c>
      <c r="AN141" s="20">
        <v>1</v>
      </c>
      <c r="AO141" s="20">
        <v>2</v>
      </c>
      <c r="AP141" s="20">
        <v>3</v>
      </c>
      <c r="AQ141" s="20">
        <v>4</v>
      </c>
      <c r="AR141" s="20">
        <v>5</v>
      </c>
      <c r="AS141" s="20">
        <v>6</v>
      </c>
      <c r="AT141" s="20">
        <v>7</v>
      </c>
      <c r="AU141" s="20">
        <v>8</v>
      </c>
      <c r="AV141" s="20">
        <v>9</v>
      </c>
      <c r="AW141" s="20">
        <v>10</v>
      </c>
      <c r="AX141" s="20">
        <v>11</v>
      </c>
      <c r="AY141" s="20">
        <v>12</v>
      </c>
      <c r="AZ141" s="20">
        <v>13</v>
      </c>
      <c r="BA141" s="20">
        <v>14</v>
      </c>
      <c r="BB141" s="20">
        <v>15</v>
      </c>
      <c r="BC141" s="20">
        <v>16</v>
      </c>
      <c r="BD141" s="20">
        <v>17</v>
      </c>
      <c r="BE141" s="20">
        <v>18</v>
      </c>
      <c r="BF141" s="20">
        <v>19</v>
      </c>
      <c r="BG141" s="20">
        <v>20</v>
      </c>
      <c r="BH141" s="20">
        <v>21</v>
      </c>
      <c r="BI141" s="20">
        <v>22</v>
      </c>
      <c r="BJ141" s="20">
        <v>23</v>
      </c>
      <c r="BK141" s="20">
        <v>24</v>
      </c>
      <c r="BL141" s="20">
        <v>25</v>
      </c>
      <c r="BM141" s="20">
        <v>26</v>
      </c>
      <c r="BN141" s="20">
        <v>27</v>
      </c>
      <c r="BO141" s="20">
        <v>28</v>
      </c>
      <c r="BP141" s="20">
        <v>29</v>
      </c>
      <c r="BQ141" s="20">
        <v>30</v>
      </c>
      <c r="BR141" s="20">
        <v>31</v>
      </c>
      <c r="BS141" s="20">
        <v>32</v>
      </c>
      <c r="BT141" s="20">
        <v>33</v>
      </c>
      <c r="BU141" s="20">
        <v>34</v>
      </c>
      <c r="BV141" s="20">
        <v>35</v>
      </c>
      <c r="BW141" s="20">
        <v>36</v>
      </c>
      <c r="BX141" s="20">
        <v>37</v>
      </c>
      <c r="BY141" s="20">
        <v>38</v>
      </c>
      <c r="BZ141" s="20">
        <v>39</v>
      </c>
      <c r="CA141" s="20">
        <v>40</v>
      </c>
      <c r="CB141" s="20">
        <v>41</v>
      </c>
      <c r="CC141" s="20">
        <v>42</v>
      </c>
      <c r="CD141" s="20">
        <v>43</v>
      </c>
      <c r="CE141" s="20">
        <v>44</v>
      </c>
      <c r="CF141" s="20">
        <v>45</v>
      </c>
      <c r="CG141" s="20">
        <v>46</v>
      </c>
      <c r="CH141" s="20">
        <v>47</v>
      </c>
      <c r="CI141" s="20">
        <v>48</v>
      </c>
      <c r="CJ141" s="20">
        <v>49</v>
      </c>
      <c r="CK141" s="20">
        <v>50</v>
      </c>
      <c r="CL141" s="20"/>
      <c r="CM141" s="20"/>
      <c r="CN141" s="20"/>
      <c r="CO141" s="20"/>
      <c r="CP141" s="20"/>
      <c r="CQ141" s="20"/>
      <c r="CR141" s="20"/>
      <c r="CS141" s="20"/>
      <c r="CT141" s="20"/>
      <c r="CU141" s="20"/>
      <c r="CV141" s="20"/>
      <c r="CW141" s="20"/>
      <c r="CX141" s="20"/>
      <c r="CY141" s="20"/>
      <c r="CZ141" s="20"/>
      <c r="DA141" s="20"/>
      <c r="DB141" s="20"/>
      <c r="DC141" s="20"/>
      <c r="DD141" s="20"/>
      <c r="DE141" s="20"/>
      <c r="DF141" s="20"/>
      <c r="DG141" s="20"/>
      <c r="DH141" s="20"/>
      <c r="DI141" s="20"/>
      <c r="DJ141" s="20"/>
      <c r="DK141" s="20"/>
      <c r="DL141" s="20"/>
      <c r="DM141" s="20"/>
      <c r="DN141" s="20"/>
      <c r="DO141" s="20"/>
      <c r="DP141" s="20"/>
      <c r="DQ141" s="20"/>
      <c r="DR141" s="20"/>
      <c r="DS141" s="20"/>
      <c r="DT141" s="20"/>
      <c r="DU141" s="20"/>
      <c r="DV141" s="20"/>
      <c r="DW141" s="20"/>
      <c r="DX141" s="20"/>
      <c r="DY141" s="20"/>
      <c r="DZ141" s="54">
        <v>38</v>
      </c>
      <c r="EA141" s="54"/>
      <c r="EB141" s="54"/>
      <c r="EC141" s="20"/>
      <c r="ED141" s="20"/>
      <c r="EE141" s="20"/>
      <c r="EF141" s="20"/>
      <c r="EG141" s="20"/>
      <c r="EH141" s="20"/>
      <c r="EI141" s="20"/>
      <c r="EJ141" s="20"/>
      <c r="EK141" s="20"/>
      <c r="EL141" s="20"/>
      <c r="EM141" s="20"/>
      <c r="EN141" s="20"/>
      <c r="EO141" s="20"/>
      <c r="EP141" s="20"/>
      <c r="EQ141" s="20"/>
      <c r="ER141" s="20"/>
      <c r="ES141" s="20"/>
      <c r="ET141" s="20"/>
      <c r="EU141" s="20"/>
      <c r="EV141" s="20"/>
      <c r="EW141" s="20"/>
      <c r="EX141" s="20"/>
      <c r="EY141" s="20"/>
      <c r="EZ141" s="20"/>
      <c r="FA141" s="20"/>
      <c r="FB141" s="20"/>
      <c r="FC141" s="20"/>
      <c r="FD141" s="20"/>
      <c r="FE141" s="20"/>
      <c r="FF141" s="20"/>
      <c r="FG141" s="20"/>
      <c r="FH141" s="20"/>
      <c r="FI141" s="20"/>
      <c r="FJ141" s="20"/>
      <c r="FK141" s="20"/>
      <c r="FL141" s="20"/>
      <c r="FM141" s="20"/>
      <c r="FN141" s="20"/>
      <c r="FO141" s="20"/>
      <c r="FP141" s="20"/>
      <c r="FQ141" s="20"/>
      <c r="FR141" s="20"/>
      <c r="FS141" s="20"/>
      <c r="FT141" s="20"/>
      <c r="FU141" s="20"/>
      <c r="FV141" s="20"/>
      <c r="FW141" s="20"/>
      <c r="FX141" s="20"/>
      <c r="FY141" s="20"/>
      <c r="FZ141" s="20"/>
      <c r="GA141" s="20"/>
      <c r="GB141" s="20"/>
      <c r="GC141" s="20"/>
      <c r="GD141" s="20"/>
      <c r="GE141" s="20"/>
      <c r="GF141" s="20"/>
      <c r="GG141" s="20"/>
      <c r="GH141" s="20"/>
      <c r="GI141" s="20"/>
      <c r="GJ141" s="20"/>
      <c r="GK141" s="20"/>
      <c r="GL141" s="20"/>
      <c r="GM141" s="20"/>
      <c r="GN141" s="20"/>
      <c r="GO141" s="20"/>
      <c r="GP141" s="20"/>
      <c r="GQ141" s="20"/>
      <c r="GR141" s="20"/>
      <c r="GS141" s="20"/>
      <c r="GT141" s="20"/>
      <c r="GU141" s="20"/>
      <c r="GV141" s="20"/>
      <c r="GW141" s="20"/>
      <c r="GX141" s="20"/>
      <c r="GY141" s="21" t="s">
        <v>715</v>
      </c>
      <c r="GZ141" s="21"/>
      <c r="HA141" s="21"/>
      <c r="HB141" s="21"/>
      <c r="HC141" s="21"/>
      <c r="HD141" s="21"/>
      <c r="HE141" s="21"/>
      <c r="HF141" s="21"/>
      <c r="HG141" s="21"/>
      <c r="HH141" s="21"/>
      <c r="HI141" s="21"/>
      <c r="HJ141" s="21"/>
      <c r="HK141" s="21"/>
      <c r="HL141" s="21"/>
      <c r="HM141" s="21"/>
      <c r="HN141" s="21"/>
      <c r="HO141" s="21"/>
      <c r="HP141" s="21"/>
      <c r="HQ141" s="21"/>
      <c r="HR141" s="21"/>
      <c r="HS141" s="21"/>
      <c r="HT141" s="21"/>
      <c r="HU141" s="346"/>
      <c r="HV141" s="186" t="s">
        <v>473</v>
      </c>
      <c r="HW141" s="21"/>
      <c r="HX141" s="21"/>
      <c r="HY141" s="21"/>
      <c r="HZ141" s="21"/>
      <c r="IA141" s="21"/>
      <c r="IB141" s="21"/>
      <c r="IC141" s="21"/>
      <c r="ID141" s="21"/>
      <c r="IE141" s="21"/>
      <c r="IF141" s="21"/>
      <c r="IG141" s="21"/>
      <c r="IH141" s="21"/>
      <c r="II141" s="21"/>
      <c r="IJ141" s="21"/>
      <c r="IK141" s="21"/>
      <c r="IL141" s="21"/>
      <c r="IM141" s="21"/>
      <c r="IN141" s="21"/>
      <c r="IO141" s="21"/>
      <c r="IP141" s="21"/>
      <c r="IQ141" s="21"/>
      <c r="IR141" s="21"/>
      <c r="IS141" s="21" t="s">
        <v>473</v>
      </c>
      <c r="IT141" s="21"/>
      <c r="IU141" s="21"/>
      <c r="IV141" s="21"/>
      <c r="IW141" s="21"/>
      <c r="IX141" s="21"/>
      <c r="IY141" s="21"/>
      <c r="IZ141" s="21"/>
      <c r="JA141" s="21"/>
      <c r="JB141" s="21"/>
      <c r="JC141" s="21"/>
      <c r="JD141" s="21"/>
      <c r="JE141" s="21"/>
      <c r="JF141" s="21"/>
      <c r="JG141" s="21"/>
      <c r="JH141" s="21"/>
      <c r="JI141" s="21"/>
      <c r="JJ141" s="21"/>
      <c r="JK141" s="21"/>
      <c r="JL141" s="21"/>
      <c r="JM141" s="21"/>
      <c r="JN141" s="21"/>
      <c r="JO141" s="21"/>
      <c r="JP141" s="21"/>
      <c r="JQ141" s="21"/>
      <c r="JR141" s="21"/>
      <c r="JS141" s="21"/>
      <c r="JT141" s="21"/>
      <c r="JU141" s="21"/>
      <c r="JV141" s="21"/>
      <c r="JW141" s="21"/>
      <c r="JX141" s="21"/>
      <c r="JY141" s="21"/>
      <c r="JZ141" s="21"/>
      <c r="KA141" s="21"/>
      <c r="KB141" s="21"/>
      <c r="KC141" s="21"/>
      <c r="KD141" s="21"/>
      <c r="KE141" s="21"/>
      <c r="KF141" s="21"/>
      <c r="KG141" s="26"/>
      <c r="KH141" s="21"/>
    </row>
    <row r="142" spans="1:294" x14ac:dyDescent="0.25">
      <c r="A142" s="8"/>
      <c r="B142" s="5" t="s">
        <v>116</v>
      </c>
      <c r="C142" s="8"/>
      <c r="D142" s="9"/>
      <c r="E142" s="9"/>
      <c r="F142" s="17" t="str">
        <f>IF(L142="PSRM10X90F","PROPOZYCJA KOTEW- DO WERFIKACJI",IF(L142="-------","",""))</f>
        <v>PROPOZYCJA KOTEW- DO WERFIKACJI</v>
      </c>
      <c r="G142" s="9"/>
      <c r="H142" s="9"/>
      <c r="I142" s="9"/>
      <c r="J142" s="9"/>
      <c r="K142" s="9"/>
      <c r="L142" s="6" t="str">
        <f>IF(E132=$Z$104,"-------",IF(E132=$Z$105,"PSRM10X90F",IF(E132=$Z$106,"-------",IF(E132=$Z$107,"SSZ8X30E A2",0))))</f>
        <v>PSRM10X90F</v>
      </c>
      <c r="M142" s="11">
        <f>INDEX(cennik!$C$2:$L$529,MATCH($L142,cennik!$B$2:$B$522,0),MATCH(M$104,cennik!$C$1:$L$1,0))</f>
        <v>650093</v>
      </c>
      <c r="N142" s="11" t="str">
        <f>INDEX(cennik!$C$2:$L$529,MATCH($L142,cennik!$B$2:$B$522,0),MATCH(N$104,cennik!$C$1:$L$1,0))</f>
        <v>szt.</v>
      </c>
      <c r="O142" s="11">
        <f>IF(E132=$Z$104,0,IF(E132=$Z$105,O130*6,IF(E132=$Z$106,0,IF(E132=$Z$107,ROUNDUP((O130*4)/100,0),0))))</f>
        <v>0</v>
      </c>
      <c r="P142" s="34">
        <f>INDEX(cennik!$C$2:$L$529,MATCH($L142,cennik!$B$2:$B$522,0),MATCH(P$104,cennik!$C$1:$L$1,0))</f>
        <v>3.29</v>
      </c>
      <c r="Q142" s="34">
        <f t="shared" si="49"/>
        <v>0</v>
      </c>
      <c r="R142" s="35">
        <f t="shared" si="47"/>
        <v>0</v>
      </c>
      <c r="S142" s="34">
        <f t="shared" ref="S142:S148" si="57">P142*((100-$E$110)/100)</f>
        <v>3.29</v>
      </c>
      <c r="T142" s="34">
        <f t="shared" si="50"/>
        <v>0</v>
      </c>
      <c r="U142" s="34">
        <f>INDEX(cennik!$C$2:$L$529,MATCH($L142,cennik!$B$2:$B$522,0),MATCH(U$104,cennik!$C$1:$L$1,0))*O142</f>
        <v>0</v>
      </c>
      <c r="V142" s="20"/>
      <c r="W142" s="27" t="s">
        <v>322</v>
      </c>
      <c r="X142" s="27" t="s">
        <v>323</v>
      </c>
      <c r="Y142" s="20"/>
      <c r="Z142" s="25" t="s">
        <v>11</v>
      </c>
      <c r="AA142" s="20" t="s">
        <v>210</v>
      </c>
      <c r="AB142" s="20" t="s">
        <v>9</v>
      </c>
      <c r="AC142" s="25" t="s">
        <v>208</v>
      </c>
      <c r="AD142" s="25" t="s">
        <v>211</v>
      </c>
      <c r="AE142" s="25" t="s">
        <v>293</v>
      </c>
      <c r="AF142" s="25" t="s">
        <v>10</v>
      </c>
      <c r="AG142" s="25" t="s">
        <v>212</v>
      </c>
      <c r="AH142" s="25" t="s">
        <v>214</v>
      </c>
      <c r="AI142" s="20"/>
      <c r="AJ142" s="20">
        <f t="shared" si="51"/>
        <v>0</v>
      </c>
      <c r="AK142" s="20">
        <f t="shared" si="52"/>
        <v>0</v>
      </c>
      <c r="AL142" s="20" t="s">
        <v>126</v>
      </c>
      <c r="AM142" s="20">
        <v>0</v>
      </c>
      <c r="AN142" s="20">
        <v>0</v>
      </c>
      <c r="AO142" s="20">
        <v>6</v>
      </c>
      <c r="AP142" s="20">
        <v>0</v>
      </c>
      <c r="AQ142" s="20">
        <v>0</v>
      </c>
      <c r="AR142" s="20">
        <v>0</v>
      </c>
      <c r="AS142" s="20">
        <v>0</v>
      </c>
      <c r="AT142" s="20">
        <v>0</v>
      </c>
      <c r="AU142" s="20">
        <v>0</v>
      </c>
      <c r="AV142" s="20">
        <v>0</v>
      </c>
      <c r="AW142" s="20">
        <v>2</v>
      </c>
      <c r="AX142" s="20">
        <v>0</v>
      </c>
      <c r="AY142" s="20">
        <v>0</v>
      </c>
      <c r="AZ142" s="20">
        <v>0</v>
      </c>
      <c r="BA142" s="20">
        <v>0</v>
      </c>
      <c r="BB142" s="20">
        <v>0</v>
      </c>
      <c r="BC142" s="20">
        <v>0</v>
      </c>
      <c r="BD142" s="20">
        <v>0</v>
      </c>
      <c r="BE142" s="20">
        <v>0</v>
      </c>
      <c r="BF142" s="20">
        <v>0</v>
      </c>
      <c r="BG142" s="20">
        <v>0</v>
      </c>
      <c r="BH142" s="20">
        <v>0</v>
      </c>
      <c r="BI142" s="20">
        <v>0</v>
      </c>
      <c r="BJ142" s="20">
        <v>0</v>
      </c>
      <c r="BK142" s="20">
        <v>0</v>
      </c>
      <c r="BL142" s="20">
        <v>0</v>
      </c>
      <c r="BM142" s="20">
        <v>0</v>
      </c>
      <c r="BN142" s="20">
        <v>0</v>
      </c>
      <c r="BO142" s="20">
        <v>0</v>
      </c>
      <c r="BP142" s="20">
        <v>0</v>
      </c>
      <c r="BQ142" s="20">
        <v>0</v>
      </c>
      <c r="BR142" s="20">
        <v>0</v>
      </c>
      <c r="BS142" s="20">
        <v>2</v>
      </c>
      <c r="BT142" s="20">
        <v>0</v>
      </c>
      <c r="BU142" s="20">
        <v>0</v>
      </c>
      <c r="BV142" s="20">
        <v>0</v>
      </c>
      <c r="BW142" s="20">
        <v>0</v>
      </c>
      <c r="BX142" s="20">
        <v>0</v>
      </c>
      <c r="BY142" s="20">
        <v>0</v>
      </c>
      <c r="BZ142" s="20">
        <v>0</v>
      </c>
      <c r="CA142" s="20">
        <v>0</v>
      </c>
      <c r="CB142" s="20">
        <v>0</v>
      </c>
      <c r="CC142" s="20">
        <v>0</v>
      </c>
      <c r="CD142" s="20">
        <v>0</v>
      </c>
      <c r="CE142" s="20">
        <v>0</v>
      </c>
      <c r="CF142" s="20">
        <v>0</v>
      </c>
      <c r="CG142" s="20">
        <v>0</v>
      </c>
      <c r="CH142" s="20">
        <v>0</v>
      </c>
      <c r="CI142" s="20">
        <v>0</v>
      </c>
      <c r="CJ142" s="20">
        <v>0</v>
      </c>
      <c r="CK142" s="20">
        <v>0</v>
      </c>
      <c r="CL142" s="20"/>
      <c r="CM142" s="20"/>
      <c r="CN142" s="20"/>
      <c r="CO142" s="20"/>
      <c r="CP142" s="20"/>
      <c r="CQ142" s="20"/>
      <c r="CR142" s="20"/>
      <c r="CS142" s="20"/>
      <c r="CT142" s="20"/>
      <c r="CU142" s="20"/>
      <c r="CV142" s="20"/>
      <c r="CW142" s="20"/>
      <c r="CX142" s="20"/>
      <c r="CY142" s="20"/>
      <c r="CZ142" s="20"/>
      <c r="DA142" s="20"/>
      <c r="DB142" s="20"/>
      <c r="DC142" s="20"/>
      <c r="DD142" s="20"/>
      <c r="DE142" s="20"/>
      <c r="DF142" s="20"/>
      <c r="DG142" s="20"/>
      <c r="DH142" s="20"/>
      <c r="DI142" s="20"/>
      <c r="DJ142" s="20"/>
      <c r="DK142" s="20"/>
      <c r="DL142" s="20"/>
      <c r="DM142" s="20"/>
      <c r="DN142" s="20"/>
      <c r="DO142" s="20"/>
      <c r="DP142" s="20"/>
      <c r="DQ142" s="20"/>
      <c r="DR142" s="20"/>
      <c r="DS142" s="20"/>
      <c r="DT142" s="20"/>
      <c r="DU142" s="20"/>
      <c r="DV142" s="20"/>
      <c r="DW142" s="20"/>
      <c r="DX142" s="20"/>
      <c r="DY142" s="20"/>
      <c r="DZ142" s="54">
        <v>39</v>
      </c>
      <c r="EA142" s="54"/>
      <c r="EB142" s="54">
        <v>1</v>
      </c>
      <c r="EC142" s="20"/>
      <c r="ED142" s="20"/>
      <c r="EE142" s="20"/>
      <c r="EF142" s="20"/>
      <c r="EG142" s="20"/>
      <c r="EH142" s="20"/>
      <c r="EI142" s="20"/>
      <c r="EJ142" s="20"/>
      <c r="EK142" s="20"/>
      <c r="EL142" s="20"/>
      <c r="EM142" s="20"/>
      <c r="EN142" s="20"/>
      <c r="EO142" s="20"/>
      <c r="EP142" s="20"/>
      <c r="EQ142" s="20"/>
      <c r="ER142" s="20"/>
      <c r="ES142" s="20"/>
      <c r="ET142" s="20"/>
      <c r="EU142" s="20"/>
      <c r="EV142" s="20" t="s">
        <v>480</v>
      </c>
      <c r="EW142" s="20"/>
      <c r="EX142" s="20"/>
      <c r="EY142" s="20"/>
      <c r="EZ142" s="20"/>
      <c r="FA142" s="20"/>
      <c r="FB142" s="20"/>
      <c r="FC142" s="20"/>
      <c r="FD142" s="20"/>
      <c r="FE142" s="20"/>
      <c r="FF142" s="20"/>
      <c r="FG142" s="20"/>
      <c r="FH142" s="20"/>
      <c r="FI142" s="20"/>
      <c r="FJ142" s="20"/>
      <c r="FK142" s="20"/>
      <c r="FL142" s="20"/>
      <c r="FM142" s="20"/>
      <c r="FN142" s="20"/>
      <c r="FO142" s="20"/>
      <c r="FP142" s="20"/>
      <c r="FQ142" s="20"/>
      <c r="FR142" s="20"/>
      <c r="FS142" s="20"/>
      <c r="FT142" s="20"/>
      <c r="FU142" s="20"/>
      <c r="FV142" s="20"/>
      <c r="FW142" s="20"/>
      <c r="FX142" s="20"/>
      <c r="FY142" s="20"/>
      <c r="FZ142" s="20"/>
      <c r="GA142" s="20"/>
      <c r="GB142" s="20"/>
      <c r="GC142" s="20"/>
      <c r="GD142" s="20"/>
      <c r="GE142" s="20"/>
      <c r="GF142" s="20"/>
      <c r="GG142" s="20"/>
      <c r="GH142" s="20"/>
      <c r="GI142" s="20"/>
      <c r="GJ142" s="20"/>
      <c r="GK142" s="20"/>
      <c r="GL142" s="20"/>
      <c r="GM142" s="20"/>
      <c r="GN142" s="20"/>
      <c r="GO142" s="20"/>
      <c r="GP142" s="20"/>
      <c r="GQ142" s="20"/>
      <c r="GR142" s="20"/>
      <c r="GS142" s="20"/>
      <c r="GT142" s="20"/>
      <c r="GU142" s="20"/>
      <c r="GV142" s="20"/>
      <c r="GW142" s="20"/>
      <c r="GX142" s="20"/>
      <c r="GY142" s="21"/>
      <c r="GZ142" s="21">
        <v>0</v>
      </c>
      <c r="HA142" s="21">
        <v>1</v>
      </c>
      <c r="HB142" s="21">
        <v>2</v>
      </c>
      <c r="HC142" s="21">
        <v>3</v>
      </c>
      <c r="HD142" s="21">
        <v>4</v>
      </c>
      <c r="HE142" s="21">
        <v>5</v>
      </c>
      <c r="HF142" s="21">
        <v>6</v>
      </c>
      <c r="HG142" s="21">
        <v>7</v>
      </c>
      <c r="HH142" s="21">
        <v>8</v>
      </c>
      <c r="HI142" s="21">
        <v>9</v>
      </c>
      <c r="HJ142" s="21">
        <v>10</v>
      </c>
      <c r="HK142" s="21">
        <v>11</v>
      </c>
      <c r="HL142" s="21">
        <v>12</v>
      </c>
      <c r="HM142" s="21">
        <v>13</v>
      </c>
      <c r="HN142" s="21">
        <v>14</v>
      </c>
      <c r="HO142" s="21">
        <v>15</v>
      </c>
      <c r="HP142" s="21">
        <v>16</v>
      </c>
      <c r="HQ142" s="21">
        <v>17</v>
      </c>
      <c r="HR142" s="21">
        <v>18</v>
      </c>
      <c r="HS142" s="21">
        <v>19</v>
      </c>
      <c r="HT142" s="21">
        <v>20</v>
      </c>
      <c r="HU142" s="21"/>
      <c r="HV142" s="186"/>
      <c r="HW142" s="21">
        <v>0</v>
      </c>
      <c r="HX142" s="21">
        <v>1</v>
      </c>
      <c r="HY142" s="21">
        <v>2</v>
      </c>
      <c r="HZ142" s="21">
        <v>3</v>
      </c>
      <c r="IA142" s="21">
        <v>4</v>
      </c>
      <c r="IB142" s="21">
        <v>5</v>
      </c>
      <c r="IC142" s="21">
        <v>6</v>
      </c>
      <c r="ID142" s="21">
        <v>7</v>
      </c>
      <c r="IE142" s="21">
        <v>8</v>
      </c>
      <c r="IF142" s="21">
        <v>9</v>
      </c>
      <c r="IG142" s="21">
        <v>10</v>
      </c>
      <c r="IH142" s="21">
        <v>11</v>
      </c>
      <c r="II142" s="21">
        <v>12</v>
      </c>
      <c r="IJ142" s="21">
        <v>13</v>
      </c>
      <c r="IK142" s="21">
        <v>14</v>
      </c>
      <c r="IL142" s="21">
        <v>15</v>
      </c>
      <c r="IM142" s="21">
        <v>16</v>
      </c>
      <c r="IN142" s="21">
        <v>17</v>
      </c>
      <c r="IO142" s="21">
        <v>18</v>
      </c>
      <c r="IP142" s="21">
        <v>19</v>
      </c>
      <c r="IQ142" s="21">
        <v>20</v>
      </c>
      <c r="IR142" s="21"/>
      <c r="IS142" s="21"/>
      <c r="IT142" s="21">
        <f t="shared" si="54"/>
        <v>0</v>
      </c>
      <c r="IU142" s="21">
        <f t="shared" si="54"/>
        <v>2</v>
      </c>
      <c r="IV142" s="21">
        <f t="shared" si="54"/>
        <v>4</v>
      </c>
      <c r="IW142" s="21">
        <f t="shared" si="54"/>
        <v>6</v>
      </c>
      <c r="IX142" s="21">
        <f t="shared" si="54"/>
        <v>8</v>
      </c>
      <c r="IY142" s="21">
        <f t="shared" si="54"/>
        <v>10</v>
      </c>
      <c r="IZ142" s="21">
        <f t="shared" si="54"/>
        <v>12</v>
      </c>
      <c r="JA142" s="21">
        <f t="shared" si="54"/>
        <v>14</v>
      </c>
      <c r="JB142" s="21">
        <f t="shared" si="54"/>
        <v>16</v>
      </c>
      <c r="JC142" s="21">
        <f t="shared" si="54"/>
        <v>18</v>
      </c>
      <c r="JD142" s="21">
        <f t="shared" si="54"/>
        <v>20</v>
      </c>
      <c r="JE142" s="21">
        <f t="shared" si="54"/>
        <v>22</v>
      </c>
      <c r="JF142" s="21">
        <f t="shared" si="54"/>
        <v>24</v>
      </c>
      <c r="JG142" s="21">
        <f t="shared" si="54"/>
        <v>26</v>
      </c>
      <c r="JH142" s="21">
        <f t="shared" si="54"/>
        <v>28</v>
      </c>
      <c r="JI142" s="21">
        <f t="shared" si="53"/>
        <v>30</v>
      </c>
      <c r="JJ142" s="21">
        <f t="shared" si="40"/>
        <v>32</v>
      </c>
      <c r="JK142" s="21">
        <f t="shared" si="40"/>
        <v>34</v>
      </c>
      <c r="JL142" s="21">
        <f t="shared" si="40"/>
        <v>36</v>
      </c>
      <c r="JM142" s="21">
        <f t="shared" si="40"/>
        <v>38</v>
      </c>
      <c r="JN142" s="21">
        <f t="shared" si="40"/>
        <v>40</v>
      </c>
      <c r="JO142" s="21"/>
      <c r="JP142" s="21"/>
      <c r="JQ142" s="21"/>
      <c r="JR142" s="21"/>
      <c r="JS142" s="21"/>
      <c r="JT142" s="21"/>
      <c r="JU142" s="21"/>
      <c r="JV142" s="21"/>
      <c r="JW142" s="21"/>
      <c r="JX142" s="21"/>
      <c r="JY142" s="21"/>
      <c r="JZ142" s="21"/>
      <c r="KA142" s="21"/>
      <c r="KB142" s="21"/>
      <c r="KC142" s="21"/>
      <c r="KD142" s="21"/>
      <c r="KE142" s="21"/>
      <c r="KF142" s="21"/>
      <c r="KG142" s="21"/>
      <c r="KH142" s="21"/>
    </row>
    <row r="143" spans="1:294" x14ac:dyDescent="0.25">
      <c r="A143" s="8"/>
      <c r="B143" s="5" t="s">
        <v>116</v>
      </c>
      <c r="C143" s="8"/>
      <c r="D143" s="9"/>
      <c r="E143" s="9"/>
      <c r="F143" s="9"/>
      <c r="G143" s="9"/>
      <c r="H143" s="9"/>
      <c r="I143" s="9"/>
      <c r="J143" s="9"/>
      <c r="K143" s="9"/>
      <c r="L143" s="6" t="str">
        <f>IF(E132=$Z$104,"-------",IF(E132=$Z$105,"-------",IF(E132=$Z$106,"-------",IF(E132=$Z$107,"PW8E A2",0))))</f>
        <v>-------</v>
      </c>
      <c r="M143" s="11" t="str">
        <f>INDEX(cennik!$C$2:$L$529,MATCH($L143,cennik!$B$2:$B$522,0),MATCH(M$104,cennik!$C$1:$L$1,0))</f>
        <v>-------</v>
      </c>
      <c r="N143" s="11">
        <f>INDEX(cennik!$C$2:$L$529,MATCH($L143,cennik!$B$2:$B$522,0),MATCH(N$104,cennik!$C$1:$L$1,0))</f>
        <v>0</v>
      </c>
      <c r="O143" s="11">
        <f>IF(E132=$Z$104,0,IF(E132=$Z$105,0,IF(E132=$Z$106,0,IF(E132=$Z$107,ROUNDUP((O130*4)/100,0),0))))</f>
        <v>0</v>
      </c>
      <c r="P143" s="34">
        <f>INDEX(cennik!$C$2:$L$529,MATCH($L143,cennik!$B$2:$B$522,0),MATCH(P$104,cennik!$C$1:$L$1,0))</f>
        <v>0</v>
      </c>
      <c r="Q143" s="34">
        <f t="shared" si="49"/>
        <v>0</v>
      </c>
      <c r="R143" s="35">
        <f t="shared" si="47"/>
        <v>0</v>
      </c>
      <c r="S143" s="34">
        <f t="shared" si="57"/>
        <v>0</v>
      </c>
      <c r="T143" s="34">
        <f t="shared" si="50"/>
        <v>0</v>
      </c>
      <c r="U143" s="34">
        <f>INDEX(cennik!$C$2:$L$529,MATCH($L143,cennik!$B$2:$B$522,0),MATCH(U$104,cennik!$C$1:$L$1,0))*O143</f>
        <v>0</v>
      </c>
      <c r="V143" s="20"/>
      <c r="W143" s="25">
        <f t="shared" ref="W143:W158" si="58">(IF(((INT((((A151)*(IF($G$152=$X$128,$Y$128,IF($G$152=$X$129,$Y$129,IF($G$152=$X$130,$Y$130,IF($G$152=$X$131,$Y$131,0))))))+(((A151)-1)*20))/$E$159))*$E$159)+600&gt;((A151)*(IF($G$152=$X$128,$Y$128,IF($G$152=$X$129,$Y$129,IF($G$152=$X$130,$Y$130,IF($G$152=$X$131,$Y$131,0))))))+(((A151)-1)*20),(INT((((A151)*(IF($G$152=$X$128,$Y$128,IF($G$152=$X$129,$Y$129,IF($G$152=$X$130,$Y$130,IF($G$152=$X$131,$Y$131,0))))))+(((A151)-1)*20))/$E$159))+1,IF(((INT((((A151)*(IF($G$152=$X$128,$Y$128,IF($G$152=$X$129,$Y$129,IF($G$152=$X$130,$Y$130,IF($G$152=$X$131,$Y$131,0))))))+(((A151)-1)*20))/$E$159))*$E$159)+600&lt;((A151)*(IF($G$152=$X$128,$Y$128,IF($G$152=$X$129,$Y$129,IF($G$152=$X$130,$Y$130,IF($G$152=$X$131,$Y$131,0))))))+(((A151)-1)*20),(INT((((A151)*(IF($G$152=$X$128,$Y$128,IF($G$152=$X$129,$Y$129,IF($G$152=$X$130,$Y$130,IF($G$152=$X$131,$Y$131,0))))))+(((A151)-1)*20))/$E$159))+2,0)))*C151</f>
        <v>0</v>
      </c>
      <c r="X143" s="20">
        <f t="shared" ref="X143:X158" si="59">IF(A151=0,0,IF(A151&gt;0,(IF(W143=0,0,IF(W143&gt;0,(INDEX(($CN$144:$DX$144),MATCH($L$162,$CM$144,0),MATCH(W143/C151,$CN$143:$DX$143,0),1)*C151)))),0))</f>
        <v>0</v>
      </c>
      <c r="Y143" s="20"/>
      <c r="Z143" s="20">
        <f>(INDEX(($EW$107:$GU$115,$EW$119:$GU$127,$EW$132:$GU$140,$EW$144:$GU$152),MATCH($L$160,$EV$107:$EV$115,0),MATCH(A151,$EW$106:$GU$106,0),MATCH($G$152,$X$128:$X$131,0)))*C151</f>
        <v>0</v>
      </c>
      <c r="AA143" s="20">
        <f>(INDEX(($EW$107:$GU$115,$EW$119:$GU$127,$EW$132:$GU$140,$EW$144:$GU$152),MATCH($L$152,$EV$107:$EV$115,0),MATCH(A151,$EW$106:$GU$106,0),MATCH($G$152,$X$128:$X$131,0)))*C151</f>
        <v>0</v>
      </c>
      <c r="AB143" s="20">
        <f>(INDEX(($EW$107:$GU$115,$EW$119:$GU$127,$EW$132:$GU$140,$EW$144:$GU$152),MATCH($L$153,$EV$107:$EV$115,0),MATCH(A151,$EW$106:$GU$106,0),MATCH($G$152,$X$128:$X$131,0)))*C151</f>
        <v>0</v>
      </c>
      <c r="AC143" s="20">
        <f>(INDEX(($EW$107:$GU$115,$EW$119:$GU$127,$EW$132:$GU$140,$EW$144:$GU$152),MATCH($L$154,$EV$107:$EV$115,0),MATCH(A151,$EW$106:$GU$106,0),MATCH($G$152,$X$128:$X$131,0)))*C151</f>
        <v>0</v>
      </c>
      <c r="AD143" s="20">
        <f>(INDEX(($EW$107:$GU$115,$EW$119:$GU$127,$EW$132:$GU$140,$EW$144:$GU$152),MATCH($L$155,$EV$107:$EV$115,0),MATCH(A151,$EW$106:$GU$106,0),MATCH($G$152,$X$128:$X$131,0)))*C151</f>
        <v>0</v>
      </c>
      <c r="AE143" s="20">
        <f>(INDEX(($EW$107:$GU$115,$EW$119:$GU$127,$EW$132:$GU$140,$EW$144:$GU$152),MATCH($L$156,$EV$107:$EV$115,0),MATCH(A151,$EW$106:$GU$106,0),MATCH($G$152,$X$128:$X$131,0)))*C151</f>
        <v>0</v>
      </c>
      <c r="AF143" s="20">
        <f>(INDEX(($EW$107:$GU$115,$EW$119:$GU$127,$EW$132:$GU$140,$EW$144:$GU$152),MATCH($L$157,$EV$107:$EV$115,0),MATCH(A151,$EW$106:$GU$106,0),MATCH($G$152,$X$128:$X$131,0)))*C151</f>
        <v>0</v>
      </c>
      <c r="AG143" s="20">
        <f>(INDEX(($EW$107:$GU$115,$EW$119:$GU$127,$EW$132:$GU$140,$EW$144:$GU$152),MATCH($L$158,$EV$107:$EV$115,0),MATCH(A151,$EW$106:$GU$106,0),MATCH($G$152,$X$128:$X$131,0)))*C151</f>
        <v>0</v>
      </c>
      <c r="AH143" s="20">
        <f>(INDEX(($EW$107:$GU$115,$EW$119:$GU$127,$EW$132:$GU$140,$EW$144:$GU$152),MATCH($L$159,$EV$107:$EV$115,0),MATCH(A151,$EW$106:$GU$106,0),MATCH($G$152,$X$128:$X$131,0)))*C151</f>
        <v>0</v>
      </c>
      <c r="AI143" s="20"/>
      <c r="AJ143" s="20">
        <f t="shared" si="51"/>
        <v>0</v>
      </c>
      <c r="AK143" s="20">
        <f t="shared" si="52"/>
        <v>0</v>
      </c>
      <c r="AL143" s="20" t="s">
        <v>12</v>
      </c>
      <c r="AM143" s="20">
        <v>0</v>
      </c>
      <c r="AN143" s="20">
        <v>2</v>
      </c>
      <c r="AO143" s="20">
        <v>0</v>
      </c>
      <c r="AP143" s="20">
        <v>2</v>
      </c>
      <c r="AQ143" s="20">
        <v>4</v>
      </c>
      <c r="AR143" s="20">
        <v>0</v>
      </c>
      <c r="AS143" s="20">
        <v>4</v>
      </c>
      <c r="AT143" s="20">
        <v>2</v>
      </c>
      <c r="AU143" s="20">
        <v>4</v>
      </c>
      <c r="AV143" s="20">
        <v>2</v>
      </c>
      <c r="AW143" s="20">
        <v>0</v>
      </c>
      <c r="AX143" s="20">
        <v>2</v>
      </c>
      <c r="AY143" s="20">
        <v>4</v>
      </c>
      <c r="AZ143" s="20">
        <v>2</v>
      </c>
      <c r="BA143" s="20">
        <v>2</v>
      </c>
      <c r="BB143" s="20">
        <v>0</v>
      </c>
      <c r="BC143" s="20">
        <v>0</v>
      </c>
      <c r="BD143" s="20">
        <v>0</v>
      </c>
      <c r="BE143" s="20">
        <v>2</v>
      </c>
      <c r="BF143" s="20">
        <v>0</v>
      </c>
      <c r="BG143" s="20">
        <v>0</v>
      </c>
      <c r="BH143" s="20">
        <v>0</v>
      </c>
      <c r="BI143" s="20">
        <v>0</v>
      </c>
      <c r="BJ143" s="20">
        <v>0</v>
      </c>
      <c r="BK143" s="20">
        <v>2</v>
      </c>
      <c r="BL143" s="20">
        <v>0</v>
      </c>
      <c r="BM143" s="20">
        <v>0</v>
      </c>
      <c r="BN143" s="20">
        <v>0</v>
      </c>
      <c r="BO143" s="20">
        <v>0</v>
      </c>
      <c r="BP143" s="20">
        <v>0</v>
      </c>
      <c r="BQ143" s="20">
        <v>0</v>
      </c>
      <c r="BR143" s="20">
        <v>0</v>
      </c>
      <c r="BS143" s="20">
        <v>0</v>
      </c>
      <c r="BT143" s="20">
        <v>0</v>
      </c>
      <c r="BU143" s="20">
        <v>0</v>
      </c>
      <c r="BV143" s="20">
        <v>0</v>
      </c>
      <c r="BW143" s="20">
        <v>0</v>
      </c>
      <c r="BX143" s="20">
        <v>0</v>
      </c>
      <c r="BY143" s="20">
        <v>0</v>
      </c>
      <c r="BZ143" s="20">
        <v>0</v>
      </c>
      <c r="CA143" s="20">
        <v>0</v>
      </c>
      <c r="CB143" s="20">
        <v>0</v>
      </c>
      <c r="CC143" s="20">
        <v>4</v>
      </c>
      <c r="CD143" s="20">
        <v>0</v>
      </c>
      <c r="CE143" s="20">
        <v>0</v>
      </c>
      <c r="CF143" s="20">
        <v>0</v>
      </c>
      <c r="CG143" s="20">
        <v>0</v>
      </c>
      <c r="CH143" s="20">
        <v>0</v>
      </c>
      <c r="CI143" s="20">
        <v>0</v>
      </c>
      <c r="CJ143" s="20">
        <v>0</v>
      </c>
      <c r="CK143" s="20">
        <v>0</v>
      </c>
      <c r="CL143" s="20"/>
      <c r="CM143" s="20"/>
      <c r="CN143" s="20">
        <v>0</v>
      </c>
      <c r="CO143" s="20">
        <v>2</v>
      </c>
      <c r="CP143" s="20">
        <v>3</v>
      </c>
      <c r="CQ143" s="20">
        <v>4</v>
      </c>
      <c r="CR143" s="20">
        <v>5</v>
      </c>
      <c r="CS143" s="20">
        <v>6</v>
      </c>
      <c r="CT143" s="20">
        <v>7</v>
      </c>
      <c r="CU143" s="20">
        <v>8</v>
      </c>
      <c r="CV143" s="20">
        <v>9</v>
      </c>
      <c r="CW143" s="20">
        <v>10</v>
      </c>
      <c r="CX143" s="20">
        <v>11</v>
      </c>
      <c r="CY143" s="20">
        <v>12</v>
      </c>
      <c r="CZ143" s="20">
        <v>13</v>
      </c>
      <c r="DA143" s="20">
        <v>14</v>
      </c>
      <c r="DB143" s="20">
        <v>15</v>
      </c>
      <c r="DC143" s="20">
        <v>16</v>
      </c>
      <c r="DD143" s="20">
        <v>17</v>
      </c>
      <c r="DE143" s="20">
        <v>18</v>
      </c>
      <c r="DF143" s="20">
        <v>19</v>
      </c>
      <c r="DG143" s="20">
        <v>20</v>
      </c>
      <c r="DH143" s="20">
        <v>21</v>
      </c>
      <c r="DI143" s="20">
        <v>22</v>
      </c>
      <c r="DJ143" s="20">
        <v>23</v>
      </c>
      <c r="DK143" s="20">
        <v>24</v>
      </c>
      <c r="DL143" s="20">
        <v>25</v>
      </c>
      <c r="DM143" s="20">
        <v>26</v>
      </c>
      <c r="DN143" s="20">
        <v>27</v>
      </c>
      <c r="DO143" s="20">
        <v>28</v>
      </c>
      <c r="DP143" s="20">
        <v>29</v>
      </c>
      <c r="DQ143" s="20">
        <v>30</v>
      </c>
      <c r="DR143" s="20">
        <v>31</v>
      </c>
      <c r="DS143" s="20">
        <v>32</v>
      </c>
      <c r="DT143" s="20">
        <v>33</v>
      </c>
      <c r="DU143" s="20">
        <v>34</v>
      </c>
      <c r="DV143" s="20">
        <v>35</v>
      </c>
      <c r="DW143" s="20">
        <v>36</v>
      </c>
      <c r="DX143" s="20">
        <v>37</v>
      </c>
      <c r="DY143" s="20"/>
      <c r="DZ143" s="54">
        <v>40</v>
      </c>
      <c r="EA143" s="54"/>
      <c r="EB143" s="54">
        <v>2</v>
      </c>
      <c r="EC143" s="20"/>
      <c r="ED143" s="20"/>
      <c r="EE143" s="20"/>
      <c r="EF143" s="20"/>
      <c r="EG143" s="20"/>
      <c r="EH143" s="20"/>
      <c r="EI143" s="20"/>
      <c r="EJ143" s="20"/>
      <c r="EK143" s="20"/>
      <c r="EL143" s="20"/>
      <c r="EM143" s="20"/>
      <c r="EN143" s="20"/>
      <c r="EO143" s="20"/>
      <c r="EP143" s="20"/>
      <c r="EQ143" s="20"/>
      <c r="ER143" s="20"/>
      <c r="ES143" s="20"/>
      <c r="ET143" s="20"/>
      <c r="EU143" s="20"/>
      <c r="EV143" s="20"/>
      <c r="EW143" s="20">
        <v>0</v>
      </c>
      <c r="EX143" s="20">
        <v>1</v>
      </c>
      <c r="EY143" s="20">
        <v>2</v>
      </c>
      <c r="EZ143" s="20">
        <v>3</v>
      </c>
      <c r="FA143" s="20">
        <v>4</v>
      </c>
      <c r="FB143" s="20">
        <v>5</v>
      </c>
      <c r="FC143" s="20">
        <v>6</v>
      </c>
      <c r="FD143" s="20">
        <v>7</v>
      </c>
      <c r="FE143" s="20">
        <v>8</v>
      </c>
      <c r="FF143" s="20">
        <v>9</v>
      </c>
      <c r="FG143" s="20">
        <v>10</v>
      </c>
      <c r="FH143" s="20">
        <v>11</v>
      </c>
      <c r="FI143" s="20">
        <v>12</v>
      </c>
      <c r="FJ143" s="20">
        <v>13</v>
      </c>
      <c r="FK143" s="20">
        <v>14</v>
      </c>
      <c r="FL143" s="20">
        <v>15</v>
      </c>
      <c r="FM143" s="20">
        <v>16</v>
      </c>
      <c r="FN143" s="20">
        <v>17</v>
      </c>
      <c r="FO143" s="20">
        <v>18</v>
      </c>
      <c r="FP143" s="20">
        <v>19</v>
      </c>
      <c r="FQ143" s="20">
        <v>20</v>
      </c>
      <c r="FR143" s="20">
        <v>21</v>
      </c>
      <c r="FS143" s="20">
        <v>22</v>
      </c>
      <c r="FT143" s="20">
        <v>23</v>
      </c>
      <c r="FU143" s="20">
        <v>24</v>
      </c>
      <c r="FV143" s="20">
        <v>25</v>
      </c>
      <c r="FW143" s="20">
        <v>26</v>
      </c>
      <c r="FX143" s="20">
        <v>27</v>
      </c>
      <c r="FY143" s="20">
        <v>28</v>
      </c>
      <c r="FZ143" s="20">
        <v>29</v>
      </c>
      <c r="GA143" s="20">
        <v>30</v>
      </c>
      <c r="GB143" s="20">
        <v>31</v>
      </c>
      <c r="GC143" s="20">
        <v>32</v>
      </c>
      <c r="GD143" s="20">
        <v>33</v>
      </c>
      <c r="GE143" s="20">
        <v>34</v>
      </c>
      <c r="GF143" s="20">
        <v>35</v>
      </c>
      <c r="GG143" s="20">
        <v>36</v>
      </c>
      <c r="GH143" s="20">
        <v>37</v>
      </c>
      <c r="GI143" s="20">
        <v>38</v>
      </c>
      <c r="GJ143" s="20">
        <v>39</v>
      </c>
      <c r="GK143" s="20">
        <v>40</v>
      </c>
      <c r="GL143" s="20">
        <v>41</v>
      </c>
      <c r="GM143" s="20">
        <v>42</v>
      </c>
      <c r="GN143" s="20">
        <v>43</v>
      </c>
      <c r="GO143" s="20">
        <v>44</v>
      </c>
      <c r="GP143" s="20">
        <v>45</v>
      </c>
      <c r="GQ143" s="20">
        <v>46</v>
      </c>
      <c r="GR143" s="20">
        <v>47</v>
      </c>
      <c r="GS143" s="20">
        <v>48</v>
      </c>
      <c r="GT143" s="20">
        <v>49</v>
      </c>
      <c r="GU143" s="20">
        <v>50</v>
      </c>
      <c r="GV143" s="20"/>
      <c r="GW143" s="20"/>
      <c r="GX143" s="20"/>
      <c r="GY143" s="21" t="s">
        <v>710</v>
      </c>
      <c r="GZ143" s="21">
        <v>0</v>
      </c>
      <c r="HA143" s="21">
        <v>2</v>
      </c>
      <c r="HB143" s="21">
        <v>0</v>
      </c>
      <c r="HC143" s="21">
        <v>4</v>
      </c>
      <c r="HD143" s="21">
        <v>2</v>
      </c>
      <c r="HE143" s="21">
        <v>4</v>
      </c>
      <c r="HF143" s="21">
        <v>2</v>
      </c>
      <c r="HG143" s="21">
        <v>0</v>
      </c>
      <c r="HH143" s="21">
        <v>4</v>
      </c>
      <c r="HI143" s="21">
        <v>2</v>
      </c>
      <c r="HJ143" s="21">
        <v>4</v>
      </c>
      <c r="HK143" s="21">
        <v>2</v>
      </c>
      <c r="HL143" s="21">
        <v>0</v>
      </c>
      <c r="HM143" s="21">
        <v>4</v>
      </c>
      <c r="HN143" s="21">
        <v>2</v>
      </c>
      <c r="HO143" s="21">
        <v>4</v>
      </c>
      <c r="HP143" s="21">
        <v>2</v>
      </c>
      <c r="HQ143" s="21">
        <v>0</v>
      </c>
      <c r="HR143" s="21">
        <v>4</v>
      </c>
      <c r="HS143" s="21">
        <v>2</v>
      </c>
      <c r="HT143" s="21">
        <v>4</v>
      </c>
      <c r="HU143" s="21"/>
      <c r="HV143" s="21" t="s">
        <v>826</v>
      </c>
      <c r="HW143" s="21">
        <v>0</v>
      </c>
      <c r="HX143" s="21">
        <v>2</v>
      </c>
      <c r="HY143" s="21">
        <v>4</v>
      </c>
      <c r="HZ143" s="21">
        <v>2</v>
      </c>
      <c r="IA143" s="21">
        <v>4</v>
      </c>
      <c r="IB143" s="21">
        <v>0</v>
      </c>
      <c r="IC143" s="21">
        <v>2</v>
      </c>
      <c r="ID143" s="21">
        <v>4</v>
      </c>
      <c r="IE143" s="21">
        <v>2</v>
      </c>
      <c r="IF143" s="21">
        <v>4</v>
      </c>
      <c r="IG143" s="21">
        <v>0</v>
      </c>
      <c r="IH143" s="21">
        <v>2</v>
      </c>
      <c r="II143" s="21">
        <v>4</v>
      </c>
      <c r="IJ143" s="21">
        <v>2</v>
      </c>
      <c r="IK143" s="21">
        <v>4</v>
      </c>
      <c r="IL143" s="21">
        <v>0</v>
      </c>
      <c r="IM143" s="21">
        <v>2</v>
      </c>
      <c r="IN143" s="21">
        <v>0</v>
      </c>
      <c r="IO143" s="21">
        <v>2</v>
      </c>
      <c r="IP143" s="21">
        <v>4</v>
      </c>
      <c r="IQ143" s="21">
        <v>0</v>
      </c>
      <c r="IR143" s="21"/>
      <c r="IS143" s="21" t="s">
        <v>826</v>
      </c>
      <c r="IT143" s="21">
        <f t="shared" si="54"/>
        <v>0</v>
      </c>
      <c r="IU143" s="21">
        <f t="shared" si="54"/>
        <v>4</v>
      </c>
      <c r="IV143" s="21">
        <f t="shared" si="54"/>
        <v>8</v>
      </c>
      <c r="IW143" s="21">
        <f t="shared" si="54"/>
        <v>4</v>
      </c>
      <c r="IX143" s="21">
        <f t="shared" si="54"/>
        <v>8</v>
      </c>
      <c r="IY143" s="21">
        <f t="shared" si="54"/>
        <v>0</v>
      </c>
      <c r="IZ143" s="21">
        <f t="shared" si="54"/>
        <v>4</v>
      </c>
      <c r="JA143" s="21">
        <f t="shared" si="54"/>
        <v>8</v>
      </c>
      <c r="JB143" s="21">
        <f t="shared" si="54"/>
        <v>4</v>
      </c>
      <c r="JC143" s="21">
        <f t="shared" si="54"/>
        <v>8</v>
      </c>
      <c r="JD143" s="21">
        <f t="shared" si="54"/>
        <v>0</v>
      </c>
      <c r="JE143" s="21">
        <f t="shared" si="54"/>
        <v>4</v>
      </c>
      <c r="JF143" s="21">
        <f t="shared" si="54"/>
        <v>8</v>
      </c>
      <c r="JG143" s="21">
        <f t="shared" si="54"/>
        <v>4</v>
      </c>
      <c r="JH143" s="21">
        <f t="shared" si="54"/>
        <v>8</v>
      </c>
      <c r="JI143" s="21">
        <f t="shared" si="53"/>
        <v>0</v>
      </c>
      <c r="JJ143" s="21">
        <f t="shared" si="40"/>
        <v>4</v>
      </c>
      <c r="JK143" s="21">
        <f t="shared" si="40"/>
        <v>0</v>
      </c>
      <c r="JL143" s="21">
        <f t="shared" si="40"/>
        <v>4</v>
      </c>
      <c r="JM143" s="21">
        <f t="shared" si="40"/>
        <v>8</v>
      </c>
      <c r="JN143" s="21">
        <f t="shared" si="40"/>
        <v>0</v>
      </c>
      <c r="JO143" s="21"/>
      <c r="JP143" s="21"/>
      <c r="JQ143" s="21"/>
      <c r="JR143" s="21"/>
      <c r="JS143" s="21"/>
      <c r="JT143" s="21"/>
      <c r="JU143" s="21"/>
      <c r="JV143" s="21"/>
      <c r="JW143" s="21"/>
      <c r="JX143" s="21"/>
      <c r="JY143" s="21"/>
      <c r="JZ143" s="21"/>
      <c r="KA143" s="21"/>
      <c r="KB143" s="21"/>
      <c r="KC143" s="21"/>
      <c r="KD143" s="21"/>
      <c r="KE143" s="21"/>
      <c r="KF143" s="21"/>
      <c r="KG143" s="21"/>
      <c r="KH143" s="21"/>
    </row>
    <row r="144" spans="1:294" x14ac:dyDescent="0.25">
      <c r="A144" s="8"/>
      <c r="B144" s="5" t="s">
        <v>116</v>
      </c>
      <c r="C144" s="8"/>
      <c r="D144" s="9"/>
      <c r="E144" s="9"/>
      <c r="F144" s="9"/>
      <c r="G144" s="9"/>
      <c r="H144" s="9"/>
      <c r="I144" s="9"/>
      <c r="J144" s="9"/>
      <c r="K144" s="9"/>
      <c r="L144" s="6" t="str">
        <f>IF(E132=$Z$104,"-------",IF(E132=$Z$105,"-------",IF(E132=$Z$106,"-------",IF(E132=$Z$107,"NKZM8E A2",0))))</f>
        <v>-------</v>
      </c>
      <c r="M144" s="11" t="str">
        <f>INDEX(cennik!$C$2:$L$529,MATCH($L144,cennik!$B$2:$B$522,0),MATCH(M$104,cennik!$C$1:$L$1,0))</f>
        <v>-------</v>
      </c>
      <c r="N144" s="11">
        <f>INDEX(cennik!$C$2:$L$529,MATCH($L144,cennik!$B$2:$B$522,0),MATCH(N$104,cennik!$C$1:$L$1,0))</f>
        <v>0</v>
      </c>
      <c r="O144" s="11">
        <f>IF(E132=$Z$104,0,IF(E132=$Z$105,0,IF(E132=$Z$106,0,IF(E132=$Z$107,ROUNDUP((O130*4)/100,0),0))))</f>
        <v>0</v>
      </c>
      <c r="P144" s="34">
        <f>INDEX(cennik!$C$2:$L$529,MATCH($L144,cennik!$B$2:$B$522,0),MATCH(P$104,cennik!$C$1:$L$1,0))</f>
        <v>0</v>
      </c>
      <c r="Q144" s="34">
        <f t="shared" si="49"/>
        <v>0</v>
      </c>
      <c r="R144" s="35">
        <f t="shared" si="47"/>
        <v>0</v>
      </c>
      <c r="S144" s="34">
        <f t="shared" si="57"/>
        <v>0</v>
      </c>
      <c r="T144" s="34">
        <f t="shared" si="50"/>
        <v>0</v>
      </c>
      <c r="U144" s="34">
        <f>INDEX(cennik!$C$2:$L$529,MATCH($L144,cennik!$B$2:$B$522,0),MATCH(U$104,cennik!$C$1:$L$1,0))*O144</f>
        <v>0</v>
      </c>
      <c r="V144" s="20"/>
      <c r="W144" s="25">
        <f t="shared" si="58"/>
        <v>0</v>
      </c>
      <c r="X144" s="20">
        <f t="shared" si="59"/>
        <v>0</v>
      </c>
      <c r="Y144" s="20"/>
      <c r="Z144" s="20">
        <f>(INDEX(($EW$107:$GU$115,$EW$119:$GU$127,$EW$132:$GU$140,$EW$144:$GU$152),MATCH($L$160,$EV$107:$EV$115,0),MATCH(A152,$EW$106:$GU$106,0),MATCH($G$152,$X$128:$X$131,0)))*C152</f>
        <v>0</v>
      </c>
      <c r="AA144" s="20">
        <f>(INDEX(($EW$107:$GU$115,$EW$119:$GU$127,$EW$132:$GU$140,$EW$144:$GU$152),MATCH($L$152,$EV$107:$EV$115,0),MATCH(A152,$EW$106:$GU$106,0),MATCH($G$152,$X$128:$X$131,0)))*C152</f>
        <v>0</v>
      </c>
      <c r="AB144" s="20">
        <f>(INDEX(($EW$107:$GU$115,$EW$119:$GU$127,$EW$132:$GU$140,$EW$144:$GU$152),MATCH($L$153,$EV$107:$EV$115,0),MATCH(A152,$EW$106:$GU$106,0),MATCH($G$152,$X$128:$X$131,0)))*C152</f>
        <v>0</v>
      </c>
      <c r="AC144" s="20">
        <f>(INDEX(($EW$107:$GU$115,$EW$119:$GU$127,$EW$132:$GU$140,$EW$144:$GU$152),MATCH($L$154,$EV$107:$EV$115,0),MATCH(A152,$EW$106:$GU$106,0),MATCH($G$152,$X$128:$X$131,0)))*C152</f>
        <v>0</v>
      </c>
      <c r="AD144" s="20">
        <f>(INDEX(($EW$107:$GU$115,$EW$119:$GU$127,$EW$132:$GU$140,$EW$144:$GU$152),MATCH($L$155,$EV$107:$EV$115,0),MATCH(A152,$EW$106:$GU$106,0),MATCH($G$152,$X$128:$X$131,0)))*C152</f>
        <v>0</v>
      </c>
      <c r="AE144" s="20">
        <f>(INDEX(($EW$107:$GU$115,$EW$119:$GU$127,$EW$132:$GU$140,$EW$144:$GU$152),MATCH($L$156,$EV$107:$EV$115,0),MATCH(A152,$EW$106:$GU$106,0),MATCH($G$152,$X$128:$X$131,0)))*C152</f>
        <v>0</v>
      </c>
      <c r="AF144" s="20">
        <f>(INDEX(($EW$107:$GU$115,$EW$119:$GU$127,$EW$132:$GU$140,$EW$144:$GU$152),MATCH($L$157,$EV$107:$EV$115,0),MATCH(A152,$EW$106:$GU$106,0),MATCH($G$152,$X$128:$X$131,0)))*C152</f>
        <v>0</v>
      </c>
      <c r="AG144" s="20">
        <f>(INDEX(($EW$107:$GU$115,$EW$119:$GU$127,$EW$132:$GU$140,$EW$144:$GU$152),MATCH($L$158,$EV$107:$EV$115,0),MATCH(A152,$EW$106:$GU$106,0),MATCH($G$152,$X$128:$X$131,0)))*C152</f>
        <v>0</v>
      </c>
      <c r="AH144" s="20">
        <f>(INDEX(($EW$107:$GU$115,$EW$119:$GU$127,$EW$132:$GU$140,$EW$144:$GU$152),MATCH($L$159,$EV$107:$EV$115,0),MATCH(A152,$EW$106:$GU$106,0),MATCH($G$152,$X$128:$X$131,0)))*C152</f>
        <v>0</v>
      </c>
      <c r="AI144" s="20"/>
      <c r="AJ144" s="20">
        <f t="shared" si="51"/>
        <v>0</v>
      </c>
      <c r="AK144" s="20">
        <f t="shared" si="52"/>
        <v>0</v>
      </c>
      <c r="AL144" s="20" t="s">
        <v>127</v>
      </c>
      <c r="AM144" s="20">
        <v>0</v>
      </c>
      <c r="AN144" s="20">
        <v>0</v>
      </c>
      <c r="AO144" s="20">
        <v>0</v>
      </c>
      <c r="AP144" s="20">
        <v>0</v>
      </c>
      <c r="AQ144" s="20">
        <v>0</v>
      </c>
      <c r="AR144" s="20">
        <v>2</v>
      </c>
      <c r="AS144" s="20">
        <v>0</v>
      </c>
      <c r="AT144" s="20">
        <v>0</v>
      </c>
      <c r="AU144" s="20">
        <v>0</v>
      </c>
      <c r="AV144" s="20">
        <v>0</v>
      </c>
      <c r="AW144" s="20">
        <v>0</v>
      </c>
      <c r="AX144" s="20">
        <v>0</v>
      </c>
      <c r="AY144" s="20">
        <v>0</v>
      </c>
      <c r="AZ144" s="20">
        <v>0</v>
      </c>
      <c r="BA144" s="20">
        <v>2</v>
      </c>
      <c r="BB144" s="20">
        <v>0</v>
      </c>
      <c r="BC144" s="20">
        <v>4</v>
      </c>
      <c r="BD144" s="20">
        <v>2</v>
      </c>
      <c r="BE144" s="20">
        <v>2</v>
      </c>
      <c r="BF144" s="20">
        <v>0</v>
      </c>
      <c r="BG144" s="20">
        <v>2</v>
      </c>
      <c r="BH144" s="20">
        <v>0</v>
      </c>
      <c r="BI144" s="20">
        <v>4</v>
      </c>
      <c r="BJ144" s="20">
        <v>0</v>
      </c>
      <c r="BK144" s="20">
        <v>0</v>
      </c>
      <c r="BL144" s="20">
        <v>0</v>
      </c>
      <c r="BM144" s="20">
        <v>2</v>
      </c>
      <c r="BN144" s="20">
        <v>0</v>
      </c>
      <c r="BO144" s="20">
        <v>0</v>
      </c>
      <c r="BP144" s="20">
        <v>0</v>
      </c>
      <c r="BQ144" s="20">
        <v>2</v>
      </c>
      <c r="BR144" s="20">
        <v>0</v>
      </c>
      <c r="BS144" s="20">
        <v>0</v>
      </c>
      <c r="BT144" s="20">
        <v>0</v>
      </c>
      <c r="BU144" s="20">
        <v>2</v>
      </c>
      <c r="BV144" s="20">
        <v>0</v>
      </c>
      <c r="BW144" s="20">
        <v>0</v>
      </c>
      <c r="BX144" s="20">
        <v>0</v>
      </c>
      <c r="BY144" s="20">
        <v>2</v>
      </c>
      <c r="BZ144" s="20">
        <v>0</v>
      </c>
      <c r="CA144" s="20">
        <v>0</v>
      </c>
      <c r="CB144" s="20">
        <v>0</v>
      </c>
      <c r="CC144" s="20">
        <v>0</v>
      </c>
      <c r="CD144" s="20">
        <v>0</v>
      </c>
      <c r="CE144" s="20">
        <v>0</v>
      </c>
      <c r="CF144" s="20">
        <v>0</v>
      </c>
      <c r="CG144" s="20">
        <v>2</v>
      </c>
      <c r="CH144" s="20">
        <v>0</v>
      </c>
      <c r="CI144" s="20">
        <v>0</v>
      </c>
      <c r="CJ144" s="20">
        <v>0</v>
      </c>
      <c r="CK144" s="20">
        <v>2</v>
      </c>
      <c r="CL144" s="20"/>
      <c r="CM144" s="26" t="s">
        <v>202</v>
      </c>
      <c r="CN144" s="20">
        <v>0</v>
      </c>
      <c r="CO144" s="20">
        <v>1</v>
      </c>
      <c r="CP144" s="20">
        <v>1</v>
      </c>
      <c r="CQ144" s="20">
        <v>1</v>
      </c>
      <c r="CR144" s="20">
        <v>2</v>
      </c>
      <c r="CS144" s="20">
        <v>2</v>
      </c>
      <c r="CT144" s="20">
        <v>2</v>
      </c>
      <c r="CU144" s="20">
        <v>3</v>
      </c>
      <c r="CV144" s="20">
        <v>3</v>
      </c>
      <c r="CW144" s="20">
        <v>3</v>
      </c>
      <c r="CX144" s="20">
        <v>4</v>
      </c>
      <c r="CY144" s="20">
        <v>4</v>
      </c>
      <c r="CZ144" s="20">
        <v>4</v>
      </c>
      <c r="DA144" s="20">
        <v>5</v>
      </c>
      <c r="DB144" s="20">
        <v>5</v>
      </c>
      <c r="DC144" s="20">
        <v>5</v>
      </c>
      <c r="DD144" s="20">
        <v>6</v>
      </c>
      <c r="DE144" s="20">
        <v>6</v>
      </c>
      <c r="DF144" s="20">
        <v>6</v>
      </c>
      <c r="DG144" s="20">
        <v>7</v>
      </c>
      <c r="DH144" s="20">
        <v>7</v>
      </c>
      <c r="DI144" s="20">
        <v>7</v>
      </c>
      <c r="DJ144" s="20">
        <v>8</v>
      </c>
      <c r="DK144" s="20">
        <v>8</v>
      </c>
      <c r="DL144" s="20">
        <v>8</v>
      </c>
      <c r="DM144" s="20">
        <v>9</v>
      </c>
      <c r="DN144" s="20">
        <v>9</v>
      </c>
      <c r="DO144" s="20">
        <v>9</v>
      </c>
      <c r="DP144" s="20">
        <v>10</v>
      </c>
      <c r="DQ144" s="20">
        <v>10</v>
      </c>
      <c r="DR144" s="20">
        <v>10</v>
      </c>
      <c r="DS144" s="20">
        <v>11</v>
      </c>
      <c r="DT144" s="20">
        <v>11</v>
      </c>
      <c r="DU144" s="20">
        <v>11</v>
      </c>
      <c r="DV144" s="20">
        <v>12</v>
      </c>
      <c r="DW144" s="20">
        <v>12</v>
      </c>
      <c r="DX144" s="20">
        <v>12</v>
      </c>
      <c r="DY144" s="20"/>
      <c r="DZ144" s="54">
        <v>41</v>
      </c>
      <c r="EA144" s="54"/>
      <c r="EB144" s="54">
        <v>3</v>
      </c>
      <c r="EC144" s="20"/>
      <c r="ED144" s="20"/>
      <c r="EE144" s="20"/>
      <c r="EF144" s="20"/>
      <c r="EG144" s="20"/>
      <c r="EH144" s="20"/>
      <c r="EI144" s="20"/>
      <c r="EJ144" s="20"/>
      <c r="EK144" s="20"/>
      <c r="EL144" s="20"/>
      <c r="EM144" s="20"/>
      <c r="EN144" s="20"/>
      <c r="EO144" s="20"/>
      <c r="EP144" s="20"/>
      <c r="EQ144" s="20"/>
      <c r="ER144" s="20"/>
      <c r="ES144" s="20"/>
      <c r="ET144" s="20"/>
      <c r="EU144" s="20"/>
      <c r="EV144" s="20" t="s">
        <v>210</v>
      </c>
      <c r="EW144" s="20">
        <v>0</v>
      </c>
      <c r="EX144" s="20">
        <v>0</v>
      </c>
      <c r="EY144" s="20">
        <v>0</v>
      </c>
      <c r="EZ144" s="20">
        <v>0</v>
      </c>
      <c r="FA144" s="20">
        <v>0</v>
      </c>
      <c r="FB144" s="20">
        <v>0</v>
      </c>
      <c r="FC144" s="20">
        <v>0</v>
      </c>
      <c r="FD144" s="20">
        <v>2</v>
      </c>
      <c r="FE144" s="20">
        <v>0</v>
      </c>
      <c r="FF144" s="20">
        <v>0</v>
      </c>
      <c r="FG144" s="20">
        <v>2</v>
      </c>
      <c r="FH144" s="20">
        <v>0</v>
      </c>
      <c r="FI144" s="20">
        <v>0</v>
      </c>
      <c r="FJ144" s="20">
        <v>2</v>
      </c>
      <c r="FK144" s="20">
        <v>0</v>
      </c>
      <c r="FL144" s="20">
        <v>0</v>
      </c>
      <c r="FM144" s="20">
        <v>0</v>
      </c>
      <c r="FN144" s="20">
        <v>0</v>
      </c>
      <c r="FO144" s="20">
        <v>0</v>
      </c>
      <c r="FP144" s="20">
        <v>0</v>
      </c>
      <c r="FQ144" s="20">
        <v>0</v>
      </c>
      <c r="FR144" s="20">
        <v>0</v>
      </c>
      <c r="FS144" s="20">
        <v>0</v>
      </c>
      <c r="FT144" s="20">
        <v>0</v>
      </c>
      <c r="FU144" s="20">
        <v>0</v>
      </c>
      <c r="FV144" s="20">
        <v>0</v>
      </c>
      <c r="FW144" s="20">
        <v>0</v>
      </c>
      <c r="FX144" s="20">
        <v>0</v>
      </c>
      <c r="FY144" s="20">
        <v>0</v>
      </c>
      <c r="FZ144" s="20">
        <v>0</v>
      </c>
      <c r="GA144" s="20">
        <v>0</v>
      </c>
      <c r="GB144" s="20">
        <v>0</v>
      </c>
      <c r="GC144" s="20">
        <v>0</v>
      </c>
      <c r="GD144" s="20">
        <v>0</v>
      </c>
      <c r="GE144" s="20">
        <v>0</v>
      </c>
      <c r="GF144" s="20">
        <v>0</v>
      </c>
      <c r="GG144" s="20">
        <v>0</v>
      </c>
      <c r="GH144" s="20">
        <v>0</v>
      </c>
      <c r="GI144" s="20">
        <v>0</v>
      </c>
      <c r="GJ144" s="20">
        <v>0</v>
      </c>
      <c r="GK144" s="20">
        <v>0</v>
      </c>
      <c r="GL144" s="20">
        <v>0</v>
      </c>
      <c r="GM144" s="20">
        <v>0</v>
      </c>
      <c r="GN144" s="20">
        <v>0</v>
      </c>
      <c r="GO144" s="20">
        <v>0</v>
      </c>
      <c r="GP144" s="20">
        <v>0</v>
      </c>
      <c r="GQ144" s="20">
        <v>0</v>
      </c>
      <c r="GR144" s="20">
        <v>0</v>
      </c>
      <c r="GS144" s="20">
        <v>0</v>
      </c>
      <c r="GT144" s="20">
        <v>0</v>
      </c>
      <c r="GU144" s="20">
        <v>0</v>
      </c>
      <c r="GV144" s="20"/>
      <c r="GW144" s="20"/>
      <c r="GX144" s="20"/>
      <c r="GY144" s="21" t="s">
        <v>711</v>
      </c>
      <c r="GZ144" s="21">
        <v>0</v>
      </c>
      <c r="HA144" s="21">
        <v>0</v>
      </c>
      <c r="HB144" s="21">
        <v>2</v>
      </c>
      <c r="HC144" s="21">
        <v>0</v>
      </c>
      <c r="HD144" s="21">
        <v>2</v>
      </c>
      <c r="HE144" s="21">
        <v>2</v>
      </c>
      <c r="HF144" s="21">
        <v>4</v>
      </c>
      <c r="HG144" s="21">
        <v>6</v>
      </c>
      <c r="HH144" s="21">
        <v>4</v>
      </c>
      <c r="HI144" s="21">
        <v>6</v>
      </c>
      <c r="HJ144" s="21">
        <v>6</v>
      </c>
      <c r="HK144" s="21">
        <v>8</v>
      </c>
      <c r="HL144" s="21">
        <v>10</v>
      </c>
      <c r="HM144" s="21">
        <v>8</v>
      </c>
      <c r="HN144" s="21">
        <v>10</v>
      </c>
      <c r="HO144" s="21">
        <v>10</v>
      </c>
      <c r="HP144" s="21">
        <v>12</v>
      </c>
      <c r="HQ144" s="21">
        <v>14</v>
      </c>
      <c r="HR144" s="21">
        <v>12</v>
      </c>
      <c r="HS144" s="21">
        <v>14</v>
      </c>
      <c r="HT144" s="21">
        <v>14</v>
      </c>
      <c r="HU144" s="21"/>
      <c r="HV144" s="21" t="s">
        <v>825</v>
      </c>
      <c r="HW144" s="21">
        <v>0</v>
      </c>
      <c r="HX144" s="21">
        <v>0</v>
      </c>
      <c r="HY144" s="21">
        <v>0</v>
      </c>
      <c r="HZ144" s="21">
        <v>2</v>
      </c>
      <c r="IA144" s="21">
        <v>2</v>
      </c>
      <c r="IB144" s="21">
        <v>6</v>
      </c>
      <c r="IC144" s="21">
        <v>6</v>
      </c>
      <c r="ID144" s="21">
        <v>6</v>
      </c>
      <c r="IE144" s="21">
        <v>8</v>
      </c>
      <c r="IF144" s="21">
        <v>8</v>
      </c>
      <c r="IG144" s="21">
        <v>12</v>
      </c>
      <c r="IH144" s="21">
        <v>12</v>
      </c>
      <c r="II144" s="21">
        <v>12</v>
      </c>
      <c r="IJ144" s="21">
        <v>14</v>
      </c>
      <c r="IK144" s="21">
        <v>14</v>
      </c>
      <c r="IL144" s="21">
        <v>18</v>
      </c>
      <c r="IM144" s="21">
        <v>18</v>
      </c>
      <c r="IN144" s="21">
        <v>20</v>
      </c>
      <c r="IO144" s="21">
        <v>20</v>
      </c>
      <c r="IP144" s="21">
        <v>20</v>
      </c>
      <c r="IQ144" s="21">
        <v>24</v>
      </c>
      <c r="IR144" s="21"/>
      <c r="IS144" s="21" t="s">
        <v>825</v>
      </c>
      <c r="IT144" s="21">
        <f t="shared" si="54"/>
        <v>0</v>
      </c>
      <c r="IU144" s="21">
        <f t="shared" si="54"/>
        <v>0</v>
      </c>
      <c r="IV144" s="21">
        <f t="shared" si="54"/>
        <v>0</v>
      </c>
      <c r="IW144" s="21">
        <f t="shared" si="54"/>
        <v>4</v>
      </c>
      <c r="IX144" s="21">
        <f t="shared" si="54"/>
        <v>4</v>
      </c>
      <c r="IY144" s="21">
        <f t="shared" si="54"/>
        <v>12</v>
      </c>
      <c r="IZ144" s="21">
        <f t="shared" si="54"/>
        <v>12</v>
      </c>
      <c r="JA144" s="21">
        <f t="shared" si="54"/>
        <v>12</v>
      </c>
      <c r="JB144" s="21">
        <f t="shared" si="54"/>
        <v>16</v>
      </c>
      <c r="JC144" s="21">
        <f t="shared" si="54"/>
        <v>16</v>
      </c>
      <c r="JD144" s="21">
        <f t="shared" si="54"/>
        <v>24</v>
      </c>
      <c r="JE144" s="21">
        <f t="shared" si="54"/>
        <v>24</v>
      </c>
      <c r="JF144" s="21">
        <f t="shared" si="54"/>
        <v>24</v>
      </c>
      <c r="JG144" s="21">
        <f t="shared" si="54"/>
        <v>28</v>
      </c>
      <c r="JH144" s="21">
        <f t="shared" si="54"/>
        <v>28</v>
      </c>
      <c r="JI144" s="21">
        <f t="shared" si="53"/>
        <v>36</v>
      </c>
      <c r="JJ144" s="21">
        <f t="shared" si="40"/>
        <v>36</v>
      </c>
      <c r="JK144" s="21">
        <f t="shared" si="40"/>
        <v>40</v>
      </c>
      <c r="JL144" s="21">
        <f t="shared" si="40"/>
        <v>40</v>
      </c>
      <c r="JM144" s="21">
        <f t="shared" si="40"/>
        <v>40</v>
      </c>
      <c r="JN144" s="21">
        <f t="shared" si="40"/>
        <v>48</v>
      </c>
      <c r="JO144" s="21"/>
      <c r="JP144" s="21"/>
      <c r="JQ144" s="26"/>
      <c r="JR144" s="21"/>
      <c r="JS144" s="21"/>
      <c r="JT144" s="21"/>
      <c r="JU144" s="21"/>
      <c r="JV144" s="21"/>
      <c r="JW144" s="21"/>
      <c r="JX144" s="21"/>
      <c r="JY144" s="21"/>
      <c r="JZ144" s="21"/>
      <c r="KA144" s="21"/>
      <c r="KB144" s="21"/>
      <c r="KC144" s="21"/>
      <c r="KD144" s="21"/>
      <c r="KE144" s="21"/>
      <c r="KF144" s="21"/>
      <c r="KG144" s="21"/>
      <c r="KH144" s="21"/>
    </row>
    <row r="145" spans="1:294" x14ac:dyDescent="0.25">
      <c r="A145" s="8"/>
      <c r="B145" s="5"/>
      <c r="C145" s="8"/>
      <c r="D145" s="9"/>
      <c r="E145" s="9"/>
      <c r="F145" s="9"/>
      <c r="G145" s="9"/>
      <c r="H145" s="9"/>
      <c r="I145" s="9"/>
      <c r="J145" s="9"/>
      <c r="K145" s="9"/>
      <c r="L145" s="6" t="str">
        <f>IF(E132=$Z$104,"PC50P",IF(E132=$Z$105,"PC50P",IF(E132=$Z$106,"PC50P",IF(E132=$Z$107,"-------",0))))</f>
        <v>PC50P</v>
      </c>
      <c r="M145" s="11">
        <f>INDEX(cennik!$C$2:$L$529,MATCH($L145,cennik!$B$2:$B$522,0),MATCH(M$104,cennik!$C$1:$L$1,0))</f>
        <v>858434</v>
      </c>
      <c r="N145" s="11" t="str">
        <f>INDEX(cennik!$C$2:$L$529,MATCH($L145,cennik!$B$2:$B$522,0),MATCH(N$104,cennik!$C$1:$L$1,0))</f>
        <v>szt.</v>
      </c>
      <c r="O145" s="11">
        <f>IF(E132=$Z$104,O130*3,IF(E132=$Z$105,O130*3,IF(E132=$Z$106,O130*3,IF(E132=$Z$107,0,0))))</f>
        <v>0</v>
      </c>
      <c r="P145" s="34">
        <f>INDEX(cennik!$C$2:$L$529,MATCH($L145,cennik!$B$2:$B$522,0),MATCH(P$104,cennik!$C$1:$L$1,0))</f>
        <v>5.17</v>
      </c>
      <c r="Q145" s="34">
        <f t="shared" si="49"/>
        <v>0</v>
      </c>
      <c r="R145" s="35">
        <f t="shared" si="47"/>
        <v>0</v>
      </c>
      <c r="S145" s="34">
        <f t="shared" si="57"/>
        <v>5.17</v>
      </c>
      <c r="T145" s="34">
        <f t="shared" si="50"/>
        <v>0</v>
      </c>
      <c r="U145" s="34">
        <f>INDEX(cennik!$C$2:$L$529,MATCH($L145,cennik!$B$2:$B$522,0),MATCH(U$104,cennik!$C$1:$L$1,0))*O145</f>
        <v>0</v>
      </c>
      <c r="V145" s="20"/>
      <c r="W145" s="25">
        <f t="shared" si="58"/>
        <v>0</v>
      </c>
      <c r="X145" s="20">
        <f t="shared" si="59"/>
        <v>0</v>
      </c>
      <c r="Y145" s="20"/>
      <c r="Z145" s="20">
        <f>(INDEX(($EW$107:$GU$115,$EW$119:$GU$127,$EW$132:$GU$140,$EW$144:$GU$152),MATCH($L$160,$EV$107:$EV$115,0),MATCH(A153,$EW$106:$GU$106,0),MATCH($G$152,$X$128:$X$131,0)))*C153</f>
        <v>0</v>
      </c>
      <c r="AA145" s="20">
        <f>(INDEX(($EW$107:$GU$115,$EW$119:$GU$127,$EW$132:$GU$140,$EW$144:$GU$152),MATCH($L$152,$EV$107:$EV$115,0),MATCH(A153,$EW$106:$GU$106,0),MATCH($G$152,$X$128:$X$131,0)))*C153</f>
        <v>0</v>
      </c>
      <c r="AB145" s="20">
        <f>(INDEX(($EW$107:$GU$115,$EW$119:$GU$127,$EW$132:$GU$140,$EW$144:$GU$152),MATCH($L$153,$EV$107:$EV$115,0),MATCH(A153,$EW$106:$GU$106,0),MATCH($G$152,$X$128:$X$131,0)))*C153</f>
        <v>0</v>
      </c>
      <c r="AC145" s="20">
        <f>(INDEX(($EW$107:$GU$115,$EW$119:$GU$127,$EW$132:$GU$140,$EW$144:$GU$152),MATCH($L$154,$EV$107:$EV$115,0),MATCH(A153,$EW$106:$GU$106,0),MATCH($G$152,$X$128:$X$131,0)))*C153</f>
        <v>0</v>
      </c>
      <c r="AD145" s="20">
        <f>(INDEX(($EW$107:$GU$115,$EW$119:$GU$127,$EW$132:$GU$140,$EW$144:$GU$152),MATCH($L$155,$EV$107:$EV$115,0),MATCH(A153,$EW$106:$GU$106,0),MATCH($G$152,$X$128:$X$131,0)))*C153</f>
        <v>0</v>
      </c>
      <c r="AE145" s="20">
        <f>(INDEX(($EW$107:$GU$115,$EW$119:$GU$127,$EW$132:$GU$140,$EW$144:$GU$152),MATCH($L$156,$EV$107:$EV$115,0),MATCH(A153,$EW$106:$GU$106,0),MATCH($G$152,$X$128:$X$131,0)))*C153</f>
        <v>0</v>
      </c>
      <c r="AF145" s="20">
        <f>(INDEX(($EW$107:$GU$115,$EW$119:$GU$127,$EW$132:$GU$140,$EW$144:$GU$152),MATCH($L$157,$EV$107:$EV$115,0),MATCH(A153,$EW$106:$GU$106,0),MATCH($G$152,$X$128:$X$131,0)))*C153</f>
        <v>0</v>
      </c>
      <c r="AG145" s="20">
        <f>(INDEX(($EW$107:$GU$115,$EW$119:$GU$127,$EW$132:$GU$140,$EW$144:$GU$152),MATCH($L$158,$EV$107:$EV$115,0),MATCH(A153,$EW$106:$GU$106,0),MATCH($G$152,$X$128:$X$131,0)))*C153</f>
        <v>0</v>
      </c>
      <c r="AH145" s="20">
        <f>(INDEX(($EW$107:$GU$115,$EW$119:$GU$127,$EW$132:$GU$140,$EW$144:$GU$152),MATCH($L$159,$EV$107:$EV$115,0),MATCH(A153,$EW$106:$GU$106,0),MATCH($G$152,$X$128:$X$131,0)))*C153</f>
        <v>0</v>
      </c>
      <c r="AI145" s="20"/>
      <c r="AJ145" s="20">
        <f>IF(A118&lt;=1,0,IF(A118&gt;1,A118-1,0))</f>
        <v>0</v>
      </c>
      <c r="AK145" s="20">
        <f t="shared" si="52"/>
        <v>0</v>
      </c>
      <c r="AL145" s="20" t="s">
        <v>15</v>
      </c>
      <c r="AM145" s="20">
        <v>0</v>
      </c>
      <c r="AN145" s="20">
        <v>0</v>
      </c>
      <c r="AO145" s="20">
        <v>0</v>
      </c>
      <c r="AP145" s="20">
        <v>2</v>
      </c>
      <c r="AQ145" s="20">
        <v>2</v>
      </c>
      <c r="AR145" s="20">
        <v>4</v>
      </c>
      <c r="AS145" s="20">
        <v>4</v>
      </c>
      <c r="AT145" s="20">
        <v>2</v>
      </c>
      <c r="AU145" s="20">
        <v>6</v>
      </c>
      <c r="AV145" s="20">
        <v>2</v>
      </c>
      <c r="AW145" s="20">
        <v>10</v>
      </c>
      <c r="AX145" s="20">
        <v>0</v>
      </c>
      <c r="AY145" s="20">
        <v>8</v>
      </c>
      <c r="AZ145" s="20">
        <v>0</v>
      </c>
      <c r="BA145" s="20">
        <v>6</v>
      </c>
      <c r="BB145" s="20">
        <v>14</v>
      </c>
      <c r="BC145" s="20">
        <v>6</v>
      </c>
      <c r="BD145" s="20">
        <v>2</v>
      </c>
      <c r="BE145" s="20">
        <v>4</v>
      </c>
      <c r="BF145" s="20">
        <v>12</v>
      </c>
      <c r="BG145" s="20">
        <v>20</v>
      </c>
      <c r="BH145" s="20">
        <v>12</v>
      </c>
      <c r="BI145" s="20">
        <v>8</v>
      </c>
      <c r="BJ145" s="20">
        <v>10</v>
      </c>
      <c r="BK145" s="20">
        <v>16</v>
      </c>
      <c r="BL145" s="20">
        <v>10</v>
      </c>
      <c r="BM145" s="20">
        <v>16</v>
      </c>
      <c r="BN145" s="20">
        <v>8</v>
      </c>
      <c r="BO145" s="20">
        <v>30</v>
      </c>
      <c r="BP145" s="20">
        <v>8</v>
      </c>
      <c r="BQ145" s="20">
        <v>14</v>
      </c>
      <c r="BR145" s="20">
        <v>6</v>
      </c>
      <c r="BS145" s="20">
        <v>6</v>
      </c>
      <c r="BT145" s="20">
        <v>6</v>
      </c>
      <c r="BU145" s="20">
        <v>12</v>
      </c>
      <c r="BV145" s="20">
        <v>4</v>
      </c>
      <c r="BW145" s="20">
        <v>26</v>
      </c>
      <c r="BX145" s="20">
        <v>4</v>
      </c>
      <c r="BY145" s="20">
        <v>10</v>
      </c>
      <c r="BZ145" s="20">
        <v>2</v>
      </c>
      <c r="CA145" s="20">
        <v>24</v>
      </c>
      <c r="CB145" s="20">
        <v>2</v>
      </c>
      <c r="CC145" s="20">
        <v>0</v>
      </c>
      <c r="CD145" s="20">
        <v>0</v>
      </c>
      <c r="CE145" s="20">
        <v>22</v>
      </c>
      <c r="CF145" s="20">
        <v>0</v>
      </c>
      <c r="CG145" s="20">
        <v>6</v>
      </c>
      <c r="CH145" s="20">
        <v>0</v>
      </c>
      <c r="CI145" s="20">
        <v>20</v>
      </c>
      <c r="CJ145" s="20">
        <v>0</v>
      </c>
      <c r="CK145" s="20">
        <v>4</v>
      </c>
      <c r="CL145" s="20"/>
      <c r="CM145" s="20"/>
      <c r="CN145" s="20"/>
      <c r="CO145" s="20"/>
      <c r="CP145" s="20"/>
      <c r="CQ145" s="20"/>
      <c r="CR145" s="20"/>
      <c r="CS145" s="20"/>
      <c r="CT145" s="20"/>
      <c r="CU145" s="20"/>
      <c r="CV145" s="20"/>
      <c r="CW145" s="20"/>
      <c r="CX145" s="20"/>
      <c r="CY145" s="20"/>
      <c r="CZ145" s="20"/>
      <c r="DA145" s="20"/>
      <c r="DB145" s="20"/>
      <c r="DC145" s="20"/>
      <c r="DD145" s="20"/>
      <c r="DE145" s="20"/>
      <c r="DF145" s="20"/>
      <c r="DG145" s="20"/>
      <c r="DH145" s="20"/>
      <c r="DI145" s="20"/>
      <c r="DJ145" s="20"/>
      <c r="DK145" s="20"/>
      <c r="DL145" s="20"/>
      <c r="DM145" s="20"/>
      <c r="DN145" s="20"/>
      <c r="DO145" s="20"/>
      <c r="DP145" s="20"/>
      <c r="DQ145" s="20"/>
      <c r="DR145" s="20"/>
      <c r="DS145" s="20"/>
      <c r="DT145" s="20"/>
      <c r="DU145" s="20"/>
      <c r="DV145" s="20"/>
      <c r="DW145" s="20"/>
      <c r="DX145" s="20"/>
      <c r="DY145" s="20"/>
      <c r="DZ145" s="54">
        <v>42</v>
      </c>
      <c r="EA145" s="54"/>
      <c r="EB145" s="54">
        <v>4</v>
      </c>
      <c r="EC145" s="20"/>
      <c r="ED145" s="20"/>
      <c r="EE145" s="20"/>
      <c r="EF145" s="20"/>
      <c r="EG145" s="20"/>
      <c r="EH145" s="20"/>
      <c r="EI145" s="20"/>
      <c r="EJ145" s="20"/>
      <c r="EK145" s="20"/>
      <c r="EL145" s="20"/>
      <c r="EM145" s="20"/>
      <c r="EN145" s="20"/>
      <c r="EO145" s="20"/>
      <c r="EP145" s="20"/>
      <c r="EQ145" s="20"/>
      <c r="ER145" s="20"/>
      <c r="ES145" s="20"/>
      <c r="ET145" s="20"/>
      <c r="EU145" s="20"/>
      <c r="EV145" s="20" t="s">
        <v>9</v>
      </c>
      <c r="EW145" s="20">
        <v>0</v>
      </c>
      <c r="EX145" s="20">
        <v>0</v>
      </c>
      <c r="EY145" s="20">
        <v>4</v>
      </c>
      <c r="EZ145" s="20">
        <v>0</v>
      </c>
      <c r="FA145" s="20">
        <v>2</v>
      </c>
      <c r="FB145" s="20">
        <v>0</v>
      </c>
      <c r="FC145" s="20">
        <v>0</v>
      </c>
      <c r="FD145" s="20">
        <v>0</v>
      </c>
      <c r="FE145" s="20">
        <v>0</v>
      </c>
      <c r="FF145" s="20">
        <v>0</v>
      </c>
      <c r="FG145" s="20">
        <v>0</v>
      </c>
      <c r="FH145" s="20">
        <v>0</v>
      </c>
      <c r="FI145" s="20">
        <v>0</v>
      </c>
      <c r="FJ145" s="20">
        <v>0</v>
      </c>
      <c r="FK145" s="20">
        <v>0</v>
      </c>
      <c r="FL145" s="20">
        <v>0</v>
      </c>
      <c r="FM145" s="20">
        <v>0</v>
      </c>
      <c r="FN145" s="20">
        <v>0</v>
      </c>
      <c r="FO145" s="20">
        <v>0</v>
      </c>
      <c r="FP145" s="20">
        <v>0</v>
      </c>
      <c r="FQ145" s="20">
        <v>0</v>
      </c>
      <c r="FR145" s="20">
        <v>0</v>
      </c>
      <c r="FS145" s="20">
        <v>0</v>
      </c>
      <c r="FT145" s="20">
        <v>0</v>
      </c>
      <c r="FU145" s="20">
        <v>0</v>
      </c>
      <c r="FV145" s="20">
        <v>0</v>
      </c>
      <c r="FW145" s="20">
        <v>0</v>
      </c>
      <c r="FX145" s="20">
        <v>0</v>
      </c>
      <c r="FY145" s="20">
        <v>0</v>
      </c>
      <c r="FZ145" s="20">
        <v>0</v>
      </c>
      <c r="GA145" s="20">
        <v>0</v>
      </c>
      <c r="GB145" s="20">
        <v>0</v>
      </c>
      <c r="GC145" s="20">
        <v>0</v>
      </c>
      <c r="GD145" s="20">
        <v>0</v>
      </c>
      <c r="GE145" s="20">
        <v>0</v>
      </c>
      <c r="GF145" s="20">
        <v>0</v>
      </c>
      <c r="GG145" s="20">
        <v>0</v>
      </c>
      <c r="GH145" s="20">
        <v>0</v>
      </c>
      <c r="GI145" s="20">
        <v>0</v>
      </c>
      <c r="GJ145" s="20">
        <v>0</v>
      </c>
      <c r="GK145" s="20">
        <v>0</v>
      </c>
      <c r="GL145" s="20">
        <v>0</v>
      </c>
      <c r="GM145" s="20">
        <v>0</v>
      </c>
      <c r="GN145" s="20">
        <v>0</v>
      </c>
      <c r="GO145" s="20">
        <v>0</v>
      </c>
      <c r="GP145" s="20">
        <v>0</v>
      </c>
      <c r="GQ145" s="20">
        <v>0</v>
      </c>
      <c r="GR145" s="20">
        <v>0</v>
      </c>
      <c r="GS145" s="20">
        <v>0</v>
      </c>
      <c r="GT145" s="20">
        <v>0</v>
      </c>
      <c r="GU145" s="20">
        <v>0</v>
      </c>
      <c r="GV145" s="20"/>
      <c r="GW145" s="20"/>
      <c r="GX145" s="20"/>
      <c r="GY145" s="21" t="s">
        <v>712</v>
      </c>
      <c r="GZ145" s="21">
        <v>0</v>
      </c>
      <c r="HA145" s="21">
        <v>0</v>
      </c>
      <c r="HB145" s="21">
        <v>0</v>
      </c>
      <c r="HC145" s="21">
        <v>2</v>
      </c>
      <c r="HD145" s="21">
        <v>2</v>
      </c>
      <c r="HE145" s="21">
        <v>4</v>
      </c>
      <c r="HF145" s="21">
        <v>4</v>
      </c>
      <c r="HG145" s="21">
        <v>4</v>
      </c>
      <c r="HH145" s="21">
        <v>6</v>
      </c>
      <c r="HI145" s="21">
        <v>6</v>
      </c>
      <c r="HJ145" s="21">
        <v>8</v>
      </c>
      <c r="HK145" s="21">
        <v>8</v>
      </c>
      <c r="HL145" s="21">
        <v>8</v>
      </c>
      <c r="HM145" s="21">
        <v>10</v>
      </c>
      <c r="HN145" s="21">
        <v>10</v>
      </c>
      <c r="HO145" s="21">
        <v>12</v>
      </c>
      <c r="HP145" s="21">
        <v>12</v>
      </c>
      <c r="HQ145" s="21">
        <v>12</v>
      </c>
      <c r="HR145" s="21">
        <v>14</v>
      </c>
      <c r="HS145" s="21">
        <v>14</v>
      </c>
      <c r="HT145" s="21">
        <v>16</v>
      </c>
      <c r="HU145" s="21"/>
      <c r="HV145" s="21" t="s">
        <v>853</v>
      </c>
      <c r="HW145" s="21">
        <v>0</v>
      </c>
      <c r="HX145" s="21">
        <v>0</v>
      </c>
      <c r="HY145" s="21">
        <v>2</v>
      </c>
      <c r="HZ145" s="21">
        <v>2</v>
      </c>
      <c r="IA145" s="21">
        <v>4</v>
      </c>
      <c r="IB145" s="21">
        <v>4</v>
      </c>
      <c r="IC145" s="21">
        <v>6</v>
      </c>
      <c r="ID145" s="21">
        <v>8</v>
      </c>
      <c r="IE145" s="21">
        <v>8</v>
      </c>
      <c r="IF145" s="21">
        <v>10</v>
      </c>
      <c r="IG145" s="21">
        <v>10</v>
      </c>
      <c r="IH145" s="21">
        <v>12</v>
      </c>
      <c r="II145" s="21">
        <v>14</v>
      </c>
      <c r="IJ145" s="21">
        <v>14</v>
      </c>
      <c r="IK145" s="21">
        <v>16</v>
      </c>
      <c r="IL145" s="21">
        <v>16</v>
      </c>
      <c r="IM145" s="21">
        <v>18</v>
      </c>
      <c r="IN145" s="21">
        <v>18</v>
      </c>
      <c r="IO145" s="21">
        <v>20</v>
      </c>
      <c r="IP145" s="21">
        <v>22</v>
      </c>
      <c r="IQ145" s="21">
        <v>22</v>
      </c>
      <c r="IR145" s="21"/>
      <c r="IS145" s="21" t="s">
        <v>853</v>
      </c>
      <c r="IT145" s="21">
        <f t="shared" si="54"/>
        <v>0</v>
      </c>
      <c r="IU145" s="21">
        <f t="shared" si="54"/>
        <v>0</v>
      </c>
      <c r="IV145" s="21">
        <f t="shared" si="54"/>
        <v>4</v>
      </c>
      <c r="IW145" s="21">
        <f t="shared" si="54"/>
        <v>4</v>
      </c>
      <c r="IX145" s="21">
        <f t="shared" si="54"/>
        <v>8</v>
      </c>
      <c r="IY145" s="21">
        <f t="shared" si="54"/>
        <v>8</v>
      </c>
      <c r="IZ145" s="21">
        <f t="shared" si="54"/>
        <v>12</v>
      </c>
      <c r="JA145" s="21">
        <f t="shared" si="54"/>
        <v>16</v>
      </c>
      <c r="JB145" s="21">
        <f t="shared" si="54"/>
        <v>16</v>
      </c>
      <c r="JC145" s="21">
        <f t="shared" si="54"/>
        <v>20</v>
      </c>
      <c r="JD145" s="21">
        <f t="shared" si="54"/>
        <v>20</v>
      </c>
      <c r="JE145" s="21">
        <f t="shared" si="54"/>
        <v>24</v>
      </c>
      <c r="JF145" s="21">
        <f t="shared" si="54"/>
        <v>28</v>
      </c>
      <c r="JG145" s="21">
        <f t="shared" si="54"/>
        <v>28</v>
      </c>
      <c r="JH145" s="21">
        <f t="shared" si="54"/>
        <v>32</v>
      </c>
      <c r="JI145" s="21">
        <f t="shared" si="53"/>
        <v>32</v>
      </c>
      <c r="JJ145" s="21">
        <f t="shared" si="40"/>
        <v>36</v>
      </c>
      <c r="JK145" s="21">
        <f t="shared" si="40"/>
        <v>36</v>
      </c>
      <c r="JL145" s="21">
        <f t="shared" si="40"/>
        <v>40</v>
      </c>
      <c r="JM145" s="21">
        <f t="shared" si="40"/>
        <v>44</v>
      </c>
      <c r="JN145" s="21">
        <f t="shared" si="40"/>
        <v>44</v>
      </c>
      <c r="JO145" s="21"/>
      <c r="JP145" s="21"/>
      <c r="JQ145" s="26"/>
      <c r="JR145" s="21"/>
      <c r="JS145" s="21"/>
      <c r="JT145" s="21"/>
      <c r="JU145" s="21"/>
      <c r="JV145" s="21"/>
      <c r="JW145" s="21"/>
      <c r="JX145" s="21"/>
      <c r="JY145" s="21"/>
      <c r="JZ145" s="21"/>
      <c r="KA145" s="21"/>
      <c r="KB145" s="21"/>
      <c r="KC145" s="21"/>
      <c r="KD145" s="21"/>
      <c r="KE145" s="21"/>
      <c r="KF145" s="21"/>
      <c r="KG145" s="26"/>
      <c r="KH145" s="21"/>
    </row>
    <row r="146" spans="1:294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">
        <v>1005</v>
      </c>
      <c r="M146" s="11">
        <f>INDEX(cennik!$C$2:$L$529,MATCH($L146,cennik!$B$2:$B$522,0),MATCH(M$104,cennik!$C$1:$L$1,0))</f>
        <v>760401</v>
      </c>
      <c r="N146" s="11" t="str">
        <f>INDEX(cennik!$C$2:$L$529,MATCH($L146,cennik!$B$2:$B$522,0),MATCH(N$104,cennik!$C$1:$L$1,0))</f>
        <v>szt.</v>
      </c>
      <c r="O146" s="11">
        <f>O130*2</f>
        <v>0</v>
      </c>
      <c r="P146" s="34">
        <f>INDEX(cennik!$C$2:$L$529,MATCH($L146,cennik!$B$2:$B$522,0),MATCH(P$104,cennik!$C$1:$L$1,0))</f>
        <v>1.97</v>
      </c>
      <c r="Q146" s="34">
        <f t="shared" si="49"/>
        <v>0</v>
      </c>
      <c r="R146" s="35">
        <f t="shared" si="47"/>
        <v>0</v>
      </c>
      <c r="S146" s="34">
        <f t="shared" si="57"/>
        <v>1.97</v>
      </c>
      <c r="T146" s="34">
        <f t="shared" si="50"/>
        <v>0</v>
      </c>
      <c r="U146" s="34">
        <f>INDEX(cennik!$C$2:$L$529,MATCH($L146,cennik!$B$2:$B$522,0),MATCH(U$104,cennik!$C$1:$L$1,0))*O146</f>
        <v>0</v>
      </c>
      <c r="V146" s="20"/>
      <c r="W146" s="25">
        <f t="shared" si="58"/>
        <v>0</v>
      </c>
      <c r="X146" s="20">
        <f t="shared" si="59"/>
        <v>0</v>
      </c>
      <c r="Y146" s="20"/>
      <c r="Z146" s="20">
        <f>(INDEX(($EW$107:$GU$115,$EW$119:$GU$127,$EW$132:$GU$140,$EW$144:$GU$152),MATCH($L$160,$EV$107:$EV$115,0),MATCH(A154,$EW$106:$GU$106,0),MATCH($G$152,$X$128:$X$131,0)))*C154</f>
        <v>0</v>
      </c>
      <c r="AA146" s="20">
        <f>(INDEX(($EW$107:$GU$115,$EW$119:$GU$127,$EW$132:$GU$140,$EW$144:$GU$152),MATCH($L$152,$EV$107:$EV$115,0),MATCH(A154,$EW$106:$GU$106,0),MATCH($G$152,$X$128:$X$131,0)))*C154</f>
        <v>0</v>
      </c>
      <c r="AB146" s="20">
        <f>(INDEX(($EW$107:$GU$115,$EW$119:$GU$127,$EW$132:$GU$140,$EW$144:$GU$152),MATCH($L$153,$EV$107:$EV$115,0),MATCH(A154,$EW$106:$GU$106,0),MATCH($G$152,$X$128:$X$131,0)))*C154</f>
        <v>0</v>
      </c>
      <c r="AC146" s="20">
        <f>(INDEX(($EW$107:$GU$115,$EW$119:$GU$127,$EW$132:$GU$140,$EW$144:$GU$152),MATCH($L$154,$EV$107:$EV$115,0),MATCH(A154,$EW$106:$GU$106,0),MATCH($G$152,$X$128:$X$131,0)))*C154</f>
        <v>0</v>
      </c>
      <c r="AD146" s="20">
        <f>(INDEX(($EW$107:$GU$115,$EW$119:$GU$127,$EW$132:$GU$140,$EW$144:$GU$152),MATCH($L$155,$EV$107:$EV$115,0),MATCH(A154,$EW$106:$GU$106,0),MATCH($G$152,$X$128:$X$131,0)))*C154</f>
        <v>0</v>
      </c>
      <c r="AE146" s="20">
        <f>(INDEX(($EW$107:$GU$115,$EW$119:$GU$127,$EW$132:$GU$140,$EW$144:$GU$152),MATCH($L$156,$EV$107:$EV$115,0),MATCH(A154,$EW$106:$GU$106,0),MATCH($G$152,$X$128:$X$131,0)))*C154</f>
        <v>0</v>
      </c>
      <c r="AF146" s="20">
        <f>(INDEX(($EW$107:$GU$115,$EW$119:$GU$127,$EW$132:$GU$140,$EW$144:$GU$152),MATCH($L$157,$EV$107:$EV$115,0),MATCH(A154,$EW$106:$GU$106,0),MATCH($G$152,$X$128:$X$131,0)))*C154</f>
        <v>0</v>
      </c>
      <c r="AG146" s="20">
        <f>(INDEX(($EW$107:$GU$115,$EW$119:$GU$127,$EW$132:$GU$140,$EW$144:$GU$152),MATCH($L$158,$EV$107:$EV$115,0),MATCH(A154,$EW$106:$GU$106,0),MATCH($G$152,$X$128:$X$131,0)))*C154</f>
        <v>0</v>
      </c>
      <c r="AH146" s="20">
        <f>(INDEX(($EW$107:$GU$115,$EW$119:$GU$127,$EW$132:$GU$140,$EW$144:$GU$152),MATCH($L$159,$EV$107:$EV$115,0),MATCH(A154,$EW$106:$GU$106,0),MATCH($G$152,$X$128:$X$131,0)))*C154</f>
        <v>0</v>
      </c>
      <c r="AI146" s="20"/>
      <c r="AJ146" s="20">
        <f>IF(A119&lt;=1,0,IF(A119&gt;1,A119-1,0))</f>
        <v>0</v>
      </c>
      <c r="AK146" s="20">
        <f t="shared" si="52"/>
        <v>0</v>
      </c>
      <c r="AL146" s="20" t="s">
        <v>19</v>
      </c>
      <c r="AM146" s="20">
        <v>0</v>
      </c>
      <c r="AN146" s="20">
        <v>0</v>
      </c>
      <c r="AO146" s="20">
        <v>0</v>
      </c>
      <c r="AP146" s="20">
        <v>0</v>
      </c>
      <c r="AQ146" s="20">
        <v>0</v>
      </c>
      <c r="AR146" s="20">
        <v>0</v>
      </c>
      <c r="AS146" s="20">
        <v>0</v>
      </c>
      <c r="AT146" s="20">
        <v>4</v>
      </c>
      <c r="AU146" s="20">
        <v>0</v>
      </c>
      <c r="AV146" s="20">
        <v>6</v>
      </c>
      <c r="AW146" s="20">
        <v>0</v>
      </c>
      <c r="AX146" s="20">
        <v>10</v>
      </c>
      <c r="AY146" s="20">
        <v>2</v>
      </c>
      <c r="AZ146" s="20">
        <v>12</v>
      </c>
      <c r="BA146" s="20">
        <v>6</v>
      </c>
      <c r="BB146" s="20">
        <v>2</v>
      </c>
      <c r="BC146" s="20">
        <v>8</v>
      </c>
      <c r="BD146" s="20">
        <v>14</v>
      </c>
      <c r="BE146" s="20">
        <v>12</v>
      </c>
      <c r="BF146" s="20">
        <v>8</v>
      </c>
      <c r="BG146" s="20">
        <v>0</v>
      </c>
      <c r="BH146" s="20">
        <v>10</v>
      </c>
      <c r="BI146" s="20">
        <v>12</v>
      </c>
      <c r="BJ146" s="20">
        <v>14</v>
      </c>
      <c r="BK146" s="20">
        <v>8</v>
      </c>
      <c r="BL146" s="20">
        <v>16</v>
      </c>
      <c r="BM146" s="20">
        <v>10</v>
      </c>
      <c r="BN146" s="20">
        <v>20</v>
      </c>
      <c r="BO146" s="20">
        <v>0</v>
      </c>
      <c r="BP146" s="20">
        <v>22</v>
      </c>
      <c r="BQ146" s="20">
        <v>16</v>
      </c>
      <c r="BR146" s="20">
        <v>26</v>
      </c>
      <c r="BS146" s="20">
        <v>26</v>
      </c>
      <c r="BT146" s="20">
        <v>28</v>
      </c>
      <c r="BU146" s="20">
        <v>22</v>
      </c>
      <c r="BV146" s="20">
        <v>32</v>
      </c>
      <c r="BW146" s="20">
        <v>12</v>
      </c>
      <c r="BX146" s="20">
        <v>34</v>
      </c>
      <c r="BY146" s="20">
        <v>28</v>
      </c>
      <c r="BZ146" s="20">
        <v>38</v>
      </c>
      <c r="CA146" s="20">
        <v>18</v>
      </c>
      <c r="CB146" s="20">
        <v>40</v>
      </c>
      <c r="CC146" s="20">
        <v>40</v>
      </c>
      <c r="CD146" s="20">
        <v>44</v>
      </c>
      <c r="CE146" s="20">
        <v>24</v>
      </c>
      <c r="CF146" s="20">
        <v>46</v>
      </c>
      <c r="CG146" s="20">
        <v>40</v>
      </c>
      <c r="CH146" s="20">
        <v>48</v>
      </c>
      <c r="CI146" s="20">
        <v>30</v>
      </c>
      <c r="CJ146" s="20">
        <v>50</v>
      </c>
      <c r="CK146" s="20">
        <v>46</v>
      </c>
      <c r="CL146" s="20"/>
      <c r="CM146" s="20"/>
      <c r="CN146" s="20">
        <v>0</v>
      </c>
      <c r="CO146" s="20">
        <v>2</v>
      </c>
      <c r="CP146" s="20">
        <v>3</v>
      </c>
      <c r="CQ146" s="20">
        <v>4</v>
      </c>
      <c r="CR146" s="20">
        <v>5</v>
      </c>
      <c r="CS146" s="20">
        <v>6</v>
      </c>
      <c r="CT146" s="20">
        <v>7</v>
      </c>
      <c r="CU146" s="20">
        <v>8</v>
      </c>
      <c r="CV146" s="20">
        <v>9</v>
      </c>
      <c r="CW146" s="20">
        <v>10</v>
      </c>
      <c r="CX146" s="20">
        <v>11</v>
      </c>
      <c r="CY146" s="20">
        <v>12</v>
      </c>
      <c r="CZ146" s="20">
        <v>13</v>
      </c>
      <c r="DA146" s="20">
        <v>14</v>
      </c>
      <c r="DB146" s="20">
        <v>15</v>
      </c>
      <c r="DC146" s="20">
        <v>16</v>
      </c>
      <c r="DD146" s="20">
        <v>17</v>
      </c>
      <c r="DE146" s="20">
        <v>18</v>
      </c>
      <c r="DF146" s="20">
        <v>19</v>
      </c>
      <c r="DG146" s="20">
        <v>20</v>
      </c>
      <c r="DH146" s="20">
        <v>21</v>
      </c>
      <c r="DI146" s="20">
        <v>22</v>
      </c>
      <c r="DJ146" s="20">
        <v>23</v>
      </c>
      <c r="DK146" s="20">
        <v>24</v>
      </c>
      <c r="DL146" s="20">
        <v>25</v>
      </c>
      <c r="DM146" s="20">
        <v>26</v>
      </c>
      <c r="DN146" s="20">
        <v>27</v>
      </c>
      <c r="DO146" s="20">
        <v>28</v>
      </c>
      <c r="DP146" s="20">
        <v>29</v>
      </c>
      <c r="DQ146" s="20">
        <v>30</v>
      </c>
      <c r="DR146" s="20">
        <v>31</v>
      </c>
      <c r="DS146" s="20">
        <v>32</v>
      </c>
      <c r="DT146" s="20">
        <v>33</v>
      </c>
      <c r="DU146" s="20">
        <v>34</v>
      </c>
      <c r="DV146" s="20">
        <v>35</v>
      </c>
      <c r="DW146" s="20">
        <v>36</v>
      </c>
      <c r="DX146" s="20">
        <v>37</v>
      </c>
      <c r="DY146" s="20"/>
      <c r="DZ146" s="54">
        <v>43</v>
      </c>
      <c r="EA146" s="54"/>
      <c r="EB146" s="54">
        <v>5</v>
      </c>
      <c r="EC146" s="20"/>
      <c r="ED146" s="20"/>
      <c r="EE146" s="20"/>
      <c r="EF146" s="20"/>
      <c r="EG146" s="20"/>
      <c r="EH146" s="20"/>
      <c r="EI146" s="20"/>
      <c r="EJ146" s="20"/>
      <c r="EK146" s="20"/>
      <c r="EL146" s="20"/>
      <c r="EM146" s="20"/>
      <c r="EN146" s="20"/>
      <c r="EO146" s="20"/>
      <c r="EP146" s="20"/>
      <c r="EQ146" s="20"/>
      <c r="ER146" s="20"/>
      <c r="ES146" s="20"/>
      <c r="ET146" s="20"/>
      <c r="EU146" s="20"/>
      <c r="EV146" s="20" t="s">
        <v>208</v>
      </c>
      <c r="EW146" s="20">
        <v>0</v>
      </c>
      <c r="EX146" s="20">
        <v>2</v>
      </c>
      <c r="EY146" s="20">
        <v>0</v>
      </c>
      <c r="EZ146" s="20">
        <v>0</v>
      </c>
      <c r="FA146" s="20">
        <v>0</v>
      </c>
      <c r="FB146" s="20">
        <v>0</v>
      </c>
      <c r="FC146" s="20">
        <v>0</v>
      </c>
      <c r="FD146" s="20">
        <v>0</v>
      </c>
      <c r="FE146" s="20">
        <v>0</v>
      </c>
      <c r="FF146" s="20">
        <v>0</v>
      </c>
      <c r="FG146" s="20">
        <v>0</v>
      </c>
      <c r="FH146" s="20">
        <v>0</v>
      </c>
      <c r="FI146" s="20">
        <v>0</v>
      </c>
      <c r="FJ146" s="20">
        <v>0</v>
      </c>
      <c r="FK146" s="20">
        <v>0</v>
      </c>
      <c r="FL146" s="20">
        <v>0</v>
      </c>
      <c r="FM146" s="20">
        <v>0</v>
      </c>
      <c r="FN146" s="20">
        <v>0</v>
      </c>
      <c r="FO146" s="20">
        <v>0</v>
      </c>
      <c r="FP146" s="20">
        <v>0</v>
      </c>
      <c r="FQ146" s="20">
        <v>0</v>
      </c>
      <c r="FR146" s="20">
        <v>0</v>
      </c>
      <c r="FS146" s="20">
        <v>0</v>
      </c>
      <c r="FT146" s="20">
        <v>0</v>
      </c>
      <c r="FU146" s="20">
        <v>0</v>
      </c>
      <c r="FV146" s="20">
        <v>0</v>
      </c>
      <c r="FW146" s="20">
        <v>0</v>
      </c>
      <c r="FX146" s="20">
        <v>0</v>
      </c>
      <c r="FY146" s="20">
        <v>0</v>
      </c>
      <c r="FZ146" s="20">
        <v>0</v>
      </c>
      <c r="GA146" s="20">
        <v>0</v>
      </c>
      <c r="GB146" s="20">
        <v>0</v>
      </c>
      <c r="GC146" s="20">
        <v>0</v>
      </c>
      <c r="GD146" s="20">
        <v>0</v>
      </c>
      <c r="GE146" s="20">
        <v>0</v>
      </c>
      <c r="GF146" s="20">
        <v>0</v>
      </c>
      <c r="GG146" s="20">
        <v>0</v>
      </c>
      <c r="GH146" s="20">
        <v>0</v>
      </c>
      <c r="GI146" s="20">
        <v>0</v>
      </c>
      <c r="GJ146" s="20">
        <v>0</v>
      </c>
      <c r="GK146" s="20">
        <v>0</v>
      </c>
      <c r="GL146" s="20">
        <v>0</v>
      </c>
      <c r="GM146" s="20">
        <v>0</v>
      </c>
      <c r="GN146" s="20">
        <v>0</v>
      </c>
      <c r="GO146" s="20">
        <v>0</v>
      </c>
      <c r="GP146" s="20">
        <v>0</v>
      </c>
      <c r="GQ146" s="20">
        <v>0</v>
      </c>
      <c r="GR146" s="20">
        <v>0</v>
      </c>
      <c r="GS146" s="20">
        <v>0</v>
      </c>
      <c r="GT146" s="20">
        <v>0</v>
      </c>
      <c r="GU146" s="20">
        <v>0</v>
      </c>
      <c r="GV146" s="20"/>
      <c r="GW146" s="20"/>
      <c r="GX146" s="20"/>
      <c r="GY146" s="21"/>
      <c r="GZ146" s="21"/>
      <c r="HA146" s="21"/>
      <c r="HB146" s="21"/>
      <c r="HC146" s="21"/>
      <c r="HD146" s="21"/>
      <c r="HE146" s="21"/>
      <c r="HF146" s="21"/>
      <c r="HG146" s="21"/>
      <c r="HH146" s="21"/>
      <c r="HI146" s="21"/>
      <c r="HJ146" s="21"/>
      <c r="HK146" s="21"/>
      <c r="HL146" s="21"/>
      <c r="HM146" s="21"/>
      <c r="HN146" s="21"/>
      <c r="HO146" s="21"/>
      <c r="HP146" s="21"/>
      <c r="HQ146" s="21"/>
      <c r="HR146" s="21"/>
      <c r="HS146" s="21"/>
      <c r="HT146" s="21"/>
      <c r="HU146" s="21"/>
      <c r="HV146" s="186"/>
      <c r="HW146" s="21"/>
      <c r="HX146" s="21"/>
      <c r="HY146" s="21"/>
      <c r="HZ146" s="21"/>
      <c r="IA146" s="21"/>
      <c r="IB146" s="21"/>
      <c r="IC146" s="21"/>
      <c r="ID146" s="21"/>
      <c r="IE146" s="21"/>
      <c r="IF146" s="21"/>
      <c r="IG146" s="21"/>
      <c r="IH146" s="21"/>
      <c r="II146" s="21"/>
      <c r="IJ146" s="21"/>
      <c r="IK146" s="21"/>
      <c r="IL146" s="21"/>
      <c r="IM146" s="21"/>
      <c r="IN146" s="21"/>
      <c r="IO146" s="21"/>
      <c r="IP146" s="21"/>
      <c r="IQ146" s="21"/>
      <c r="IR146" s="21"/>
      <c r="IS146" s="21"/>
      <c r="IT146" s="21"/>
      <c r="IU146" s="21"/>
      <c r="IV146" s="21"/>
      <c r="IW146" s="21"/>
      <c r="IX146" s="21"/>
      <c r="IY146" s="21"/>
      <c r="IZ146" s="21"/>
      <c r="JA146" s="21"/>
      <c r="JB146" s="21"/>
      <c r="JC146" s="21"/>
      <c r="JD146" s="21"/>
      <c r="JE146" s="21"/>
      <c r="JF146" s="21"/>
      <c r="JG146" s="21"/>
      <c r="JH146" s="21"/>
      <c r="JI146" s="21"/>
      <c r="JJ146" s="21"/>
      <c r="JK146" s="21"/>
      <c r="JL146" s="21"/>
      <c r="JM146" s="21"/>
      <c r="JN146" s="21"/>
      <c r="JO146" s="21"/>
      <c r="JP146" s="21"/>
      <c r="JQ146" s="26"/>
      <c r="JR146" s="21"/>
      <c r="JS146" s="21"/>
      <c r="JT146" s="21"/>
      <c r="JU146" s="21"/>
      <c r="JV146" s="21"/>
      <c r="JW146" s="21"/>
      <c r="JX146" s="21"/>
      <c r="JY146" s="21"/>
      <c r="JZ146" s="21"/>
      <c r="KA146" s="21"/>
      <c r="KB146" s="21"/>
      <c r="KC146" s="21"/>
      <c r="KD146" s="21"/>
      <c r="KE146" s="21"/>
      <c r="KF146" s="21"/>
      <c r="KG146" s="26"/>
      <c r="KH146" s="21"/>
    </row>
    <row r="147" spans="1:294" x14ac:dyDescent="0.25">
      <c r="A147" s="9"/>
      <c r="B147" s="6"/>
      <c r="C147" s="9"/>
      <c r="D147" s="9"/>
      <c r="E147" s="9"/>
      <c r="F147" s="9"/>
      <c r="G147" s="9"/>
      <c r="H147" s="9"/>
      <c r="I147" s="9"/>
      <c r="J147" s="9"/>
      <c r="K147" s="9"/>
      <c r="L147" s="6" t="str">
        <f>IF(L133="BUF30","SAM8X25E",IF(L133="BUF30L","SAM8X25E","-------"))</f>
        <v>-------</v>
      </c>
      <c r="M147" s="11" t="str">
        <f>INDEX(cennik!$C$2:$L$529,MATCH($L147,cennik!$B$2:$B$522,0),MATCH(M$104,cennik!$C$1:$L$1,0))</f>
        <v>-------</v>
      </c>
      <c r="N147" s="11">
        <f>INDEX(cennik!$C$2:$L$529,MATCH($L147,cennik!$B$2:$B$522,0),MATCH(N$104,cennik!$C$1:$L$1,0))</f>
        <v>0</v>
      </c>
      <c r="O147" s="11">
        <f>IF(L133="BUF30",O133,IF(L133="BUF30L",O133,0))</f>
        <v>0</v>
      </c>
      <c r="P147" s="34">
        <f>INDEX(cennik!$C$2:$L$529,MATCH($L147,cennik!$B$2:$B$522,0),MATCH(P$104,cennik!$C$1:$L$1,0))</f>
        <v>0</v>
      </c>
      <c r="Q147" s="34">
        <f t="shared" si="49"/>
        <v>0</v>
      </c>
      <c r="R147" s="35">
        <f>$E$110</f>
        <v>0</v>
      </c>
      <c r="S147" s="34">
        <f t="shared" si="57"/>
        <v>0</v>
      </c>
      <c r="T147" s="34">
        <f t="shared" si="50"/>
        <v>0</v>
      </c>
      <c r="U147" s="34">
        <f>INDEX(cennik!$C$2:$L$529,MATCH($L147,cennik!$B$2:$B$522,0),MATCH(U$104,cennik!$C$1:$L$1,0))*O147</f>
        <v>0</v>
      </c>
      <c r="V147" s="20"/>
      <c r="W147" s="25">
        <f t="shared" si="58"/>
        <v>0</v>
      </c>
      <c r="X147" s="20">
        <f t="shared" si="59"/>
        <v>0</v>
      </c>
      <c r="Y147" s="20"/>
      <c r="Z147" s="20">
        <f>(INDEX(($EW$107:$GU$115,$EW$119:$GU$127,$EW$132:$GU$140,$EW$144:$GU$152),MATCH($L$160,$EV$107:$EV$115,0),MATCH(A155,$EW$106:$GU$106,0),MATCH($G$152,$X$128:$X$131,0)))*C155</f>
        <v>0</v>
      </c>
      <c r="AA147" s="20">
        <f>(INDEX(($EW$107:$GU$115,$EW$119:$GU$127,$EW$132:$GU$140,$EW$144:$GU$152),MATCH($L$152,$EV$107:$EV$115,0),MATCH(A155,$EW$106:$GU$106,0),MATCH($G$152,$X$128:$X$131,0)))*C155</f>
        <v>0</v>
      </c>
      <c r="AB147" s="20">
        <f>(INDEX(($EW$107:$GU$115,$EW$119:$GU$127,$EW$132:$GU$140,$EW$144:$GU$152),MATCH($L$153,$EV$107:$EV$115,0),MATCH(A155,$EW$106:$GU$106,0),MATCH($G$152,$X$128:$X$131,0)))*C155</f>
        <v>0</v>
      </c>
      <c r="AC147" s="20">
        <f>(INDEX(($EW$107:$GU$115,$EW$119:$GU$127,$EW$132:$GU$140,$EW$144:$GU$152),MATCH($L$154,$EV$107:$EV$115,0),MATCH(A155,$EW$106:$GU$106,0),MATCH($G$152,$X$128:$X$131,0)))*C155</f>
        <v>0</v>
      </c>
      <c r="AD147" s="20">
        <f>(INDEX(($EW$107:$GU$115,$EW$119:$GU$127,$EW$132:$GU$140,$EW$144:$GU$152),MATCH($L$155,$EV$107:$EV$115,0),MATCH(A155,$EW$106:$GU$106,0),MATCH($G$152,$X$128:$X$131,0)))*C155</f>
        <v>0</v>
      </c>
      <c r="AE147" s="20">
        <f>(INDEX(($EW$107:$GU$115,$EW$119:$GU$127,$EW$132:$GU$140,$EW$144:$GU$152),MATCH($L$156,$EV$107:$EV$115,0),MATCH(A155,$EW$106:$GU$106,0),MATCH($G$152,$X$128:$X$131,0)))*C155</f>
        <v>0</v>
      </c>
      <c r="AF147" s="20">
        <f>(INDEX(($EW$107:$GU$115,$EW$119:$GU$127,$EW$132:$GU$140,$EW$144:$GU$152),MATCH($L$157,$EV$107:$EV$115,0),MATCH(A155,$EW$106:$GU$106,0),MATCH($G$152,$X$128:$X$131,0)))*C155</f>
        <v>0</v>
      </c>
      <c r="AG147" s="20">
        <f>(INDEX(($EW$107:$GU$115,$EW$119:$GU$127,$EW$132:$GU$140,$EW$144:$GU$152),MATCH($L$158,$EV$107:$EV$115,0),MATCH(A155,$EW$106:$GU$106,0),MATCH($G$152,$X$128:$X$131,0)))*C155</f>
        <v>0</v>
      </c>
      <c r="AH147" s="20">
        <f>(INDEX(($EW$107:$GU$115,$EW$119:$GU$127,$EW$132:$GU$140,$EW$144:$GU$152),MATCH($L$159,$EV$107:$EV$115,0),MATCH(A155,$EW$106:$GU$106,0),MATCH($G$152,$X$128:$X$131,0)))*C155</f>
        <v>0</v>
      </c>
      <c r="AI147" s="20"/>
      <c r="AJ147" s="20"/>
      <c r="AK147" s="20"/>
      <c r="AL147" s="20" t="s">
        <v>408</v>
      </c>
      <c r="AM147" s="20">
        <v>0</v>
      </c>
      <c r="AN147" s="20">
        <f>((((SUM(AN142:AN146))/2)-1))*4</f>
        <v>0</v>
      </c>
      <c r="AO147" s="20">
        <f t="shared" ref="AO147:CK147" si="60">((((SUM(AO142:AO146))/2)-1))*4</f>
        <v>8</v>
      </c>
      <c r="AP147" s="20">
        <f t="shared" si="60"/>
        <v>4</v>
      </c>
      <c r="AQ147" s="20">
        <f t="shared" si="60"/>
        <v>8</v>
      </c>
      <c r="AR147" s="20">
        <f t="shared" si="60"/>
        <v>8</v>
      </c>
      <c r="AS147" s="20">
        <f t="shared" si="60"/>
        <v>12</v>
      </c>
      <c r="AT147" s="20">
        <f t="shared" si="60"/>
        <v>12</v>
      </c>
      <c r="AU147" s="20">
        <f t="shared" si="60"/>
        <v>16</v>
      </c>
      <c r="AV147" s="20">
        <f t="shared" si="60"/>
        <v>16</v>
      </c>
      <c r="AW147" s="20">
        <f t="shared" si="60"/>
        <v>20</v>
      </c>
      <c r="AX147" s="20">
        <f t="shared" si="60"/>
        <v>20</v>
      </c>
      <c r="AY147" s="20">
        <f t="shared" si="60"/>
        <v>24</v>
      </c>
      <c r="AZ147" s="20">
        <f t="shared" si="60"/>
        <v>24</v>
      </c>
      <c r="BA147" s="20">
        <f t="shared" si="60"/>
        <v>28</v>
      </c>
      <c r="BB147" s="20">
        <f t="shared" si="60"/>
        <v>28</v>
      </c>
      <c r="BC147" s="20">
        <f t="shared" si="60"/>
        <v>32</v>
      </c>
      <c r="BD147" s="20">
        <f t="shared" si="60"/>
        <v>32</v>
      </c>
      <c r="BE147" s="20">
        <f t="shared" si="60"/>
        <v>36</v>
      </c>
      <c r="BF147" s="20">
        <f t="shared" si="60"/>
        <v>36</v>
      </c>
      <c r="BG147" s="20">
        <f t="shared" si="60"/>
        <v>40</v>
      </c>
      <c r="BH147" s="20">
        <f t="shared" si="60"/>
        <v>40</v>
      </c>
      <c r="BI147" s="20">
        <f t="shared" si="60"/>
        <v>44</v>
      </c>
      <c r="BJ147" s="20">
        <f t="shared" si="60"/>
        <v>44</v>
      </c>
      <c r="BK147" s="20">
        <f t="shared" si="60"/>
        <v>48</v>
      </c>
      <c r="BL147" s="20">
        <f t="shared" si="60"/>
        <v>48</v>
      </c>
      <c r="BM147" s="20">
        <f t="shared" si="60"/>
        <v>52</v>
      </c>
      <c r="BN147" s="20">
        <f t="shared" si="60"/>
        <v>52</v>
      </c>
      <c r="BO147" s="20">
        <f t="shared" si="60"/>
        <v>56</v>
      </c>
      <c r="BP147" s="20">
        <f t="shared" si="60"/>
        <v>56</v>
      </c>
      <c r="BQ147" s="20">
        <f t="shared" si="60"/>
        <v>60</v>
      </c>
      <c r="BR147" s="20">
        <f t="shared" si="60"/>
        <v>60</v>
      </c>
      <c r="BS147" s="20">
        <f t="shared" si="60"/>
        <v>64</v>
      </c>
      <c r="BT147" s="20">
        <f t="shared" si="60"/>
        <v>64</v>
      </c>
      <c r="BU147" s="20">
        <f t="shared" si="60"/>
        <v>68</v>
      </c>
      <c r="BV147" s="20">
        <f t="shared" si="60"/>
        <v>68</v>
      </c>
      <c r="BW147" s="20">
        <f t="shared" si="60"/>
        <v>72</v>
      </c>
      <c r="BX147" s="20">
        <f t="shared" si="60"/>
        <v>72</v>
      </c>
      <c r="BY147" s="20">
        <f t="shared" si="60"/>
        <v>76</v>
      </c>
      <c r="BZ147" s="20">
        <f t="shared" si="60"/>
        <v>76</v>
      </c>
      <c r="CA147" s="20">
        <f t="shared" si="60"/>
        <v>80</v>
      </c>
      <c r="CB147" s="20">
        <f t="shared" si="60"/>
        <v>80</v>
      </c>
      <c r="CC147" s="20">
        <f t="shared" si="60"/>
        <v>84</v>
      </c>
      <c r="CD147" s="20">
        <f t="shared" si="60"/>
        <v>84</v>
      </c>
      <c r="CE147" s="20">
        <f t="shared" si="60"/>
        <v>88</v>
      </c>
      <c r="CF147" s="20">
        <f t="shared" si="60"/>
        <v>88</v>
      </c>
      <c r="CG147" s="20">
        <f t="shared" si="60"/>
        <v>92</v>
      </c>
      <c r="CH147" s="20">
        <f t="shared" si="60"/>
        <v>92</v>
      </c>
      <c r="CI147" s="20">
        <f t="shared" si="60"/>
        <v>96</v>
      </c>
      <c r="CJ147" s="20">
        <f t="shared" si="60"/>
        <v>96</v>
      </c>
      <c r="CK147" s="20">
        <f t="shared" si="60"/>
        <v>100</v>
      </c>
      <c r="CL147" s="20"/>
      <c r="CM147" s="26" t="s">
        <v>227</v>
      </c>
      <c r="CN147" s="20">
        <v>0</v>
      </c>
      <c r="CO147" s="20">
        <v>1</v>
      </c>
      <c r="CP147" s="20">
        <v>1</v>
      </c>
      <c r="CQ147" s="20">
        <v>1</v>
      </c>
      <c r="CR147" s="20">
        <v>2</v>
      </c>
      <c r="CS147" s="20">
        <v>2</v>
      </c>
      <c r="CT147" s="20">
        <v>2</v>
      </c>
      <c r="CU147" s="20">
        <v>3</v>
      </c>
      <c r="CV147" s="20">
        <v>3</v>
      </c>
      <c r="CW147" s="20">
        <v>3</v>
      </c>
      <c r="CX147" s="20">
        <v>4</v>
      </c>
      <c r="CY147" s="20">
        <v>4</v>
      </c>
      <c r="CZ147" s="20">
        <v>4</v>
      </c>
      <c r="DA147" s="20">
        <v>5</v>
      </c>
      <c r="DB147" s="20">
        <v>5</v>
      </c>
      <c r="DC147" s="20">
        <v>5</v>
      </c>
      <c r="DD147" s="20">
        <v>6</v>
      </c>
      <c r="DE147" s="20">
        <v>6</v>
      </c>
      <c r="DF147" s="20">
        <v>6</v>
      </c>
      <c r="DG147" s="20">
        <v>7</v>
      </c>
      <c r="DH147" s="20">
        <v>7</v>
      </c>
      <c r="DI147" s="20">
        <v>7</v>
      </c>
      <c r="DJ147" s="20">
        <v>8</v>
      </c>
      <c r="DK147" s="20">
        <v>8</v>
      </c>
      <c r="DL147" s="20">
        <v>8</v>
      </c>
      <c r="DM147" s="20">
        <v>9</v>
      </c>
      <c r="DN147" s="20">
        <v>9</v>
      </c>
      <c r="DO147" s="20">
        <v>9</v>
      </c>
      <c r="DP147" s="20">
        <v>10</v>
      </c>
      <c r="DQ147" s="20">
        <v>10</v>
      </c>
      <c r="DR147" s="20">
        <v>10</v>
      </c>
      <c r="DS147" s="20">
        <v>11</v>
      </c>
      <c r="DT147" s="20">
        <v>11</v>
      </c>
      <c r="DU147" s="20">
        <v>11</v>
      </c>
      <c r="DV147" s="20">
        <v>12</v>
      </c>
      <c r="DW147" s="20">
        <v>12</v>
      </c>
      <c r="DX147" s="20">
        <v>12</v>
      </c>
      <c r="DY147" s="20"/>
      <c r="DZ147" s="54">
        <v>44</v>
      </c>
      <c r="EA147" s="54"/>
      <c r="EB147" s="54"/>
      <c r="EC147" s="20"/>
      <c r="ED147" s="20"/>
      <c r="EE147" s="20"/>
      <c r="EF147" s="20"/>
      <c r="EG147" s="20"/>
      <c r="EH147" s="20"/>
      <c r="EI147" s="20"/>
      <c r="EJ147" s="20"/>
      <c r="EK147" s="20"/>
      <c r="EL147" s="20"/>
      <c r="EM147" s="20"/>
      <c r="EN147" s="20"/>
      <c r="EO147" s="20"/>
      <c r="EP147" s="20"/>
      <c r="EQ147" s="20"/>
      <c r="ER147" s="20"/>
      <c r="ES147" s="20"/>
      <c r="ET147" s="20"/>
      <c r="EU147" s="20"/>
      <c r="EV147" s="20" t="s">
        <v>211</v>
      </c>
      <c r="EW147" s="20">
        <v>0</v>
      </c>
      <c r="EX147" s="20">
        <v>0</v>
      </c>
      <c r="EY147" s="20">
        <v>0</v>
      </c>
      <c r="EZ147" s="20">
        <v>0</v>
      </c>
      <c r="FA147" s="20">
        <v>0</v>
      </c>
      <c r="FB147" s="20">
        <v>0</v>
      </c>
      <c r="FC147" s="20">
        <v>0</v>
      </c>
      <c r="FD147" s="20">
        <v>0</v>
      </c>
      <c r="FE147" s="20">
        <v>0</v>
      </c>
      <c r="FF147" s="20">
        <v>0</v>
      </c>
      <c r="FG147" s="20">
        <v>0</v>
      </c>
      <c r="FH147" s="20">
        <v>0</v>
      </c>
      <c r="FI147" s="20">
        <v>0</v>
      </c>
      <c r="FJ147" s="20">
        <v>0</v>
      </c>
      <c r="FK147" s="20">
        <v>0</v>
      </c>
      <c r="FL147" s="20">
        <v>0</v>
      </c>
      <c r="FM147" s="20">
        <v>0</v>
      </c>
      <c r="FN147" s="20">
        <v>0</v>
      </c>
      <c r="FO147" s="20">
        <v>0</v>
      </c>
      <c r="FP147" s="20">
        <v>0</v>
      </c>
      <c r="FQ147" s="20">
        <v>0</v>
      </c>
      <c r="FR147" s="20">
        <v>0</v>
      </c>
      <c r="FS147" s="20">
        <v>0</v>
      </c>
      <c r="FT147" s="20">
        <v>0</v>
      </c>
      <c r="FU147" s="20">
        <v>0</v>
      </c>
      <c r="FV147" s="20">
        <v>0</v>
      </c>
      <c r="FW147" s="20">
        <v>0</v>
      </c>
      <c r="FX147" s="20">
        <v>0</v>
      </c>
      <c r="FY147" s="20">
        <v>0</v>
      </c>
      <c r="FZ147" s="20">
        <v>0</v>
      </c>
      <c r="GA147" s="20">
        <v>0</v>
      </c>
      <c r="GB147" s="20">
        <v>0</v>
      </c>
      <c r="GC147" s="20">
        <v>0</v>
      </c>
      <c r="GD147" s="20">
        <v>0</v>
      </c>
      <c r="GE147" s="20">
        <v>0</v>
      </c>
      <c r="GF147" s="20">
        <v>0</v>
      </c>
      <c r="GG147" s="20">
        <v>0</v>
      </c>
      <c r="GH147" s="20">
        <v>0</v>
      </c>
      <c r="GI147" s="20">
        <v>0</v>
      </c>
      <c r="GJ147" s="20">
        <v>0</v>
      </c>
      <c r="GK147" s="20">
        <v>0</v>
      </c>
      <c r="GL147" s="20">
        <v>0</v>
      </c>
      <c r="GM147" s="20">
        <v>0</v>
      </c>
      <c r="GN147" s="20">
        <v>0</v>
      </c>
      <c r="GO147" s="20">
        <v>0</v>
      </c>
      <c r="GP147" s="20">
        <v>0</v>
      </c>
      <c r="GQ147" s="20">
        <v>0</v>
      </c>
      <c r="GR147" s="20">
        <v>0</v>
      </c>
      <c r="GS147" s="20">
        <v>0</v>
      </c>
      <c r="GT147" s="20">
        <v>0</v>
      </c>
      <c r="GU147" s="20">
        <v>0</v>
      </c>
      <c r="GV147" s="20"/>
      <c r="GW147" s="20"/>
      <c r="GX147" s="20"/>
      <c r="GY147" s="21" t="s">
        <v>762</v>
      </c>
      <c r="GZ147" s="21"/>
      <c r="HA147" s="21"/>
      <c r="HB147" s="21"/>
      <c r="HC147" s="21"/>
      <c r="HD147" s="21"/>
      <c r="HE147" s="21"/>
      <c r="HF147" s="21"/>
      <c r="HG147" s="21"/>
      <c r="HH147" s="21"/>
      <c r="HI147" s="21"/>
      <c r="HJ147" s="21"/>
      <c r="HK147" s="21"/>
      <c r="HL147" s="21"/>
      <c r="HM147" s="21"/>
      <c r="HN147" s="21"/>
      <c r="HO147" s="21"/>
      <c r="HP147" s="21"/>
      <c r="HQ147" s="21"/>
      <c r="HR147" s="21"/>
      <c r="HS147" s="21"/>
      <c r="HT147" s="21"/>
      <c r="HU147" s="346"/>
      <c r="HV147" s="186" t="s">
        <v>113</v>
      </c>
      <c r="HW147" s="21"/>
      <c r="HX147" s="21"/>
      <c r="HY147" s="21"/>
      <c r="HZ147" s="21"/>
      <c r="IA147" s="21"/>
      <c r="IB147" s="21"/>
      <c r="IC147" s="21"/>
      <c r="ID147" s="21"/>
      <c r="IE147" s="21"/>
      <c r="IF147" s="21"/>
      <c r="IG147" s="21"/>
      <c r="IH147" s="21"/>
      <c r="II147" s="21"/>
      <c r="IJ147" s="21"/>
      <c r="IK147" s="21"/>
      <c r="IL147" s="21"/>
      <c r="IM147" s="21"/>
      <c r="IN147" s="21"/>
      <c r="IO147" s="21"/>
      <c r="IP147" s="21"/>
      <c r="IQ147" s="21"/>
      <c r="IR147" s="21"/>
      <c r="IS147" s="21" t="s">
        <v>113</v>
      </c>
      <c r="IT147" s="21"/>
      <c r="IU147" s="21"/>
      <c r="IV147" s="21"/>
      <c r="IW147" s="21"/>
      <c r="IX147" s="21"/>
      <c r="IY147" s="21"/>
      <c r="IZ147" s="21"/>
      <c r="JA147" s="21"/>
      <c r="JB147" s="21"/>
      <c r="JC147" s="21"/>
      <c r="JD147" s="21"/>
      <c r="JE147" s="21"/>
      <c r="JF147" s="21"/>
      <c r="JG147" s="21"/>
      <c r="JH147" s="21"/>
      <c r="JI147" s="21"/>
      <c r="JJ147" s="21"/>
      <c r="JK147" s="21"/>
      <c r="JL147" s="21"/>
      <c r="JM147" s="21"/>
      <c r="JN147" s="21"/>
      <c r="JO147" s="21"/>
      <c r="JP147" s="21"/>
      <c r="JQ147" s="21"/>
      <c r="JR147" s="21"/>
      <c r="JS147" s="21"/>
      <c r="JT147" s="21"/>
      <c r="JU147" s="21"/>
      <c r="JV147" s="21"/>
      <c r="JW147" s="21"/>
      <c r="JX147" s="21"/>
      <c r="JY147" s="21"/>
      <c r="JZ147" s="21"/>
      <c r="KA147" s="21"/>
      <c r="KB147" s="21"/>
      <c r="KC147" s="21"/>
      <c r="KD147" s="21"/>
      <c r="KE147" s="21"/>
      <c r="KF147" s="21"/>
      <c r="KG147" s="26"/>
      <c r="KH147" s="21"/>
    </row>
    <row r="148" spans="1:294" x14ac:dyDescent="0.25">
      <c r="A148" s="9"/>
      <c r="B148" s="6"/>
      <c r="C148" s="9"/>
      <c r="D148" s="9"/>
      <c r="E148" s="9"/>
      <c r="F148" s="9"/>
      <c r="G148" s="9"/>
      <c r="H148" s="9"/>
      <c r="I148" s="9"/>
      <c r="J148" s="9"/>
      <c r="K148" s="9"/>
      <c r="L148" s="6" t="str">
        <f>IF(L133="BUF30","NKZM8E A2",IF(L133="BUF30L","NKZM8E A2","-------"))</f>
        <v>-------</v>
      </c>
      <c r="M148" s="11" t="str">
        <f>INDEX(cennik!$C$2:$L$529,MATCH($L148,cennik!$B$2:$B$522,0),MATCH(M$104,cennik!$C$1:$L$1,0))</f>
        <v>-------</v>
      </c>
      <c r="N148" s="11">
        <f>INDEX(cennik!$C$2:$L$529,MATCH($L148,cennik!$B$2:$B$522,0),MATCH(N$104,cennik!$C$1:$L$1,0))</f>
        <v>0</v>
      </c>
      <c r="O148" s="11">
        <f>ROUNDUP((IF(L133="BUF30",O133,IF(L133="BUF30L",O133,0)))/100,0)</f>
        <v>0</v>
      </c>
      <c r="P148" s="34">
        <f>INDEX(cennik!$C$2:$L$529,MATCH($L148,cennik!$B$2:$B$522,0),MATCH(P$104,cennik!$C$1:$L$1,0))</f>
        <v>0</v>
      </c>
      <c r="Q148" s="34">
        <f t="shared" si="49"/>
        <v>0</v>
      </c>
      <c r="R148" s="35">
        <f>$E$110</f>
        <v>0</v>
      </c>
      <c r="S148" s="34">
        <f t="shared" si="57"/>
        <v>0</v>
      </c>
      <c r="T148" s="34">
        <f t="shared" si="50"/>
        <v>0</v>
      </c>
      <c r="U148" s="34">
        <f>INDEX(cennik!$C$2:$L$529,MATCH($L148,cennik!$B$2:$B$522,0),MATCH(U$104,cennik!$C$1:$L$1,0))*O148</f>
        <v>0</v>
      </c>
      <c r="V148" s="20"/>
      <c r="W148" s="25">
        <f t="shared" si="58"/>
        <v>0</v>
      </c>
      <c r="X148" s="20">
        <f t="shared" si="59"/>
        <v>0</v>
      </c>
      <c r="Y148" s="20"/>
      <c r="Z148" s="20">
        <f>(INDEX(($EW$107:$GU$115,$EW$119:$GU$127,$EW$132:$GU$140,$EW$144:$GU$152),MATCH($L$160,$EV$107:$EV$115,0),MATCH(A156,$EW$106:$GU$106,0),MATCH($G$152,$X$128:$X$131,0)))*C156</f>
        <v>0</v>
      </c>
      <c r="AA148" s="20">
        <f>(INDEX(($EW$107:$GU$115,$EW$119:$GU$127,$EW$132:$GU$140,$EW$144:$GU$152),MATCH($L$152,$EV$107:$EV$115,0),MATCH(A156,$EW$106:$GU$106,0),MATCH($G$152,$X$128:$X$131,0)))*C156</f>
        <v>0</v>
      </c>
      <c r="AB148" s="20">
        <f>(INDEX(($EW$107:$GU$115,$EW$119:$GU$127,$EW$132:$GU$140,$EW$144:$GU$152),MATCH($L$153,$EV$107:$EV$115,0),MATCH(A156,$EW$106:$GU$106,0),MATCH($G$152,$X$128:$X$131,0)))*C156</f>
        <v>0</v>
      </c>
      <c r="AC148" s="20">
        <f>(INDEX(($EW$107:$GU$115,$EW$119:$GU$127,$EW$132:$GU$140,$EW$144:$GU$152),MATCH($L$154,$EV$107:$EV$115,0),MATCH(A156,$EW$106:$GU$106,0),MATCH($G$152,$X$128:$X$131,0)))*C156</f>
        <v>0</v>
      </c>
      <c r="AD148" s="20">
        <f>(INDEX(($EW$107:$GU$115,$EW$119:$GU$127,$EW$132:$GU$140,$EW$144:$GU$152),MATCH($L$155,$EV$107:$EV$115,0),MATCH(A156,$EW$106:$GU$106,0),MATCH($G$152,$X$128:$X$131,0)))*C156</f>
        <v>0</v>
      </c>
      <c r="AE148" s="20">
        <f>(INDEX(($EW$107:$GU$115,$EW$119:$GU$127,$EW$132:$GU$140,$EW$144:$GU$152),MATCH($L$156,$EV$107:$EV$115,0),MATCH(A156,$EW$106:$GU$106,0),MATCH($G$152,$X$128:$X$131,0)))*C156</f>
        <v>0</v>
      </c>
      <c r="AF148" s="20">
        <f>(INDEX(($EW$107:$GU$115,$EW$119:$GU$127,$EW$132:$GU$140,$EW$144:$GU$152),MATCH($L$157,$EV$107:$EV$115,0),MATCH(A156,$EW$106:$GU$106,0),MATCH($G$152,$X$128:$X$131,0)))*C156</f>
        <v>0</v>
      </c>
      <c r="AG148" s="20">
        <f>(INDEX(($EW$107:$GU$115,$EW$119:$GU$127,$EW$132:$GU$140,$EW$144:$GU$152),MATCH($L$158,$EV$107:$EV$115,0),MATCH(A156,$EW$106:$GU$106,0),MATCH($G$152,$X$128:$X$131,0)))*C156</f>
        <v>0</v>
      </c>
      <c r="AH148" s="20">
        <f>(INDEX(($EW$107:$GU$115,$EW$119:$GU$127,$EW$132:$GU$140,$EW$144:$GU$152),MATCH($L$159,$EV$107:$EV$115,0),MATCH(A156,$EW$106:$GU$106,0),MATCH($G$152,$X$128:$X$131,0)))*C156</f>
        <v>0</v>
      </c>
      <c r="AI148" s="20"/>
      <c r="AJ148" s="20"/>
      <c r="AK148" s="20"/>
      <c r="AL148" s="20"/>
      <c r="AM148" s="20"/>
      <c r="AN148" s="20"/>
      <c r="AO148" s="20"/>
      <c r="AP148" s="20"/>
      <c r="AQ148" s="20"/>
      <c r="AR148" s="20"/>
      <c r="AS148" s="20"/>
      <c r="AT148" s="20"/>
      <c r="AU148" s="20"/>
      <c r="AV148" s="20"/>
      <c r="AW148" s="20"/>
      <c r="AX148" s="20"/>
      <c r="AY148" s="20"/>
      <c r="AZ148" s="20"/>
      <c r="BA148" s="20"/>
      <c r="BB148" s="20"/>
      <c r="BC148" s="20"/>
      <c r="BD148" s="20"/>
      <c r="BE148" s="20"/>
      <c r="BF148" s="20"/>
      <c r="BG148" s="20"/>
      <c r="BH148" s="20"/>
      <c r="BI148" s="20"/>
      <c r="BJ148" s="20"/>
      <c r="BK148" s="20"/>
      <c r="BL148" s="20"/>
      <c r="BM148" s="20"/>
      <c r="BN148" s="20"/>
      <c r="BO148" s="20"/>
      <c r="BP148" s="20"/>
      <c r="BQ148" s="20"/>
      <c r="BR148" s="20"/>
      <c r="BS148" s="20"/>
      <c r="BT148" s="20"/>
      <c r="BU148" s="20"/>
      <c r="BV148" s="20"/>
      <c r="BW148" s="20"/>
      <c r="BX148" s="20"/>
      <c r="BY148" s="20"/>
      <c r="BZ148" s="20"/>
      <c r="CA148" s="20"/>
      <c r="CB148" s="20"/>
      <c r="CC148" s="20"/>
      <c r="CD148" s="20"/>
      <c r="CE148" s="20"/>
      <c r="CF148" s="20"/>
      <c r="CG148" s="20"/>
      <c r="CH148" s="20"/>
      <c r="CI148" s="20"/>
      <c r="CJ148" s="20"/>
      <c r="CK148" s="20"/>
      <c r="CL148" s="20"/>
      <c r="CM148" s="20"/>
      <c r="CN148" s="20"/>
      <c r="CO148" s="20"/>
      <c r="CP148" s="20"/>
      <c r="CQ148" s="20"/>
      <c r="CR148" s="20"/>
      <c r="CS148" s="20"/>
      <c r="CT148" s="20"/>
      <c r="CU148" s="20"/>
      <c r="CV148" s="20"/>
      <c r="CW148" s="20"/>
      <c r="CX148" s="20"/>
      <c r="CY148" s="20"/>
      <c r="CZ148" s="20"/>
      <c r="DA148" s="20"/>
      <c r="DB148" s="20"/>
      <c r="DC148" s="20"/>
      <c r="DD148" s="20"/>
      <c r="DE148" s="20"/>
      <c r="DF148" s="20"/>
      <c r="DG148" s="20"/>
      <c r="DH148" s="20"/>
      <c r="DI148" s="20"/>
      <c r="DJ148" s="20"/>
      <c r="DK148" s="20"/>
      <c r="DL148" s="20"/>
      <c r="DM148" s="20"/>
      <c r="DN148" s="20"/>
      <c r="DO148" s="20"/>
      <c r="DP148" s="20"/>
      <c r="DQ148" s="20"/>
      <c r="DR148" s="20"/>
      <c r="DS148" s="20"/>
      <c r="DT148" s="20"/>
      <c r="DU148" s="20"/>
      <c r="DV148" s="20"/>
      <c r="DW148" s="20"/>
      <c r="DX148" s="20"/>
      <c r="DY148" s="20"/>
      <c r="DZ148" s="54">
        <v>45</v>
      </c>
      <c r="EA148" s="54"/>
      <c r="EB148" s="54">
        <v>1</v>
      </c>
      <c r="EC148" s="20"/>
      <c r="ED148" s="20"/>
      <c r="EE148" s="20"/>
      <c r="EF148" s="20"/>
      <c r="EG148" s="20"/>
      <c r="EH148" s="20"/>
      <c r="EI148" s="20"/>
      <c r="EJ148" s="20"/>
      <c r="EK148" s="20"/>
      <c r="EL148" s="20"/>
      <c r="EM148" s="20"/>
      <c r="EN148" s="20"/>
      <c r="EO148" s="20"/>
      <c r="EP148" s="20"/>
      <c r="EQ148" s="20"/>
      <c r="ER148" s="20"/>
      <c r="ES148" s="20"/>
      <c r="ET148" s="20"/>
      <c r="EU148" s="20"/>
      <c r="EV148" s="20" t="s">
        <v>293</v>
      </c>
      <c r="EW148" s="20">
        <v>0</v>
      </c>
      <c r="EX148" s="20">
        <v>0</v>
      </c>
      <c r="EY148" s="20">
        <v>0</v>
      </c>
      <c r="EZ148" s="20">
        <v>0</v>
      </c>
      <c r="FA148" s="20">
        <v>0</v>
      </c>
      <c r="FB148" s="20">
        <v>0</v>
      </c>
      <c r="FC148" s="20">
        <v>0</v>
      </c>
      <c r="FD148" s="20">
        <v>0</v>
      </c>
      <c r="FE148" s="20">
        <v>0</v>
      </c>
      <c r="FF148" s="20">
        <v>0</v>
      </c>
      <c r="FG148" s="20">
        <v>0</v>
      </c>
      <c r="FH148" s="20">
        <v>0</v>
      </c>
      <c r="FI148" s="20">
        <v>0</v>
      </c>
      <c r="FJ148" s="20">
        <v>0</v>
      </c>
      <c r="FK148" s="20">
        <v>0</v>
      </c>
      <c r="FL148" s="20">
        <v>0</v>
      </c>
      <c r="FM148" s="20">
        <v>0</v>
      </c>
      <c r="FN148" s="20">
        <v>0</v>
      </c>
      <c r="FO148" s="20">
        <v>0</v>
      </c>
      <c r="FP148" s="20">
        <v>0</v>
      </c>
      <c r="FQ148" s="20">
        <v>0</v>
      </c>
      <c r="FR148" s="20">
        <v>0</v>
      </c>
      <c r="FS148" s="20">
        <v>0</v>
      </c>
      <c r="FT148" s="20">
        <v>0</v>
      </c>
      <c r="FU148" s="20">
        <v>0</v>
      </c>
      <c r="FV148" s="20">
        <v>0</v>
      </c>
      <c r="FW148" s="20">
        <v>0</v>
      </c>
      <c r="FX148" s="20">
        <v>0</v>
      </c>
      <c r="FY148" s="20">
        <v>0</v>
      </c>
      <c r="FZ148" s="20">
        <v>0</v>
      </c>
      <c r="GA148" s="20">
        <v>0</v>
      </c>
      <c r="GB148" s="20">
        <v>0</v>
      </c>
      <c r="GC148" s="20">
        <v>2</v>
      </c>
      <c r="GD148" s="20">
        <v>0</v>
      </c>
      <c r="GE148" s="20">
        <v>0</v>
      </c>
      <c r="GF148" s="20">
        <v>0</v>
      </c>
      <c r="GG148" s="20">
        <v>0</v>
      </c>
      <c r="GH148" s="20">
        <v>0</v>
      </c>
      <c r="GI148" s="20">
        <v>0</v>
      </c>
      <c r="GJ148" s="20">
        <v>0</v>
      </c>
      <c r="GK148" s="20">
        <v>0</v>
      </c>
      <c r="GL148" s="20">
        <v>0</v>
      </c>
      <c r="GM148" s="20">
        <v>2</v>
      </c>
      <c r="GN148" s="20">
        <v>0</v>
      </c>
      <c r="GO148" s="20">
        <v>0</v>
      </c>
      <c r="GP148" s="20">
        <v>0</v>
      </c>
      <c r="GQ148" s="20">
        <v>0</v>
      </c>
      <c r="GR148" s="20">
        <v>0</v>
      </c>
      <c r="GS148" s="20">
        <v>0</v>
      </c>
      <c r="GT148" s="20">
        <v>0</v>
      </c>
      <c r="GU148" s="20">
        <v>0</v>
      </c>
      <c r="GV148" s="20"/>
      <c r="GW148" s="20"/>
      <c r="GX148" s="20"/>
      <c r="GY148" s="21"/>
      <c r="GZ148" s="21">
        <v>0</v>
      </c>
      <c r="HA148" s="21">
        <v>1</v>
      </c>
      <c r="HB148" s="21">
        <v>2</v>
      </c>
      <c r="HC148" s="21">
        <v>3</v>
      </c>
      <c r="HD148" s="21">
        <v>4</v>
      </c>
      <c r="HE148" s="21">
        <v>5</v>
      </c>
      <c r="HF148" s="21">
        <v>6</v>
      </c>
      <c r="HG148" s="21">
        <v>7</v>
      </c>
      <c r="HH148" s="21">
        <v>8</v>
      </c>
      <c r="HI148" s="21">
        <v>9</v>
      </c>
      <c r="HJ148" s="21">
        <v>10</v>
      </c>
      <c r="HK148" s="21">
        <v>11</v>
      </c>
      <c r="HL148" s="21">
        <v>12</v>
      </c>
      <c r="HM148" s="21">
        <v>13</v>
      </c>
      <c r="HN148" s="21">
        <v>14</v>
      </c>
      <c r="HO148" s="21">
        <v>15</v>
      </c>
      <c r="HP148" s="21">
        <v>16</v>
      </c>
      <c r="HQ148" s="21">
        <v>17</v>
      </c>
      <c r="HR148" s="21">
        <v>18</v>
      </c>
      <c r="HS148" s="21">
        <v>19</v>
      </c>
      <c r="HT148" s="21">
        <v>20</v>
      </c>
      <c r="HU148" s="21"/>
      <c r="HV148" s="186"/>
      <c r="HW148" s="21">
        <v>0</v>
      </c>
      <c r="HX148" s="21">
        <v>1</v>
      </c>
      <c r="HY148" s="21">
        <v>2</v>
      </c>
      <c r="HZ148" s="21">
        <v>3</v>
      </c>
      <c r="IA148" s="21">
        <v>4</v>
      </c>
      <c r="IB148" s="21">
        <v>5</v>
      </c>
      <c r="IC148" s="21">
        <v>6</v>
      </c>
      <c r="ID148" s="21">
        <v>7</v>
      </c>
      <c r="IE148" s="21">
        <v>8</v>
      </c>
      <c r="IF148" s="21">
        <v>9</v>
      </c>
      <c r="IG148" s="21">
        <v>10</v>
      </c>
      <c r="IH148" s="21">
        <v>11</v>
      </c>
      <c r="II148" s="21">
        <v>12</v>
      </c>
      <c r="IJ148" s="21">
        <v>13</v>
      </c>
      <c r="IK148" s="21">
        <v>14</v>
      </c>
      <c r="IL148" s="21">
        <v>15</v>
      </c>
      <c r="IM148" s="21">
        <v>16</v>
      </c>
      <c r="IN148" s="21">
        <v>17</v>
      </c>
      <c r="IO148" s="21">
        <v>18</v>
      </c>
      <c r="IP148" s="21">
        <v>19</v>
      </c>
      <c r="IQ148" s="21">
        <v>20</v>
      </c>
      <c r="IR148" s="21"/>
      <c r="IS148" s="21"/>
      <c r="IT148" s="21">
        <f t="shared" si="54"/>
        <v>0</v>
      </c>
      <c r="IU148" s="21">
        <f t="shared" si="54"/>
        <v>2</v>
      </c>
      <c r="IV148" s="21">
        <f t="shared" si="54"/>
        <v>4</v>
      </c>
      <c r="IW148" s="21">
        <f t="shared" si="54"/>
        <v>6</v>
      </c>
      <c r="IX148" s="21">
        <f t="shared" si="54"/>
        <v>8</v>
      </c>
      <c r="IY148" s="21">
        <f t="shared" si="54"/>
        <v>10</v>
      </c>
      <c r="IZ148" s="21">
        <f t="shared" si="54"/>
        <v>12</v>
      </c>
      <c r="JA148" s="21">
        <f t="shared" si="54"/>
        <v>14</v>
      </c>
      <c r="JB148" s="21">
        <f t="shared" si="54"/>
        <v>16</v>
      </c>
      <c r="JC148" s="21">
        <f t="shared" si="54"/>
        <v>18</v>
      </c>
      <c r="JD148" s="21">
        <f t="shared" si="54"/>
        <v>20</v>
      </c>
      <c r="JE148" s="21">
        <f t="shared" si="54"/>
        <v>22</v>
      </c>
      <c r="JF148" s="21">
        <f t="shared" si="54"/>
        <v>24</v>
      </c>
      <c r="JG148" s="21">
        <f t="shared" si="54"/>
        <v>26</v>
      </c>
      <c r="JH148" s="21">
        <f t="shared" si="54"/>
        <v>28</v>
      </c>
      <c r="JI148" s="21">
        <f t="shared" si="53"/>
        <v>30</v>
      </c>
      <c r="JJ148" s="21">
        <f t="shared" si="40"/>
        <v>32</v>
      </c>
      <c r="JK148" s="21">
        <f t="shared" si="40"/>
        <v>34</v>
      </c>
      <c r="JL148" s="21">
        <f t="shared" si="40"/>
        <v>36</v>
      </c>
      <c r="JM148" s="21">
        <f t="shared" si="40"/>
        <v>38</v>
      </c>
      <c r="JN148" s="21">
        <f t="shared" si="40"/>
        <v>40</v>
      </c>
      <c r="JO148" s="21"/>
      <c r="JP148" s="21"/>
      <c r="JQ148" s="21"/>
      <c r="JR148" s="21"/>
      <c r="JS148" s="21"/>
      <c r="JT148" s="21"/>
      <c r="JU148" s="21"/>
      <c r="JV148" s="21"/>
      <c r="JW148" s="21"/>
      <c r="JX148" s="21"/>
      <c r="JY148" s="21"/>
      <c r="JZ148" s="21"/>
      <c r="KA148" s="21"/>
      <c r="KB148" s="21"/>
      <c r="KC148" s="21"/>
      <c r="KD148" s="21"/>
      <c r="KE148" s="21"/>
      <c r="KF148" s="21"/>
      <c r="KG148" s="21"/>
      <c r="KH148" s="21"/>
    </row>
    <row r="149" spans="1:294" x14ac:dyDescent="0.25">
      <c r="A149" s="9"/>
      <c r="B149" s="9"/>
      <c r="C149" s="9"/>
      <c r="D149" s="9"/>
      <c r="E149" s="9"/>
      <c r="F149" s="9"/>
      <c r="G149" s="9"/>
      <c r="H149" s="9"/>
      <c r="I149" s="9"/>
      <c r="J149" s="9"/>
      <c r="K149" s="9"/>
      <c r="L149" s="9"/>
      <c r="M149" s="9"/>
      <c r="N149" s="9"/>
      <c r="O149" s="9"/>
      <c r="P149" s="9"/>
      <c r="Q149" s="9"/>
      <c r="R149" s="9"/>
      <c r="S149" s="9"/>
      <c r="T149" s="34">
        <f>SUM(T130:T148)</f>
        <v>0</v>
      </c>
      <c r="U149" s="34">
        <f>SUM(U130:U148)</f>
        <v>0</v>
      </c>
      <c r="V149" s="20"/>
      <c r="W149" s="25">
        <f t="shared" si="58"/>
        <v>0</v>
      </c>
      <c r="X149" s="20">
        <f t="shared" si="59"/>
        <v>0</v>
      </c>
      <c r="Y149" s="20"/>
      <c r="Z149" s="20">
        <f>(INDEX(($EW$107:$GU$115,$EW$119:$GU$127,$EW$132:$GU$140,$EW$144:$GU$152),MATCH($L$160,$EV$107:$EV$115,0),MATCH(A157,$EW$106:$GU$106,0),MATCH($G$152,$X$128:$X$131,0)))*C157</f>
        <v>0</v>
      </c>
      <c r="AA149" s="20">
        <f>(INDEX(($EW$107:$GU$115,$EW$119:$GU$127,$EW$132:$GU$140,$EW$144:$GU$152),MATCH($L$152,$EV$107:$EV$115,0),MATCH(A157,$EW$106:$GU$106,0),MATCH($G$152,$X$128:$X$131,0)))*C157</f>
        <v>0</v>
      </c>
      <c r="AB149" s="20">
        <f>(INDEX(($EW$107:$GU$115,$EW$119:$GU$127,$EW$132:$GU$140,$EW$144:$GU$152),MATCH($L$153,$EV$107:$EV$115,0),MATCH(A157,$EW$106:$GU$106,0),MATCH($G$152,$X$128:$X$131,0)))*C157</f>
        <v>0</v>
      </c>
      <c r="AC149" s="20">
        <f>(INDEX(($EW$107:$GU$115,$EW$119:$GU$127,$EW$132:$GU$140,$EW$144:$GU$152),MATCH($L$154,$EV$107:$EV$115,0),MATCH(A157,$EW$106:$GU$106,0),MATCH($G$152,$X$128:$X$131,0)))*C157</f>
        <v>0</v>
      </c>
      <c r="AD149" s="20">
        <f>(INDEX(($EW$107:$GU$115,$EW$119:$GU$127,$EW$132:$GU$140,$EW$144:$GU$152),MATCH($L$155,$EV$107:$EV$115,0),MATCH(A157,$EW$106:$GU$106,0),MATCH($G$152,$X$128:$X$131,0)))*C157</f>
        <v>0</v>
      </c>
      <c r="AE149" s="20">
        <f>(INDEX(($EW$107:$GU$115,$EW$119:$GU$127,$EW$132:$GU$140,$EW$144:$GU$152),MATCH($L$156,$EV$107:$EV$115,0),MATCH(A157,$EW$106:$GU$106,0),MATCH($G$152,$X$128:$X$131,0)))*C157</f>
        <v>0</v>
      </c>
      <c r="AF149" s="20">
        <f>(INDEX(($EW$107:$GU$115,$EW$119:$GU$127,$EW$132:$GU$140,$EW$144:$GU$152),MATCH($L$157,$EV$107:$EV$115,0),MATCH(A157,$EW$106:$GU$106,0),MATCH($G$152,$X$128:$X$131,0)))*C157</f>
        <v>0</v>
      </c>
      <c r="AG149" s="20">
        <f>(INDEX(($EW$107:$GU$115,$EW$119:$GU$127,$EW$132:$GU$140,$EW$144:$GU$152),MATCH($L$158,$EV$107:$EV$115,0),MATCH(A157,$EW$106:$GU$106,0),MATCH($G$152,$X$128:$X$131,0)))*C157</f>
        <v>0</v>
      </c>
      <c r="AH149" s="20">
        <f>(INDEX(($EW$107:$GU$115,$EW$119:$GU$127,$EW$132:$GU$140,$EW$144:$GU$152),MATCH($L$159,$EV$107:$EV$115,0),MATCH(A157,$EW$106:$GU$106,0),MATCH($G$152,$X$128:$X$131,0)))*C157</f>
        <v>0</v>
      </c>
      <c r="AI149" s="20"/>
      <c r="AJ149" s="20"/>
      <c r="AK149" s="20"/>
      <c r="AL149" s="20" t="s">
        <v>112</v>
      </c>
      <c r="AM149" s="20"/>
      <c r="AN149" s="20"/>
      <c r="AO149" s="20"/>
      <c r="AP149" s="20"/>
      <c r="AQ149" s="20"/>
      <c r="AR149" s="20"/>
      <c r="AS149" s="20"/>
      <c r="AT149" s="20"/>
      <c r="AU149" s="20"/>
      <c r="AV149" s="20"/>
      <c r="AW149" s="20"/>
      <c r="AX149" s="20"/>
      <c r="AY149" s="20"/>
      <c r="AZ149" s="20"/>
      <c r="BA149" s="20"/>
      <c r="BB149" s="20"/>
      <c r="BC149" s="20"/>
      <c r="BD149" s="20"/>
      <c r="BE149" s="20"/>
      <c r="BF149" s="20"/>
      <c r="BG149" s="20"/>
      <c r="BH149" s="20"/>
      <c r="BI149" s="20"/>
      <c r="BJ149" s="20"/>
      <c r="BK149" s="20"/>
      <c r="BL149" s="20"/>
      <c r="BM149" s="20"/>
      <c r="BN149" s="20"/>
      <c r="BO149" s="20"/>
      <c r="BP149" s="20"/>
      <c r="BQ149" s="20"/>
      <c r="BR149" s="20"/>
      <c r="BS149" s="20"/>
      <c r="BT149" s="20"/>
      <c r="BU149" s="20"/>
      <c r="BV149" s="20"/>
      <c r="BW149" s="20"/>
      <c r="BX149" s="20"/>
      <c r="BY149" s="20"/>
      <c r="BZ149" s="20"/>
      <c r="CA149" s="20"/>
      <c r="CB149" s="20"/>
      <c r="CC149" s="20"/>
      <c r="CD149" s="20"/>
      <c r="CE149" s="20"/>
      <c r="CF149" s="20"/>
      <c r="CG149" s="20"/>
      <c r="CH149" s="20"/>
      <c r="CI149" s="20"/>
      <c r="CJ149" s="20"/>
      <c r="CK149" s="20"/>
      <c r="CL149" s="20"/>
      <c r="CM149" s="20"/>
      <c r="CN149" s="20"/>
      <c r="CO149" s="20"/>
      <c r="CP149" s="20"/>
      <c r="CQ149" s="20"/>
      <c r="CR149" s="20"/>
      <c r="CS149" s="20"/>
      <c r="CT149" s="20"/>
      <c r="CU149" s="20"/>
      <c r="CV149" s="20"/>
      <c r="CW149" s="20"/>
      <c r="CX149" s="20"/>
      <c r="CY149" s="20"/>
      <c r="CZ149" s="20"/>
      <c r="DA149" s="20"/>
      <c r="DB149" s="20"/>
      <c r="DC149" s="20"/>
      <c r="DD149" s="20"/>
      <c r="DE149" s="20"/>
      <c r="DF149" s="20"/>
      <c r="DG149" s="20"/>
      <c r="DH149" s="20"/>
      <c r="DI149" s="20"/>
      <c r="DJ149" s="20"/>
      <c r="DK149" s="20"/>
      <c r="DL149" s="20"/>
      <c r="DM149" s="20"/>
      <c r="DN149" s="20"/>
      <c r="DO149" s="20"/>
      <c r="DP149" s="20"/>
      <c r="DQ149" s="20"/>
      <c r="DR149" s="20"/>
      <c r="DS149" s="20"/>
      <c r="DT149" s="20"/>
      <c r="DU149" s="20"/>
      <c r="DV149" s="20"/>
      <c r="DW149" s="20"/>
      <c r="DX149" s="20"/>
      <c r="DY149" s="20"/>
      <c r="DZ149" s="54">
        <v>46</v>
      </c>
      <c r="EA149" s="54"/>
      <c r="EB149" s="54">
        <v>2</v>
      </c>
      <c r="EC149" s="20"/>
      <c r="ED149" s="20"/>
      <c r="EE149" s="20"/>
      <c r="EF149" s="20"/>
      <c r="EG149" s="20"/>
      <c r="EH149" s="20"/>
      <c r="EI149" s="20"/>
      <c r="EJ149" s="20"/>
      <c r="EK149" s="20"/>
      <c r="EL149" s="20"/>
      <c r="EM149" s="20"/>
      <c r="EN149" s="20"/>
      <c r="EO149" s="20"/>
      <c r="EP149" s="20"/>
      <c r="EQ149" s="20"/>
      <c r="ER149" s="20"/>
      <c r="ES149" s="20"/>
      <c r="ET149" s="20"/>
      <c r="EU149" s="20"/>
      <c r="EV149" s="20" t="s">
        <v>10</v>
      </c>
      <c r="EW149" s="20">
        <v>0</v>
      </c>
      <c r="EX149" s="20">
        <v>0</v>
      </c>
      <c r="EY149" s="20">
        <v>0</v>
      </c>
      <c r="EZ149" s="20">
        <v>0</v>
      </c>
      <c r="FA149" s="20">
        <v>0</v>
      </c>
      <c r="FB149" s="20">
        <v>4</v>
      </c>
      <c r="FC149" s="20">
        <v>0</v>
      </c>
      <c r="FD149" s="20">
        <v>0</v>
      </c>
      <c r="FE149" s="20">
        <v>4</v>
      </c>
      <c r="FF149" s="20">
        <v>0</v>
      </c>
      <c r="FG149" s="20">
        <v>0</v>
      </c>
      <c r="FH149" s="20">
        <v>4</v>
      </c>
      <c r="FI149" s="20">
        <v>2</v>
      </c>
      <c r="FJ149" s="20">
        <v>0</v>
      </c>
      <c r="FK149" s="20">
        <v>4</v>
      </c>
      <c r="FL149" s="20">
        <v>0</v>
      </c>
      <c r="FM149" s="20">
        <v>8</v>
      </c>
      <c r="FN149" s="20">
        <v>6</v>
      </c>
      <c r="FO149" s="20">
        <v>2</v>
      </c>
      <c r="FP149" s="20">
        <v>8</v>
      </c>
      <c r="FQ149" s="20">
        <v>6</v>
      </c>
      <c r="FR149" s="20">
        <v>2</v>
      </c>
      <c r="FS149" s="20">
        <v>0</v>
      </c>
      <c r="FT149" s="20">
        <v>4</v>
      </c>
      <c r="FU149" s="20">
        <v>0</v>
      </c>
      <c r="FV149" s="20">
        <v>0</v>
      </c>
      <c r="FW149" s="20">
        <v>4</v>
      </c>
      <c r="FX149" s="20">
        <v>4</v>
      </c>
      <c r="FY149" s="20">
        <v>0</v>
      </c>
      <c r="FZ149" s="20">
        <v>4</v>
      </c>
      <c r="GA149" s="20">
        <v>2</v>
      </c>
      <c r="GB149" s="20">
        <v>0</v>
      </c>
      <c r="GC149" s="20">
        <v>2</v>
      </c>
      <c r="GD149" s="20">
        <v>2</v>
      </c>
      <c r="GE149" s="20">
        <v>0</v>
      </c>
      <c r="GF149" s="20">
        <v>8</v>
      </c>
      <c r="GG149" s="20">
        <v>4</v>
      </c>
      <c r="GH149" s="20">
        <v>2</v>
      </c>
      <c r="GI149" s="20">
        <v>8</v>
      </c>
      <c r="GJ149" s="20">
        <v>4</v>
      </c>
      <c r="GK149" s="20">
        <v>0</v>
      </c>
      <c r="GL149" s="20">
        <v>0</v>
      </c>
      <c r="GM149" s="20">
        <v>2</v>
      </c>
      <c r="GN149" s="20">
        <v>0</v>
      </c>
      <c r="GO149" s="20">
        <v>0</v>
      </c>
      <c r="GP149" s="20">
        <v>6</v>
      </c>
      <c r="GQ149" s="20">
        <v>2</v>
      </c>
      <c r="GR149" s="20">
        <v>0</v>
      </c>
      <c r="GS149" s="20">
        <v>0</v>
      </c>
      <c r="GT149" s="20">
        <v>2</v>
      </c>
      <c r="GU149" s="20">
        <v>0</v>
      </c>
      <c r="GV149" s="20"/>
      <c r="GW149" s="20"/>
      <c r="GX149" s="20"/>
      <c r="GY149" s="21" t="s">
        <v>710</v>
      </c>
      <c r="GZ149" s="21">
        <v>0</v>
      </c>
      <c r="HA149" s="21">
        <v>2</v>
      </c>
      <c r="HB149" s="21">
        <v>0</v>
      </c>
      <c r="HC149" s="21">
        <v>4</v>
      </c>
      <c r="HD149" s="21">
        <v>0</v>
      </c>
      <c r="HE149" s="21">
        <v>4</v>
      </c>
      <c r="HF149" s="21">
        <v>2</v>
      </c>
      <c r="HG149" s="21">
        <v>0</v>
      </c>
      <c r="HH149" s="21">
        <v>2</v>
      </c>
      <c r="HI149" s="21">
        <v>0</v>
      </c>
      <c r="HJ149" s="21">
        <v>4</v>
      </c>
      <c r="HK149" s="21">
        <v>2</v>
      </c>
      <c r="HL149" s="21">
        <v>0</v>
      </c>
      <c r="HM149" s="21">
        <v>2</v>
      </c>
      <c r="HN149" s="21">
        <v>0</v>
      </c>
      <c r="HO149" s="21">
        <v>4</v>
      </c>
      <c r="HP149" s="21">
        <v>2</v>
      </c>
      <c r="HQ149" s="21">
        <v>4</v>
      </c>
      <c r="HR149" s="21">
        <v>2</v>
      </c>
      <c r="HS149" s="21">
        <v>0</v>
      </c>
      <c r="HT149" s="21">
        <v>4</v>
      </c>
      <c r="HU149" s="21"/>
      <c r="HV149" s="186" t="s">
        <v>710</v>
      </c>
      <c r="HW149" s="21">
        <v>0</v>
      </c>
      <c r="HX149" s="21">
        <v>2</v>
      </c>
      <c r="HY149" s="21">
        <v>4</v>
      </c>
      <c r="HZ149" s="21">
        <v>0</v>
      </c>
      <c r="IA149" s="21">
        <v>4</v>
      </c>
      <c r="IB149" s="21">
        <v>0</v>
      </c>
      <c r="IC149" s="21">
        <v>2</v>
      </c>
      <c r="ID149" s="21">
        <v>4</v>
      </c>
      <c r="IE149" s="21">
        <v>0</v>
      </c>
      <c r="IF149" s="21">
        <v>2</v>
      </c>
      <c r="IG149" s="21">
        <v>0</v>
      </c>
      <c r="IH149" s="21">
        <v>2</v>
      </c>
      <c r="II149" s="21">
        <v>4</v>
      </c>
      <c r="IJ149" s="21">
        <v>0</v>
      </c>
      <c r="IK149" s="21">
        <v>2</v>
      </c>
      <c r="IL149" s="21">
        <v>4</v>
      </c>
      <c r="IM149" s="21">
        <v>2</v>
      </c>
      <c r="IN149" s="21">
        <v>4</v>
      </c>
      <c r="IO149" s="21">
        <v>0</v>
      </c>
      <c r="IP149" s="21">
        <v>2</v>
      </c>
      <c r="IQ149" s="21">
        <v>4</v>
      </c>
      <c r="IR149" s="21"/>
      <c r="IS149" s="21" t="s">
        <v>710</v>
      </c>
      <c r="IT149" s="21">
        <f t="shared" si="54"/>
        <v>0</v>
      </c>
      <c r="IU149" s="21">
        <f t="shared" si="54"/>
        <v>4</v>
      </c>
      <c r="IV149" s="21">
        <f t="shared" si="54"/>
        <v>8</v>
      </c>
      <c r="IW149" s="21">
        <f t="shared" si="54"/>
        <v>0</v>
      </c>
      <c r="IX149" s="21">
        <f t="shared" si="54"/>
        <v>8</v>
      </c>
      <c r="IY149" s="21">
        <f t="shared" si="54"/>
        <v>0</v>
      </c>
      <c r="IZ149" s="21">
        <f t="shared" si="54"/>
        <v>4</v>
      </c>
      <c r="JA149" s="21">
        <f t="shared" si="54"/>
        <v>8</v>
      </c>
      <c r="JB149" s="21">
        <f t="shared" si="54"/>
        <v>0</v>
      </c>
      <c r="JC149" s="21">
        <f t="shared" si="54"/>
        <v>4</v>
      </c>
      <c r="JD149" s="21">
        <f t="shared" si="54"/>
        <v>0</v>
      </c>
      <c r="JE149" s="21">
        <f t="shared" si="54"/>
        <v>4</v>
      </c>
      <c r="JF149" s="21">
        <f t="shared" si="54"/>
        <v>8</v>
      </c>
      <c r="JG149" s="21">
        <f t="shared" si="54"/>
        <v>0</v>
      </c>
      <c r="JH149" s="21">
        <f t="shared" si="54"/>
        <v>4</v>
      </c>
      <c r="JI149" s="21">
        <f t="shared" si="53"/>
        <v>8</v>
      </c>
      <c r="JJ149" s="21">
        <f t="shared" si="40"/>
        <v>4</v>
      </c>
      <c r="JK149" s="21">
        <f t="shared" si="40"/>
        <v>8</v>
      </c>
      <c r="JL149" s="21">
        <f t="shared" si="40"/>
        <v>0</v>
      </c>
      <c r="JM149" s="21">
        <f t="shared" si="40"/>
        <v>4</v>
      </c>
      <c r="JN149" s="21">
        <f t="shared" si="40"/>
        <v>8</v>
      </c>
      <c r="JO149" s="21"/>
      <c r="JP149" s="21"/>
      <c r="JQ149" s="21"/>
      <c r="JR149" s="21"/>
      <c r="JS149" s="21"/>
      <c r="JT149" s="21"/>
      <c r="JU149" s="21"/>
      <c r="JV149" s="21"/>
      <c r="JW149" s="21"/>
      <c r="JX149" s="21"/>
      <c r="JY149" s="21"/>
      <c r="JZ149" s="21"/>
      <c r="KA149" s="21"/>
      <c r="KB149" s="21"/>
      <c r="KC149" s="21"/>
      <c r="KD149" s="21"/>
      <c r="KE149" s="21"/>
      <c r="KF149" s="21"/>
      <c r="KG149" s="21"/>
      <c r="KH149" s="21"/>
    </row>
    <row r="150" spans="1:294" ht="51.75" x14ac:dyDescent="0.25">
      <c r="A150" s="3" t="s">
        <v>120</v>
      </c>
      <c r="B150" s="3"/>
      <c r="C150" s="3" t="s">
        <v>121</v>
      </c>
      <c r="D150" s="9"/>
      <c r="E150" s="9"/>
      <c r="F150" s="9"/>
      <c r="G150" s="9"/>
      <c r="H150" s="9"/>
      <c r="I150" s="9"/>
      <c r="J150" s="9"/>
      <c r="K150" s="9"/>
      <c r="L150" s="360" t="str">
        <f>IF(E154="kotwiona","KONSTRUKCJA DP-DTVKN",IF(E154="balastowa","KONSTRUKCJA DP-DTVBN"))</f>
        <v>KONSTRUKCJA DP-DTVBN</v>
      </c>
      <c r="M150" s="360"/>
      <c r="N150" s="360"/>
      <c r="O150" s="360"/>
      <c r="P150" s="360"/>
      <c r="Q150" s="360"/>
      <c r="R150" s="360"/>
      <c r="S150" s="360"/>
      <c r="T150" s="360"/>
      <c r="U150" s="360"/>
      <c r="V150" s="20"/>
      <c r="W150" s="25">
        <f t="shared" si="58"/>
        <v>0</v>
      </c>
      <c r="X150" s="20">
        <f t="shared" si="59"/>
        <v>0</v>
      </c>
      <c r="Y150" s="20"/>
      <c r="Z150" s="20">
        <f>(INDEX(($EW$107:$GU$115,$EW$119:$GU$127,$EW$132:$GU$140,$EW$144:$GU$152),MATCH($L$160,$EV$107:$EV$115,0),MATCH(A158,$EW$106:$GU$106,0),MATCH($G$152,$X$128:$X$131,0)))*C158</f>
        <v>0</v>
      </c>
      <c r="AA150" s="20">
        <f>(INDEX(($EW$107:$GU$115,$EW$119:$GU$127,$EW$132:$GU$140,$EW$144:$GU$152),MATCH($L$152,$EV$107:$EV$115,0),MATCH(A158,$EW$106:$GU$106,0),MATCH($G$152,$X$128:$X$131,0)))*C158</f>
        <v>0</v>
      </c>
      <c r="AB150" s="20">
        <f>(INDEX(($EW$107:$GU$115,$EW$119:$GU$127,$EW$132:$GU$140,$EW$144:$GU$152),MATCH($L$153,$EV$107:$EV$115,0),MATCH(A158,$EW$106:$GU$106,0),MATCH($G$152,$X$128:$X$131,0)))*C158</f>
        <v>0</v>
      </c>
      <c r="AC150" s="20">
        <f>(INDEX(($EW$107:$GU$115,$EW$119:$GU$127,$EW$132:$GU$140,$EW$144:$GU$152),MATCH($L$154,$EV$107:$EV$115,0),MATCH(A158,$EW$106:$GU$106,0),MATCH($G$152,$X$128:$X$131,0)))*C158</f>
        <v>0</v>
      </c>
      <c r="AD150" s="20">
        <f>(INDEX(($EW$107:$GU$115,$EW$119:$GU$127,$EW$132:$GU$140,$EW$144:$GU$152),MATCH($L$155,$EV$107:$EV$115,0),MATCH(A158,$EW$106:$GU$106,0),MATCH($G$152,$X$128:$X$131,0)))*C158</f>
        <v>0</v>
      </c>
      <c r="AE150" s="20">
        <f>(INDEX(($EW$107:$GU$115,$EW$119:$GU$127,$EW$132:$GU$140,$EW$144:$GU$152),MATCH($L$156,$EV$107:$EV$115,0),MATCH(A158,$EW$106:$GU$106,0),MATCH($G$152,$X$128:$X$131,0)))*C158</f>
        <v>0</v>
      </c>
      <c r="AF150" s="20">
        <f>(INDEX(($EW$107:$GU$115,$EW$119:$GU$127,$EW$132:$GU$140,$EW$144:$GU$152),MATCH($L$157,$EV$107:$EV$115,0),MATCH(A158,$EW$106:$GU$106,0),MATCH($G$152,$X$128:$X$131,0)))*C158</f>
        <v>0</v>
      </c>
      <c r="AG150" s="20">
        <f>(INDEX(($EW$107:$GU$115,$EW$119:$GU$127,$EW$132:$GU$140,$EW$144:$GU$152),MATCH($L$158,$EV$107:$EV$115,0),MATCH(A158,$EW$106:$GU$106,0),MATCH($G$152,$X$128:$X$131,0)))*C158</f>
        <v>0</v>
      </c>
      <c r="AH150" s="20">
        <f>(INDEX(($EW$107:$GU$115,$EW$119:$GU$127,$EW$132:$GU$140,$EW$144:$GU$152),MATCH($L$159,$EV$107:$EV$115,0),MATCH(A158,$EW$106:$GU$106,0),MATCH($G$152,$X$128:$X$131,0)))*C158</f>
        <v>0</v>
      </c>
      <c r="AI150" s="20"/>
      <c r="AJ150" s="20"/>
      <c r="AK150" s="20"/>
      <c r="AL150" s="20"/>
      <c r="AM150" s="20">
        <v>0</v>
      </c>
      <c r="AN150" s="20">
        <v>1</v>
      </c>
      <c r="AO150" s="20">
        <v>2</v>
      </c>
      <c r="AP150" s="20">
        <v>3</v>
      </c>
      <c r="AQ150" s="20">
        <v>4</v>
      </c>
      <c r="AR150" s="20">
        <v>5</v>
      </c>
      <c r="AS150" s="20">
        <v>6</v>
      </c>
      <c r="AT150" s="20">
        <v>7</v>
      </c>
      <c r="AU150" s="20">
        <v>8</v>
      </c>
      <c r="AV150" s="20">
        <v>9</v>
      </c>
      <c r="AW150" s="20">
        <v>10</v>
      </c>
      <c r="AX150" s="20">
        <v>11</v>
      </c>
      <c r="AY150" s="20">
        <v>12</v>
      </c>
      <c r="AZ150" s="20">
        <v>13</v>
      </c>
      <c r="BA150" s="20">
        <v>14</v>
      </c>
      <c r="BB150" s="20">
        <v>15</v>
      </c>
      <c r="BC150" s="20">
        <v>16</v>
      </c>
      <c r="BD150" s="20">
        <v>17</v>
      </c>
      <c r="BE150" s="20">
        <v>18</v>
      </c>
      <c r="BF150" s="20">
        <v>19</v>
      </c>
      <c r="BG150" s="20">
        <v>20</v>
      </c>
      <c r="BH150" s="20">
        <v>21</v>
      </c>
      <c r="BI150" s="20">
        <v>22</v>
      </c>
      <c r="BJ150" s="20">
        <v>23</v>
      </c>
      <c r="BK150" s="20">
        <v>24</v>
      </c>
      <c r="BL150" s="20">
        <v>25</v>
      </c>
      <c r="BM150" s="20">
        <v>26</v>
      </c>
      <c r="BN150" s="20">
        <v>27</v>
      </c>
      <c r="BO150" s="20">
        <v>28</v>
      </c>
      <c r="BP150" s="20">
        <v>29</v>
      </c>
      <c r="BQ150" s="20">
        <v>30</v>
      </c>
      <c r="BR150" s="20">
        <v>31</v>
      </c>
      <c r="BS150" s="20">
        <v>32</v>
      </c>
      <c r="BT150" s="20">
        <v>33</v>
      </c>
      <c r="BU150" s="20">
        <v>34</v>
      </c>
      <c r="BV150" s="20">
        <v>35</v>
      </c>
      <c r="BW150" s="20">
        <v>36</v>
      </c>
      <c r="BX150" s="20">
        <v>37</v>
      </c>
      <c r="BY150" s="20">
        <v>38</v>
      </c>
      <c r="BZ150" s="20">
        <v>39</v>
      </c>
      <c r="CA150" s="20">
        <v>40</v>
      </c>
      <c r="CB150" s="20">
        <v>41</v>
      </c>
      <c r="CC150" s="20">
        <v>42</v>
      </c>
      <c r="CD150" s="20">
        <v>43</v>
      </c>
      <c r="CE150" s="20">
        <v>44</v>
      </c>
      <c r="CF150" s="20">
        <v>45</v>
      </c>
      <c r="CG150" s="20">
        <v>46</v>
      </c>
      <c r="CH150" s="20">
        <v>47</v>
      </c>
      <c r="CI150" s="20">
        <v>48</v>
      </c>
      <c r="CJ150" s="20">
        <v>49</v>
      </c>
      <c r="CK150" s="20">
        <v>50</v>
      </c>
      <c r="CL150" s="20"/>
      <c r="CM150" s="20"/>
      <c r="CN150" s="20"/>
      <c r="CO150" s="20"/>
      <c r="CP150" s="20"/>
      <c r="CQ150" s="20"/>
      <c r="CR150" s="20"/>
      <c r="CS150" s="20"/>
      <c r="CT150" s="20"/>
      <c r="CU150" s="20"/>
      <c r="CV150" s="20"/>
      <c r="CW150" s="20"/>
      <c r="CX150" s="20"/>
      <c r="CY150" s="20"/>
      <c r="CZ150" s="20"/>
      <c r="DA150" s="20"/>
      <c r="DB150" s="20"/>
      <c r="DC150" s="20"/>
      <c r="DD150" s="20"/>
      <c r="DE150" s="20"/>
      <c r="DF150" s="20"/>
      <c r="DG150" s="20"/>
      <c r="DH150" s="20"/>
      <c r="DI150" s="20"/>
      <c r="DJ150" s="20"/>
      <c r="DK150" s="20"/>
      <c r="DL150" s="20"/>
      <c r="DM150" s="20"/>
      <c r="DN150" s="20"/>
      <c r="DO150" s="20"/>
      <c r="DP150" s="20"/>
      <c r="DQ150" s="20"/>
      <c r="DR150" s="20"/>
      <c r="DS150" s="20"/>
      <c r="DT150" s="20"/>
      <c r="DU150" s="20"/>
      <c r="DV150" s="20"/>
      <c r="DW150" s="20"/>
      <c r="DX150" s="20"/>
      <c r="DY150" s="20"/>
      <c r="DZ150" s="54">
        <v>47</v>
      </c>
      <c r="EA150" s="54"/>
      <c r="EB150" s="54" t="s">
        <v>725</v>
      </c>
      <c r="EC150" s="20"/>
      <c r="ED150" s="20"/>
      <c r="EE150" s="20"/>
      <c r="EF150" s="20"/>
      <c r="EG150" s="20"/>
      <c r="EH150" s="20"/>
      <c r="EI150" s="20"/>
      <c r="EJ150" s="20"/>
      <c r="EK150" s="20"/>
      <c r="EL150" s="20"/>
      <c r="EM150" s="20"/>
      <c r="EN150" s="20"/>
      <c r="EO150" s="20"/>
      <c r="EP150" s="20"/>
      <c r="EQ150" s="20"/>
      <c r="ER150" s="20"/>
      <c r="ES150" s="20"/>
      <c r="ET150" s="20"/>
      <c r="EU150" s="20"/>
      <c r="EV150" s="20" t="s">
        <v>212</v>
      </c>
      <c r="EW150" s="20">
        <v>0</v>
      </c>
      <c r="EX150" s="20">
        <v>0</v>
      </c>
      <c r="EY150" s="20">
        <v>0</v>
      </c>
      <c r="EZ150" s="20">
        <v>0</v>
      </c>
      <c r="FA150" s="20">
        <v>0</v>
      </c>
      <c r="FB150" s="20">
        <v>0</v>
      </c>
      <c r="FC150" s="20">
        <v>2</v>
      </c>
      <c r="FD150" s="20">
        <v>0</v>
      </c>
      <c r="FE150" s="20">
        <v>2</v>
      </c>
      <c r="FF150" s="20">
        <v>4</v>
      </c>
      <c r="FG150" s="20">
        <v>2</v>
      </c>
      <c r="FH150" s="20">
        <v>4</v>
      </c>
      <c r="FI150" s="20">
        <v>0</v>
      </c>
      <c r="FJ150" s="20">
        <v>4</v>
      </c>
      <c r="FK150" s="20">
        <v>6</v>
      </c>
      <c r="FL150" s="20">
        <v>8</v>
      </c>
      <c r="FM150" s="20">
        <v>4</v>
      </c>
      <c r="FN150" s="20">
        <v>0</v>
      </c>
      <c r="FO150" s="20">
        <v>2</v>
      </c>
      <c r="FP150" s="20">
        <v>6</v>
      </c>
      <c r="FQ150" s="20">
        <v>2</v>
      </c>
      <c r="FR150" s="20">
        <v>4</v>
      </c>
      <c r="FS150" s="20">
        <v>0</v>
      </c>
      <c r="FT150" s="20">
        <v>10</v>
      </c>
      <c r="FU150" s="20">
        <v>12</v>
      </c>
      <c r="FV150" s="20">
        <v>0</v>
      </c>
      <c r="FW150" s="20">
        <v>12</v>
      </c>
      <c r="FX150" s="20">
        <v>0</v>
      </c>
      <c r="FY150" s="20">
        <v>2</v>
      </c>
      <c r="FZ150" s="20">
        <v>16</v>
      </c>
      <c r="GA150" s="20">
        <v>8</v>
      </c>
      <c r="GB150" s="20">
        <v>4</v>
      </c>
      <c r="GC150" s="20">
        <v>10</v>
      </c>
      <c r="GD150" s="20">
        <v>10</v>
      </c>
      <c r="GE150" s="20">
        <v>6</v>
      </c>
      <c r="GF150" s="20">
        <v>2</v>
      </c>
      <c r="GG150" s="20">
        <v>4</v>
      </c>
      <c r="GH150" s="20">
        <v>0</v>
      </c>
      <c r="GI150" s="20">
        <v>4</v>
      </c>
      <c r="GJ150" s="20">
        <v>6</v>
      </c>
      <c r="GK150" s="20">
        <v>8</v>
      </c>
      <c r="GL150" s="20">
        <v>0</v>
      </c>
      <c r="GM150" s="20">
        <v>4</v>
      </c>
      <c r="GN150" s="20">
        <v>10</v>
      </c>
      <c r="GO150" s="20">
        <v>0</v>
      </c>
      <c r="GP150" s="20">
        <v>2</v>
      </c>
      <c r="GQ150" s="20">
        <v>4</v>
      </c>
      <c r="GR150" s="20">
        <v>0</v>
      </c>
      <c r="GS150" s="20">
        <v>0</v>
      </c>
      <c r="GT150" s="20">
        <v>6</v>
      </c>
      <c r="GU150" s="20">
        <v>2</v>
      </c>
      <c r="GV150" s="20"/>
      <c r="GW150" s="20"/>
      <c r="GX150" s="20"/>
      <c r="GY150" s="21" t="s">
        <v>711</v>
      </c>
      <c r="GZ150" s="21">
        <v>0</v>
      </c>
      <c r="HA150" s="21">
        <v>0</v>
      </c>
      <c r="HB150" s="21">
        <v>2</v>
      </c>
      <c r="HC150" s="21">
        <v>0</v>
      </c>
      <c r="HD150" s="21">
        <v>4</v>
      </c>
      <c r="HE150" s="21">
        <v>2</v>
      </c>
      <c r="HF150" s="21">
        <v>4</v>
      </c>
      <c r="HG150" s="21">
        <v>6</v>
      </c>
      <c r="HH150" s="21">
        <v>6</v>
      </c>
      <c r="HI150" s="21">
        <v>8</v>
      </c>
      <c r="HJ150" s="21">
        <v>6</v>
      </c>
      <c r="HK150" s="21">
        <v>8</v>
      </c>
      <c r="HL150" s="21">
        <v>10</v>
      </c>
      <c r="HM150" s="21">
        <v>10</v>
      </c>
      <c r="HN150" s="21">
        <v>12</v>
      </c>
      <c r="HO150" s="21">
        <v>10</v>
      </c>
      <c r="HP150" s="21">
        <v>12</v>
      </c>
      <c r="HQ150" s="21">
        <v>12</v>
      </c>
      <c r="HR150" s="21">
        <v>14</v>
      </c>
      <c r="HS150" s="21">
        <v>16</v>
      </c>
      <c r="HT150" s="21">
        <v>14</v>
      </c>
      <c r="HU150" s="21"/>
      <c r="HV150" s="186" t="s">
        <v>711</v>
      </c>
      <c r="HW150" s="21">
        <v>0</v>
      </c>
      <c r="HX150" s="21">
        <v>0</v>
      </c>
      <c r="HY150" s="21">
        <v>0</v>
      </c>
      <c r="HZ150" s="21">
        <v>4</v>
      </c>
      <c r="IA150" s="21">
        <v>2</v>
      </c>
      <c r="IB150" s="21">
        <v>6</v>
      </c>
      <c r="IC150" s="21">
        <v>6</v>
      </c>
      <c r="ID150" s="21">
        <v>6</v>
      </c>
      <c r="IE150" s="21">
        <v>10</v>
      </c>
      <c r="IF150" s="21">
        <v>10</v>
      </c>
      <c r="IG150" s="21">
        <v>12</v>
      </c>
      <c r="IH150" s="21">
        <v>12</v>
      </c>
      <c r="II150" s="21">
        <v>12</v>
      </c>
      <c r="IJ150" s="21">
        <v>16</v>
      </c>
      <c r="IK150" s="21">
        <v>16</v>
      </c>
      <c r="IL150" s="21">
        <v>16</v>
      </c>
      <c r="IM150" s="21">
        <v>18</v>
      </c>
      <c r="IN150" s="21">
        <v>18</v>
      </c>
      <c r="IO150" s="21">
        <v>22</v>
      </c>
      <c r="IP150" s="21">
        <v>22</v>
      </c>
      <c r="IQ150" s="21">
        <v>22</v>
      </c>
      <c r="IR150" s="21"/>
      <c r="IS150" s="21" t="s">
        <v>711</v>
      </c>
      <c r="IT150" s="21">
        <f t="shared" si="54"/>
        <v>0</v>
      </c>
      <c r="IU150" s="21">
        <f t="shared" si="54"/>
        <v>0</v>
      </c>
      <c r="IV150" s="21">
        <f t="shared" si="54"/>
        <v>0</v>
      </c>
      <c r="IW150" s="21">
        <f t="shared" si="54"/>
        <v>8</v>
      </c>
      <c r="IX150" s="21">
        <f t="shared" si="54"/>
        <v>4</v>
      </c>
      <c r="IY150" s="21">
        <f t="shared" si="54"/>
        <v>12</v>
      </c>
      <c r="IZ150" s="21">
        <f t="shared" si="54"/>
        <v>12</v>
      </c>
      <c r="JA150" s="21">
        <f t="shared" si="54"/>
        <v>12</v>
      </c>
      <c r="JB150" s="21">
        <f t="shared" si="54"/>
        <v>20</v>
      </c>
      <c r="JC150" s="21">
        <f t="shared" si="54"/>
        <v>20</v>
      </c>
      <c r="JD150" s="21">
        <f t="shared" si="54"/>
        <v>24</v>
      </c>
      <c r="JE150" s="21">
        <f t="shared" si="54"/>
        <v>24</v>
      </c>
      <c r="JF150" s="21">
        <f t="shared" si="54"/>
        <v>24</v>
      </c>
      <c r="JG150" s="21">
        <f t="shared" si="54"/>
        <v>32</v>
      </c>
      <c r="JH150" s="21">
        <f t="shared" si="54"/>
        <v>32</v>
      </c>
      <c r="JI150" s="21">
        <f t="shared" si="53"/>
        <v>32</v>
      </c>
      <c r="JJ150" s="21">
        <f t="shared" si="40"/>
        <v>36</v>
      </c>
      <c r="JK150" s="21">
        <f t="shared" si="40"/>
        <v>36</v>
      </c>
      <c r="JL150" s="21">
        <f t="shared" si="40"/>
        <v>44</v>
      </c>
      <c r="JM150" s="21">
        <f t="shared" si="40"/>
        <v>44</v>
      </c>
      <c r="JN150" s="21">
        <f t="shared" si="40"/>
        <v>44</v>
      </c>
      <c r="JO150" s="21"/>
      <c r="JP150" s="21"/>
      <c r="JQ150" s="26"/>
      <c r="JR150" s="21"/>
      <c r="JS150" s="21"/>
      <c r="JT150" s="21"/>
      <c r="JU150" s="21"/>
      <c r="JV150" s="21"/>
      <c r="JW150" s="21"/>
      <c r="JX150" s="21"/>
      <c r="JY150" s="21"/>
      <c r="JZ150" s="21"/>
      <c r="KA150" s="21"/>
      <c r="KB150" s="21"/>
      <c r="KC150" s="21"/>
      <c r="KD150" s="21"/>
      <c r="KE150" s="21"/>
      <c r="KF150" s="21"/>
      <c r="KG150" s="21"/>
      <c r="KH150" s="21"/>
    </row>
    <row r="151" spans="1:294" x14ac:dyDescent="0.25">
      <c r="A151" s="8"/>
      <c r="B151" s="5" t="s">
        <v>116</v>
      </c>
      <c r="C151" s="8"/>
      <c r="D151" s="9"/>
      <c r="E151" s="9"/>
      <c r="F151" s="9"/>
      <c r="G151" s="9"/>
      <c r="H151" s="9"/>
      <c r="I151" s="9"/>
      <c r="J151" s="9"/>
      <c r="K151" s="9"/>
      <c r="L151" s="5" t="s">
        <v>103</v>
      </c>
      <c r="M151" s="5" t="s">
        <v>104</v>
      </c>
      <c r="N151" s="5" t="s">
        <v>107</v>
      </c>
      <c r="O151" s="5" t="s">
        <v>290</v>
      </c>
      <c r="P151" s="5" t="s">
        <v>446</v>
      </c>
      <c r="Q151" s="5" t="s">
        <v>448</v>
      </c>
      <c r="R151" s="5" t="s">
        <v>409</v>
      </c>
      <c r="S151" s="5" t="s">
        <v>447</v>
      </c>
      <c r="T151" s="5" t="s">
        <v>449</v>
      </c>
      <c r="U151" s="5" t="s">
        <v>106</v>
      </c>
      <c r="V151" s="20"/>
      <c r="W151" s="25">
        <f t="shared" si="58"/>
        <v>0</v>
      </c>
      <c r="X151" s="20">
        <f t="shared" si="59"/>
        <v>0</v>
      </c>
      <c r="Y151" s="20"/>
      <c r="Z151" s="20">
        <f>(INDEX(($EW$107:$GU$115,$EW$119:$GU$127,$EW$132:$GU$140,$EW$144:$GU$152),MATCH($L$160,$EV$107:$EV$115,0),MATCH(A159,$EW$106:$GU$106,0),MATCH($G$152,$X$128:$X$131,0)))*C159</f>
        <v>0</v>
      </c>
      <c r="AA151" s="20">
        <f>(INDEX(($EW$107:$GU$115,$EW$119:$GU$127,$EW$132:$GU$140,$EW$144:$GU$152),MATCH($L$152,$EV$107:$EV$115,0),MATCH(A159,$EW$106:$GU$106,0),MATCH($G$152,$X$128:$X$131,0)))*C159</f>
        <v>0</v>
      </c>
      <c r="AB151" s="20">
        <f>(INDEX(($EW$107:$GU$115,$EW$119:$GU$127,$EW$132:$GU$140,$EW$144:$GU$152),MATCH($L$153,$EV$107:$EV$115,0),MATCH(A159,$EW$106:$GU$106,0),MATCH($G$152,$X$128:$X$131,0)))*C159</f>
        <v>0</v>
      </c>
      <c r="AC151" s="20">
        <f>(INDEX(($EW$107:$GU$115,$EW$119:$GU$127,$EW$132:$GU$140,$EW$144:$GU$152),MATCH($L$154,$EV$107:$EV$115,0),MATCH(A159,$EW$106:$GU$106,0),MATCH($G$152,$X$128:$X$131,0)))*C159</f>
        <v>0</v>
      </c>
      <c r="AD151" s="20">
        <f>(INDEX(($EW$107:$GU$115,$EW$119:$GU$127,$EW$132:$GU$140,$EW$144:$GU$152),MATCH($L$155,$EV$107:$EV$115,0),MATCH(A159,$EW$106:$GU$106,0),MATCH($G$152,$X$128:$X$131,0)))*C159</f>
        <v>0</v>
      </c>
      <c r="AE151" s="20">
        <f>(INDEX(($EW$107:$GU$115,$EW$119:$GU$127,$EW$132:$GU$140,$EW$144:$GU$152),MATCH($L$156,$EV$107:$EV$115,0),MATCH(A159,$EW$106:$GU$106,0),MATCH($G$152,$X$128:$X$131,0)))*C159</f>
        <v>0</v>
      </c>
      <c r="AF151" s="20">
        <f>(INDEX(($EW$107:$GU$115,$EW$119:$GU$127,$EW$132:$GU$140,$EW$144:$GU$152),MATCH($L$157,$EV$107:$EV$115,0),MATCH(A159,$EW$106:$GU$106,0),MATCH($G$152,$X$128:$X$131,0)))*C159</f>
        <v>0</v>
      </c>
      <c r="AG151" s="20">
        <f>(INDEX(($EW$107:$GU$115,$EW$119:$GU$127,$EW$132:$GU$140,$EW$144:$GU$152),MATCH($L$158,$EV$107:$EV$115,0),MATCH(A159,$EW$106:$GU$106,0),MATCH($G$152,$X$128:$X$131,0)))*C159</f>
        <v>0</v>
      </c>
      <c r="AH151" s="20">
        <f>(INDEX(($EW$107:$GU$115,$EW$119:$GU$127,$EW$132:$GU$140,$EW$144:$GU$152),MATCH($L$159,$EV$107:$EV$115,0),MATCH(A159,$EW$106:$GU$106,0),MATCH($G$152,$X$128:$X$131,0)))*C159</f>
        <v>0</v>
      </c>
      <c r="AI151" s="20"/>
      <c r="AJ151" s="20"/>
      <c r="AK151" s="20"/>
      <c r="AL151" s="20" t="s">
        <v>126</v>
      </c>
      <c r="AM151" s="20">
        <v>0</v>
      </c>
      <c r="AN151" s="20">
        <v>0</v>
      </c>
      <c r="AO151" s="20">
        <v>0</v>
      </c>
      <c r="AP151" s="20">
        <v>0</v>
      </c>
      <c r="AQ151" s="20">
        <v>0</v>
      </c>
      <c r="AR151" s="20">
        <v>0</v>
      </c>
      <c r="AS151" s="20">
        <v>0</v>
      </c>
      <c r="AT151" s="20">
        <v>0</v>
      </c>
      <c r="AU151" s="20">
        <v>0</v>
      </c>
      <c r="AV151" s="20">
        <v>0</v>
      </c>
      <c r="AW151" s="20">
        <v>0</v>
      </c>
      <c r="AX151" s="20">
        <v>0</v>
      </c>
      <c r="AY151" s="20">
        <v>0</v>
      </c>
      <c r="AZ151" s="20">
        <v>0</v>
      </c>
      <c r="BA151" s="20">
        <v>0</v>
      </c>
      <c r="BB151" s="20">
        <v>0</v>
      </c>
      <c r="BC151" s="20">
        <v>0</v>
      </c>
      <c r="BD151" s="20">
        <v>0</v>
      </c>
      <c r="BE151" s="20">
        <v>0</v>
      </c>
      <c r="BF151" s="20">
        <v>0</v>
      </c>
      <c r="BG151" s="20">
        <v>0</v>
      </c>
      <c r="BH151" s="20">
        <v>0</v>
      </c>
      <c r="BI151" s="20">
        <v>0</v>
      </c>
      <c r="BJ151" s="20">
        <v>0</v>
      </c>
      <c r="BK151" s="20">
        <v>0</v>
      </c>
      <c r="BL151" s="20">
        <v>0</v>
      </c>
      <c r="BM151" s="20">
        <v>0</v>
      </c>
      <c r="BN151" s="20">
        <v>0</v>
      </c>
      <c r="BO151" s="20">
        <v>0</v>
      </c>
      <c r="BP151" s="20">
        <v>0</v>
      </c>
      <c r="BQ151" s="20">
        <v>0</v>
      </c>
      <c r="BR151" s="20">
        <v>0</v>
      </c>
      <c r="BS151" s="20">
        <v>0</v>
      </c>
      <c r="BT151" s="20">
        <v>0</v>
      </c>
      <c r="BU151" s="20">
        <v>0</v>
      </c>
      <c r="BV151" s="20">
        <v>0</v>
      </c>
      <c r="BW151" s="20">
        <v>0</v>
      </c>
      <c r="BX151" s="20">
        <v>2</v>
      </c>
      <c r="BY151" s="20">
        <v>0</v>
      </c>
      <c r="BZ151" s="20">
        <v>0</v>
      </c>
      <c r="CA151" s="20">
        <v>0</v>
      </c>
      <c r="CB151" s="20">
        <v>0</v>
      </c>
      <c r="CC151" s="20">
        <v>0</v>
      </c>
      <c r="CD151" s="20">
        <v>0</v>
      </c>
      <c r="CE151" s="20">
        <v>0</v>
      </c>
      <c r="CF151" s="20">
        <v>0</v>
      </c>
      <c r="CG151" s="20">
        <v>0</v>
      </c>
      <c r="CH151" s="20">
        <v>0</v>
      </c>
      <c r="CI151" s="20">
        <v>0</v>
      </c>
      <c r="CJ151" s="20">
        <v>0</v>
      </c>
      <c r="CK151" s="20">
        <v>0</v>
      </c>
      <c r="CL151" s="20"/>
      <c r="CM151" s="20" t="s">
        <v>114</v>
      </c>
      <c r="CN151" s="20"/>
      <c r="CO151" s="20"/>
      <c r="CP151" s="20"/>
      <c r="CQ151" s="20"/>
      <c r="CR151" s="20"/>
      <c r="CS151" s="20"/>
      <c r="CT151" s="20"/>
      <c r="CU151" s="20"/>
      <c r="CV151" s="20"/>
      <c r="CW151" s="20"/>
      <c r="CX151" s="20"/>
      <c r="CY151" s="20"/>
      <c r="CZ151" s="20"/>
      <c r="DA151" s="20"/>
      <c r="DB151" s="20"/>
      <c r="DC151" s="20"/>
      <c r="DD151" s="20"/>
      <c r="DE151" s="20"/>
      <c r="DF151" s="20"/>
      <c r="DG151" s="20"/>
      <c r="DH151" s="20"/>
      <c r="DI151" s="20"/>
      <c r="DJ151" s="20"/>
      <c r="DK151" s="20"/>
      <c r="DL151" s="20"/>
      <c r="DM151" s="20"/>
      <c r="DN151" s="20"/>
      <c r="DO151" s="20"/>
      <c r="DP151" s="20"/>
      <c r="DQ151" s="20"/>
      <c r="DR151" s="20"/>
      <c r="DS151" s="20"/>
      <c r="DT151" s="20"/>
      <c r="DU151" s="20"/>
      <c r="DV151" s="20"/>
      <c r="DW151" s="20"/>
      <c r="DX151" s="20"/>
      <c r="DY151" s="20"/>
      <c r="DZ151" s="54">
        <v>48</v>
      </c>
      <c r="EA151" s="54"/>
      <c r="EB151" s="54"/>
      <c r="EC151" s="20"/>
      <c r="ED151" s="20"/>
      <c r="EE151" s="20"/>
      <c r="EF151" s="20"/>
      <c r="EG151" s="20"/>
      <c r="EH151" s="20"/>
      <c r="EI151" s="20"/>
      <c r="EJ151" s="20"/>
      <c r="EK151" s="20"/>
      <c r="EL151" s="20"/>
      <c r="EM151" s="20"/>
      <c r="EN151" s="20"/>
      <c r="EO151" s="20"/>
      <c r="EP151" s="20"/>
      <c r="EQ151" s="20"/>
      <c r="ER151" s="20"/>
      <c r="ES151" s="20"/>
      <c r="ET151" s="20"/>
      <c r="EU151" s="20"/>
      <c r="EV151" s="20" t="s">
        <v>214</v>
      </c>
      <c r="EW151" s="20">
        <v>0</v>
      </c>
      <c r="EX151" s="20">
        <v>0</v>
      </c>
      <c r="EY151" s="20">
        <v>0</v>
      </c>
      <c r="EZ151" s="20">
        <v>2</v>
      </c>
      <c r="FA151" s="20">
        <v>2</v>
      </c>
      <c r="FB151" s="20">
        <v>0</v>
      </c>
      <c r="FC151" s="20">
        <v>2</v>
      </c>
      <c r="FD151" s="20">
        <v>4</v>
      </c>
      <c r="FE151" s="20">
        <v>0</v>
      </c>
      <c r="FF151" s="20">
        <v>2</v>
      </c>
      <c r="FG151" s="20">
        <v>4</v>
      </c>
      <c r="FH151" s="20">
        <v>0</v>
      </c>
      <c r="FI151" s="20">
        <v>6</v>
      </c>
      <c r="FJ151" s="20">
        <v>4</v>
      </c>
      <c r="FK151" s="20">
        <v>0</v>
      </c>
      <c r="FL151" s="20">
        <v>2</v>
      </c>
      <c r="FM151" s="20">
        <v>0</v>
      </c>
      <c r="FN151" s="20">
        <v>6</v>
      </c>
      <c r="FO151" s="20">
        <v>8</v>
      </c>
      <c r="FP151" s="20">
        <v>0</v>
      </c>
      <c r="FQ151" s="20">
        <v>6</v>
      </c>
      <c r="FR151" s="20">
        <v>8</v>
      </c>
      <c r="FS151" s="20">
        <v>14</v>
      </c>
      <c r="FT151" s="20">
        <v>2</v>
      </c>
      <c r="FU151" s="20">
        <v>4</v>
      </c>
      <c r="FV151" s="20">
        <v>16</v>
      </c>
      <c r="FW151" s="20">
        <v>2</v>
      </c>
      <c r="FX151" s="20">
        <v>14</v>
      </c>
      <c r="FY151" s="20">
        <v>16</v>
      </c>
      <c r="FZ151" s="20">
        <v>0</v>
      </c>
      <c r="GA151" s="20">
        <v>10</v>
      </c>
      <c r="GB151" s="20">
        <v>16</v>
      </c>
      <c r="GC151" s="20">
        <v>8</v>
      </c>
      <c r="GD151" s="20">
        <v>10</v>
      </c>
      <c r="GE151" s="20">
        <v>16</v>
      </c>
      <c r="GF151" s="20">
        <v>14</v>
      </c>
      <c r="GG151" s="20">
        <v>16</v>
      </c>
      <c r="GH151" s="20">
        <v>22</v>
      </c>
      <c r="GI151" s="20">
        <v>14</v>
      </c>
      <c r="GJ151" s="20">
        <v>16</v>
      </c>
      <c r="GK151" s="20">
        <v>18</v>
      </c>
      <c r="GL151" s="20">
        <v>26</v>
      </c>
      <c r="GM151" s="20">
        <v>20</v>
      </c>
      <c r="GN151" s="20">
        <v>18</v>
      </c>
      <c r="GO151" s="20">
        <v>28</v>
      </c>
      <c r="GP151" s="20">
        <v>22</v>
      </c>
      <c r="GQ151" s="20">
        <v>24</v>
      </c>
      <c r="GR151" s="20">
        <v>30</v>
      </c>
      <c r="GS151" s="20">
        <v>30</v>
      </c>
      <c r="GT151" s="20">
        <v>24</v>
      </c>
      <c r="GU151" s="20">
        <v>30</v>
      </c>
      <c r="GV151" s="20"/>
      <c r="GW151" s="20"/>
      <c r="GX151" s="20"/>
      <c r="GY151" s="21" t="s">
        <v>712</v>
      </c>
      <c r="GZ151" s="21">
        <v>0</v>
      </c>
      <c r="HA151" s="21">
        <v>0</v>
      </c>
      <c r="HB151" s="21">
        <v>0</v>
      </c>
      <c r="HC151" s="21">
        <v>2</v>
      </c>
      <c r="HD151" s="21">
        <v>2</v>
      </c>
      <c r="HE151" s="21">
        <v>4</v>
      </c>
      <c r="HF151" s="21">
        <v>4</v>
      </c>
      <c r="HG151" s="21">
        <v>4</v>
      </c>
      <c r="HH151" s="21">
        <v>6</v>
      </c>
      <c r="HI151" s="21">
        <v>6</v>
      </c>
      <c r="HJ151" s="21">
        <v>8</v>
      </c>
      <c r="HK151" s="21">
        <v>8</v>
      </c>
      <c r="HL151" s="21">
        <v>8</v>
      </c>
      <c r="HM151" s="21">
        <v>10</v>
      </c>
      <c r="HN151" s="21">
        <v>10</v>
      </c>
      <c r="HO151" s="21">
        <v>12</v>
      </c>
      <c r="HP151" s="21">
        <v>12</v>
      </c>
      <c r="HQ151" s="21">
        <v>14</v>
      </c>
      <c r="HR151" s="21">
        <v>14</v>
      </c>
      <c r="HS151" s="21">
        <v>14</v>
      </c>
      <c r="HT151" s="21">
        <v>16</v>
      </c>
      <c r="HU151" s="21"/>
      <c r="HV151" s="21" t="s">
        <v>853</v>
      </c>
      <c r="HW151" s="21">
        <v>0</v>
      </c>
      <c r="HX151" s="21">
        <v>0</v>
      </c>
      <c r="HY151" s="21">
        <v>2</v>
      </c>
      <c r="HZ151" s="21">
        <v>2</v>
      </c>
      <c r="IA151" s="21">
        <v>4</v>
      </c>
      <c r="IB151" s="21">
        <v>4</v>
      </c>
      <c r="IC151" s="21">
        <v>6</v>
      </c>
      <c r="ID151" s="21">
        <v>8</v>
      </c>
      <c r="IE151" s="21">
        <v>8</v>
      </c>
      <c r="IF151" s="21">
        <v>10</v>
      </c>
      <c r="IG151" s="21">
        <v>10</v>
      </c>
      <c r="IH151" s="21">
        <v>12</v>
      </c>
      <c r="II151" s="21">
        <v>14</v>
      </c>
      <c r="IJ151" s="21">
        <v>14</v>
      </c>
      <c r="IK151" s="21">
        <v>16</v>
      </c>
      <c r="IL151" s="21">
        <v>18</v>
      </c>
      <c r="IM151" s="21">
        <v>18</v>
      </c>
      <c r="IN151" s="21">
        <v>20</v>
      </c>
      <c r="IO151" s="21">
        <v>20</v>
      </c>
      <c r="IP151" s="21">
        <v>22</v>
      </c>
      <c r="IQ151" s="21">
        <v>24</v>
      </c>
      <c r="IR151" s="21"/>
      <c r="IS151" s="21" t="s">
        <v>853</v>
      </c>
      <c r="IT151" s="21">
        <f t="shared" si="54"/>
        <v>0</v>
      </c>
      <c r="IU151" s="21">
        <f t="shared" si="54"/>
        <v>0</v>
      </c>
      <c r="IV151" s="21">
        <f t="shared" si="54"/>
        <v>4</v>
      </c>
      <c r="IW151" s="21">
        <f t="shared" si="54"/>
        <v>4</v>
      </c>
      <c r="IX151" s="21">
        <f t="shared" si="54"/>
        <v>8</v>
      </c>
      <c r="IY151" s="21">
        <f t="shared" si="54"/>
        <v>8</v>
      </c>
      <c r="IZ151" s="21">
        <f t="shared" si="54"/>
        <v>12</v>
      </c>
      <c r="JA151" s="21">
        <f t="shared" si="54"/>
        <v>16</v>
      </c>
      <c r="JB151" s="21">
        <f t="shared" si="54"/>
        <v>16</v>
      </c>
      <c r="JC151" s="21">
        <f t="shared" si="54"/>
        <v>20</v>
      </c>
      <c r="JD151" s="21">
        <f t="shared" si="54"/>
        <v>20</v>
      </c>
      <c r="JE151" s="21">
        <f t="shared" si="54"/>
        <v>24</v>
      </c>
      <c r="JF151" s="21">
        <f t="shared" si="54"/>
        <v>28</v>
      </c>
      <c r="JG151" s="21">
        <f t="shared" si="54"/>
        <v>28</v>
      </c>
      <c r="JH151" s="21">
        <f t="shared" si="54"/>
        <v>32</v>
      </c>
      <c r="JI151" s="21">
        <f t="shared" si="53"/>
        <v>36</v>
      </c>
      <c r="JJ151" s="21">
        <f t="shared" si="40"/>
        <v>36</v>
      </c>
      <c r="JK151" s="21">
        <f t="shared" si="40"/>
        <v>40</v>
      </c>
      <c r="JL151" s="21">
        <f t="shared" si="40"/>
        <v>40</v>
      </c>
      <c r="JM151" s="21">
        <f t="shared" si="40"/>
        <v>44</v>
      </c>
      <c r="JN151" s="21">
        <f t="shared" si="40"/>
        <v>48</v>
      </c>
      <c r="JO151" s="21"/>
      <c r="JP151" s="21"/>
      <c r="JQ151" s="26"/>
      <c r="JR151" s="21"/>
      <c r="JS151" s="21"/>
      <c r="JT151" s="21"/>
      <c r="JU151" s="21"/>
      <c r="JV151" s="21"/>
      <c r="JW151" s="21"/>
      <c r="JX151" s="21"/>
      <c r="JY151" s="21"/>
      <c r="JZ151" s="21"/>
      <c r="KA151" s="21"/>
      <c r="KB151" s="21"/>
      <c r="KC151" s="21"/>
      <c r="KD151" s="21"/>
      <c r="KE151" s="21"/>
      <c r="KF151" s="21"/>
      <c r="KG151" s="21"/>
      <c r="KH151" s="21"/>
    </row>
    <row r="152" spans="1:294" x14ac:dyDescent="0.25">
      <c r="A152" s="8"/>
      <c r="B152" s="5" t="s">
        <v>116</v>
      </c>
      <c r="C152" s="8"/>
      <c r="D152" s="6" t="s">
        <v>118</v>
      </c>
      <c r="E152" s="8" t="s">
        <v>132</v>
      </c>
      <c r="F152" s="5" t="s">
        <v>116</v>
      </c>
      <c r="G152" s="8" t="s">
        <v>480</v>
      </c>
      <c r="H152" s="5" t="s">
        <v>116</v>
      </c>
      <c r="I152" s="8">
        <v>30</v>
      </c>
      <c r="J152" s="5" t="s">
        <v>119</v>
      </c>
      <c r="K152" s="9"/>
      <c r="L152" s="6" t="s">
        <v>210</v>
      </c>
      <c r="M152" s="11">
        <f>INDEX(cennik!$C$2:$L$529,MATCH($L152,cennik!$B$2:$B$522,0),MATCH(M$104,cennik!$C$1:$L$1,0))</f>
        <v>6441105</v>
      </c>
      <c r="N152" s="11" t="str">
        <f>INDEX(cennik!$C$2:$L$529,MATCH($L152,cennik!$B$2:$B$522,0),MATCH(N$104,cennik!$C$1:$L$1,0))</f>
        <v>szt.</v>
      </c>
      <c r="O152" s="11">
        <f>SUM(AA143:AA158)</f>
        <v>0</v>
      </c>
      <c r="P152" s="34">
        <f>INDEX(cennik!$C$2:$L$529,MATCH($L152,cennik!$B$2:$B$522,0),MATCH(P$104,cennik!$C$1:$L$1,0))</f>
        <v>24.55</v>
      </c>
      <c r="Q152" s="34">
        <f>O152*P152</f>
        <v>0</v>
      </c>
      <c r="R152" s="35">
        <f t="shared" ref="R152:R175" si="61">$E$156</f>
        <v>0</v>
      </c>
      <c r="S152" s="34">
        <f t="shared" ref="S152:S175" si="62">P152*((100-$E$156)/100)</f>
        <v>24.55</v>
      </c>
      <c r="T152" s="34">
        <f>O152*S152</f>
        <v>0</v>
      </c>
      <c r="U152" s="34">
        <f>INDEX(cennik!$C$2:$L$529,MATCH($L152,cennik!$B$2:$B$522,0),MATCH(U$104,cennik!$C$1:$L$1,0))*O152</f>
        <v>0</v>
      </c>
      <c r="V152" s="20"/>
      <c r="W152" s="25">
        <f t="shared" si="58"/>
        <v>0</v>
      </c>
      <c r="X152" s="20">
        <f t="shared" si="59"/>
        <v>0</v>
      </c>
      <c r="Y152" s="20"/>
      <c r="Z152" s="20">
        <f>(INDEX(($EW$107:$GU$115,$EW$119:$GU$127,$EW$132:$GU$140,$EW$144:$GU$152),MATCH($L$160,$EV$107:$EV$115,0),MATCH(A160,$EW$106:$GU$106,0),MATCH($G$152,$X$128:$X$131,0)))*C160</f>
        <v>0</v>
      </c>
      <c r="AA152" s="20">
        <f>(INDEX(($EW$107:$GU$115,$EW$119:$GU$127,$EW$132:$GU$140,$EW$144:$GU$152),MATCH($L$152,$EV$107:$EV$115,0),MATCH(A160,$EW$106:$GU$106,0),MATCH($G$152,$X$128:$X$131,0)))*C160</f>
        <v>0</v>
      </c>
      <c r="AB152" s="20">
        <f>(INDEX(($EW$107:$GU$115,$EW$119:$GU$127,$EW$132:$GU$140,$EW$144:$GU$152),MATCH($L$153,$EV$107:$EV$115,0),MATCH(A160,$EW$106:$GU$106,0),MATCH($G$152,$X$128:$X$131,0)))*C160</f>
        <v>0</v>
      </c>
      <c r="AC152" s="20">
        <f>(INDEX(($EW$107:$GU$115,$EW$119:$GU$127,$EW$132:$GU$140,$EW$144:$GU$152),MATCH($L$154,$EV$107:$EV$115,0),MATCH(A160,$EW$106:$GU$106,0),MATCH($G$152,$X$128:$X$131,0)))*C160</f>
        <v>0</v>
      </c>
      <c r="AD152" s="20">
        <f>(INDEX(($EW$107:$GU$115,$EW$119:$GU$127,$EW$132:$GU$140,$EW$144:$GU$152),MATCH($L$155,$EV$107:$EV$115,0),MATCH(A160,$EW$106:$GU$106,0),MATCH($G$152,$X$128:$X$131,0)))*C160</f>
        <v>0</v>
      </c>
      <c r="AE152" s="20">
        <f>(INDEX(($EW$107:$GU$115,$EW$119:$GU$127,$EW$132:$GU$140,$EW$144:$GU$152),MATCH($L$156,$EV$107:$EV$115,0),MATCH(A160,$EW$106:$GU$106,0),MATCH($G$152,$X$128:$X$131,0)))*C160</f>
        <v>0</v>
      </c>
      <c r="AF152" s="20">
        <f>(INDEX(($EW$107:$GU$115,$EW$119:$GU$127,$EW$132:$GU$140,$EW$144:$GU$152),MATCH($L$157,$EV$107:$EV$115,0),MATCH(A160,$EW$106:$GU$106,0),MATCH($G$152,$X$128:$X$131,0)))*C160</f>
        <v>0</v>
      </c>
      <c r="AG152" s="20">
        <f>(INDEX(($EW$107:$GU$115,$EW$119:$GU$127,$EW$132:$GU$140,$EW$144:$GU$152),MATCH($L$158,$EV$107:$EV$115,0),MATCH(A160,$EW$106:$GU$106,0),MATCH($G$152,$X$128:$X$131,0)))*C160</f>
        <v>0</v>
      </c>
      <c r="AH152" s="20">
        <f>(INDEX(($EW$107:$GU$115,$EW$119:$GU$127,$EW$132:$GU$140,$EW$144:$GU$152),MATCH($L$159,$EV$107:$EV$115,0),MATCH(A160,$EW$106:$GU$106,0),MATCH($G$152,$X$128:$X$131,0)))*C160</f>
        <v>0</v>
      </c>
      <c r="AI152" s="20"/>
      <c r="AJ152" s="20"/>
      <c r="AK152" s="20"/>
      <c r="AL152" s="20" t="s">
        <v>12</v>
      </c>
      <c r="AM152" s="20">
        <v>0</v>
      </c>
      <c r="AN152" s="20">
        <v>2</v>
      </c>
      <c r="AO152" s="20">
        <v>4</v>
      </c>
      <c r="AP152" s="20">
        <v>2</v>
      </c>
      <c r="AQ152" s="20">
        <v>4</v>
      </c>
      <c r="AR152" s="20">
        <v>2</v>
      </c>
      <c r="AS152" s="20">
        <v>4</v>
      </c>
      <c r="AT152" s="20">
        <v>0</v>
      </c>
      <c r="AU152" s="20">
        <v>4</v>
      </c>
      <c r="AV152" s="20">
        <v>0</v>
      </c>
      <c r="AW152" s="20">
        <v>4</v>
      </c>
      <c r="AX152" s="20">
        <v>0</v>
      </c>
      <c r="AY152" s="20">
        <v>4</v>
      </c>
      <c r="AZ152" s="20">
        <v>0</v>
      </c>
      <c r="BA152" s="20">
        <v>0</v>
      </c>
      <c r="BB152" s="20">
        <v>0</v>
      </c>
      <c r="BC152" s="20">
        <v>0</v>
      </c>
      <c r="BD152" s="20">
        <v>0</v>
      </c>
      <c r="BE152" s="20">
        <v>0</v>
      </c>
      <c r="BF152" s="20">
        <v>0</v>
      </c>
      <c r="BG152" s="20">
        <v>0</v>
      </c>
      <c r="BH152" s="20">
        <v>0</v>
      </c>
      <c r="BI152" s="20">
        <v>0</v>
      </c>
      <c r="BJ152" s="20">
        <v>0</v>
      </c>
      <c r="BK152" s="20">
        <v>0</v>
      </c>
      <c r="BL152" s="20">
        <v>0</v>
      </c>
      <c r="BM152" s="20">
        <v>0</v>
      </c>
      <c r="BN152" s="20">
        <v>4</v>
      </c>
      <c r="BO152" s="20">
        <v>0</v>
      </c>
      <c r="BP152" s="20">
        <v>0</v>
      </c>
      <c r="BQ152" s="20">
        <v>0</v>
      </c>
      <c r="BR152" s="20">
        <v>0</v>
      </c>
      <c r="BS152" s="20">
        <v>0</v>
      </c>
      <c r="BT152" s="20">
        <v>0</v>
      </c>
      <c r="BU152" s="20">
        <v>0</v>
      </c>
      <c r="BV152" s="20">
        <v>0</v>
      </c>
      <c r="BW152" s="20">
        <v>0</v>
      </c>
      <c r="BX152" s="20">
        <v>0</v>
      </c>
      <c r="BY152" s="20">
        <v>0</v>
      </c>
      <c r="BZ152" s="20">
        <v>0</v>
      </c>
      <c r="CA152" s="20">
        <v>0</v>
      </c>
      <c r="CB152" s="20">
        <v>0</v>
      </c>
      <c r="CC152" s="20">
        <v>0</v>
      </c>
      <c r="CD152" s="20">
        <v>0</v>
      </c>
      <c r="CE152" s="20">
        <v>0</v>
      </c>
      <c r="CF152" s="20">
        <v>0</v>
      </c>
      <c r="CG152" s="20">
        <v>0</v>
      </c>
      <c r="CH152" s="20">
        <v>0</v>
      </c>
      <c r="CI152" s="20">
        <v>0</v>
      </c>
      <c r="CJ152" s="20">
        <v>0</v>
      </c>
      <c r="CK152" s="20">
        <v>0</v>
      </c>
      <c r="CL152" s="20"/>
      <c r="CM152" s="20"/>
      <c r="CN152" s="20">
        <v>0</v>
      </c>
      <c r="CO152" s="20">
        <v>1</v>
      </c>
      <c r="CP152" s="20">
        <v>2</v>
      </c>
      <c r="CQ152" s="20">
        <v>3</v>
      </c>
      <c r="CR152" s="20">
        <v>4</v>
      </c>
      <c r="CS152" s="20">
        <v>5</v>
      </c>
      <c r="CT152" s="20">
        <v>6</v>
      </c>
      <c r="CU152" s="20">
        <v>7</v>
      </c>
      <c r="CV152" s="20">
        <v>8</v>
      </c>
      <c r="CW152" s="20">
        <v>9</v>
      </c>
      <c r="CX152" s="20">
        <v>10</v>
      </c>
      <c r="CY152" s="20">
        <v>11</v>
      </c>
      <c r="CZ152" s="20">
        <v>12</v>
      </c>
      <c r="DA152" s="20">
        <v>13</v>
      </c>
      <c r="DB152" s="20">
        <v>14</v>
      </c>
      <c r="DC152" s="20">
        <v>15</v>
      </c>
      <c r="DD152" s="20">
        <v>16</v>
      </c>
      <c r="DE152" s="20">
        <v>17</v>
      </c>
      <c r="DF152" s="20">
        <v>18</v>
      </c>
      <c r="DG152" s="20">
        <v>19</v>
      </c>
      <c r="DH152" s="20">
        <v>20</v>
      </c>
      <c r="DI152" s="20"/>
      <c r="DJ152" s="20"/>
      <c r="DK152" s="20"/>
      <c r="DL152" s="20"/>
      <c r="DM152" s="20"/>
      <c r="DN152" s="20"/>
      <c r="DO152" s="20"/>
      <c r="DP152" s="20"/>
      <c r="DQ152" s="20"/>
      <c r="DR152" s="20"/>
      <c r="DS152" s="20"/>
      <c r="DT152" s="20"/>
      <c r="DU152" s="20"/>
      <c r="DV152" s="20"/>
      <c r="DW152" s="20"/>
      <c r="DX152" s="20"/>
      <c r="DY152" s="20"/>
      <c r="DZ152" s="54">
        <v>49</v>
      </c>
      <c r="EA152" s="54"/>
      <c r="EB152" s="54"/>
      <c r="EC152" s="20"/>
      <c r="ED152" s="20"/>
      <c r="EE152" s="20"/>
      <c r="EF152" s="20"/>
      <c r="EG152" s="20"/>
      <c r="EH152" s="20"/>
      <c r="EI152" s="20"/>
      <c r="EJ152" s="20"/>
      <c r="EK152" s="20"/>
      <c r="EL152" s="20"/>
      <c r="EM152" s="20"/>
      <c r="EN152" s="20"/>
      <c r="EO152" s="20"/>
      <c r="EP152" s="20"/>
      <c r="EQ152" s="20"/>
      <c r="ER152" s="20"/>
      <c r="ES152" s="20"/>
      <c r="ET152" s="20"/>
      <c r="EU152" s="20"/>
      <c r="EV152" s="20" t="s">
        <v>11</v>
      </c>
      <c r="EW152" s="20">
        <v>0</v>
      </c>
      <c r="EX152" s="20">
        <v>0</v>
      </c>
      <c r="EY152" s="20">
        <v>2</v>
      </c>
      <c r="EZ152" s="20">
        <v>0</v>
      </c>
      <c r="FA152" s="20">
        <v>2</v>
      </c>
      <c r="FB152" s="20">
        <v>2</v>
      </c>
      <c r="FC152" s="20">
        <v>2</v>
      </c>
      <c r="FD152" s="20">
        <v>4</v>
      </c>
      <c r="FE152" s="20">
        <v>4</v>
      </c>
      <c r="FF152" s="20">
        <v>4</v>
      </c>
      <c r="FG152" s="20">
        <v>6</v>
      </c>
      <c r="FH152" s="20">
        <v>6</v>
      </c>
      <c r="FI152" s="20">
        <v>6</v>
      </c>
      <c r="FJ152" s="20">
        <v>8</v>
      </c>
      <c r="FK152" s="20">
        <v>8</v>
      </c>
      <c r="FL152" s="20">
        <v>8</v>
      </c>
      <c r="FM152" s="20">
        <v>10</v>
      </c>
      <c r="FN152" s="20">
        <v>10</v>
      </c>
      <c r="FO152" s="20">
        <v>10</v>
      </c>
      <c r="FP152" s="20">
        <v>12</v>
      </c>
      <c r="FQ152" s="20">
        <v>12</v>
      </c>
      <c r="FR152" s="20">
        <v>12</v>
      </c>
      <c r="FS152" s="20">
        <v>12</v>
      </c>
      <c r="FT152" s="20">
        <v>14</v>
      </c>
      <c r="FU152" s="20">
        <v>14</v>
      </c>
      <c r="FV152" s="20">
        <v>14</v>
      </c>
      <c r="FW152" s="20">
        <v>16</v>
      </c>
      <c r="FX152" s="20">
        <v>16</v>
      </c>
      <c r="FY152" s="20">
        <v>16</v>
      </c>
      <c r="FZ152" s="20">
        <v>18</v>
      </c>
      <c r="GA152" s="20">
        <v>18</v>
      </c>
      <c r="GB152" s="20">
        <v>18</v>
      </c>
      <c r="GC152" s="20">
        <v>20</v>
      </c>
      <c r="GD152" s="20">
        <v>20</v>
      </c>
      <c r="GE152" s="20">
        <v>20</v>
      </c>
      <c r="GF152" s="20">
        <v>22</v>
      </c>
      <c r="GG152" s="20">
        <v>22</v>
      </c>
      <c r="GH152" s="20">
        <v>22</v>
      </c>
      <c r="GI152" s="20">
        <v>24</v>
      </c>
      <c r="GJ152" s="20">
        <v>24</v>
      </c>
      <c r="GK152" s="20">
        <v>24</v>
      </c>
      <c r="GL152" s="20">
        <v>24</v>
      </c>
      <c r="GM152" s="20">
        <v>26</v>
      </c>
      <c r="GN152" s="20">
        <v>26</v>
      </c>
      <c r="GO152" s="20">
        <v>26</v>
      </c>
      <c r="GP152" s="20">
        <v>28</v>
      </c>
      <c r="GQ152" s="20">
        <v>28</v>
      </c>
      <c r="GR152" s="20">
        <v>28</v>
      </c>
      <c r="GS152" s="20">
        <v>28</v>
      </c>
      <c r="GT152" s="20">
        <v>30</v>
      </c>
      <c r="GU152" s="20">
        <v>30</v>
      </c>
      <c r="GV152" s="20"/>
      <c r="GW152" s="20"/>
      <c r="GX152" s="20"/>
      <c r="GY152" s="21"/>
      <c r="GZ152" s="21"/>
      <c r="HA152" s="21"/>
      <c r="HB152" s="21"/>
      <c r="HC152" s="21"/>
      <c r="HD152" s="21"/>
      <c r="HE152" s="21"/>
      <c r="HF152" s="21"/>
      <c r="HG152" s="21"/>
      <c r="HH152" s="21"/>
      <c r="HI152" s="21"/>
      <c r="HJ152" s="21"/>
      <c r="HK152" s="21"/>
      <c r="HL152" s="21"/>
      <c r="HM152" s="21"/>
      <c r="HN152" s="21"/>
      <c r="HO152" s="21"/>
      <c r="HP152" s="21"/>
      <c r="HQ152" s="21"/>
      <c r="HR152" s="21"/>
      <c r="HS152" s="21"/>
      <c r="HT152" s="21"/>
      <c r="HU152" s="21"/>
      <c r="HV152" s="186"/>
      <c r="HW152" s="21"/>
      <c r="HX152" s="21"/>
      <c r="HY152" s="21"/>
      <c r="HZ152" s="21"/>
      <c r="IA152" s="21"/>
      <c r="IB152" s="21"/>
      <c r="IC152" s="21"/>
      <c r="ID152" s="21"/>
      <c r="IE152" s="21"/>
      <c r="IF152" s="21"/>
      <c r="IG152" s="21"/>
      <c r="IH152" s="21"/>
      <c r="II152" s="21"/>
      <c r="IJ152" s="21"/>
      <c r="IK152" s="21"/>
      <c r="IL152" s="21"/>
      <c r="IM152" s="21"/>
      <c r="IN152" s="21"/>
      <c r="IO152" s="21"/>
      <c r="IP152" s="21"/>
      <c r="IQ152" s="21"/>
      <c r="IR152" s="21"/>
      <c r="IS152" s="21"/>
      <c r="IT152" s="21"/>
      <c r="IU152" s="21"/>
      <c r="IV152" s="21"/>
      <c r="IW152" s="21"/>
      <c r="IX152" s="21"/>
      <c r="IY152" s="21"/>
      <c r="IZ152" s="21"/>
      <c r="JA152" s="21"/>
      <c r="JB152" s="21"/>
      <c r="JC152" s="21"/>
      <c r="JD152" s="21"/>
      <c r="JE152" s="21"/>
      <c r="JF152" s="21"/>
      <c r="JG152" s="21"/>
      <c r="JH152" s="21"/>
      <c r="JI152" s="21"/>
      <c r="JJ152" s="21"/>
      <c r="JK152" s="21"/>
      <c r="JL152" s="21"/>
      <c r="JM152" s="21"/>
      <c r="JN152" s="21"/>
      <c r="JO152" s="21"/>
      <c r="JP152" s="21"/>
      <c r="JQ152" s="26"/>
      <c r="JR152" s="21"/>
      <c r="JS152" s="21"/>
      <c r="JT152" s="21"/>
      <c r="JU152" s="21"/>
      <c r="JV152" s="21"/>
      <c r="JW152" s="21"/>
      <c r="JX152" s="21"/>
      <c r="JY152" s="21"/>
      <c r="JZ152" s="21"/>
      <c r="KA152" s="21"/>
      <c r="KB152" s="21"/>
      <c r="KC152" s="21"/>
      <c r="KD152" s="21"/>
      <c r="KE152" s="21"/>
      <c r="KF152" s="21"/>
      <c r="KG152" s="21"/>
      <c r="KH152" s="21"/>
    </row>
    <row r="153" spans="1:294" x14ac:dyDescent="0.25">
      <c r="A153" s="8"/>
      <c r="B153" s="5" t="s">
        <v>116</v>
      </c>
      <c r="C153" s="8"/>
      <c r="D153" s="6" t="s">
        <v>124</v>
      </c>
      <c r="E153" s="8" t="s">
        <v>125</v>
      </c>
      <c r="F153" s="5"/>
      <c r="G153" s="5"/>
      <c r="H153" s="5"/>
      <c r="I153" s="5"/>
      <c r="J153" s="5" t="s">
        <v>119</v>
      </c>
      <c r="K153" s="9"/>
      <c r="L153" s="6" t="s">
        <v>9</v>
      </c>
      <c r="M153" s="11">
        <f>INDEX(cennik!$C$2:$L$529,MATCH($L153,cennik!$B$2:$B$522,0),MATCH(M$104,cennik!$C$1:$L$1,0))</f>
        <v>856211</v>
      </c>
      <c r="N153" s="11" t="str">
        <f>INDEX(cennik!$C$2:$L$529,MATCH($L153,cennik!$B$2:$B$522,0),MATCH(N$104,cennik!$C$1:$L$1,0))</f>
        <v>szt.</v>
      </c>
      <c r="O153" s="11">
        <f>SUM(AB143:AB158)</f>
        <v>0</v>
      </c>
      <c r="P153" s="34">
        <f>INDEX(cennik!$C$2:$L$529,MATCH($L153,cennik!$B$2:$B$522,0),MATCH(P$104,cennik!$C$1:$L$1,0))</f>
        <v>25.2</v>
      </c>
      <c r="Q153" s="34">
        <f t="shared" ref="Q153:Q172" si="63">O153*P153</f>
        <v>0</v>
      </c>
      <c r="R153" s="35">
        <f t="shared" si="61"/>
        <v>0</v>
      </c>
      <c r="S153" s="34">
        <f t="shared" si="62"/>
        <v>25.2</v>
      </c>
      <c r="T153" s="34">
        <f t="shared" ref="T153:T172" si="64">O153*S153</f>
        <v>0</v>
      </c>
      <c r="U153" s="34">
        <f>INDEX(cennik!$C$2:$L$529,MATCH($L153,cennik!$B$2:$B$522,0),MATCH(U$104,cennik!$C$1:$L$1,0))*O153</f>
        <v>0</v>
      </c>
      <c r="V153" s="20"/>
      <c r="W153" s="25">
        <f t="shared" si="58"/>
        <v>0</v>
      </c>
      <c r="X153" s="20">
        <f t="shared" si="59"/>
        <v>0</v>
      </c>
      <c r="Y153" s="20"/>
      <c r="Z153" s="20">
        <f>(INDEX(($EW$107:$GU$115,$EW$119:$GU$127,$EW$132:$GU$140,$EW$144:$GU$152),MATCH($L$160,$EV$107:$EV$115,0),MATCH(A161,$EW$106:$GU$106,0),MATCH($G$152,$X$128:$X$131,0)))*C161</f>
        <v>0</v>
      </c>
      <c r="AA153" s="20">
        <f>(INDEX(($EW$107:$GU$115,$EW$119:$GU$127,$EW$132:$GU$140,$EW$144:$GU$152),MATCH($L$152,$EV$107:$EV$115,0),MATCH(A161,$EW$106:$GU$106,0),MATCH($G$152,$X$128:$X$131,0)))*C161</f>
        <v>0</v>
      </c>
      <c r="AB153" s="20">
        <f>(INDEX(($EW$107:$GU$115,$EW$119:$GU$127,$EW$132:$GU$140,$EW$144:$GU$152),MATCH($L$153,$EV$107:$EV$115,0),MATCH(A161,$EW$106:$GU$106,0),MATCH($G$152,$X$128:$X$131,0)))*C161</f>
        <v>0</v>
      </c>
      <c r="AC153" s="20">
        <f>(INDEX(($EW$107:$GU$115,$EW$119:$GU$127,$EW$132:$GU$140,$EW$144:$GU$152),MATCH($L$154,$EV$107:$EV$115,0),MATCH(A161,$EW$106:$GU$106,0),MATCH($G$152,$X$128:$X$131,0)))*C161</f>
        <v>0</v>
      </c>
      <c r="AD153" s="20">
        <f>(INDEX(($EW$107:$GU$115,$EW$119:$GU$127,$EW$132:$GU$140,$EW$144:$GU$152),MATCH($L$155,$EV$107:$EV$115,0),MATCH(A161,$EW$106:$GU$106,0),MATCH($G$152,$X$128:$X$131,0)))*C161</f>
        <v>0</v>
      </c>
      <c r="AE153" s="20">
        <f>(INDEX(($EW$107:$GU$115,$EW$119:$GU$127,$EW$132:$GU$140,$EW$144:$GU$152),MATCH($L$156,$EV$107:$EV$115,0),MATCH(A161,$EW$106:$GU$106,0),MATCH($G$152,$X$128:$X$131,0)))*C161</f>
        <v>0</v>
      </c>
      <c r="AF153" s="20">
        <f>(INDEX(($EW$107:$GU$115,$EW$119:$GU$127,$EW$132:$GU$140,$EW$144:$GU$152),MATCH($L$157,$EV$107:$EV$115,0),MATCH(A161,$EW$106:$GU$106,0),MATCH($G$152,$X$128:$X$131,0)))*C161</f>
        <v>0</v>
      </c>
      <c r="AG153" s="20">
        <f>(INDEX(($EW$107:$GU$115,$EW$119:$GU$127,$EW$132:$GU$140,$EW$144:$GU$152),MATCH($L$158,$EV$107:$EV$115,0),MATCH(A161,$EW$106:$GU$106,0),MATCH($G$152,$X$128:$X$131,0)))*C161</f>
        <v>0</v>
      </c>
      <c r="AH153" s="20">
        <f>(INDEX(($EW$107:$GU$115,$EW$119:$GU$127,$EW$132:$GU$140,$EW$144:$GU$152),MATCH($L$159,$EV$107:$EV$115,0),MATCH(A161,$EW$106:$GU$106,0),MATCH($G$152,$X$128:$X$131,0)))*C161</f>
        <v>0</v>
      </c>
      <c r="AI153" s="20"/>
      <c r="AJ153" s="20"/>
      <c r="AK153" s="20"/>
      <c r="AL153" s="20" t="s">
        <v>127</v>
      </c>
      <c r="AM153" s="20">
        <v>0</v>
      </c>
      <c r="AN153" s="20">
        <v>0</v>
      </c>
      <c r="AO153" s="20">
        <v>0</v>
      </c>
      <c r="AP153" s="20">
        <v>0</v>
      </c>
      <c r="AQ153" s="20">
        <v>0</v>
      </c>
      <c r="AR153" s="20">
        <v>0</v>
      </c>
      <c r="AS153" s="20">
        <v>0</v>
      </c>
      <c r="AT153" s="20">
        <v>2</v>
      </c>
      <c r="AU153" s="20">
        <v>0</v>
      </c>
      <c r="AV153" s="20">
        <v>0</v>
      </c>
      <c r="AW153" s="20">
        <v>0</v>
      </c>
      <c r="AX153" s="20">
        <v>0</v>
      </c>
      <c r="AY153" s="20">
        <v>0</v>
      </c>
      <c r="AZ153" s="20">
        <v>0</v>
      </c>
      <c r="BA153" s="20">
        <v>2</v>
      </c>
      <c r="BB153" s="20">
        <v>0</v>
      </c>
      <c r="BC153" s="20">
        <v>2</v>
      </c>
      <c r="BD153" s="20">
        <v>0</v>
      </c>
      <c r="BE153" s="20">
        <v>2</v>
      </c>
      <c r="BF153" s="20">
        <v>0</v>
      </c>
      <c r="BG153" s="20">
        <v>0</v>
      </c>
      <c r="BH153" s="20">
        <v>0</v>
      </c>
      <c r="BI153" s="20">
        <v>2</v>
      </c>
      <c r="BJ153" s="20">
        <v>2</v>
      </c>
      <c r="BK153" s="20">
        <v>0</v>
      </c>
      <c r="BL153" s="20">
        <v>2</v>
      </c>
      <c r="BM153" s="20">
        <v>0</v>
      </c>
      <c r="BN153" s="20">
        <v>0</v>
      </c>
      <c r="BO153" s="20">
        <v>0</v>
      </c>
      <c r="BP153" s="20">
        <v>0</v>
      </c>
      <c r="BQ153" s="20">
        <v>0</v>
      </c>
      <c r="BR153" s="20">
        <v>0</v>
      </c>
      <c r="BS153" s="20">
        <v>0</v>
      </c>
      <c r="BT153" s="20">
        <v>0</v>
      </c>
      <c r="BU153" s="20">
        <v>0</v>
      </c>
      <c r="BV153" s="20">
        <v>2</v>
      </c>
      <c r="BW153" s="20">
        <v>0</v>
      </c>
      <c r="BX153" s="20">
        <v>0</v>
      </c>
      <c r="BY153" s="20">
        <v>0</v>
      </c>
      <c r="BZ153" s="20">
        <v>0</v>
      </c>
      <c r="CA153" s="20">
        <v>0</v>
      </c>
      <c r="CB153" s="20">
        <v>0</v>
      </c>
      <c r="CC153" s="20">
        <v>0</v>
      </c>
      <c r="CD153" s="20">
        <v>0</v>
      </c>
      <c r="CE153" s="20">
        <v>0</v>
      </c>
      <c r="CF153" s="20">
        <v>0</v>
      </c>
      <c r="CG153" s="20">
        <v>0</v>
      </c>
      <c r="CH153" s="20">
        <v>0</v>
      </c>
      <c r="CI153" s="20">
        <v>0</v>
      </c>
      <c r="CJ153" s="20">
        <v>0</v>
      </c>
      <c r="CK153" s="20">
        <v>0</v>
      </c>
      <c r="CL153" s="20"/>
      <c r="CM153" s="20" t="s">
        <v>293</v>
      </c>
      <c r="CN153" s="20">
        <v>0</v>
      </c>
      <c r="CO153" s="20">
        <v>2</v>
      </c>
      <c r="CP153" s="20">
        <v>2</v>
      </c>
      <c r="CQ153" s="20">
        <v>0</v>
      </c>
      <c r="CR153" s="20">
        <v>4</v>
      </c>
      <c r="CS153" s="20">
        <v>2</v>
      </c>
      <c r="CT153" s="20">
        <v>0</v>
      </c>
      <c r="CU153" s="20">
        <v>4</v>
      </c>
      <c r="CV153" s="20">
        <v>2</v>
      </c>
      <c r="CW153" s="20">
        <v>0</v>
      </c>
      <c r="CX153" s="20">
        <v>0</v>
      </c>
      <c r="CY153" s="20">
        <v>4</v>
      </c>
      <c r="CZ153" s="20">
        <v>2</v>
      </c>
      <c r="DA153" s="20">
        <v>0</v>
      </c>
      <c r="DB153" s="20">
        <v>4</v>
      </c>
      <c r="DC153" s="20">
        <v>2</v>
      </c>
      <c r="DD153" s="20">
        <v>0</v>
      </c>
      <c r="DE153" s="20">
        <v>0</v>
      </c>
      <c r="DF153" s="20">
        <v>2</v>
      </c>
      <c r="DG153" s="20">
        <v>2</v>
      </c>
      <c r="DH153" s="20">
        <v>0</v>
      </c>
      <c r="DI153" s="20"/>
      <c r="DJ153" s="20"/>
      <c r="DK153" s="20"/>
      <c r="DL153" s="20"/>
      <c r="DM153" s="20"/>
      <c r="DN153" s="20"/>
      <c r="DO153" s="20"/>
      <c r="DP153" s="20"/>
      <c r="DQ153" s="20"/>
      <c r="DR153" s="20"/>
      <c r="DS153" s="20"/>
      <c r="DT153" s="20"/>
      <c r="DU153" s="20"/>
      <c r="DV153" s="20"/>
      <c r="DW153" s="20"/>
      <c r="DX153" s="20"/>
      <c r="DY153" s="20"/>
      <c r="DZ153" s="54">
        <v>50</v>
      </c>
      <c r="EA153" s="54"/>
      <c r="EB153" s="54"/>
      <c r="EC153" s="20"/>
      <c r="ED153" s="20"/>
      <c r="EE153" s="20"/>
      <c r="EF153" s="20"/>
      <c r="EG153" s="20"/>
      <c r="EH153" s="20"/>
      <c r="EI153" s="20"/>
      <c r="EJ153" s="20"/>
      <c r="EK153" s="20"/>
      <c r="EL153" s="20"/>
      <c r="EM153" s="20"/>
      <c r="EN153" s="20"/>
      <c r="EO153" s="20"/>
      <c r="EP153" s="20"/>
      <c r="EQ153" s="20"/>
      <c r="ER153" s="20"/>
      <c r="ES153" s="20"/>
      <c r="ET153" s="20"/>
      <c r="EU153" s="20"/>
      <c r="EV153" s="20"/>
      <c r="EW153" s="20"/>
      <c r="EX153" s="20"/>
      <c r="EY153" s="20"/>
      <c r="EZ153" s="20"/>
      <c r="FA153" s="20"/>
      <c r="FB153" s="20"/>
      <c r="FC153" s="20"/>
      <c r="FD153" s="20"/>
      <c r="FE153" s="20"/>
      <c r="FF153" s="20"/>
      <c r="FG153" s="20"/>
      <c r="FH153" s="20"/>
      <c r="FI153" s="20"/>
      <c r="FJ153" s="20"/>
      <c r="FK153" s="20"/>
      <c r="FL153" s="20"/>
      <c r="FM153" s="20"/>
      <c r="FN153" s="20"/>
      <c r="FO153" s="20"/>
      <c r="FP153" s="20"/>
      <c r="FQ153" s="20"/>
      <c r="FR153" s="20"/>
      <c r="FS153" s="20"/>
      <c r="FT153" s="20"/>
      <c r="FU153" s="20"/>
      <c r="FV153" s="20"/>
      <c r="FW153" s="20"/>
      <c r="FX153" s="20"/>
      <c r="FY153" s="20"/>
      <c r="FZ153" s="20"/>
      <c r="GA153" s="20"/>
      <c r="GB153" s="20"/>
      <c r="GC153" s="20"/>
      <c r="GD153" s="20"/>
      <c r="GE153" s="20"/>
      <c r="GF153" s="20"/>
      <c r="GG153" s="20"/>
      <c r="GH153" s="20"/>
      <c r="GI153" s="20"/>
      <c r="GJ153" s="20"/>
      <c r="GK153" s="20"/>
      <c r="GL153" s="20"/>
      <c r="GM153" s="20"/>
      <c r="GN153" s="20"/>
      <c r="GO153" s="20"/>
      <c r="GP153" s="20"/>
      <c r="GQ153" s="20"/>
      <c r="GR153" s="20"/>
      <c r="GS153" s="20"/>
      <c r="GT153" s="20"/>
      <c r="GU153" s="20"/>
      <c r="GV153" s="20"/>
      <c r="GW153" s="20"/>
      <c r="GX153" s="20"/>
      <c r="GY153" s="21"/>
      <c r="GZ153" s="21"/>
      <c r="HA153" s="21"/>
      <c r="HB153" s="21"/>
      <c r="HC153" s="21"/>
      <c r="HD153" s="21"/>
      <c r="HE153" s="21"/>
      <c r="HF153" s="21"/>
      <c r="HG153" s="21"/>
      <c r="HH153" s="21"/>
      <c r="HI153" s="21"/>
      <c r="HJ153" s="21"/>
      <c r="HK153" s="21"/>
      <c r="HL153" s="21"/>
      <c r="HM153" s="21"/>
      <c r="HN153" s="21"/>
      <c r="HO153" s="21"/>
      <c r="HP153" s="21"/>
      <c r="HQ153" s="21"/>
      <c r="HR153" s="21"/>
      <c r="HS153" s="21"/>
      <c r="HT153" s="21"/>
      <c r="HU153" s="346"/>
      <c r="HV153" s="186" t="s">
        <v>137</v>
      </c>
      <c r="HW153" s="21"/>
      <c r="HX153" s="21"/>
      <c r="HY153" s="21"/>
      <c r="HZ153" s="21"/>
      <c r="IA153" s="21"/>
      <c r="IB153" s="21"/>
      <c r="IC153" s="21"/>
      <c r="ID153" s="21"/>
      <c r="IE153" s="21"/>
      <c r="IF153" s="21"/>
      <c r="IG153" s="21"/>
      <c r="IH153" s="21"/>
      <c r="II153" s="21"/>
      <c r="IJ153" s="21"/>
      <c r="IK153" s="21"/>
      <c r="IL153" s="21"/>
      <c r="IM153" s="21"/>
      <c r="IN153" s="21"/>
      <c r="IO153" s="21"/>
      <c r="IP153" s="21"/>
      <c r="IQ153" s="21"/>
      <c r="IR153" s="21"/>
      <c r="IS153" s="21" t="s">
        <v>137</v>
      </c>
      <c r="IT153" s="21"/>
      <c r="IU153" s="21"/>
      <c r="IV153" s="21"/>
      <c r="IW153" s="21"/>
      <c r="IX153" s="21"/>
      <c r="IY153" s="21"/>
      <c r="IZ153" s="21"/>
      <c r="JA153" s="21"/>
      <c r="JB153" s="21"/>
      <c r="JC153" s="21"/>
      <c r="JD153" s="21"/>
      <c r="JE153" s="21"/>
      <c r="JF153" s="21"/>
      <c r="JG153" s="21"/>
      <c r="JH153" s="21"/>
      <c r="JI153" s="21"/>
      <c r="JJ153" s="21"/>
      <c r="JK153" s="21"/>
      <c r="JL153" s="21"/>
      <c r="JM153" s="21"/>
      <c r="JN153" s="21"/>
      <c r="JO153" s="21"/>
      <c r="JP153" s="21"/>
      <c r="JQ153" s="21"/>
      <c r="JR153" s="21"/>
      <c r="JS153" s="21"/>
      <c r="JT153" s="21"/>
      <c r="JU153" s="21"/>
      <c r="JV153" s="21"/>
      <c r="JW153" s="21"/>
      <c r="JX153" s="21"/>
      <c r="JY153" s="21"/>
      <c r="JZ153" s="21"/>
      <c r="KA153" s="21"/>
      <c r="KB153" s="21"/>
      <c r="KC153" s="21"/>
      <c r="KD153" s="21"/>
      <c r="KE153" s="21"/>
      <c r="KF153" s="21"/>
      <c r="KG153" s="21"/>
      <c r="KH153" s="21"/>
    </row>
    <row r="154" spans="1:294" x14ac:dyDescent="0.25">
      <c r="A154" s="8"/>
      <c r="B154" s="5" t="s">
        <v>116</v>
      </c>
      <c r="C154" s="8"/>
      <c r="D154" s="6" t="s">
        <v>307</v>
      </c>
      <c r="E154" s="8" t="s">
        <v>308</v>
      </c>
      <c r="F154" s="37" t="str">
        <f>IF(E154="balastowa","wartość balastu określa konstruktor","")</f>
        <v>wartość balastu określa konstruktor</v>
      </c>
      <c r="G154" s="5"/>
      <c r="H154" s="5"/>
      <c r="I154" s="5"/>
      <c r="J154" s="5"/>
      <c r="K154" s="9"/>
      <c r="L154" s="6" t="s">
        <v>208</v>
      </c>
      <c r="M154" s="11">
        <f>INDEX(cennik!$C$2:$L$529,MATCH($L154,cennik!$B$2:$B$522,0),MATCH(M$104,cennik!$C$1:$L$1,0))</f>
        <v>851117</v>
      </c>
      <c r="N154" s="11" t="str">
        <f>INDEX(cennik!$C$2:$L$529,MATCH($L154,cennik!$B$2:$B$522,0),MATCH(N$104,cennik!$C$1:$L$1,0))</f>
        <v>szt.</v>
      </c>
      <c r="O154" s="11">
        <f>SUM(AC143:AC158)</f>
        <v>0</v>
      </c>
      <c r="P154" s="34">
        <f>INDEX(cennik!$C$2:$L$529,MATCH($L154,cennik!$B$2:$B$522,0),MATCH(P$104,cennik!$C$1:$L$1,0))</f>
        <v>35.700000000000003</v>
      </c>
      <c r="Q154" s="34">
        <f t="shared" si="63"/>
        <v>0</v>
      </c>
      <c r="R154" s="35">
        <f t="shared" si="61"/>
        <v>0</v>
      </c>
      <c r="S154" s="34">
        <f t="shared" si="62"/>
        <v>35.700000000000003</v>
      </c>
      <c r="T154" s="34">
        <f t="shared" si="64"/>
        <v>0</v>
      </c>
      <c r="U154" s="34">
        <f>INDEX(cennik!$C$2:$L$529,MATCH($L154,cennik!$B$2:$B$522,0),MATCH(U$104,cennik!$C$1:$L$1,0))*O154</f>
        <v>0</v>
      </c>
      <c r="V154" s="20"/>
      <c r="W154" s="25">
        <f t="shared" si="58"/>
        <v>0</v>
      </c>
      <c r="X154" s="20">
        <f t="shared" si="59"/>
        <v>0</v>
      </c>
      <c r="Y154" s="20"/>
      <c r="Z154" s="20">
        <f>(INDEX(($EW$107:$GU$115,$EW$119:$GU$127,$EW$132:$GU$140,$EW$144:$GU$152),MATCH($L$160,$EV$107:$EV$115,0),MATCH(A162,$EW$106:$GU$106,0),MATCH($G$152,$X$128:$X$131,0)))*C162</f>
        <v>0</v>
      </c>
      <c r="AA154" s="20">
        <f>(INDEX(($EW$107:$GU$115,$EW$119:$GU$127,$EW$132:$GU$140,$EW$144:$GU$152),MATCH($L$152,$EV$107:$EV$115,0),MATCH(A162,$EW$106:$GU$106,0),MATCH($G$152,$X$128:$X$131,0)))*C162</f>
        <v>0</v>
      </c>
      <c r="AB154" s="20">
        <f>(INDEX(($EW$107:$GU$115,$EW$119:$GU$127,$EW$132:$GU$140,$EW$144:$GU$152),MATCH($L$153,$EV$107:$EV$115,0),MATCH(A162,$EW$106:$GU$106,0),MATCH($G$152,$X$128:$X$131,0)))*C162</f>
        <v>0</v>
      </c>
      <c r="AC154" s="20">
        <f>(INDEX(($EW$107:$GU$115,$EW$119:$GU$127,$EW$132:$GU$140,$EW$144:$GU$152),MATCH($L$154,$EV$107:$EV$115,0),MATCH(A162,$EW$106:$GU$106,0),MATCH($G$152,$X$128:$X$131,0)))*C162</f>
        <v>0</v>
      </c>
      <c r="AD154" s="20">
        <f>(INDEX(($EW$107:$GU$115,$EW$119:$GU$127,$EW$132:$GU$140,$EW$144:$GU$152),MATCH($L$155,$EV$107:$EV$115,0),MATCH(A162,$EW$106:$GU$106,0),MATCH($G$152,$X$128:$X$131,0)))*C162</f>
        <v>0</v>
      </c>
      <c r="AE154" s="20">
        <f>(INDEX(($EW$107:$GU$115,$EW$119:$GU$127,$EW$132:$GU$140,$EW$144:$GU$152),MATCH($L$156,$EV$107:$EV$115,0),MATCH(A162,$EW$106:$GU$106,0),MATCH($G$152,$X$128:$X$131,0)))*C162</f>
        <v>0</v>
      </c>
      <c r="AF154" s="20">
        <f>(INDEX(($EW$107:$GU$115,$EW$119:$GU$127,$EW$132:$GU$140,$EW$144:$GU$152),MATCH($L$157,$EV$107:$EV$115,0),MATCH(A162,$EW$106:$GU$106,0),MATCH($G$152,$X$128:$X$131,0)))*C162</f>
        <v>0</v>
      </c>
      <c r="AG154" s="20">
        <f>(INDEX(($EW$107:$GU$115,$EW$119:$GU$127,$EW$132:$GU$140,$EW$144:$GU$152),MATCH($L$158,$EV$107:$EV$115,0),MATCH(A162,$EW$106:$GU$106,0),MATCH($G$152,$X$128:$X$131,0)))*C162</f>
        <v>0</v>
      </c>
      <c r="AH154" s="20">
        <f>(INDEX(($EW$107:$GU$115,$EW$119:$GU$127,$EW$132:$GU$140,$EW$144:$GU$152),MATCH($L$159,$EV$107:$EV$115,0),MATCH(A162,$EW$106:$GU$106,0),MATCH($G$152,$X$128:$X$131,0)))*C162</f>
        <v>0</v>
      </c>
      <c r="AI154" s="20"/>
      <c r="AJ154" s="20"/>
      <c r="AK154" s="20"/>
      <c r="AL154" s="20" t="s">
        <v>15</v>
      </c>
      <c r="AM154" s="20">
        <v>0</v>
      </c>
      <c r="AN154" s="20">
        <v>0</v>
      </c>
      <c r="AO154" s="20">
        <v>0</v>
      </c>
      <c r="AP154" s="20">
        <v>2</v>
      </c>
      <c r="AQ154" s="20">
        <v>2</v>
      </c>
      <c r="AR154" s="20">
        <v>0</v>
      </c>
      <c r="AS154" s="20">
        <v>4</v>
      </c>
      <c r="AT154" s="20">
        <v>0</v>
      </c>
      <c r="AU154" s="20">
        <v>2</v>
      </c>
      <c r="AV154" s="20">
        <v>10</v>
      </c>
      <c r="AW154" s="20">
        <v>0</v>
      </c>
      <c r="AX154" s="20">
        <v>10</v>
      </c>
      <c r="AY154" s="20">
        <v>0</v>
      </c>
      <c r="AZ154" s="20">
        <v>6</v>
      </c>
      <c r="BA154" s="20">
        <v>14</v>
      </c>
      <c r="BB154" s="20">
        <v>4</v>
      </c>
      <c r="BC154" s="20">
        <v>10</v>
      </c>
      <c r="BD154" s="20">
        <v>2</v>
      </c>
      <c r="BE154" s="20">
        <v>8</v>
      </c>
      <c r="BF154" s="20">
        <v>0</v>
      </c>
      <c r="BG154" s="20">
        <v>20</v>
      </c>
      <c r="BH154" s="20">
        <v>0</v>
      </c>
      <c r="BI154" s="20">
        <v>8</v>
      </c>
      <c r="BJ154" s="20">
        <v>24</v>
      </c>
      <c r="BK154" s="20">
        <v>16</v>
      </c>
      <c r="BL154" s="20">
        <v>22</v>
      </c>
      <c r="BM154" s="20">
        <v>14</v>
      </c>
      <c r="BN154" s="20">
        <v>8</v>
      </c>
      <c r="BO154" s="20">
        <v>12</v>
      </c>
      <c r="BP154" s="20">
        <v>32</v>
      </c>
      <c r="BQ154" s="20">
        <v>10</v>
      </c>
      <c r="BR154" s="20">
        <v>30</v>
      </c>
      <c r="BS154" s="20">
        <v>6</v>
      </c>
      <c r="BT154" s="20">
        <v>28</v>
      </c>
      <c r="BU154" s="20">
        <v>4</v>
      </c>
      <c r="BV154" s="20">
        <v>10</v>
      </c>
      <c r="BW154" s="20">
        <v>2</v>
      </c>
      <c r="BX154" s="20">
        <v>2</v>
      </c>
      <c r="BY154" s="20">
        <v>0</v>
      </c>
      <c r="BZ154" s="20">
        <v>20</v>
      </c>
      <c r="CA154" s="20">
        <v>0</v>
      </c>
      <c r="CB154" s="20">
        <v>18</v>
      </c>
      <c r="CC154" s="20">
        <v>0</v>
      </c>
      <c r="CD154" s="20">
        <v>16</v>
      </c>
      <c r="CE154" s="20">
        <v>0</v>
      </c>
      <c r="CF154" s="20">
        <v>14</v>
      </c>
      <c r="CG154" s="20">
        <v>0</v>
      </c>
      <c r="CH154" s="20">
        <v>12</v>
      </c>
      <c r="CI154" s="20">
        <v>32</v>
      </c>
      <c r="CJ154" s="20">
        <v>10</v>
      </c>
      <c r="CK154" s="20">
        <v>30</v>
      </c>
      <c r="CL154" s="20"/>
      <c r="CM154" s="20" t="s">
        <v>212</v>
      </c>
      <c r="CN154" s="20">
        <v>0</v>
      </c>
      <c r="CO154" s="20">
        <v>0</v>
      </c>
      <c r="CP154" s="20">
        <v>0</v>
      </c>
      <c r="CQ154" s="20">
        <v>2</v>
      </c>
      <c r="CR154" s="20">
        <v>0</v>
      </c>
      <c r="CS154" s="20">
        <v>2</v>
      </c>
      <c r="CT154" s="20">
        <v>4</v>
      </c>
      <c r="CU154" s="20">
        <v>2</v>
      </c>
      <c r="CV154" s="20">
        <v>4</v>
      </c>
      <c r="CW154" s="20">
        <v>6</v>
      </c>
      <c r="CX154" s="20">
        <v>6</v>
      </c>
      <c r="CY154" s="20">
        <v>4</v>
      </c>
      <c r="CZ154" s="20">
        <v>6</v>
      </c>
      <c r="DA154" s="20">
        <v>8</v>
      </c>
      <c r="DB154" s="20">
        <v>6</v>
      </c>
      <c r="DC154" s="20">
        <v>8</v>
      </c>
      <c r="DD154" s="20">
        <v>10</v>
      </c>
      <c r="DE154" s="20">
        <v>10</v>
      </c>
      <c r="DF154" s="20">
        <v>10</v>
      </c>
      <c r="DG154" s="20">
        <v>10</v>
      </c>
      <c r="DH154" s="20">
        <v>12</v>
      </c>
      <c r="DI154" s="20"/>
      <c r="DJ154" s="20"/>
      <c r="DK154" s="20"/>
      <c r="DL154" s="20"/>
      <c r="DM154" s="20"/>
      <c r="DN154" s="20"/>
      <c r="DO154" s="20"/>
      <c r="DP154" s="20"/>
      <c r="DQ154" s="20"/>
      <c r="DR154" s="20"/>
      <c r="DS154" s="20"/>
      <c r="DT154" s="20"/>
      <c r="DU154" s="20"/>
      <c r="DV154" s="20"/>
      <c r="DW154" s="20"/>
      <c r="DX154" s="20"/>
      <c r="DY154" s="20"/>
      <c r="DZ154" s="54"/>
      <c r="EA154" s="54"/>
      <c r="EB154" s="54"/>
      <c r="EC154" s="20"/>
      <c r="ED154" s="20"/>
      <c r="EE154" s="20"/>
      <c r="EF154" s="20"/>
      <c r="EG154" s="20"/>
      <c r="EH154" s="20"/>
      <c r="EI154" s="20"/>
      <c r="EJ154" s="20"/>
      <c r="EK154" s="20"/>
      <c r="EL154" s="20"/>
      <c r="EM154" s="20"/>
      <c r="EN154" s="20"/>
      <c r="EO154" s="20"/>
      <c r="EP154" s="20"/>
      <c r="EQ154" s="20"/>
      <c r="ER154" s="20"/>
      <c r="ES154" s="20"/>
      <c r="ET154" s="20"/>
      <c r="EU154" s="20"/>
      <c r="EV154" s="20" t="s">
        <v>111</v>
      </c>
      <c r="EW154" s="20"/>
      <c r="EX154" s="20"/>
      <c r="EY154" s="20"/>
      <c r="EZ154" s="20"/>
      <c r="FA154" s="20"/>
      <c r="FB154" s="20"/>
      <c r="FC154" s="20"/>
      <c r="FD154" s="20"/>
      <c r="FE154" s="20"/>
      <c r="FF154" s="20"/>
      <c r="FG154" s="20"/>
      <c r="FH154" s="20"/>
      <c r="FI154" s="20"/>
      <c r="FJ154" s="20"/>
      <c r="FK154" s="20"/>
      <c r="FL154" s="20"/>
      <c r="FM154" s="20"/>
      <c r="FN154" s="20"/>
      <c r="FO154" s="20"/>
      <c r="FP154" s="20"/>
      <c r="FQ154" s="20"/>
      <c r="FR154" s="20"/>
      <c r="FS154" s="20"/>
      <c r="FT154" s="20"/>
      <c r="FU154" s="20"/>
      <c r="FV154" s="20"/>
      <c r="FW154" s="20"/>
      <c r="FX154" s="20"/>
      <c r="FY154" s="20"/>
      <c r="FZ154" s="20"/>
      <c r="GA154" s="20"/>
      <c r="GB154" s="20"/>
      <c r="GC154" s="20"/>
      <c r="GD154" s="20"/>
      <c r="GE154" s="20"/>
      <c r="GF154" s="20"/>
      <c r="GG154" s="20"/>
      <c r="GH154" s="20"/>
      <c r="GI154" s="20"/>
      <c r="GJ154" s="20"/>
      <c r="GK154" s="20"/>
      <c r="GL154" s="20"/>
      <c r="GM154" s="20"/>
      <c r="GN154" s="20"/>
      <c r="GO154" s="20"/>
      <c r="GP154" s="20"/>
      <c r="GQ154" s="20"/>
      <c r="GR154" s="20"/>
      <c r="GS154" s="20"/>
      <c r="GT154" s="20"/>
      <c r="GU154" s="20"/>
      <c r="GV154" s="20"/>
      <c r="GW154" s="20"/>
      <c r="GX154" s="20"/>
      <c r="GY154" s="21"/>
      <c r="GZ154" s="21"/>
      <c r="HA154" s="21"/>
      <c r="HB154" s="21"/>
      <c r="HC154" s="21"/>
      <c r="HD154" s="21"/>
      <c r="HE154" s="21"/>
      <c r="HF154" s="21"/>
      <c r="HG154" s="21"/>
      <c r="HH154" s="21"/>
      <c r="HI154" s="21"/>
      <c r="HJ154" s="21"/>
      <c r="HK154" s="21"/>
      <c r="HL154" s="21"/>
      <c r="HM154" s="21"/>
      <c r="HN154" s="21"/>
      <c r="HO154" s="21"/>
      <c r="HP154" s="21"/>
      <c r="HQ154" s="21"/>
      <c r="HR154" s="21"/>
      <c r="HS154" s="21"/>
      <c r="HT154" s="21"/>
      <c r="HU154" s="21"/>
      <c r="HV154" s="186"/>
      <c r="HW154" s="21">
        <v>0</v>
      </c>
      <c r="HX154" s="21">
        <v>1</v>
      </c>
      <c r="HY154" s="21">
        <v>2</v>
      </c>
      <c r="HZ154" s="21">
        <v>3</v>
      </c>
      <c r="IA154" s="21">
        <v>4</v>
      </c>
      <c r="IB154" s="21">
        <v>5</v>
      </c>
      <c r="IC154" s="21">
        <v>6</v>
      </c>
      <c r="ID154" s="21">
        <v>7</v>
      </c>
      <c r="IE154" s="21">
        <v>8</v>
      </c>
      <c r="IF154" s="21">
        <v>9</v>
      </c>
      <c r="IG154" s="21">
        <v>10</v>
      </c>
      <c r="IH154" s="21">
        <v>11</v>
      </c>
      <c r="II154" s="21">
        <v>12</v>
      </c>
      <c r="IJ154" s="21">
        <v>13</v>
      </c>
      <c r="IK154" s="21">
        <v>14</v>
      </c>
      <c r="IL154" s="21">
        <v>15</v>
      </c>
      <c r="IM154" s="21">
        <v>16</v>
      </c>
      <c r="IN154" s="21">
        <v>17</v>
      </c>
      <c r="IO154" s="21">
        <v>18</v>
      </c>
      <c r="IP154" s="21">
        <v>19</v>
      </c>
      <c r="IQ154" s="21">
        <v>20</v>
      </c>
      <c r="IR154" s="21"/>
      <c r="IS154" s="21"/>
      <c r="IT154" s="21">
        <f t="shared" si="54"/>
        <v>0</v>
      </c>
      <c r="IU154" s="21">
        <f t="shared" si="54"/>
        <v>2</v>
      </c>
      <c r="IV154" s="21">
        <f t="shared" si="54"/>
        <v>4</v>
      </c>
      <c r="IW154" s="21">
        <f t="shared" si="54"/>
        <v>6</v>
      </c>
      <c r="IX154" s="21">
        <f t="shared" si="54"/>
        <v>8</v>
      </c>
      <c r="IY154" s="21">
        <f t="shared" si="54"/>
        <v>10</v>
      </c>
      <c r="IZ154" s="21">
        <f t="shared" si="54"/>
        <v>12</v>
      </c>
      <c r="JA154" s="21">
        <f t="shared" si="54"/>
        <v>14</v>
      </c>
      <c r="JB154" s="21">
        <f t="shared" si="54"/>
        <v>16</v>
      </c>
      <c r="JC154" s="21">
        <f t="shared" si="54"/>
        <v>18</v>
      </c>
      <c r="JD154" s="21">
        <f t="shared" si="54"/>
        <v>20</v>
      </c>
      <c r="JE154" s="21">
        <f t="shared" si="54"/>
        <v>22</v>
      </c>
      <c r="JF154" s="21">
        <f t="shared" si="54"/>
        <v>24</v>
      </c>
      <c r="JG154" s="21">
        <f t="shared" si="54"/>
        <v>26</v>
      </c>
      <c r="JH154" s="21">
        <f t="shared" si="54"/>
        <v>28</v>
      </c>
      <c r="JI154" s="21">
        <f t="shared" si="53"/>
        <v>30</v>
      </c>
      <c r="JJ154" s="21">
        <f t="shared" si="40"/>
        <v>32</v>
      </c>
      <c r="JK154" s="21">
        <f t="shared" si="40"/>
        <v>34</v>
      </c>
      <c r="JL154" s="21">
        <f t="shared" si="40"/>
        <v>36</v>
      </c>
      <c r="JM154" s="21">
        <f t="shared" si="40"/>
        <v>38</v>
      </c>
      <c r="JN154" s="21">
        <f t="shared" si="40"/>
        <v>40</v>
      </c>
      <c r="JO154" s="21"/>
      <c r="JP154" s="21"/>
      <c r="JQ154" s="21"/>
      <c r="JR154" s="20"/>
      <c r="JS154" s="20"/>
      <c r="JT154" s="20"/>
      <c r="JU154" s="20"/>
      <c r="JV154" s="20"/>
      <c r="JW154" s="20"/>
      <c r="JX154" s="20"/>
      <c r="JY154" s="20"/>
      <c r="JZ154" s="20"/>
      <c r="KA154" s="20"/>
      <c r="KB154" s="20"/>
      <c r="KC154" s="20"/>
      <c r="KD154" s="20"/>
      <c r="KE154" s="20"/>
      <c r="KF154" s="20"/>
      <c r="KG154" s="20"/>
      <c r="KH154" s="20"/>
    </row>
    <row r="155" spans="1:294" x14ac:dyDescent="0.25">
      <c r="A155" s="8"/>
      <c r="B155" s="5" t="s">
        <v>116</v>
      </c>
      <c r="C155" s="8"/>
      <c r="D155" s="6" t="s">
        <v>310</v>
      </c>
      <c r="E155" s="8">
        <v>25</v>
      </c>
      <c r="F155" s="5"/>
      <c r="G155" s="5"/>
      <c r="H155" s="5"/>
      <c r="I155" s="5"/>
      <c r="J155" s="5" t="s">
        <v>411</v>
      </c>
      <c r="K155" s="9"/>
      <c r="L155" s="6" t="s">
        <v>211</v>
      </c>
      <c r="M155" s="11">
        <f>INDEX(cennik!$C$2:$L$529,MATCH($L155,cennik!$B$2:$B$522,0),MATCH(M$104,cennik!$C$1:$L$1,0))</f>
        <v>6441205</v>
      </c>
      <c r="N155" s="11" t="str">
        <f>INDEX(cennik!$C$2:$L$529,MATCH($L155,cennik!$B$2:$B$522,0),MATCH(N$104,cennik!$C$1:$L$1,0))</f>
        <v>szt.</v>
      </c>
      <c r="O155" s="11">
        <f>SUM(AD143:AD158)</f>
        <v>0</v>
      </c>
      <c r="P155" s="34">
        <f>INDEX(cennik!$C$2:$L$529,MATCH($L155,cennik!$B$2:$B$522,0),MATCH(P$104,cennik!$C$1:$L$1,0))</f>
        <v>46.35</v>
      </c>
      <c r="Q155" s="34">
        <f t="shared" si="63"/>
        <v>0</v>
      </c>
      <c r="R155" s="35">
        <f t="shared" si="61"/>
        <v>0</v>
      </c>
      <c r="S155" s="34">
        <f t="shared" si="62"/>
        <v>46.35</v>
      </c>
      <c r="T155" s="34">
        <f t="shared" si="64"/>
        <v>0</v>
      </c>
      <c r="U155" s="34">
        <f>INDEX(cennik!$C$2:$L$529,MATCH($L155,cennik!$B$2:$B$522,0),MATCH(U$104,cennik!$C$1:$L$1,0))*O155</f>
        <v>0</v>
      </c>
      <c r="V155" s="20"/>
      <c r="W155" s="25">
        <f t="shared" si="58"/>
        <v>0</v>
      </c>
      <c r="X155" s="20">
        <f t="shared" si="59"/>
        <v>0</v>
      </c>
      <c r="Y155" s="20"/>
      <c r="Z155" s="20">
        <f>(INDEX(($EW$107:$GU$115,$EW$119:$GU$127,$EW$132:$GU$140,$EW$144:$GU$152),MATCH($L$160,$EV$107:$EV$115,0),MATCH(A163,$EW$106:$GU$106,0),MATCH($G$152,$X$128:$X$131,0)))*C163</f>
        <v>0</v>
      </c>
      <c r="AA155" s="20">
        <f>(INDEX(($EW$107:$GU$115,$EW$119:$GU$127,$EW$132:$GU$140,$EW$144:$GU$152),MATCH($L$152,$EV$107:$EV$115,0),MATCH(A163,$EW$106:$GU$106,0),MATCH($G$152,$X$128:$X$131,0)))*C163</f>
        <v>0</v>
      </c>
      <c r="AB155" s="20">
        <f>(INDEX(($EW$107:$GU$115,$EW$119:$GU$127,$EW$132:$GU$140,$EW$144:$GU$152),MATCH($L$153,$EV$107:$EV$115,0),MATCH(A163,$EW$106:$GU$106,0),MATCH($G$152,$X$128:$X$131,0)))*C163</f>
        <v>0</v>
      </c>
      <c r="AC155" s="20">
        <f>(INDEX(($EW$107:$GU$115,$EW$119:$GU$127,$EW$132:$GU$140,$EW$144:$GU$152),MATCH($L$154,$EV$107:$EV$115,0),MATCH(A163,$EW$106:$GU$106,0),MATCH($G$152,$X$128:$X$131,0)))*C163</f>
        <v>0</v>
      </c>
      <c r="AD155" s="20">
        <f>(INDEX(($EW$107:$GU$115,$EW$119:$GU$127,$EW$132:$GU$140,$EW$144:$GU$152),MATCH($L$155,$EV$107:$EV$115,0),MATCH(A163,$EW$106:$GU$106,0),MATCH($G$152,$X$128:$X$131,0)))*C163</f>
        <v>0</v>
      </c>
      <c r="AE155" s="20">
        <f>(INDEX(($EW$107:$GU$115,$EW$119:$GU$127,$EW$132:$GU$140,$EW$144:$GU$152),MATCH($L$156,$EV$107:$EV$115,0),MATCH(A163,$EW$106:$GU$106,0),MATCH($G$152,$X$128:$X$131,0)))*C163</f>
        <v>0</v>
      </c>
      <c r="AF155" s="20">
        <f>(INDEX(($EW$107:$GU$115,$EW$119:$GU$127,$EW$132:$GU$140,$EW$144:$GU$152),MATCH($L$157,$EV$107:$EV$115,0),MATCH(A163,$EW$106:$GU$106,0),MATCH($G$152,$X$128:$X$131,0)))*C163</f>
        <v>0</v>
      </c>
      <c r="AG155" s="20">
        <f>(INDEX(($EW$107:$GU$115,$EW$119:$GU$127,$EW$132:$GU$140,$EW$144:$GU$152),MATCH($L$158,$EV$107:$EV$115,0),MATCH(A163,$EW$106:$GU$106,0),MATCH($G$152,$X$128:$X$131,0)))*C163</f>
        <v>0</v>
      </c>
      <c r="AH155" s="20">
        <f>(INDEX(($EW$107:$GU$115,$EW$119:$GU$127,$EW$132:$GU$140,$EW$144:$GU$152),MATCH($L$159,$EV$107:$EV$115,0),MATCH(A163,$EW$106:$GU$106,0),MATCH($G$152,$X$128:$X$131,0)))*C163</f>
        <v>0</v>
      </c>
      <c r="AI155" s="20"/>
      <c r="AJ155" s="20"/>
      <c r="AK155" s="20"/>
      <c r="AL155" s="20" t="s">
        <v>19</v>
      </c>
      <c r="AM155" s="20">
        <v>0</v>
      </c>
      <c r="AN155" s="20">
        <v>0</v>
      </c>
      <c r="AO155" s="20">
        <v>0</v>
      </c>
      <c r="AP155" s="20">
        <v>0</v>
      </c>
      <c r="AQ155" s="20">
        <v>0</v>
      </c>
      <c r="AR155" s="20">
        <v>4</v>
      </c>
      <c r="AS155" s="20">
        <v>0</v>
      </c>
      <c r="AT155" s="20">
        <v>6</v>
      </c>
      <c r="AU155" s="20">
        <v>4</v>
      </c>
      <c r="AV155" s="20">
        <v>0</v>
      </c>
      <c r="AW155" s="20">
        <v>8</v>
      </c>
      <c r="AX155" s="20">
        <v>2</v>
      </c>
      <c r="AY155" s="20">
        <v>10</v>
      </c>
      <c r="AZ155" s="20">
        <v>8</v>
      </c>
      <c r="BA155" s="20">
        <v>0</v>
      </c>
      <c r="BB155" s="20">
        <v>12</v>
      </c>
      <c r="BC155" s="20">
        <v>6</v>
      </c>
      <c r="BD155" s="20">
        <v>16</v>
      </c>
      <c r="BE155" s="20">
        <v>10</v>
      </c>
      <c r="BF155" s="20">
        <v>20</v>
      </c>
      <c r="BG155" s="20">
        <v>2</v>
      </c>
      <c r="BH155" s="20">
        <v>22</v>
      </c>
      <c r="BI155" s="20">
        <v>14</v>
      </c>
      <c r="BJ155" s="20">
        <v>0</v>
      </c>
      <c r="BK155" s="20">
        <v>10</v>
      </c>
      <c r="BL155" s="20">
        <v>4</v>
      </c>
      <c r="BM155" s="20">
        <v>14</v>
      </c>
      <c r="BN155" s="20">
        <v>18</v>
      </c>
      <c r="BO155" s="20">
        <v>18</v>
      </c>
      <c r="BP155" s="20">
        <v>0</v>
      </c>
      <c r="BQ155" s="20">
        <v>22</v>
      </c>
      <c r="BR155" s="20">
        <v>4</v>
      </c>
      <c r="BS155" s="20">
        <v>28</v>
      </c>
      <c r="BT155" s="20">
        <v>8</v>
      </c>
      <c r="BU155" s="20">
        <v>32</v>
      </c>
      <c r="BV155" s="20">
        <v>26</v>
      </c>
      <c r="BW155" s="20">
        <v>36</v>
      </c>
      <c r="BX155" s="20">
        <v>36</v>
      </c>
      <c r="BY155" s="20">
        <v>40</v>
      </c>
      <c r="BZ155" s="20">
        <v>22</v>
      </c>
      <c r="CA155" s="20">
        <v>42</v>
      </c>
      <c r="CB155" s="20">
        <v>26</v>
      </c>
      <c r="CC155" s="20">
        <v>44</v>
      </c>
      <c r="CD155" s="20">
        <v>30</v>
      </c>
      <c r="CE155" s="20">
        <v>46</v>
      </c>
      <c r="CF155" s="20">
        <v>34</v>
      </c>
      <c r="CG155" s="20">
        <v>48</v>
      </c>
      <c r="CH155" s="20">
        <v>38</v>
      </c>
      <c r="CI155" s="20">
        <v>20</v>
      </c>
      <c r="CJ155" s="20">
        <v>42</v>
      </c>
      <c r="CK155" s="20">
        <v>24</v>
      </c>
      <c r="CL155" s="20"/>
      <c r="CM155" s="20" t="s">
        <v>11</v>
      </c>
      <c r="CN155" s="20">
        <v>0</v>
      </c>
      <c r="CO155" s="20">
        <v>0</v>
      </c>
      <c r="CP155" s="20">
        <v>0</v>
      </c>
      <c r="CQ155" s="20">
        <v>0</v>
      </c>
      <c r="CR155" s="20">
        <v>2</v>
      </c>
      <c r="CS155" s="20">
        <v>2</v>
      </c>
      <c r="CT155" s="20">
        <v>2</v>
      </c>
      <c r="CU155" s="20">
        <v>4</v>
      </c>
      <c r="CV155" s="20">
        <v>4</v>
      </c>
      <c r="CW155" s="20">
        <v>4</v>
      </c>
      <c r="CX155" s="20">
        <v>4</v>
      </c>
      <c r="CY155" s="20">
        <v>6</v>
      </c>
      <c r="CZ155" s="20">
        <v>6</v>
      </c>
      <c r="DA155" s="20">
        <v>6</v>
      </c>
      <c r="DB155" s="20">
        <v>8</v>
      </c>
      <c r="DC155" s="20">
        <v>8</v>
      </c>
      <c r="DD155" s="20">
        <v>8</v>
      </c>
      <c r="DE155" s="20">
        <v>8</v>
      </c>
      <c r="DF155" s="20">
        <v>10</v>
      </c>
      <c r="DG155" s="20">
        <v>10</v>
      </c>
      <c r="DH155" s="20">
        <v>10</v>
      </c>
      <c r="DI155" s="20"/>
      <c r="DJ155" s="20"/>
      <c r="DK155" s="20"/>
      <c r="DL155" s="20"/>
      <c r="DM155" s="20"/>
      <c r="DN155" s="20"/>
      <c r="DO155" s="20"/>
      <c r="DP155" s="20"/>
      <c r="DQ155" s="20"/>
      <c r="DR155" s="20"/>
      <c r="DS155" s="20"/>
      <c r="DT155" s="20"/>
      <c r="DU155" s="20"/>
      <c r="DV155" s="20"/>
      <c r="DW155" s="20"/>
      <c r="DX155" s="20"/>
      <c r="DY155" s="20"/>
      <c r="DZ155" s="54"/>
      <c r="EA155" s="54"/>
      <c r="EB155" s="54"/>
      <c r="EC155" s="20"/>
      <c r="ED155" s="20"/>
      <c r="EE155" s="20"/>
      <c r="EF155" s="20"/>
      <c r="EG155" s="20"/>
      <c r="EH155" s="20"/>
      <c r="EI155" s="20"/>
      <c r="EJ155" s="20"/>
      <c r="EK155" s="20"/>
      <c r="EL155" s="20"/>
      <c r="EM155" s="20"/>
      <c r="EN155" s="20"/>
      <c r="EO155" s="20"/>
      <c r="EP155" s="20"/>
      <c r="EQ155" s="20"/>
      <c r="ER155" s="20"/>
      <c r="ES155" s="20"/>
      <c r="ET155" s="20"/>
      <c r="EU155" s="20"/>
      <c r="EV155" s="20"/>
      <c r="EW155" s="20">
        <v>0</v>
      </c>
      <c r="EX155" s="20">
        <v>1</v>
      </c>
      <c r="EY155" s="20">
        <v>2</v>
      </c>
      <c r="EZ155" s="20">
        <v>3</v>
      </c>
      <c r="FA155" s="20">
        <v>4</v>
      </c>
      <c r="FB155" s="20">
        <v>5</v>
      </c>
      <c r="FC155" s="20">
        <v>6</v>
      </c>
      <c r="FD155" s="20">
        <v>7</v>
      </c>
      <c r="FE155" s="20">
        <v>8</v>
      </c>
      <c r="FF155" s="20">
        <v>9</v>
      </c>
      <c r="FG155" s="20">
        <v>10</v>
      </c>
      <c r="FH155" s="20"/>
      <c r="FI155" s="20" t="s">
        <v>472</v>
      </c>
      <c r="FJ155" s="20"/>
      <c r="FK155" s="20"/>
      <c r="FL155" s="20"/>
      <c r="FM155" s="20"/>
      <c r="FN155" s="20"/>
      <c r="FO155" s="20"/>
      <c r="FP155" s="20"/>
      <c r="FQ155" s="20"/>
      <c r="FR155" s="20"/>
      <c r="FS155" s="20"/>
      <c r="FT155" s="20"/>
      <c r="FU155" s="20"/>
      <c r="FV155" s="20" t="s">
        <v>137</v>
      </c>
      <c r="FW155" s="20"/>
      <c r="FX155" s="20"/>
      <c r="FY155" s="20"/>
      <c r="FZ155" s="20"/>
      <c r="GA155" s="20"/>
      <c r="GB155" s="20"/>
      <c r="GC155" s="20"/>
      <c r="GD155" s="20"/>
      <c r="GE155" s="20"/>
      <c r="GF155" s="20"/>
      <c r="GG155" s="20"/>
      <c r="GH155" s="20"/>
      <c r="GI155" s="20"/>
      <c r="GJ155" s="20"/>
      <c r="GK155" s="20"/>
      <c r="GL155" s="20"/>
      <c r="GM155" s="20"/>
      <c r="GN155" s="20"/>
      <c r="GO155" s="20"/>
      <c r="GP155" s="20"/>
      <c r="GQ155" s="20"/>
      <c r="GR155" s="20"/>
      <c r="GS155" s="20"/>
      <c r="GT155" s="20"/>
      <c r="GU155" s="20"/>
      <c r="GV155" s="20"/>
      <c r="GW155" s="20"/>
      <c r="GX155" s="20"/>
      <c r="GY155" s="21"/>
      <c r="GZ155" s="21"/>
      <c r="HA155" s="21"/>
      <c r="HB155" s="21"/>
      <c r="HC155" s="21"/>
      <c r="HD155" s="21"/>
      <c r="HE155" s="21"/>
      <c r="HF155" s="21"/>
      <c r="HG155" s="21"/>
      <c r="HH155" s="21"/>
      <c r="HI155" s="21"/>
      <c r="HJ155" s="21"/>
      <c r="HK155" s="21"/>
      <c r="HL155" s="21"/>
      <c r="HM155" s="21"/>
      <c r="HN155" s="21"/>
      <c r="HO155" s="21"/>
      <c r="HP155" s="21"/>
      <c r="HQ155" s="21"/>
      <c r="HR155" s="21"/>
      <c r="HS155" s="21"/>
      <c r="HT155" s="21"/>
      <c r="HU155" s="21"/>
      <c r="HV155" s="21" t="s">
        <v>826</v>
      </c>
      <c r="HW155" s="21">
        <v>0</v>
      </c>
      <c r="HX155" s="21">
        <v>2</v>
      </c>
      <c r="HY155" s="21">
        <v>4</v>
      </c>
      <c r="HZ155" s="21">
        <v>0</v>
      </c>
      <c r="IA155" s="21">
        <v>2</v>
      </c>
      <c r="IB155" s="21">
        <v>0</v>
      </c>
      <c r="IC155" s="21">
        <v>2</v>
      </c>
      <c r="ID155" s="21">
        <v>4</v>
      </c>
      <c r="IE155" s="21">
        <v>0</v>
      </c>
      <c r="IF155" s="21">
        <v>2</v>
      </c>
      <c r="IG155" s="21">
        <v>4</v>
      </c>
      <c r="IH155" s="21">
        <v>0</v>
      </c>
      <c r="II155" s="21">
        <v>2</v>
      </c>
      <c r="IJ155" s="21">
        <v>0</v>
      </c>
      <c r="IK155" s="21">
        <v>2</v>
      </c>
      <c r="IL155" s="21">
        <v>4</v>
      </c>
      <c r="IM155" s="21">
        <v>0</v>
      </c>
      <c r="IN155" s="21">
        <v>2</v>
      </c>
      <c r="IO155" s="21">
        <v>4</v>
      </c>
      <c r="IP155" s="21">
        <v>0</v>
      </c>
      <c r="IQ155" s="21">
        <v>2</v>
      </c>
      <c r="IR155" s="21"/>
      <c r="IS155" s="21" t="s">
        <v>826</v>
      </c>
      <c r="IT155" s="21">
        <f t="shared" si="54"/>
        <v>0</v>
      </c>
      <c r="IU155" s="21">
        <f t="shared" si="54"/>
        <v>4</v>
      </c>
      <c r="IV155" s="21">
        <f t="shared" si="54"/>
        <v>8</v>
      </c>
      <c r="IW155" s="21">
        <f t="shared" si="54"/>
        <v>0</v>
      </c>
      <c r="IX155" s="21">
        <f t="shared" si="54"/>
        <v>4</v>
      </c>
      <c r="IY155" s="21">
        <f t="shared" si="54"/>
        <v>0</v>
      </c>
      <c r="IZ155" s="21">
        <f t="shared" si="54"/>
        <v>4</v>
      </c>
      <c r="JA155" s="21">
        <f t="shared" si="54"/>
        <v>8</v>
      </c>
      <c r="JB155" s="21">
        <f t="shared" si="54"/>
        <v>0</v>
      </c>
      <c r="JC155" s="21">
        <f t="shared" si="54"/>
        <v>4</v>
      </c>
      <c r="JD155" s="21">
        <f t="shared" si="54"/>
        <v>8</v>
      </c>
      <c r="JE155" s="21">
        <f t="shared" si="54"/>
        <v>0</v>
      </c>
      <c r="JF155" s="21">
        <f t="shared" si="54"/>
        <v>4</v>
      </c>
      <c r="JG155" s="21">
        <f t="shared" si="54"/>
        <v>0</v>
      </c>
      <c r="JH155" s="21">
        <f t="shared" si="54"/>
        <v>4</v>
      </c>
      <c r="JI155" s="21">
        <f t="shared" si="53"/>
        <v>8</v>
      </c>
      <c r="JJ155" s="21">
        <f t="shared" si="40"/>
        <v>0</v>
      </c>
      <c r="JK155" s="21">
        <f t="shared" si="40"/>
        <v>4</v>
      </c>
      <c r="JL155" s="21">
        <f t="shared" si="40"/>
        <v>8</v>
      </c>
      <c r="JM155" s="21">
        <f t="shared" si="40"/>
        <v>0</v>
      </c>
      <c r="JN155" s="21">
        <f t="shared" si="40"/>
        <v>4</v>
      </c>
      <c r="JO155" s="21"/>
      <c r="JP155" s="21"/>
      <c r="JQ155" s="21"/>
      <c r="JR155" s="21"/>
      <c r="JS155" s="21"/>
      <c r="JT155" s="21"/>
      <c r="JU155" s="21"/>
      <c r="JV155" s="21"/>
      <c r="JW155" s="21"/>
      <c r="JX155" s="21"/>
      <c r="JY155" s="21"/>
      <c r="JZ155" s="21"/>
      <c r="KA155" s="21"/>
      <c r="KB155" s="21"/>
      <c r="KC155" s="21"/>
      <c r="KD155" s="21"/>
      <c r="KE155" s="21"/>
      <c r="KF155" s="21"/>
      <c r="KG155" s="21"/>
      <c r="KH155" s="21"/>
    </row>
    <row r="156" spans="1:294" x14ac:dyDescent="0.25">
      <c r="A156" s="8"/>
      <c r="B156" s="5" t="s">
        <v>116</v>
      </c>
      <c r="C156" s="8"/>
      <c r="D156" s="6" t="s">
        <v>162</v>
      </c>
      <c r="E156" s="8">
        <v>0</v>
      </c>
      <c r="F156" s="5"/>
      <c r="G156" s="5"/>
      <c r="H156" s="5"/>
      <c r="I156" s="5"/>
      <c r="J156" s="5" t="s">
        <v>163</v>
      </c>
      <c r="K156" s="9"/>
      <c r="L156" s="6" t="s">
        <v>293</v>
      </c>
      <c r="M156" s="11">
        <f>INDEX(cennik!$C$2:$L$529,MATCH($L156,cennik!$B$2:$B$522,0),MATCH(M$104,cennik!$C$1:$L$1,0))</f>
        <v>851122</v>
      </c>
      <c r="N156" s="11" t="str">
        <f>INDEX(cennik!$C$2:$L$529,MATCH($L156,cennik!$B$2:$B$522,0),MATCH(N$104,cennik!$C$1:$L$1,0))</f>
        <v>szt.</v>
      </c>
      <c r="O156" s="11">
        <f>SUM(AE143:AE158)</f>
        <v>0</v>
      </c>
      <c r="P156" s="34">
        <f>INDEX(cennik!$C$2:$L$529,MATCH($L156,cennik!$B$2:$B$522,0),MATCH(P$104,cennik!$C$1:$L$1,0))</f>
        <v>46.2</v>
      </c>
      <c r="Q156" s="34">
        <f t="shared" si="63"/>
        <v>0</v>
      </c>
      <c r="R156" s="35">
        <f t="shared" si="61"/>
        <v>0</v>
      </c>
      <c r="S156" s="34">
        <f t="shared" si="62"/>
        <v>46.2</v>
      </c>
      <c r="T156" s="34">
        <f t="shared" si="64"/>
        <v>0</v>
      </c>
      <c r="U156" s="34">
        <f>INDEX(cennik!$C$2:$L$529,MATCH($L156,cennik!$B$2:$B$522,0),MATCH(U$104,cennik!$C$1:$L$1,0))*O156</f>
        <v>0</v>
      </c>
      <c r="V156" s="20"/>
      <c r="W156" s="25">
        <f t="shared" si="58"/>
        <v>0</v>
      </c>
      <c r="X156" s="20">
        <f t="shared" si="59"/>
        <v>0</v>
      </c>
      <c r="Y156" s="20"/>
      <c r="Z156" s="20">
        <f>(INDEX(($EW$107:$GU$115,$EW$119:$GU$127,$EW$132:$GU$140,$EW$144:$GU$152),MATCH($L$160,$EV$107:$EV$115,0),MATCH(A164,$EW$106:$GU$106,0),MATCH($G$152,$X$128:$X$131,0)))*C164</f>
        <v>0</v>
      </c>
      <c r="AA156" s="20">
        <f>(INDEX(($EW$107:$GU$115,$EW$119:$GU$127,$EW$132:$GU$140,$EW$144:$GU$152),MATCH($L$152,$EV$107:$EV$115,0),MATCH(A164,$EW$106:$GU$106,0),MATCH($G$152,$X$128:$X$131,0)))*C164</f>
        <v>0</v>
      </c>
      <c r="AB156" s="20">
        <f>(INDEX(($EW$107:$GU$115,$EW$119:$GU$127,$EW$132:$GU$140,$EW$144:$GU$152),MATCH($L$153,$EV$107:$EV$115,0),MATCH(A164,$EW$106:$GU$106,0),MATCH($G$152,$X$128:$X$131,0)))*C164</f>
        <v>0</v>
      </c>
      <c r="AC156" s="20">
        <f>(INDEX(($EW$107:$GU$115,$EW$119:$GU$127,$EW$132:$GU$140,$EW$144:$GU$152),MATCH($L$154,$EV$107:$EV$115,0),MATCH(A164,$EW$106:$GU$106,0),MATCH($G$152,$X$128:$X$131,0)))*C164</f>
        <v>0</v>
      </c>
      <c r="AD156" s="20">
        <f>(INDEX(($EW$107:$GU$115,$EW$119:$GU$127,$EW$132:$GU$140,$EW$144:$GU$152),MATCH($L$155,$EV$107:$EV$115,0),MATCH(A164,$EW$106:$GU$106,0),MATCH($G$152,$X$128:$X$131,0)))*C164</f>
        <v>0</v>
      </c>
      <c r="AE156" s="20">
        <f>(INDEX(($EW$107:$GU$115,$EW$119:$GU$127,$EW$132:$GU$140,$EW$144:$GU$152),MATCH($L$156,$EV$107:$EV$115,0),MATCH(A164,$EW$106:$GU$106,0),MATCH($G$152,$X$128:$X$131,0)))*C164</f>
        <v>0</v>
      </c>
      <c r="AF156" s="20">
        <f>(INDEX(($EW$107:$GU$115,$EW$119:$GU$127,$EW$132:$GU$140,$EW$144:$GU$152),MATCH($L$157,$EV$107:$EV$115,0),MATCH(A164,$EW$106:$GU$106,0),MATCH($G$152,$X$128:$X$131,0)))*C164</f>
        <v>0</v>
      </c>
      <c r="AG156" s="20">
        <f>(INDEX(($EW$107:$GU$115,$EW$119:$GU$127,$EW$132:$GU$140,$EW$144:$GU$152),MATCH($L$158,$EV$107:$EV$115,0),MATCH(A164,$EW$106:$GU$106,0),MATCH($G$152,$X$128:$X$131,0)))*C164</f>
        <v>0</v>
      </c>
      <c r="AH156" s="20">
        <f>(INDEX(($EW$107:$GU$115,$EW$119:$GU$127,$EW$132:$GU$140,$EW$144:$GU$152),MATCH($L$159,$EV$107:$EV$115,0),MATCH(A164,$EW$106:$GU$106,0),MATCH($G$152,$X$128:$X$131,0)))*C164</f>
        <v>0</v>
      </c>
      <c r="AI156" s="20"/>
      <c r="AJ156" s="20"/>
      <c r="AK156" s="20"/>
      <c r="AL156" s="20" t="s">
        <v>408</v>
      </c>
      <c r="AM156" s="20">
        <v>0</v>
      </c>
      <c r="AN156" s="20">
        <f>((((SUM(AN151:AN155))/2)-1))*4</f>
        <v>0</v>
      </c>
      <c r="AO156" s="20">
        <f t="shared" ref="AO156:CK156" si="65">((((SUM(AO151:AO155))/2)-1))*4</f>
        <v>4</v>
      </c>
      <c r="AP156" s="20">
        <f t="shared" si="65"/>
        <v>4</v>
      </c>
      <c r="AQ156" s="20">
        <f t="shared" si="65"/>
        <v>8</v>
      </c>
      <c r="AR156" s="20">
        <f t="shared" si="65"/>
        <v>8</v>
      </c>
      <c r="AS156" s="20">
        <f t="shared" si="65"/>
        <v>12</v>
      </c>
      <c r="AT156" s="20">
        <f t="shared" si="65"/>
        <v>12</v>
      </c>
      <c r="AU156" s="20">
        <f t="shared" si="65"/>
        <v>16</v>
      </c>
      <c r="AV156" s="20">
        <f t="shared" si="65"/>
        <v>16</v>
      </c>
      <c r="AW156" s="20">
        <f t="shared" si="65"/>
        <v>20</v>
      </c>
      <c r="AX156" s="20">
        <f t="shared" si="65"/>
        <v>20</v>
      </c>
      <c r="AY156" s="20">
        <f t="shared" si="65"/>
        <v>24</v>
      </c>
      <c r="AZ156" s="20">
        <f t="shared" si="65"/>
        <v>24</v>
      </c>
      <c r="BA156" s="20">
        <f t="shared" si="65"/>
        <v>28</v>
      </c>
      <c r="BB156" s="20">
        <f t="shared" si="65"/>
        <v>28</v>
      </c>
      <c r="BC156" s="20">
        <f t="shared" si="65"/>
        <v>32</v>
      </c>
      <c r="BD156" s="20">
        <f t="shared" si="65"/>
        <v>32</v>
      </c>
      <c r="BE156" s="20">
        <f t="shared" si="65"/>
        <v>36</v>
      </c>
      <c r="BF156" s="20">
        <f t="shared" si="65"/>
        <v>36</v>
      </c>
      <c r="BG156" s="20">
        <f t="shared" si="65"/>
        <v>40</v>
      </c>
      <c r="BH156" s="20">
        <f t="shared" si="65"/>
        <v>40</v>
      </c>
      <c r="BI156" s="20">
        <f t="shared" si="65"/>
        <v>44</v>
      </c>
      <c r="BJ156" s="20">
        <f t="shared" si="65"/>
        <v>48</v>
      </c>
      <c r="BK156" s="20">
        <f t="shared" si="65"/>
        <v>48</v>
      </c>
      <c r="BL156" s="20">
        <f t="shared" si="65"/>
        <v>52</v>
      </c>
      <c r="BM156" s="20">
        <f t="shared" si="65"/>
        <v>52</v>
      </c>
      <c r="BN156" s="20">
        <f t="shared" si="65"/>
        <v>56</v>
      </c>
      <c r="BO156" s="20">
        <f t="shared" si="65"/>
        <v>56</v>
      </c>
      <c r="BP156" s="20">
        <f t="shared" si="65"/>
        <v>60</v>
      </c>
      <c r="BQ156" s="20">
        <f t="shared" si="65"/>
        <v>60</v>
      </c>
      <c r="BR156" s="20">
        <f t="shared" si="65"/>
        <v>64</v>
      </c>
      <c r="BS156" s="20">
        <f t="shared" si="65"/>
        <v>64</v>
      </c>
      <c r="BT156" s="20">
        <f t="shared" si="65"/>
        <v>68</v>
      </c>
      <c r="BU156" s="20">
        <f t="shared" si="65"/>
        <v>68</v>
      </c>
      <c r="BV156" s="20">
        <f t="shared" si="65"/>
        <v>72</v>
      </c>
      <c r="BW156" s="20">
        <f t="shared" si="65"/>
        <v>72</v>
      </c>
      <c r="BX156" s="20">
        <f t="shared" si="65"/>
        <v>76</v>
      </c>
      <c r="BY156" s="20">
        <f t="shared" si="65"/>
        <v>76</v>
      </c>
      <c r="BZ156" s="20">
        <f t="shared" si="65"/>
        <v>80</v>
      </c>
      <c r="CA156" s="20">
        <f t="shared" si="65"/>
        <v>80</v>
      </c>
      <c r="CB156" s="20">
        <f t="shared" si="65"/>
        <v>84</v>
      </c>
      <c r="CC156" s="20">
        <f t="shared" si="65"/>
        <v>84</v>
      </c>
      <c r="CD156" s="20">
        <f t="shared" si="65"/>
        <v>88</v>
      </c>
      <c r="CE156" s="20">
        <f t="shared" si="65"/>
        <v>88</v>
      </c>
      <c r="CF156" s="20">
        <f t="shared" si="65"/>
        <v>92</v>
      </c>
      <c r="CG156" s="20">
        <f t="shared" si="65"/>
        <v>92</v>
      </c>
      <c r="CH156" s="20">
        <f t="shared" si="65"/>
        <v>96</v>
      </c>
      <c r="CI156" s="20">
        <f t="shared" si="65"/>
        <v>100</v>
      </c>
      <c r="CJ156" s="20">
        <f t="shared" si="65"/>
        <v>100</v>
      </c>
      <c r="CK156" s="20">
        <f t="shared" si="65"/>
        <v>104</v>
      </c>
      <c r="CL156" s="20"/>
      <c r="CM156" s="20"/>
      <c r="CN156" s="20"/>
      <c r="CO156" s="20"/>
      <c r="CP156" s="20"/>
      <c r="CQ156" s="20"/>
      <c r="CR156" s="20"/>
      <c r="CS156" s="20"/>
      <c r="CT156" s="20"/>
      <c r="CU156" s="20"/>
      <c r="CV156" s="20"/>
      <c r="CW156" s="20"/>
      <c r="CX156" s="20"/>
      <c r="CY156" s="20"/>
      <c r="CZ156" s="20"/>
      <c r="DA156" s="20"/>
      <c r="DB156" s="20"/>
      <c r="DC156" s="20"/>
      <c r="DD156" s="20"/>
      <c r="DE156" s="20"/>
      <c r="DF156" s="20"/>
      <c r="DG156" s="20"/>
      <c r="DH156" s="20"/>
      <c r="DI156" s="20"/>
      <c r="DJ156" s="20"/>
      <c r="DK156" s="20"/>
      <c r="DL156" s="20"/>
      <c r="DM156" s="20"/>
      <c r="DN156" s="20"/>
      <c r="DO156" s="20"/>
      <c r="DP156" s="20"/>
      <c r="DQ156" s="20"/>
      <c r="DR156" s="20"/>
      <c r="DS156" s="20"/>
      <c r="DT156" s="20"/>
      <c r="DU156" s="20"/>
      <c r="DV156" s="20"/>
      <c r="DW156" s="20"/>
      <c r="DX156" s="20"/>
      <c r="DY156" s="20"/>
      <c r="DZ156" s="54"/>
      <c r="EA156" s="54"/>
      <c r="EB156" s="54"/>
      <c r="EC156" s="20"/>
      <c r="ED156" s="20"/>
      <c r="EE156" s="20"/>
      <c r="EF156" s="20"/>
      <c r="EG156" s="20"/>
      <c r="EH156" s="20"/>
      <c r="EI156" s="20"/>
      <c r="EJ156" s="20"/>
      <c r="EK156" s="20"/>
      <c r="EL156" s="20"/>
      <c r="EM156" s="20"/>
      <c r="EN156" s="20"/>
      <c r="EO156" s="20"/>
      <c r="EP156" s="20"/>
      <c r="EQ156" s="20"/>
      <c r="ER156" s="20"/>
      <c r="ES156" s="20"/>
      <c r="ET156" s="20"/>
      <c r="EU156" s="20"/>
      <c r="EV156" s="20" t="s">
        <v>210</v>
      </c>
      <c r="EW156" s="20">
        <v>0</v>
      </c>
      <c r="EX156" s="20">
        <v>0</v>
      </c>
      <c r="EY156" s="20">
        <v>0</v>
      </c>
      <c r="EZ156" s="20">
        <v>0</v>
      </c>
      <c r="FA156" s="20">
        <v>0</v>
      </c>
      <c r="FB156" s="20">
        <v>0</v>
      </c>
      <c r="FC156" s="20">
        <v>0</v>
      </c>
      <c r="FD156" s="20">
        <v>2</v>
      </c>
      <c r="FE156" s="20">
        <v>0</v>
      </c>
      <c r="FF156" s="20">
        <v>0</v>
      </c>
      <c r="FG156" s="20">
        <v>0</v>
      </c>
      <c r="FH156" s="20"/>
      <c r="FI156" s="20"/>
      <c r="FJ156" s="20">
        <v>0</v>
      </c>
      <c r="FK156" s="20">
        <v>1</v>
      </c>
      <c r="FL156" s="20">
        <v>2</v>
      </c>
      <c r="FM156" s="20">
        <v>3</v>
      </c>
      <c r="FN156" s="20">
        <v>4</v>
      </c>
      <c r="FO156" s="20">
        <v>5</v>
      </c>
      <c r="FP156" s="20">
        <v>6</v>
      </c>
      <c r="FQ156" s="20">
        <v>7</v>
      </c>
      <c r="FR156" s="20">
        <v>8</v>
      </c>
      <c r="FS156" s="20">
        <v>9</v>
      </c>
      <c r="FT156" s="20">
        <v>10</v>
      </c>
      <c r="FU156" s="20"/>
      <c r="FV156" s="20"/>
      <c r="FW156" s="20">
        <v>0</v>
      </c>
      <c r="FX156" s="20">
        <v>1</v>
      </c>
      <c r="FY156" s="20">
        <v>2</v>
      </c>
      <c r="FZ156" s="20">
        <v>3</v>
      </c>
      <c r="GA156" s="20">
        <v>4</v>
      </c>
      <c r="GB156" s="20">
        <v>5</v>
      </c>
      <c r="GC156" s="20">
        <v>6</v>
      </c>
      <c r="GD156" s="20">
        <v>7</v>
      </c>
      <c r="GE156" s="20">
        <v>8</v>
      </c>
      <c r="GF156" s="20">
        <v>9</v>
      </c>
      <c r="GG156" s="20">
        <v>10</v>
      </c>
      <c r="GH156" s="20"/>
      <c r="GI156" s="20"/>
      <c r="GJ156" s="20"/>
      <c r="GK156" s="20"/>
      <c r="GL156" s="20"/>
      <c r="GM156" s="20"/>
      <c r="GN156" s="20"/>
      <c r="GO156" s="20"/>
      <c r="GP156" s="20"/>
      <c r="GQ156" s="20"/>
      <c r="GR156" s="20"/>
      <c r="GS156" s="20"/>
      <c r="GT156" s="20"/>
      <c r="GU156" s="20"/>
      <c r="GV156" s="20"/>
      <c r="GW156" s="20"/>
      <c r="GX156" s="20"/>
      <c r="GY156" s="21"/>
      <c r="GZ156" s="21"/>
      <c r="HA156" s="21"/>
      <c r="HB156" s="21"/>
      <c r="HC156" s="21"/>
      <c r="HD156" s="21"/>
      <c r="HE156" s="21"/>
      <c r="HF156" s="21"/>
      <c r="HG156" s="21"/>
      <c r="HH156" s="21"/>
      <c r="HI156" s="21"/>
      <c r="HJ156" s="21"/>
      <c r="HK156" s="21"/>
      <c r="HL156" s="21"/>
      <c r="HM156" s="21"/>
      <c r="HN156" s="21"/>
      <c r="HO156" s="21"/>
      <c r="HP156" s="21"/>
      <c r="HQ156" s="21"/>
      <c r="HR156" s="21"/>
      <c r="HS156" s="21"/>
      <c r="HT156" s="21"/>
      <c r="HU156" s="21"/>
      <c r="HV156" s="21" t="s">
        <v>825</v>
      </c>
      <c r="HW156" s="21">
        <v>0</v>
      </c>
      <c r="HX156" s="21">
        <v>0</v>
      </c>
      <c r="HY156" s="21">
        <v>0</v>
      </c>
      <c r="HZ156" s="21">
        <v>4</v>
      </c>
      <c r="IA156" s="21">
        <v>4</v>
      </c>
      <c r="IB156" s="21">
        <v>6</v>
      </c>
      <c r="IC156" s="21">
        <v>6</v>
      </c>
      <c r="ID156" s="21">
        <v>6</v>
      </c>
      <c r="IE156" s="21">
        <v>10</v>
      </c>
      <c r="IF156" s="21">
        <v>10</v>
      </c>
      <c r="IG156" s="21">
        <v>10</v>
      </c>
      <c r="IH156" s="21">
        <v>14</v>
      </c>
      <c r="II156" s="21">
        <v>14</v>
      </c>
      <c r="IJ156" s="21">
        <v>16</v>
      </c>
      <c r="IK156" s="21">
        <v>16</v>
      </c>
      <c r="IL156" s="21">
        <v>16</v>
      </c>
      <c r="IM156" s="21">
        <v>20</v>
      </c>
      <c r="IN156" s="21">
        <v>20</v>
      </c>
      <c r="IO156" s="21">
        <v>20</v>
      </c>
      <c r="IP156" s="21">
        <v>24</v>
      </c>
      <c r="IQ156" s="21">
        <v>24</v>
      </c>
      <c r="IR156" s="21"/>
      <c r="IS156" s="21" t="s">
        <v>825</v>
      </c>
      <c r="IT156" s="21">
        <f t="shared" si="54"/>
        <v>0</v>
      </c>
      <c r="IU156" s="21">
        <f t="shared" si="54"/>
        <v>0</v>
      </c>
      <c r="IV156" s="21">
        <f t="shared" si="54"/>
        <v>0</v>
      </c>
      <c r="IW156" s="21">
        <f t="shared" si="54"/>
        <v>8</v>
      </c>
      <c r="IX156" s="21">
        <f t="shared" si="54"/>
        <v>8</v>
      </c>
      <c r="IY156" s="21">
        <f t="shared" si="54"/>
        <v>12</v>
      </c>
      <c r="IZ156" s="21">
        <f t="shared" si="54"/>
        <v>12</v>
      </c>
      <c r="JA156" s="21">
        <f t="shared" si="54"/>
        <v>12</v>
      </c>
      <c r="JB156" s="21">
        <f t="shared" si="54"/>
        <v>20</v>
      </c>
      <c r="JC156" s="21">
        <f t="shared" si="54"/>
        <v>20</v>
      </c>
      <c r="JD156" s="21">
        <f t="shared" si="54"/>
        <v>20</v>
      </c>
      <c r="JE156" s="21">
        <f t="shared" si="54"/>
        <v>28</v>
      </c>
      <c r="JF156" s="21">
        <f t="shared" si="54"/>
        <v>28</v>
      </c>
      <c r="JG156" s="21">
        <f t="shared" si="54"/>
        <v>32</v>
      </c>
      <c r="JH156" s="21">
        <f t="shared" si="54"/>
        <v>32</v>
      </c>
      <c r="JI156" s="21">
        <f t="shared" si="53"/>
        <v>32</v>
      </c>
      <c r="JJ156" s="21">
        <f t="shared" si="40"/>
        <v>40</v>
      </c>
      <c r="JK156" s="21">
        <f t="shared" si="40"/>
        <v>40</v>
      </c>
      <c r="JL156" s="21">
        <f t="shared" si="40"/>
        <v>40</v>
      </c>
      <c r="JM156" s="21">
        <f t="shared" si="40"/>
        <v>48</v>
      </c>
      <c r="JN156" s="21">
        <f t="shared" si="40"/>
        <v>48</v>
      </c>
      <c r="JO156" s="21"/>
      <c r="JP156" s="21"/>
      <c r="JQ156" s="26"/>
      <c r="JR156" s="21"/>
      <c r="JS156" s="20"/>
      <c r="JT156" s="21"/>
      <c r="JU156" s="21"/>
      <c r="JV156" s="21"/>
      <c r="JW156" s="21"/>
      <c r="JX156" s="21"/>
      <c r="JY156" s="21"/>
      <c r="JZ156" s="21"/>
      <c r="KA156" s="21"/>
      <c r="KB156" s="21"/>
      <c r="KC156" s="21"/>
      <c r="KD156" s="21"/>
      <c r="KE156" s="21"/>
      <c r="KF156" s="21"/>
      <c r="KG156" s="21"/>
      <c r="KH156" s="21"/>
    </row>
    <row r="157" spans="1:294" x14ac:dyDescent="0.25">
      <c r="A157" s="8"/>
      <c r="B157" s="5" t="s">
        <v>116</v>
      </c>
      <c r="C157" s="8"/>
      <c r="D157" s="6" t="s">
        <v>515</v>
      </c>
      <c r="E157" s="8">
        <v>0</v>
      </c>
      <c r="F157" s="5"/>
      <c r="G157" s="5"/>
      <c r="H157" s="5"/>
      <c r="I157" s="5"/>
      <c r="J157" s="5" t="s">
        <v>412</v>
      </c>
      <c r="K157" s="9"/>
      <c r="L157" s="6" t="s">
        <v>10</v>
      </c>
      <c r="M157" s="11">
        <f>INDEX(cennik!$C$2:$L$529,MATCH($L157,cennik!$B$2:$B$522,0),MATCH(M$104,cennik!$C$1:$L$1,0))</f>
        <v>6441305</v>
      </c>
      <c r="N157" s="11" t="str">
        <f>INDEX(cennik!$C$2:$L$529,MATCH($L157,cennik!$B$2:$B$522,0),MATCH(N$104,cennik!$C$1:$L$1,0))</f>
        <v>szt.</v>
      </c>
      <c r="O157" s="11">
        <f>SUM(AF143:AF158)</f>
        <v>0</v>
      </c>
      <c r="P157" s="34">
        <f>INDEX(cennik!$C$2:$L$529,MATCH($L157,cennik!$B$2:$B$522,0),MATCH(P$104,cennik!$C$1:$L$1,0))</f>
        <v>69.55</v>
      </c>
      <c r="Q157" s="34">
        <f t="shared" si="63"/>
        <v>0</v>
      </c>
      <c r="R157" s="35">
        <f t="shared" si="61"/>
        <v>0</v>
      </c>
      <c r="S157" s="34">
        <f t="shared" si="62"/>
        <v>69.55</v>
      </c>
      <c r="T157" s="34">
        <f t="shared" si="64"/>
        <v>0</v>
      </c>
      <c r="U157" s="34">
        <f>INDEX(cennik!$C$2:$L$529,MATCH($L157,cennik!$B$2:$B$522,0),MATCH(U$104,cennik!$C$1:$L$1,0))*O157</f>
        <v>0</v>
      </c>
      <c r="V157" s="20"/>
      <c r="W157" s="25">
        <f t="shared" si="58"/>
        <v>0</v>
      </c>
      <c r="X157" s="20">
        <f t="shared" si="59"/>
        <v>0</v>
      </c>
      <c r="Y157" s="20"/>
      <c r="Z157" s="20">
        <f>(INDEX(($EW$107:$GU$115,$EW$119:$GU$127,$EW$132:$GU$140,$EW$144:$GU$152),MATCH($L$160,$EV$107:$EV$115,0),MATCH(A165,$EW$106:$GU$106,0),MATCH($G$152,$X$128:$X$131,0)))*C165</f>
        <v>0</v>
      </c>
      <c r="AA157" s="20">
        <f>(INDEX(($EW$107:$GU$115,$EW$119:$GU$127,$EW$132:$GU$140,$EW$144:$GU$152),MATCH($L$152,$EV$107:$EV$115,0),MATCH(A165,$EW$106:$GU$106,0),MATCH($G$152,$X$128:$X$131,0)))*C165</f>
        <v>0</v>
      </c>
      <c r="AB157" s="20">
        <f>(INDEX(($EW$107:$GU$115,$EW$119:$GU$127,$EW$132:$GU$140,$EW$144:$GU$152),MATCH($L$153,$EV$107:$EV$115,0),MATCH(A165,$EW$106:$GU$106,0),MATCH($G$152,$X$128:$X$131,0)))*C165</f>
        <v>0</v>
      </c>
      <c r="AC157" s="20">
        <f>(INDEX(($EW$107:$GU$115,$EW$119:$GU$127,$EW$132:$GU$140,$EW$144:$GU$152),MATCH($L$154,$EV$107:$EV$115,0),MATCH(A165,$EW$106:$GU$106,0),MATCH($G$152,$X$128:$X$131,0)))*C165</f>
        <v>0</v>
      </c>
      <c r="AD157" s="20">
        <f>(INDEX(($EW$107:$GU$115,$EW$119:$GU$127,$EW$132:$GU$140,$EW$144:$GU$152),MATCH($L$155,$EV$107:$EV$115,0),MATCH(A165,$EW$106:$GU$106,0),MATCH($G$152,$X$128:$X$131,0)))*C165</f>
        <v>0</v>
      </c>
      <c r="AE157" s="20">
        <f>(INDEX(($EW$107:$GU$115,$EW$119:$GU$127,$EW$132:$GU$140,$EW$144:$GU$152),MATCH($L$156,$EV$107:$EV$115,0),MATCH(A165,$EW$106:$GU$106,0),MATCH($G$152,$X$128:$X$131,0)))*C165</f>
        <v>0</v>
      </c>
      <c r="AF157" s="20">
        <f>(INDEX(($EW$107:$GU$115,$EW$119:$GU$127,$EW$132:$GU$140,$EW$144:$GU$152),MATCH($L$157,$EV$107:$EV$115,0),MATCH(A165,$EW$106:$GU$106,0),MATCH($G$152,$X$128:$X$131,0)))*C165</f>
        <v>0</v>
      </c>
      <c r="AG157" s="20">
        <f>(INDEX(($EW$107:$GU$115,$EW$119:$GU$127,$EW$132:$GU$140,$EW$144:$GU$152),MATCH($L$158,$EV$107:$EV$115,0),MATCH(A165,$EW$106:$GU$106,0),MATCH($G$152,$X$128:$X$131,0)))*C165</f>
        <v>0</v>
      </c>
      <c r="AH157" s="20">
        <f>(INDEX(($EW$107:$GU$115,$EW$119:$GU$127,$EW$132:$GU$140,$EW$144:$GU$152),MATCH($L$159,$EV$107:$EV$115,0),MATCH(A165,$EW$106:$GU$106,0),MATCH($G$152,$X$128:$X$131,0)))*C165</f>
        <v>0</v>
      </c>
      <c r="AI157" s="20"/>
      <c r="AJ157" s="20"/>
      <c r="AK157" s="20"/>
      <c r="AL157" s="20"/>
      <c r="AM157" s="20"/>
      <c r="AN157" s="20"/>
      <c r="AO157" s="20"/>
      <c r="AP157" s="20"/>
      <c r="AQ157" s="20"/>
      <c r="AR157" s="20"/>
      <c r="AS157" s="20"/>
      <c r="AT157" s="20"/>
      <c r="AU157" s="20"/>
      <c r="AV157" s="20"/>
      <c r="AW157" s="20"/>
      <c r="AX157" s="20"/>
      <c r="AY157" s="20"/>
      <c r="AZ157" s="20"/>
      <c r="BA157" s="20"/>
      <c r="BB157" s="20"/>
      <c r="BC157" s="20"/>
      <c r="BD157" s="20"/>
      <c r="BE157" s="20"/>
      <c r="BF157" s="20"/>
      <c r="BG157" s="20"/>
      <c r="BH157" s="20"/>
      <c r="BI157" s="20"/>
      <c r="BJ157" s="20"/>
      <c r="BK157" s="20"/>
      <c r="BL157" s="20"/>
      <c r="BM157" s="20"/>
      <c r="BN157" s="20"/>
      <c r="BO157" s="20"/>
      <c r="BP157" s="20"/>
      <c r="BQ157" s="20"/>
      <c r="BR157" s="20"/>
      <c r="BS157" s="20"/>
      <c r="BT157" s="20"/>
      <c r="BU157" s="20"/>
      <c r="BV157" s="20"/>
      <c r="BW157" s="20"/>
      <c r="BX157" s="20"/>
      <c r="BY157" s="20"/>
      <c r="BZ157" s="20"/>
      <c r="CA157" s="20"/>
      <c r="CB157" s="20"/>
      <c r="CC157" s="20"/>
      <c r="CD157" s="20"/>
      <c r="CE157" s="20"/>
      <c r="CF157" s="20"/>
      <c r="CG157" s="20"/>
      <c r="CH157" s="20"/>
      <c r="CI157" s="20"/>
      <c r="CJ157" s="20"/>
      <c r="CK157" s="20"/>
      <c r="CL157" s="20"/>
      <c r="CM157" s="20" t="s">
        <v>115</v>
      </c>
      <c r="CN157" s="20"/>
      <c r="CO157" s="20"/>
      <c r="CP157" s="20"/>
      <c r="CQ157" s="20"/>
      <c r="CR157" s="20"/>
      <c r="CS157" s="20"/>
      <c r="CT157" s="20"/>
      <c r="CU157" s="20"/>
      <c r="CV157" s="20"/>
      <c r="CW157" s="20"/>
      <c r="CX157" s="20"/>
      <c r="CY157" s="20"/>
      <c r="CZ157" s="20"/>
      <c r="DA157" s="20"/>
      <c r="DB157" s="20"/>
      <c r="DC157" s="20"/>
      <c r="DD157" s="20"/>
      <c r="DE157" s="20"/>
      <c r="DF157" s="20"/>
      <c r="DG157" s="20"/>
      <c r="DH157" s="20"/>
      <c r="DI157" s="20"/>
      <c r="DJ157" s="20"/>
      <c r="DK157" s="20"/>
      <c r="DL157" s="20"/>
      <c r="DM157" s="20"/>
      <c r="DN157" s="20"/>
      <c r="DO157" s="20"/>
      <c r="DP157" s="20"/>
      <c r="DQ157" s="20"/>
      <c r="DR157" s="20"/>
      <c r="DS157" s="20"/>
      <c r="DT157" s="20"/>
      <c r="DU157" s="20"/>
      <c r="DV157" s="20"/>
      <c r="DW157" s="20"/>
      <c r="DX157" s="20"/>
      <c r="DY157" s="20"/>
      <c r="DZ157" s="54"/>
      <c r="EA157" s="54"/>
      <c r="EB157" s="54"/>
      <c r="EC157" s="20"/>
      <c r="ED157" s="20"/>
      <c r="EE157" s="20"/>
      <c r="EF157" s="20"/>
      <c r="EG157" s="20"/>
      <c r="EH157" s="20"/>
      <c r="EI157" s="20"/>
      <c r="EJ157" s="20"/>
      <c r="EK157" s="20"/>
      <c r="EL157" s="20"/>
      <c r="EM157" s="20"/>
      <c r="EN157" s="20"/>
      <c r="EO157" s="20"/>
      <c r="EP157" s="20"/>
      <c r="EQ157" s="20"/>
      <c r="ER157" s="20"/>
      <c r="ES157" s="20"/>
      <c r="ET157" s="20"/>
      <c r="EU157" s="20"/>
      <c r="EV157" s="20" t="s">
        <v>9</v>
      </c>
      <c r="EW157" s="20">
        <v>0</v>
      </c>
      <c r="EX157" s="20">
        <v>0</v>
      </c>
      <c r="EY157" s="20">
        <v>0</v>
      </c>
      <c r="EZ157" s="20">
        <v>0</v>
      </c>
      <c r="FA157" s="20">
        <v>0</v>
      </c>
      <c r="FB157" s="20">
        <v>0</v>
      </c>
      <c r="FC157" s="20">
        <v>0</v>
      </c>
      <c r="FD157" s="20">
        <v>0</v>
      </c>
      <c r="FE157" s="20">
        <v>0</v>
      </c>
      <c r="FF157" s="20">
        <v>2</v>
      </c>
      <c r="FG157" s="20">
        <v>0</v>
      </c>
      <c r="FH157" s="20"/>
      <c r="FI157" s="20" t="s">
        <v>210</v>
      </c>
      <c r="FJ157" s="20">
        <v>0</v>
      </c>
      <c r="FK157" s="20">
        <v>0</v>
      </c>
      <c r="FL157" s="20">
        <v>2</v>
      </c>
      <c r="FM157" s="20">
        <v>0</v>
      </c>
      <c r="FN157" s="20">
        <v>2</v>
      </c>
      <c r="FO157" s="20">
        <v>0</v>
      </c>
      <c r="FP157" s="20">
        <v>2</v>
      </c>
      <c r="FQ157" s="20">
        <v>0</v>
      </c>
      <c r="FR157" s="20">
        <v>2</v>
      </c>
      <c r="FS157" s="20">
        <v>0</v>
      </c>
      <c r="FT157" s="20">
        <v>2</v>
      </c>
      <c r="FU157" s="20"/>
      <c r="FV157" s="20" t="s">
        <v>210</v>
      </c>
      <c r="FW157" s="20">
        <v>0</v>
      </c>
      <c r="FX157" s="20">
        <v>0</v>
      </c>
      <c r="FY157" s="20">
        <v>0</v>
      </c>
      <c r="FZ157" s="20">
        <v>0</v>
      </c>
      <c r="GA157" s="20">
        <v>2</v>
      </c>
      <c r="GB157" s="20">
        <v>0</v>
      </c>
      <c r="GC157" s="20">
        <v>0</v>
      </c>
      <c r="GD157" s="20">
        <v>0</v>
      </c>
      <c r="GE157" s="20">
        <v>0</v>
      </c>
      <c r="GF157" s="20">
        <v>0</v>
      </c>
      <c r="GG157" s="20">
        <v>0</v>
      </c>
      <c r="GH157" s="20"/>
      <c r="GI157" s="20"/>
      <c r="GJ157" s="20"/>
      <c r="GK157" s="20"/>
      <c r="GL157" s="20"/>
      <c r="GM157" s="20"/>
      <c r="GN157" s="20"/>
      <c r="GO157" s="20"/>
      <c r="GP157" s="20"/>
      <c r="GQ157" s="20"/>
      <c r="GR157" s="20"/>
      <c r="GS157" s="20"/>
      <c r="GT157" s="20"/>
      <c r="GU157" s="20"/>
      <c r="GV157" s="20"/>
      <c r="GW157" s="20"/>
      <c r="GX157" s="20"/>
      <c r="GY157" s="21"/>
      <c r="GZ157" s="21"/>
      <c r="HA157" s="21"/>
      <c r="HB157" s="21"/>
      <c r="HC157" s="21"/>
      <c r="HD157" s="21"/>
      <c r="HE157" s="21"/>
      <c r="HF157" s="21"/>
      <c r="HG157" s="21"/>
      <c r="HH157" s="21"/>
      <c r="HI157" s="21"/>
      <c r="HJ157" s="21"/>
      <c r="HK157" s="21"/>
      <c r="HL157" s="21"/>
      <c r="HM157" s="21"/>
      <c r="HN157" s="21"/>
      <c r="HO157" s="21"/>
      <c r="HP157" s="21"/>
      <c r="HQ157" s="21"/>
      <c r="HR157" s="21"/>
      <c r="HS157" s="21"/>
      <c r="HT157" s="21"/>
      <c r="HU157" s="21"/>
      <c r="HV157" s="21" t="s">
        <v>853</v>
      </c>
      <c r="HW157" s="21">
        <v>0</v>
      </c>
      <c r="HX157" s="21">
        <v>0</v>
      </c>
      <c r="HY157" s="21">
        <v>2</v>
      </c>
      <c r="HZ157" s="21">
        <v>2</v>
      </c>
      <c r="IA157" s="21">
        <v>4</v>
      </c>
      <c r="IB157" s="21">
        <v>4</v>
      </c>
      <c r="IC157" s="21">
        <v>6</v>
      </c>
      <c r="ID157" s="21">
        <v>8</v>
      </c>
      <c r="IE157" s="21">
        <v>8</v>
      </c>
      <c r="IF157" s="21">
        <v>10</v>
      </c>
      <c r="IG157" s="21">
        <v>12</v>
      </c>
      <c r="IH157" s="21">
        <v>12</v>
      </c>
      <c r="II157" s="21">
        <v>14</v>
      </c>
      <c r="IJ157" s="21">
        <v>14</v>
      </c>
      <c r="IK157" s="21">
        <v>16</v>
      </c>
      <c r="IL157" s="21">
        <v>18</v>
      </c>
      <c r="IM157" s="21">
        <v>18</v>
      </c>
      <c r="IN157" s="21">
        <v>20</v>
      </c>
      <c r="IO157" s="21">
        <v>22</v>
      </c>
      <c r="IP157" s="21">
        <v>22</v>
      </c>
      <c r="IQ157" s="21">
        <v>24</v>
      </c>
      <c r="IR157" s="21"/>
      <c r="IS157" s="21" t="s">
        <v>853</v>
      </c>
      <c r="IT157" s="21">
        <f t="shared" si="54"/>
        <v>0</v>
      </c>
      <c r="IU157" s="21">
        <f t="shared" si="54"/>
        <v>0</v>
      </c>
      <c r="IV157" s="21">
        <f t="shared" si="54"/>
        <v>4</v>
      </c>
      <c r="IW157" s="21">
        <f t="shared" si="54"/>
        <v>4</v>
      </c>
      <c r="IX157" s="21">
        <f t="shared" si="54"/>
        <v>8</v>
      </c>
      <c r="IY157" s="21">
        <f t="shared" si="54"/>
        <v>8</v>
      </c>
      <c r="IZ157" s="21">
        <f t="shared" si="54"/>
        <v>12</v>
      </c>
      <c r="JA157" s="21">
        <f t="shared" si="54"/>
        <v>16</v>
      </c>
      <c r="JB157" s="21">
        <f t="shared" si="54"/>
        <v>16</v>
      </c>
      <c r="JC157" s="21">
        <f t="shared" si="54"/>
        <v>20</v>
      </c>
      <c r="JD157" s="21">
        <f t="shared" si="54"/>
        <v>24</v>
      </c>
      <c r="JE157" s="21">
        <f t="shared" si="54"/>
        <v>24</v>
      </c>
      <c r="JF157" s="21">
        <f t="shared" si="54"/>
        <v>28</v>
      </c>
      <c r="JG157" s="21">
        <f t="shared" si="54"/>
        <v>28</v>
      </c>
      <c r="JH157" s="21">
        <f t="shared" si="54"/>
        <v>32</v>
      </c>
      <c r="JI157" s="21">
        <f t="shared" si="53"/>
        <v>36</v>
      </c>
      <c r="JJ157" s="21">
        <f t="shared" si="40"/>
        <v>36</v>
      </c>
      <c r="JK157" s="21">
        <f t="shared" si="40"/>
        <v>40</v>
      </c>
      <c r="JL157" s="21">
        <f t="shared" si="40"/>
        <v>44</v>
      </c>
      <c r="JM157" s="21">
        <f t="shared" si="40"/>
        <v>44</v>
      </c>
      <c r="JN157" s="21">
        <f t="shared" si="40"/>
        <v>48</v>
      </c>
      <c r="JO157" s="21"/>
      <c r="JP157" s="21"/>
      <c r="JQ157" s="26"/>
      <c r="JR157" s="21"/>
      <c r="JS157" s="20"/>
      <c r="JT157" s="21"/>
      <c r="JU157" s="21"/>
      <c r="JV157" s="21"/>
      <c r="JW157" s="21"/>
      <c r="JX157" s="21"/>
      <c r="JY157" s="21"/>
      <c r="JZ157" s="21"/>
      <c r="KA157" s="21"/>
      <c r="KB157" s="21"/>
      <c r="KC157" s="21"/>
      <c r="KD157" s="21"/>
      <c r="KE157" s="21"/>
      <c r="KF157" s="21"/>
      <c r="KG157" s="21"/>
      <c r="KH157" s="21"/>
    </row>
    <row r="158" spans="1:294" x14ac:dyDescent="0.25">
      <c r="A158" s="8"/>
      <c r="B158" s="5" t="s">
        <v>116</v>
      </c>
      <c r="C158" s="8"/>
      <c r="D158" s="6" t="s">
        <v>511</v>
      </c>
      <c r="E158" s="4"/>
      <c r="F158" s="6"/>
      <c r="G158" s="6"/>
      <c r="H158" s="6"/>
      <c r="I158" s="6"/>
      <c r="J158" s="1"/>
      <c r="K158" s="9"/>
      <c r="L158" s="6" t="s">
        <v>212</v>
      </c>
      <c r="M158" s="11">
        <f>INDEX(cennik!$C$2:$L$529,MATCH($L158,cennik!$B$2:$B$522,0),MATCH(M$104,cennik!$C$1:$L$1,0))</f>
        <v>851135</v>
      </c>
      <c r="N158" s="11" t="str">
        <f>INDEX(cennik!$C$2:$L$529,MATCH($L158,cennik!$B$2:$B$522,0),MATCH(N$104,cennik!$C$1:$L$1,0))</f>
        <v>szt.</v>
      </c>
      <c r="O158" s="11">
        <f>SUM(AG143:AG158)</f>
        <v>0</v>
      </c>
      <c r="P158" s="34">
        <f>INDEX(cennik!$C$2:$L$529,MATCH($L158,cennik!$B$2:$B$522,0),MATCH(P$104,cennik!$C$1:$L$1,0))</f>
        <v>73.5</v>
      </c>
      <c r="Q158" s="34">
        <f t="shared" si="63"/>
        <v>0</v>
      </c>
      <c r="R158" s="35">
        <f t="shared" si="61"/>
        <v>0</v>
      </c>
      <c r="S158" s="34">
        <f t="shared" si="62"/>
        <v>73.5</v>
      </c>
      <c r="T158" s="34">
        <f t="shared" si="64"/>
        <v>0</v>
      </c>
      <c r="U158" s="34">
        <f>INDEX(cennik!$C$2:$L$529,MATCH($L158,cennik!$B$2:$B$522,0),MATCH(U$104,cennik!$C$1:$L$1,0))*O158</f>
        <v>0</v>
      </c>
      <c r="V158" s="20"/>
      <c r="W158" s="25">
        <f t="shared" si="58"/>
        <v>0</v>
      </c>
      <c r="X158" s="20">
        <f t="shared" si="59"/>
        <v>0</v>
      </c>
      <c r="Y158" s="20"/>
      <c r="Z158" s="20">
        <f>(INDEX(($EW$107:$GU$115,$EW$119:$GU$127,$EW$132:$GU$140,$EW$144:$GU$152),MATCH($L$160,$EV$107:$EV$115,0),MATCH(A166,$EW$106:$GU$106,0),MATCH($G$152,$X$128:$X$131,0)))*C166</f>
        <v>0</v>
      </c>
      <c r="AA158" s="20">
        <f>(INDEX(($EW$107:$GU$115,$EW$119:$GU$127,$EW$132:$GU$140,$EW$144:$GU$152),MATCH($L$152,$EV$107:$EV$115,0),MATCH(A166,$EW$106:$GU$106,0),MATCH($G$152,$X$128:$X$131,0)))*C166</f>
        <v>0</v>
      </c>
      <c r="AB158" s="20">
        <f>(INDEX(($EW$107:$GU$115,$EW$119:$GU$127,$EW$132:$GU$140,$EW$144:$GU$152),MATCH($L$153,$EV$107:$EV$115,0),MATCH(A166,$EW$106:$GU$106,0),MATCH($G$152,$X$128:$X$131,0)))*C166</f>
        <v>0</v>
      </c>
      <c r="AC158" s="20">
        <f>(INDEX(($EW$107:$GU$115,$EW$119:$GU$127,$EW$132:$GU$140,$EW$144:$GU$152),MATCH($L$154,$EV$107:$EV$115,0),MATCH(A166,$EW$106:$GU$106,0),MATCH($G$152,$X$128:$X$131,0)))*C166</f>
        <v>0</v>
      </c>
      <c r="AD158" s="20">
        <f>(INDEX(($EW$107:$GU$115,$EW$119:$GU$127,$EW$132:$GU$140,$EW$144:$GU$152),MATCH($L$155,$EV$107:$EV$115,0),MATCH(A166,$EW$106:$GU$106,0),MATCH($G$152,$X$128:$X$131,0)))*C166</f>
        <v>0</v>
      </c>
      <c r="AE158" s="20">
        <f>(INDEX(($EW$107:$GU$115,$EW$119:$GU$127,$EW$132:$GU$140,$EW$144:$GU$152),MATCH($L$156,$EV$107:$EV$115,0),MATCH(A166,$EW$106:$GU$106,0),MATCH($G$152,$X$128:$X$131,0)))*C166</f>
        <v>0</v>
      </c>
      <c r="AF158" s="20">
        <f>(INDEX(($EW$107:$GU$115,$EW$119:$GU$127,$EW$132:$GU$140,$EW$144:$GU$152),MATCH($L$157,$EV$107:$EV$115,0),MATCH(A166,$EW$106:$GU$106,0),MATCH($G$152,$X$128:$X$131,0)))*C166</f>
        <v>0</v>
      </c>
      <c r="AG158" s="20">
        <f>(INDEX(($EW$107:$GU$115,$EW$119:$GU$127,$EW$132:$GU$140,$EW$144:$GU$152),MATCH($L$158,$EV$107:$EV$115,0),MATCH(A166,$EW$106:$GU$106,0),MATCH($G$152,$X$128:$X$131,0)))*C166</f>
        <v>0</v>
      </c>
      <c r="AH158" s="20">
        <f>(INDEX(($EW$107:$GU$115,$EW$119:$GU$127,$EW$132:$GU$140,$EW$144:$GU$152),MATCH($L$159,$EV$107:$EV$115,0),MATCH(A166,$EW$106:$GU$106,0),MATCH($G$152,$X$128:$X$131,0)))*C166</f>
        <v>0</v>
      </c>
      <c r="AI158" s="20"/>
      <c r="AJ158" s="20"/>
      <c r="AK158" s="20"/>
      <c r="AL158" s="20" t="s">
        <v>132</v>
      </c>
      <c r="AM158" s="20"/>
      <c r="AN158" s="20"/>
      <c r="AO158" s="20"/>
      <c r="AP158" s="20"/>
      <c r="AQ158" s="20"/>
      <c r="AR158" s="20"/>
      <c r="AS158" s="20"/>
      <c r="AT158" s="20"/>
      <c r="AU158" s="20"/>
      <c r="AV158" s="20"/>
      <c r="AW158" s="20"/>
      <c r="AX158" s="20"/>
      <c r="AY158" s="20"/>
      <c r="AZ158" s="20"/>
      <c r="BA158" s="20"/>
      <c r="BB158" s="20"/>
      <c r="BC158" s="20"/>
      <c r="BD158" s="20"/>
      <c r="BE158" s="20"/>
      <c r="BF158" s="20"/>
      <c r="BG158" s="20"/>
      <c r="BH158" s="20"/>
      <c r="BI158" s="20"/>
      <c r="BJ158" s="20"/>
      <c r="BK158" s="20"/>
      <c r="BL158" s="20"/>
      <c r="BM158" s="20"/>
      <c r="BN158" s="20"/>
      <c r="BO158" s="20"/>
      <c r="BP158" s="20"/>
      <c r="BQ158" s="20"/>
      <c r="BR158" s="20"/>
      <c r="BS158" s="20"/>
      <c r="BT158" s="20"/>
      <c r="BU158" s="20"/>
      <c r="BV158" s="20"/>
      <c r="BW158" s="20"/>
      <c r="BX158" s="20"/>
      <c r="BY158" s="20"/>
      <c r="BZ158" s="20"/>
      <c r="CA158" s="20"/>
      <c r="CB158" s="20"/>
      <c r="CC158" s="20"/>
      <c r="CD158" s="20"/>
      <c r="CE158" s="20"/>
      <c r="CF158" s="20"/>
      <c r="CG158" s="20"/>
      <c r="CH158" s="20"/>
      <c r="CI158" s="20"/>
      <c r="CJ158" s="20"/>
      <c r="CK158" s="20"/>
      <c r="CL158" s="20"/>
      <c r="CM158" s="20"/>
      <c r="CN158" s="20">
        <v>0</v>
      </c>
      <c r="CO158" s="20">
        <v>1</v>
      </c>
      <c r="CP158" s="20">
        <v>2</v>
      </c>
      <c r="CQ158" s="20">
        <v>3</v>
      </c>
      <c r="CR158" s="20">
        <v>4</v>
      </c>
      <c r="CS158" s="20">
        <v>5</v>
      </c>
      <c r="CT158" s="20">
        <v>6</v>
      </c>
      <c r="CU158" s="20">
        <v>7</v>
      </c>
      <c r="CV158" s="20">
        <v>8</v>
      </c>
      <c r="CW158" s="20">
        <v>9</v>
      </c>
      <c r="CX158" s="20">
        <v>10</v>
      </c>
      <c r="CY158" s="20">
        <v>11</v>
      </c>
      <c r="CZ158" s="20">
        <v>12</v>
      </c>
      <c r="DA158" s="20">
        <v>13</v>
      </c>
      <c r="DB158" s="20">
        <v>14</v>
      </c>
      <c r="DC158" s="20">
        <v>15</v>
      </c>
      <c r="DD158" s="20">
        <v>16</v>
      </c>
      <c r="DE158" s="20">
        <v>17</v>
      </c>
      <c r="DF158" s="20">
        <v>18</v>
      </c>
      <c r="DG158" s="20">
        <v>19</v>
      </c>
      <c r="DH158" s="20">
        <v>20</v>
      </c>
      <c r="DI158" s="20"/>
      <c r="DJ158" s="20"/>
      <c r="DK158" s="20"/>
      <c r="DL158" s="20"/>
      <c r="DM158" s="20"/>
      <c r="DN158" s="20"/>
      <c r="DO158" s="20"/>
      <c r="DP158" s="20"/>
      <c r="DQ158" s="20"/>
      <c r="DR158" s="20"/>
      <c r="DS158" s="20"/>
      <c r="DT158" s="20"/>
      <c r="DU158" s="20"/>
      <c r="DV158" s="20"/>
      <c r="DW158" s="20"/>
      <c r="DX158" s="20"/>
      <c r="DY158" s="20"/>
      <c r="DZ158" s="54"/>
      <c r="EA158" s="54"/>
      <c r="EB158" s="54"/>
      <c r="EC158" s="20"/>
      <c r="ED158" s="20"/>
      <c r="EE158" s="20"/>
      <c r="EF158" s="20"/>
      <c r="EG158" s="20"/>
      <c r="EH158" s="20"/>
      <c r="EI158" s="20"/>
      <c r="EJ158" s="20"/>
      <c r="EK158" s="20"/>
      <c r="EL158" s="20"/>
      <c r="EM158" s="20"/>
      <c r="EN158" s="20"/>
      <c r="EO158" s="20"/>
      <c r="EP158" s="20"/>
      <c r="EQ158" s="20"/>
      <c r="ER158" s="20"/>
      <c r="ES158" s="20"/>
      <c r="ET158" s="20"/>
      <c r="EU158" s="20"/>
      <c r="EV158" s="20" t="s">
        <v>208</v>
      </c>
      <c r="EW158" s="20">
        <v>0</v>
      </c>
      <c r="EX158" s="20">
        <v>0</v>
      </c>
      <c r="EY158" s="20">
        <v>0</v>
      </c>
      <c r="EZ158" s="20">
        <v>2</v>
      </c>
      <c r="FA158" s="20">
        <v>0</v>
      </c>
      <c r="FB158" s="20">
        <v>0</v>
      </c>
      <c r="FC158" s="20">
        <v>0</v>
      </c>
      <c r="FD158" s="20">
        <v>0</v>
      </c>
      <c r="FE158" s="20">
        <v>0</v>
      </c>
      <c r="FF158" s="20">
        <v>0</v>
      </c>
      <c r="FG158" s="20">
        <v>0</v>
      </c>
      <c r="FH158" s="20"/>
      <c r="FI158" s="20" t="s">
        <v>9</v>
      </c>
      <c r="FJ158" s="20">
        <v>0</v>
      </c>
      <c r="FK158" s="20">
        <v>0</v>
      </c>
      <c r="FL158" s="20">
        <v>0</v>
      </c>
      <c r="FM158" s="20">
        <v>0</v>
      </c>
      <c r="FN158" s="20">
        <v>0</v>
      </c>
      <c r="FO158" s="20">
        <v>0</v>
      </c>
      <c r="FP158" s="20">
        <v>0</v>
      </c>
      <c r="FQ158" s="20">
        <v>0</v>
      </c>
      <c r="FR158" s="20">
        <v>0</v>
      </c>
      <c r="FS158" s="20">
        <v>0</v>
      </c>
      <c r="FT158" s="20">
        <v>0</v>
      </c>
      <c r="FU158" s="20"/>
      <c r="FV158" s="20" t="s">
        <v>9</v>
      </c>
      <c r="FW158" s="20">
        <v>0</v>
      </c>
      <c r="FX158" s="20">
        <v>0</v>
      </c>
      <c r="FY158" s="20">
        <v>2</v>
      </c>
      <c r="FZ158" s="20">
        <v>0</v>
      </c>
      <c r="GA158" s="20">
        <v>0</v>
      </c>
      <c r="GB158" s="20">
        <v>0</v>
      </c>
      <c r="GC158" s="20">
        <v>0</v>
      </c>
      <c r="GD158" s="20">
        <v>0</v>
      </c>
      <c r="GE158" s="20">
        <v>0</v>
      </c>
      <c r="GF158" s="20">
        <v>0</v>
      </c>
      <c r="GG158" s="20">
        <v>0</v>
      </c>
      <c r="GH158" s="20"/>
      <c r="GI158" s="20"/>
      <c r="GJ158" s="20"/>
      <c r="GK158" s="20"/>
      <c r="GL158" s="20"/>
      <c r="GM158" s="20"/>
      <c r="GN158" s="20"/>
      <c r="GO158" s="20"/>
      <c r="GP158" s="20"/>
      <c r="GQ158" s="20"/>
      <c r="GR158" s="20"/>
      <c r="GS158" s="20"/>
      <c r="GT158" s="20"/>
      <c r="GU158" s="20"/>
      <c r="GV158" s="20"/>
      <c r="GW158" s="20"/>
      <c r="GX158" s="20"/>
      <c r="GY158" s="21"/>
      <c r="GZ158" s="21"/>
      <c r="HA158" s="21"/>
      <c r="HB158" s="21"/>
      <c r="HC158" s="21"/>
      <c r="HD158" s="21"/>
      <c r="HE158" s="21"/>
      <c r="HF158" s="21"/>
      <c r="HG158" s="21"/>
      <c r="HH158" s="21"/>
      <c r="HI158" s="21"/>
      <c r="HJ158" s="21"/>
      <c r="HK158" s="21"/>
      <c r="HL158" s="21"/>
      <c r="HM158" s="21"/>
      <c r="HN158" s="21"/>
      <c r="HO158" s="21"/>
      <c r="HP158" s="21"/>
      <c r="HQ158" s="21"/>
      <c r="HR158" s="21"/>
      <c r="HS158" s="21"/>
      <c r="HT158" s="21"/>
      <c r="HU158" s="21"/>
      <c r="HV158" s="186"/>
      <c r="HW158" s="21"/>
      <c r="HX158" s="21"/>
      <c r="HY158" s="21"/>
      <c r="HZ158" s="21"/>
      <c r="IA158" s="21"/>
      <c r="IB158" s="21"/>
      <c r="IC158" s="21"/>
      <c r="ID158" s="21"/>
      <c r="IE158" s="21"/>
      <c r="IF158" s="21"/>
      <c r="IG158" s="21"/>
      <c r="IH158" s="21"/>
      <c r="II158" s="21"/>
      <c r="IJ158" s="21"/>
      <c r="IK158" s="21"/>
      <c r="IL158" s="21"/>
      <c r="IM158" s="21"/>
      <c r="IN158" s="21"/>
      <c r="IO158" s="21"/>
      <c r="IP158" s="21"/>
      <c r="IQ158" s="21"/>
      <c r="IR158" s="21"/>
      <c r="IS158" s="21"/>
      <c r="IT158" s="21"/>
      <c r="IU158" s="21"/>
      <c r="IV158" s="21"/>
      <c r="IW158" s="21"/>
      <c r="IX158" s="21"/>
      <c r="IY158" s="21"/>
      <c r="IZ158" s="21"/>
      <c r="JA158" s="21"/>
      <c r="JB158" s="21"/>
      <c r="JC158" s="21"/>
      <c r="JD158" s="21"/>
      <c r="JE158" s="21"/>
      <c r="JF158" s="21"/>
      <c r="JG158" s="21"/>
      <c r="JH158" s="21"/>
      <c r="JI158" s="21"/>
      <c r="JJ158" s="21"/>
      <c r="JK158" s="21"/>
      <c r="JL158" s="21"/>
      <c r="JM158" s="21"/>
      <c r="JN158" s="21"/>
      <c r="JO158" s="21"/>
      <c r="JP158" s="21"/>
      <c r="JQ158" s="26"/>
      <c r="JR158" s="21"/>
      <c r="JS158" s="20"/>
      <c r="JT158" s="21"/>
      <c r="JU158" s="21"/>
      <c r="JV158" s="21"/>
      <c r="JW158" s="21"/>
      <c r="JX158" s="21"/>
      <c r="JY158" s="21"/>
      <c r="JZ158" s="21"/>
      <c r="KA158" s="21"/>
      <c r="KB158" s="21"/>
      <c r="KC158" s="21"/>
      <c r="KD158" s="21"/>
      <c r="KE158" s="21"/>
      <c r="KF158" s="21"/>
      <c r="KG158" s="21"/>
      <c r="KH158" s="21"/>
    </row>
    <row r="159" spans="1:294" x14ac:dyDescent="0.25">
      <c r="A159" s="8"/>
      <c r="B159" s="5" t="s">
        <v>116</v>
      </c>
      <c r="C159" s="8"/>
      <c r="D159" s="6" t="s">
        <v>774</v>
      </c>
      <c r="E159" s="52">
        <f>INDEX((AI207:AM209),MATCH(E160,AH207:AH209,0),MATCH(E161,AI206:AM206,0))</f>
        <v>1400</v>
      </c>
      <c r="F159" s="9"/>
      <c r="G159" s="9"/>
      <c r="H159" s="9"/>
      <c r="I159" s="9"/>
      <c r="J159" s="5" t="s">
        <v>119</v>
      </c>
      <c r="K159" s="9"/>
      <c r="L159" s="6" t="s">
        <v>214</v>
      </c>
      <c r="M159" s="11">
        <f>INDEX(cennik!$C$2:$L$529,MATCH($L159,cennik!$B$2:$B$522,0),MATCH(M$104,cennik!$C$1:$L$1,0))</f>
        <v>852137</v>
      </c>
      <c r="N159" s="11" t="str">
        <f>INDEX(cennik!$C$2:$L$529,MATCH($L159,cennik!$B$2:$B$522,0),MATCH(N$104,cennik!$C$1:$L$1,0))</f>
        <v>szt.</v>
      </c>
      <c r="O159" s="11">
        <f>SUM(AH143:AH158)</f>
        <v>0</v>
      </c>
      <c r="P159" s="34">
        <f>INDEX(cennik!$C$2:$L$529,MATCH($L159,cennik!$B$2:$B$522,0),MATCH(P$104,cennik!$C$1:$L$1,0))</f>
        <v>77.7</v>
      </c>
      <c r="Q159" s="34">
        <f t="shared" si="63"/>
        <v>0</v>
      </c>
      <c r="R159" s="35">
        <f t="shared" si="61"/>
        <v>0</v>
      </c>
      <c r="S159" s="34">
        <f t="shared" si="62"/>
        <v>77.7</v>
      </c>
      <c r="T159" s="34">
        <f t="shared" si="64"/>
        <v>0</v>
      </c>
      <c r="U159" s="34">
        <f>INDEX(cennik!$C$2:$L$529,MATCH($L159,cennik!$B$2:$B$522,0),MATCH(U$104,cennik!$C$1:$L$1,0))*O159</f>
        <v>0</v>
      </c>
      <c r="V159" s="20"/>
      <c r="W159" s="20"/>
      <c r="X159" s="20"/>
      <c r="Y159" s="20"/>
      <c r="Z159" s="20"/>
      <c r="AA159" s="20"/>
      <c r="AB159" s="20"/>
      <c r="AC159" s="20"/>
      <c r="AD159" s="20"/>
      <c r="AE159" s="20"/>
      <c r="AF159" s="20"/>
      <c r="AG159" s="20"/>
      <c r="AH159" s="20"/>
      <c r="AI159" s="20"/>
      <c r="AJ159" s="20"/>
      <c r="AK159" s="20"/>
      <c r="AL159" s="20"/>
      <c r="AM159" s="20"/>
      <c r="AN159" s="20"/>
      <c r="AO159" s="20"/>
      <c r="AP159" s="20"/>
      <c r="AQ159" s="20"/>
      <c r="AR159" s="20"/>
      <c r="AS159" s="20"/>
      <c r="AT159" s="20"/>
      <c r="AU159" s="20"/>
      <c r="AV159" s="20"/>
      <c r="AW159" s="20"/>
      <c r="AX159" s="20"/>
      <c r="AY159" s="20"/>
      <c r="AZ159" s="20"/>
      <c r="BA159" s="20"/>
      <c r="BB159" s="20"/>
      <c r="BC159" s="20"/>
      <c r="BD159" s="20"/>
      <c r="BE159" s="20"/>
      <c r="BF159" s="20"/>
      <c r="BG159" s="20"/>
      <c r="BH159" s="20"/>
      <c r="BI159" s="20"/>
      <c r="BJ159" s="20"/>
      <c r="BK159" s="20"/>
      <c r="BL159" s="20"/>
      <c r="BM159" s="20"/>
      <c r="BN159" s="20"/>
      <c r="BO159" s="20"/>
      <c r="BP159" s="20"/>
      <c r="BQ159" s="20"/>
      <c r="BR159" s="20"/>
      <c r="BS159" s="20"/>
      <c r="BT159" s="20"/>
      <c r="BU159" s="20"/>
      <c r="BV159" s="20"/>
      <c r="BW159" s="20"/>
      <c r="BX159" s="20"/>
      <c r="BY159" s="20"/>
      <c r="BZ159" s="20"/>
      <c r="CA159" s="20"/>
      <c r="CB159" s="20"/>
      <c r="CC159" s="20"/>
      <c r="CD159" s="20"/>
      <c r="CE159" s="20"/>
      <c r="CF159" s="20"/>
      <c r="CG159" s="20"/>
      <c r="CH159" s="20"/>
      <c r="CI159" s="20"/>
      <c r="CJ159" s="20"/>
      <c r="CK159" s="20"/>
      <c r="CL159" s="20"/>
      <c r="CM159" s="20" t="s">
        <v>293</v>
      </c>
      <c r="CN159" s="20">
        <v>0</v>
      </c>
      <c r="CO159" s="20">
        <v>2</v>
      </c>
      <c r="CP159" s="20">
        <v>2</v>
      </c>
      <c r="CQ159" s="20">
        <v>0</v>
      </c>
      <c r="CR159" s="20">
        <v>4</v>
      </c>
      <c r="CS159" s="20">
        <v>2</v>
      </c>
      <c r="CT159" s="20">
        <v>0</v>
      </c>
      <c r="CU159" s="20">
        <v>4</v>
      </c>
      <c r="CV159" s="20">
        <v>2</v>
      </c>
      <c r="CW159" s="20">
        <v>0</v>
      </c>
      <c r="CX159" s="20">
        <v>4</v>
      </c>
      <c r="CY159" s="20">
        <v>2</v>
      </c>
      <c r="CZ159" s="20">
        <v>0</v>
      </c>
      <c r="DA159" s="20">
        <v>0</v>
      </c>
      <c r="DB159" s="20">
        <v>2</v>
      </c>
      <c r="DC159" s="20">
        <v>2</v>
      </c>
      <c r="DD159" s="20">
        <v>0</v>
      </c>
      <c r="DE159" s="20">
        <v>4</v>
      </c>
      <c r="DF159" s="20">
        <v>2</v>
      </c>
      <c r="DG159" s="20">
        <v>0</v>
      </c>
      <c r="DH159" s="20">
        <v>4</v>
      </c>
      <c r="DI159" s="20"/>
      <c r="DJ159" s="20"/>
      <c r="DK159" s="20"/>
      <c r="DL159" s="20"/>
      <c r="DM159" s="20"/>
      <c r="DN159" s="20"/>
      <c r="DO159" s="20"/>
      <c r="DP159" s="20"/>
      <c r="DQ159" s="20"/>
      <c r="DR159" s="20"/>
      <c r="DS159" s="20"/>
      <c r="DT159" s="20"/>
      <c r="DU159" s="20"/>
      <c r="DV159" s="20"/>
      <c r="DW159" s="20"/>
      <c r="DX159" s="20"/>
      <c r="DY159" s="20"/>
      <c r="DZ159" s="54"/>
      <c r="EA159" s="54"/>
      <c r="EB159" s="54"/>
      <c r="EC159" s="20"/>
      <c r="ED159" s="20"/>
      <c r="EE159" s="20"/>
      <c r="EF159" s="20"/>
      <c r="EG159" s="20"/>
      <c r="EH159" s="20"/>
      <c r="EI159" s="20"/>
      <c r="EJ159" s="20"/>
      <c r="EK159" s="20"/>
      <c r="EL159" s="20"/>
      <c r="EM159" s="20"/>
      <c r="EN159" s="20"/>
      <c r="EO159" s="20"/>
      <c r="EP159" s="20"/>
      <c r="EQ159" s="20"/>
      <c r="ER159" s="20"/>
      <c r="ES159" s="20"/>
      <c r="ET159" s="20"/>
      <c r="EU159" s="20"/>
      <c r="EV159" s="20" t="s">
        <v>211</v>
      </c>
      <c r="EW159" s="20">
        <v>0</v>
      </c>
      <c r="EX159" s="20">
        <v>2</v>
      </c>
      <c r="EY159" s="20">
        <v>0</v>
      </c>
      <c r="EZ159" s="20">
        <v>0</v>
      </c>
      <c r="FA159" s="20">
        <v>0</v>
      </c>
      <c r="FB159" s="20">
        <v>2</v>
      </c>
      <c r="FC159" s="20">
        <v>0</v>
      </c>
      <c r="FD159" s="20">
        <v>0</v>
      </c>
      <c r="FE159" s="20">
        <v>0</v>
      </c>
      <c r="FF159" s="20">
        <v>0</v>
      </c>
      <c r="FG159" s="20">
        <v>0</v>
      </c>
      <c r="FH159" s="20"/>
      <c r="FI159" s="20" t="s">
        <v>208</v>
      </c>
      <c r="FJ159" s="20">
        <v>0</v>
      </c>
      <c r="FK159" s="20">
        <v>0</v>
      </c>
      <c r="FL159" s="20">
        <v>0</v>
      </c>
      <c r="FM159" s="20">
        <v>0</v>
      </c>
      <c r="FN159" s="20">
        <v>0</v>
      </c>
      <c r="FO159" s="20">
        <v>0</v>
      </c>
      <c r="FP159" s="20">
        <v>0</v>
      </c>
      <c r="FQ159" s="20">
        <v>0</v>
      </c>
      <c r="FR159" s="20">
        <v>0</v>
      </c>
      <c r="FS159" s="20">
        <v>0</v>
      </c>
      <c r="FT159" s="20">
        <v>0</v>
      </c>
      <c r="FU159" s="20"/>
      <c r="FV159" s="20" t="s">
        <v>208</v>
      </c>
      <c r="FW159" s="20">
        <v>0</v>
      </c>
      <c r="FX159" s="20">
        <v>0</v>
      </c>
      <c r="FY159" s="20">
        <v>0</v>
      </c>
      <c r="FZ159" s="20">
        <v>0</v>
      </c>
      <c r="GA159" s="20">
        <v>0</v>
      </c>
      <c r="GB159" s="20">
        <v>0</v>
      </c>
      <c r="GC159" s="20">
        <v>0</v>
      </c>
      <c r="GD159" s="20">
        <v>0</v>
      </c>
      <c r="GE159" s="20">
        <v>0</v>
      </c>
      <c r="GF159" s="20">
        <v>0</v>
      </c>
      <c r="GG159" s="20">
        <v>0</v>
      </c>
      <c r="GH159" s="20"/>
      <c r="GI159" s="20"/>
      <c r="GJ159" s="20"/>
      <c r="GK159" s="20"/>
      <c r="GL159" s="20"/>
      <c r="GM159" s="20"/>
      <c r="GN159" s="20"/>
      <c r="GO159" s="20"/>
      <c r="GP159" s="20"/>
      <c r="GQ159" s="20"/>
      <c r="GR159" s="20"/>
      <c r="GS159" s="20"/>
      <c r="GT159" s="20"/>
      <c r="GU159" s="20"/>
      <c r="GV159" s="20"/>
      <c r="GW159" s="20"/>
      <c r="GX159" s="20"/>
      <c r="GY159" s="21"/>
      <c r="GZ159" s="21"/>
      <c r="HA159" s="21"/>
      <c r="HB159" s="21"/>
      <c r="HC159" s="21"/>
      <c r="HD159" s="21"/>
      <c r="HE159" s="21"/>
      <c r="HF159" s="21"/>
      <c r="HG159" s="21"/>
      <c r="HH159" s="21"/>
      <c r="HI159" s="21"/>
      <c r="HJ159" s="21"/>
      <c r="HK159" s="21"/>
      <c r="HL159" s="21"/>
      <c r="HM159" s="21"/>
      <c r="HN159" s="21"/>
      <c r="HO159" s="21"/>
      <c r="HP159" s="21"/>
      <c r="HQ159" s="21"/>
      <c r="HR159" s="21"/>
      <c r="HS159" s="21"/>
      <c r="HT159" s="21"/>
      <c r="HU159" s="346"/>
      <c r="HV159" s="186" t="s">
        <v>138</v>
      </c>
      <c r="HW159" s="21"/>
      <c r="HX159" s="21"/>
      <c r="HY159" s="21"/>
      <c r="HZ159" s="21"/>
      <c r="IA159" s="21"/>
      <c r="IB159" s="21"/>
      <c r="IC159" s="21"/>
      <c r="ID159" s="21"/>
      <c r="IE159" s="21"/>
      <c r="IF159" s="21"/>
      <c r="IG159" s="21"/>
      <c r="IH159" s="21"/>
      <c r="II159" s="21"/>
      <c r="IJ159" s="21"/>
      <c r="IK159" s="21"/>
      <c r="IL159" s="21"/>
      <c r="IM159" s="21"/>
      <c r="IN159" s="21"/>
      <c r="IO159" s="21"/>
      <c r="IP159" s="21"/>
      <c r="IQ159" s="21"/>
      <c r="IR159" s="21"/>
      <c r="IS159" s="21" t="s">
        <v>138</v>
      </c>
      <c r="IT159" s="21"/>
      <c r="IU159" s="21"/>
      <c r="IV159" s="21"/>
      <c r="IW159" s="21"/>
      <c r="IX159" s="21"/>
      <c r="IY159" s="21"/>
      <c r="IZ159" s="21"/>
      <c r="JA159" s="21"/>
      <c r="JB159" s="21"/>
      <c r="JC159" s="21"/>
      <c r="JD159" s="21"/>
      <c r="JE159" s="21"/>
      <c r="JF159" s="21"/>
      <c r="JG159" s="21"/>
      <c r="JH159" s="21"/>
      <c r="JI159" s="21"/>
      <c r="JJ159" s="21"/>
      <c r="JK159" s="21"/>
      <c r="JL159" s="21"/>
      <c r="JM159" s="21"/>
      <c r="JN159" s="21"/>
      <c r="JO159" s="21"/>
      <c r="JP159" s="21"/>
      <c r="JQ159" s="21"/>
      <c r="JR159" s="21"/>
      <c r="JS159" s="21"/>
      <c r="JT159" s="21"/>
      <c r="JU159" s="21"/>
      <c r="JV159" s="21"/>
      <c r="JW159" s="21"/>
      <c r="JX159" s="21"/>
      <c r="JY159" s="21"/>
      <c r="JZ159" s="21"/>
      <c r="KA159" s="21"/>
      <c r="KB159" s="21"/>
      <c r="KC159" s="21"/>
      <c r="KD159" s="21"/>
      <c r="KE159" s="21"/>
      <c r="KF159" s="21"/>
      <c r="KG159" s="21"/>
      <c r="KH159" s="21"/>
    </row>
    <row r="160" spans="1:294" x14ac:dyDescent="0.25">
      <c r="A160" s="8"/>
      <c r="B160" s="5" t="s">
        <v>116</v>
      </c>
      <c r="C160" s="8"/>
      <c r="D160" s="6" t="s">
        <v>787</v>
      </c>
      <c r="E160" s="8">
        <v>1</v>
      </c>
      <c r="F160" s="39" t="s">
        <v>789</v>
      </c>
      <c r="G160" s="17"/>
      <c r="H160" s="9"/>
      <c r="I160" s="9"/>
      <c r="J160" s="9"/>
      <c r="K160" s="9"/>
      <c r="L160" s="6" t="s">
        <v>11</v>
      </c>
      <c r="M160" s="11">
        <f>INDEX(cennik!$C$2:$L$529,MATCH($L160,cennik!$B$2:$B$522,0),MATCH(M$104,cennik!$C$1:$L$1,0))</f>
        <v>6444115</v>
      </c>
      <c r="N160" s="11" t="str">
        <f>INDEX(cennik!$C$2:$L$529,MATCH($L160,cennik!$B$2:$B$522,0),MATCH(N$104,cennik!$C$1:$L$1,0))</f>
        <v>szt.</v>
      </c>
      <c r="O160" s="11">
        <f>SUM(Z143:Z158)</f>
        <v>0</v>
      </c>
      <c r="P160" s="34">
        <f>INDEX(cennik!$C$2:$L$529,MATCH($L160,cennik!$B$2:$B$522,0),MATCH(P$104,cennik!$C$1:$L$1,0))</f>
        <v>6.03</v>
      </c>
      <c r="Q160" s="34">
        <f t="shared" si="63"/>
        <v>0</v>
      </c>
      <c r="R160" s="35">
        <f t="shared" si="61"/>
        <v>0</v>
      </c>
      <c r="S160" s="34">
        <f t="shared" si="62"/>
        <v>6.03</v>
      </c>
      <c r="T160" s="34">
        <f t="shared" si="64"/>
        <v>0</v>
      </c>
      <c r="U160" s="34">
        <f>INDEX(cennik!$C$2:$L$529,MATCH($L160,cennik!$B$2:$B$522,0),MATCH(U$104,cennik!$C$1:$L$1,0))*O160</f>
        <v>0</v>
      </c>
      <c r="V160" s="20"/>
      <c r="W160" s="20"/>
      <c r="X160" s="20"/>
      <c r="Y160" s="20"/>
      <c r="Z160" s="20"/>
      <c r="AA160" s="20"/>
      <c r="AB160" s="20"/>
      <c r="AC160" s="20"/>
      <c r="AD160" s="20"/>
      <c r="AE160" s="20"/>
      <c r="AF160" s="20"/>
      <c r="AG160" s="20"/>
      <c r="AH160" s="20"/>
      <c r="AI160" s="20"/>
      <c r="AJ160" s="20"/>
      <c r="AK160" s="20"/>
      <c r="AL160" s="20"/>
      <c r="AM160" s="20">
        <v>0</v>
      </c>
      <c r="AN160" s="20">
        <v>1</v>
      </c>
      <c r="AO160" s="20">
        <v>2</v>
      </c>
      <c r="AP160" s="20">
        <v>3</v>
      </c>
      <c r="AQ160" s="20">
        <v>4</v>
      </c>
      <c r="AR160" s="20">
        <v>5</v>
      </c>
      <c r="AS160" s="20">
        <v>6</v>
      </c>
      <c r="AT160" s="20">
        <v>7</v>
      </c>
      <c r="AU160" s="20">
        <v>8</v>
      </c>
      <c r="AV160" s="20">
        <v>9</v>
      </c>
      <c r="AW160" s="20">
        <v>10</v>
      </c>
      <c r="AX160" s="20">
        <v>11</v>
      </c>
      <c r="AY160" s="20">
        <v>12</v>
      </c>
      <c r="AZ160" s="20">
        <v>13</v>
      </c>
      <c r="BA160" s="20">
        <v>14</v>
      </c>
      <c r="BB160" s="20">
        <v>15</v>
      </c>
      <c r="BC160" s="20">
        <v>16</v>
      </c>
      <c r="BD160" s="20">
        <v>17</v>
      </c>
      <c r="BE160" s="20">
        <v>18</v>
      </c>
      <c r="BF160" s="20">
        <v>19</v>
      </c>
      <c r="BG160" s="20">
        <v>20</v>
      </c>
      <c r="BH160" s="20">
        <v>21</v>
      </c>
      <c r="BI160" s="20">
        <v>22</v>
      </c>
      <c r="BJ160" s="20">
        <v>23</v>
      </c>
      <c r="BK160" s="20">
        <v>24</v>
      </c>
      <c r="BL160" s="20">
        <v>25</v>
      </c>
      <c r="BM160" s="20">
        <v>26</v>
      </c>
      <c r="BN160" s="20">
        <v>27</v>
      </c>
      <c r="BO160" s="20">
        <v>28</v>
      </c>
      <c r="BP160" s="20">
        <v>29</v>
      </c>
      <c r="BQ160" s="20">
        <v>30</v>
      </c>
      <c r="BR160" s="20">
        <v>31</v>
      </c>
      <c r="BS160" s="20">
        <v>32</v>
      </c>
      <c r="BT160" s="20">
        <v>33</v>
      </c>
      <c r="BU160" s="20">
        <v>34</v>
      </c>
      <c r="BV160" s="20">
        <v>35</v>
      </c>
      <c r="BW160" s="20">
        <v>36</v>
      </c>
      <c r="BX160" s="20">
        <v>37</v>
      </c>
      <c r="BY160" s="20">
        <v>38</v>
      </c>
      <c r="BZ160" s="20">
        <v>39</v>
      </c>
      <c r="CA160" s="20">
        <v>40</v>
      </c>
      <c r="CB160" s="20">
        <v>41</v>
      </c>
      <c r="CC160" s="20">
        <v>42</v>
      </c>
      <c r="CD160" s="20">
        <v>43</v>
      </c>
      <c r="CE160" s="20">
        <v>44</v>
      </c>
      <c r="CF160" s="20">
        <v>45</v>
      </c>
      <c r="CG160" s="20">
        <v>46</v>
      </c>
      <c r="CH160" s="20">
        <v>47</v>
      </c>
      <c r="CI160" s="20">
        <v>48</v>
      </c>
      <c r="CJ160" s="20">
        <v>49</v>
      </c>
      <c r="CK160" s="20">
        <v>50</v>
      </c>
      <c r="CL160" s="20"/>
      <c r="CM160" s="20" t="s">
        <v>212</v>
      </c>
      <c r="CN160" s="20">
        <v>0</v>
      </c>
      <c r="CO160" s="20">
        <v>0</v>
      </c>
      <c r="CP160" s="20">
        <v>0</v>
      </c>
      <c r="CQ160" s="20">
        <v>2</v>
      </c>
      <c r="CR160" s="20">
        <v>0</v>
      </c>
      <c r="CS160" s="20">
        <v>2</v>
      </c>
      <c r="CT160" s="20">
        <v>4</v>
      </c>
      <c r="CU160" s="20">
        <v>2</v>
      </c>
      <c r="CV160" s="20">
        <v>4</v>
      </c>
      <c r="CW160" s="20">
        <v>6</v>
      </c>
      <c r="CX160" s="20">
        <v>4</v>
      </c>
      <c r="CY160" s="20">
        <v>6</v>
      </c>
      <c r="CZ160" s="20">
        <v>8</v>
      </c>
      <c r="DA160" s="20">
        <v>8</v>
      </c>
      <c r="DB160" s="20">
        <v>8</v>
      </c>
      <c r="DC160" s="20">
        <v>8</v>
      </c>
      <c r="DD160" s="20">
        <v>10</v>
      </c>
      <c r="DE160" s="20">
        <v>8</v>
      </c>
      <c r="DF160" s="20">
        <v>10</v>
      </c>
      <c r="DG160" s="20">
        <v>12</v>
      </c>
      <c r="DH160" s="20">
        <v>10</v>
      </c>
      <c r="DI160" s="20"/>
      <c r="DJ160" s="20"/>
      <c r="DK160" s="20"/>
      <c r="DL160" s="20"/>
      <c r="DM160" s="20"/>
      <c r="DN160" s="20"/>
      <c r="DO160" s="20"/>
      <c r="DP160" s="20"/>
      <c r="DQ160" s="20"/>
      <c r="DR160" s="20"/>
      <c r="DS160" s="20"/>
      <c r="DT160" s="20"/>
      <c r="DU160" s="20"/>
      <c r="DV160" s="20"/>
      <c r="DW160" s="20"/>
      <c r="DX160" s="20"/>
      <c r="DY160" s="20"/>
      <c r="DZ160" s="54"/>
      <c r="EA160" s="54"/>
      <c r="EB160" s="54"/>
      <c r="EC160" s="20"/>
      <c r="ED160" s="20"/>
      <c r="EE160" s="20"/>
      <c r="EF160" s="20"/>
      <c r="EG160" s="20"/>
      <c r="EH160" s="20"/>
      <c r="EI160" s="20"/>
      <c r="EJ160" s="20"/>
      <c r="EK160" s="20"/>
      <c r="EL160" s="20"/>
      <c r="EM160" s="20"/>
      <c r="EN160" s="20"/>
      <c r="EO160" s="20"/>
      <c r="EP160" s="20"/>
      <c r="EQ160" s="20"/>
      <c r="ER160" s="20"/>
      <c r="ES160" s="20"/>
      <c r="ET160" s="20"/>
      <c r="EU160" s="20"/>
      <c r="EV160" s="20" t="s">
        <v>293</v>
      </c>
      <c r="EW160" s="20">
        <v>0</v>
      </c>
      <c r="EX160" s="20">
        <v>0</v>
      </c>
      <c r="EY160" s="20">
        <v>0</v>
      </c>
      <c r="EZ160" s="20">
        <v>0</v>
      </c>
      <c r="FA160" s="20">
        <v>0</v>
      </c>
      <c r="FB160" s="20">
        <v>0</v>
      </c>
      <c r="FC160" s="20">
        <v>0</v>
      </c>
      <c r="FD160" s="20">
        <v>0</v>
      </c>
      <c r="FE160" s="20">
        <v>0</v>
      </c>
      <c r="FF160" s="20">
        <v>0</v>
      </c>
      <c r="FG160" s="20">
        <v>0</v>
      </c>
      <c r="FH160" s="20"/>
      <c r="FI160" s="20" t="s">
        <v>211</v>
      </c>
      <c r="FJ160" s="20">
        <v>0</v>
      </c>
      <c r="FK160" s="20">
        <v>2</v>
      </c>
      <c r="FL160" s="20">
        <v>0</v>
      </c>
      <c r="FM160" s="20">
        <v>2</v>
      </c>
      <c r="FN160" s="20">
        <v>0</v>
      </c>
      <c r="FO160" s="20">
        <v>0</v>
      </c>
      <c r="FP160" s="20">
        <v>0</v>
      </c>
      <c r="FQ160" s="20">
        <v>0</v>
      </c>
      <c r="FR160" s="20">
        <v>0</v>
      </c>
      <c r="FS160" s="20">
        <v>0</v>
      </c>
      <c r="FT160" s="20">
        <v>0</v>
      </c>
      <c r="FU160" s="20"/>
      <c r="FV160" s="20" t="s">
        <v>211</v>
      </c>
      <c r="FW160" s="20">
        <v>0</v>
      </c>
      <c r="FX160" s="20">
        <v>0</v>
      </c>
      <c r="FY160" s="20">
        <v>0</v>
      </c>
      <c r="FZ160" s="20">
        <v>0</v>
      </c>
      <c r="GA160" s="20">
        <v>0</v>
      </c>
      <c r="GB160" s="20">
        <v>0</v>
      </c>
      <c r="GC160" s="20">
        <v>0</v>
      </c>
      <c r="GD160" s="20">
        <v>0</v>
      </c>
      <c r="GE160" s="20">
        <v>0</v>
      </c>
      <c r="GF160" s="20">
        <v>0</v>
      </c>
      <c r="GG160" s="20">
        <v>0</v>
      </c>
      <c r="GH160" s="20"/>
      <c r="GI160" s="20"/>
      <c r="GJ160" s="20"/>
      <c r="GK160" s="20"/>
      <c r="GL160" s="20"/>
      <c r="GM160" s="20"/>
      <c r="GN160" s="20"/>
      <c r="GO160" s="20"/>
      <c r="GP160" s="20"/>
      <c r="GQ160" s="20"/>
      <c r="GR160" s="20"/>
      <c r="GS160" s="20"/>
      <c r="GT160" s="20"/>
      <c r="GU160" s="20"/>
      <c r="GV160" s="20"/>
      <c r="GW160" s="20"/>
      <c r="GX160" s="20"/>
      <c r="GY160" s="21"/>
      <c r="GZ160" s="21"/>
      <c r="HA160" s="21"/>
      <c r="HB160" s="21"/>
      <c r="HC160" s="21"/>
      <c r="HD160" s="21"/>
      <c r="HE160" s="21"/>
      <c r="HF160" s="21"/>
      <c r="HG160" s="21"/>
      <c r="HH160" s="21"/>
      <c r="HI160" s="21"/>
      <c r="HJ160" s="21"/>
      <c r="HK160" s="21"/>
      <c r="HL160" s="21"/>
      <c r="HM160" s="21"/>
      <c r="HN160" s="21"/>
      <c r="HO160" s="21"/>
      <c r="HP160" s="21"/>
      <c r="HQ160" s="21"/>
      <c r="HR160" s="21"/>
      <c r="HS160" s="21"/>
      <c r="HT160" s="21"/>
      <c r="HU160" s="21"/>
      <c r="HV160" s="186"/>
      <c r="HW160" s="21">
        <v>0</v>
      </c>
      <c r="HX160" s="21">
        <v>1</v>
      </c>
      <c r="HY160" s="21">
        <v>2</v>
      </c>
      <c r="HZ160" s="21">
        <v>3</v>
      </c>
      <c r="IA160" s="21">
        <v>4</v>
      </c>
      <c r="IB160" s="21">
        <v>5</v>
      </c>
      <c r="IC160" s="21">
        <v>6</v>
      </c>
      <c r="ID160" s="21">
        <v>7</v>
      </c>
      <c r="IE160" s="21">
        <v>8</v>
      </c>
      <c r="IF160" s="21">
        <v>9</v>
      </c>
      <c r="IG160" s="21">
        <v>10</v>
      </c>
      <c r="IH160" s="21">
        <v>11</v>
      </c>
      <c r="II160" s="21">
        <v>12</v>
      </c>
      <c r="IJ160" s="21">
        <v>13</v>
      </c>
      <c r="IK160" s="21">
        <v>14</v>
      </c>
      <c r="IL160" s="21">
        <v>15</v>
      </c>
      <c r="IM160" s="21">
        <v>16</v>
      </c>
      <c r="IN160" s="21">
        <v>17</v>
      </c>
      <c r="IO160" s="21">
        <v>18</v>
      </c>
      <c r="IP160" s="21">
        <v>19</v>
      </c>
      <c r="IQ160" s="21">
        <v>20</v>
      </c>
      <c r="IR160" s="21"/>
      <c r="IS160" s="21"/>
      <c r="IT160" s="21">
        <f t="shared" si="54"/>
        <v>0</v>
      </c>
      <c r="IU160" s="21">
        <f t="shared" si="54"/>
        <v>2</v>
      </c>
      <c r="IV160" s="21">
        <f t="shared" si="54"/>
        <v>4</v>
      </c>
      <c r="IW160" s="21">
        <f t="shared" si="54"/>
        <v>6</v>
      </c>
      <c r="IX160" s="21">
        <f t="shared" si="54"/>
        <v>8</v>
      </c>
      <c r="IY160" s="21">
        <f t="shared" si="54"/>
        <v>10</v>
      </c>
      <c r="IZ160" s="21">
        <f t="shared" si="54"/>
        <v>12</v>
      </c>
      <c r="JA160" s="21">
        <f t="shared" si="54"/>
        <v>14</v>
      </c>
      <c r="JB160" s="21">
        <f t="shared" si="54"/>
        <v>16</v>
      </c>
      <c r="JC160" s="21">
        <f t="shared" si="54"/>
        <v>18</v>
      </c>
      <c r="JD160" s="21">
        <f t="shared" si="54"/>
        <v>20</v>
      </c>
      <c r="JE160" s="21">
        <f t="shared" si="54"/>
        <v>22</v>
      </c>
      <c r="JF160" s="21">
        <f t="shared" si="54"/>
        <v>24</v>
      </c>
      <c r="JG160" s="21">
        <f t="shared" si="54"/>
        <v>26</v>
      </c>
      <c r="JH160" s="21">
        <f t="shared" si="54"/>
        <v>28</v>
      </c>
      <c r="JI160" s="21">
        <f t="shared" si="53"/>
        <v>30</v>
      </c>
      <c r="JJ160" s="21">
        <f t="shared" si="40"/>
        <v>32</v>
      </c>
      <c r="JK160" s="21">
        <f t="shared" si="40"/>
        <v>34</v>
      </c>
      <c r="JL160" s="21">
        <f t="shared" si="40"/>
        <v>36</v>
      </c>
      <c r="JM160" s="21">
        <f t="shared" si="40"/>
        <v>38</v>
      </c>
      <c r="JN160" s="21">
        <f t="shared" si="40"/>
        <v>40</v>
      </c>
      <c r="JO160" s="21"/>
      <c r="JP160" s="21"/>
      <c r="JQ160" s="21"/>
      <c r="JR160" s="21"/>
      <c r="JS160" s="21"/>
      <c r="JT160" s="21"/>
      <c r="JU160" s="21"/>
      <c r="JV160" s="21"/>
      <c r="JW160" s="21"/>
      <c r="JX160" s="21"/>
      <c r="JY160" s="21"/>
      <c r="JZ160" s="21"/>
      <c r="KA160" s="21"/>
      <c r="KB160" s="21"/>
      <c r="KC160" s="21"/>
      <c r="KD160" s="21"/>
      <c r="KE160" s="21"/>
      <c r="KF160" s="21"/>
      <c r="KG160" s="21"/>
      <c r="KH160" s="21"/>
    </row>
    <row r="161" spans="1:294" x14ac:dyDescent="0.25">
      <c r="A161" s="8"/>
      <c r="B161" s="5" t="s">
        <v>116</v>
      </c>
      <c r="C161" s="8"/>
      <c r="D161" s="6" t="s">
        <v>788</v>
      </c>
      <c r="E161" s="8">
        <v>1</v>
      </c>
      <c r="F161" s="39" t="s">
        <v>790</v>
      </c>
      <c r="G161" s="9"/>
      <c r="H161" s="9"/>
      <c r="I161" s="9"/>
      <c r="J161" s="9"/>
      <c r="K161" s="9"/>
      <c r="L161" s="6" t="str">
        <f>IF(E155=W162,"CC50H35/0,85MC",IF(E155=X162,"CC50H35/1MC",IF(E155=Y162,"CC50H35/1,15MC",0)))</f>
        <v>CC50H35/0,85MC</v>
      </c>
      <c r="M161" s="11">
        <f>INDEX(cennik!$C$2:$L$529,MATCH($L161,cennik!$B$2:$B$522,0),MATCH(M$104,cennik!$C$1:$L$1,0))</f>
        <v>895385</v>
      </c>
      <c r="N161" s="11" t="str">
        <f>INDEX(cennik!$C$2:$L$529,MATCH($L161,cennik!$B$2:$B$522,0),MATCH(N$104,cennik!$C$1:$L$1,0))</f>
        <v>szt.</v>
      </c>
      <c r="O161" s="11">
        <f>SUM(W143:W158)</f>
        <v>0</v>
      </c>
      <c r="P161" s="34">
        <f>INDEX(cennik!$C$2:$L$529,MATCH($L161,cennik!$B$2:$B$522,0),MATCH(P$104,cennik!$C$1:$L$1,0))</f>
        <v>23.13</v>
      </c>
      <c r="Q161" s="34">
        <f t="shared" si="63"/>
        <v>0</v>
      </c>
      <c r="R161" s="35">
        <f t="shared" si="61"/>
        <v>0</v>
      </c>
      <c r="S161" s="34">
        <f t="shared" si="62"/>
        <v>23.13</v>
      </c>
      <c r="T161" s="34">
        <f t="shared" si="64"/>
        <v>0</v>
      </c>
      <c r="U161" s="34">
        <f>INDEX(cennik!$C$2:$L$529,MATCH($L161,cennik!$B$2:$B$522,0),MATCH(U$104,cennik!$C$1:$L$1,0))*O161</f>
        <v>0</v>
      </c>
      <c r="V161" s="20"/>
      <c r="W161" s="20"/>
      <c r="X161" s="20"/>
      <c r="Y161" s="20"/>
      <c r="Z161" s="20"/>
      <c r="AA161" s="20"/>
      <c r="AB161" s="20"/>
      <c r="AC161" s="20"/>
      <c r="AD161" s="20"/>
      <c r="AE161" s="20"/>
      <c r="AF161" s="20"/>
      <c r="AG161" s="20"/>
      <c r="AH161" s="20"/>
      <c r="AI161" s="20"/>
      <c r="AJ161" s="20"/>
      <c r="AK161" s="20"/>
      <c r="AL161" s="20" t="s">
        <v>126</v>
      </c>
      <c r="AM161" s="20">
        <v>0</v>
      </c>
      <c r="AN161" s="20">
        <v>0</v>
      </c>
      <c r="AO161" s="20">
        <v>0</v>
      </c>
      <c r="AP161" s="20">
        <v>0</v>
      </c>
      <c r="AQ161" s="20">
        <v>0</v>
      </c>
      <c r="AR161" s="20">
        <v>0</v>
      </c>
      <c r="AS161" s="20">
        <v>0</v>
      </c>
      <c r="AT161" s="20">
        <v>0</v>
      </c>
      <c r="AU161" s="20">
        <v>0</v>
      </c>
      <c r="AV161" s="20">
        <v>0</v>
      </c>
      <c r="AW161" s="20">
        <v>0</v>
      </c>
      <c r="AX161" s="20">
        <v>0</v>
      </c>
      <c r="AY161" s="20">
        <v>0</v>
      </c>
      <c r="AZ161" s="20">
        <v>0</v>
      </c>
      <c r="BA161" s="20">
        <v>0</v>
      </c>
      <c r="BB161" s="20">
        <v>0</v>
      </c>
      <c r="BC161" s="20">
        <v>0</v>
      </c>
      <c r="BD161" s="20">
        <v>0</v>
      </c>
      <c r="BE161" s="20">
        <v>0</v>
      </c>
      <c r="BF161" s="20">
        <v>0</v>
      </c>
      <c r="BG161" s="20">
        <v>0</v>
      </c>
      <c r="BH161" s="20">
        <v>0</v>
      </c>
      <c r="BI161" s="20">
        <v>0</v>
      </c>
      <c r="BJ161" s="20">
        <v>0</v>
      </c>
      <c r="BK161" s="20">
        <v>0</v>
      </c>
      <c r="BL161" s="20">
        <v>0</v>
      </c>
      <c r="BM161" s="20">
        <v>0</v>
      </c>
      <c r="BN161" s="20">
        <v>0</v>
      </c>
      <c r="BO161" s="20">
        <v>0</v>
      </c>
      <c r="BP161" s="20">
        <v>0</v>
      </c>
      <c r="BQ161" s="20">
        <v>0</v>
      </c>
      <c r="BR161" s="20">
        <v>0</v>
      </c>
      <c r="BS161" s="20">
        <v>0</v>
      </c>
      <c r="BT161" s="20">
        <v>0</v>
      </c>
      <c r="BU161" s="20">
        <v>0</v>
      </c>
      <c r="BV161" s="20">
        <v>0</v>
      </c>
      <c r="BW161" s="20">
        <v>0</v>
      </c>
      <c r="BX161" s="20">
        <v>0</v>
      </c>
      <c r="BY161" s="20">
        <v>0</v>
      </c>
      <c r="BZ161" s="20">
        <v>0</v>
      </c>
      <c r="CA161" s="20">
        <v>0</v>
      </c>
      <c r="CB161" s="20">
        <v>0</v>
      </c>
      <c r="CC161" s="20">
        <v>0</v>
      </c>
      <c r="CD161" s="20">
        <v>0</v>
      </c>
      <c r="CE161" s="20">
        <v>0</v>
      </c>
      <c r="CF161" s="20">
        <v>0</v>
      </c>
      <c r="CG161" s="20">
        <v>0</v>
      </c>
      <c r="CH161" s="20">
        <v>0</v>
      </c>
      <c r="CI161" s="20">
        <v>0</v>
      </c>
      <c r="CJ161" s="20">
        <v>0</v>
      </c>
      <c r="CK161" s="20">
        <v>0</v>
      </c>
      <c r="CL161" s="20"/>
      <c r="CM161" s="20" t="s">
        <v>11</v>
      </c>
      <c r="CN161" s="20">
        <v>0</v>
      </c>
      <c r="CO161" s="20">
        <v>0</v>
      </c>
      <c r="CP161" s="20">
        <v>0</v>
      </c>
      <c r="CQ161" s="20">
        <v>0</v>
      </c>
      <c r="CR161" s="20">
        <v>2</v>
      </c>
      <c r="CS161" s="20">
        <v>2</v>
      </c>
      <c r="CT161" s="20">
        <v>2</v>
      </c>
      <c r="CU161" s="20">
        <v>4</v>
      </c>
      <c r="CV161" s="20">
        <v>4</v>
      </c>
      <c r="CW161" s="20">
        <v>4</v>
      </c>
      <c r="CX161" s="20">
        <v>6</v>
      </c>
      <c r="CY161" s="20">
        <v>6</v>
      </c>
      <c r="CZ161" s="20">
        <v>6</v>
      </c>
      <c r="DA161" s="20">
        <v>6</v>
      </c>
      <c r="DB161" s="20">
        <v>8</v>
      </c>
      <c r="DC161" s="20">
        <v>8</v>
      </c>
      <c r="DD161" s="20">
        <v>8</v>
      </c>
      <c r="DE161" s="20">
        <v>10</v>
      </c>
      <c r="DF161" s="20">
        <v>10</v>
      </c>
      <c r="DG161" s="20">
        <v>10</v>
      </c>
      <c r="DH161" s="20">
        <v>12</v>
      </c>
      <c r="DI161" s="20"/>
      <c r="DJ161" s="20"/>
      <c r="DK161" s="20"/>
      <c r="DL161" s="20"/>
      <c r="DM161" s="20"/>
      <c r="DN161" s="20"/>
      <c r="DO161" s="20"/>
      <c r="DP161" s="20"/>
      <c r="DQ161" s="20"/>
      <c r="DR161" s="20"/>
      <c r="DS161" s="20"/>
      <c r="DT161" s="20"/>
      <c r="DU161" s="20"/>
      <c r="DV161" s="20"/>
      <c r="DW161" s="20"/>
      <c r="DX161" s="20"/>
      <c r="DY161" s="20"/>
      <c r="DZ161" s="54"/>
      <c r="EA161" s="54"/>
      <c r="EB161" s="54"/>
      <c r="EC161" s="20"/>
      <c r="ED161" s="20"/>
      <c r="EE161" s="20"/>
      <c r="EF161" s="20"/>
      <c r="EG161" s="20"/>
      <c r="EH161" s="20"/>
      <c r="EI161" s="20"/>
      <c r="EJ161" s="20"/>
      <c r="EK161" s="20"/>
      <c r="EL161" s="20"/>
      <c r="EM161" s="20"/>
      <c r="EN161" s="20"/>
      <c r="EO161" s="20"/>
      <c r="EP161" s="20"/>
      <c r="EQ161" s="20"/>
      <c r="ER161" s="20"/>
      <c r="ES161" s="20"/>
      <c r="ET161" s="20"/>
      <c r="EU161" s="20"/>
      <c r="EV161" s="20" t="s">
        <v>10</v>
      </c>
      <c r="EW161" s="20">
        <v>0</v>
      </c>
      <c r="EX161" s="20">
        <v>0</v>
      </c>
      <c r="EY161" s="20">
        <v>0</v>
      </c>
      <c r="EZ161" s="20">
        <v>0</v>
      </c>
      <c r="FA161" s="20">
        <v>0</v>
      </c>
      <c r="FB161" s="20">
        <v>2</v>
      </c>
      <c r="FC161" s="20">
        <v>2</v>
      </c>
      <c r="FD161" s="20">
        <v>0</v>
      </c>
      <c r="FE161" s="20">
        <v>2</v>
      </c>
      <c r="FF161" s="20">
        <v>0</v>
      </c>
      <c r="FG161" s="20">
        <v>4</v>
      </c>
      <c r="FH161" s="20"/>
      <c r="FI161" s="20" t="s">
        <v>293</v>
      </c>
      <c r="FJ161" s="20">
        <v>0</v>
      </c>
      <c r="FK161" s="20">
        <v>0</v>
      </c>
      <c r="FL161" s="20">
        <v>0</v>
      </c>
      <c r="FM161" s="20">
        <v>0</v>
      </c>
      <c r="FN161" s="20">
        <v>0</v>
      </c>
      <c r="FO161" s="20">
        <v>0</v>
      </c>
      <c r="FP161" s="20">
        <v>0</v>
      </c>
      <c r="FQ161" s="20">
        <v>0</v>
      </c>
      <c r="FR161" s="20">
        <v>0</v>
      </c>
      <c r="FS161" s="20">
        <v>0</v>
      </c>
      <c r="FT161" s="20">
        <v>0</v>
      </c>
      <c r="FU161" s="20"/>
      <c r="FV161" s="20" t="s">
        <v>293</v>
      </c>
      <c r="FW161" s="20">
        <v>0</v>
      </c>
      <c r="FX161" s="20">
        <v>2</v>
      </c>
      <c r="FY161" s="20">
        <v>0</v>
      </c>
      <c r="FZ161" s="20">
        <v>0</v>
      </c>
      <c r="GA161" s="20">
        <v>0</v>
      </c>
      <c r="GB161" s="20">
        <v>0</v>
      </c>
      <c r="GC161" s="20">
        <v>0</v>
      </c>
      <c r="GD161" s="20">
        <v>0</v>
      </c>
      <c r="GE161" s="20">
        <v>0</v>
      </c>
      <c r="GF161" s="20">
        <v>0</v>
      </c>
      <c r="GG161" s="20">
        <v>0</v>
      </c>
      <c r="GH161" s="20"/>
      <c r="GI161" s="20"/>
      <c r="GJ161" s="20"/>
      <c r="GK161" s="20"/>
      <c r="GL161" s="20"/>
      <c r="GM161" s="20"/>
      <c r="GN161" s="20"/>
      <c r="GO161" s="20"/>
      <c r="GP161" s="20"/>
      <c r="GQ161" s="20"/>
      <c r="GR161" s="20"/>
      <c r="GS161" s="20"/>
      <c r="GT161" s="20"/>
      <c r="GU161" s="20"/>
      <c r="GV161" s="20"/>
      <c r="GW161" s="20"/>
      <c r="GX161" s="20" t="s">
        <v>159</v>
      </c>
      <c r="GY161" s="20"/>
      <c r="GZ161" s="20"/>
      <c r="HA161" s="20"/>
      <c r="HB161" s="20"/>
      <c r="HC161" s="20"/>
      <c r="HD161" s="21"/>
      <c r="HE161" s="21"/>
      <c r="HF161" s="21"/>
      <c r="HG161" s="21"/>
      <c r="HH161" s="21"/>
      <c r="HI161" s="21"/>
      <c r="HJ161" s="21"/>
      <c r="HK161" s="21"/>
      <c r="HL161" s="21"/>
      <c r="HM161" s="21"/>
      <c r="HN161" s="21"/>
      <c r="HO161" s="21"/>
      <c r="HP161" s="21"/>
      <c r="HQ161" s="21"/>
      <c r="HR161" s="21"/>
      <c r="HS161" s="21"/>
      <c r="HT161" s="21"/>
      <c r="HU161" s="21"/>
      <c r="HV161" s="21" t="s">
        <v>826</v>
      </c>
      <c r="HW161" s="21">
        <v>0</v>
      </c>
      <c r="HX161" s="21">
        <v>2</v>
      </c>
      <c r="HY161" s="21">
        <v>2</v>
      </c>
      <c r="HZ161" s="21">
        <v>0</v>
      </c>
      <c r="IA161" s="21">
        <v>2</v>
      </c>
      <c r="IB161" s="21">
        <v>4</v>
      </c>
      <c r="IC161" s="21">
        <v>0</v>
      </c>
      <c r="ID161" s="21">
        <v>2</v>
      </c>
      <c r="IE161" s="21">
        <v>0</v>
      </c>
      <c r="IF161" s="21">
        <v>2</v>
      </c>
      <c r="IG161" s="21">
        <v>4</v>
      </c>
      <c r="IH161" s="21">
        <v>0</v>
      </c>
      <c r="II161" s="21">
        <v>2</v>
      </c>
      <c r="IJ161" s="21">
        <v>4</v>
      </c>
      <c r="IK161" s="21">
        <v>0</v>
      </c>
      <c r="IL161" s="21">
        <v>2</v>
      </c>
      <c r="IM161" s="21">
        <v>4</v>
      </c>
      <c r="IN161" s="21">
        <v>0</v>
      </c>
      <c r="IO161" s="21">
        <v>2</v>
      </c>
      <c r="IP161" s="21">
        <v>4</v>
      </c>
      <c r="IQ161" s="21">
        <v>0</v>
      </c>
      <c r="IR161" s="21"/>
      <c r="IS161" s="21" t="s">
        <v>826</v>
      </c>
      <c r="IT161" s="21">
        <f t="shared" ref="IT161:JH185" si="66">HW161*2</f>
        <v>0</v>
      </c>
      <c r="IU161" s="21">
        <f t="shared" si="66"/>
        <v>4</v>
      </c>
      <c r="IV161" s="21">
        <f t="shared" si="66"/>
        <v>4</v>
      </c>
      <c r="IW161" s="21">
        <f t="shared" si="66"/>
        <v>0</v>
      </c>
      <c r="IX161" s="21">
        <f t="shared" si="66"/>
        <v>4</v>
      </c>
      <c r="IY161" s="21">
        <f t="shared" si="66"/>
        <v>8</v>
      </c>
      <c r="IZ161" s="21">
        <f t="shared" si="66"/>
        <v>0</v>
      </c>
      <c r="JA161" s="21">
        <f t="shared" si="66"/>
        <v>4</v>
      </c>
      <c r="JB161" s="21">
        <f t="shared" si="66"/>
        <v>0</v>
      </c>
      <c r="JC161" s="21">
        <f t="shared" si="66"/>
        <v>4</v>
      </c>
      <c r="JD161" s="21">
        <f t="shared" si="66"/>
        <v>8</v>
      </c>
      <c r="JE161" s="21">
        <f t="shared" si="66"/>
        <v>0</v>
      </c>
      <c r="JF161" s="21">
        <f t="shared" si="66"/>
        <v>4</v>
      </c>
      <c r="JG161" s="21">
        <f t="shared" si="66"/>
        <v>8</v>
      </c>
      <c r="JH161" s="21">
        <f t="shared" si="66"/>
        <v>0</v>
      </c>
      <c r="JI161" s="21">
        <f t="shared" si="53"/>
        <v>4</v>
      </c>
      <c r="JJ161" s="21">
        <f t="shared" si="40"/>
        <v>8</v>
      </c>
      <c r="JK161" s="21">
        <f t="shared" si="40"/>
        <v>0</v>
      </c>
      <c r="JL161" s="21">
        <f t="shared" si="40"/>
        <v>4</v>
      </c>
      <c r="JM161" s="21">
        <f t="shared" si="40"/>
        <v>8</v>
      </c>
      <c r="JN161" s="21">
        <f t="shared" si="40"/>
        <v>0</v>
      </c>
      <c r="JO161" s="21"/>
      <c r="JP161" s="21"/>
      <c r="JQ161" s="21"/>
      <c r="JR161" s="21"/>
      <c r="JS161" s="21"/>
      <c r="JT161" s="21"/>
      <c r="JU161" s="21"/>
      <c r="JV161" s="21"/>
      <c r="JW161" s="21"/>
      <c r="JX161" s="21"/>
      <c r="JY161" s="21"/>
      <c r="JZ161" s="21"/>
      <c r="KA161" s="21"/>
      <c r="KB161" s="21"/>
      <c r="KC161" s="21"/>
      <c r="KD161" s="21"/>
      <c r="KE161" s="21"/>
      <c r="KF161" s="21"/>
      <c r="KG161" s="21"/>
      <c r="KH161" s="21"/>
    </row>
    <row r="162" spans="1:294" x14ac:dyDescent="0.25">
      <c r="A162" s="8"/>
      <c r="B162" s="5" t="s">
        <v>116</v>
      </c>
      <c r="C162" s="8"/>
      <c r="D162" s="40" t="s">
        <v>941</v>
      </c>
      <c r="E162" s="32"/>
      <c r="F162" s="31"/>
      <c r="G162" s="31"/>
      <c r="H162" s="9"/>
      <c r="I162" s="9"/>
      <c r="J162" s="9"/>
      <c r="K162" s="9"/>
      <c r="L162" s="6" t="s">
        <v>202</v>
      </c>
      <c r="M162" s="11">
        <f>INDEX(cennik!$C$2:$L$529,MATCH($L162,cennik!$B$2:$B$522,0),MATCH(M$104,cennik!$C$1:$L$1,0))</f>
        <v>895375</v>
      </c>
      <c r="N162" s="11" t="str">
        <f>INDEX(cennik!$C$2:$L$529,MATCH($L162,cennik!$B$2:$B$522,0),MATCH(N$104,cennik!$C$1:$L$1,0))</f>
        <v>szt.</v>
      </c>
      <c r="O162" s="10">
        <f>O161+SUM(X143:X158)</f>
        <v>0</v>
      </c>
      <c r="P162" s="34">
        <f>INDEX(cennik!$C$2:$L$529,MATCH($L162,cennik!$B$2:$B$522,0),MATCH(P$104,cennik!$C$1:$L$1,0))</f>
        <v>44.04</v>
      </c>
      <c r="Q162" s="34">
        <f t="shared" si="63"/>
        <v>0</v>
      </c>
      <c r="R162" s="35">
        <f t="shared" si="61"/>
        <v>0</v>
      </c>
      <c r="S162" s="34">
        <f t="shared" si="62"/>
        <v>44.04</v>
      </c>
      <c r="T162" s="34">
        <f t="shared" si="64"/>
        <v>0</v>
      </c>
      <c r="U162" s="34">
        <f>INDEX(cennik!$C$2:$L$529,MATCH($L162,cennik!$B$2:$B$522,0),MATCH(U$104,cennik!$C$1:$L$1,0))*O162</f>
        <v>0</v>
      </c>
      <c r="V162" s="20"/>
      <c r="W162" s="20">
        <v>25</v>
      </c>
      <c r="X162" s="20">
        <v>30</v>
      </c>
      <c r="Y162" s="20">
        <v>35</v>
      </c>
      <c r="Z162" s="20"/>
      <c r="AA162" s="20"/>
      <c r="AB162" s="20"/>
      <c r="AC162" s="20"/>
      <c r="AD162" s="20"/>
      <c r="AE162" s="20"/>
      <c r="AF162" s="20"/>
      <c r="AG162" s="20"/>
      <c r="AH162" s="20"/>
      <c r="AI162" s="20"/>
      <c r="AJ162" s="20"/>
      <c r="AK162" s="20"/>
      <c r="AL162" s="20" t="s">
        <v>12</v>
      </c>
      <c r="AM162" s="20">
        <v>0</v>
      </c>
      <c r="AN162" s="20">
        <v>2</v>
      </c>
      <c r="AO162" s="20">
        <v>4</v>
      </c>
      <c r="AP162" s="20">
        <v>2</v>
      </c>
      <c r="AQ162" s="20">
        <v>4</v>
      </c>
      <c r="AR162" s="20">
        <v>0</v>
      </c>
      <c r="AS162" s="20">
        <v>2</v>
      </c>
      <c r="AT162" s="20">
        <v>0</v>
      </c>
      <c r="AU162" s="20">
        <v>0</v>
      </c>
      <c r="AV162" s="20">
        <v>0</v>
      </c>
      <c r="AW162" s="20">
        <v>2</v>
      </c>
      <c r="AX162" s="20">
        <v>0</v>
      </c>
      <c r="AY162" s="20">
        <v>2</v>
      </c>
      <c r="AZ162" s="20">
        <v>0</v>
      </c>
      <c r="BA162" s="20">
        <v>2</v>
      </c>
      <c r="BB162" s="20">
        <v>4</v>
      </c>
      <c r="BC162" s="20">
        <v>0</v>
      </c>
      <c r="BD162" s="20">
        <v>4</v>
      </c>
      <c r="BE162" s="20">
        <v>0</v>
      </c>
      <c r="BF162" s="20">
        <v>0</v>
      </c>
      <c r="BG162" s="20">
        <v>0</v>
      </c>
      <c r="BH162" s="20">
        <v>0</v>
      </c>
      <c r="BI162" s="20">
        <v>0</v>
      </c>
      <c r="BJ162" s="20">
        <v>0</v>
      </c>
      <c r="BK162" s="20">
        <v>0</v>
      </c>
      <c r="BL162" s="20">
        <v>0</v>
      </c>
      <c r="BM162" s="20">
        <v>0</v>
      </c>
      <c r="BN162" s="20">
        <v>0</v>
      </c>
      <c r="BO162" s="20">
        <v>2</v>
      </c>
      <c r="BP162" s="20">
        <v>0</v>
      </c>
      <c r="BQ162" s="20">
        <v>0</v>
      </c>
      <c r="BR162" s="20">
        <v>0</v>
      </c>
      <c r="BS162" s="20">
        <v>4</v>
      </c>
      <c r="BT162" s="20">
        <v>0</v>
      </c>
      <c r="BU162" s="20">
        <v>0</v>
      </c>
      <c r="BV162" s="20">
        <v>0</v>
      </c>
      <c r="BW162" s="20">
        <v>0</v>
      </c>
      <c r="BX162" s="20">
        <v>0</v>
      </c>
      <c r="BY162" s="20">
        <v>0</v>
      </c>
      <c r="BZ162" s="20">
        <v>0</v>
      </c>
      <c r="CA162" s="20">
        <v>0</v>
      </c>
      <c r="CB162" s="20">
        <v>0</v>
      </c>
      <c r="CC162" s="20">
        <v>0</v>
      </c>
      <c r="CD162" s="20">
        <v>0</v>
      </c>
      <c r="CE162" s="20">
        <v>0</v>
      </c>
      <c r="CF162" s="20">
        <v>0</v>
      </c>
      <c r="CG162" s="20">
        <v>0</v>
      </c>
      <c r="CH162" s="20">
        <v>4</v>
      </c>
      <c r="CI162" s="20">
        <v>0</v>
      </c>
      <c r="CJ162" s="20">
        <v>0</v>
      </c>
      <c r="CK162" s="20">
        <v>0</v>
      </c>
      <c r="CL162" s="20"/>
      <c r="CM162" s="20"/>
      <c r="CN162" s="20"/>
      <c r="CO162" s="20"/>
      <c r="CP162" s="20"/>
      <c r="CQ162" s="20"/>
      <c r="CR162" s="20"/>
      <c r="CS162" s="20"/>
      <c r="CT162" s="20"/>
      <c r="CU162" s="20"/>
      <c r="CV162" s="20"/>
      <c r="CW162" s="20"/>
      <c r="CX162" s="20"/>
      <c r="CY162" s="20"/>
      <c r="CZ162" s="20"/>
      <c r="DA162" s="20"/>
      <c r="DB162" s="20"/>
      <c r="DC162" s="20"/>
      <c r="DD162" s="20"/>
      <c r="DE162" s="20"/>
      <c r="DF162" s="20"/>
      <c r="DG162" s="20"/>
      <c r="DH162" s="20"/>
      <c r="DI162" s="20"/>
      <c r="DJ162" s="20"/>
      <c r="DK162" s="20"/>
      <c r="DL162" s="20"/>
      <c r="DM162" s="20"/>
      <c r="DN162" s="20"/>
      <c r="DO162" s="20"/>
      <c r="DP162" s="20"/>
      <c r="DQ162" s="20"/>
      <c r="DR162" s="20"/>
      <c r="DS162" s="20"/>
      <c r="DT162" s="20"/>
      <c r="DU162" s="20"/>
      <c r="DV162" s="20"/>
      <c r="DW162" s="20"/>
      <c r="DX162" s="20"/>
      <c r="DY162" s="20"/>
      <c r="DZ162" s="54"/>
      <c r="EA162" s="54"/>
      <c r="EB162" s="54"/>
      <c r="EC162" s="20"/>
      <c r="ED162" s="20"/>
      <c r="EE162" s="20"/>
      <c r="EF162" s="20"/>
      <c r="EG162" s="20"/>
      <c r="EH162" s="20"/>
      <c r="EI162" s="20"/>
      <c r="EJ162" s="20"/>
      <c r="EK162" s="20"/>
      <c r="EL162" s="20"/>
      <c r="EM162" s="20"/>
      <c r="EN162" s="20"/>
      <c r="EO162" s="20"/>
      <c r="EP162" s="20"/>
      <c r="EQ162" s="20"/>
      <c r="ER162" s="20"/>
      <c r="ES162" s="20"/>
      <c r="ET162" s="20"/>
      <c r="EU162" s="20"/>
      <c r="EV162" s="20" t="s">
        <v>212</v>
      </c>
      <c r="EW162" s="20">
        <v>0</v>
      </c>
      <c r="EX162" s="20">
        <v>0</v>
      </c>
      <c r="EY162" s="20">
        <v>2</v>
      </c>
      <c r="EZ162" s="20">
        <v>2</v>
      </c>
      <c r="FA162" s="20">
        <v>4</v>
      </c>
      <c r="FB162" s="20">
        <v>2</v>
      </c>
      <c r="FC162" s="20">
        <v>2</v>
      </c>
      <c r="FD162" s="20">
        <v>2</v>
      </c>
      <c r="FE162" s="20">
        <v>6</v>
      </c>
      <c r="FF162" s="20">
        <v>8</v>
      </c>
      <c r="FG162" s="20">
        <v>2</v>
      </c>
      <c r="FH162" s="20"/>
      <c r="FI162" s="20" t="s">
        <v>10</v>
      </c>
      <c r="FJ162" s="20">
        <v>0</v>
      </c>
      <c r="FK162" s="20">
        <v>0</v>
      </c>
      <c r="FL162" s="20">
        <v>2</v>
      </c>
      <c r="FM162" s="20">
        <v>0</v>
      </c>
      <c r="FN162" s="20">
        <v>2</v>
      </c>
      <c r="FO162" s="20">
        <v>4</v>
      </c>
      <c r="FP162" s="20">
        <v>2</v>
      </c>
      <c r="FQ162" s="20">
        <v>4</v>
      </c>
      <c r="FR162" s="20">
        <v>2</v>
      </c>
      <c r="FS162" s="20">
        <v>2</v>
      </c>
      <c r="FT162" s="20">
        <v>0</v>
      </c>
      <c r="FU162" s="20"/>
      <c r="FV162" s="20" t="s">
        <v>10</v>
      </c>
      <c r="FW162" s="20">
        <v>0</v>
      </c>
      <c r="FX162" s="20">
        <v>0</v>
      </c>
      <c r="FY162" s="20">
        <v>2</v>
      </c>
      <c r="FZ162" s="20">
        <v>2</v>
      </c>
      <c r="GA162" s="20">
        <v>0</v>
      </c>
      <c r="GB162" s="20">
        <v>0</v>
      </c>
      <c r="GC162" s="20">
        <v>6</v>
      </c>
      <c r="GD162" s="20">
        <v>0</v>
      </c>
      <c r="GE162" s="20">
        <v>4</v>
      </c>
      <c r="GF162" s="20">
        <v>10</v>
      </c>
      <c r="GG162" s="20">
        <v>2</v>
      </c>
      <c r="GH162" s="20"/>
      <c r="GI162" s="20"/>
      <c r="GJ162" s="20"/>
      <c r="GK162" s="20"/>
      <c r="GL162" s="20"/>
      <c r="GM162" s="20"/>
      <c r="GN162" s="20"/>
      <c r="GO162" s="20"/>
      <c r="GP162" s="20"/>
      <c r="GQ162" s="20"/>
      <c r="GR162" s="20"/>
      <c r="GS162" s="20"/>
      <c r="GT162" s="20"/>
      <c r="GU162" s="20"/>
      <c r="GV162" s="20"/>
      <c r="GW162" s="20"/>
      <c r="GX162" s="26" t="s">
        <v>152</v>
      </c>
      <c r="GY162" s="26" t="s">
        <v>153</v>
      </c>
      <c r="GZ162" s="20"/>
      <c r="HA162" s="20"/>
      <c r="HB162" s="20"/>
      <c r="HC162" s="20"/>
      <c r="HD162" s="21"/>
      <c r="HE162" s="21"/>
      <c r="HF162" s="21"/>
      <c r="HG162" s="21"/>
      <c r="HH162" s="21"/>
      <c r="HI162" s="21"/>
      <c r="HJ162" s="21"/>
      <c r="HK162" s="21"/>
      <c r="HL162" s="21"/>
      <c r="HM162" s="21"/>
      <c r="HN162" s="21"/>
      <c r="HO162" s="21"/>
      <c r="HP162" s="21"/>
      <c r="HQ162" s="21"/>
      <c r="HR162" s="21"/>
      <c r="HS162" s="21"/>
      <c r="HT162" s="21"/>
      <c r="HU162" s="21"/>
      <c r="HV162" s="21" t="s">
        <v>825</v>
      </c>
      <c r="HW162" s="21">
        <v>0</v>
      </c>
      <c r="HX162" s="21">
        <v>0</v>
      </c>
      <c r="HY162" s="21">
        <v>2</v>
      </c>
      <c r="HZ162" s="21">
        <v>4</v>
      </c>
      <c r="IA162" s="21">
        <v>4</v>
      </c>
      <c r="IB162" s="21">
        <v>4</v>
      </c>
      <c r="IC162" s="21">
        <v>8</v>
      </c>
      <c r="ID162" s="21">
        <v>8</v>
      </c>
      <c r="IE162" s="21">
        <v>10</v>
      </c>
      <c r="IF162" s="21">
        <v>10</v>
      </c>
      <c r="IG162" s="21">
        <v>10</v>
      </c>
      <c r="IH162" s="21">
        <v>14</v>
      </c>
      <c r="II162" s="21">
        <v>14</v>
      </c>
      <c r="IJ162" s="21">
        <v>14</v>
      </c>
      <c r="IK162" s="21">
        <v>18</v>
      </c>
      <c r="IL162" s="21">
        <v>18</v>
      </c>
      <c r="IM162" s="21">
        <v>18</v>
      </c>
      <c r="IN162" s="21">
        <v>22</v>
      </c>
      <c r="IO162" s="21">
        <v>22</v>
      </c>
      <c r="IP162" s="21">
        <v>22</v>
      </c>
      <c r="IQ162" s="21">
        <v>26</v>
      </c>
      <c r="IR162" s="21"/>
      <c r="IS162" s="21" t="s">
        <v>825</v>
      </c>
      <c r="IT162" s="21">
        <f t="shared" si="66"/>
        <v>0</v>
      </c>
      <c r="IU162" s="21">
        <f t="shared" si="66"/>
        <v>0</v>
      </c>
      <c r="IV162" s="21">
        <f t="shared" si="66"/>
        <v>4</v>
      </c>
      <c r="IW162" s="21">
        <f t="shared" si="66"/>
        <v>8</v>
      </c>
      <c r="IX162" s="21">
        <f t="shared" si="66"/>
        <v>8</v>
      </c>
      <c r="IY162" s="21">
        <f t="shared" si="66"/>
        <v>8</v>
      </c>
      <c r="IZ162" s="21">
        <f t="shared" si="66"/>
        <v>16</v>
      </c>
      <c r="JA162" s="21">
        <f t="shared" si="66"/>
        <v>16</v>
      </c>
      <c r="JB162" s="21">
        <f t="shared" si="66"/>
        <v>20</v>
      </c>
      <c r="JC162" s="21">
        <f t="shared" si="66"/>
        <v>20</v>
      </c>
      <c r="JD162" s="21">
        <f t="shared" si="66"/>
        <v>20</v>
      </c>
      <c r="JE162" s="21">
        <f t="shared" si="66"/>
        <v>28</v>
      </c>
      <c r="JF162" s="21">
        <f t="shared" si="66"/>
        <v>28</v>
      </c>
      <c r="JG162" s="21">
        <f t="shared" si="66"/>
        <v>28</v>
      </c>
      <c r="JH162" s="21">
        <f t="shared" si="66"/>
        <v>36</v>
      </c>
      <c r="JI162" s="21">
        <f t="shared" si="53"/>
        <v>36</v>
      </c>
      <c r="JJ162" s="21">
        <f t="shared" si="40"/>
        <v>36</v>
      </c>
      <c r="JK162" s="21">
        <f t="shared" si="40"/>
        <v>44</v>
      </c>
      <c r="JL162" s="21">
        <f t="shared" si="40"/>
        <v>44</v>
      </c>
      <c r="JM162" s="21">
        <f t="shared" si="40"/>
        <v>44</v>
      </c>
      <c r="JN162" s="21">
        <f t="shared" si="40"/>
        <v>52</v>
      </c>
      <c r="JO162" s="21"/>
      <c r="JP162" s="21"/>
      <c r="JQ162" s="26"/>
      <c r="JR162" s="21"/>
      <c r="JS162" s="21"/>
      <c r="JT162" s="21"/>
      <c r="JU162" s="21"/>
      <c r="JV162" s="21"/>
      <c r="JW162" s="21"/>
      <c r="JX162" s="21"/>
      <c r="JY162" s="21"/>
      <c r="JZ162" s="21"/>
      <c r="KA162" s="21"/>
      <c r="KB162" s="21"/>
      <c r="KC162" s="21"/>
      <c r="KD162" s="21"/>
      <c r="KE162" s="21"/>
      <c r="KF162" s="21"/>
      <c r="KG162" s="21"/>
      <c r="KH162" s="21"/>
    </row>
    <row r="163" spans="1:294" x14ac:dyDescent="0.25">
      <c r="A163" s="8"/>
      <c r="B163" s="5" t="s">
        <v>116</v>
      </c>
      <c r="C163" s="8"/>
      <c r="D163" s="40" t="s">
        <v>797</v>
      </c>
      <c r="E163" s="9"/>
      <c r="F163" s="9"/>
      <c r="G163" s="9"/>
      <c r="H163" s="9"/>
      <c r="I163" s="9"/>
      <c r="J163" s="9"/>
      <c r="K163" s="9"/>
      <c r="L163" s="6" t="s">
        <v>204</v>
      </c>
      <c r="M163" s="11">
        <f>INDEX(cennik!$C$2:$L$529,MATCH($L163,cennik!$B$2:$B$522,0),MATCH(M$104,cennik!$C$1:$L$1,0))</f>
        <v>6121205</v>
      </c>
      <c r="N163" s="11" t="str">
        <f>INDEX(cennik!$C$2:$L$529,MATCH($L163,cennik!$B$2:$B$522,0),MATCH(N$104,cennik!$C$1:$L$1,0))</f>
        <v>szt.</v>
      </c>
      <c r="O163" s="11">
        <f>O161</f>
        <v>0</v>
      </c>
      <c r="P163" s="34">
        <f>INDEX(cennik!$C$2:$L$529,MATCH($L163,cennik!$B$2:$B$522,0),MATCH(P$104,cennik!$C$1:$L$1,0))</f>
        <v>70.13</v>
      </c>
      <c r="Q163" s="34">
        <f t="shared" si="63"/>
        <v>0</v>
      </c>
      <c r="R163" s="35">
        <f t="shared" si="61"/>
        <v>0</v>
      </c>
      <c r="S163" s="34">
        <f t="shared" si="62"/>
        <v>70.13</v>
      </c>
      <c r="T163" s="34">
        <f t="shared" si="64"/>
        <v>0</v>
      </c>
      <c r="U163" s="34">
        <f>INDEX(cennik!$C$2:$L$529,MATCH($L163,cennik!$B$2:$B$522,0),MATCH(U$104,cennik!$C$1:$L$1,0))*O163</f>
        <v>0</v>
      </c>
      <c r="V163" s="20"/>
      <c r="W163" s="20"/>
      <c r="X163" s="20"/>
      <c r="Y163" s="20"/>
      <c r="Z163" s="20"/>
      <c r="AA163" s="20"/>
      <c r="AB163" s="20"/>
      <c r="AC163" s="20"/>
      <c r="AD163" s="20"/>
      <c r="AE163" s="20"/>
      <c r="AF163" s="20"/>
      <c r="AG163" s="20"/>
      <c r="AH163" s="20"/>
      <c r="AI163" s="20"/>
      <c r="AJ163" s="20"/>
      <c r="AK163" s="20"/>
      <c r="AL163" s="20" t="s">
        <v>127</v>
      </c>
      <c r="AM163" s="20">
        <v>0</v>
      </c>
      <c r="AN163" s="20">
        <v>0</v>
      </c>
      <c r="AO163" s="20">
        <v>0</v>
      </c>
      <c r="AP163" s="20">
        <v>0</v>
      </c>
      <c r="AQ163" s="20">
        <v>0</v>
      </c>
      <c r="AR163" s="20">
        <v>0</v>
      </c>
      <c r="AS163" s="20">
        <v>2</v>
      </c>
      <c r="AT163" s="20">
        <v>0</v>
      </c>
      <c r="AU163" s="20">
        <v>4</v>
      </c>
      <c r="AV163" s="20">
        <v>0</v>
      </c>
      <c r="AW163" s="20">
        <v>0</v>
      </c>
      <c r="AX163" s="20">
        <v>0</v>
      </c>
      <c r="AY163" s="20">
        <v>0</v>
      </c>
      <c r="AZ163" s="20">
        <v>0</v>
      </c>
      <c r="BA163" s="20">
        <v>0</v>
      </c>
      <c r="BB163" s="20">
        <v>0</v>
      </c>
      <c r="BC163" s="20">
        <v>0</v>
      </c>
      <c r="BD163" s="20">
        <v>0</v>
      </c>
      <c r="BE163" s="20">
        <v>0</v>
      </c>
      <c r="BF163" s="20">
        <v>2</v>
      </c>
      <c r="BG163" s="20">
        <v>0</v>
      </c>
      <c r="BH163" s="20">
        <v>2</v>
      </c>
      <c r="BI163" s="20">
        <v>0</v>
      </c>
      <c r="BJ163" s="20">
        <v>0</v>
      </c>
      <c r="BK163" s="20">
        <v>0</v>
      </c>
      <c r="BL163" s="20">
        <v>0</v>
      </c>
      <c r="BM163" s="20">
        <v>0</v>
      </c>
      <c r="BN163" s="20">
        <v>0</v>
      </c>
      <c r="BO163" s="20">
        <v>0</v>
      </c>
      <c r="BP163" s="20">
        <v>0</v>
      </c>
      <c r="BQ163" s="20">
        <v>2</v>
      </c>
      <c r="BR163" s="20">
        <v>0</v>
      </c>
      <c r="BS163" s="20">
        <v>0</v>
      </c>
      <c r="BT163" s="20">
        <v>0</v>
      </c>
      <c r="BU163" s="20">
        <v>0</v>
      </c>
      <c r="BV163" s="20">
        <v>0</v>
      </c>
      <c r="BW163" s="20">
        <v>0</v>
      </c>
      <c r="BX163" s="20">
        <v>0</v>
      </c>
      <c r="BY163" s="20">
        <v>0</v>
      </c>
      <c r="BZ163" s="20">
        <v>0</v>
      </c>
      <c r="CA163" s="20">
        <v>0</v>
      </c>
      <c r="CB163" s="20">
        <v>0</v>
      </c>
      <c r="CC163" s="20">
        <v>0</v>
      </c>
      <c r="CD163" s="20">
        <v>2</v>
      </c>
      <c r="CE163" s="20">
        <v>0</v>
      </c>
      <c r="CF163" s="20">
        <v>2</v>
      </c>
      <c r="CG163" s="20">
        <v>0</v>
      </c>
      <c r="CH163" s="20">
        <v>0</v>
      </c>
      <c r="CI163" s="20">
        <v>0</v>
      </c>
      <c r="CJ163" s="20">
        <v>0</v>
      </c>
      <c r="CK163" s="20">
        <v>0</v>
      </c>
      <c r="CL163" s="20"/>
      <c r="CM163" s="20" t="s">
        <v>474</v>
      </c>
      <c r="CN163" s="20"/>
      <c r="CO163" s="20"/>
      <c r="CP163" s="20"/>
      <c r="CQ163" s="20"/>
      <c r="CR163" s="20"/>
      <c r="CS163" s="20"/>
      <c r="CT163" s="20"/>
      <c r="CU163" s="20"/>
      <c r="CV163" s="20"/>
      <c r="CW163" s="20"/>
      <c r="CX163" s="20"/>
      <c r="CY163" s="20"/>
      <c r="CZ163" s="20"/>
      <c r="DA163" s="20"/>
      <c r="DB163" s="20"/>
      <c r="DC163" s="20"/>
      <c r="DD163" s="20"/>
      <c r="DE163" s="20"/>
      <c r="DF163" s="20"/>
      <c r="DG163" s="20"/>
      <c r="DH163" s="20"/>
      <c r="DI163" s="20"/>
      <c r="DJ163" s="20"/>
      <c r="DK163" s="20"/>
      <c r="DL163" s="20"/>
      <c r="DM163" s="20"/>
      <c r="DN163" s="20"/>
      <c r="DO163" s="20"/>
      <c r="DP163" s="20"/>
      <c r="DQ163" s="20"/>
      <c r="DR163" s="20"/>
      <c r="DS163" s="20"/>
      <c r="DT163" s="20"/>
      <c r="DU163" s="20"/>
      <c r="DV163" s="20"/>
      <c r="DW163" s="20"/>
      <c r="DX163" s="20"/>
      <c r="DY163" s="20"/>
      <c r="DZ163" s="54"/>
      <c r="EA163" s="54"/>
      <c r="EB163" s="54"/>
      <c r="EC163" s="20"/>
      <c r="ED163" s="20"/>
      <c r="EE163" s="20"/>
      <c r="EF163" s="20"/>
      <c r="EG163" s="20"/>
      <c r="EH163" s="20"/>
      <c r="EI163" s="20"/>
      <c r="EJ163" s="20"/>
      <c r="EK163" s="20"/>
      <c r="EL163" s="20"/>
      <c r="EM163" s="20"/>
      <c r="EN163" s="20"/>
      <c r="EO163" s="20"/>
      <c r="EP163" s="20"/>
      <c r="EQ163" s="20"/>
      <c r="ER163" s="20"/>
      <c r="ES163" s="20"/>
      <c r="ET163" s="20"/>
      <c r="EU163" s="20"/>
      <c r="EV163" s="20" t="s">
        <v>214</v>
      </c>
      <c r="EW163" s="20">
        <v>0</v>
      </c>
      <c r="EX163" s="20">
        <v>0</v>
      </c>
      <c r="EY163" s="20">
        <v>0</v>
      </c>
      <c r="EZ163" s="20">
        <v>0</v>
      </c>
      <c r="FA163" s="20">
        <v>0</v>
      </c>
      <c r="FB163" s="20">
        <v>0</v>
      </c>
      <c r="FC163" s="20">
        <v>2</v>
      </c>
      <c r="FD163" s="20">
        <v>4</v>
      </c>
      <c r="FE163" s="20">
        <v>0</v>
      </c>
      <c r="FF163" s="20">
        <v>0</v>
      </c>
      <c r="FG163" s="20">
        <v>4</v>
      </c>
      <c r="FH163" s="20"/>
      <c r="FI163" s="20" t="s">
        <v>212</v>
      </c>
      <c r="FJ163" s="20">
        <v>0</v>
      </c>
      <c r="FK163" s="20">
        <v>0</v>
      </c>
      <c r="FL163" s="20">
        <v>0</v>
      </c>
      <c r="FM163" s="20">
        <v>0</v>
      </c>
      <c r="FN163" s="20">
        <v>0</v>
      </c>
      <c r="FO163" s="20">
        <v>2</v>
      </c>
      <c r="FP163" s="20">
        <v>0</v>
      </c>
      <c r="FQ163" s="20">
        <v>2</v>
      </c>
      <c r="FR163" s="20">
        <v>0</v>
      </c>
      <c r="FS163" s="20">
        <v>8</v>
      </c>
      <c r="FT163" s="20">
        <v>6</v>
      </c>
      <c r="FU163" s="20"/>
      <c r="FV163" s="20" t="s">
        <v>212</v>
      </c>
      <c r="FW163" s="20">
        <v>0</v>
      </c>
      <c r="FX163" s="20">
        <v>0</v>
      </c>
      <c r="FY163" s="20">
        <v>0</v>
      </c>
      <c r="FZ163" s="20">
        <v>2</v>
      </c>
      <c r="GA163" s="20">
        <v>0</v>
      </c>
      <c r="GB163" s="20">
        <v>6</v>
      </c>
      <c r="GC163" s="20">
        <v>2</v>
      </c>
      <c r="GD163" s="20">
        <v>2</v>
      </c>
      <c r="GE163" s="20">
        <v>4</v>
      </c>
      <c r="GF163" s="20">
        <v>0</v>
      </c>
      <c r="GG163" s="20">
        <v>6</v>
      </c>
      <c r="GH163" s="20"/>
      <c r="GI163" s="20"/>
      <c r="GJ163" s="20"/>
      <c r="GK163" s="20"/>
      <c r="GL163" s="20"/>
      <c r="GM163" s="20"/>
      <c r="GN163" s="20"/>
      <c r="GO163" s="20"/>
      <c r="GP163" s="20"/>
      <c r="GQ163" s="20"/>
      <c r="GR163" s="20"/>
      <c r="GS163" s="20"/>
      <c r="GT163" s="20"/>
      <c r="GU163" s="20"/>
      <c r="GV163" s="20"/>
      <c r="GW163" s="20"/>
      <c r="GX163" s="20">
        <v>20</v>
      </c>
      <c r="GY163" s="20">
        <v>2200</v>
      </c>
      <c r="GZ163" s="20"/>
      <c r="HA163" s="20"/>
      <c r="HB163" s="20"/>
      <c r="HC163" s="20"/>
      <c r="HD163" s="21"/>
      <c r="HE163" s="21"/>
      <c r="HF163" s="21"/>
      <c r="HG163" s="21"/>
      <c r="HH163" s="21"/>
      <c r="HI163" s="21"/>
      <c r="HJ163" s="21"/>
      <c r="HK163" s="21"/>
      <c r="HL163" s="21"/>
      <c r="HM163" s="21"/>
      <c r="HN163" s="21"/>
      <c r="HO163" s="21"/>
      <c r="HP163" s="21"/>
      <c r="HQ163" s="21"/>
      <c r="HR163" s="21"/>
      <c r="HS163" s="21"/>
      <c r="HT163" s="21"/>
      <c r="HU163" s="21"/>
      <c r="HV163" s="21" t="s">
        <v>853</v>
      </c>
      <c r="HW163" s="21">
        <v>0</v>
      </c>
      <c r="HX163" s="21">
        <v>0</v>
      </c>
      <c r="HY163" s="21">
        <v>2</v>
      </c>
      <c r="HZ163" s="21">
        <v>2</v>
      </c>
      <c r="IA163" s="21">
        <v>4</v>
      </c>
      <c r="IB163" s="21">
        <v>6</v>
      </c>
      <c r="IC163" s="21">
        <v>6</v>
      </c>
      <c r="ID163" s="21">
        <v>8</v>
      </c>
      <c r="IE163" s="21">
        <v>8</v>
      </c>
      <c r="IF163" s="21">
        <v>10</v>
      </c>
      <c r="IG163" s="21">
        <v>12</v>
      </c>
      <c r="IH163" s="21">
        <v>12</v>
      </c>
      <c r="II163" s="21">
        <v>14</v>
      </c>
      <c r="IJ163" s="21">
        <v>16</v>
      </c>
      <c r="IK163" s="21">
        <v>16</v>
      </c>
      <c r="IL163" s="21">
        <v>18</v>
      </c>
      <c r="IM163" s="21">
        <v>20</v>
      </c>
      <c r="IN163" s="21">
        <v>20</v>
      </c>
      <c r="IO163" s="21">
        <v>22</v>
      </c>
      <c r="IP163" s="21">
        <v>24</v>
      </c>
      <c r="IQ163" s="21">
        <v>24</v>
      </c>
      <c r="IR163" s="21"/>
      <c r="IS163" s="21" t="s">
        <v>853</v>
      </c>
      <c r="IT163" s="21">
        <f t="shared" si="66"/>
        <v>0</v>
      </c>
      <c r="IU163" s="21">
        <f t="shared" si="66"/>
        <v>0</v>
      </c>
      <c r="IV163" s="21">
        <f t="shared" si="66"/>
        <v>4</v>
      </c>
      <c r="IW163" s="21">
        <f t="shared" si="66"/>
        <v>4</v>
      </c>
      <c r="IX163" s="21">
        <f t="shared" si="66"/>
        <v>8</v>
      </c>
      <c r="IY163" s="21">
        <f t="shared" si="66"/>
        <v>12</v>
      </c>
      <c r="IZ163" s="21">
        <f t="shared" si="66"/>
        <v>12</v>
      </c>
      <c r="JA163" s="21">
        <f t="shared" si="66"/>
        <v>16</v>
      </c>
      <c r="JB163" s="21">
        <f t="shared" si="66"/>
        <v>16</v>
      </c>
      <c r="JC163" s="21">
        <f t="shared" si="66"/>
        <v>20</v>
      </c>
      <c r="JD163" s="21">
        <f t="shared" si="66"/>
        <v>24</v>
      </c>
      <c r="JE163" s="21">
        <f t="shared" si="66"/>
        <v>24</v>
      </c>
      <c r="JF163" s="21">
        <f t="shared" si="66"/>
        <v>28</v>
      </c>
      <c r="JG163" s="21">
        <f t="shared" si="66"/>
        <v>32</v>
      </c>
      <c r="JH163" s="21">
        <f t="shared" si="66"/>
        <v>32</v>
      </c>
      <c r="JI163" s="21">
        <f t="shared" si="53"/>
        <v>36</v>
      </c>
      <c r="JJ163" s="21">
        <f t="shared" si="40"/>
        <v>40</v>
      </c>
      <c r="JK163" s="21">
        <f t="shared" si="40"/>
        <v>40</v>
      </c>
      <c r="JL163" s="21">
        <f t="shared" si="40"/>
        <v>44</v>
      </c>
      <c r="JM163" s="21">
        <f t="shared" si="40"/>
        <v>48</v>
      </c>
      <c r="JN163" s="21">
        <f t="shared" si="40"/>
        <v>48</v>
      </c>
      <c r="JO163" s="21"/>
      <c r="JP163" s="21"/>
      <c r="JQ163" s="26"/>
      <c r="JR163" s="21"/>
      <c r="JS163" s="21"/>
      <c r="JT163" s="21"/>
      <c r="JU163" s="21"/>
      <c r="JV163" s="21"/>
      <c r="JW163" s="21"/>
      <c r="JX163" s="21"/>
      <c r="JY163" s="21"/>
      <c r="JZ163" s="21"/>
      <c r="KA163" s="21"/>
      <c r="KB163" s="21"/>
      <c r="KC163" s="21"/>
      <c r="KD163" s="21"/>
      <c r="KE163" s="21"/>
      <c r="KF163" s="21"/>
      <c r="KG163" s="21"/>
      <c r="KH163" s="21"/>
    </row>
    <row r="164" spans="1:294" x14ac:dyDescent="0.25">
      <c r="A164" s="8"/>
      <c r="B164" s="5" t="s">
        <v>116</v>
      </c>
      <c r="C164" s="8"/>
      <c r="D164" s="40"/>
      <c r="E164" s="9"/>
      <c r="F164" s="9"/>
      <c r="G164" s="9"/>
      <c r="H164" s="9"/>
      <c r="I164" s="9"/>
      <c r="J164" s="9"/>
      <c r="K164" s="9"/>
      <c r="L164" s="6" t="str">
        <f>INDEX(($Z$191:$AA$201),MATCH(I152,$Y$191:$Y$200,0),MATCH(E153,$Z$190:$AA$190,0),1)</f>
        <v>BUF30</v>
      </c>
      <c r="M164" s="11">
        <f>INDEX(cennik!$C$2:$L$529,MATCH($L164,cennik!$B$2:$B$522,0),MATCH(M$104,cennik!$C$1:$L$1,0))</f>
        <v>897330</v>
      </c>
      <c r="N164" s="11" t="str">
        <f>INDEX(cennik!$C$2:$L$529,MATCH($L164,cennik!$B$2:$B$522,0),MATCH(N$104,cennik!$C$1:$L$1,0))</f>
        <v>szt.</v>
      </c>
      <c r="O164" s="11">
        <f>SUM(IF(A151=0,0,IF((A151&gt;0),C151*4)),IF(A152=0,0,IF((A152&gt;0),C152*4)),IF(A153=0,0,IF((A153&gt;0),C153*4)),IF(A154=0,0,IF((A154&gt;0),C154*4)),IF(A155=0,0,IF((A155&gt;0),C155*4)),IF(A156=0,0,IF((A156&gt;0),C156*4)),IF(A157=0,0,IF((A157&gt;0),C157*4)),IF(A158=0,0,IF((A158&gt;0),C158*4)),IF(A159=0,0,IF((A159&gt;0),C159*4)),IF(A160=0,0,IF((A160&gt;0),C160*4)),IF(A161=0,0,IF((A161&gt;0),C161*4)),IF(A162=0,0,IF((A162&gt;0),C162*4)),IF(A163=0,0,IF((A163&gt;0),C163*4)),IF(A164=0,0,IF((A164&gt;0),C164*4)),IF(A165=0,0,IF((A165&gt;0),C165*4)),,IF(A166=0,0,IF((A166&gt;0),C166*4)))</f>
        <v>0</v>
      </c>
      <c r="P164" s="34">
        <f>INDEX(cennik!$C$2:$L$529,MATCH($L164,cennik!$B$2:$B$522,0),MATCH(P$104,cennik!$C$1:$L$1,0))</f>
        <v>1.92</v>
      </c>
      <c r="Q164" s="34">
        <f t="shared" si="63"/>
        <v>0</v>
      </c>
      <c r="R164" s="35">
        <f t="shared" si="61"/>
        <v>0</v>
      </c>
      <c r="S164" s="34">
        <f t="shared" si="62"/>
        <v>1.92</v>
      </c>
      <c r="T164" s="34">
        <f t="shared" si="64"/>
        <v>0</v>
      </c>
      <c r="U164" s="34">
        <f>INDEX(cennik!$C$2:$L$529,MATCH($L164,cennik!$B$2:$B$522,0),MATCH(U$104,cennik!$C$1:$L$1,0))*O164</f>
        <v>0</v>
      </c>
      <c r="V164" s="20"/>
      <c r="W164" s="20"/>
      <c r="X164" s="20"/>
      <c r="Y164" s="20"/>
      <c r="Z164" s="20"/>
      <c r="AA164" s="20"/>
      <c r="AB164" s="20"/>
      <c r="AC164" s="20"/>
      <c r="AD164" s="20"/>
      <c r="AE164" s="20"/>
      <c r="AF164" s="20"/>
      <c r="AG164" s="20"/>
      <c r="AH164" s="20"/>
      <c r="AI164" s="20"/>
      <c r="AJ164" s="20"/>
      <c r="AK164" s="20"/>
      <c r="AL164" s="20" t="s">
        <v>15</v>
      </c>
      <c r="AM164" s="20">
        <v>0</v>
      </c>
      <c r="AN164" s="20">
        <v>0</v>
      </c>
      <c r="AO164" s="20">
        <v>0</v>
      </c>
      <c r="AP164" s="20">
        <v>0</v>
      </c>
      <c r="AQ164" s="20">
        <v>2</v>
      </c>
      <c r="AR164" s="20">
        <v>6</v>
      </c>
      <c r="AS164" s="20">
        <v>2</v>
      </c>
      <c r="AT164" s="20">
        <v>8</v>
      </c>
      <c r="AU164" s="20">
        <v>0</v>
      </c>
      <c r="AV164" s="20">
        <v>6</v>
      </c>
      <c r="AW164" s="20">
        <v>10</v>
      </c>
      <c r="AX164" s="20">
        <v>2</v>
      </c>
      <c r="AY164" s="20">
        <v>8</v>
      </c>
      <c r="AZ164" s="20">
        <v>0</v>
      </c>
      <c r="BA164" s="20">
        <v>2</v>
      </c>
      <c r="BB164" s="20">
        <v>6</v>
      </c>
      <c r="BC164" s="20">
        <v>14</v>
      </c>
      <c r="BD164" s="20">
        <v>6</v>
      </c>
      <c r="BE164" s="20">
        <v>10</v>
      </c>
      <c r="BF164" s="20">
        <v>16</v>
      </c>
      <c r="BG164" s="20">
        <v>8</v>
      </c>
      <c r="BH164" s="20">
        <v>12</v>
      </c>
      <c r="BI164" s="20">
        <v>4</v>
      </c>
      <c r="BJ164" s="20">
        <v>24</v>
      </c>
      <c r="BK164" s="20">
        <v>0</v>
      </c>
      <c r="BL164" s="20">
        <v>20</v>
      </c>
      <c r="BM164" s="20">
        <v>0</v>
      </c>
      <c r="BN164" s="20">
        <v>16</v>
      </c>
      <c r="BO164" s="20">
        <v>20</v>
      </c>
      <c r="BP164" s="20">
        <v>12</v>
      </c>
      <c r="BQ164" s="20">
        <v>18</v>
      </c>
      <c r="BR164" s="20">
        <v>10</v>
      </c>
      <c r="BS164" s="20">
        <v>4</v>
      </c>
      <c r="BT164" s="20">
        <v>6</v>
      </c>
      <c r="BU164" s="20">
        <v>26</v>
      </c>
      <c r="BV164" s="20">
        <v>2</v>
      </c>
      <c r="BW164" s="20">
        <v>22</v>
      </c>
      <c r="BX164" s="20">
        <v>0</v>
      </c>
      <c r="BY164" s="20">
        <v>18</v>
      </c>
      <c r="BZ164" s="20">
        <v>0</v>
      </c>
      <c r="CA164" s="20">
        <v>14</v>
      </c>
      <c r="CB164" s="20">
        <v>34</v>
      </c>
      <c r="CC164" s="20">
        <v>10</v>
      </c>
      <c r="CD164" s="20">
        <v>16</v>
      </c>
      <c r="CE164" s="20">
        <v>8</v>
      </c>
      <c r="CF164" s="20">
        <v>12</v>
      </c>
      <c r="CG164" s="20">
        <v>4</v>
      </c>
      <c r="CH164" s="20">
        <v>2</v>
      </c>
      <c r="CI164" s="20">
        <v>0</v>
      </c>
      <c r="CJ164" s="20">
        <v>20</v>
      </c>
      <c r="CK164" s="20">
        <v>0</v>
      </c>
      <c r="CL164" s="20"/>
      <c r="CM164" s="20"/>
      <c r="CN164" s="20">
        <v>0</v>
      </c>
      <c r="CO164" s="20">
        <v>1</v>
      </c>
      <c r="CP164" s="20">
        <v>2</v>
      </c>
      <c r="CQ164" s="20">
        <v>3</v>
      </c>
      <c r="CR164" s="20">
        <v>4</v>
      </c>
      <c r="CS164" s="20">
        <v>5</v>
      </c>
      <c r="CT164" s="20">
        <v>6</v>
      </c>
      <c r="CU164" s="20">
        <v>7</v>
      </c>
      <c r="CV164" s="20">
        <v>8</v>
      </c>
      <c r="CW164" s="20">
        <v>9</v>
      </c>
      <c r="CX164" s="20">
        <v>10</v>
      </c>
      <c r="CY164" s="20">
        <v>11</v>
      </c>
      <c r="CZ164" s="20">
        <v>12</v>
      </c>
      <c r="DA164" s="20">
        <v>13</v>
      </c>
      <c r="DB164" s="20">
        <v>14</v>
      </c>
      <c r="DC164" s="20">
        <v>15</v>
      </c>
      <c r="DD164" s="20">
        <v>16</v>
      </c>
      <c r="DE164" s="20">
        <v>17</v>
      </c>
      <c r="DF164" s="20">
        <v>18</v>
      </c>
      <c r="DG164" s="20">
        <v>19</v>
      </c>
      <c r="DH164" s="20">
        <v>20</v>
      </c>
      <c r="DI164" s="20"/>
      <c r="DJ164" s="20"/>
      <c r="DK164" s="20"/>
      <c r="DL164" s="20"/>
      <c r="DM164" s="20"/>
      <c r="DN164" s="20"/>
      <c r="DO164" s="20"/>
      <c r="DP164" s="20"/>
      <c r="DQ164" s="20"/>
      <c r="DR164" s="20"/>
      <c r="DS164" s="20"/>
      <c r="DT164" s="20"/>
      <c r="DU164" s="20"/>
      <c r="DV164" s="20"/>
      <c r="DW164" s="20"/>
      <c r="DX164" s="20"/>
      <c r="DY164" s="20"/>
      <c r="DZ164" s="54"/>
      <c r="EA164" s="54"/>
      <c r="EB164" s="54"/>
      <c r="EC164" s="20"/>
      <c r="ED164" s="20"/>
      <c r="EE164" s="20"/>
      <c r="EF164" s="20"/>
      <c r="EG164" s="20"/>
      <c r="EH164" s="20"/>
      <c r="EI164" s="20"/>
      <c r="EJ164" s="20"/>
      <c r="EK164" s="20"/>
      <c r="EL164" s="20"/>
      <c r="EM164" s="20"/>
      <c r="EN164" s="20"/>
      <c r="EO164" s="20"/>
      <c r="EP164" s="20"/>
      <c r="EQ164" s="20"/>
      <c r="ER164" s="20"/>
      <c r="ES164" s="20"/>
      <c r="ET164" s="20"/>
      <c r="EU164" s="20"/>
      <c r="EV164" s="20" t="s">
        <v>11</v>
      </c>
      <c r="EW164" s="20">
        <v>0</v>
      </c>
      <c r="EX164" s="20">
        <v>0</v>
      </c>
      <c r="EY164" s="20">
        <v>0</v>
      </c>
      <c r="EZ164" s="20">
        <v>2</v>
      </c>
      <c r="FA164" s="20">
        <v>2</v>
      </c>
      <c r="FB164" s="20">
        <v>4</v>
      </c>
      <c r="FC164" s="20">
        <v>4</v>
      </c>
      <c r="FD164" s="20">
        <v>6</v>
      </c>
      <c r="FE164" s="20">
        <v>6</v>
      </c>
      <c r="FF164" s="20">
        <v>8</v>
      </c>
      <c r="FG164" s="20">
        <v>8</v>
      </c>
      <c r="FH164" s="20"/>
      <c r="FI164" s="20" t="s">
        <v>214</v>
      </c>
      <c r="FJ164" s="20">
        <v>0</v>
      </c>
      <c r="FK164" s="20">
        <v>0</v>
      </c>
      <c r="FL164" s="20">
        <v>0</v>
      </c>
      <c r="FM164" s="20">
        <v>2</v>
      </c>
      <c r="FN164" s="20">
        <v>2</v>
      </c>
      <c r="FO164" s="20">
        <v>0</v>
      </c>
      <c r="FP164" s="20">
        <v>4</v>
      </c>
      <c r="FQ164" s="20">
        <v>2</v>
      </c>
      <c r="FR164" s="20">
        <v>6</v>
      </c>
      <c r="FS164" s="20">
        <v>0</v>
      </c>
      <c r="FT164" s="20">
        <v>4</v>
      </c>
      <c r="FU164" s="20"/>
      <c r="FV164" s="20" t="s">
        <v>214</v>
      </c>
      <c r="FW164" s="20">
        <v>0</v>
      </c>
      <c r="FX164" s="20">
        <v>0</v>
      </c>
      <c r="FY164" s="20">
        <v>0</v>
      </c>
      <c r="FZ164" s="20">
        <v>0</v>
      </c>
      <c r="GA164" s="20">
        <v>4</v>
      </c>
      <c r="GB164" s="20">
        <v>0</v>
      </c>
      <c r="GC164" s="20">
        <v>0</v>
      </c>
      <c r="GD164" s="20">
        <v>6</v>
      </c>
      <c r="GE164" s="20">
        <v>2</v>
      </c>
      <c r="GF164" s="20">
        <v>2</v>
      </c>
      <c r="GG164" s="20">
        <v>4</v>
      </c>
      <c r="GH164" s="20"/>
      <c r="GI164" s="20"/>
      <c r="GJ164" s="20"/>
      <c r="GK164" s="20"/>
      <c r="GL164" s="20"/>
      <c r="GM164" s="20"/>
      <c r="GN164" s="20"/>
      <c r="GO164" s="20"/>
      <c r="GP164" s="20"/>
      <c r="GQ164" s="20"/>
      <c r="GR164" s="20"/>
      <c r="GS164" s="20"/>
      <c r="GT164" s="20"/>
      <c r="GU164" s="20"/>
      <c r="GV164" s="20"/>
      <c r="GW164" s="20"/>
      <c r="GX164" s="20">
        <f>((GX163*GY163)+((GX163-1)*20))-500</f>
        <v>43880</v>
      </c>
      <c r="GY164" s="26" t="s">
        <v>158</v>
      </c>
      <c r="GZ164" s="26" t="s">
        <v>156</v>
      </c>
      <c r="HA164" s="26" t="s">
        <v>155</v>
      </c>
      <c r="HB164" s="20"/>
      <c r="HC164" s="20" t="s">
        <v>157</v>
      </c>
      <c r="HD164" s="21"/>
      <c r="HE164" s="21"/>
      <c r="HF164" s="21"/>
      <c r="HG164" s="21"/>
      <c r="HH164" s="21"/>
      <c r="HI164" s="21"/>
      <c r="HJ164" s="21"/>
      <c r="HK164" s="21"/>
      <c r="HL164" s="21"/>
      <c r="HM164" s="21"/>
      <c r="HN164" s="21"/>
      <c r="HO164" s="21"/>
      <c r="HP164" s="21"/>
      <c r="HQ164" s="21"/>
      <c r="HR164" s="21"/>
      <c r="HS164" s="21"/>
      <c r="HT164" s="21"/>
      <c r="HU164" s="21"/>
      <c r="HV164" s="186"/>
      <c r="HW164" s="21"/>
      <c r="HX164" s="21"/>
      <c r="HY164" s="21"/>
      <c r="HZ164" s="21"/>
      <c r="IA164" s="21"/>
      <c r="IB164" s="21"/>
      <c r="IC164" s="21"/>
      <c r="ID164" s="21"/>
      <c r="IE164" s="21"/>
      <c r="IF164" s="21"/>
      <c r="IG164" s="21"/>
      <c r="IH164" s="21"/>
      <c r="II164" s="21"/>
      <c r="IJ164" s="21"/>
      <c r="IK164" s="21"/>
      <c r="IL164" s="21"/>
      <c r="IM164" s="21"/>
      <c r="IN164" s="21"/>
      <c r="IO164" s="21"/>
      <c r="IP164" s="21"/>
      <c r="IQ164" s="21"/>
      <c r="IR164" s="21"/>
      <c r="IS164" s="21"/>
      <c r="IT164" s="21"/>
      <c r="IU164" s="21"/>
      <c r="IV164" s="21"/>
      <c r="IW164" s="21"/>
      <c r="IX164" s="21"/>
      <c r="IY164" s="21"/>
      <c r="IZ164" s="21"/>
      <c r="JA164" s="21"/>
      <c r="JB164" s="21"/>
      <c r="JC164" s="21"/>
      <c r="JD164" s="21"/>
      <c r="JE164" s="21"/>
      <c r="JF164" s="21"/>
      <c r="JG164" s="21"/>
      <c r="JH164" s="21"/>
      <c r="JI164" s="21"/>
      <c r="JJ164" s="21"/>
      <c r="JK164" s="21"/>
      <c r="JL164" s="21"/>
      <c r="JM164" s="21"/>
      <c r="JN164" s="21"/>
      <c r="JO164" s="21"/>
      <c r="JP164" s="21"/>
      <c r="JQ164" s="26"/>
      <c r="JR164" s="21"/>
      <c r="JS164" s="21"/>
      <c r="JT164" s="21"/>
      <c r="JU164" s="21"/>
      <c r="JV164" s="21"/>
      <c r="JW164" s="21"/>
      <c r="JX164" s="21"/>
      <c r="JY164" s="21"/>
      <c r="JZ164" s="21"/>
      <c r="KA164" s="21"/>
      <c r="KB164" s="21"/>
      <c r="KC164" s="21"/>
      <c r="KD164" s="21"/>
      <c r="KE164" s="21"/>
      <c r="KF164" s="21"/>
      <c r="KG164" s="21"/>
      <c r="KH164" s="21"/>
    </row>
    <row r="165" spans="1:294" x14ac:dyDescent="0.25">
      <c r="A165" s="8"/>
      <c r="B165" s="5" t="s">
        <v>116</v>
      </c>
      <c r="C165" s="8"/>
      <c r="D165" s="40"/>
      <c r="E165" s="9"/>
      <c r="F165" s="9"/>
      <c r="G165" s="9"/>
      <c r="H165" s="9"/>
      <c r="I165" s="9"/>
      <c r="J165" s="9"/>
      <c r="K165" s="9"/>
      <c r="L165" s="6" t="str">
        <f>INDEX(($Z$201:$AA$201),1,MATCH(E153,$Z$190:$AA$190,0),1)</f>
        <v>PUF</v>
      </c>
      <c r="M165" s="11">
        <f>INDEX(cennik!$C$2:$L$529,MATCH($L165,cennik!$B$2:$B$522,0),MATCH(M$104,cennik!$C$1:$L$1,0))</f>
        <v>897300</v>
      </c>
      <c r="N165" s="11" t="str">
        <f>INDEX(cennik!$C$2:$L$529,MATCH($L165,cennik!$B$2:$B$522,0),MATCH(N$104,cennik!$C$1:$L$1,0))</f>
        <v>szt.</v>
      </c>
      <c r="O165" s="11">
        <f>SUM(IF(A151=0,0,IF(A151&gt;0,(A151-1)*2*C151)),IF(A152=0,0,IF(A152&gt;0,(A152-1)*2*C152)),IF(A153=0,0,IF(A153&gt;0,(A153-1)*2*C153)),IF(A154=0,0,IF(A154&gt;0,(A154-1)*2*C154)),IF(A155=0,0,IF(A155&gt;0,(A155-1)*2*C155)),IF(A156=0,0,IF(A156&gt;0,(A156-1)*2*C156)),IF(A157=0,0,IF(A157&gt;0,(A157-1)*2*C157)),IF(A158=0,0,IF(A158&gt;0,(A158-1)*2*C158)),IF(A159=0,0,IF(A159&gt;0,(A159-1)*2*C159)),IF(A160=0,0,IF(A160&gt;0,(A160-1)*2*C160)),IF(A161=0,0,IF(A161&gt;0,(A161-1)*2*C161)),IF(A162=0,0,IF(A162&gt;0,(A162-1)*2*C162)),IF(A163=0,0,IF(A163&gt;0,(A163-1)*2*C163)),IF(A164=0,0,IF(A164&gt;0,(A164-1)*2*C164)),IF(A165=0,0,IF(A165&gt;0,(A165-1)*2*C165)),IF(A166=0,0,IF(A166&gt;0,(A166-1)*2*C166)))</f>
        <v>0</v>
      </c>
      <c r="P165" s="34">
        <f>INDEX(cennik!$C$2:$L$529,MATCH($L165,cennik!$B$2:$B$522,0),MATCH(P$104,cennik!$C$1:$L$1,0))</f>
        <v>2.06</v>
      </c>
      <c r="Q165" s="34">
        <f t="shared" si="63"/>
        <v>0</v>
      </c>
      <c r="R165" s="35">
        <f t="shared" si="61"/>
        <v>0</v>
      </c>
      <c r="S165" s="34">
        <f t="shared" si="62"/>
        <v>2.06</v>
      </c>
      <c r="T165" s="34">
        <f t="shared" si="64"/>
        <v>0</v>
      </c>
      <c r="U165" s="34">
        <f>INDEX(cennik!$C$2:$L$529,MATCH($L165,cennik!$B$2:$B$522,0),MATCH(U$104,cennik!$C$1:$L$1,0))*O165</f>
        <v>0</v>
      </c>
      <c r="V165" s="20"/>
      <c r="W165" s="20"/>
      <c r="X165" s="20"/>
      <c r="Y165" s="20"/>
      <c r="Z165" s="20"/>
      <c r="AA165" s="20"/>
      <c r="AB165" s="20"/>
      <c r="AC165" s="20"/>
      <c r="AD165" s="20"/>
      <c r="AE165" s="20"/>
      <c r="AF165" s="20"/>
      <c r="AG165" s="20"/>
      <c r="AH165" s="20"/>
      <c r="AI165" s="20"/>
      <c r="AJ165" s="20"/>
      <c r="AK165" s="20"/>
      <c r="AL165" s="20" t="s">
        <v>19</v>
      </c>
      <c r="AM165" s="20">
        <v>0</v>
      </c>
      <c r="AN165" s="20">
        <v>0</v>
      </c>
      <c r="AO165" s="20">
        <v>0</v>
      </c>
      <c r="AP165" s="20">
        <v>2</v>
      </c>
      <c r="AQ165" s="20">
        <v>0</v>
      </c>
      <c r="AR165" s="20">
        <v>0</v>
      </c>
      <c r="AS165" s="20">
        <v>2</v>
      </c>
      <c r="AT165" s="20">
        <v>0</v>
      </c>
      <c r="AU165" s="20">
        <v>6</v>
      </c>
      <c r="AV165" s="20">
        <v>4</v>
      </c>
      <c r="AW165" s="20">
        <v>0</v>
      </c>
      <c r="AX165" s="20">
        <v>10</v>
      </c>
      <c r="AY165" s="20">
        <v>4</v>
      </c>
      <c r="AZ165" s="20">
        <v>14</v>
      </c>
      <c r="BA165" s="20">
        <v>12</v>
      </c>
      <c r="BB165" s="20">
        <v>8</v>
      </c>
      <c r="BC165" s="20">
        <v>4</v>
      </c>
      <c r="BD165" s="20">
        <v>10</v>
      </c>
      <c r="BE165" s="20">
        <v>10</v>
      </c>
      <c r="BF165" s="20">
        <v>4</v>
      </c>
      <c r="BG165" s="20">
        <v>14</v>
      </c>
      <c r="BH165" s="20">
        <v>10</v>
      </c>
      <c r="BI165" s="20">
        <v>20</v>
      </c>
      <c r="BJ165" s="20">
        <v>2</v>
      </c>
      <c r="BK165" s="20">
        <v>26</v>
      </c>
      <c r="BL165" s="20">
        <v>8</v>
      </c>
      <c r="BM165" s="20">
        <v>28</v>
      </c>
      <c r="BN165" s="20">
        <v>14</v>
      </c>
      <c r="BO165" s="20">
        <v>10</v>
      </c>
      <c r="BP165" s="20">
        <v>20</v>
      </c>
      <c r="BQ165" s="20">
        <v>14</v>
      </c>
      <c r="BR165" s="20">
        <v>24</v>
      </c>
      <c r="BS165" s="20">
        <v>28</v>
      </c>
      <c r="BT165" s="20">
        <v>30</v>
      </c>
      <c r="BU165" s="20">
        <v>12</v>
      </c>
      <c r="BV165" s="20">
        <v>36</v>
      </c>
      <c r="BW165" s="20">
        <v>18</v>
      </c>
      <c r="BX165" s="20">
        <v>40</v>
      </c>
      <c r="BY165" s="20">
        <v>24</v>
      </c>
      <c r="BZ165" s="20">
        <v>42</v>
      </c>
      <c r="CA165" s="20">
        <v>30</v>
      </c>
      <c r="CB165" s="20">
        <v>12</v>
      </c>
      <c r="CC165" s="20">
        <v>36</v>
      </c>
      <c r="CD165" s="20">
        <v>30</v>
      </c>
      <c r="CE165" s="20">
        <v>40</v>
      </c>
      <c r="CF165" s="20">
        <v>36</v>
      </c>
      <c r="CG165" s="20">
        <v>46</v>
      </c>
      <c r="CH165" s="20">
        <v>46</v>
      </c>
      <c r="CI165" s="20">
        <v>52</v>
      </c>
      <c r="CJ165" s="20">
        <v>34</v>
      </c>
      <c r="CK165" s="20">
        <v>54</v>
      </c>
      <c r="CL165" s="20"/>
      <c r="CM165" s="20" t="s">
        <v>293</v>
      </c>
      <c r="CN165" s="20">
        <v>0</v>
      </c>
      <c r="CO165" s="20">
        <v>2</v>
      </c>
      <c r="CP165" s="20">
        <v>0</v>
      </c>
      <c r="CQ165" s="20">
        <v>0</v>
      </c>
      <c r="CR165" s="20">
        <v>2</v>
      </c>
      <c r="CS165" s="20">
        <v>2</v>
      </c>
      <c r="CT165" s="20">
        <v>0</v>
      </c>
      <c r="CU165" s="20">
        <v>4</v>
      </c>
      <c r="CV165" s="20">
        <v>2</v>
      </c>
      <c r="CW165" s="20">
        <v>0</v>
      </c>
      <c r="CX165" s="20">
        <v>4</v>
      </c>
      <c r="CY165" s="20">
        <v>2</v>
      </c>
      <c r="CZ165" s="20">
        <v>0</v>
      </c>
      <c r="DA165" s="20">
        <v>4</v>
      </c>
      <c r="DB165" s="20">
        <v>2</v>
      </c>
      <c r="DC165" s="20">
        <v>0</v>
      </c>
      <c r="DD165" s="20">
        <v>4</v>
      </c>
      <c r="DE165" s="20">
        <v>2</v>
      </c>
      <c r="DF165" s="20">
        <v>0</v>
      </c>
      <c r="DG165" s="20">
        <v>4</v>
      </c>
      <c r="DH165" s="20">
        <v>2</v>
      </c>
      <c r="DI165" s="20"/>
      <c r="DJ165" s="20"/>
      <c r="DK165" s="20"/>
      <c r="DL165" s="20"/>
      <c r="DM165" s="20"/>
      <c r="DN165" s="20"/>
      <c r="DO165" s="20"/>
      <c r="DP165" s="20"/>
      <c r="DQ165" s="20"/>
      <c r="DR165" s="20"/>
      <c r="DS165" s="20"/>
      <c r="DT165" s="20"/>
      <c r="DU165" s="20"/>
      <c r="DV165" s="20"/>
      <c r="DW165" s="20"/>
      <c r="DX165" s="20"/>
      <c r="DY165" s="20"/>
      <c r="DZ165" s="54"/>
      <c r="EA165" s="54"/>
      <c r="EB165" s="54"/>
      <c r="EC165" s="20"/>
      <c r="ED165" s="20"/>
      <c r="EE165" s="20"/>
      <c r="EF165" s="20"/>
      <c r="EG165" s="20"/>
      <c r="EH165" s="20"/>
      <c r="EI165" s="20"/>
      <c r="EJ165" s="20"/>
      <c r="EK165" s="20"/>
      <c r="EL165" s="20"/>
      <c r="EM165" s="20"/>
      <c r="EN165" s="20"/>
      <c r="EO165" s="20"/>
      <c r="EP165" s="20"/>
      <c r="EQ165" s="20"/>
      <c r="ER165" s="20"/>
      <c r="ES165" s="20"/>
      <c r="ET165" s="20"/>
      <c r="EU165" s="20"/>
      <c r="EV165" s="21"/>
      <c r="EW165" s="21"/>
      <c r="EX165" s="21"/>
      <c r="EY165" s="21"/>
      <c r="EZ165" s="21"/>
      <c r="FA165" s="21"/>
      <c r="FB165" s="21"/>
      <c r="FC165" s="21"/>
      <c r="FD165" s="21"/>
      <c r="FE165" s="21"/>
      <c r="FF165" s="21"/>
      <c r="FG165" s="21"/>
      <c r="FH165" s="20"/>
      <c r="FI165" s="20" t="s">
        <v>11</v>
      </c>
      <c r="FJ165" s="20">
        <v>0</v>
      </c>
      <c r="FK165" s="20">
        <v>0</v>
      </c>
      <c r="FL165" s="20">
        <v>2</v>
      </c>
      <c r="FM165" s="20">
        <v>2</v>
      </c>
      <c r="FN165" s="20">
        <v>4</v>
      </c>
      <c r="FO165" s="20">
        <v>4</v>
      </c>
      <c r="FP165" s="20">
        <v>6</v>
      </c>
      <c r="FQ165" s="20">
        <v>6</v>
      </c>
      <c r="FR165" s="20">
        <v>8</v>
      </c>
      <c r="FS165" s="20">
        <v>8</v>
      </c>
      <c r="FT165" s="20">
        <v>10</v>
      </c>
      <c r="FU165" s="20"/>
      <c r="FV165" s="20" t="s">
        <v>11</v>
      </c>
      <c r="FW165" s="20">
        <v>0</v>
      </c>
      <c r="FX165" s="20">
        <v>0</v>
      </c>
      <c r="FY165" s="20">
        <v>2</v>
      </c>
      <c r="FZ165" s="20">
        <v>2</v>
      </c>
      <c r="GA165" s="20">
        <v>4</v>
      </c>
      <c r="GB165" s="20">
        <v>4</v>
      </c>
      <c r="GC165" s="20">
        <v>6</v>
      </c>
      <c r="GD165" s="20">
        <v>6</v>
      </c>
      <c r="GE165" s="20">
        <v>8</v>
      </c>
      <c r="GF165" s="20">
        <v>10</v>
      </c>
      <c r="GG165" s="20">
        <v>10</v>
      </c>
      <c r="GH165" s="20"/>
      <c r="GI165" s="20"/>
      <c r="GJ165" s="20"/>
      <c r="GK165" s="20"/>
      <c r="GL165" s="20"/>
      <c r="GM165" s="20"/>
      <c r="GN165" s="20"/>
      <c r="GO165" s="20"/>
      <c r="GP165" s="20"/>
      <c r="GQ165" s="20"/>
      <c r="GR165" s="20"/>
      <c r="GS165" s="20"/>
      <c r="GT165" s="20"/>
      <c r="GU165" s="20"/>
      <c r="GV165" s="20"/>
      <c r="GW165" s="20"/>
      <c r="GX165" s="20">
        <v>2200</v>
      </c>
      <c r="GY165" s="20">
        <v>2</v>
      </c>
      <c r="GZ165" s="20">
        <f>GX165*GY165</f>
        <v>4400</v>
      </c>
      <c r="HA165" s="187">
        <v>46.73</v>
      </c>
      <c r="HB165" s="20">
        <f>GY165*HA165</f>
        <v>93.46</v>
      </c>
      <c r="HC165" s="20">
        <f>2*GY165</f>
        <v>4</v>
      </c>
      <c r="HD165" s="21"/>
      <c r="HE165" s="21"/>
      <c r="HF165" s="21"/>
      <c r="HG165" s="21"/>
      <c r="HH165" s="21"/>
      <c r="HI165" s="21"/>
      <c r="HJ165" s="21"/>
      <c r="HK165" s="21"/>
      <c r="HL165" s="21"/>
      <c r="HM165" s="21"/>
      <c r="HN165" s="21"/>
      <c r="HO165" s="21"/>
      <c r="HP165" s="21"/>
      <c r="HQ165" s="21"/>
      <c r="HR165" s="21"/>
      <c r="HS165" s="21"/>
      <c r="HT165" s="21"/>
      <c r="HU165" s="346"/>
      <c r="HV165" s="186" t="s">
        <v>478</v>
      </c>
      <c r="HW165" s="21"/>
      <c r="HX165" s="21"/>
      <c r="HY165" s="21"/>
      <c r="HZ165" s="21"/>
      <c r="IA165" s="21"/>
      <c r="IB165" s="21"/>
      <c r="IC165" s="21"/>
      <c r="ID165" s="21"/>
      <c r="IE165" s="21"/>
      <c r="IF165" s="21"/>
      <c r="IG165" s="21"/>
      <c r="IH165" s="21"/>
      <c r="II165" s="21"/>
      <c r="IJ165" s="21"/>
      <c r="IK165" s="21"/>
      <c r="IL165" s="21"/>
      <c r="IM165" s="21"/>
      <c r="IN165" s="21"/>
      <c r="IO165" s="21"/>
      <c r="IP165" s="21"/>
      <c r="IQ165" s="21"/>
      <c r="IR165" s="21"/>
      <c r="IS165" s="21" t="s">
        <v>478</v>
      </c>
      <c r="IT165" s="21"/>
      <c r="IU165" s="21"/>
      <c r="IV165" s="21"/>
      <c r="IW165" s="21"/>
      <c r="IX165" s="21"/>
      <c r="IY165" s="21"/>
      <c r="IZ165" s="21"/>
      <c r="JA165" s="21"/>
      <c r="JB165" s="21"/>
      <c r="JC165" s="21"/>
      <c r="JD165" s="21"/>
      <c r="JE165" s="21"/>
      <c r="JF165" s="21"/>
      <c r="JG165" s="21"/>
      <c r="JH165" s="21"/>
      <c r="JI165" s="21"/>
      <c r="JJ165" s="21"/>
      <c r="JK165" s="21"/>
      <c r="JL165" s="21"/>
      <c r="JM165" s="21"/>
      <c r="JN165" s="21"/>
      <c r="JO165" s="21"/>
      <c r="JP165" s="21"/>
      <c r="JQ165" s="21"/>
      <c r="JR165" s="21"/>
      <c r="JS165" s="21"/>
      <c r="JT165" s="21"/>
      <c r="JU165" s="21"/>
      <c r="JV165" s="21"/>
      <c r="JW165" s="21"/>
      <c r="JX165" s="21"/>
      <c r="JY165" s="21"/>
      <c r="JZ165" s="21"/>
      <c r="KA165" s="21"/>
      <c r="KB165" s="21"/>
      <c r="KC165" s="21"/>
      <c r="KD165" s="21"/>
      <c r="KE165" s="21"/>
      <c r="KF165" s="21"/>
      <c r="KG165" s="21"/>
      <c r="KH165" s="21"/>
    </row>
    <row r="166" spans="1:294" x14ac:dyDescent="0.25">
      <c r="A166" s="8"/>
      <c r="B166" s="5" t="s">
        <v>116</v>
      </c>
      <c r="C166" s="8"/>
      <c r="D166" s="9"/>
      <c r="E166" s="9"/>
      <c r="F166" s="9"/>
      <c r="G166" s="9"/>
      <c r="H166" s="9"/>
      <c r="I166" s="9"/>
      <c r="J166" s="9"/>
      <c r="K166" s="9"/>
      <c r="L166" s="6" t="str">
        <f>INDEX(($AB$191:$AB$200),MATCH(I152,$Y$191:$Y$200,0),1,1)</f>
        <v>SAM8X25E</v>
      </c>
      <c r="M166" s="11">
        <f>INDEX(cennik!$C$2:$L$529,MATCH($L166,cennik!$B$2:$B$522,0),MATCH(M$104,cennik!$C$1:$L$1,0))</f>
        <v>898525</v>
      </c>
      <c r="N166" s="11" t="str">
        <f>INDEX(cennik!$C$2:$L$529,MATCH($L166,cennik!$B$2:$B$522,0),MATCH(N$104,cennik!$C$1:$L$1,0))</f>
        <v>szt.</v>
      </c>
      <c r="O166" s="11">
        <f>IF(L166="-------",0,SUM(O164:O165))</f>
        <v>0</v>
      </c>
      <c r="P166" s="34">
        <f>INDEX(cennik!$C$2:$L$529,MATCH($L166,cennik!$B$2:$B$522,0),MATCH(P$104,cennik!$C$1:$L$1,0))</f>
        <v>0.45</v>
      </c>
      <c r="Q166" s="34">
        <f t="shared" si="63"/>
        <v>0</v>
      </c>
      <c r="R166" s="35">
        <f t="shared" si="61"/>
        <v>0</v>
      </c>
      <c r="S166" s="34">
        <f t="shared" si="62"/>
        <v>0.45</v>
      </c>
      <c r="T166" s="34">
        <f t="shared" si="64"/>
        <v>0</v>
      </c>
      <c r="U166" s="34">
        <f>INDEX(cennik!$C$2:$L$529,MATCH($L166,cennik!$B$2:$B$522,0),MATCH(U$104,cennik!$C$1:$L$1,0))*O166</f>
        <v>0</v>
      </c>
      <c r="V166" s="20"/>
      <c r="W166" s="27" t="s">
        <v>324</v>
      </c>
      <c r="X166" s="27" t="s">
        <v>325</v>
      </c>
      <c r="Y166" s="20"/>
      <c r="Z166" s="27" t="s">
        <v>161</v>
      </c>
      <c r="AA166" s="27">
        <v>1.1499999999999999</v>
      </c>
      <c r="AB166" s="27">
        <v>2.1</v>
      </c>
      <c r="AC166" s="27">
        <v>2.2000000000000002</v>
      </c>
      <c r="AD166" s="27">
        <v>3.15</v>
      </c>
      <c r="AE166" s="27">
        <v>3.3</v>
      </c>
      <c r="AF166" s="21"/>
      <c r="AG166" s="21"/>
      <c r="AH166" s="21"/>
      <c r="AI166" s="21"/>
      <c r="AJ166" s="20"/>
      <c r="AK166" s="20"/>
      <c r="AL166" s="20" t="s">
        <v>408</v>
      </c>
      <c r="AM166" s="20">
        <v>0</v>
      </c>
      <c r="AN166" s="20">
        <f>((((SUM(AN161:AN165))/2)-1))*4</f>
        <v>0</v>
      </c>
      <c r="AO166" s="20">
        <f>((((SUM(AO161:AO165))/2)-1))*4</f>
        <v>4</v>
      </c>
      <c r="AP166" s="20">
        <f t="shared" ref="AP166:CK166" si="67">((((SUM(AP161:AP165))/2)-1))*4</f>
        <v>4</v>
      </c>
      <c r="AQ166" s="20">
        <f t="shared" si="67"/>
        <v>8</v>
      </c>
      <c r="AR166" s="20">
        <f t="shared" si="67"/>
        <v>8</v>
      </c>
      <c r="AS166" s="20">
        <f t="shared" si="67"/>
        <v>12</v>
      </c>
      <c r="AT166" s="20">
        <f t="shared" si="67"/>
        <v>12</v>
      </c>
      <c r="AU166" s="20">
        <f t="shared" si="67"/>
        <v>16</v>
      </c>
      <c r="AV166" s="20">
        <f t="shared" si="67"/>
        <v>16</v>
      </c>
      <c r="AW166" s="20">
        <f t="shared" si="67"/>
        <v>20</v>
      </c>
      <c r="AX166" s="20">
        <f t="shared" si="67"/>
        <v>20</v>
      </c>
      <c r="AY166" s="20">
        <f t="shared" si="67"/>
        <v>24</v>
      </c>
      <c r="AZ166" s="20">
        <f t="shared" si="67"/>
        <v>24</v>
      </c>
      <c r="BA166" s="20">
        <f t="shared" si="67"/>
        <v>28</v>
      </c>
      <c r="BB166" s="20">
        <f t="shared" si="67"/>
        <v>32</v>
      </c>
      <c r="BC166" s="20">
        <f t="shared" si="67"/>
        <v>32</v>
      </c>
      <c r="BD166" s="20">
        <f t="shared" si="67"/>
        <v>36</v>
      </c>
      <c r="BE166" s="20">
        <f t="shared" si="67"/>
        <v>36</v>
      </c>
      <c r="BF166" s="20">
        <f t="shared" si="67"/>
        <v>40</v>
      </c>
      <c r="BG166" s="20">
        <f t="shared" si="67"/>
        <v>40</v>
      </c>
      <c r="BH166" s="20">
        <f t="shared" si="67"/>
        <v>44</v>
      </c>
      <c r="BI166" s="20">
        <f t="shared" si="67"/>
        <v>44</v>
      </c>
      <c r="BJ166" s="20">
        <f t="shared" si="67"/>
        <v>48</v>
      </c>
      <c r="BK166" s="20">
        <f t="shared" si="67"/>
        <v>48</v>
      </c>
      <c r="BL166" s="20">
        <f t="shared" si="67"/>
        <v>52</v>
      </c>
      <c r="BM166" s="20">
        <f t="shared" si="67"/>
        <v>52</v>
      </c>
      <c r="BN166" s="20">
        <f t="shared" si="67"/>
        <v>56</v>
      </c>
      <c r="BO166" s="20">
        <f t="shared" si="67"/>
        <v>60</v>
      </c>
      <c r="BP166" s="20">
        <f t="shared" si="67"/>
        <v>60</v>
      </c>
      <c r="BQ166" s="20">
        <f t="shared" si="67"/>
        <v>64</v>
      </c>
      <c r="BR166" s="20">
        <f t="shared" si="67"/>
        <v>64</v>
      </c>
      <c r="BS166" s="20">
        <f t="shared" si="67"/>
        <v>68</v>
      </c>
      <c r="BT166" s="20">
        <f t="shared" si="67"/>
        <v>68</v>
      </c>
      <c r="BU166" s="20">
        <f t="shared" si="67"/>
        <v>72</v>
      </c>
      <c r="BV166" s="20">
        <f t="shared" si="67"/>
        <v>72</v>
      </c>
      <c r="BW166" s="20">
        <f t="shared" si="67"/>
        <v>76</v>
      </c>
      <c r="BX166" s="20">
        <f t="shared" si="67"/>
        <v>76</v>
      </c>
      <c r="BY166" s="20">
        <f t="shared" si="67"/>
        <v>80</v>
      </c>
      <c r="BZ166" s="20">
        <f t="shared" si="67"/>
        <v>80</v>
      </c>
      <c r="CA166" s="20">
        <f t="shared" si="67"/>
        <v>84</v>
      </c>
      <c r="CB166" s="20">
        <f t="shared" si="67"/>
        <v>88</v>
      </c>
      <c r="CC166" s="20">
        <f t="shared" si="67"/>
        <v>88</v>
      </c>
      <c r="CD166" s="20">
        <f t="shared" si="67"/>
        <v>92</v>
      </c>
      <c r="CE166" s="20">
        <f t="shared" si="67"/>
        <v>92</v>
      </c>
      <c r="CF166" s="20">
        <f t="shared" si="67"/>
        <v>96</v>
      </c>
      <c r="CG166" s="20">
        <f t="shared" si="67"/>
        <v>96</v>
      </c>
      <c r="CH166" s="20">
        <f t="shared" si="67"/>
        <v>100</v>
      </c>
      <c r="CI166" s="20">
        <f t="shared" si="67"/>
        <v>100</v>
      </c>
      <c r="CJ166" s="20">
        <f t="shared" si="67"/>
        <v>104</v>
      </c>
      <c r="CK166" s="20">
        <f t="shared" si="67"/>
        <v>104</v>
      </c>
      <c r="CL166" s="20"/>
      <c r="CM166" s="20" t="s">
        <v>212</v>
      </c>
      <c r="CN166" s="20">
        <v>0</v>
      </c>
      <c r="CO166" s="20">
        <v>0</v>
      </c>
      <c r="CP166" s="20">
        <v>2</v>
      </c>
      <c r="CQ166" s="20">
        <v>2</v>
      </c>
      <c r="CR166" s="20">
        <v>2</v>
      </c>
      <c r="CS166" s="20">
        <v>2</v>
      </c>
      <c r="CT166" s="20">
        <v>4</v>
      </c>
      <c r="CU166" s="20">
        <v>2</v>
      </c>
      <c r="CV166" s="20">
        <v>4</v>
      </c>
      <c r="CW166" s="20">
        <v>6</v>
      </c>
      <c r="CX166" s="20">
        <v>4</v>
      </c>
      <c r="CY166" s="20">
        <v>6</v>
      </c>
      <c r="CZ166" s="20">
        <v>8</v>
      </c>
      <c r="DA166" s="20">
        <v>6</v>
      </c>
      <c r="DB166" s="20">
        <v>8</v>
      </c>
      <c r="DC166" s="20">
        <v>10</v>
      </c>
      <c r="DD166" s="20">
        <v>8</v>
      </c>
      <c r="DE166" s="20">
        <v>10</v>
      </c>
      <c r="DF166" s="20">
        <v>12</v>
      </c>
      <c r="DG166" s="20">
        <v>10</v>
      </c>
      <c r="DH166" s="20">
        <v>12</v>
      </c>
      <c r="DI166" s="20"/>
      <c r="DJ166" s="20"/>
      <c r="DK166" s="20"/>
      <c r="DL166" s="20"/>
      <c r="DM166" s="20" t="s">
        <v>114</v>
      </c>
      <c r="DN166" s="20"/>
      <c r="DO166" s="20"/>
      <c r="DP166" s="20"/>
      <c r="DQ166" s="20"/>
      <c r="DR166" s="20"/>
      <c r="DS166" s="20"/>
      <c r="DT166" s="20"/>
      <c r="DU166" s="20"/>
      <c r="DV166" s="20"/>
      <c r="DW166" s="20"/>
      <c r="DX166" s="20"/>
      <c r="DY166" s="20"/>
      <c r="DZ166" s="87"/>
      <c r="EA166" s="54"/>
      <c r="EB166" s="54"/>
      <c r="EC166" s="20"/>
      <c r="ED166" s="20"/>
      <c r="EE166" s="20"/>
      <c r="EF166" s="20"/>
      <c r="EG166" s="20"/>
      <c r="EH166" s="20"/>
      <c r="EI166" s="20"/>
      <c r="EJ166" s="20"/>
      <c r="EK166" s="20"/>
      <c r="EL166" s="20"/>
      <c r="EM166" s="20"/>
      <c r="EN166" s="20"/>
      <c r="EO166" s="20"/>
      <c r="EP166" s="20"/>
      <c r="EQ166" s="20"/>
      <c r="ER166" s="20"/>
      <c r="ES166" s="20"/>
      <c r="ET166" s="20"/>
      <c r="EU166" s="20"/>
      <c r="EV166" s="20" t="s">
        <v>112</v>
      </c>
      <c r="EW166" s="20"/>
      <c r="EX166" s="20"/>
      <c r="EY166" s="20"/>
      <c r="EZ166" s="20"/>
      <c r="FA166" s="20"/>
      <c r="FB166" s="20"/>
      <c r="FC166" s="20"/>
      <c r="FD166" s="20"/>
      <c r="FE166" s="20"/>
      <c r="FF166" s="20"/>
      <c r="FG166" s="20"/>
      <c r="FH166" s="20"/>
      <c r="FI166" s="21"/>
      <c r="FJ166" s="21"/>
      <c r="FK166" s="21"/>
      <c r="FL166" s="21"/>
      <c r="FM166" s="21"/>
      <c r="FN166" s="21"/>
      <c r="FO166" s="21"/>
      <c r="FP166" s="21"/>
      <c r="FQ166" s="21"/>
      <c r="FR166" s="21"/>
      <c r="FS166" s="21"/>
      <c r="FT166" s="21"/>
      <c r="FU166" s="20"/>
      <c r="FV166" s="21"/>
      <c r="FW166" s="21"/>
      <c r="FX166" s="21"/>
      <c r="FY166" s="21"/>
      <c r="FZ166" s="21"/>
      <c r="GA166" s="21"/>
      <c r="GB166" s="21"/>
      <c r="GC166" s="21"/>
      <c r="GD166" s="21"/>
      <c r="GE166" s="21"/>
      <c r="GF166" s="21"/>
      <c r="GG166" s="21"/>
      <c r="GH166" s="20"/>
      <c r="GI166" s="20"/>
      <c r="GJ166" s="20"/>
      <c r="GK166" s="20"/>
      <c r="GL166" s="20"/>
      <c r="GM166" s="20"/>
      <c r="GN166" s="20"/>
      <c r="GO166" s="20"/>
      <c r="GP166" s="20"/>
      <c r="GQ166" s="20"/>
      <c r="GR166" s="20"/>
      <c r="GS166" s="20"/>
      <c r="GT166" s="20"/>
      <c r="GU166" s="20"/>
      <c r="GV166" s="20"/>
      <c r="GW166" s="20"/>
      <c r="GX166" s="20">
        <v>3300</v>
      </c>
      <c r="GY166" s="20">
        <v>12</v>
      </c>
      <c r="GZ166" s="20">
        <f>GX166*GY166</f>
        <v>39600</v>
      </c>
      <c r="HA166" s="187">
        <v>70.11</v>
      </c>
      <c r="HB166" s="20">
        <f>GY166*HA166</f>
        <v>841.31999999999994</v>
      </c>
      <c r="HC166" s="20">
        <f>2*GY166</f>
        <v>24</v>
      </c>
      <c r="HD166" s="21"/>
      <c r="HE166" s="21"/>
      <c r="HF166" s="21"/>
      <c r="HG166" s="21"/>
      <c r="HH166" s="21"/>
      <c r="HI166" s="21"/>
      <c r="HJ166" s="21"/>
      <c r="HK166" s="21"/>
      <c r="HL166" s="21"/>
      <c r="HM166" s="21"/>
      <c r="HN166" s="21"/>
      <c r="HO166" s="21"/>
      <c r="HP166" s="21"/>
      <c r="HQ166" s="21"/>
      <c r="HR166" s="21"/>
      <c r="HS166" s="21"/>
      <c r="HT166" s="21"/>
      <c r="HU166" s="21"/>
      <c r="HV166" s="186"/>
      <c r="HW166" s="21">
        <v>0</v>
      </c>
      <c r="HX166" s="21">
        <v>1</v>
      </c>
      <c r="HY166" s="21">
        <v>2</v>
      </c>
      <c r="HZ166" s="21">
        <v>3</v>
      </c>
      <c r="IA166" s="21">
        <v>4</v>
      </c>
      <c r="IB166" s="21">
        <v>5</v>
      </c>
      <c r="IC166" s="21">
        <v>6</v>
      </c>
      <c r="ID166" s="21">
        <v>7</v>
      </c>
      <c r="IE166" s="21">
        <v>8</v>
      </c>
      <c r="IF166" s="21">
        <v>9</v>
      </c>
      <c r="IG166" s="21">
        <v>10</v>
      </c>
      <c r="IH166" s="21">
        <v>11</v>
      </c>
      <c r="II166" s="21">
        <v>12</v>
      </c>
      <c r="IJ166" s="21">
        <v>13</v>
      </c>
      <c r="IK166" s="21">
        <v>14</v>
      </c>
      <c r="IL166" s="21">
        <v>15</v>
      </c>
      <c r="IM166" s="21">
        <v>16</v>
      </c>
      <c r="IN166" s="21">
        <v>17</v>
      </c>
      <c r="IO166" s="21">
        <v>18</v>
      </c>
      <c r="IP166" s="21">
        <v>19</v>
      </c>
      <c r="IQ166" s="21">
        <v>20</v>
      </c>
      <c r="IR166" s="21"/>
      <c r="IS166" s="21"/>
      <c r="IT166" s="21">
        <f t="shared" si="66"/>
        <v>0</v>
      </c>
      <c r="IU166" s="21">
        <f t="shared" si="66"/>
        <v>2</v>
      </c>
      <c r="IV166" s="21">
        <f t="shared" si="66"/>
        <v>4</v>
      </c>
      <c r="IW166" s="21">
        <f t="shared" si="66"/>
        <v>6</v>
      </c>
      <c r="IX166" s="21">
        <f t="shared" si="66"/>
        <v>8</v>
      </c>
      <c r="IY166" s="21">
        <f t="shared" si="66"/>
        <v>10</v>
      </c>
      <c r="IZ166" s="21">
        <f t="shared" si="66"/>
        <v>12</v>
      </c>
      <c r="JA166" s="21">
        <f t="shared" si="66"/>
        <v>14</v>
      </c>
      <c r="JB166" s="21">
        <f t="shared" si="66"/>
        <v>16</v>
      </c>
      <c r="JC166" s="21">
        <f t="shared" si="66"/>
        <v>18</v>
      </c>
      <c r="JD166" s="21">
        <f t="shared" si="66"/>
        <v>20</v>
      </c>
      <c r="JE166" s="21">
        <f t="shared" si="66"/>
        <v>22</v>
      </c>
      <c r="JF166" s="21">
        <f t="shared" si="66"/>
        <v>24</v>
      </c>
      <c r="JG166" s="21">
        <f t="shared" si="66"/>
        <v>26</v>
      </c>
      <c r="JH166" s="21">
        <f t="shared" si="66"/>
        <v>28</v>
      </c>
      <c r="JI166" s="21">
        <f t="shared" si="53"/>
        <v>30</v>
      </c>
      <c r="JJ166" s="21">
        <f t="shared" si="40"/>
        <v>32</v>
      </c>
      <c r="JK166" s="21">
        <f t="shared" si="40"/>
        <v>34</v>
      </c>
      <c r="JL166" s="21">
        <f t="shared" si="40"/>
        <v>36</v>
      </c>
      <c r="JM166" s="21">
        <f t="shared" si="40"/>
        <v>38</v>
      </c>
      <c r="JN166" s="21">
        <f t="shared" si="40"/>
        <v>40</v>
      </c>
      <c r="JO166" s="21"/>
      <c r="JP166" s="21"/>
      <c r="JQ166" s="21"/>
      <c r="JR166" s="21"/>
      <c r="JS166" s="21"/>
      <c r="JT166" s="21"/>
      <c r="JU166" s="21"/>
      <c r="JV166" s="21"/>
      <c r="JW166" s="21"/>
      <c r="JX166" s="21"/>
      <c r="JY166" s="21"/>
      <c r="JZ166" s="21"/>
      <c r="KA166" s="21"/>
      <c r="KB166" s="21"/>
      <c r="KC166" s="21"/>
      <c r="KD166" s="21"/>
      <c r="KE166" s="21"/>
      <c r="KF166" s="21"/>
      <c r="KG166" s="21"/>
      <c r="KH166" s="21"/>
    </row>
    <row r="167" spans="1:294" x14ac:dyDescent="0.25">
      <c r="A167" s="9"/>
      <c r="B167" s="6"/>
      <c r="C167" s="9"/>
      <c r="D167" s="9"/>
      <c r="E167" s="9"/>
      <c r="F167" s="9"/>
      <c r="G167" s="9"/>
      <c r="H167" s="9"/>
      <c r="I167" s="9"/>
      <c r="J167" s="9"/>
      <c r="K167" s="9"/>
      <c r="L167" s="15" t="s">
        <v>321</v>
      </c>
      <c r="M167" s="11">
        <f>INDEX(cennik!$C$2:$L$529,MATCH($L167,cennik!$B$2:$B$522,0),MATCH(M$104,cennik!$C$1:$L$1,0))</f>
        <v>890101</v>
      </c>
      <c r="N167" s="11" t="str">
        <f>INDEX(cennik!$C$2:$L$529,MATCH($L167,cennik!$B$2:$B$522,0),MATCH(N$104,cennik!$C$1:$L$1,0))</f>
        <v>szt.</v>
      </c>
      <c r="O167" s="10">
        <f>SUM(O164:O165)</f>
        <v>0</v>
      </c>
      <c r="P167" s="34">
        <f>INDEX(cennik!$C$2:$L$529,MATCH($L167,cennik!$B$2:$B$522,0),MATCH(P$104,cennik!$C$1:$L$1,0))</f>
        <v>1.99</v>
      </c>
      <c r="Q167" s="12">
        <f t="shared" si="63"/>
        <v>0</v>
      </c>
      <c r="R167" s="13">
        <f t="shared" si="61"/>
        <v>0</v>
      </c>
      <c r="S167" s="34">
        <f t="shared" si="62"/>
        <v>1.99</v>
      </c>
      <c r="T167" s="12">
        <f t="shared" si="64"/>
        <v>0</v>
      </c>
      <c r="U167" s="34">
        <f>INDEX(cennik!$C$2:$L$529,MATCH($L167,cennik!$B$2:$B$522,0),MATCH(U$104,cennik!$C$1:$L$1,0))*O167</f>
        <v>0</v>
      </c>
      <c r="V167" s="20"/>
      <c r="W167" s="25">
        <f t="shared" ref="W167:W182" si="68">(IF(((INT((((A178)*(IF($G$179=$X$128,$Y$128,IF($G$179=$X$129,$Y$129,IF($G$179=$X$130,$Y$130,IF($G$179=$X$131,$Y$131,0))))))+(((A178)-1)*20))/$E$187))*$E$187)+600&gt;((A178)*(IF($G$179=$X$128,$Y$128,IF($G$179=$X$129,$Y$129,IF($G$179=$X$130,$Y$130,IF($G$179=$X$131,$Y$131,0))))))+(((A178)-1)*20),(INT((((A178)*(IF($G$179=$X$128,$Y$128,IF($G$179=$X$129,$Y$129,IF($G$179=$X$130,$Y$130,IF($G$179=$X$131,$Y$131,0))))))+(((A178)-1)*20))/$E$187))+1,IF(((INT((((A178)*(IF($G$179=$X$128,$Y$128,IF($G$179=$X$129,$Y$129,IF($G$179=$X$130,$Y$130,IF($G$179=$X$131,$Y$131,0))))))+(((A178)-1)*20))/$E$187))*$E$187)+600&lt;((A178)*(IF($G$179=$X$128,$Y$128,IF($G$179=$X$129,$Y$129,IF($G$179=$X$130,$Y$130,IF($G$179=$X$131,$Y$131,0))))))+(((A178)-1)*20),(INT((((A178)*(IF($G$179=$X$128,$Y$128,IF($G$179=$X$129,$Y$129,IF($G$179=$X$130,$Y$130,IF($G$179=$X$131,$Y$131,0))))))+(((A178)-1)*20))/$E$187))+2,0)))*C178</f>
        <v>0</v>
      </c>
      <c r="X167" s="20">
        <f t="shared" ref="X167:X182" si="69">IF(A178=0,0,IF(A178&gt;0,(IF(W167=0,0,IF(W167&gt;0,(INDEX(($CN$147:$DX$147),MATCH($L$187,$CM$147,0),MATCH(W167/C178,$CN$146:$DX$146,0),1)*C178)))),0))</f>
        <v>0</v>
      </c>
      <c r="Y167" s="20"/>
      <c r="Z167" s="20">
        <f>(INDEX(($AM$106:$CK$111,$AM$115:$CK$120,$AM$124:$CK$129,$AM$133:$CK$138),MATCH($L$184,$AL$106:$AL$111,0),MATCH(A178,$AM$105:$CK$105,0),MATCH($G$179,$X$128:$X$131,0)))*C178</f>
        <v>0</v>
      </c>
      <c r="AA167" s="20">
        <f>(INDEX(($AM$106:$CK$111,$AM$115:$CK$120,$AM$124:$CK$129,$AM$133:$CK$138),MATCH($L$179,$AL$106:$AL$111,0),MATCH(A178,$AM$105:$CK$105,0),MATCH($G$179,$X$128:$X$131,0)))*C178</f>
        <v>0</v>
      </c>
      <c r="AB167" s="20">
        <f>(INDEX(($AM$106:$CK$111,$AM$115:$CK$120,$AM$124:$CK$129,$AM$133:$CK$138),MATCH($L$180,$AL$106:$AL$111,0),MATCH(A178,$AM$105:$CK$105,0),MATCH($G$179,$X$128:$X$131,0)))*C178</f>
        <v>0</v>
      </c>
      <c r="AC167" s="20">
        <f>(INDEX(($AM$106:$CK$111,$AM$115:$CK$120,$AM$124:$CK$129,$AM$133:$CK$138),MATCH($L$181,$AL$106:$AL$111,0),MATCH(A178,$AM$105:$CK$105,0),MATCH($G$179,$X$128:$X$131,0)))*C178</f>
        <v>0</v>
      </c>
      <c r="AD167" s="20">
        <f>(INDEX(($AM$106:$CK$111,$AM$115:$CK$120,$AM$124:$CK$129,$AM$133:$CK$138),MATCH($L$182,$AL$106:$AL$111,0),MATCH(A178,$AM$105:$CK$105,0),MATCH($G$179,$X$128:$X$131,0)))*C178</f>
        <v>0</v>
      </c>
      <c r="AE167" s="20">
        <f>(INDEX(($AM$106:$CK$111,$AM$115:$CK$120,$AM$124:$CK$129,$AM$133:$CK$138),MATCH($L$183,$AL$106:$AL$111,0),MATCH(A178,$AM$105:$CK$105,0),MATCH($G$179,$X$128:$X$131,0)))*C178</f>
        <v>0</v>
      </c>
      <c r="AF167" s="21"/>
      <c r="AG167" s="21"/>
      <c r="AH167" s="21"/>
      <c r="AI167" s="21"/>
      <c r="AJ167" s="20"/>
      <c r="AK167" s="20"/>
      <c r="AL167" s="20"/>
      <c r="AM167" s="20"/>
      <c r="AN167" s="20"/>
      <c r="AO167" s="20"/>
      <c r="AP167" s="20"/>
      <c r="AQ167" s="20"/>
      <c r="AR167" s="20"/>
      <c r="AS167" s="20"/>
      <c r="AT167" s="20"/>
      <c r="AU167" s="20"/>
      <c r="AV167" s="20"/>
      <c r="AW167" s="20"/>
      <c r="AX167" s="20"/>
      <c r="AY167" s="20"/>
      <c r="AZ167" s="20"/>
      <c r="BA167" s="20"/>
      <c r="BB167" s="20"/>
      <c r="BC167" s="20"/>
      <c r="BD167" s="20"/>
      <c r="BE167" s="20"/>
      <c r="BF167" s="20"/>
      <c r="BG167" s="20"/>
      <c r="BH167" s="20"/>
      <c r="BI167" s="20"/>
      <c r="BJ167" s="20"/>
      <c r="BK167" s="20"/>
      <c r="BL167" s="20"/>
      <c r="BM167" s="20"/>
      <c r="BN167" s="20"/>
      <c r="BO167" s="20"/>
      <c r="BP167" s="20"/>
      <c r="BQ167" s="20"/>
      <c r="BR167" s="20"/>
      <c r="BS167" s="20"/>
      <c r="BT167" s="20"/>
      <c r="BU167" s="20"/>
      <c r="BV167" s="20"/>
      <c r="BW167" s="20"/>
      <c r="BX167" s="20"/>
      <c r="BY167" s="20"/>
      <c r="BZ167" s="20"/>
      <c r="CA167" s="20"/>
      <c r="CB167" s="20"/>
      <c r="CC167" s="20"/>
      <c r="CD167" s="20"/>
      <c r="CE167" s="20"/>
      <c r="CF167" s="20"/>
      <c r="CG167" s="20"/>
      <c r="CH167" s="20"/>
      <c r="CI167" s="20"/>
      <c r="CJ167" s="20"/>
      <c r="CK167" s="20"/>
      <c r="CL167" s="20"/>
      <c r="CM167" s="20" t="s">
        <v>11</v>
      </c>
      <c r="CN167" s="20">
        <v>0</v>
      </c>
      <c r="CO167" s="20">
        <v>0</v>
      </c>
      <c r="CP167" s="20">
        <v>0</v>
      </c>
      <c r="CQ167" s="20">
        <v>0</v>
      </c>
      <c r="CR167" s="20">
        <v>2</v>
      </c>
      <c r="CS167" s="20">
        <v>2</v>
      </c>
      <c r="CT167" s="20">
        <v>2</v>
      </c>
      <c r="CU167" s="20">
        <v>4</v>
      </c>
      <c r="CV167" s="20">
        <v>4</v>
      </c>
      <c r="CW167" s="20">
        <v>4</v>
      </c>
      <c r="CX167" s="20">
        <v>6</v>
      </c>
      <c r="CY167" s="20">
        <v>6</v>
      </c>
      <c r="CZ167" s="20">
        <v>6</v>
      </c>
      <c r="DA167" s="20">
        <v>8</v>
      </c>
      <c r="DB167" s="20">
        <v>8</v>
      </c>
      <c r="DC167" s="20">
        <v>8</v>
      </c>
      <c r="DD167" s="20">
        <v>10</v>
      </c>
      <c r="DE167" s="20">
        <v>10</v>
      </c>
      <c r="DF167" s="20">
        <v>10</v>
      </c>
      <c r="DG167" s="20">
        <v>12</v>
      </c>
      <c r="DH167" s="20">
        <v>12</v>
      </c>
      <c r="DI167" s="20"/>
      <c r="DJ167" s="20"/>
      <c r="DK167" s="20"/>
      <c r="DL167" s="20"/>
      <c r="DM167" s="20"/>
      <c r="DN167" s="20">
        <v>0</v>
      </c>
      <c r="DO167" s="20">
        <v>1</v>
      </c>
      <c r="DP167" s="20">
        <v>2</v>
      </c>
      <c r="DQ167" s="20">
        <v>3</v>
      </c>
      <c r="DR167" s="20">
        <v>4</v>
      </c>
      <c r="DS167" s="20">
        <v>5</v>
      </c>
      <c r="DT167" s="20">
        <v>6</v>
      </c>
      <c r="DU167" s="20">
        <v>7</v>
      </c>
      <c r="DV167" s="20">
        <v>8</v>
      </c>
      <c r="DW167" s="20">
        <v>9</v>
      </c>
      <c r="DX167" s="20">
        <v>10</v>
      </c>
      <c r="DY167" s="20">
        <v>11</v>
      </c>
      <c r="DZ167" s="54">
        <v>12</v>
      </c>
      <c r="EA167" s="54">
        <v>13</v>
      </c>
      <c r="EB167" s="54">
        <v>14</v>
      </c>
      <c r="EC167" s="20">
        <v>15</v>
      </c>
      <c r="ED167" s="20">
        <v>16</v>
      </c>
      <c r="EE167" s="20">
        <v>17</v>
      </c>
      <c r="EF167" s="20">
        <v>18</v>
      </c>
      <c r="EG167" s="20">
        <v>19</v>
      </c>
      <c r="EH167" s="20">
        <v>20</v>
      </c>
      <c r="EI167" s="20"/>
      <c r="EJ167" s="20"/>
      <c r="EK167" s="20"/>
      <c r="EL167" s="20"/>
      <c r="EM167" s="20"/>
      <c r="EN167" s="20"/>
      <c r="EO167" s="20"/>
      <c r="EP167" s="20"/>
      <c r="EQ167" s="20"/>
      <c r="ER167" s="20"/>
      <c r="ES167" s="20"/>
      <c r="ET167" s="20"/>
      <c r="EU167" s="20"/>
      <c r="EV167" s="20"/>
      <c r="EW167" s="20">
        <v>0</v>
      </c>
      <c r="EX167" s="20">
        <v>1</v>
      </c>
      <c r="EY167" s="20">
        <v>2</v>
      </c>
      <c r="EZ167" s="20">
        <v>3</v>
      </c>
      <c r="FA167" s="20">
        <v>4</v>
      </c>
      <c r="FB167" s="20">
        <v>5</v>
      </c>
      <c r="FC167" s="20">
        <v>6</v>
      </c>
      <c r="FD167" s="20">
        <v>7</v>
      </c>
      <c r="FE167" s="20">
        <v>8</v>
      </c>
      <c r="FF167" s="20">
        <v>9</v>
      </c>
      <c r="FG167" s="20">
        <v>10</v>
      </c>
      <c r="FH167" s="20"/>
      <c r="FI167" s="20" t="s">
        <v>471</v>
      </c>
      <c r="FJ167" s="20"/>
      <c r="FK167" s="20"/>
      <c r="FL167" s="20"/>
      <c r="FM167" s="20"/>
      <c r="FN167" s="20"/>
      <c r="FO167" s="20"/>
      <c r="FP167" s="20"/>
      <c r="FQ167" s="20"/>
      <c r="FR167" s="20"/>
      <c r="FS167" s="20"/>
      <c r="FT167" s="20"/>
      <c r="FU167" s="20"/>
      <c r="FV167" s="20" t="s">
        <v>138</v>
      </c>
      <c r="FW167" s="20"/>
      <c r="FX167" s="20"/>
      <c r="FY167" s="20"/>
      <c r="FZ167" s="20"/>
      <c r="GA167" s="20"/>
      <c r="GB167" s="20"/>
      <c r="GC167" s="20"/>
      <c r="GD167" s="20"/>
      <c r="GE167" s="20"/>
      <c r="GF167" s="20"/>
      <c r="GG167" s="20"/>
      <c r="GH167" s="20"/>
      <c r="GI167" s="20"/>
      <c r="GJ167" s="20"/>
      <c r="GK167" s="20"/>
      <c r="GL167" s="20"/>
      <c r="GM167" s="20"/>
      <c r="GN167" s="20"/>
      <c r="GO167" s="20"/>
      <c r="GP167" s="20"/>
      <c r="GQ167" s="20"/>
      <c r="GR167" s="20"/>
      <c r="GS167" s="20"/>
      <c r="GT167" s="20"/>
      <c r="GU167" s="20"/>
      <c r="GV167" s="20"/>
      <c r="GW167" s="20"/>
      <c r="GX167" s="20" t="s">
        <v>154</v>
      </c>
      <c r="GY167" s="20">
        <f>((((SUM(GY165:GY166)))-1))</f>
        <v>13</v>
      </c>
      <c r="GZ167" s="187">
        <v>3.92</v>
      </c>
      <c r="HA167" s="187"/>
      <c r="HB167" s="20">
        <f>GY167*GZ167</f>
        <v>50.96</v>
      </c>
      <c r="HC167" s="20">
        <f>GY167*2</f>
        <v>26</v>
      </c>
      <c r="HD167" s="21"/>
      <c r="HE167" s="21"/>
      <c r="HF167" s="21"/>
      <c r="HG167" s="21"/>
      <c r="HH167" s="21"/>
      <c r="HI167" s="21"/>
      <c r="HJ167" s="21"/>
      <c r="HK167" s="21"/>
      <c r="HL167" s="21"/>
      <c r="HM167" s="21"/>
      <c r="HN167" s="21"/>
      <c r="HO167" s="21"/>
      <c r="HP167" s="21"/>
      <c r="HQ167" s="21"/>
      <c r="HR167" s="21"/>
      <c r="HS167" s="21"/>
      <c r="HT167" s="21"/>
      <c r="HU167" s="21"/>
      <c r="HV167" s="21" t="s">
        <v>826</v>
      </c>
      <c r="HW167" s="21">
        <v>0</v>
      </c>
      <c r="HX167" s="21">
        <v>2</v>
      </c>
      <c r="HY167" s="21">
        <v>2</v>
      </c>
      <c r="HZ167" s="21">
        <v>0</v>
      </c>
      <c r="IA167" s="21">
        <v>2</v>
      </c>
      <c r="IB167" s="21">
        <v>4</v>
      </c>
      <c r="IC167" s="21">
        <v>0</v>
      </c>
      <c r="ID167" s="21">
        <v>2</v>
      </c>
      <c r="IE167" s="21">
        <v>4</v>
      </c>
      <c r="IF167" s="21">
        <v>0</v>
      </c>
      <c r="IG167" s="21">
        <v>2</v>
      </c>
      <c r="IH167" s="21">
        <v>4</v>
      </c>
      <c r="II167" s="21">
        <v>0</v>
      </c>
      <c r="IJ167" s="21">
        <v>2</v>
      </c>
      <c r="IK167" s="21">
        <v>4</v>
      </c>
      <c r="IL167" s="21">
        <v>0</v>
      </c>
      <c r="IM167" s="21">
        <v>2</v>
      </c>
      <c r="IN167" s="21">
        <v>4</v>
      </c>
      <c r="IO167" s="21">
        <v>0</v>
      </c>
      <c r="IP167" s="21">
        <v>2</v>
      </c>
      <c r="IQ167" s="21">
        <v>0</v>
      </c>
      <c r="IR167" s="21"/>
      <c r="IS167" s="21" t="s">
        <v>826</v>
      </c>
      <c r="IT167" s="21">
        <f t="shared" si="66"/>
        <v>0</v>
      </c>
      <c r="IU167" s="21">
        <f t="shared" si="66"/>
        <v>4</v>
      </c>
      <c r="IV167" s="21">
        <f t="shared" si="66"/>
        <v>4</v>
      </c>
      <c r="IW167" s="21">
        <f t="shared" si="66"/>
        <v>0</v>
      </c>
      <c r="IX167" s="21">
        <f t="shared" si="66"/>
        <v>4</v>
      </c>
      <c r="IY167" s="21">
        <f t="shared" si="66"/>
        <v>8</v>
      </c>
      <c r="IZ167" s="21">
        <f t="shared" si="66"/>
        <v>0</v>
      </c>
      <c r="JA167" s="21">
        <f t="shared" si="66"/>
        <v>4</v>
      </c>
      <c r="JB167" s="21">
        <f t="shared" si="66"/>
        <v>8</v>
      </c>
      <c r="JC167" s="21">
        <f t="shared" si="66"/>
        <v>0</v>
      </c>
      <c r="JD167" s="21">
        <f t="shared" si="66"/>
        <v>4</v>
      </c>
      <c r="JE167" s="21">
        <f t="shared" si="66"/>
        <v>8</v>
      </c>
      <c r="JF167" s="21">
        <f t="shared" si="66"/>
        <v>0</v>
      </c>
      <c r="JG167" s="21">
        <f t="shared" si="66"/>
        <v>4</v>
      </c>
      <c r="JH167" s="21">
        <f t="shared" si="66"/>
        <v>8</v>
      </c>
      <c r="JI167" s="21">
        <f t="shared" si="53"/>
        <v>0</v>
      </c>
      <c r="JJ167" s="21">
        <f t="shared" si="40"/>
        <v>4</v>
      </c>
      <c r="JK167" s="21">
        <f t="shared" si="40"/>
        <v>8</v>
      </c>
      <c r="JL167" s="21">
        <f t="shared" si="40"/>
        <v>0</v>
      </c>
      <c r="JM167" s="21">
        <f t="shared" si="40"/>
        <v>4</v>
      </c>
      <c r="JN167" s="21">
        <f t="shared" si="40"/>
        <v>0</v>
      </c>
      <c r="JO167" s="21"/>
      <c r="JP167" s="21"/>
      <c r="JQ167" s="21"/>
      <c r="JR167" s="21"/>
      <c r="JS167" s="21"/>
      <c r="JT167" s="21"/>
      <c r="JU167" s="21"/>
      <c r="JV167" s="21"/>
      <c r="JW167" s="21"/>
      <c r="JX167" s="21"/>
      <c r="JY167" s="21"/>
      <c r="JZ167" s="21"/>
      <c r="KA167" s="21"/>
      <c r="KB167" s="21"/>
      <c r="KC167" s="21"/>
      <c r="KD167" s="21"/>
      <c r="KE167" s="21"/>
      <c r="KF167" s="21"/>
      <c r="KG167" s="21"/>
      <c r="KH167" s="21"/>
    </row>
    <row r="168" spans="1:294" x14ac:dyDescent="0.25">
      <c r="A168" s="9"/>
      <c r="B168" s="9"/>
      <c r="C168" s="9"/>
      <c r="D168" s="9"/>
      <c r="E168" s="9"/>
      <c r="F168" s="9"/>
      <c r="G168" s="9"/>
      <c r="H168" s="9"/>
      <c r="I168" s="9"/>
      <c r="J168" s="9"/>
      <c r="K168" s="9"/>
      <c r="L168" s="6" t="str">
        <f>IF(E154="balastowa","SBV250X350",IF(E154="kotwiona","SBV50X500",0))</f>
        <v>SBV250X350</v>
      </c>
      <c r="M168" s="11">
        <f>INDEX(cennik!$C$2:$L$529,MATCH($L168,cennik!$B$2:$B$522,0),MATCH(M$104,cennik!$C$1:$L$1,0))</f>
        <v>895507</v>
      </c>
      <c r="N168" s="11" t="str">
        <f>INDEX(cennik!$C$2:$L$529,MATCH($L168,cennik!$B$2:$B$522,0),MATCH(N$104,cennik!$C$1:$L$1,0))</f>
        <v>szt.</v>
      </c>
      <c r="O168" s="11">
        <f>IF(E154=Z104,O161*3,IF(E154=Z105,O161*4,0))</f>
        <v>0</v>
      </c>
      <c r="P168" s="34">
        <f>INDEX(cennik!$C$2:$L$529,MATCH($L168,cennik!$B$2:$B$522,0),MATCH(P$104,cennik!$C$1:$L$1,0))</f>
        <v>4.08</v>
      </c>
      <c r="Q168" s="34">
        <f t="shared" si="63"/>
        <v>0</v>
      </c>
      <c r="R168" s="35">
        <f t="shared" si="61"/>
        <v>0</v>
      </c>
      <c r="S168" s="34">
        <f t="shared" si="62"/>
        <v>4.08</v>
      </c>
      <c r="T168" s="34">
        <f t="shared" si="64"/>
        <v>0</v>
      </c>
      <c r="U168" s="34">
        <f>INDEX(cennik!$C$2:$L$529,MATCH($L168,cennik!$B$2:$B$522,0),MATCH(U$104,cennik!$C$1:$L$1,0))*O168</f>
        <v>0</v>
      </c>
      <c r="V168" s="20"/>
      <c r="W168" s="25">
        <f t="shared" si="68"/>
        <v>0</v>
      </c>
      <c r="X168" s="20">
        <f t="shared" si="69"/>
        <v>0</v>
      </c>
      <c r="Y168" s="20"/>
      <c r="Z168" s="20">
        <f>(INDEX(($AM$106:$CK$111,$AM$115:$CK$120,$AM$124:$CK$129,$AM$133:$CK$138),MATCH($L$184,$AL$106:$AL$111,0),MATCH(A179,$AM$105:$CK$105,0),MATCH($G$179,$X$128:$X$131,0)))*C179</f>
        <v>0</v>
      </c>
      <c r="AA168" s="20">
        <f>(INDEX(($AM$106:$CK$111,$AM$115:$CK$120,$AM$124:$CK$129,$AM$133:$CK$138),MATCH($L$179,$AL$106:$AL$111,0),MATCH(A179,$AM$105:$CK$105,0),MATCH($G$179,$X$128:$X$131,0)))*C179</f>
        <v>0</v>
      </c>
      <c r="AB168" s="20">
        <f>(INDEX(($AM$106:$CK$111,$AM$115:$CK$120,$AM$124:$CK$129,$AM$133:$CK$138),MATCH($L$180,$AL$106:$AL$111,0),MATCH(A179,$AM$105:$CK$105,0),MATCH($G$179,$X$128:$X$131,0)))*C179</f>
        <v>0</v>
      </c>
      <c r="AC168" s="20">
        <f>(INDEX(($AM$106:$CK$111,$AM$115:$CK$120,$AM$124:$CK$129,$AM$133:$CK$138),MATCH($L$181,$AL$106:$AL$111,0),MATCH(A179,$AM$105:$CK$105,0),MATCH($G$179,$X$128:$X$131,0)))*C179</f>
        <v>0</v>
      </c>
      <c r="AD168" s="20">
        <f>(INDEX(($AM$106:$CK$111,$AM$115:$CK$120,$AM$124:$CK$129,$AM$133:$CK$138),MATCH($L$182,$AL$106:$AL$111,0),MATCH(A179,$AM$105:$CK$105,0),MATCH($G$179,$X$128:$X$131,0)))*C179</f>
        <v>0</v>
      </c>
      <c r="AE168" s="20">
        <f>(INDEX(($AM$106:$CK$111,$AM$115:$CK$120,$AM$124:$CK$129,$AM$133:$CK$138),MATCH($L$183,$AL$106:$AL$111,0),MATCH(A179,$AM$105:$CK$105,0),MATCH($G$179,$X$128:$X$131,0)))*C179</f>
        <v>0</v>
      </c>
      <c r="AF168" s="21"/>
      <c r="AG168" s="21"/>
      <c r="AH168" s="21"/>
      <c r="AI168" s="21"/>
      <c r="AJ168" s="20"/>
      <c r="AK168" s="20"/>
      <c r="AL168" s="20" t="s">
        <v>113</v>
      </c>
      <c r="AM168" s="20"/>
      <c r="AN168" s="20"/>
      <c r="AO168" s="20"/>
      <c r="AP168" s="20"/>
      <c r="AQ168" s="20"/>
      <c r="AR168" s="20"/>
      <c r="AS168" s="20"/>
      <c r="AT168" s="20"/>
      <c r="AU168" s="20"/>
      <c r="AV168" s="20"/>
      <c r="AW168" s="20"/>
      <c r="AX168" s="20"/>
      <c r="AY168" s="20"/>
      <c r="AZ168" s="20"/>
      <c r="BA168" s="20"/>
      <c r="BB168" s="20"/>
      <c r="BC168" s="20"/>
      <c r="BD168" s="20"/>
      <c r="BE168" s="20"/>
      <c r="BF168" s="20"/>
      <c r="BG168" s="20"/>
      <c r="BH168" s="20"/>
      <c r="BI168" s="20"/>
      <c r="BJ168" s="20"/>
      <c r="BK168" s="20"/>
      <c r="BL168" s="20"/>
      <c r="BM168" s="20"/>
      <c r="BN168" s="20"/>
      <c r="BO168" s="20"/>
      <c r="BP168" s="20"/>
      <c r="BQ168" s="20"/>
      <c r="BR168" s="20"/>
      <c r="BS168" s="20"/>
      <c r="BT168" s="20"/>
      <c r="BU168" s="20"/>
      <c r="BV168" s="20"/>
      <c r="BW168" s="20"/>
      <c r="BX168" s="20"/>
      <c r="BY168" s="20"/>
      <c r="BZ168" s="20"/>
      <c r="CA168" s="20"/>
      <c r="CB168" s="20"/>
      <c r="CC168" s="20"/>
      <c r="CD168" s="20"/>
      <c r="CE168" s="20"/>
      <c r="CF168" s="20"/>
      <c r="CG168" s="20"/>
      <c r="CH168" s="20"/>
      <c r="CI168" s="20"/>
      <c r="CJ168" s="20"/>
      <c r="CK168" s="20"/>
      <c r="CL168" s="20"/>
      <c r="CM168" s="20"/>
      <c r="CN168" s="20"/>
      <c r="CO168" s="20"/>
      <c r="CP168" s="20"/>
      <c r="CQ168" s="20"/>
      <c r="CR168" s="20"/>
      <c r="CS168" s="20"/>
      <c r="CT168" s="20"/>
      <c r="CU168" s="20"/>
      <c r="CV168" s="20"/>
      <c r="CW168" s="20"/>
      <c r="CX168" s="20"/>
      <c r="CY168" s="20"/>
      <c r="CZ168" s="20"/>
      <c r="DA168" s="20"/>
      <c r="DB168" s="20"/>
      <c r="DC168" s="20"/>
      <c r="DD168" s="20"/>
      <c r="DE168" s="20"/>
      <c r="DF168" s="20"/>
      <c r="DG168" s="20"/>
      <c r="DH168" s="20"/>
      <c r="DI168" s="20"/>
      <c r="DJ168" s="20"/>
      <c r="DK168" s="20"/>
      <c r="DL168" s="20"/>
      <c r="DM168" s="20" t="s">
        <v>293</v>
      </c>
      <c r="DN168" s="20">
        <v>0</v>
      </c>
      <c r="DO168" s="20">
        <v>2</v>
      </c>
      <c r="DP168" s="20">
        <v>2</v>
      </c>
      <c r="DQ168" s="20">
        <v>0</v>
      </c>
      <c r="DR168" s="20">
        <v>4</v>
      </c>
      <c r="DS168" s="20">
        <v>2</v>
      </c>
      <c r="DT168" s="20">
        <v>0</v>
      </c>
      <c r="DU168" s="20">
        <v>4</v>
      </c>
      <c r="DV168" s="20">
        <v>2</v>
      </c>
      <c r="DW168" s="20">
        <v>0</v>
      </c>
      <c r="DX168" s="20">
        <v>0</v>
      </c>
      <c r="DY168" s="20">
        <v>4</v>
      </c>
      <c r="DZ168" s="54">
        <v>2</v>
      </c>
      <c r="EA168" s="54">
        <v>0</v>
      </c>
      <c r="EB168" s="54">
        <v>4</v>
      </c>
      <c r="EC168" s="20">
        <v>2</v>
      </c>
      <c r="ED168" s="20">
        <v>0</v>
      </c>
      <c r="EE168" s="20">
        <v>0</v>
      </c>
      <c r="EF168" s="20">
        <v>2</v>
      </c>
      <c r="EG168" s="20">
        <v>2</v>
      </c>
      <c r="EH168" s="20">
        <v>0</v>
      </c>
      <c r="EI168" s="20"/>
      <c r="EJ168" s="20"/>
      <c r="EK168" s="20"/>
      <c r="EL168" s="20"/>
      <c r="EM168" s="20"/>
      <c r="EN168" s="20"/>
      <c r="EO168" s="20"/>
      <c r="EP168" s="20"/>
      <c r="EQ168" s="20"/>
      <c r="ER168" s="20"/>
      <c r="ES168" s="20"/>
      <c r="ET168" s="20"/>
      <c r="EU168" s="20"/>
      <c r="EV168" s="20" t="s">
        <v>210</v>
      </c>
      <c r="EW168" s="20">
        <v>0</v>
      </c>
      <c r="EX168" s="20">
        <v>0</v>
      </c>
      <c r="EY168" s="20">
        <v>0</v>
      </c>
      <c r="EZ168" s="20">
        <v>0</v>
      </c>
      <c r="FA168" s="20">
        <v>0</v>
      </c>
      <c r="FB168" s="20">
        <v>0</v>
      </c>
      <c r="FC168" s="20">
        <v>0</v>
      </c>
      <c r="FD168" s="20">
        <v>0</v>
      </c>
      <c r="FE168" s="20">
        <v>0</v>
      </c>
      <c r="FF168" s="20">
        <v>0</v>
      </c>
      <c r="FG168" s="20">
        <v>0</v>
      </c>
      <c r="FH168" s="20"/>
      <c r="FI168" s="20"/>
      <c r="FJ168" s="20">
        <v>0</v>
      </c>
      <c r="FK168" s="20">
        <v>1</v>
      </c>
      <c r="FL168" s="20">
        <v>2</v>
      </c>
      <c r="FM168" s="20">
        <v>3</v>
      </c>
      <c r="FN168" s="20">
        <v>4</v>
      </c>
      <c r="FO168" s="20">
        <v>5</v>
      </c>
      <c r="FP168" s="20">
        <v>6</v>
      </c>
      <c r="FQ168" s="20">
        <v>7</v>
      </c>
      <c r="FR168" s="20">
        <v>8</v>
      </c>
      <c r="FS168" s="20">
        <v>9</v>
      </c>
      <c r="FT168" s="20">
        <v>10</v>
      </c>
      <c r="FU168" s="20"/>
      <c r="FV168" s="20"/>
      <c r="FW168" s="20">
        <v>0</v>
      </c>
      <c r="FX168" s="20">
        <v>1</v>
      </c>
      <c r="FY168" s="20">
        <v>2</v>
      </c>
      <c r="FZ168" s="20">
        <v>3</v>
      </c>
      <c r="GA168" s="20">
        <v>4</v>
      </c>
      <c r="GB168" s="20">
        <v>5</v>
      </c>
      <c r="GC168" s="20">
        <v>6</v>
      </c>
      <c r="GD168" s="20">
        <v>7</v>
      </c>
      <c r="GE168" s="20">
        <v>8</v>
      </c>
      <c r="GF168" s="20">
        <v>9</v>
      </c>
      <c r="GG168" s="20">
        <v>10</v>
      </c>
      <c r="GH168" s="20"/>
      <c r="GI168" s="20"/>
      <c r="GJ168" s="20"/>
      <c r="GK168" s="20"/>
      <c r="GL168" s="20"/>
      <c r="GM168" s="20"/>
      <c r="GN168" s="20"/>
      <c r="GO168" s="20"/>
      <c r="GP168" s="20"/>
      <c r="GQ168" s="20"/>
      <c r="GR168" s="20"/>
      <c r="GS168" s="20"/>
      <c r="GT168" s="20"/>
      <c r="GU168" s="20"/>
      <c r="GV168" s="20"/>
      <c r="GW168" s="20"/>
      <c r="GX168" s="20"/>
      <c r="GY168" s="20"/>
      <c r="GZ168" s="20">
        <f>SUM(GZ165:GZ166)</f>
        <v>44000</v>
      </c>
      <c r="HA168" s="20"/>
      <c r="HB168" s="20">
        <f>SUM(HB165:HB167)</f>
        <v>985.74</v>
      </c>
      <c r="HC168" s="20"/>
      <c r="HD168" s="21"/>
      <c r="HE168" s="21"/>
      <c r="HF168" s="21"/>
      <c r="HG168" s="21"/>
      <c r="HH168" s="21"/>
      <c r="HI168" s="21"/>
      <c r="HJ168" s="21"/>
      <c r="HK168" s="21"/>
      <c r="HL168" s="21"/>
      <c r="HM168" s="21"/>
      <c r="HN168" s="21"/>
      <c r="HO168" s="21"/>
      <c r="HP168" s="21"/>
      <c r="HQ168" s="21"/>
      <c r="HR168" s="21"/>
      <c r="HS168" s="21"/>
      <c r="HT168" s="21"/>
      <c r="HU168" s="21"/>
      <c r="HV168" s="21" t="s">
        <v>825</v>
      </c>
      <c r="HW168" s="21">
        <v>0</v>
      </c>
      <c r="HX168" s="21">
        <v>0</v>
      </c>
      <c r="HY168" s="21">
        <v>2</v>
      </c>
      <c r="HZ168" s="21">
        <v>4</v>
      </c>
      <c r="IA168" s="21">
        <v>4</v>
      </c>
      <c r="IB168" s="21">
        <v>4</v>
      </c>
      <c r="IC168" s="21">
        <v>8</v>
      </c>
      <c r="ID168" s="21">
        <v>8</v>
      </c>
      <c r="IE168" s="21">
        <v>8</v>
      </c>
      <c r="IF168" s="21">
        <v>12</v>
      </c>
      <c r="IG168" s="21">
        <v>12</v>
      </c>
      <c r="IH168" s="21">
        <v>12</v>
      </c>
      <c r="II168" s="21">
        <v>16</v>
      </c>
      <c r="IJ168" s="21">
        <v>16</v>
      </c>
      <c r="IK168" s="21">
        <v>16</v>
      </c>
      <c r="IL168" s="21">
        <v>20</v>
      </c>
      <c r="IM168" s="21">
        <v>20</v>
      </c>
      <c r="IN168" s="21">
        <v>20</v>
      </c>
      <c r="IO168" s="21">
        <v>24</v>
      </c>
      <c r="IP168" s="21">
        <v>24</v>
      </c>
      <c r="IQ168" s="21">
        <v>26</v>
      </c>
      <c r="IR168" s="21"/>
      <c r="IS168" s="21" t="s">
        <v>825</v>
      </c>
      <c r="IT168" s="21">
        <f t="shared" si="66"/>
        <v>0</v>
      </c>
      <c r="IU168" s="21">
        <f t="shared" si="66"/>
        <v>0</v>
      </c>
      <c r="IV168" s="21">
        <f t="shared" si="66"/>
        <v>4</v>
      </c>
      <c r="IW168" s="21">
        <f t="shared" si="66"/>
        <v>8</v>
      </c>
      <c r="IX168" s="21">
        <f t="shared" si="66"/>
        <v>8</v>
      </c>
      <c r="IY168" s="21">
        <f t="shared" si="66"/>
        <v>8</v>
      </c>
      <c r="IZ168" s="21">
        <f t="shared" si="66"/>
        <v>16</v>
      </c>
      <c r="JA168" s="21">
        <f t="shared" si="66"/>
        <v>16</v>
      </c>
      <c r="JB168" s="21">
        <f t="shared" si="66"/>
        <v>16</v>
      </c>
      <c r="JC168" s="21">
        <f t="shared" si="66"/>
        <v>24</v>
      </c>
      <c r="JD168" s="21">
        <f t="shared" si="66"/>
        <v>24</v>
      </c>
      <c r="JE168" s="21">
        <f t="shared" si="66"/>
        <v>24</v>
      </c>
      <c r="JF168" s="21">
        <f t="shared" si="66"/>
        <v>32</v>
      </c>
      <c r="JG168" s="21">
        <f t="shared" si="66"/>
        <v>32</v>
      </c>
      <c r="JH168" s="21">
        <f t="shared" si="66"/>
        <v>32</v>
      </c>
      <c r="JI168" s="21">
        <f t="shared" si="53"/>
        <v>40</v>
      </c>
      <c r="JJ168" s="21">
        <f t="shared" si="40"/>
        <v>40</v>
      </c>
      <c r="JK168" s="21">
        <f t="shared" si="40"/>
        <v>40</v>
      </c>
      <c r="JL168" s="21">
        <f t="shared" si="40"/>
        <v>48</v>
      </c>
      <c r="JM168" s="21">
        <f t="shared" si="40"/>
        <v>48</v>
      </c>
      <c r="JN168" s="21">
        <f t="shared" si="40"/>
        <v>52</v>
      </c>
      <c r="JO168" s="21"/>
      <c r="JP168" s="21"/>
      <c r="JQ168" s="26"/>
      <c r="JR168" s="21"/>
      <c r="JS168" s="21"/>
      <c r="JT168" s="21"/>
      <c r="JU168" s="21"/>
      <c r="JV168" s="21"/>
      <c r="JW168" s="21"/>
      <c r="JX168" s="21"/>
      <c r="JY168" s="21"/>
      <c r="JZ168" s="21"/>
      <c r="KA168" s="21"/>
      <c r="KB168" s="21"/>
      <c r="KC168" s="21"/>
      <c r="KD168" s="21"/>
      <c r="KE168" s="21"/>
      <c r="KF168" s="21"/>
      <c r="KG168" s="21"/>
      <c r="KH168" s="21"/>
    </row>
    <row r="169" spans="1:294" x14ac:dyDescent="0.25">
      <c r="A169" s="9"/>
      <c r="B169" s="9"/>
      <c r="C169" s="9"/>
      <c r="D169" s="9"/>
      <c r="E169" s="9"/>
      <c r="F169" s="9"/>
      <c r="G169" s="9"/>
      <c r="H169" s="9"/>
      <c r="I169" s="9"/>
      <c r="J169" s="9"/>
      <c r="K169" s="9"/>
      <c r="L169" s="6" t="str">
        <f>IF(E154="balastowa","PBKD50MC",IF(E154="kotwiona","-------",0))</f>
        <v>PBKD50MC</v>
      </c>
      <c r="M169" s="11">
        <f>INDEX(cennik!$C$2:$L$529,MATCH($L169,cennik!$B$2:$B$522,0),MATCH(M$104,cennik!$C$1:$L$1,0))</f>
        <v>858451</v>
      </c>
      <c r="N169" s="11" t="str">
        <f>INDEX(cennik!$C$2:$L$529,MATCH($L169,cennik!$B$2:$B$522,0),MATCH(N$104,cennik!$C$1:$L$1,0))</f>
        <v>szt.</v>
      </c>
      <c r="O169" s="11">
        <f>IF(E154=Z104,O161*3,IF(E154=Z105,0,0))</f>
        <v>0</v>
      </c>
      <c r="P169" s="34">
        <f>INDEX(cennik!$C$2:$L$529,MATCH($L169,cennik!$B$2:$B$522,0),MATCH(P$104,cennik!$C$1:$L$1,0))</f>
        <v>35.21</v>
      </c>
      <c r="Q169" s="34">
        <f t="shared" si="63"/>
        <v>0</v>
      </c>
      <c r="R169" s="35">
        <f t="shared" si="61"/>
        <v>0</v>
      </c>
      <c r="S169" s="34">
        <f t="shared" si="62"/>
        <v>35.21</v>
      </c>
      <c r="T169" s="34">
        <f t="shared" si="64"/>
        <v>0</v>
      </c>
      <c r="U169" s="34">
        <f>INDEX(cennik!$C$2:$L$529,MATCH($L169,cennik!$B$2:$B$522,0),MATCH(U$104,cennik!$C$1:$L$1,0))*O169</f>
        <v>0</v>
      </c>
      <c r="V169" s="20"/>
      <c r="W169" s="25">
        <f t="shared" si="68"/>
        <v>0</v>
      </c>
      <c r="X169" s="20">
        <f t="shared" si="69"/>
        <v>0</v>
      </c>
      <c r="Y169" s="20"/>
      <c r="Z169" s="20">
        <f>(INDEX(($AM$106:$CK$111,$AM$115:$CK$120,$AM$124:$CK$129,$AM$133:$CK$138),MATCH($L$184,$AL$106:$AL$111,0),MATCH(A180,$AM$105:$CK$105,0),MATCH($G$179,$X$128:$X$131,0)))*C180</f>
        <v>0</v>
      </c>
      <c r="AA169" s="20">
        <f>(INDEX(($AM$106:$CK$111,$AM$115:$CK$120,$AM$124:$CK$129,$AM$133:$CK$138),MATCH($L$179,$AL$106:$AL$111,0),MATCH(A180,$AM$105:$CK$105,0),MATCH($G$179,$X$128:$X$131,0)))*C180</f>
        <v>0</v>
      </c>
      <c r="AB169" s="20">
        <f>(INDEX(($AM$106:$CK$111,$AM$115:$CK$120,$AM$124:$CK$129,$AM$133:$CK$138),MATCH($L$180,$AL$106:$AL$111,0),MATCH(A180,$AM$105:$CK$105,0),MATCH($G$179,$X$128:$X$131,0)))*C180</f>
        <v>0</v>
      </c>
      <c r="AC169" s="20">
        <f>(INDEX(($AM$106:$CK$111,$AM$115:$CK$120,$AM$124:$CK$129,$AM$133:$CK$138),MATCH($L$181,$AL$106:$AL$111,0),MATCH(A180,$AM$105:$CK$105,0),MATCH($G$179,$X$128:$X$131,0)))*C180</f>
        <v>0</v>
      </c>
      <c r="AD169" s="20">
        <f>(INDEX(($AM$106:$CK$111,$AM$115:$CK$120,$AM$124:$CK$129,$AM$133:$CK$138),MATCH($L$182,$AL$106:$AL$111,0),MATCH(A180,$AM$105:$CK$105,0),MATCH($G$179,$X$128:$X$131,0)))*C180</f>
        <v>0</v>
      </c>
      <c r="AE169" s="20">
        <f>(INDEX(($AM$106:$CK$111,$AM$115:$CK$120,$AM$124:$CK$129,$AM$133:$CK$138),MATCH($L$183,$AL$106:$AL$111,0),MATCH(A180,$AM$105:$CK$105,0),MATCH($G$179,$X$128:$X$131,0)))*C180</f>
        <v>0</v>
      </c>
      <c r="AF169" s="21"/>
      <c r="AG169" s="21"/>
      <c r="AH169" s="21"/>
      <c r="AI169" s="21"/>
      <c r="AJ169" s="20"/>
      <c r="AK169" s="20"/>
      <c r="AL169" s="20"/>
      <c r="AM169" s="20">
        <v>0</v>
      </c>
      <c r="AN169" s="20">
        <v>1</v>
      </c>
      <c r="AO169" s="20">
        <v>2</v>
      </c>
      <c r="AP169" s="20">
        <v>3</v>
      </c>
      <c r="AQ169" s="20">
        <v>4</v>
      </c>
      <c r="AR169" s="20">
        <v>5</v>
      </c>
      <c r="AS169" s="20">
        <v>6</v>
      </c>
      <c r="AT169" s="20">
        <v>7</v>
      </c>
      <c r="AU169" s="20">
        <v>8</v>
      </c>
      <c r="AV169" s="20">
        <v>9</v>
      </c>
      <c r="AW169" s="20">
        <v>10</v>
      </c>
      <c r="AX169" s="20">
        <v>11</v>
      </c>
      <c r="AY169" s="20">
        <v>12</v>
      </c>
      <c r="AZ169" s="20">
        <v>13</v>
      </c>
      <c r="BA169" s="20">
        <v>14</v>
      </c>
      <c r="BB169" s="20">
        <v>15</v>
      </c>
      <c r="BC169" s="20">
        <v>16</v>
      </c>
      <c r="BD169" s="20">
        <v>17</v>
      </c>
      <c r="BE169" s="20">
        <v>18</v>
      </c>
      <c r="BF169" s="20">
        <v>19</v>
      </c>
      <c r="BG169" s="20">
        <v>20</v>
      </c>
      <c r="BH169" s="20">
        <v>21</v>
      </c>
      <c r="BI169" s="20">
        <v>22</v>
      </c>
      <c r="BJ169" s="20">
        <v>23</v>
      </c>
      <c r="BK169" s="20">
        <v>24</v>
      </c>
      <c r="BL169" s="20">
        <v>25</v>
      </c>
      <c r="BM169" s="20">
        <v>26</v>
      </c>
      <c r="BN169" s="20">
        <v>27</v>
      </c>
      <c r="BO169" s="20">
        <v>28</v>
      </c>
      <c r="BP169" s="20">
        <v>29</v>
      </c>
      <c r="BQ169" s="20">
        <v>30</v>
      </c>
      <c r="BR169" s="20">
        <v>31</v>
      </c>
      <c r="BS169" s="20">
        <v>32</v>
      </c>
      <c r="BT169" s="20">
        <v>33</v>
      </c>
      <c r="BU169" s="20">
        <v>34</v>
      </c>
      <c r="BV169" s="20">
        <v>35</v>
      </c>
      <c r="BW169" s="20">
        <v>36</v>
      </c>
      <c r="BX169" s="20">
        <v>37</v>
      </c>
      <c r="BY169" s="20">
        <v>38</v>
      </c>
      <c r="BZ169" s="20">
        <v>39</v>
      </c>
      <c r="CA169" s="20">
        <v>40</v>
      </c>
      <c r="CB169" s="20">
        <v>41</v>
      </c>
      <c r="CC169" s="20">
        <v>42</v>
      </c>
      <c r="CD169" s="20">
        <v>43</v>
      </c>
      <c r="CE169" s="20">
        <v>44</v>
      </c>
      <c r="CF169" s="20">
        <v>45</v>
      </c>
      <c r="CG169" s="20">
        <v>46</v>
      </c>
      <c r="CH169" s="20">
        <v>47</v>
      </c>
      <c r="CI169" s="20">
        <v>48</v>
      </c>
      <c r="CJ169" s="20">
        <v>49</v>
      </c>
      <c r="CK169" s="20">
        <v>50</v>
      </c>
      <c r="CL169" s="20"/>
      <c r="CM169" s="20" t="s">
        <v>480</v>
      </c>
      <c r="CN169" s="20"/>
      <c r="CO169" s="20"/>
      <c r="CP169" s="20"/>
      <c r="CQ169" s="20"/>
      <c r="CR169" s="20"/>
      <c r="CS169" s="20"/>
      <c r="CT169" s="20"/>
      <c r="CU169" s="20"/>
      <c r="CV169" s="20"/>
      <c r="CW169" s="20"/>
      <c r="CX169" s="20"/>
      <c r="CY169" s="20"/>
      <c r="CZ169" s="20"/>
      <c r="DA169" s="20"/>
      <c r="DB169" s="20"/>
      <c r="DC169" s="20"/>
      <c r="DD169" s="20"/>
      <c r="DE169" s="20"/>
      <c r="DF169" s="20"/>
      <c r="DG169" s="20"/>
      <c r="DH169" s="20"/>
      <c r="DI169" s="20"/>
      <c r="DJ169" s="20"/>
      <c r="DK169" s="20"/>
      <c r="DL169" s="20"/>
      <c r="DM169" s="20" t="s">
        <v>212</v>
      </c>
      <c r="DN169" s="20">
        <v>0</v>
      </c>
      <c r="DO169" s="20">
        <v>0</v>
      </c>
      <c r="DP169" s="20">
        <v>0</v>
      </c>
      <c r="DQ169" s="20">
        <v>2</v>
      </c>
      <c r="DR169" s="20">
        <v>0</v>
      </c>
      <c r="DS169" s="20">
        <v>2</v>
      </c>
      <c r="DT169" s="20">
        <v>4</v>
      </c>
      <c r="DU169" s="20">
        <v>2</v>
      </c>
      <c r="DV169" s="20">
        <v>4</v>
      </c>
      <c r="DW169" s="20">
        <v>6</v>
      </c>
      <c r="DX169" s="20">
        <v>6</v>
      </c>
      <c r="DY169" s="20">
        <v>4</v>
      </c>
      <c r="DZ169" s="54">
        <v>6</v>
      </c>
      <c r="EA169" s="54">
        <v>8</v>
      </c>
      <c r="EB169" s="54">
        <v>6</v>
      </c>
      <c r="EC169" s="20">
        <v>8</v>
      </c>
      <c r="ED169" s="20">
        <v>10</v>
      </c>
      <c r="EE169" s="20">
        <v>10</v>
      </c>
      <c r="EF169" s="20">
        <v>10</v>
      </c>
      <c r="EG169" s="20">
        <v>10</v>
      </c>
      <c r="EH169" s="20">
        <v>12</v>
      </c>
      <c r="EI169" s="20"/>
      <c r="EJ169" s="20"/>
      <c r="EK169" s="20"/>
      <c r="EL169" s="20"/>
      <c r="EM169" s="20"/>
      <c r="EN169" s="20"/>
      <c r="EO169" s="20"/>
      <c r="EP169" s="20"/>
      <c r="EQ169" s="20"/>
      <c r="ER169" s="20"/>
      <c r="ES169" s="20"/>
      <c r="ET169" s="20"/>
      <c r="EU169" s="20"/>
      <c r="EV169" s="20" t="s">
        <v>9</v>
      </c>
      <c r="EW169" s="20">
        <v>0</v>
      </c>
      <c r="EX169" s="20">
        <v>0</v>
      </c>
      <c r="EY169" s="20">
        <v>0</v>
      </c>
      <c r="EZ169" s="20">
        <v>0</v>
      </c>
      <c r="FA169" s="20">
        <v>0</v>
      </c>
      <c r="FB169" s="20">
        <v>0</v>
      </c>
      <c r="FC169" s="20">
        <v>0</v>
      </c>
      <c r="FD169" s="20">
        <v>2</v>
      </c>
      <c r="FE169" s="20">
        <v>0</v>
      </c>
      <c r="FF169" s="20">
        <v>0</v>
      </c>
      <c r="FG169" s="20">
        <v>0</v>
      </c>
      <c r="FH169" s="20"/>
      <c r="FI169" s="20" t="s">
        <v>210</v>
      </c>
      <c r="FJ169" s="20">
        <v>0</v>
      </c>
      <c r="FK169" s="20">
        <v>0</v>
      </c>
      <c r="FL169" s="20">
        <v>2</v>
      </c>
      <c r="FM169" s="20">
        <v>0</v>
      </c>
      <c r="FN169" s="20">
        <v>0</v>
      </c>
      <c r="FO169" s="20">
        <v>0</v>
      </c>
      <c r="FP169" s="20">
        <v>2</v>
      </c>
      <c r="FQ169" s="20">
        <v>0</v>
      </c>
      <c r="FR169" s="20">
        <v>0</v>
      </c>
      <c r="FS169" s="20">
        <v>0</v>
      </c>
      <c r="FT169" s="20">
        <v>0</v>
      </c>
      <c r="FU169" s="20"/>
      <c r="FV169" s="20" t="s">
        <v>210</v>
      </c>
      <c r="FW169" s="20">
        <v>0</v>
      </c>
      <c r="FX169" s="20">
        <v>0</v>
      </c>
      <c r="FY169" s="20">
        <v>2</v>
      </c>
      <c r="FZ169" s="20">
        <v>0</v>
      </c>
      <c r="GA169" s="20">
        <v>0</v>
      </c>
      <c r="GB169" s="20">
        <v>0</v>
      </c>
      <c r="GC169" s="20">
        <v>0</v>
      </c>
      <c r="GD169" s="20">
        <v>0</v>
      </c>
      <c r="GE169" s="20">
        <v>0</v>
      </c>
      <c r="GF169" s="20">
        <v>0</v>
      </c>
      <c r="GG169" s="20">
        <v>0</v>
      </c>
      <c r="GH169" s="20"/>
      <c r="GI169" s="20"/>
      <c r="GJ169" s="20"/>
      <c r="GK169" s="20"/>
      <c r="GL169" s="20"/>
      <c r="GM169" s="20"/>
      <c r="GN169" s="20"/>
      <c r="GO169" s="20"/>
      <c r="GP169" s="20"/>
      <c r="GQ169" s="20"/>
      <c r="GR169" s="20"/>
      <c r="GS169" s="20"/>
      <c r="GT169" s="20"/>
      <c r="GU169" s="20"/>
      <c r="GV169" s="20"/>
      <c r="GW169" s="20"/>
      <c r="GX169" s="20"/>
      <c r="GY169" s="21"/>
      <c r="GZ169" s="21"/>
      <c r="HA169" s="21"/>
      <c r="HB169" s="21"/>
      <c r="HC169" s="21"/>
      <c r="HD169" s="21"/>
      <c r="HE169" s="21"/>
      <c r="HF169" s="21"/>
      <c r="HG169" s="21"/>
      <c r="HH169" s="21"/>
      <c r="HI169" s="21"/>
      <c r="HJ169" s="21"/>
      <c r="HK169" s="21"/>
      <c r="HL169" s="21"/>
      <c r="HM169" s="21"/>
      <c r="HN169" s="21"/>
      <c r="HO169" s="21"/>
      <c r="HP169" s="21"/>
      <c r="HQ169" s="21"/>
      <c r="HR169" s="21"/>
      <c r="HS169" s="21"/>
      <c r="HT169" s="21"/>
      <c r="HU169" s="21"/>
      <c r="HV169" s="21" t="s">
        <v>853</v>
      </c>
      <c r="HW169" s="21">
        <v>0</v>
      </c>
      <c r="HX169" s="21">
        <v>0</v>
      </c>
      <c r="HY169" s="21">
        <v>2</v>
      </c>
      <c r="HZ169" s="21">
        <v>2</v>
      </c>
      <c r="IA169" s="21">
        <v>4</v>
      </c>
      <c r="IB169" s="21">
        <v>6</v>
      </c>
      <c r="IC169" s="21">
        <v>6</v>
      </c>
      <c r="ID169" s="21">
        <v>8</v>
      </c>
      <c r="IE169" s="21">
        <v>10</v>
      </c>
      <c r="IF169" s="21">
        <v>10</v>
      </c>
      <c r="IG169" s="21">
        <v>12</v>
      </c>
      <c r="IH169" s="21">
        <v>14</v>
      </c>
      <c r="II169" s="21">
        <v>14</v>
      </c>
      <c r="IJ169" s="21">
        <v>16</v>
      </c>
      <c r="IK169" s="21">
        <v>18</v>
      </c>
      <c r="IL169" s="21">
        <v>18</v>
      </c>
      <c r="IM169" s="21">
        <v>20</v>
      </c>
      <c r="IN169" s="21">
        <v>22</v>
      </c>
      <c r="IO169" s="21">
        <v>22</v>
      </c>
      <c r="IP169" s="21">
        <v>24</v>
      </c>
      <c r="IQ169" s="21">
        <v>24</v>
      </c>
      <c r="IR169" s="21"/>
      <c r="IS169" s="21" t="s">
        <v>853</v>
      </c>
      <c r="IT169" s="21">
        <f t="shared" si="66"/>
        <v>0</v>
      </c>
      <c r="IU169" s="21">
        <f t="shared" si="66"/>
        <v>0</v>
      </c>
      <c r="IV169" s="21">
        <f t="shared" si="66"/>
        <v>4</v>
      </c>
      <c r="IW169" s="21">
        <f t="shared" si="66"/>
        <v>4</v>
      </c>
      <c r="IX169" s="21">
        <f t="shared" si="66"/>
        <v>8</v>
      </c>
      <c r="IY169" s="21">
        <f t="shared" si="66"/>
        <v>12</v>
      </c>
      <c r="IZ169" s="21">
        <f t="shared" si="66"/>
        <v>12</v>
      </c>
      <c r="JA169" s="21">
        <f t="shared" si="66"/>
        <v>16</v>
      </c>
      <c r="JB169" s="21">
        <f t="shared" si="66"/>
        <v>20</v>
      </c>
      <c r="JC169" s="21">
        <f t="shared" si="66"/>
        <v>20</v>
      </c>
      <c r="JD169" s="21">
        <f t="shared" si="66"/>
        <v>24</v>
      </c>
      <c r="JE169" s="21">
        <f t="shared" si="66"/>
        <v>28</v>
      </c>
      <c r="JF169" s="21">
        <f t="shared" si="66"/>
        <v>28</v>
      </c>
      <c r="JG169" s="21">
        <f t="shared" si="66"/>
        <v>32</v>
      </c>
      <c r="JH169" s="21">
        <f t="shared" si="66"/>
        <v>36</v>
      </c>
      <c r="JI169" s="21">
        <f t="shared" si="53"/>
        <v>36</v>
      </c>
      <c r="JJ169" s="21">
        <f t="shared" si="40"/>
        <v>40</v>
      </c>
      <c r="JK169" s="21">
        <f t="shared" si="40"/>
        <v>44</v>
      </c>
      <c r="JL169" s="21">
        <f t="shared" si="40"/>
        <v>44</v>
      </c>
      <c r="JM169" s="21">
        <f t="shared" si="40"/>
        <v>48</v>
      </c>
      <c r="JN169" s="21">
        <f t="shared" si="40"/>
        <v>48</v>
      </c>
      <c r="JO169" s="21"/>
      <c r="JP169" s="21"/>
      <c r="JQ169" s="26"/>
      <c r="JR169" s="21"/>
      <c r="JS169" s="21"/>
      <c r="JT169" s="21"/>
      <c r="JU169" s="21"/>
      <c r="JV169" s="21"/>
      <c r="JW169" s="21"/>
      <c r="JX169" s="21"/>
      <c r="JY169" s="21"/>
      <c r="JZ169" s="21"/>
      <c r="KA169" s="21"/>
      <c r="KB169" s="21"/>
      <c r="KC169" s="21"/>
      <c r="KD169" s="21"/>
      <c r="KE169" s="21"/>
      <c r="KF169" s="21"/>
      <c r="KG169" s="21"/>
      <c r="KH169" s="21"/>
    </row>
    <row r="170" spans="1:294" x14ac:dyDescent="0.25">
      <c r="A170" s="9"/>
      <c r="B170" s="9"/>
      <c r="C170" s="9"/>
      <c r="D170" s="9"/>
      <c r="E170" s="9"/>
      <c r="F170" s="9"/>
      <c r="G170" s="9"/>
      <c r="H170" s="9"/>
      <c r="I170" s="9"/>
      <c r="J170" s="9"/>
      <c r="K170" s="9"/>
      <c r="L170" s="6" t="s">
        <v>407</v>
      </c>
      <c r="M170" s="11">
        <f>INDEX(cennik!$C$2:$L$529,MATCH($L170,cennik!$B$2:$B$522,0),MATCH(M$104,cennik!$C$1:$L$1,0))</f>
        <v>651643</v>
      </c>
      <c r="N170" s="11" t="str">
        <f>INDEX(cennik!$C$2:$L$529,MATCH($L170,cennik!$B$2:$B$522,0),MATCH(N$104,cennik!$C$1:$L$1,0))</f>
        <v>100 szt.</v>
      </c>
      <c r="O170" s="11">
        <f>ROUNDUP((IF(E154=Z104,((O163*8)+(O160*6)+(SUM(X143:X158)*2)+(O169*0)),IF(E154=Z105,((O163*8)+(O160*6)+(SUM(X143:X158)*2)),0))+E157)/100,0)</f>
        <v>0</v>
      </c>
      <c r="P170" s="34">
        <f>INDEX(cennik!$C$2:$L$529,MATCH($L170,cennik!$B$2:$B$522,0),MATCH(P$104,cennik!$C$1:$L$1,0))</f>
        <v>144.19</v>
      </c>
      <c r="Q170" s="34">
        <f t="shared" si="63"/>
        <v>0</v>
      </c>
      <c r="R170" s="35">
        <f t="shared" si="61"/>
        <v>0</v>
      </c>
      <c r="S170" s="34">
        <f t="shared" si="62"/>
        <v>144.19</v>
      </c>
      <c r="T170" s="34">
        <f t="shared" si="64"/>
        <v>0</v>
      </c>
      <c r="U170" s="34">
        <f>INDEX(cennik!$C$2:$L$529,MATCH($L170,cennik!$B$2:$B$522,0),MATCH(U$104,cennik!$C$1:$L$1,0))*O170</f>
        <v>0</v>
      </c>
      <c r="V170" s="20"/>
      <c r="W170" s="25">
        <f t="shared" si="68"/>
        <v>0</v>
      </c>
      <c r="X170" s="20">
        <f t="shared" si="69"/>
        <v>0</v>
      </c>
      <c r="Y170" s="20"/>
      <c r="Z170" s="20">
        <f>(INDEX(($AM$106:$CK$111,$AM$115:$CK$120,$AM$124:$CK$129,$AM$133:$CK$138),MATCH($L$184,$AL$106:$AL$111,0),MATCH(A181,$AM$105:$CK$105,0),MATCH($G$179,$X$128:$X$131,0)))*C181</f>
        <v>0</v>
      </c>
      <c r="AA170" s="20">
        <f>(INDEX(($AM$106:$CK$111,$AM$115:$CK$120,$AM$124:$CK$129,$AM$133:$CK$138),MATCH($L$179,$AL$106:$AL$111,0),MATCH(A181,$AM$105:$CK$105,0),MATCH($G$179,$X$128:$X$131,0)))*C181</f>
        <v>0</v>
      </c>
      <c r="AB170" s="20">
        <f>(INDEX(($AM$106:$CK$111,$AM$115:$CK$120,$AM$124:$CK$129,$AM$133:$CK$138),MATCH($L$180,$AL$106:$AL$111,0),MATCH(A181,$AM$105:$CK$105,0),MATCH($G$179,$X$128:$X$131,0)))*C181</f>
        <v>0</v>
      </c>
      <c r="AC170" s="20">
        <f>(INDEX(($AM$106:$CK$111,$AM$115:$CK$120,$AM$124:$CK$129,$AM$133:$CK$138),MATCH($L$181,$AL$106:$AL$111,0),MATCH(A181,$AM$105:$CK$105,0),MATCH($G$179,$X$128:$X$131,0)))*C181</f>
        <v>0</v>
      </c>
      <c r="AD170" s="20">
        <f>(INDEX(($AM$106:$CK$111,$AM$115:$CK$120,$AM$124:$CK$129,$AM$133:$CK$138),MATCH($L$182,$AL$106:$AL$111,0),MATCH(A181,$AM$105:$CK$105,0),MATCH($G$179,$X$128:$X$131,0)))*C181</f>
        <v>0</v>
      </c>
      <c r="AE170" s="20">
        <f>(INDEX(($AM$106:$CK$111,$AM$115:$CK$120,$AM$124:$CK$129,$AM$133:$CK$138),MATCH($L$183,$AL$106:$AL$111,0),MATCH(A181,$AM$105:$CK$105,0),MATCH($G$179,$X$128:$X$131,0)))*C181</f>
        <v>0</v>
      </c>
      <c r="AF170" s="21"/>
      <c r="AG170" s="21"/>
      <c r="AH170" s="21"/>
      <c r="AI170" s="21"/>
      <c r="AJ170" s="20"/>
      <c r="AK170" s="20"/>
      <c r="AL170" s="20" t="s">
        <v>126</v>
      </c>
      <c r="AM170" s="20">
        <v>0</v>
      </c>
      <c r="AN170" s="20">
        <v>0</v>
      </c>
      <c r="AO170" s="20">
        <v>0</v>
      </c>
      <c r="AP170" s="20">
        <v>0</v>
      </c>
      <c r="AQ170" s="20">
        <v>0</v>
      </c>
      <c r="AR170" s="20">
        <v>0</v>
      </c>
      <c r="AS170" s="20">
        <v>0</v>
      </c>
      <c r="AT170" s="20">
        <v>2</v>
      </c>
      <c r="AU170" s="20">
        <v>0</v>
      </c>
      <c r="AV170" s="20">
        <v>0</v>
      </c>
      <c r="AW170" s="20">
        <v>0</v>
      </c>
      <c r="AX170" s="20">
        <v>0</v>
      </c>
      <c r="AY170" s="20">
        <v>0</v>
      </c>
      <c r="AZ170" s="20">
        <v>0</v>
      </c>
      <c r="BA170" s="20">
        <v>0</v>
      </c>
      <c r="BB170" s="20">
        <v>0</v>
      </c>
      <c r="BC170" s="20">
        <v>0</v>
      </c>
      <c r="BD170" s="20">
        <v>0</v>
      </c>
      <c r="BE170" s="20">
        <v>0</v>
      </c>
      <c r="BF170" s="20">
        <v>0</v>
      </c>
      <c r="BG170" s="20">
        <v>0</v>
      </c>
      <c r="BH170" s="20">
        <v>0</v>
      </c>
      <c r="BI170" s="20">
        <v>0</v>
      </c>
      <c r="BJ170" s="20">
        <v>0</v>
      </c>
      <c r="BK170" s="20">
        <v>0</v>
      </c>
      <c r="BL170" s="20">
        <v>0</v>
      </c>
      <c r="BM170" s="20">
        <v>0</v>
      </c>
      <c r="BN170" s="20">
        <v>0</v>
      </c>
      <c r="BO170" s="20">
        <v>0</v>
      </c>
      <c r="BP170" s="20">
        <v>0</v>
      </c>
      <c r="BQ170" s="20">
        <v>0</v>
      </c>
      <c r="BR170" s="20">
        <v>0</v>
      </c>
      <c r="BS170" s="20">
        <v>0</v>
      </c>
      <c r="BT170" s="20">
        <v>0</v>
      </c>
      <c r="BU170" s="20">
        <v>0</v>
      </c>
      <c r="BV170" s="20">
        <v>0</v>
      </c>
      <c r="BW170" s="20">
        <v>0</v>
      </c>
      <c r="BX170" s="20">
        <v>0</v>
      </c>
      <c r="BY170" s="20">
        <v>0</v>
      </c>
      <c r="BZ170" s="20">
        <v>0</v>
      </c>
      <c r="CA170" s="20">
        <v>0</v>
      </c>
      <c r="CB170" s="20">
        <v>0</v>
      </c>
      <c r="CC170" s="20">
        <v>0</v>
      </c>
      <c r="CD170" s="20">
        <v>0</v>
      </c>
      <c r="CE170" s="20">
        <v>0</v>
      </c>
      <c r="CF170" s="20">
        <v>0</v>
      </c>
      <c r="CG170" s="20">
        <v>0</v>
      </c>
      <c r="CH170" s="20">
        <v>0</v>
      </c>
      <c r="CI170" s="20">
        <v>0</v>
      </c>
      <c r="CJ170" s="20">
        <v>0</v>
      </c>
      <c r="CK170" s="20">
        <v>0</v>
      </c>
      <c r="CL170" s="20"/>
      <c r="CM170" s="20"/>
      <c r="CN170" s="20">
        <v>0</v>
      </c>
      <c r="CO170" s="20">
        <v>1</v>
      </c>
      <c r="CP170" s="20">
        <v>2</v>
      </c>
      <c r="CQ170" s="20">
        <v>3</v>
      </c>
      <c r="CR170" s="20">
        <v>4</v>
      </c>
      <c r="CS170" s="20">
        <v>5</v>
      </c>
      <c r="CT170" s="20">
        <v>6</v>
      </c>
      <c r="CU170" s="20">
        <v>7</v>
      </c>
      <c r="CV170" s="20">
        <v>8</v>
      </c>
      <c r="CW170" s="20">
        <v>9</v>
      </c>
      <c r="CX170" s="20">
        <v>10</v>
      </c>
      <c r="CY170" s="20">
        <v>11</v>
      </c>
      <c r="CZ170" s="20">
        <v>12</v>
      </c>
      <c r="DA170" s="20">
        <v>13</v>
      </c>
      <c r="DB170" s="20">
        <v>14</v>
      </c>
      <c r="DC170" s="20">
        <v>15</v>
      </c>
      <c r="DD170" s="20">
        <v>16</v>
      </c>
      <c r="DE170" s="20">
        <v>17</v>
      </c>
      <c r="DF170" s="20">
        <v>18</v>
      </c>
      <c r="DG170" s="20">
        <v>19</v>
      </c>
      <c r="DH170" s="20">
        <v>20</v>
      </c>
      <c r="DI170" s="20"/>
      <c r="DJ170" s="20"/>
      <c r="DK170" s="20"/>
      <c r="DL170" s="20"/>
      <c r="DM170" s="20" t="s">
        <v>11</v>
      </c>
      <c r="DN170" s="20">
        <v>0</v>
      </c>
      <c r="DO170" s="20">
        <v>0</v>
      </c>
      <c r="DP170" s="20">
        <v>0</v>
      </c>
      <c r="DQ170" s="20">
        <v>0</v>
      </c>
      <c r="DR170" s="20">
        <v>2</v>
      </c>
      <c r="DS170" s="20">
        <v>2</v>
      </c>
      <c r="DT170" s="20">
        <v>2</v>
      </c>
      <c r="DU170" s="20">
        <v>4</v>
      </c>
      <c r="DV170" s="20">
        <v>4</v>
      </c>
      <c r="DW170" s="20">
        <v>4</v>
      </c>
      <c r="DX170" s="20">
        <v>4</v>
      </c>
      <c r="DY170" s="20">
        <v>6</v>
      </c>
      <c r="DZ170" s="54">
        <v>6</v>
      </c>
      <c r="EA170" s="54">
        <v>6</v>
      </c>
      <c r="EB170" s="54">
        <v>8</v>
      </c>
      <c r="EC170" s="20">
        <v>8</v>
      </c>
      <c r="ED170" s="20">
        <v>8</v>
      </c>
      <c r="EE170" s="20">
        <v>8</v>
      </c>
      <c r="EF170" s="20">
        <v>10</v>
      </c>
      <c r="EG170" s="20">
        <v>10</v>
      </c>
      <c r="EH170" s="20">
        <v>10</v>
      </c>
      <c r="EI170" s="20"/>
      <c r="EJ170" s="20"/>
      <c r="EK170" s="20"/>
      <c r="EL170" s="20"/>
      <c r="EM170" s="20"/>
      <c r="EN170" s="20"/>
      <c r="EO170" s="20"/>
      <c r="EP170" s="20"/>
      <c r="EQ170" s="20"/>
      <c r="ER170" s="20"/>
      <c r="ES170" s="20"/>
      <c r="ET170" s="20"/>
      <c r="EU170" s="20"/>
      <c r="EV170" s="20" t="s">
        <v>208</v>
      </c>
      <c r="EW170" s="20">
        <v>0</v>
      </c>
      <c r="EX170" s="20">
        <v>0</v>
      </c>
      <c r="EY170" s="20">
        <v>0</v>
      </c>
      <c r="EZ170" s="20">
        <v>2</v>
      </c>
      <c r="FA170" s="20">
        <v>0</v>
      </c>
      <c r="FB170" s="20">
        <v>0</v>
      </c>
      <c r="FC170" s="20">
        <v>0</v>
      </c>
      <c r="FD170" s="20">
        <v>0</v>
      </c>
      <c r="FE170" s="20">
        <v>0</v>
      </c>
      <c r="FF170" s="20">
        <v>0</v>
      </c>
      <c r="FG170" s="20">
        <v>0</v>
      </c>
      <c r="FH170" s="20"/>
      <c r="FI170" s="20" t="s">
        <v>9</v>
      </c>
      <c r="FJ170" s="20">
        <v>0</v>
      </c>
      <c r="FK170" s="20">
        <v>0</v>
      </c>
      <c r="FL170" s="20">
        <v>0</v>
      </c>
      <c r="FM170" s="20">
        <v>0</v>
      </c>
      <c r="FN170" s="20">
        <v>2</v>
      </c>
      <c r="FO170" s="20">
        <v>0</v>
      </c>
      <c r="FP170" s="20">
        <v>0</v>
      </c>
      <c r="FQ170" s="20">
        <v>0</v>
      </c>
      <c r="FR170" s="20">
        <v>0</v>
      </c>
      <c r="FS170" s="20">
        <v>0</v>
      </c>
      <c r="FT170" s="20">
        <v>0</v>
      </c>
      <c r="FU170" s="20"/>
      <c r="FV170" s="20" t="s">
        <v>9</v>
      </c>
      <c r="FW170" s="20">
        <v>0</v>
      </c>
      <c r="FX170" s="20">
        <v>0</v>
      </c>
      <c r="FY170" s="20">
        <v>0</v>
      </c>
      <c r="FZ170" s="20">
        <v>0</v>
      </c>
      <c r="GA170" s="20">
        <v>2</v>
      </c>
      <c r="GB170" s="20">
        <v>0</v>
      </c>
      <c r="GC170" s="20">
        <v>0</v>
      </c>
      <c r="GD170" s="20">
        <v>0</v>
      </c>
      <c r="GE170" s="20">
        <v>0</v>
      </c>
      <c r="GF170" s="20">
        <v>0</v>
      </c>
      <c r="GG170" s="20">
        <v>0</v>
      </c>
      <c r="GH170" s="20"/>
      <c r="GI170" s="20"/>
      <c r="GJ170" s="20"/>
      <c r="GK170" s="20"/>
      <c r="GL170" s="20"/>
      <c r="GM170" s="20"/>
      <c r="GN170" s="20"/>
      <c r="GO170" s="20"/>
      <c r="GP170" s="20"/>
      <c r="GQ170" s="20"/>
      <c r="GR170" s="20"/>
      <c r="GS170" s="20"/>
      <c r="GT170" s="20"/>
      <c r="GU170" s="20"/>
      <c r="GV170" s="20"/>
      <c r="GW170" s="20"/>
      <c r="GX170" s="21"/>
      <c r="GY170" s="21"/>
      <c r="GZ170" s="21"/>
      <c r="HA170" s="21"/>
      <c r="HB170" s="21"/>
      <c r="HC170" s="21"/>
      <c r="HD170" s="21"/>
      <c r="HE170" s="21"/>
      <c r="HF170" s="21"/>
      <c r="HG170" s="21"/>
      <c r="HH170" s="21"/>
      <c r="HI170" s="21"/>
      <c r="HJ170" s="21"/>
      <c r="HK170" s="21"/>
      <c r="HL170" s="21"/>
      <c r="HM170" s="21"/>
      <c r="HN170" s="21"/>
      <c r="HO170" s="21"/>
      <c r="HP170" s="21"/>
      <c r="HQ170" s="21"/>
      <c r="HR170" s="21"/>
      <c r="HS170" s="21"/>
      <c r="HT170" s="21"/>
      <c r="HU170" s="21"/>
      <c r="HV170" s="186"/>
      <c r="HW170" s="21"/>
      <c r="HX170" s="21"/>
      <c r="HY170" s="21"/>
      <c r="HZ170" s="21"/>
      <c r="IA170" s="21"/>
      <c r="IB170" s="21"/>
      <c r="IC170" s="21"/>
      <c r="ID170" s="21"/>
      <c r="IE170" s="21"/>
      <c r="IF170" s="21"/>
      <c r="IG170" s="21"/>
      <c r="IH170" s="21"/>
      <c r="II170" s="21"/>
      <c r="IJ170" s="21"/>
      <c r="IK170" s="21"/>
      <c r="IL170" s="21"/>
      <c r="IM170" s="21"/>
      <c r="IN170" s="21"/>
      <c r="IO170" s="21"/>
      <c r="IP170" s="21"/>
      <c r="IQ170" s="21"/>
      <c r="IR170" s="21"/>
      <c r="IS170" s="21"/>
      <c r="IT170" s="21"/>
      <c r="IU170" s="21"/>
      <c r="IV170" s="21"/>
      <c r="IW170" s="21"/>
      <c r="IX170" s="21"/>
      <c r="IY170" s="21"/>
      <c r="IZ170" s="21"/>
      <c r="JA170" s="21"/>
      <c r="JB170" s="21"/>
      <c r="JC170" s="21"/>
      <c r="JD170" s="21"/>
      <c r="JE170" s="21"/>
      <c r="JF170" s="21"/>
      <c r="JG170" s="21"/>
      <c r="JH170" s="21"/>
      <c r="JI170" s="21"/>
      <c r="JJ170" s="21"/>
      <c r="JK170" s="21"/>
      <c r="JL170" s="21"/>
      <c r="JM170" s="21"/>
      <c r="JN170" s="21"/>
      <c r="JO170" s="21"/>
      <c r="JP170" s="21"/>
      <c r="JQ170" s="26"/>
      <c r="JR170" s="21"/>
      <c r="JS170" s="21"/>
      <c r="JT170" s="21"/>
      <c r="JU170" s="21"/>
      <c r="JV170" s="21"/>
      <c r="JW170" s="21"/>
      <c r="JX170" s="21"/>
      <c r="JY170" s="21"/>
      <c r="JZ170" s="21"/>
      <c r="KA170" s="21"/>
      <c r="KB170" s="21"/>
      <c r="KC170" s="21"/>
      <c r="KD170" s="21"/>
      <c r="KE170" s="21"/>
      <c r="KF170" s="21"/>
      <c r="KG170" s="21"/>
      <c r="KH170" s="21"/>
    </row>
    <row r="171" spans="1:294" x14ac:dyDescent="0.25">
      <c r="A171" s="9"/>
      <c r="B171" s="9"/>
      <c r="C171" s="9"/>
      <c r="D171" s="9"/>
      <c r="E171" s="9"/>
      <c r="F171" s="9"/>
      <c r="G171" s="9"/>
      <c r="H171" s="9"/>
      <c r="I171" s="9"/>
      <c r="J171" s="9"/>
      <c r="K171" s="9"/>
      <c r="L171" s="6" t="s">
        <v>128</v>
      </c>
      <c r="M171" s="11">
        <f>INDEX(cennik!$C$2:$L$529,MATCH($L171,cennik!$B$2:$B$522,0),MATCH(M$104,cennik!$C$1:$L$1,0))</f>
        <v>897303</v>
      </c>
      <c r="N171" s="11" t="str">
        <f>INDEX(cennik!$C$2:$L$529,MATCH($L171,cennik!$B$2:$B$522,0),MATCH(N$104,cennik!$C$1:$L$1,0))</f>
        <v>szt.</v>
      </c>
      <c r="O171" s="11">
        <f>SUM((IF(MOD(A151,2)=0,A151/2,IF(MOD(A151,2)=1,FLOOR(A151/2,1)+1,0))*C151),(IF(MOD(A152,2)=0,A152/2,IF(MOD(A152,2)=1,FLOOR(A152/2,1)+1,0))*C152),(IF(MOD(A153,2)=0,A153/2,IF(MOD(A153,2)=1,FLOOR(A153/2,1)+1,0))*C153),(IF(MOD(A154,2)=0,A154/2,IF(MOD(A154,2)=1,FLOOR(A154/2,1)+1,0))*C154),(IF(MOD(A155,2)=0,A155/2,IF(MOD(A155,2)=1,FLOOR(A155/2,1)+1,0))*C155),(IF(MOD(A156,2)=0,A156/2,IF(MOD(A156,2)=1,FLOOR(A156/2,1)+1,0))*C156),(IF(MOD(A157,2)=0,A157/2,IF(MOD(A157,2)=1,FLOOR(A157/2,1)+1,0))*C157),(IF(MOD(A158,2)=0,A158/2,IF(MOD(A158,2)=1,FLOOR(A158/2,1)+1,0))*C158),(IF(MOD(A159,2)=0,A159/2,IF(MOD(A159,2)=1,FLOOR(A159/2,1)+1,0))*C159),(IF(MOD(A160,2)=0,A160/2,IF(MOD(A160,2)=1,FLOOR(A160/2,1)+1,0))*C160),(IF(MOD(A161,2)=0,A161/2,IF(MOD(A161,2)=1,FLOOR(A161/2,1)+1,0))*C161),(IF(MOD(A162,2)=0,A162/2,IF(MOD(A162,2)=1,FLOOR(A162/2,1)+1,0))*C162),(IF(MOD(A163,2)=0,A163/2,IF(MOD(A163,2)=1,FLOOR(A163/2,1)+1,0))*C163),(IF(MOD(A164,2)=0,A164/2,IF(MOD(A164,2)=1,FLOOR(A164/2,1)+1,0))*C164),(IF(MOD(A165,2)=0,A165/2,IF(MOD(A165,2)=1,FLOOR(A165/2,1)+1,0))*C165),(IF(MOD(A166,2)=0,A166/2,IF(MOD(A166,2)=1,FLOOR(A166/2,1)+1,0))*C166))</f>
        <v>0</v>
      </c>
      <c r="P171" s="34">
        <f>INDEX(cennik!$C$2:$L$529,MATCH($L171,cennik!$B$2:$B$522,0),MATCH(P$104,cennik!$C$1:$L$1,0))</f>
        <v>2.4</v>
      </c>
      <c r="Q171" s="34">
        <f t="shared" si="63"/>
        <v>0</v>
      </c>
      <c r="R171" s="35">
        <f t="shared" si="61"/>
        <v>0</v>
      </c>
      <c r="S171" s="34">
        <f t="shared" si="62"/>
        <v>2.4</v>
      </c>
      <c r="T171" s="34">
        <f t="shared" si="64"/>
        <v>0</v>
      </c>
      <c r="U171" s="34">
        <f>INDEX(cennik!$C$2:$L$529,MATCH($L171,cennik!$B$2:$B$522,0),MATCH(U$104,cennik!$C$1:$L$1,0))*O171</f>
        <v>0</v>
      </c>
      <c r="V171" s="20"/>
      <c r="W171" s="25">
        <f t="shared" si="68"/>
        <v>0</v>
      </c>
      <c r="X171" s="20">
        <f t="shared" si="69"/>
        <v>0</v>
      </c>
      <c r="Y171" s="20"/>
      <c r="Z171" s="20">
        <f>(INDEX(($AM$106:$CK$111,$AM$115:$CK$120,$AM$124:$CK$129,$AM$133:$CK$138),MATCH($L$184,$AL$106:$AL$111,0),MATCH(A182,$AM$105:$CK$105,0),MATCH($G$179,$X$128:$X$131,0)))*C182</f>
        <v>0</v>
      </c>
      <c r="AA171" s="20">
        <f>(INDEX(($AM$106:$CK$111,$AM$115:$CK$120,$AM$124:$CK$129,$AM$133:$CK$138),MATCH($L$179,$AL$106:$AL$111,0),MATCH(A182,$AM$105:$CK$105,0),MATCH($G$179,$X$128:$X$131,0)))*C182</f>
        <v>0</v>
      </c>
      <c r="AB171" s="20">
        <f>(INDEX(($AM$106:$CK$111,$AM$115:$CK$120,$AM$124:$CK$129,$AM$133:$CK$138),MATCH($L$180,$AL$106:$AL$111,0),MATCH(A182,$AM$105:$CK$105,0),MATCH($G$179,$X$128:$X$131,0)))*C182</f>
        <v>0</v>
      </c>
      <c r="AC171" s="20">
        <f>(INDEX(($AM$106:$CK$111,$AM$115:$CK$120,$AM$124:$CK$129,$AM$133:$CK$138),MATCH($L$181,$AL$106:$AL$111,0),MATCH(A182,$AM$105:$CK$105,0),MATCH($G$179,$X$128:$X$131,0)))*C182</f>
        <v>0</v>
      </c>
      <c r="AD171" s="20">
        <f>(INDEX(($AM$106:$CK$111,$AM$115:$CK$120,$AM$124:$CK$129,$AM$133:$CK$138),MATCH($L$182,$AL$106:$AL$111,0),MATCH(A182,$AM$105:$CK$105,0),MATCH($G$179,$X$128:$X$131,0)))*C182</f>
        <v>0</v>
      </c>
      <c r="AE171" s="20">
        <f>(INDEX(($AM$106:$CK$111,$AM$115:$CK$120,$AM$124:$CK$129,$AM$133:$CK$138),MATCH($L$183,$AL$106:$AL$111,0),MATCH(A182,$AM$105:$CK$105,0),MATCH($G$179,$X$128:$X$131,0)))*C182</f>
        <v>0</v>
      </c>
      <c r="AF171" s="21"/>
      <c r="AG171" s="21"/>
      <c r="AH171" s="21"/>
      <c r="AI171" s="21"/>
      <c r="AJ171" s="20"/>
      <c r="AK171" s="20"/>
      <c r="AL171" s="20" t="s">
        <v>12</v>
      </c>
      <c r="AM171" s="20">
        <v>0</v>
      </c>
      <c r="AN171" s="20">
        <v>2</v>
      </c>
      <c r="AO171" s="20">
        <v>4</v>
      </c>
      <c r="AP171" s="20">
        <v>0</v>
      </c>
      <c r="AQ171" s="20">
        <v>2</v>
      </c>
      <c r="AR171" s="20">
        <v>4</v>
      </c>
      <c r="AS171" s="20">
        <v>0</v>
      </c>
      <c r="AT171" s="20">
        <v>0</v>
      </c>
      <c r="AU171" s="20">
        <v>0</v>
      </c>
      <c r="AV171" s="20">
        <v>0</v>
      </c>
      <c r="AW171" s="20">
        <v>0</v>
      </c>
      <c r="AX171" s="20">
        <v>0</v>
      </c>
      <c r="AY171" s="20">
        <v>0</v>
      </c>
      <c r="AZ171" s="20">
        <v>0</v>
      </c>
      <c r="BA171" s="20">
        <v>0</v>
      </c>
      <c r="BB171" s="20">
        <v>0</v>
      </c>
      <c r="BC171" s="20">
        <v>0</v>
      </c>
      <c r="BD171" s="20">
        <v>0</v>
      </c>
      <c r="BE171" s="20">
        <v>2</v>
      </c>
      <c r="BF171" s="20">
        <v>0</v>
      </c>
      <c r="BG171" s="20">
        <v>2</v>
      </c>
      <c r="BH171" s="20">
        <v>0</v>
      </c>
      <c r="BI171" s="20">
        <v>0</v>
      </c>
      <c r="BJ171" s="20">
        <v>2</v>
      </c>
      <c r="BK171" s="20">
        <v>0</v>
      </c>
      <c r="BL171" s="20">
        <v>0</v>
      </c>
      <c r="BM171" s="20">
        <v>0</v>
      </c>
      <c r="BN171" s="20">
        <v>0</v>
      </c>
      <c r="BO171" s="20">
        <v>0</v>
      </c>
      <c r="BP171" s="20">
        <v>0</v>
      </c>
      <c r="BQ171" s="20">
        <v>0</v>
      </c>
      <c r="BR171" s="20">
        <v>0</v>
      </c>
      <c r="BS171" s="20">
        <v>0</v>
      </c>
      <c r="BT171" s="20">
        <v>0</v>
      </c>
      <c r="BU171" s="20">
        <v>0</v>
      </c>
      <c r="BV171" s="20">
        <v>0</v>
      </c>
      <c r="BW171" s="20">
        <v>0</v>
      </c>
      <c r="BX171" s="20">
        <v>0</v>
      </c>
      <c r="BY171" s="20">
        <v>0</v>
      </c>
      <c r="BZ171" s="20">
        <v>0</v>
      </c>
      <c r="CA171" s="20">
        <v>0</v>
      </c>
      <c r="CB171" s="20">
        <v>0</v>
      </c>
      <c r="CC171" s="20">
        <v>0</v>
      </c>
      <c r="CD171" s="20">
        <v>0</v>
      </c>
      <c r="CE171" s="20">
        <v>0</v>
      </c>
      <c r="CF171" s="20">
        <v>0</v>
      </c>
      <c r="CG171" s="20">
        <v>0</v>
      </c>
      <c r="CH171" s="20">
        <v>0</v>
      </c>
      <c r="CI171" s="20">
        <v>0</v>
      </c>
      <c r="CJ171" s="20">
        <v>0</v>
      </c>
      <c r="CK171" s="20">
        <v>0</v>
      </c>
      <c r="CL171" s="20"/>
      <c r="CM171" s="20" t="s">
        <v>293</v>
      </c>
      <c r="CN171" s="20">
        <v>0</v>
      </c>
      <c r="CO171" s="20">
        <v>2</v>
      </c>
      <c r="CP171" s="20">
        <v>0</v>
      </c>
      <c r="CQ171" s="20">
        <v>4</v>
      </c>
      <c r="CR171" s="20">
        <v>2</v>
      </c>
      <c r="CS171" s="20">
        <v>0</v>
      </c>
      <c r="CT171" s="20">
        <v>4</v>
      </c>
      <c r="CU171" s="20">
        <v>2</v>
      </c>
      <c r="CV171" s="20">
        <v>0</v>
      </c>
      <c r="CW171" s="20">
        <v>4</v>
      </c>
      <c r="CX171" s="20">
        <v>2</v>
      </c>
      <c r="CY171" s="20">
        <v>0</v>
      </c>
      <c r="CZ171" s="20">
        <v>4</v>
      </c>
      <c r="DA171" s="20">
        <v>2</v>
      </c>
      <c r="DB171" s="20">
        <v>0</v>
      </c>
      <c r="DC171" s="20">
        <v>4</v>
      </c>
      <c r="DD171" s="20">
        <v>2</v>
      </c>
      <c r="DE171" s="20">
        <v>0</v>
      </c>
      <c r="DF171" s="20">
        <v>4</v>
      </c>
      <c r="DG171" s="20">
        <v>2</v>
      </c>
      <c r="DH171" s="20">
        <v>0</v>
      </c>
      <c r="DI171" s="20"/>
      <c r="DJ171" s="20"/>
      <c r="DK171" s="20"/>
      <c r="DL171" s="20"/>
      <c r="DM171" s="20"/>
      <c r="DN171" s="20"/>
      <c r="DO171" s="20"/>
      <c r="DP171" s="20"/>
      <c r="DQ171" s="20"/>
      <c r="DR171" s="20"/>
      <c r="DS171" s="20"/>
      <c r="DT171" s="20"/>
      <c r="DU171" s="20"/>
      <c r="DV171" s="20"/>
      <c r="DW171" s="20"/>
      <c r="DX171" s="20"/>
      <c r="DY171" s="20"/>
      <c r="DZ171" s="54"/>
      <c r="EA171" s="54"/>
      <c r="EB171" s="54"/>
      <c r="EC171" s="20"/>
      <c r="ED171" s="20"/>
      <c r="EE171" s="20"/>
      <c r="EF171" s="20"/>
      <c r="EG171" s="20"/>
      <c r="EH171" s="20"/>
      <c r="EI171" s="20"/>
      <c r="EJ171" s="20"/>
      <c r="EK171" s="20"/>
      <c r="EL171" s="20"/>
      <c r="EM171" s="20"/>
      <c r="EN171" s="20"/>
      <c r="EO171" s="20"/>
      <c r="EP171" s="20"/>
      <c r="EQ171" s="20"/>
      <c r="ER171" s="20"/>
      <c r="ES171" s="20"/>
      <c r="ET171" s="20"/>
      <c r="EU171" s="20"/>
      <c r="EV171" s="20" t="s">
        <v>211</v>
      </c>
      <c r="EW171" s="20">
        <v>0</v>
      </c>
      <c r="EX171" s="20">
        <v>2</v>
      </c>
      <c r="EY171" s="20">
        <v>0</v>
      </c>
      <c r="EZ171" s="20">
        <v>0</v>
      </c>
      <c r="FA171" s="20">
        <v>0</v>
      </c>
      <c r="FB171" s="20">
        <v>2</v>
      </c>
      <c r="FC171" s="20">
        <v>0</v>
      </c>
      <c r="FD171" s="20">
        <v>0</v>
      </c>
      <c r="FE171" s="20">
        <v>0</v>
      </c>
      <c r="FF171" s="20">
        <v>0</v>
      </c>
      <c r="FG171" s="20">
        <v>0</v>
      </c>
      <c r="FH171" s="20"/>
      <c r="FI171" s="20" t="s">
        <v>208</v>
      </c>
      <c r="FJ171" s="20">
        <v>0</v>
      </c>
      <c r="FK171" s="20">
        <v>0</v>
      </c>
      <c r="FL171" s="20">
        <v>0</v>
      </c>
      <c r="FM171" s="20">
        <v>0</v>
      </c>
      <c r="FN171" s="20">
        <v>0</v>
      </c>
      <c r="FO171" s="20">
        <v>0</v>
      </c>
      <c r="FP171" s="20">
        <v>0</v>
      </c>
      <c r="FQ171" s="20">
        <v>0</v>
      </c>
      <c r="FR171" s="20">
        <v>0</v>
      </c>
      <c r="FS171" s="20">
        <v>0</v>
      </c>
      <c r="FT171" s="20">
        <v>0</v>
      </c>
      <c r="FU171" s="20"/>
      <c r="FV171" s="20" t="s">
        <v>208</v>
      </c>
      <c r="FW171" s="20">
        <v>0</v>
      </c>
      <c r="FX171" s="20">
        <v>0</v>
      </c>
      <c r="FY171" s="20">
        <v>0</v>
      </c>
      <c r="FZ171" s="20">
        <v>0</v>
      </c>
      <c r="GA171" s="20">
        <v>0</v>
      </c>
      <c r="GB171" s="20">
        <v>0</v>
      </c>
      <c r="GC171" s="20">
        <v>0</v>
      </c>
      <c r="GD171" s="20">
        <v>0</v>
      </c>
      <c r="GE171" s="20">
        <v>0</v>
      </c>
      <c r="GF171" s="20">
        <v>0</v>
      </c>
      <c r="GG171" s="20">
        <v>0</v>
      </c>
      <c r="GH171" s="20"/>
      <c r="GI171" s="20"/>
      <c r="GJ171" s="20"/>
      <c r="GK171" s="20"/>
      <c r="GL171" s="20"/>
      <c r="GM171" s="20"/>
      <c r="GN171" s="20"/>
      <c r="GO171" s="20"/>
      <c r="GP171" s="20"/>
      <c r="GQ171" s="20"/>
      <c r="GR171" s="20"/>
      <c r="GS171" s="20"/>
      <c r="GT171" s="20"/>
      <c r="GU171" s="20"/>
      <c r="GV171" s="20"/>
      <c r="GW171" s="21"/>
      <c r="GX171" s="20"/>
      <c r="GY171" s="20" t="s">
        <v>159</v>
      </c>
      <c r="GZ171" s="26" t="s">
        <v>869</v>
      </c>
      <c r="HA171" s="20"/>
      <c r="HB171" s="20"/>
      <c r="HC171" s="20"/>
      <c r="HD171" s="20"/>
      <c r="HE171" s="21"/>
      <c r="HF171" s="21"/>
      <c r="HG171" s="21"/>
      <c r="HH171" s="21"/>
      <c r="HI171" s="21"/>
      <c r="HJ171" s="21"/>
      <c r="HK171" s="21"/>
      <c r="HL171" s="21"/>
      <c r="HM171" s="21"/>
      <c r="HN171" s="21"/>
      <c r="HO171" s="21"/>
      <c r="HP171" s="21"/>
      <c r="HQ171" s="21"/>
      <c r="HR171" s="21"/>
      <c r="HS171" s="21"/>
      <c r="HT171" s="21"/>
      <c r="HU171" s="21"/>
      <c r="HV171" s="186" t="s">
        <v>479</v>
      </c>
      <c r="HW171" s="21"/>
      <c r="HX171" s="21"/>
      <c r="HY171" s="21"/>
      <c r="HZ171" s="21"/>
      <c r="IA171" s="21"/>
      <c r="IB171" s="21"/>
      <c r="IC171" s="21"/>
      <c r="ID171" s="21"/>
      <c r="IE171" s="21"/>
      <c r="IF171" s="21"/>
      <c r="IG171" s="21"/>
      <c r="IH171" s="21"/>
      <c r="II171" s="21"/>
      <c r="IJ171" s="21"/>
      <c r="IK171" s="21"/>
      <c r="IL171" s="21"/>
      <c r="IM171" s="21"/>
      <c r="IN171" s="21"/>
      <c r="IO171" s="21"/>
      <c r="IP171" s="21"/>
      <c r="IQ171" s="21"/>
      <c r="IR171" s="21"/>
      <c r="IS171" s="21" t="s">
        <v>479</v>
      </c>
      <c r="IT171" s="21"/>
      <c r="IU171" s="21"/>
      <c r="IV171" s="21"/>
      <c r="IW171" s="21"/>
      <c r="IX171" s="21"/>
      <c r="IY171" s="21"/>
      <c r="IZ171" s="21"/>
      <c r="JA171" s="21"/>
      <c r="JB171" s="21"/>
      <c r="JC171" s="21"/>
      <c r="JD171" s="21"/>
      <c r="JE171" s="21"/>
      <c r="JF171" s="21"/>
      <c r="JG171" s="21"/>
      <c r="JH171" s="21"/>
      <c r="JI171" s="21"/>
      <c r="JJ171" s="21"/>
      <c r="JK171" s="21"/>
      <c r="JL171" s="21"/>
      <c r="JM171" s="21"/>
      <c r="JN171" s="21"/>
      <c r="JO171" s="21"/>
      <c r="JP171" s="21"/>
      <c r="JQ171" s="21"/>
      <c r="JR171" s="21"/>
      <c r="JS171" s="21"/>
      <c r="JT171" s="21"/>
      <c r="JU171" s="21"/>
      <c r="JV171" s="21"/>
      <c r="JW171" s="21"/>
      <c r="JX171" s="21"/>
      <c r="JY171" s="21"/>
      <c r="JZ171" s="21"/>
      <c r="KA171" s="21"/>
      <c r="KB171" s="21"/>
      <c r="KC171" s="21"/>
      <c r="KD171" s="21"/>
      <c r="KE171" s="21"/>
      <c r="KF171" s="21"/>
      <c r="KG171" s="21"/>
      <c r="KH171" s="21"/>
    </row>
    <row r="172" spans="1:294" x14ac:dyDescent="0.25">
      <c r="A172" s="9"/>
      <c r="B172" s="9"/>
      <c r="C172" s="9"/>
      <c r="D172" s="9"/>
      <c r="E172" s="9"/>
      <c r="F172" s="17" t="str">
        <f>IF(L172="PSRM10X90F","PROPOZYCJA KOTEW- DO WERFIKACJI",IF(L172="-------","",""))</f>
        <v/>
      </c>
      <c r="G172" s="9"/>
      <c r="H172" s="9"/>
      <c r="I172" s="9"/>
      <c r="J172" s="9"/>
      <c r="K172" s="9"/>
      <c r="L172" s="6" t="str">
        <f>IF(E154=$Z$104,"-------",IF(E154=$Z$105,"PSRM10X90F",IF(E154=$Z$106,"-------",IF(E154=$Z$107,"SSZ8X25E A2",0))))</f>
        <v>-------</v>
      </c>
      <c r="M172" s="11" t="str">
        <f>INDEX(cennik!$C$2:$L$529,MATCH($L172,cennik!$B$2:$B$522,0),MATCH(M$104,cennik!$C$1:$L$1,0))</f>
        <v>-------</v>
      </c>
      <c r="N172" s="11">
        <f>INDEX(cennik!$C$2:$L$529,MATCH($L172,cennik!$B$2:$B$522,0),MATCH(N$104,cennik!$C$1:$L$1,0))</f>
        <v>0</v>
      </c>
      <c r="O172" s="11">
        <f>IF(L172="-------",0,IF(L172="PSRM10X90F",O163*6,IF(L172="SSZ8X25E A2",O163*6)))</f>
        <v>0</v>
      </c>
      <c r="P172" s="34">
        <f>INDEX(cennik!$C$2:$L$529,MATCH($L172,cennik!$B$2:$B$522,0),MATCH(P$104,cennik!$C$1:$L$1,0))</f>
        <v>0</v>
      </c>
      <c r="Q172" s="34">
        <f t="shared" si="63"/>
        <v>0</v>
      </c>
      <c r="R172" s="35">
        <f t="shared" si="61"/>
        <v>0</v>
      </c>
      <c r="S172" s="34">
        <f t="shared" si="62"/>
        <v>0</v>
      </c>
      <c r="T172" s="34">
        <f t="shared" si="64"/>
        <v>0</v>
      </c>
      <c r="U172" s="34">
        <f>INDEX(cennik!$C$2:$L$529,MATCH($L172,cennik!$B$2:$B$522,0),MATCH(U$104,cennik!$C$1:$L$1,0))*O172</f>
        <v>0</v>
      </c>
      <c r="V172" s="20"/>
      <c r="W172" s="25">
        <f t="shared" si="68"/>
        <v>0</v>
      </c>
      <c r="X172" s="20">
        <f t="shared" si="69"/>
        <v>0</v>
      </c>
      <c r="Y172" s="20"/>
      <c r="Z172" s="20">
        <f>(INDEX(($AM$106:$CK$111,$AM$115:$CK$120,$AM$124:$CK$129,$AM$133:$CK$138),MATCH($L$184,$AL$106:$AL$111,0),MATCH(A183,$AM$105:$CK$105,0),MATCH($G$179,$X$128:$X$131,0)))*C183</f>
        <v>0</v>
      </c>
      <c r="AA172" s="20">
        <f>(INDEX(($AM$106:$CK$111,$AM$115:$CK$120,$AM$124:$CK$129,$AM$133:$CK$138),MATCH($L$179,$AL$106:$AL$111,0),MATCH(A183,$AM$105:$CK$105,0),MATCH($G$179,$X$128:$X$131,0)))*C183</f>
        <v>0</v>
      </c>
      <c r="AB172" s="20">
        <f>(INDEX(($AM$106:$CK$111,$AM$115:$CK$120,$AM$124:$CK$129,$AM$133:$CK$138),MATCH($L$180,$AL$106:$AL$111,0),MATCH(A183,$AM$105:$CK$105,0),MATCH($G$179,$X$128:$X$131,0)))*C183</f>
        <v>0</v>
      </c>
      <c r="AC172" s="20">
        <f>(INDEX(($AM$106:$CK$111,$AM$115:$CK$120,$AM$124:$CK$129,$AM$133:$CK$138),MATCH($L$181,$AL$106:$AL$111,0),MATCH(A183,$AM$105:$CK$105,0),MATCH($G$179,$X$128:$X$131,0)))*C183</f>
        <v>0</v>
      </c>
      <c r="AD172" s="20">
        <f>(INDEX(($AM$106:$CK$111,$AM$115:$CK$120,$AM$124:$CK$129,$AM$133:$CK$138),MATCH($L$182,$AL$106:$AL$111,0),MATCH(A183,$AM$105:$CK$105,0),MATCH($G$179,$X$128:$X$131,0)))*C183</f>
        <v>0</v>
      </c>
      <c r="AE172" s="20">
        <f>(INDEX(($AM$106:$CK$111,$AM$115:$CK$120,$AM$124:$CK$129,$AM$133:$CK$138),MATCH($L$183,$AL$106:$AL$111,0),MATCH(A183,$AM$105:$CK$105,0),MATCH($G$179,$X$128:$X$131,0)))*C183</f>
        <v>0</v>
      </c>
      <c r="AF172" s="21"/>
      <c r="AG172" s="21"/>
      <c r="AH172" s="21"/>
      <c r="AI172" s="21"/>
      <c r="AJ172" s="20"/>
      <c r="AK172" s="20"/>
      <c r="AL172" s="20" t="s">
        <v>127</v>
      </c>
      <c r="AM172" s="20">
        <v>0</v>
      </c>
      <c r="AN172" s="20">
        <v>0</v>
      </c>
      <c r="AO172" s="20">
        <v>0</v>
      </c>
      <c r="AP172" s="20">
        <v>0</v>
      </c>
      <c r="AQ172" s="20">
        <v>0</v>
      </c>
      <c r="AR172" s="20">
        <v>0</v>
      </c>
      <c r="AS172" s="20">
        <v>0</v>
      </c>
      <c r="AT172" s="20">
        <v>0</v>
      </c>
      <c r="AU172" s="20">
        <v>0</v>
      </c>
      <c r="AV172" s="20">
        <v>2</v>
      </c>
      <c r="AW172" s="20">
        <v>4</v>
      </c>
      <c r="AX172" s="20">
        <v>0</v>
      </c>
      <c r="AY172" s="20">
        <v>2</v>
      </c>
      <c r="AZ172" s="20">
        <v>0</v>
      </c>
      <c r="BA172" s="20">
        <v>2</v>
      </c>
      <c r="BB172" s="20">
        <v>2</v>
      </c>
      <c r="BC172" s="20">
        <v>0</v>
      </c>
      <c r="BD172" s="20">
        <v>0</v>
      </c>
      <c r="BE172" s="20">
        <v>0</v>
      </c>
      <c r="BF172" s="20">
        <v>0</v>
      </c>
      <c r="BG172" s="20">
        <v>0</v>
      </c>
      <c r="BH172" s="20">
        <v>0</v>
      </c>
      <c r="BI172" s="20">
        <v>2</v>
      </c>
      <c r="BJ172" s="20">
        <v>0</v>
      </c>
      <c r="BK172" s="20">
        <v>0</v>
      </c>
      <c r="BL172" s="20">
        <v>0</v>
      </c>
      <c r="BM172" s="20">
        <v>0</v>
      </c>
      <c r="BN172" s="20">
        <v>0</v>
      </c>
      <c r="BO172" s="20">
        <v>0</v>
      </c>
      <c r="BP172" s="20">
        <v>0</v>
      </c>
      <c r="BQ172" s="20">
        <v>0</v>
      </c>
      <c r="BR172" s="20">
        <v>0</v>
      </c>
      <c r="BS172" s="20">
        <v>0</v>
      </c>
      <c r="BT172" s="20">
        <v>0</v>
      </c>
      <c r="BU172" s="20">
        <v>0</v>
      </c>
      <c r="BV172" s="20">
        <v>0</v>
      </c>
      <c r="BW172" s="20">
        <v>0</v>
      </c>
      <c r="BX172" s="20">
        <v>2</v>
      </c>
      <c r="BY172" s="20">
        <v>0</v>
      </c>
      <c r="BZ172" s="20">
        <v>0</v>
      </c>
      <c r="CA172" s="20">
        <v>0</v>
      </c>
      <c r="CB172" s="20">
        <v>0</v>
      </c>
      <c r="CC172" s="20">
        <v>0</v>
      </c>
      <c r="CD172" s="20">
        <v>0</v>
      </c>
      <c r="CE172" s="20">
        <v>0</v>
      </c>
      <c r="CF172" s="20">
        <v>0</v>
      </c>
      <c r="CG172" s="20">
        <v>0</v>
      </c>
      <c r="CH172" s="20">
        <v>0</v>
      </c>
      <c r="CI172" s="20">
        <v>0</v>
      </c>
      <c r="CJ172" s="20">
        <v>2</v>
      </c>
      <c r="CK172" s="20">
        <v>0</v>
      </c>
      <c r="CL172" s="20"/>
      <c r="CM172" s="20" t="s">
        <v>212</v>
      </c>
      <c r="CN172" s="20">
        <v>0</v>
      </c>
      <c r="CO172" s="20">
        <v>0</v>
      </c>
      <c r="CP172" s="20">
        <v>2</v>
      </c>
      <c r="CQ172" s="20">
        <v>0</v>
      </c>
      <c r="CR172" s="20">
        <v>2</v>
      </c>
      <c r="CS172" s="20">
        <v>4</v>
      </c>
      <c r="CT172" s="20">
        <v>2</v>
      </c>
      <c r="CU172" s="20">
        <v>4</v>
      </c>
      <c r="CV172" s="20">
        <v>6</v>
      </c>
      <c r="CW172" s="20">
        <v>4</v>
      </c>
      <c r="CX172" s="20">
        <v>6</v>
      </c>
      <c r="CY172" s="20">
        <v>8</v>
      </c>
      <c r="CZ172" s="20">
        <v>6</v>
      </c>
      <c r="DA172" s="20">
        <v>8</v>
      </c>
      <c r="DB172" s="20">
        <v>10</v>
      </c>
      <c r="DC172" s="20">
        <v>8</v>
      </c>
      <c r="DD172" s="20">
        <v>10</v>
      </c>
      <c r="DE172" s="20">
        <v>12</v>
      </c>
      <c r="DF172" s="20">
        <v>10</v>
      </c>
      <c r="DG172" s="20">
        <v>12</v>
      </c>
      <c r="DH172" s="20">
        <v>14</v>
      </c>
      <c r="DI172" s="20"/>
      <c r="DJ172" s="20"/>
      <c r="DK172" s="20"/>
      <c r="DL172" s="20"/>
      <c r="DM172" s="20" t="s">
        <v>115</v>
      </c>
      <c r="DN172" s="20"/>
      <c r="DO172" s="20"/>
      <c r="DP172" s="20"/>
      <c r="DQ172" s="20"/>
      <c r="DR172" s="20"/>
      <c r="DS172" s="20"/>
      <c r="DT172" s="20"/>
      <c r="DU172" s="20"/>
      <c r="DV172" s="20"/>
      <c r="DW172" s="20"/>
      <c r="DX172" s="20"/>
      <c r="DY172" s="20"/>
      <c r="DZ172" s="87"/>
      <c r="EA172" s="54"/>
      <c r="EB172" s="54"/>
      <c r="EC172" s="20"/>
      <c r="ED172" s="20"/>
      <c r="EE172" s="20"/>
      <c r="EF172" s="20"/>
      <c r="EG172" s="20"/>
      <c r="EH172" s="20"/>
      <c r="EI172" s="20"/>
      <c r="EJ172" s="20"/>
      <c r="EK172" s="20"/>
      <c r="EL172" s="20"/>
      <c r="EM172" s="20"/>
      <c r="EN172" s="20"/>
      <c r="EO172" s="20"/>
      <c r="EP172" s="20"/>
      <c r="EQ172" s="20"/>
      <c r="ER172" s="20"/>
      <c r="ES172" s="20"/>
      <c r="ET172" s="20"/>
      <c r="EU172" s="20"/>
      <c r="EV172" s="20" t="s">
        <v>293</v>
      </c>
      <c r="EW172" s="20">
        <v>0</v>
      </c>
      <c r="EX172" s="20">
        <v>0</v>
      </c>
      <c r="EY172" s="20">
        <v>0</v>
      </c>
      <c r="EZ172" s="20">
        <v>0</v>
      </c>
      <c r="FA172" s="20">
        <v>0</v>
      </c>
      <c r="FB172" s="20">
        <v>0</v>
      </c>
      <c r="FC172" s="20">
        <v>0</v>
      </c>
      <c r="FD172" s="20">
        <v>0</v>
      </c>
      <c r="FE172" s="20">
        <v>0</v>
      </c>
      <c r="FF172" s="20">
        <v>0</v>
      </c>
      <c r="FG172" s="20">
        <v>0</v>
      </c>
      <c r="FH172" s="20"/>
      <c r="FI172" s="20" t="s">
        <v>211</v>
      </c>
      <c r="FJ172" s="20">
        <v>0</v>
      </c>
      <c r="FK172" s="20">
        <v>2</v>
      </c>
      <c r="FL172" s="20">
        <v>0</v>
      </c>
      <c r="FM172" s="20">
        <v>0</v>
      </c>
      <c r="FN172" s="20">
        <v>0</v>
      </c>
      <c r="FO172" s="20">
        <v>0</v>
      </c>
      <c r="FP172" s="20">
        <v>0</v>
      </c>
      <c r="FQ172" s="20">
        <v>0</v>
      </c>
      <c r="FR172" s="20">
        <v>0</v>
      </c>
      <c r="FS172" s="20">
        <v>0</v>
      </c>
      <c r="FT172" s="20">
        <v>0</v>
      </c>
      <c r="FU172" s="20"/>
      <c r="FV172" s="20" t="s">
        <v>211</v>
      </c>
      <c r="FW172" s="20">
        <v>0</v>
      </c>
      <c r="FX172" s="20">
        <v>0</v>
      </c>
      <c r="FY172" s="20">
        <v>0</v>
      </c>
      <c r="FZ172" s="20">
        <v>0</v>
      </c>
      <c r="GA172" s="20">
        <v>0</v>
      </c>
      <c r="GB172" s="20">
        <v>0</v>
      </c>
      <c r="GC172" s="20">
        <v>0</v>
      </c>
      <c r="GD172" s="20">
        <v>0</v>
      </c>
      <c r="GE172" s="20">
        <v>0</v>
      </c>
      <c r="GF172" s="20">
        <v>0</v>
      </c>
      <c r="GG172" s="20">
        <v>0</v>
      </c>
      <c r="GH172" s="20"/>
      <c r="GI172" s="20"/>
      <c r="GJ172" s="20"/>
      <c r="GK172" s="20"/>
      <c r="GL172" s="20"/>
      <c r="GM172" s="20"/>
      <c r="GN172" s="20"/>
      <c r="GO172" s="20"/>
      <c r="GP172" s="20"/>
      <c r="GQ172" s="20"/>
      <c r="GR172" s="20"/>
      <c r="GS172" s="20"/>
      <c r="GT172" s="20"/>
      <c r="GU172" s="20"/>
      <c r="GV172" s="20"/>
      <c r="GW172" s="21"/>
      <c r="GX172" s="20"/>
      <c r="GY172" s="26" t="s">
        <v>152</v>
      </c>
      <c r="GZ172" s="26" t="s">
        <v>153</v>
      </c>
      <c r="HA172" s="20"/>
      <c r="HB172" s="20"/>
      <c r="HC172" s="20"/>
      <c r="HD172" s="20"/>
      <c r="HE172" s="21"/>
      <c r="HF172" s="21"/>
      <c r="HG172" s="21"/>
      <c r="HH172" s="21"/>
      <c r="HI172" s="21"/>
      <c r="HJ172" s="21"/>
      <c r="HK172" s="21"/>
      <c r="HL172" s="21"/>
      <c r="HM172" s="21"/>
      <c r="HN172" s="21"/>
      <c r="HO172" s="21"/>
      <c r="HP172" s="21"/>
      <c r="HQ172" s="21"/>
      <c r="HR172" s="21"/>
      <c r="HS172" s="21"/>
      <c r="HT172" s="21"/>
      <c r="HU172" s="21"/>
      <c r="HV172" s="186"/>
      <c r="HW172" s="21">
        <v>0</v>
      </c>
      <c r="HX172" s="21">
        <v>1</v>
      </c>
      <c r="HY172" s="21">
        <v>2</v>
      </c>
      <c r="HZ172" s="21">
        <v>3</v>
      </c>
      <c r="IA172" s="21">
        <v>4</v>
      </c>
      <c r="IB172" s="21">
        <v>5</v>
      </c>
      <c r="IC172" s="21">
        <v>6</v>
      </c>
      <c r="ID172" s="21">
        <v>7</v>
      </c>
      <c r="IE172" s="21">
        <v>8</v>
      </c>
      <c r="IF172" s="21">
        <v>9</v>
      </c>
      <c r="IG172" s="21">
        <v>10</v>
      </c>
      <c r="IH172" s="21">
        <v>11</v>
      </c>
      <c r="II172" s="21">
        <v>12</v>
      </c>
      <c r="IJ172" s="21">
        <v>13</v>
      </c>
      <c r="IK172" s="21">
        <v>14</v>
      </c>
      <c r="IL172" s="21">
        <v>15</v>
      </c>
      <c r="IM172" s="21">
        <v>16</v>
      </c>
      <c r="IN172" s="21">
        <v>17</v>
      </c>
      <c r="IO172" s="21">
        <v>18</v>
      </c>
      <c r="IP172" s="21">
        <v>19</v>
      </c>
      <c r="IQ172" s="21">
        <v>20</v>
      </c>
      <c r="IR172" s="21"/>
      <c r="IS172" s="21"/>
      <c r="IT172" s="21">
        <f t="shared" si="66"/>
        <v>0</v>
      </c>
      <c r="IU172" s="21">
        <f t="shared" si="66"/>
        <v>2</v>
      </c>
      <c r="IV172" s="21">
        <f t="shared" si="66"/>
        <v>4</v>
      </c>
      <c r="IW172" s="21">
        <f t="shared" si="66"/>
        <v>6</v>
      </c>
      <c r="IX172" s="21">
        <f t="shared" si="66"/>
        <v>8</v>
      </c>
      <c r="IY172" s="21">
        <f t="shared" si="66"/>
        <v>10</v>
      </c>
      <c r="IZ172" s="21">
        <f t="shared" si="66"/>
        <v>12</v>
      </c>
      <c r="JA172" s="21">
        <f t="shared" si="66"/>
        <v>14</v>
      </c>
      <c r="JB172" s="21">
        <f t="shared" si="66"/>
        <v>16</v>
      </c>
      <c r="JC172" s="21">
        <f t="shared" si="66"/>
        <v>18</v>
      </c>
      <c r="JD172" s="21">
        <f t="shared" si="66"/>
        <v>20</v>
      </c>
      <c r="JE172" s="21">
        <f t="shared" si="66"/>
        <v>22</v>
      </c>
      <c r="JF172" s="21">
        <f t="shared" si="66"/>
        <v>24</v>
      </c>
      <c r="JG172" s="21">
        <f t="shared" si="66"/>
        <v>26</v>
      </c>
      <c r="JH172" s="21">
        <f t="shared" si="66"/>
        <v>28</v>
      </c>
      <c r="JI172" s="21">
        <f t="shared" si="53"/>
        <v>30</v>
      </c>
      <c r="JJ172" s="21">
        <f t="shared" si="40"/>
        <v>32</v>
      </c>
      <c r="JK172" s="21">
        <f t="shared" si="40"/>
        <v>34</v>
      </c>
      <c r="JL172" s="21">
        <f t="shared" si="40"/>
        <v>36</v>
      </c>
      <c r="JM172" s="21">
        <f t="shared" si="40"/>
        <v>38</v>
      </c>
      <c r="JN172" s="21">
        <f t="shared" si="40"/>
        <v>40</v>
      </c>
      <c r="JO172" s="21"/>
      <c r="JP172" s="21"/>
      <c r="JQ172" s="21"/>
      <c r="JR172" s="21"/>
      <c r="JS172" s="21"/>
      <c r="JT172" s="21"/>
      <c r="JU172" s="21"/>
      <c r="JV172" s="21"/>
      <c r="JW172" s="21"/>
      <c r="JX172" s="21"/>
      <c r="JY172" s="21"/>
      <c r="JZ172" s="21"/>
      <c r="KA172" s="21"/>
      <c r="KB172" s="21"/>
      <c r="KC172" s="21"/>
      <c r="KD172" s="21"/>
      <c r="KE172" s="21"/>
      <c r="KF172" s="21"/>
      <c r="KG172" s="21"/>
      <c r="KH172" s="21"/>
    </row>
    <row r="173" spans="1:294" x14ac:dyDescent="0.25">
      <c r="A173" s="9"/>
      <c r="B173" s="9"/>
      <c r="C173" s="9"/>
      <c r="D173" s="9"/>
      <c r="E173" s="9"/>
      <c r="F173" s="9"/>
      <c r="G173" s="9"/>
      <c r="H173" s="9"/>
      <c r="I173" s="9"/>
      <c r="J173" s="9"/>
      <c r="K173" s="9"/>
      <c r="L173" s="6" t="str">
        <f>IF(E154=$Z$104,"PC100C",IF(E154=$Z$105,"PC100C",IF(E154=$Z$106,"-------",IF(E154=$Z$107,"-------",0))))</f>
        <v>PC100C</v>
      </c>
      <c r="M173" s="11">
        <f>INDEX(cennik!$C$2:$L$529,MATCH($L173,cennik!$B$2:$B$522,0),MATCH(M$104,cennik!$C$1:$L$1,0))</f>
        <v>858433</v>
      </c>
      <c r="N173" s="11" t="str">
        <f>INDEX(cennik!$C$2:$L$529,MATCH($L173,cennik!$B$2:$B$522,0),MATCH(N$104,cennik!$C$1:$L$1,0))</f>
        <v>szt.</v>
      </c>
      <c r="O173" s="11">
        <f>O163*2</f>
        <v>0</v>
      </c>
      <c r="P173" s="34">
        <f>INDEX(cennik!$C$2:$L$529,MATCH($L173,cennik!$B$2:$B$522,0),MATCH(P$104,cennik!$C$1:$L$1,0))</f>
        <v>6.8</v>
      </c>
      <c r="Q173" s="34">
        <f>O173*P173</f>
        <v>0</v>
      </c>
      <c r="R173" s="35">
        <f t="shared" si="61"/>
        <v>0</v>
      </c>
      <c r="S173" s="34">
        <f t="shared" si="62"/>
        <v>6.8</v>
      </c>
      <c r="T173" s="34">
        <f>O173*S173</f>
        <v>0</v>
      </c>
      <c r="U173" s="34">
        <f>INDEX(cennik!$C$2:$L$529,MATCH($L173,cennik!$B$2:$B$522,0),MATCH(U$104,cennik!$C$1:$L$1,0))*O173</f>
        <v>0</v>
      </c>
      <c r="V173" s="20"/>
      <c r="W173" s="25">
        <f t="shared" si="68"/>
        <v>0</v>
      </c>
      <c r="X173" s="20">
        <f t="shared" si="69"/>
        <v>0</v>
      </c>
      <c r="Y173" s="20"/>
      <c r="Z173" s="20">
        <f>(INDEX(($AM$106:$CK$111,$AM$115:$CK$120,$AM$124:$CK$129,$AM$133:$CK$138),MATCH($L$184,$AL$106:$AL$111,0),MATCH(A184,$AM$105:$CK$105,0),MATCH($G$179,$X$128:$X$131,0)))*C184</f>
        <v>0</v>
      </c>
      <c r="AA173" s="20">
        <f>(INDEX(($AM$106:$CK$111,$AM$115:$CK$120,$AM$124:$CK$129,$AM$133:$CK$138),MATCH($L$179,$AL$106:$AL$111,0),MATCH(A184,$AM$105:$CK$105,0),MATCH($G$179,$X$128:$X$131,0)))*C184</f>
        <v>0</v>
      </c>
      <c r="AB173" s="20">
        <f>(INDEX(($AM$106:$CK$111,$AM$115:$CK$120,$AM$124:$CK$129,$AM$133:$CK$138),MATCH($L$180,$AL$106:$AL$111,0),MATCH(A184,$AM$105:$CK$105,0),MATCH($G$179,$X$128:$X$131,0)))*C184</f>
        <v>0</v>
      </c>
      <c r="AC173" s="20">
        <f>(INDEX(($AM$106:$CK$111,$AM$115:$CK$120,$AM$124:$CK$129,$AM$133:$CK$138),MATCH($L$181,$AL$106:$AL$111,0),MATCH(A184,$AM$105:$CK$105,0),MATCH($G$179,$X$128:$X$131,0)))*C184</f>
        <v>0</v>
      </c>
      <c r="AD173" s="20">
        <f>(INDEX(($AM$106:$CK$111,$AM$115:$CK$120,$AM$124:$CK$129,$AM$133:$CK$138),MATCH($L$182,$AL$106:$AL$111,0),MATCH(A184,$AM$105:$CK$105,0),MATCH($G$179,$X$128:$X$131,0)))*C184</f>
        <v>0</v>
      </c>
      <c r="AE173" s="20">
        <f>(INDEX(($AM$106:$CK$111,$AM$115:$CK$120,$AM$124:$CK$129,$AM$133:$CK$138),MATCH($L$183,$AL$106:$AL$111,0),MATCH(A184,$AM$105:$CK$105,0),MATCH($G$179,$X$128:$X$131,0)))*C184</f>
        <v>0</v>
      </c>
      <c r="AF173" s="21"/>
      <c r="AG173" s="21"/>
      <c r="AH173" s="21"/>
      <c r="AI173" s="21"/>
      <c r="AJ173" s="20"/>
      <c r="AK173" s="20"/>
      <c r="AL173" s="20" t="s">
        <v>15</v>
      </c>
      <c r="AM173" s="20">
        <v>0</v>
      </c>
      <c r="AN173" s="20">
        <v>0</v>
      </c>
      <c r="AO173" s="20">
        <v>0</v>
      </c>
      <c r="AP173" s="20">
        <v>4</v>
      </c>
      <c r="AQ173" s="20">
        <v>4</v>
      </c>
      <c r="AR173" s="20">
        <v>4</v>
      </c>
      <c r="AS173" s="20">
        <v>8</v>
      </c>
      <c r="AT173" s="20">
        <v>2</v>
      </c>
      <c r="AU173" s="20">
        <v>2</v>
      </c>
      <c r="AV173" s="20">
        <v>4</v>
      </c>
      <c r="AW173" s="20">
        <v>6</v>
      </c>
      <c r="AX173" s="20">
        <v>8</v>
      </c>
      <c r="AY173" s="20">
        <v>10</v>
      </c>
      <c r="AZ173" s="20">
        <v>0</v>
      </c>
      <c r="BA173" s="20">
        <v>0</v>
      </c>
      <c r="BB173" s="20">
        <v>18</v>
      </c>
      <c r="BC173" s="20">
        <v>4</v>
      </c>
      <c r="BD173" s="20">
        <v>22</v>
      </c>
      <c r="BE173" s="20">
        <v>22</v>
      </c>
      <c r="BF173" s="20">
        <v>12</v>
      </c>
      <c r="BG173" s="20">
        <v>12</v>
      </c>
      <c r="BH173" s="20">
        <v>0</v>
      </c>
      <c r="BI173" s="20">
        <v>8</v>
      </c>
      <c r="BJ173" s="20">
        <v>18</v>
      </c>
      <c r="BK173" s="20">
        <v>8</v>
      </c>
      <c r="BL173" s="20">
        <v>24</v>
      </c>
      <c r="BM173" s="20">
        <v>0</v>
      </c>
      <c r="BN173" s="20">
        <v>14</v>
      </c>
      <c r="BO173" s="20">
        <v>30</v>
      </c>
      <c r="BP173" s="20">
        <v>4</v>
      </c>
      <c r="BQ173" s="20">
        <v>20</v>
      </c>
      <c r="BR173" s="20">
        <v>0</v>
      </c>
      <c r="BS173" s="20">
        <v>10</v>
      </c>
      <c r="BT173" s="20">
        <v>26</v>
      </c>
      <c r="BU173" s="20">
        <v>0</v>
      </c>
      <c r="BV173" s="20">
        <v>16</v>
      </c>
      <c r="BW173" s="20">
        <v>32</v>
      </c>
      <c r="BX173" s="20">
        <v>0</v>
      </c>
      <c r="BY173" s="20">
        <v>22</v>
      </c>
      <c r="BZ173" s="20">
        <v>0</v>
      </c>
      <c r="CA173" s="20">
        <v>12</v>
      </c>
      <c r="CB173" s="20">
        <v>28</v>
      </c>
      <c r="CC173" s="20">
        <v>2</v>
      </c>
      <c r="CD173" s="20">
        <v>18</v>
      </c>
      <c r="CE173" s="20">
        <v>0</v>
      </c>
      <c r="CF173" s="20">
        <v>8</v>
      </c>
      <c r="CG173" s="20">
        <v>24</v>
      </c>
      <c r="CH173" s="20">
        <v>0</v>
      </c>
      <c r="CI173" s="20">
        <v>14</v>
      </c>
      <c r="CJ173" s="20">
        <v>16</v>
      </c>
      <c r="CK173" s="20">
        <v>4</v>
      </c>
      <c r="CL173" s="20"/>
      <c r="CM173" s="20" t="s">
        <v>11</v>
      </c>
      <c r="CN173" s="20">
        <v>0</v>
      </c>
      <c r="CO173" s="20">
        <v>0</v>
      </c>
      <c r="CP173" s="20">
        <v>0</v>
      </c>
      <c r="CQ173" s="20">
        <v>2</v>
      </c>
      <c r="CR173" s="20">
        <v>2</v>
      </c>
      <c r="CS173" s="20">
        <v>2</v>
      </c>
      <c r="CT173" s="20">
        <v>4</v>
      </c>
      <c r="CU173" s="20">
        <v>4</v>
      </c>
      <c r="CV173" s="20">
        <v>4</v>
      </c>
      <c r="CW173" s="20">
        <v>6</v>
      </c>
      <c r="CX173" s="20">
        <v>6</v>
      </c>
      <c r="CY173" s="20">
        <v>6</v>
      </c>
      <c r="CZ173" s="20">
        <v>8</v>
      </c>
      <c r="DA173" s="20">
        <v>8</v>
      </c>
      <c r="DB173" s="20">
        <v>8</v>
      </c>
      <c r="DC173" s="20">
        <v>10</v>
      </c>
      <c r="DD173" s="20">
        <v>10</v>
      </c>
      <c r="DE173" s="20">
        <v>10</v>
      </c>
      <c r="DF173" s="20">
        <v>12</v>
      </c>
      <c r="DG173" s="20">
        <v>12</v>
      </c>
      <c r="DH173" s="20">
        <v>12</v>
      </c>
      <c r="DI173" s="20"/>
      <c r="DJ173" s="20"/>
      <c r="DK173" s="20"/>
      <c r="DL173" s="20"/>
      <c r="DM173" s="20"/>
      <c r="DN173" s="20">
        <v>0</v>
      </c>
      <c r="DO173" s="20">
        <v>1</v>
      </c>
      <c r="DP173" s="20">
        <v>2</v>
      </c>
      <c r="DQ173" s="20">
        <v>3</v>
      </c>
      <c r="DR173" s="20">
        <v>4</v>
      </c>
      <c r="DS173" s="20">
        <v>5</v>
      </c>
      <c r="DT173" s="20">
        <v>6</v>
      </c>
      <c r="DU173" s="20">
        <v>7</v>
      </c>
      <c r="DV173" s="20">
        <v>8</v>
      </c>
      <c r="DW173" s="20">
        <v>9</v>
      </c>
      <c r="DX173" s="20">
        <v>10</v>
      </c>
      <c r="DY173" s="20">
        <v>11</v>
      </c>
      <c r="DZ173" s="54">
        <v>12</v>
      </c>
      <c r="EA173" s="54">
        <v>13</v>
      </c>
      <c r="EB173" s="54">
        <v>14</v>
      </c>
      <c r="EC173" s="20">
        <v>15</v>
      </c>
      <c r="ED173" s="20">
        <v>16</v>
      </c>
      <c r="EE173" s="20">
        <v>17</v>
      </c>
      <c r="EF173" s="20">
        <v>18</v>
      </c>
      <c r="EG173" s="20">
        <v>19</v>
      </c>
      <c r="EH173" s="20">
        <v>20</v>
      </c>
      <c r="EI173" s="20"/>
      <c r="EJ173" s="20"/>
      <c r="EK173" s="20"/>
      <c r="EL173" s="20"/>
      <c r="EM173" s="20"/>
      <c r="EN173" s="20"/>
      <c r="EO173" s="20"/>
      <c r="EP173" s="20"/>
      <c r="EQ173" s="20"/>
      <c r="ER173" s="20"/>
      <c r="ES173" s="20"/>
      <c r="ET173" s="20"/>
      <c r="EU173" s="20"/>
      <c r="EV173" s="20" t="s">
        <v>10</v>
      </c>
      <c r="EW173" s="20">
        <v>0</v>
      </c>
      <c r="EX173" s="20">
        <v>0</v>
      </c>
      <c r="EY173" s="20">
        <v>0</v>
      </c>
      <c r="EZ173" s="20">
        <v>0</v>
      </c>
      <c r="FA173" s="20">
        <v>0</v>
      </c>
      <c r="FB173" s="20">
        <v>2</v>
      </c>
      <c r="FC173" s="20">
        <v>2</v>
      </c>
      <c r="FD173" s="20">
        <v>0</v>
      </c>
      <c r="FE173" s="20">
        <v>2</v>
      </c>
      <c r="FF173" s="20">
        <v>8</v>
      </c>
      <c r="FG173" s="20">
        <v>2</v>
      </c>
      <c r="FH173" s="20"/>
      <c r="FI173" s="20" t="s">
        <v>293</v>
      </c>
      <c r="FJ173" s="20">
        <v>0</v>
      </c>
      <c r="FK173" s="20">
        <v>0</v>
      </c>
      <c r="FL173" s="20">
        <v>0</v>
      </c>
      <c r="FM173" s="20">
        <v>0</v>
      </c>
      <c r="FN173" s="20">
        <v>0</v>
      </c>
      <c r="FO173" s="20">
        <v>0</v>
      </c>
      <c r="FP173" s="20">
        <v>0</v>
      </c>
      <c r="FQ173" s="20">
        <v>0</v>
      </c>
      <c r="FR173" s="20">
        <v>0</v>
      </c>
      <c r="FS173" s="20">
        <v>0</v>
      </c>
      <c r="FT173" s="20">
        <v>0</v>
      </c>
      <c r="FU173" s="20"/>
      <c r="FV173" s="20" t="s">
        <v>293</v>
      </c>
      <c r="FW173" s="20">
        <v>0</v>
      </c>
      <c r="FX173" s="20">
        <v>2</v>
      </c>
      <c r="FY173" s="20">
        <v>0</v>
      </c>
      <c r="FZ173" s="20">
        <v>0</v>
      </c>
      <c r="GA173" s="20">
        <v>0</v>
      </c>
      <c r="GB173" s="20">
        <v>0</v>
      </c>
      <c r="GC173" s="20">
        <v>0</v>
      </c>
      <c r="GD173" s="20">
        <v>2</v>
      </c>
      <c r="GE173" s="20">
        <v>0</v>
      </c>
      <c r="GF173" s="20">
        <v>0</v>
      </c>
      <c r="GG173" s="20">
        <v>0</v>
      </c>
      <c r="GH173" s="20"/>
      <c r="GI173" s="20"/>
      <c r="GJ173" s="20"/>
      <c r="GK173" s="20"/>
      <c r="GL173" s="20"/>
      <c r="GM173" s="20"/>
      <c r="GN173" s="20"/>
      <c r="GO173" s="20"/>
      <c r="GP173" s="20"/>
      <c r="GQ173" s="20"/>
      <c r="GR173" s="20"/>
      <c r="GS173" s="20"/>
      <c r="GT173" s="20"/>
      <c r="GU173" s="20"/>
      <c r="GV173" s="20"/>
      <c r="GW173" s="21"/>
      <c r="GX173" s="20"/>
      <c r="GY173" s="20">
        <v>20</v>
      </c>
      <c r="GZ173" s="20">
        <v>2250</v>
      </c>
      <c r="HA173" s="20"/>
      <c r="HB173" s="20"/>
      <c r="HC173" s="20"/>
      <c r="HD173" s="20"/>
      <c r="HE173" s="21"/>
      <c r="HF173" s="21"/>
      <c r="HG173" s="21"/>
      <c r="HH173" s="21"/>
      <c r="HI173" s="21"/>
      <c r="HJ173" s="21"/>
      <c r="HK173" s="21"/>
      <c r="HL173" s="21"/>
      <c r="HM173" s="21"/>
      <c r="HN173" s="21"/>
      <c r="HO173" s="21"/>
      <c r="HP173" s="21"/>
      <c r="HQ173" s="21"/>
      <c r="HR173" s="21"/>
      <c r="HS173" s="21"/>
      <c r="HT173" s="21"/>
      <c r="HU173" s="21"/>
      <c r="HV173" s="21" t="s">
        <v>826</v>
      </c>
      <c r="HW173" s="21">
        <v>0</v>
      </c>
      <c r="HX173" s="21">
        <v>2</v>
      </c>
      <c r="HY173" s="21">
        <v>4</v>
      </c>
      <c r="HZ173" s="21">
        <v>0</v>
      </c>
      <c r="IA173" s="21">
        <v>2</v>
      </c>
      <c r="IB173" s="21">
        <v>4</v>
      </c>
      <c r="IC173" s="21">
        <v>0</v>
      </c>
      <c r="ID173" s="21">
        <v>2</v>
      </c>
      <c r="IE173" s="21">
        <v>4</v>
      </c>
      <c r="IF173" s="21">
        <v>0</v>
      </c>
      <c r="IG173" s="21">
        <v>2</v>
      </c>
      <c r="IH173" s="21">
        <v>4</v>
      </c>
      <c r="II173" s="21">
        <v>0</v>
      </c>
      <c r="IJ173" s="21">
        <v>2</v>
      </c>
      <c r="IK173" s="21">
        <v>4</v>
      </c>
      <c r="IL173" s="21">
        <v>0</v>
      </c>
      <c r="IM173" s="21">
        <v>2</v>
      </c>
      <c r="IN173" s="21">
        <v>4</v>
      </c>
      <c r="IO173" s="21">
        <v>0</v>
      </c>
      <c r="IP173" s="21">
        <v>2</v>
      </c>
      <c r="IQ173" s="21">
        <v>4</v>
      </c>
      <c r="IR173" s="21"/>
      <c r="IS173" s="21" t="s">
        <v>826</v>
      </c>
      <c r="IT173" s="21">
        <f t="shared" si="66"/>
        <v>0</v>
      </c>
      <c r="IU173" s="21">
        <f t="shared" si="66"/>
        <v>4</v>
      </c>
      <c r="IV173" s="21">
        <f t="shared" si="66"/>
        <v>8</v>
      </c>
      <c r="IW173" s="21">
        <f t="shared" si="66"/>
        <v>0</v>
      </c>
      <c r="IX173" s="21">
        <f t="shared" si="66"/>
        <v>4</v>
      </c>
      <c r="IY173" s="21">
        <f t="shared" si="66"/>
        <v>8</v>
      </c>
      <c r="IZ173" s="21">
        <f t="shared" si="66"/>
        <v>0</v>
      </c>
      <c r="JA173" s="21">
        <f t="shared" si="66"/>
        <v>4</v>
      </c>
      <c r="JB173" s="21">
        <f t="shared" si="66"/>
        <v>8</v>
      </c>
      <c r="JC173" s="21">
        <f t="shared" si="66"/>
        <v>0</v>
      </c>
      <c r="JD173" s="21">
        <f t="shared" si="66"/>
        <v>4</v>
      </c>
      <c r="JE173" s="21">
        <f t="shared" si="66"/>
        <v>8</v>
      </c>
      <c r="JF173" s="21">
        <f t="shared" si="66"/>
        <v>0</v>
      </c>
      <c r="JG173" s="21">
        <f t="shared" si="66"/>
        <v>4</v>
      </c>
      <c r="JH173" s="21">
        <f t="shared" si="66"/>
        <v>8</v>
      </c>
      <c r="JI173" s="21">
        <f t="shared" si="53"/>
        <v>0</v>
      </c>
      <c r="JJ173" s="21">
        <f t="shared" si="40"/>
        <v>4</v>
      </c>
      <c r="JK173" s="21">
        <f t="shared" si="40"/>
        <v>8</v>
      </c>
      <c r="JL173" s="21">
        <f t="shared" si="40"/>
        <v>0</v>
      </c>
      <c r="JM173" s="21">
        <f t="shared" si="40"/>
        <v>4</v>
      </c>
      <c r="JN173" s="21">
        <f t="shared" si="40"/>
        <v>8</v>
      </c>
      <c r="JO173" s="21"/>
      <c r="JP173" s="21"/>
      <c r="JQ173" s="21"/>
      <c r="JR173" s="21"/>
      <c r="JS173" s="21"/>
      <c r="JT173" s="21"/>
      <c r="JU173" s="21"/>
      <c r="JV173" s="21"/>
      <c r="JW173" s="21"/>
      <c r="JX173" s="21"/>
      <c r="JY173" s="21"/>
      <c r="JZ173" s="21"/>
      <c r="KA173" s="21"/>
      <c r="KB173" s="21"/>
      <c r="KC173" s="21"/>
      <c r="KD173" s="21"/>
      <c r="KE173" s="21"/>
      <c r="KF173" s="21"/>
      <c r="KG173" s="21"/>
      <c r="KH173" s="21"/>
    </row>
    <row r="174" spans="1:294" x14ac:dyDescent="0.25">
      <c r="A174" s="9"/>
      <c r="B174" s="9"/>
      <c r="C174" s="9"/>
      <c r="D174" s="9"/>
      <c r="E174" s="9"/>
      <c r="F174" s="9"/>
      <c r="G174" s="9"/>
      <c r="H174" s="9"/>
      <c r="I174" s="9"/>
      <c r="J174" s="9"/>
      <c r="K174" s="9"/>
      <c r="L174" s="6" t="s">
        <v>1005</v>
      </c>
      <c r="M174" s="11">
        <f>INDEX(cennik!$C$2:$L$529,MATCH($L174,cennik!$B$2:$B$522,0),MATCH(M$104,cennik!$C$1:$L$1,0))</f>
        <v>760401</v>
      </c>
      <c r="N174" s="11" t="str">
        <f>INDEX(cennik!$C$2:$L$529,MATCH($L174,cennik!$B$2:$B$522,0),MATCH(N$104,cennik!$C$1:$L$1,0))</f>
        <v>szt.</v>
      </c>
      <c r="O174" s="11">
        <f>SUM(C151:C166)*4</f>
        <v>0</v>
      </c>
      <c r="P174" s="34">
        <f>INDEX(cennik!$C$2:$L$529,MATCH($L174,cennik!$B$2:$B$522,0),MATCH(P$104,cennik!$C$1:$L$1,0))</f>
        <v>1.97</v>
      </c>
      <c r="Q174" s="34">
        <f>O174*P174</f>
        <v>0</v>
      </c>
      <c r="R174" s="35">
        <f t="shared" si="61"/>
        <v>0</v>
      </c>
      <c r="S174" s="34">
        <f t="shared" si="62"/>
        <v>1.97</v>
      </c>
      <c r="T174" s="34">
        <f>O174*S174</f>
        <v>0</v>
      </c>
      <c r="U174" s="34">
        <f>INDEX(cennik!$C$2:$L$529,MATCH($L174,cennik!$B$2:$B$522,0),MATCH(U$104,cennik!$C$1:$L$1,0))*O174</f>
        <v>0</v>
      </c>
      <c r="V174" s="20"/>
      <c r="W174" s="25">
        <f t="shared" si="68"/>
        <v>0</v>
      </c>
      <c r="X174" s="20">
        <f t="shared" si="69"/>
        <v>0</v>
      </c>
      <c r="Y174" s="20"/>
      <c r="Z174" s="20">
        <f>(INDEX(($AM$106:$CK$111,$AM$115:$CK$120,$AM$124:$CK$129,$AM$133:$CK$138),MATCH($L$184,$AL$106:$AL$111,0),MATCH(A185,$AM$105:$CK$105,0),MATCH($G$179,$X$128:$X$131,0)))*C185</f>
        <v>0</v>
      </c>
      <c r="AA174" s="20">
        <f>(INDEX(($AM$106:$CK$111,$AM$115:$CK$120,$AM$124:$CK$129,$AM$133:$CK$138),MATCH($L$179,$AL$106:$AL$111,0),MATCH(A185,$AM$105:$CK$105,0),MATCH($G$179,$X$128:$X$131,0)))*C185</f>
        <v>0</v>
      </c>
      <c r="AB174" s="20">
        <f>(INDEX(($AM$106:$CK$111,$AM$115:$CK$120,$AM$124:$CK$129,$AM$133:$CK$138),MATCH($L$180,$AL$106:$AL$111,0),MATCH(A185,$AM$105:$CK$105,0),MATCH($G$179,$X$128:$X$131,0)))*C185</f>
        <v>0</v>
      </c>
      <c r="AC174" s="20">
        <f>(INDEX(($AM$106:$CK$111,$AM$115:$CK$120,$AM$124:$CK$129,$AM$133:$CK$138),MATCH($L$181,$AL$106:$AL$111,0),MATCH(A185,$AM$105:$CK$105,0),MATCH($G$179,$X$128:$X$131,0)))*C185</f>
        <v>0</v>
      </c>
      <c r="AD174" s="20">
        <f>(INDEX(($AM$106:$CK$111,$AM$115:$CK$120,$AM$124:$CK$129,$AM$133:$CK$138),MATCH($L$182,$AL$106:$AL$111,0),MATCH(A185,$AM$105:$CK$105,0),MATCH($G$179,$X$128:$X$131,0)))*C185</f>
        <v>0</v>
      </c>
      <c r="AE174" s="20">
        <f>(INDEX(($AM$106:$CK$111,$AM$115:$CK$120,$AM$124:$CK$129,$AM$133:$CK$138),MATCH($L$183,$AL$106:$AL$111,0),MATCH(A185,$AM$105:$CK$105,0),MATCH($G$179,$X$128:$X$131,0)))*C185</f>
        <v>0</v>
      </c>
      <c r="AF174" s="21"/>
      <c r="AG174" s="21"/>
      <c r="AH174" s="21"/>
      <c r="AI174" s="21"/>
      <c r="AJ174" s="20"/>
      <c r="AK174" s="20"/>
      <c r="AL174" s="20" t="s">
        <v>19</v>
      </c>
      <c r="AM174" s="20">
        <v>0</v>
      </c>
      <c r="AN174" s="20">
        <v>0</v>
      </c>
      <c r="AO174" s="20">
        <v>0</v>
      </c>
      <c r="AP174" s="20">
        <v>0</v>
      </c>
      <c r="AQ174" s="20">
        <v>0</v>
      </c>
      <c r="AR174" s="20">
        <v>0</v>
      </c>
      <c r="AS174" s="20">
        <v>0</v>
      </c>
      <c r="AT174" s="20">
        <v>6</v>
      </c>
      <c r="AU174" s="20">
        <v>8</v>
      </c>
      <c r="AV174" s="20">
        <v>6</v>
      </c>
      <c r="AW174" s="20">
        <v>4</v>
      </c>
      <c r="AX174" s="20">
        <v>6</v>
      </c>
      <c r="AY174" s="20">
        <v>4</v>
      </c>
      <c r="AZ174" s="20">
        <v>16</v>
      </c>
      <c r="BA174" s="20">
        <v>16</v>
      </c>
      <c r="BB174" s="20">
        <v>0</v>
      </c>
      <c r="BC174" s="20">
        <v>16</v>
      </c>
      <c r="BD174" s="20">
        <v>0</v>
      </c>
      <c r="BE174" s="20">
        <v>0</v>
      </c>
      <c r="BF174" s="20">
        <v>12</v>
      </c>
      <c r="BG174" s="20">
        <v>12</v>
      </c>
      <c r="BH174" s="20">
        <v>26</v>
      </c>
      <c r="BI174" s="20">
        <v>18</v>
      </c>
      <c r="BJ174" s="20">
        <v>10</v>
      </c>
      <c r="BK174" s="20">
        <v>22</v>
      </c>
      <c r="BL174" s="20">
        <v>8</v>
      </c>
      <c r="BM174" s="20">
        <v>32</v>
      </c>
      <c r="BN174" s="20">
        <v>20</v>
      </c>
      <c r="BO174" s="20">
        <v>6</v>
      </c>
      <c r="BP174" s="20">
        <v>32</v>
      </c>
      <c r="BQ174" s="20">
        <v>18</v>
      </c>
      <c r="BR174" s="20">
        <v>38</v>
      </c>
      <c r="BS174" s="20">
        <v>30</v>
      </c>
      <c r="BT174" s="20">
        <v>16</v>
      </c>
      <c r="BU174" s="20">
        <v>42</v>
      </c>
      <c r="BV174" s="20">
        <v>28</v>
      </c>
      <c r="BW174" s="20">
        <v>14</v>
      </c>
      <c r="BX174" s="20">
        <v>44</v>
      </c>
      <c r="BY174" s="20">
        <v>26</v>
      </c>
      <c r="BZ174" s="20">
        <v>48</v>
      </c>
      <c r="CA174" s="20">
        <v>38</v>
      </c>
      <c r="CB174" s="20">
        <v>24</v>
      </c>
      <c r="CC174" s="20">
        <v>50</v>
      </c>
      <c r="CD174" s="20">
        <v>36</v>
      </c>
      <c r="CE174" s="20">
        <v>54</v>
      </c>
      <c r="CF174" s="20">
        <v>48</v>
      </c>
      <c r="CG174" s="20">
        <v>34</v>
      </c>
      <c r="CH174" s="20">
        <v>58</v>
      </c>
      <c r="CI174" s="20">
        <v>46</v>
      </c>
      <c r="CJ174" s="20">
        <v>44</v>
      </c>
      <c r="CK174" s="20">
        <v>58</v>
      </c>
      <c r="CL174" s="20"/>
      <c r="CM174" s="20"/>
      <c r="CN174" s="20"/>
      <c r="CO174" s="20"/>
      <c r="CP174" s="20"/>
      <c r="CQ174" s="20"/>
      <c r="CR174" s="20"/>
      <c r="CS174" s="20"/>
      <c r="CT174" s="20"/>
      <c r="CU174" s="20"/>
      <c r="CV174" s="20"/>
      <c r="CW174" s="20"/>
      <c r="CX174" s="20"/>
      <c r="CY174" s="20"/>
      <c r="CZ174" s="20"/>
      <c r="DA174" s="20"/>
      <c r="DB174" s="20"/>
      <c r="DC174" s="20"/>
      <c r="DD174" s="20"/>
      <c r="DE174" s="20"/>
      <c r="DF174" s="20"/>
      <c r="DG174" s="20"/>
      <c r="DH174" s="20"/>
      <c r="DI174" s="20"/>
      <c r="DJ174" s="20"/>
      <c r="DK174" s="20"/>
      <c r="DL174" s="20"/>
      <c r="DM174" s="20" t="s">
        <v>293</v>
      </c>
      <c r="DN174" s="20">
        <v>0</v>
      </c>
      <c r="DO174" s="20">
        <v>2</v>
      </c>
      <c r="DP174" s="20">
        <v>2</v>
      </c>
      <c r="DQ174" s="20">
        <v>0</v>
      </c>
      <c r="DR174" s="20">
        <v>4</v>
      </c>
      <c r="DS174" s="20">
        <v>2</v>
      </c>
      <c r="DT174" s="20">
        <v>0</v>
      </c>
      <c r="DU174" s="20">
        <v>4</v>
      </c>
      <c r="DV174" s="20">
        <v>2</v>
      </c>
      <c r="DW174" s="20">
        <v>0</v>
      </c>
      <c r="DX174" s="20">
        <v>4</v>
      </c>
      <c r="DY174" s="20">
        <v>2</v>
      </c>
      <c r="DZ174" s="54">
        <v>0</v>
      </c>
      <c r="EA174" s="54">
        <v>0</v>
      </c>
      <c r="EB174" s="54">
        <v>2</v>
      </c>
      <c r="EC174" s="20">
        <v>2</v>
      </c>
      <c r="ED174" s="20">
        <v>0</v>
      </c>
      <c r="EE174" s="20">
        <v>4</v>
      </c>
      <c r="EF174" s="20">
        <v>2</v>
      </c>
      <c r="EG174" s="20">
        <v>0</v>
      </c>
      <c r="EH174" s="20">
        <v>4</v>
      </c>
      <c r="EI174" s="20"/>
      <c r="EJ174" s="20"/>
      <c r="EK174" s="20"/>
      <c r="EL174" s="20"/>
      <c r="EM174" s="20"/>
      <c r="EN174" s="20"/>
      <c r="EO174" s="20"/>
      <c r="EP174" s="20"/>
      <c r="EQ174" s="20"/>
      <c r="ER174" s="20"/>
      <c r="ES174" s="20"/>
      <c r="ET174" s="20"/>
      <c r="EU174" s="20"/>
      <c r="EV174" s="20" t="s">
        <v>212</v>
      </c>
      <c r="EW174" s="20">
        <v>0</v>
      </c>
      <c r="EX174" s="20">
        <v>0</v>
      </c>
      <c r="EY174" s="20">
        <v>2</v>
      </c>
      <c r="EZ174" s="20">
        <v>0</v>
      </c>
      <c r="FA174" s="20">
        <v>4</v>
      </c>
      <c r="FB174" s="20">
        <v>0</v>
      </c>
      <c r="FC174" s="20">
        <v>0</v>
      </c>
      <c r="FD174" s="20">
        <v>2</v>
      </c>
      <c r="FE174" s="20">
        <v>2</v>
      </c>
      <c r="FF174" s="20">
        <v>0</v>
      </c>
      <c r="FG174" s="20">
        <v>4</v>
      </c>
      <c r="FH174" s="20"/>
      <c r="FI174" s="20" t="s">
        <v>10</v>
      </c>
      <c r="FJ174" s="20">
        <v>0</v>
      </c>
      <c r="FK174" s="20">
        <v>0</v>
      </c>
      <c r="FL174" s="20">
        <v>2</v>
      </c>
      <c r="FM174" s="20">
        <v>4</v>
      </c>
      <c r="FN174" s="20">
        <v>2</v>
      </c>
      <c r="FO174" s="20">
        <v>4</v>
      </c>
      <c r="FP174" s="20">
        <v>0</v>
      </c>
      <c r="FQ174" s="20">
        <v>2</v>
      </c>
      <c r="FR174" s="20">
        <v>8</v>
      </c>
      <c r="FS174" s="20">
        <v>0</v>
      </c>
      <c r="FT174" s="20">
        <v>8</v>
      </c>
      <c r="FU174" s="20"/>
      <c r="FV174" s="20" t="s">
        <v>10</v>
      </c>
      <c r="FW174" s="20">
        <v>0</v>
      </c>
      <c r="FX174" s="20">
        <v>0</v>
      </c>
      <c r="FY174" s="20">
        <v>0</v>
      </c>
      <c r="FZ174" s="20">
        <v>2</v>
      </c>
      <c r="GA174" s="20">
        <v>0</v>
      </c>
      <c r="GB174" s="20">
        <v>0</v>
      </c>
      <c r="GC174" s="20">
        <v>4</v>
      </c>
      <c r="GD174" s="20">
        <v>6</v>
      </c>
      <c r="GE174" s="20">
        <v>4</v>
      </c>
      <c r="GF174" s="20">
        <v>8</v>
      </c>
      <c r="GG174" s="20">
        <v>0</v>
      </c>
      <c r="GH174" s="20"/>
      <c r="GI174" s="20"/>
      <c r="GJ174" s="20"/>
      <c r="GK174" s="20"/>
      <c r="GL174" s="20"/>
      <c r="GM174" s="20"/>
      <c r="GN174" s="20"/>
      <c r="GO174" s="20"/>
      <c r="GP174" s="20"/>
      <c r="GQ174" s="20"/>
      <c r="GR174" s="20"/>
      <c r="GS174" s="20"/>
      <c r="GT174" s="20"/>
      <c r="GU174" s="20"/>
      <c r="GV174" s="20"/>
      <c r="GW174" s="21"/>
      <c r="GX174" s="20"/>
      <c r="GY174" s="20">
        <f>((GY173*GZ173)+((GY173-1)*20))</f>
        <v>45380</v>
      </c>
      <c r="GZ174" s="26" t="s">
        <v>158</v>
      </c>
      <c r="HA174" s="26" t="s">
        <v>156</v>
      </c>
      <c r="HB174" s="26" t="s">
        <v>155</v>
      </c>
      <c r="HC174" s="20"/>
      <c r="HD174" s="20" t="s">
        <v>870</v>
      </c>
      <c r="HE174" s="21"/>
      <c r="HF174" s="21"/>
      <c r="HG174" s="21"/>
      <c r="HH174" s="21"/>
      <c r="HI174" s="21"/>
      <c r="HJ174" s="21"/>
      <c r="HK174" s="21"/>
      <c r="HL174" s="21"/>
      <c r="HM174" s="21"/>
      <c r="HN174" s="21"/>
      <c r="HO174" s="21"/>
      <c r="HP174" s="21"/>
      <c r="HQ174" s="21"/>
      <c r="HR174" s="21"/>
      <c r="HS174" s="21"/>
      <c r="HT174" s="21"/>
      <c r="HU174" s="21"/>
      <c r="HV174" s="21" t="s">
        <v>825</v>
      </c>
      <c r="HW174" s="21">
        <v>0</v>
      </c>
      <c r="HX174" s="21">
        <v>0</v>
      </c>
      <c r="HY174" s="21">
        <v>0</v>
      </c>
      <c r="HZ174" s="21">
        <v>4</v>
      </c>
      <c r="IA174" s="21">
        <v>4</v>
      </c>
      <c r="IB174" s="21">
        <v>4</v>
      </c>
      <c r="IC174" s="21">
        <v>8</v>
      </c>
      <c r="ID174" s="21">
        <v>8</v>
      </c>
      <c r="IE174" s="21">
        <v>8</v>
      </c>
      <c r="IF174" s="21">
        <v>12</v>
      </c>
      <c r="IG174" s="21">
        <v>12</v>
      </c>
      <c r="IH174" s="21">
        <v>12</v>
      </c>
      <c r="II174" s="21">
        <v>16</v>
      </c>
      <c r="IJ174" s="21">
        <v>16</v>
      </c>
      <c r="IK174" s="21">
        <v>16</v>
      </c>
      <c r="IL174" s="21">
        <v>20</v>
      </c>
      <c r="IM174" s="21">
        <v>20</v>
      </c>
      <c r="IN174" s="21">
        <v>20</v>
      </c>
      <c r="IO174" s="21">
        <v>24</v>
      </c>
      <c r="IP174" s="21">
        <v>24</v>
      </c>
      <c r="IQ174" s="21">
        <v>24</v>
      </c>
      <c r="IR174" s="21"/>
      <c r="IS174" s="21" t="s">
        <v>825</v>
      </c>
      <c r="IT174" s="21">
        <f t="shared" si="66"/>
        <v>0</v>
      </c>
      <c r="IU174" s="21">
        <f t="shared" si="66"/>
        <v>0</v>
      </c>
      <c r="IV174" s="21">
        <f t="shared" si="66"/>
        <v>0</v>
      </c>
      <c r="IW174" s="21">
        <f t="shared" si="66"/>
        <v>8</v>
      </c>
      <c r="IX174" s="21">
        <f t="shared" si="66"/>
        <v>8</v>
      </c>
      <c r="IY174" s="21">
        <f t="shared" si="66"/>
        <v>8</v>
      </c>
      <c r="IZ174" s="21">
        <f t="shared" si="66"/>
        <v>16</v>
      </c>
      <c r="JA174" s="21">
        <f t="shared" si="66"/>
        <v>16</v>
      </c>
      <c r="JB174" s="21">
        <f t="shared" si="66"/>
        <v>16</v>
      </c>
      <c r="JC174" s="21">
        <f t="shared" si="66"/>
        <v>24</v>
      </c>
      <c r="JD174" s="21">
        <f t="shared" si="66"/>
        <v>24</v>
      </c>
      <c r="JE174" s="21">
        <f t="shared" si="66"/>
        <v>24</v>
      </c>
      <c r="JF174" s="21">
        <f t="shared" si="66"/>
        <v>32</v>
      </c>
      <c r="JG174" s="21">
        <f t="shared" si="66"/>
        <v>32</v>
      </c>
      <c r="JH174" s="21">
        <f t="shared" si="66"/>
        <v>32</v>
      </c>
      <c r="JI174" s="21">
        <f t="shared" si="53"/>
        <v>40</v>
      </c>
      <c r="JJ174" s="21">
        <f t="shared" si="40"/>
        <v>40</v>
      </c>
      <c r="JK174" s="21">
        <f t="shared" si="40"/>
        <v>40</v>
      </c>
      <c r="JL174" s="21">
        <f t="shared" si="40"/>
        <v>48</v>
      </c>
      <c r="JM174" s="21">
        <f t="shared" si="40"/>
        <v>48</v>
      </c>
      <c r="JN174" s="21">
        <f t="shared" si="40"/>
        <v>48</v>
      </c>
      <c r="JO174" s="21"/>
      <c r="JP174" s="21"/>
      <c r="JQ174" s="21"/>
      <c r="JR174" s="21"/>
      <c r="JS174" s="21"/>
      <c r="JT174" s="21"/>
      <c r="JU174" s="21"/>
      <c r="JV174" s="21"/>
      <c r="JW174" s="21"/>
      <c r="JX174" s="21"/>
      <c r="JY174" s="21"/>
      <c r="JZ174" s="21"/>
      <c r="KA174" s="21"/>
      <c r="KB174" s="21"/>
      <c r="KC174" s="21"/>
      <c r="KD174" s="21"/>
      <c r="KE174" s="21"/>
      <c r="KF174" s="21"/>
      <c r="KG174" s="21"/>
      <c r="KH174" s="21"/>
    </row>
    <row r="175" spans="1:294" x14ac:dyDescent="0.25">
      <c r="A175" s="9"/>
      <c r="B175" s="9"/>
      <c r="C175" s="9"/>
      <c r="D175" s="9"/>
      <c r="E175" s="9"/>
      <c r="F175" s="9"/>
      <c r="G175" s="9"/>
      <c r="H175" s="9"/>
      <c r="I175" s="9"/>
      <c r="J175" s="9"/>
      <c r="K175" s="9"/>
      <c r="L175" s="6" t="s">
        <v>1019</v>
      </c>
      <c r="M175" s="11">
        <f>INDEX(cennik!$C$2:$L$529,MATCH($L175,cennik!$B$2:$B$522,0),MATCH(M$104,cennik!$C$1:$L$1,0))</f>
        <v>166794</v>
      </c>
      <c r="N175" s="11" t="str">
        <f>INDEX(cennik!$C$2:$L$529,MATCH($L175,cennik!$B$2:$B$522,0),MATCH(N$104,cennik!$C$1:$L$1,0))</f>
        <v>100 szt.</v>
      </c>
      <c r="O175" s="11">
        <f>ROUNDUP((O166/100),0)</f>
        <v>0</v>
      </c>
      <c r="P175" s="34">
        <f>INDEX(cennik!$C$2:$L$529,MATCH($L175,cennik!$B$2:$B$522,0),MATCH(P$104,cennik!$C$1:$L$1,0))</f>
        <v>3.95</v>
      </c>
      <c r="Q175" s="34">
        <f>O175*P175</f>
        <v>0</v>
      </c>
      <c r="R175" s="35">
        <f t="shared" si="61"/>
        <v>0</v>
      </c>
      <c r="S175" s="34">
        <f t="shared" si="62"/>
        <v>3.95</v>
      </c>
      <c r="T175" s="34">
        <f>O175*S175</f>
        <v>0</v>
      </c>
      <c r="U175" s="34">
        <f>INDEX(cennik!$C$2:$L$529,MATCH($L175,cennik!$B$2:$B$522,0),MATCH(U$104,cennik!$C$1:$L$1,0))*O175</f>
        <v>0</v>
      </c>
      <c r="V175" s="20"/>
      <c r="W175" s="25">
        <f t="shared" si="68"/>
        <v>0</v>
      </c>
      <c r="X175" s="20">
        <f t="shared" si="69"/>
        <v>0</v>
      </c>
      <c r="Y175" s="20"/>
      <c r="Z175" s="20">
        <f>(INDEX(($AM$106:$CK$111,$AM$115:$CK$120,$AM$124:$CK$129,$AM$133:$CK$138),MATCH($L$184,$AL$106:$AL$111,0),MATCH(A186,$AM$105:$CK$105,0),MATCH($G$179,$X$128:$X$131,0)))*C186</f>
        <v>0</v>
      </c>
      <c r="AA175" s="20">
        <f>(INDEX(($AM$106:$CK$111,$AM$115:$CK$120,$AM$124:$CK$129,$AM$133:$CK$138),MATCH($L$179,$AL$106:$AL$111,0),MATCH(A186,$AM$105:$CK$105,0),MATCH($G$179,$X$128:$X$131,0)))*C186</f>
        <v>0</v>
      </c>
      <c r="AB175" s="20">
        <f>(INDEX(($AM$106:$CK$111,$AM$115:$CK$120,$AM$124:$CK$129,$AM$133:$CK$138),MATCH($L$180,$AL$106:$AL$111,0),MATCH(A186,$AM$105:$CK$105,0),MATCH($G$179,$X$128:$X$131,0)))*C186</f>
        <v>0</v>
      </c>
      <c r="AC175" s="20">
        <f>(INDEX(($AM$106:$CK$111,$AM$115:$CK$120,$AM$124:$CK$129,$AM$133:$CK$138),MATCH($L$181,$AL$106:$AL$111,0),MATCH(A186,$AM$105:$CK$105,0),MATCH($G$179,$X$128:$X$131,0)))*C186</f>
        <v>0</v>
      </c>
      <c r="AD175" s="20">
        <f>(INDEX(($AM$106:$CK$111,$AM$115:$CK$120,$AM$124:$CK$129,$AM$133:$CK$138),MATCH($L$182,$AL$106:$AL$111,0),MATCH(A186,$AM$105:$CK$105,0),MATCH($G$179,$X$128:$X$131,0)))*C186</f>
        <v>0</v>
      </c>
      <c r="AE175" s="20">
        <f>(INDEX(($AM$106:$CK$111,$AM$115:$CK$120,$AM$124:$CK$129,$AM$133:$CK$138),MATCH($L$183,$AL$106:$AL$111,0),MATCH(A186,$AM$105:$CK$105,0),MATCH($G$179,$X$128:$X$131,0)))*C186</f>
        <v>0</v>
      </c>
      <c r="AF175" s="21"/>
      <c r="AG175" s="21"/>
      <c r="AH175" s="21"/>
      <c r="AI175" s="21"/>
      <c r="AJ175" s="20"/>
      <c r="AK175" s="20"/>
      <c r="AL175" s="20" t="s">
        <v>408</v>
      </c>
      <c r="AM175" s="20">
        <v>0</v>
      </c>
      <c r="AN175" s="20">
        <f t="shared" ref="AN175:BS175" si="70">((((SUM(AN170:AN174))/2)-1))*4</f>
        <v>0</v>
      </c>
      <c r="AO175" s="20">
        <f t="shared" si="70"/>
        <v>4</v>
      </c>
      <c r="AP175" s="20">
        <f t="shared" si="70"/>
        <v>4</v>
      </c>
      <c r="AQ175" s="20">
        <f t="shared" si="70"/>
        <v>8</v>
      </c>
      <c r="AR175" s="20">
        <f t="shared" si="70"/>
        <v>12</v>
      </c>
      <c r="AS175" s="20">
        <f t="shared" si="70"/>
        <v>12</v>
      </c>
      <c r="AT175" s="20">
        <f t="shared" si="70"/>
        <v>16</v>
      </c>
      <c r="AU175" s="20">
        <f t="shared" si="70"/>
        <v>16</v>
      </c>
      <c r="AV175" s="20">
        <f t="shared" si="70"/>
        <v>20</v>
      </c>
      <c r="AW175" s="20">
        <f t="shared" si="70"/>
        <v>24</v>
      </c>
      <c r="AX175" s="20">
        <f t="shared" si="70"/>
        <v>24</v>
      </c>
      <c r="AY175" s="20">
        <f t="shared" si="70"/>
        <v>28</v>
      </c>
      <c r="AZ175" s="20">
        <f t="shared" si="70"/>
        <v>28</v>
      </c>
      <c r="BA175" s="20">
        <f t="shared" si="70"/>
        <v>32</v>
      </c>
      <c r="BB175" s="20">
        <f t="shared" si="70"/>
        <v>36</v>
      </c>
      <c r="BC175" s="20">
        <f t="shared" si="70"/>
        <v>36</v>
      </c>
      <c r="BD175" s="20">
        <f t="shared" si="70"/>
        <v>40</v>
      </c>
      <c r="BE175" s="20">
        <f t="shared" si="70"/>
        <v>44</v>
      </c>
      <c r="BF175" s="20">
        <f t="shared" si="70"/>
        <v>44</v>
      </c>
      <c r="BG175" s="20">
        <f t="shared" si="70"/>
        <v>48</v>
      </c>
      <c r="BH175" s="20">
        <f t="shared" si="70"/>
        <v>48</v>
      </c>
      <c r="BI175" s="20">
        <f t="shared" si="70"/>
        <v>52</v>
      </c>
      <c r="BJ175" s="20">
        <f t="shared" si="70"/>
        <v>56</v>
      </c>
      <c r="BK175" s="20">
        <f t="shared" si="70"/>
        <v>56</v>
      </c>
      <c r="BL175" s="20">
        <f t="shared" si="70"/>
        <v>60</v>
      </c>
      <c r="BM175" s="20">
        <f t="shared" si="70"/>
        <v>60</v>
      </c>
      <c r="BN175" s="20">
        <f t="shared" si="70"/>
        <v>64</v>
      </c>
      <c r="BO175" s="20">
        <f t="shared" si="70"/>
        <v>68</v>
      </c>
      <c r="BP175" s="20">
        <f t="shared" si="70"/>
        <v>68</v>
      </c>
      <c r="BQ175" s="20">
        <f t="shared" si="70"/>
        <v>72</v>
      </c>
      <c r="BR175" s="20">
        <f t="shared" si="70"/>
        <v>72</v>
      </c>
      <c r="BS175" s="20">
        <f t="shared" si="70"/>
        <v>76</v>
      </c>
      <c r="BT175" s="20">
        <f t="shared" ref="BT175:CK175" si="71">((((SUM(BT170:BT174))/2)-1))*4</f>
        <v>80</v>
      </c>
      <c r="BU175" s="20">
        <f t="shared" si="71"/>
        <v>80</v>
      </c>
      <c r="BV175" s="20">
        <f t="shared" si="71"/>
        <v>84</v>
      </c>
      <c r="BW175" s="20">
        <f t="shared" si="71"/>
        <v>88</v>
      </c>
      <c r="BX175" s="20">
        <f t="shared" si="71"/>
        <v>88</v>
      </c>
      <c r="BY175" s="20">
        <f t="shared" si="71"/>
        <v>92</v>
      </c>
      <c r="BZ175" s="20">
        <f t="shared" si="71"/>
        <v>92</v>
      </c>
      <c r="CA175" s="20">
        <f t="shared" si="71"/>
        <v>96</v>
      </c>
      <c r="CB175" s="20">
        <f t="shared" si="71"/>
        <v>100</v>
      </c>
      <c r="CC175" s="20">
        <f t="shared" si="71"/>
        <v>100</v>
      </c>
      <c r="CD175" s="20">
        <f t="shared" si="71"/>
        <v>104</v>
      </c>
      <c r="CE175" s="20">
        <f t="shared" si="71"/>
        <v>104</v>
      </c>
      <c r="CF175" s="20">
        <f t="shared" si="71"/>
        <v>108</v>
      </c>
      <c r="CG175" s="20">
        <f t="shared" si="71"/>
        <v>112</v>
      </c>
      <c r="CH175" s="20">
        <f t="shared" si="71"/>
        <v>112</v>
      </c>
      <c r="CI175" s="20">
        <f t="shared" si="71"/>
        <v>116</v>
      </c>
      <c r="CJ175" s="20">
        <f t="shared" si="71"/>
        <v>120</v>
      </c>
      <c r="CK175" s="20">
        <f t="shared" si="71"/>
        <v>120</v>
      </c>
      <c r="CL175" s="20"/>
      <c r="CM175" s="20"/>
      <c r="CN175" s="20"/>
      <c r="CO175" s="20"/>
      <c r="CP175" s="20"/>
      <c r="CQ175" s="20"/>
      <c r="CR175" s="20"/>
      <c r="CS175" s="20"/>
      <c r="CT175" s="20"/>
      <c r="CU175" s="20"/>
      <c r="CV175" s="20"/>
      <c r="CW175" s="20"/>
      <c r="CX175" s="20"/>
      <c r="CY175" s="20"/>
      <c r="CZ175" s="20"/>
      <c r="DA175" s="20"/>
      <c r="DB175" s="20"/>
      <c r="DC175" s="20"/>
      <c r="DD175" s="20"/>
      <c r="DE175" s="20"/>
      <c r="DF175" s="20"/>
      <c r="DG175" s="20"/>
      <c r="DH175" s="20"/>
      <c r="DI175" s="20"/>
      <c r="DJ175" s="20"/>
      <c r="DK175" s="20"/>
      <c r="DL175" s="20"/>
      <c r="DM175" s="20" t="s">
        <v>212</v>
      </c>
      <c r="DN175" s="20">
        <v>0</v>
      </c>
      <c r="DO175" s="20">
        <v>0</v>
      </c>
      <c r="DP175" s="20">
        <v>0</v>
      </c>
      <c r="DQ175" s="20">
        <v>2</v>
      </c>
      <c r="DR175" s="20">
        <v>0</v>
      </c>
      <c r="DS175" s="20">
        <v>2</v>
      </c>
      <c r="DT175" s="20">
        <v>4</v>
      </c>
      <c r="DU175" s="20">
        <v>2</v>
      </c>
      <c r="DV175" s="20">
        <v>4</v>
      </c>
      <c r="DW175" s="20">
        <v>6</v>
      </c>
      <c r="DX175" s="20">
        <v>4</v>
      </c>
      <c r="DY175" s="20">
        <v>6</v>
      </c>
      <c r="DZ175" s="54">
        <v>8</v>
      </c>
      <c r="EA175" s="54">
        <v>8</v>
      </c>
      <c r="EB175" s="54">
        <v>8</v>
      </c>
      <c r="EC175" s="20">
        <v>8</v>
      </c>
      <c r="ED175" s="20">
        <v>10</v>
      </c>
      <c r="EE175" s="20">
        <v>8</v>
      </c>
      <c r="EF175" s="20">
        <v>10</v>
      </c>
      <c r="EG175" s="20">
        <v>12</v>
      </c>
      <c r="EH175" s="20">
        <v>10</v>
      </c>
      <c r="EI175" s="20"/>
      <c r="EJ175" s="20"/>
      <c r="EK175" s="20"/>
      <c r="EL175" s="20"/>
      <c r="EM175" s="20"/>
      <c r="EN175" s="20"/>
      <c r="EO175" s="20"/>
      <c r="EP175" s="20"/>
      <c r="EQ175" s="20"/>
      <c r="ER175" s="20"/>
      <c r="ES175" s="20"/>
      <c r="ET175" s="20"/>
      <c r="EU175" s="20"/>
      <c r="EV175" s="20" t="s">
        <v>214</v>
      </c>
      <c r="EW175" s="20">
        <v>0</v>
      </c>
      <c r="EX175" s="20">
        <v>0</v>
      </c>
      <c r="EY175" s="20">
        <v>0</v>
      </c>
      <c r="EZ175" s="20">
        <v>2</v>
      </c>
      <c r="FA175" s="20">
        <v>0</v>
      </c>
      <c r="FB175" s="20">
        <v>2</v>
      </c>
      <c r="FC175" s="20">
        <v>4</v>
      </c>
      <c r="FD175" s="20">
        <v>4</v>
      </c>
      <c r="FE175" s="20">
        <v>4</v>
      </c>
      <c r="FF175" s="20">
        <v>2</v>
      </c>
      <c r="FG175" s="20">
        <v>4</v>
      </c>
      <c r="FH175" s="20"/>
      <c r="FI175" s="20" t="s">
        <v>212</v>
      </c>
      <c r="FJ175" s="20">
        <v>0</v>
      </c>
      <c r="FK175" s="20">
        <v>0</v>
      </c>
      <c r="FL175" s="20">
        <v>0</v>
      </c>
      <c r="FM175" s="20">
        <v>0</v>
      </c>
      <c r="FN175" s="20">
        <v>0</v>
      </c>
      <c r="FO175" s="20">
        <v>0</v>
      </c>
      <c r="FP175" s="20">
        <v>4</v>
      </c>
      <c r="FQ175" s="20">
        <v>6</v>
      </c>
      <c r="FR175" s="20">
        <v>2</v>
      </c>
      <c r="FS175" s="20">
        <v>10</v>
      </c>
      <c r="FT175" s="20">
        <v>0</v>
      </c>
      <c r="FU175" s="20"/>
      <c r="FV175" s="20" t="s">
        <v>212</v>
      </c>
      <c r="FW175" s="20">
        <v>0</v>
      </c>
      <c r="FX175" s="20">
        <v>0</v>
      </c>
      <c r="FY175" s="20">
        <v>2</v>
      </c>
      <c r="FZ175" s="20">
        <v>2</v>
      </c>
      <c r="GA175" s="20">
        <v>0</v>
      </c>
      <c r="GB175" s="20">
        <v>4</v>
      </c>
      <c r="GC175" s="20">
        <v>4</v>
      </c>
      <c r="GD175" s="20">
        <v>0</v>
      </c>
      <c r="GE175" s="20">
        <v>0</v>
      </c>
      <c r="GF175" s="20">
        <v>2</v>
      </c>
      <c r="GG175" s="20">
        <v>8</v>
      </c>
      <c r="GH175" s="20"/>
      <c r="GI175" s="20"/>
      <c r="GJ175" s="20"/>
      <c r="GK175" s="20"/>
      <c r="GL175" s="20"/>
      <c r="GM175" s="20"/>
      <c r="GN175" s="20"/>
      <c r="GO175" s="20"/>
      <c r="GP175" s="20"/>
      <c r="GQ175" s="20"/>
      <c r="GR175" s="20"/>
      <c r="GS175" s="20"/>
      <c r="GT175" s="20"/>
      <c r="GU175" s="20"/>
      <c r="GV175" s="20"/>
      <c r="GW175" s="21"/>
      <c r="GX175" s="20">
        <v>1800</v>
      </c>
      <c r="GY175" s="20">
        <v>1600</v>
      </c>
      <c r="GZ175" s="20">
        <v>1</v>
      </c>
      <c r="HA175" s="20">
        <f>GY175*GZ175</f>
        <v>1600</v>
      </c>
      <c r="HB175" s="187">
        <v>29.72</v>
      </c>
      <c r="HC175" s="20">
        <f>GZ175*HB175</f>
        <v>29.72</v>
      </c>
      <c r="HD175" s="20">
        <f>GZ175</f>
        <v>1</v>
      </c>
      <c r="HE175" s="21"/>
      <c r="HF175" s="21"/>
      <c r="HG175" s="21"/>
      <c r="HH175" s="21"/>
      <c r="HI175" s="21"/>
      <c r="HJ175" s="21"/>
      <c r="HK175" s="21"/>
      <c r="HL175" s="21"/>
      <c r="HM175" s="21"/>
      <c r="HN175" s="21"/>
      <c r="HO175" s="21"/>
      <c r="HP175" s="21"/>
      <c r="HQ175" s="21"/>
      <c r="HR175" s="21"/>
      <c r="HS175" s="21"/>
      <c r="HT175" s="21"/>
      <c r="HU175" s="21"/>
      <c r="HV175" s="21" t="s">
        <v>853</v>
      </c>
      <c r="HW175" s="21">
        <v>0</v>
      </c>
      <c r="HX175" s="21">
        <v>0</v>
      </c>
      <c r="HY175" s="21">
        <v>2</v>
      </c>
      <c r="HZ175" s="21">
        <v>2</v>
      </c>
      <c r="IA175" s="21">
        <v>4</v>
      </c>
      <c r="IB175" s="21">
        <v>6</v>
      </c>
      <c r="IC175" s="21">
        <v>6</v>
      </c>
      <c r="ID175" s="21">
        <v>8</v>
      </c>
      <c r="IE175" s="21">
        <v>10</v>
      </c>
      <c r="IF175" s="21">
        <v>10</v>
      </c>
      <c r="IG175" s="21">
        <v>12</v>
      </c>
      <c r="IH175" s="21">
        <v>14</v>
      </c>
      <c r="II175" s="21">
        <v>14</v>
      </c>
      <c r="IJ175" s="21">
        <v>16</v>
      </c>
      <c r="IK175" s="21">
        <v>18</v>
      </c>
      <c r="IL175" s="21">
        <v>18</v>
      </c>
      <c r="IM175" s="21">
        <v>20</v>
      </c>
      <c r="IN175" s="21">
        <v>22</v>
      </c>
      <c r="IO175" s="21">
        <v>22</v>
      </c>
      <c r="IP175" s="21">
        <v>24</v>
      </c>
      <c r="IQ175" s="21">
        <v>26</v>
      </c>
      <c r="IR175" s="21"/>
      <c r="IS175" s="21" t="s">
        <v>853</v>
      </c>
      <c r="IT175" s="21">
        <f t="shared" si="66"/>
        <v>0</v>
      </c>
      <c r="IU175" s="21">
        <f t="shared" si="66"/>
        <v>0</v>
      </c>
      <c r="IV175" s="21">
        <f t="shared" si="66"/>
        <v>4</v>
      </c>
      <c r="IW175" s="21">
        <f t="shared" si="66"/>
        <v>4</v>
      </c>
      <c r="IX175" s="21">
        <f t="shared" si="66"/>
        <v>8</v>
      </c>
      <c r="IY175" s="21">
        <f t="shared" si="66"/>
        <v>12</v>
      </c>
      <c r="IZ175" s="21">
        <f t="shared" si="66"/>
        <v>12</v>
      </c>
      <c r="JA175" s="21">
        <f t="shared" si="66"/>
        <v>16</v>
      </c>
      <c r="JB175" s="21">
        <f t="shared" si="66"/>
        <v>20</v>
      </c>
      <c r="JC175" s="21">
        <f t="shared" si="66"/>
        <v>20</v>
      </c>
      <c r="JD175" s="21">
        <f t="shared" si="66"/>
        <v>24</v>
      </c>
      <c r="JE175" s="21">
        <f t="shared" si="66"/>
        <v>28</v>
      </c>
      <c r="JF175" s="21">
        <f t="shared" si="66"/>
        <v>28</v>
      </c>
      <c r="JG175" s="21">
        <f t="shared" si="66"/>
        <v>32</v>
      </c>
      <c r="JH175" s="21">
        <f t="shared" si="66"/>
        <v>36</v>
      </c>
      <c r="JI175" s="21">
        <f t="shared" si="53"/>
        <v>36</v>
      </c>
      <c r="JJ175" s="21">
        <f t="shared" si="53"/>
        <v>40</v>
      </c>
      <c r="JK175" s="21">
        <f t="shared" si="53"/>
        <v>44</v>
      </c>
      <c r="JL175" s="21">
        <f t="shared" si="53"/>
        <v>44</v>
      </c>
      <c r="JM175" s="21">
        <f t="shared" si="53"/>
        <v>48</v>
      </c>
      <c r="JN175" s="21">
        <f t="shared" si="53"/>
        <v>52</v>
      </c>
      <c r="JO175" s="21"/>
      <c r="JP175" s="21"/>
      <c r="JQ175" s="21"/>
      <c r="JR175" s="21"/>
      <c r="JS175" s="21"/>
      <c r="JT175" s="21"/>
      <c r="JU175" s="21"/>
      <c r="JV175" s="21"/>
      <c r="JW175" s="21"/>
      <c r="JX175" s="21"/>
      <c r="JY175" s="21"/>
      <c r="JZ175" s="21"/>
      <c r="KA175" s="21"/>
      <c r="KB175" s="21"/>
      <c r="KC175" s="21"/>
      <c r="KD175" s="21"/>
      <c r="KE175" s="21"/>
      <c r="KF175" s="21"/>
      <c r="KG175" s="21"/>
      <c r="KH175" s="21"/>
    </row>
    <row r="176" spans="1:294" x14ac:dyDescent="0.25">
      <c r="A176" s="9"/>
      <c r="B176" s="9"/>
      <c r="C176" s="9"/>
      <c r="D176" s="9"/>
      <c r="E176" s="9"/>
      <c r="F176" s="9"/>
      <c r="G176" s="9"/>
      <c r="H176" s="9"/>
      <c r="I176" s="9"/>
      <c r="J176" s="9"/>
      <c r="K176" s="9"/>
      <c r="L176" s="9"/>
      <c r="M176" s="9"/>
      <c r="N176" s="9"/>
      <c r="O176" s="9"/>
      <c r="P176" s="9"/>
      <c r="Q176" s="9"/>
      <c r="R176" s="9"/>
      <c r="S176" s="9"/>
      <c r="T176" s="34">
        <f>SUM(T152:T175)</f>
        <v>0</v>
      </c>
      <c r="U176" s="34">
        <f>SUM(U152:U175)</f>
        <v>0</v>
      </c>
      <c r="V176" s="20"/>
      <c r="W176" s="25">
        <f t="shared" si="68"/>
        <v>0</v>
      </c>
      <c r="X176" s="20">
        <f t="shared" si="69"/>
        <v>0</v>
      </c>
      <c r="Y176" s="20"/>
      <c r="Z176" s="20">
        <f>(INDEX(($AM$106:$CK$111,$AM$115:$CK$120,$AM$124:$CK$129,$AM$133:$CK$138),MATCH($L$184,$AL$106:$AL$111,0),MATCH(A187,$AM$105:$CK$105,0),MATCH($G$179,$X$128:$X$131,0)))*C187</f>
        <v>0</v>
      </c>
      <c r="AA176" s="20">
        <f>(INDEX(($AM$106:$CK$111,$AM$115:$CK$120,$AM$124:$CK$129,$AM$133:$CK$138),MATCH($L$179,$AL$106:$AL$111,0),MATCH(A187,$AM$105:$CK$105,0),MATCH($G$179,$X$128:$X$131,0)))*C187</f>
        <v>0</v>
      </c>
      <c r="AB176" s="20">
        <f>(INDEX(($AM$106:$CK$111,$AM$115:$CK$120,$AM$124:$CK$129,$AM$133:$CK$138),MATCH($L$180,$AL$106:$AL$111,0),MATCH(A187,$AM$105:$CK$105,0),MATCH($G$179,$X$128:$X$131,0)))*C187</f>
        <v>0</v>
      </c>
      <c r="AC176" s="20">
        <f>(INDEX(($AM$106:$CK$111,$AM$115:$CK$120,$AM$124:$CK$129,$AM$133:$CK$138),MATCH($L$181,$AL$106:$AL$111,0),MATCH(A187,$AM$105:$CK$105,0),MATCH($G$179,$X$128:$X$131,0)))*C187</f>
        <v>0</v>
      </c>
      <c r="AD176" s="20">
        <f>(INDEX(($AM$106:$CK$111,$AM$115:$CK$120,$AM$124:$CK$129,$AM$133:$CK$138),MATCH($L$182,$AL$106:$AL$111,0),MATCH(A187,$AM$105:$CK$105,0),MATCH($G$179,$X$128:$X$131,0)))*C187</f>
        <v>0</v>
      </c>
      <c r="AE176" s="20">
        <f>(INDEX(($AM$106:$CK$111,$AM$115:$CK$120,$AM$124:$CK$129,$AM$133:$CK$138),MATCH($L$183,$AL$106:$AL$111,0),MATCH(A187,$AM$105:$CK$105,0),MATCH($G$179,$X$128:$X$131,0)))*C187</f>
        <v>0</v>
      </c>
      <c r="AF176" s="21"/>
      <c r="AG176" s="21"/>
      <c r="AH176" s="20" t="s">
        <v>140</v>
      </c>
      <c r="AI176" s="20" t="s">
        <v>125</v>
      </c>
      <c r="AJ176" s="20" t="s">
        <v>144</v>
      </c>
      <c r="AK176" s="20"/>
      <c r="AL176" s="20"/>
      <c r="AM176" s="20"/>
      <c r="AN176" s="20"/>
      <c r="AO176" s="20"/>
      <c r="AP176" s="20"/>
      <c r="AQ176" s="20"/>
      <c r="AR176" s="20"/>
      <c r="AS176" s="20"/>
      <c r="AT176" s="20"/>
      <c r="AU176" s="20"/>
      <c r="AV176" s="20"/>
      <c r="AW176" s="20"/>
      <c r="AX176" s="20"/>
      <c r="AY176" s="20"/>
      <c r="AZ176" s="20"/>
      <c r="BA176" s="20"/>
      <c r="BB176" s="20"/>
      <c r="BC176" s="20"/>
      <c r="BD176" s="20"/>
      <c r="BE176" s="20"/>
      <c r="BF176" s="20"/>
      <c r="BG176" s="20"/>
      <c r="BH176" s="20"/>
      <c r="BI176" s="20"/>
      <c r="BJ176" s="20"/>
      <c r="BK176" s="20"/>
      <c r="BL176" s="20"/>
      <c r="BM176" s="20"/>
      <c r="BN176" s="20"/>
      <c r="BO176" s="20"/>
      <c r="BP176" s="20"/>
      <c r="BQ176" s="20"/>
      <c r="BR176" s="20"/>
      <c r="BS176" s="20"/>
      <c r="BT176" s="20"/>
      <c r="BU176" s="20"/>
      <c r="BV176" s="20"/>
      <c r="BW176" s="20"/>
      <c r="BX176" s="20"/>
      <c r="BY176" s="20"/>
      <c r="BZ176" s="20"/>
      <c r="CA176" s="20"/>
      <c r="CB176" s="20"/>
      <c r="CC176" s="20"/>
      <c r="CD176" s="20"/>
      <c r="CE176" s="20"/>
      <c r="CF176" s="20"/>
      <c r="CG176" s="20"/>
      <c r="CH176" s="20"/>
      <c r="CI176" s="20"/>
      <c r="CJ176" s="20"/>
      <c r="CK176" s="20"/>
      <c r="CL176" s="20"/>
      <c r="CM176" s="20" t="s">
        <v>114</v>
      </c>
      <c r="CN176" s="20">
        <v>0</v>
      </c>
      <c r="CO176" s="20">
        <v>1</v>
      </c>
      <c r="CP176" s="20">
        <v>2</v>
      </c>
      <c r="CQ176" s="20">
        <v>3</v>
      </c>
      <c r="CR176" s="20">
        <v>4</v>
      </c>
      <c r="CS176" s="20">
        <v>5</v>
      </c>
      <c r="CT176" s="20">
        <v>6</v>
      </c>
      <c r="CU176" s="20">
        <v>7</v>
      </c>
      <c r="CV176" s="20">
        <v>8</v>
      </c>
      <c r="CW176" s="20">
        <v>9</v>
      </c>
      <c r="CX176" s="20">
        <v>10</v>
      </c>
      <c r="CY176" s="20">
        <v>11</v>
      </c>
      <c r="CZ176" s="20">
        <v>12</v>
      </c>
      <c r="DA176" s="20">
        <v>13</v>
      </c>
      <c r="DB176" s="20">
        <v>14</v>
      </c>
      <c r="DC176" s="20">
        <v>15</v>
      </c>
      <c r="DD176" s="20">
        <v>16</v>
      </c>
      <c r="DE176" s="20">
        <v>17</v>
      </c>
      <c r="DF176" s="20">
        <v>18</v>
      </c>
      <c r="DG176" s="20">
        <v>19</v>
      </c>
      <c r="DH176" s="20">
        <v>20</v>
      </c>
      <c r="DI176" s="20"/>
      <c r="DJ176" s="20"/>
      <c r="DK176" s="20"/>
      <c r="DL176" s="20"/>
      <c r="DM176" s="20" t="s">
        <v>11</v>
      </c>
      <c r="DN176" s="20">
        <v>0</v>
      </c>
      <c r="DO176" s="20">
        <v>0</v>
      </c>
      <c r="DP176" s="20">
        <v>0</v>
      </c>
      <c r="DQ176" s="20">
        <v>0</v>
      </c>
      <c r="DR176" s="20">
        <v>2</v>
      </c>
      <c r="DS176" s="20">
        <v>2</v>
      </c>
      <c r="DT176" s="20">
        <v>2</v>
      </c>
      <c r="DU176" s="20">
        <v>4</v>
      </c>
      <c r="DV176" s="20">
        <v>4</v>
      </c>
      <c r="DW176" s="20">
        <v>4</v>
      </c>
      <c r="DX176" s="20">
        <v>6</v>
      </c>
      <c r="DY176" s="20">
        <v>6</v>
      </c>
      <c r="DZ176" s="54">
        <v>6</v>
      </c>
      <c r="EA176" s="54">
        <v>6</v>
      </c>
      <c r="EB176" s="54">
        <v>8</v>
      </c>
      <c r="EC176" s="20">
        <v>8</v>
      </c>
      <c r="ED176" s="20">
        <v>8</v>
      </c>
      <c r="EE176" s="20">
        <v>10</v>
      </c>
      <c r="EF176" s="20">
        <v>10</v>
      </c>
      <c r="EG176" s="20">
        <v>10</v>
      </c>
      <c r="EH176" s="20">
        <v>12</v>
      </c>
      <c r="EI176" s="20"/>
      <c r="EJ176" s="20"/>
      <c r="EK176" s="20"/>
      <c r="EL176" s="20"/>
      <c r="EM176" s="20"/>
      <c r="EN176" s="20"/>
      <c r="EO176" s="20"/>
      <c r="EP176" s="20"/>
      <c r="EQ176" s="20"/>
      <c r="ER176" s="20"/>
      <c r="ES176" s="20"/>
      <c r="ET176" s="20"/>
      <c r="EU176" s="20"/>
      <c r="EV176" s="20" t="s">
        <v>11</v>
      </c>
      <c r="EW176" s="20">
        <v>0</v>
      </c>
      <c r="EX176" s="20">
        <v>0</v>
      </c>
      <c r="EY176" s="20">
        <v>0</v>
      </c>
      <c r="EZ176" s="20">
        <v>2</v>
      </c>
      <c r="FA176" s="20">
        <v>2</v>
      </c>
      <c r="FB176" s="20">
        <v>4</v>
      </c>
      <c r="FC176" s="20">
        <v>4</v>
      </c>
      <c r="FD176" s="20">
        <v>6</v>
      </c>
      <c r="FE176" s="20">
        <v>6</v>
      </c>
      <c r="FF176" s="20">
        <v>8</v>
      </c>
      <c r="FG176" s="20">
        <v>8</v>
      </c>
      <c r="FH176" s="20"/>
      <c r="FI176" s="20" t="s">
        <v>214</v>
      </c>
      <c r="FJ176" s="20">
        <v>0</v>
      </c>
      <c r="FK176" s="20">
        <v>0</v>
      </c>
      <c r="FL176" s="20">
        <v>0</v>
      </c>
      <c r="FM176" s="20">
        <v>0</v>
      </c>
      <c r="FN176" s="20">
        <v>2</v>
      </c>
      <c r="FO176" s="20">
        <v>2</v>
      </c>
      <c r="FP176" s="20">
        <v>2</v>
      </c>
      <c r="FQ176" s="20">
        <v>0</v>
      </c>
      <c r="FR176" s="20">
        <v>0</v>
      </c>
      <c r="FS176" s="20">
        <v>0</v>
      </c>
      <c r="FT176" s="20">
        <v>4</v>
      </c>
      <c r="FU176" s="20"/>
      <c r="FV176" s="20" t="s">
        <v>214</v>
      </c>
      <c r="FW176" s="20">
        <v>0</v>
      </c>
      <c r="FX176" s="20">
        <v>0</v>
      </c>
      <c r="FY176" s="20">
        <v>0</v>
      </c>
      <c r="FZ176" s="20">
        <v>0</v>
      </c>
      <c r="GA176" s="20">
        <v>4</v>
      </c>
      <c r="GB176" s="20">
        <v>2</v>
      </c>
      <c r="GC176" s="20">
        <v>0</v>
      </c>
      <c r="GD176" s="20">
        <v>2</v>
      </c>
      <c r="GE176" s="20">
        <v>6</v>
      </c>
      <c r="GF176" s="20">
        <v>2</v>
      </c>
      <c r="GG176" s="20">
        <v>4</v>
      </c>
      <c r="GH176" s="20"/>
      <c r="GI176" s="20"/>
      <c r="GJ176" s="20"/>
      <c r="GK176" s="20"/>
      <c r="GL176" s="20"/>
      <c r="GM176" s="20"/>
      <c r="GN176" s="20"/>
      <c r="GO176" s="20"/>
      <c r="GP176" s="20"/>
      <c r="GQ176" s="20"/>
      <c r="GR176" s="20"/>
      <c r="GS176" s="20"/>
      <c r="GT176" s="20"/>
      <c r="GU176" s="20"/>
      <c r="GV176" s="20"/>
      <c r="GW176" s="21"/>
      <c r="GX176" s="20">
        <v>2120</v>
      </c>
      <c r="GY176" s="20">
        <v>1920</v>
      </c>
      <c r="GZ176" s="20">
        <v>23</v>
      </c>
      <c r="HA176" s="20">
        <f t="shared" ref="HA176" si="72">GY176*GZ176</f>
        <v>44160</v>
      </c>
      <c r="HB176" s="187">
        <v>36.159999999999997</v>
      </c>
      <c r="HC176" s="20">
        <f>GZ176*HB176</f>
        <v>831.68</v>
      </c>
      <c r="HD176" s="20">
        <f>GZ176</f>
        <v>23</v>
      </c>
      <c r="HE176" s="21"/>
      <c r="HF176" s="21"/>
      <c r="HG176" s="21"/>
      <c r="HH176" s="21"/>
      <c r="HI176" s="21"/>
      <c r="HJ176" s="21"/>
      <c r="HK176" s="21"/>
      <c r="HL176" s="21"/>
      <c r="HM176" s="21"/>
      <c r="HN176" s="21"/>
      <c r="HO176" s="21"/>
      <c r="HP176" s="21"/>
      <c r="HQ176" s="21"/>
      <c r="HR176" s="21"/>
      <c r="HS176" s="21"/>
      <c r="HT176" s="21"/>
      <c r="HU176" s="21"/>
      <c r="HV176" s="186"/>
      <c r="HW176" s="21"/>
      <c r="HX176" s="21"/>
      <c r="HY176" s="21"/>
      <c r="HZ176" s="21"/>
      <c r="IA176" s="21"/>
      <c r="IB176" s="21"/>
      <c r="IC176" s="21"/>
      <c r="ID176" s="21"/>
      <c r="IE176" s="21"/>
      <c r="IF176" s="21"/>
      <c r="IG176" s="21"/>
      <c r="IH176" s="21"/>
      <c r="II176" s="21"/>
      <c r="IJ176" s="21"/>
      <c r="IK176" s="21"/>
      <c r="IL176" s="21"/>
      <c r="IM176" s="21"/>
      <c r="IN176" s="21"/>
      <c r="IO176" s="21"/>
      <c r="IP176" s="21"/>
      <c r="IQ176" s="21"/>
      <c r="IR176" s="21"/>
      <c r="IS176" s="21"/>
      <c r="IT176" s="21"/>
      <c r="IU176" s="21"/>
      <c r="IV176" s="21"/>
      <c r="IW176" s="21"/>
      <c r="IX176" s="21"/>
      <c r="IY176" s="21"/>
      <c r="IZ176" s="21"/>
      <c r="JA176" s="21"/>
      <c r="JB176" s="21"/>
      <c r="JC176" s="21"/>
      <c r="JD176" s="21"/>
      <c r="JE176" s="21"/>
      <c r="JF176" s="21"/>
      <c r="JG176" s="21"/>
      <c r="JH176" s="21"/>
      <c r="JI176" s="21"/>
      <c r="JJ176" s="21"/>
      <c r="JK176" s="21"/>
      <c r="JL176" s="21"/>
      <c r="JM176" s="21"/>
      <c r="JN176" s="21"/>
      <c r="JO176" s="21"/>
      <c r="JP176" s="21"/>
      <c r="JQ176" s="21"/>
      <c r="JR176" s="21"/>
      <c r="JS176" s="21"/>
      <c r="JT176" s="21"/>
      <c r="JU176" s="21"/>
      <c r="JV176" s="21"/>
      <c r="JW176" s="21"/>
      <c r="JX176" s="21"/>
      <c r="JY176" s="21"/>
      <c r="JZ176" s="21"/>
      <c r="KA176" s="21"/>
      <c r="KB176" s="21"/>
      <c r="KC176" s="21"/>
      <c r="KD176" s="21"/>
      <c r="KE176" s="21"/>
      <c r="KF176" s="21"/>
      <c r="KG176" s="21"/>
      <c r="KH176" s="21"/>
    </row>
    <row r="177" spans="1:294" ht="51.75" x14ac:dyDescent="0.25">
      <c r="A177" s="3" t="s">
        <v>120</v>
      </c>
      <c r="B177" s="3"/>
      <c r="C177" s="3" t="s">
        <v>121</v>
      </c>
      <c r="D177" s="9"/>
      <c r="E177" s="9"/>
      <c r="F177" s="9"/>
      <c r="G177" s="9"/>
      <c r="H177" s="9"/>
      <c r="I177" s="9"/>
      <c r="J177" s="9"/>
      <c r="K177" s="9"/>
      <c r="L177" s="360" t="str">
        <f>IF(E182="kotwiona","KONSTRUKCJA DP-DTAVKN",IF(E182="balastowa","KONSTRUKCJA DP-DTAVBN"))</f>
        <v>KONSTRUKCJA DP-DTAVBN</v>
      </c>
      <c r="M177" s="360"/>
      <c r="N177" s="360"/>
      <c r="O177" s="360"/>
      <c r="P177" s="360"/>
      <c r="Q177" s="360"/>
      <c r="R177" s="360"/>
      <c r="S177" s="360"/>
      <c r="T177" s="360"/>
      <c r="U177" s="360"/>
      <c r="V177" s="20"/>
      <c r="W177" s="25">
        <f t="shared" si="68"/>
        <v>0</v>
      </c>
      <c r="X177" s="20">
        <f t="shared" si="69"/>
        <v>0</v>
      </c>
      <c r="Y177" s="20"/>
      <c r="Z177" s="20">
        <f>(INDEX(($AM$106:$CK$111,$AM$115:$CK$120,$AM$124:$CK$129,$AM$133:$CK$138),MATCH($L$184,$AL$106:$AL$111,0),MATCH(A188,$AM$105:$CK$105,0),MATCH($G$179,$X$128:$X$131,0)))*C188</f>
        <v>0</v>
      </c>
      <c r="AA177" s="20">
        <f>(INDEX(($AM$106:$CK$111,$AM$115:$CK$120,$AM$124:$CK$129,$AM$133:$CK$138),MATCH($L$179,$AL$106:$AL$111,0),MATCH(A188,$AM$105:$CK$105,0),MATCH($G$179,$X$128:$X$131,0)))*C188</f>
        <v>0</v>
      </c>
      <c r="AB177" s="20">
        <f>(INDEX(($AM$106:$CK$111,$AM$115:$CK$120,$AM$124:$CK$129,$AM$133:$CK$138),MATCH($L$180,$AL$106:$AL$111,0),MATCH(A188,$AM$105:$CK$105,0),MATCH($G$179,$X$128:$X$131,0)))*C188</f>
        <v>0</v>
      </c>
      <c r="AC177" s="20">
        <f>(INDEX(($AM$106:$CK$111,$AM$115:$CK$120,$AM$124:$CK$129,$AM$133:$CK$138),MATCH($L$181,$AL$106:$AL$111,0),MATCH(A188,$AM$105:$CK$105,0),MATCH($G$179,$X$128:$X$131,0)))*C188</f>
        <v>0</v>
      </c>
      <c r="AD177" s="20">
        <f>(INDEX(($AM$106:$CK$111,$AM$115:$CK$120,$AM$124:$CK$129,$AM$133:$CK$138),MATCH($L$182,$AL$106:$AL$111,0),MATCH(A188,$AM$105:$CK$105,0),MATCH($G$179,$X$128:$X$131,0)))*C188</f>
        <v>0</v>
      </c>
      <c r="AE177" s="20">
        <f>(INDEX(($AM$106:$CK$111,$AM$115:$CK$120,$AM$124:$CK$129,$AM$133:$CK$138),MATCH($L$183,$AL$106:$AL$111,0),MATCH(A188,$AM$105:$CK$105,0),MATCH($G$179,$X$128:$X$131,0)))*C188</f>
        <v>0</v>
      </c>
      <c r="AF177" s="20"/>
      <c r="AG177" s="20"/>
      <c r="AH177" s="20">
        <v>30</v>
      </c>
      <c r="AI177" s="20" t="s">
        <v>1050</v>
      </c>
      <c r="AJ177" s="20" t="s">
        <v>1438</v>
      </c>
      <c r="AK177" s="20"/>
      <c r="AL177" s="20" t="s">
        <v>137</v>
      </c>
      <c r="AM177" s="20"/>
      <c r="AN177" s="20"/>
      <c r="AO177" s="20"/>
      <c r="AP177" s="20"/>
      <c r="AQ177" s="20"/>
      <c r="AR177" s="20"/>
      <c r="AS177" s="20"/>
      <c r="AT177" s="20"/>
      <c r="AU177" s="20"/>
      <c r="AV177" s="20"/>
      <c r="AW177" s="20"/>
      <c r="AX177" s="20"/>
      <c r="AY177" s="20"/>
      <c r="AZ177" s="20"/>
      <c r="BA177" s="20"/>
      <c r="BB177" s="20"/>
      <c r="BC177" s="20"/>
      <c r="BD177" s="20"/>
      <c r="BE177" s="20"/>
      <c r="BF177" s="20"/>
      <c r="BG177" s="20"/>
      <c r="BH177" s="20"/>
      <c r="BI177" s="20"/>
      <c r="BJ177" s="20"/>
      <c r="BK177" s="20"/>
      <c r="BL177" s="20"/>
      <c r="BM177" s="20"/>
      <c r="BN177" s="20"/>
      <c r="BO177" s="20"/>
      <c r="BP177" s="20"/>
      <c r="BQ177" s="20"/>
      <c r="BR177" s="20"/>
      <c r="BS177" s="20"/>
      <c r="BT177" s="20"/>
      <c r="BU177" s="20"/>
      <c r="BV177" s="20"/>
      <c r="BW177" s="20"/>
      <c r="BX177" s="20"/>
      <c r="BY177" s="20"/>
      <c r="BZ177" s="20"/>
      <c r="CA177" s="20"/>
      <c r="CB177" s="20"/>
      <c r="CC177" s="20"/>
      <c r="CD177" s="20"/>
      <c r="CE177" s="20"/>
      <c r="CF177" s="20"/>
      <c r="CG177" s="20"/>
      <c r="CH177" s="20"/>
      <c r="CI177" s="20"/>
      <c r="CJ177" s="20"/>
      <c r="CK177" s="20"/>
      <c r="CL177" s="20"/>
      <c r="CM177" s="20" t="s">
        <v>127</v>
      </c>
      <c r="CN177" s="20">
        <v>0</v>
      </c>
      <c r="CO177" s="20">
        <v>2</v>
      </c>
      <c r="CP177" s="20">
        <v>2</v>
      </c>
      <c r="CQ177" s="20">
        <v>0</v>
      </c>
      <c r="CR177" s="20">
        <v>4</v>
      </c>
      <c r="CS177" s="20">
        <v>2</v>
      </c>
      <c r="CT177" s="20">
        <v>0</v>
      </c>
      <c r="CU177" s="20">
        <v>4</v>
      </c>
      <c r="CV177" s="20">
        <v>2</v>
      </c>
      <c r="CW177" s="20">
        <v>0</v>
      </c>
      <c r="CX177" s="20">
        <v>4</v>
      </c>
      <c r="CY177" s="20">
        <v>2</v>
      </c>
      <c r="CZ177" s="20">
        <v>0</v>
      </c>
      <c r="DA177" s="20">
        <v>4</v>
      </c>
      <c r="DB177" s="20">
        <v>2</v>
      </c>
      <c r="DC177" s="20">
        <v>2</v>
      </c>
      <c r="DD177" s="20">
        <v>0</v>
      </c>
      <c r="DE177" s="20">
        <v>4</v>
      </c>
      <c r="DF177" s="20">
        <v>2</v>
      </c>
      <c r="DG177" s="20">
        <v>0</v>
      </c>
      <c r="DH177" s="20">
        <v>4</v>
      </c>
      <c r="DI177" s="20"/>
      <c r="DJ177" s="20"/>
      <c r="DK177" s="20"/>
      <c r="DL177" s="20"/>
      <c r="DM177" s="20"/>
      <c r="DN177" s="20"/>
      <c r="DO177" s="20"/>
      <c r="DP177" s="20"/>
      <c r="DQ177" s="20"/>
      <c r="DR177" s="20"/>
      <c r="DS177" s="20"/>
      <c r="DT177" s="20"/>
      <c r="DU177" s="20"/>
      <c r="DV177" s="20"/>
      <c r="DW177" s="20"/>
      <c r="DX177" s="20"/>
      <c r="DY177" s="20"/>
      <c r="DZ177" s="54"/>
      <c r="EA177" s="54"/>
      <c r="EB177" s="54"/>
      <c r="EC177" s="20"/>
      <c r="ED177" s="20"/>
      <c r="EE177" s="20"/>
      <c r="EF177" s="20"/>
      <c r="EG177" s="20"/>
      <c r="EH177" s="20"/>
      <c r="EI177" s="20"/>
      <c r="EJ177" s="20"/>
      <c r="EK177" s="20"/>
      <c r="EL177" s="20"/>
      <c r="EM177" s="20"/>
      <c r="EN177" s="20"/>
      <c r="EO177" s="20"/>
      <c r="EP177" s="20"/>
      <c r="EQ177" s="20"/>
      <c r="ER177" s="20"/>
      <c r="ES177" s="20"/>
      <c r="ET177" s="20"/>
      <c r="EU177" s="20"/>
      <c r="EV177" s="21"/>
      <c r="EW177" s="21"/>
      <c r="EX177" s="21"/>
      <c r="EY177" s="21"/>
      <c r="EZ177" s="21"/>
      <c r="FA177" s="21"/>
      <c r="FB177" s="21"/>
      <c r="FC177" s="21"/>
      <c r="FD177" s="21"/>
      <c r="FE177" s="21"/>
      <c r="FF177" s="21"/>
      <c r="FG177" s="21"/>
      <c r="FH177" s="20"/>
      <c r="FI177" s="20" t="s">
        <v>11</v>
      </c>
      <c r="FJ177" s="20">
        <v>0</v>
      </c>
      <c r="FK177" s="20">
        <v>0</v>
      </c>
      <c r="FL177" s="20">
        <v>2</v>
      </c>
      <c r="FM177" s="20">
        <v>2</v>
      </c>
      <c r="FN177" s="20">
        <v>4</v>
      </c>
      <c r="FO177" s="20">
        <v>4</v>
      </c>
      <c r="FP177" s="20">
        <v>6</v>
      </c>
      <c r="FQ177" s="20">
        <v>6</v>
      </c>
      <c r="FR177" s="20">
        <v>8</v>
      </c>
      <c r="FS177" s="20">
        <v>8</v>
      </c>
      <c r="FT177" s="20">
        <v>10</v>
      </c>
      <c r="FU177" s="20"/>
      <c r="FV177" s="20" t="s">
        <v>11</v>
      </c>
      <c r="FW177" s="20">
        <v>0</v>
      </c>
      <c r="FX177" s="20">
        <v>0</v>
      </c>
      <c r="FY177" s="20">
        <v>2</v>
      </c>
      <c r="FZ177" s="20">
        <v>2</v>
      </c>
      <c r="GA177" s="20">
        <v>4</v>
      </c>
      <c r="GB177" s="20">
        <v>4</v>
      </c>
      <c r="GC177" s="20">
        <v>6</v>
      </c>
      <c r="GD177" s="20">
        <v>8</v>
      </c>
      <c r="GE177" s="20">
        <v>8</v>
      </c>
      <c r="GF177" s="20">
        <v>10</v>
      </c>
      <c r="GG177" s="20">
        <v>10</v>
      </c>
      <c r="GH177" s="20"/>
      <c r="GI177" s="20"/>
      <c r="GJ177" s="20"/>
      <c r="GK177" s="20"/>
      <c r="GL177" s="20"/>
      <c r="GM177" s="20"/>
      <c r="GN177" s="20"/>
      <c r="GO177" s="20"/>
      <c r="GP177" s="20"/>
      <c r="GQ177" s="20"/>
      <c r="GR177" s="20"/>
      <c r="GS177" s="20"/>
      <c r="GT177" s="20"/>
      <c r="GU177" s="20"/>
      <c r="GV177" s="20"/>
      <c r="GW177" s="21"/>
      <c r="GX177" s="20">
        <v>2400</v>
      </c>
      <c r="GY177" s="21">
        <v>2200</v>
      </c>
      <c r="GZ177" s="21">
        <v>0</v>
      </c>
      <c r="HA177" s="20">
        <f>GY177*GZ177</f>
        <v>0</v>
      </c>
      <c r="HB177" s="21">
        <v>51.1</v>
      </c>
      <c r="HC177" s="20">
        <f t="shared" ref="HC177" si="73">GZ177*HB177</f>
        <v>0</v>
      </c>
      <c r="HD177" s="20">
        <f>GZ177</f>
        <v>0</v>
      </c>
      <c r="HE177" s="21"/>
      <c r="HF177" s="21"/>
      <c r="HG177" s="21"/>
      <c r="HH177" s="21"/>
      <c r="HI177" s="21"/>
      <c r="HJ177" s="21"/>
      <c r="HK177" s="21"/>
      <c r="HL177" s="21"/>
      <c r="HM177" s="21"/>
      <c r="HN177" s="21"/>
      <c r="HO177" s="21"/>
      <c r="HP177" s="21"/>
      <c r="HQ177" s="21"/>
      <c r="HR177" s="21"/>
      <c r="HS177" s="21"/>
      <c r="HT177" s="21"/>
      <c r="HU177" s="21"/>
      <c r="HV177" s="186" t="s">
        <v>508</v>
      </c>
      <c r="HW177" s="21"/>
      <c r="HX177" s="21"/>
      <c r="HY177" s="21"/>
      <c r="HZ177" s="21"/>
      <c r="IA177" s="21"/>
      <c r="IB177" s="21"/>
      <c r="IC177" s="21"/>
      <c r="ID177" s="21"/>
      <c r="IE177" s="21"/>
      <c r="IF177" s="21"/>
      <c r="IG177" s="21"/>
      <c r="IH177" s="21"/>
      <c r="II177" s="21"/>
      <c r="IJ177" s="21"/>
      <c r="IK177" s="21"/>
      <c r="IL177" s="21"/>
      <c r="IM177" s="21"/>
      <c r="IN177" s="21"/>
      <c r="IO177" s="21"/>
      <c r="IP177" s="21"/>
      <c r="IQ177" s="21"/>
      <c r="IR177" s="21"/>
      <c r="IS177" s="21" t="s">
        <v>508</v>
      </c>
      <c r="IT177" s="21"/>
      <c r="IU177" s="21"/>
      <c r="IV177" s="21"/>
      <c r="IW177" s="21"/>
      <c r="IX177" s="21"/>
      <c r="IY177" s="21"/>
      <c r="IZ177" s="21"/>
      <c r="JA177" s="21"/>
      <c r="JB177" s="21"/>
      <c r="JC177" s="21"/>
      <c r="JD177" s="21"/>
      <c r="JE177" s="21"/>
      <c r="JF177" s="21"/>
      <c r="JG177" s="21"/>
      <c r="JH177" s="21"/>
      <c r="JI177" s="21"/>
      <c r="JJ177" s="21"/>
      <c r="JK177" s="21"/>
      <c r="JL177" s="21"/>
      <c r="JM177" s="21"/>
      <c r="JN177" s="21"/>
      <c r="JO177" s="21"/>
      <c r="JP177" s="21"/>
      <c r="JQ177" s="21"/>
      <c r="JR177" s="21"/>
      <c r="JS177" s="21"/>
      <c r="JT177" s="21"/>
      <c r="JU177" s="21"/>
      <c r="JV177" s="21"/>
      <c r="JW177" s="21"/>
      <c r="JX177" s="21"/>
      <c r="JY177" s="21"/>
      <c r="JZ177" s="21"/>
      <c r="KA177" s="21"/>
      <c r="KB177" s="21"/>
      <c r="KC177" s="21"/>
      <c r="KD177" s="21"/>
      <c r="KE177" s="21"/>
      <c r="KF177" s="21"/>
      <c r="KG177" s="21"/>
      <c r="KH177" s="21"/>
    </row>
    <row r="178" spans="1:294" x14ac:dyDescent="0.25">
      <c r="A178" s="8"/>
      <c r="B178" s="5" t="s">
        <v>116</v>
      </c>
      <c r="C178" s="8"/>
      <c r="D178" s="9"/>
      <c r="E178" s="9"/>
      <c r="F178" s="9"/>
      <c r="G178" s="9"/>
      <c r="H178" s="9"/>
      <c r="I178" s="9"/>
      <c r="J178" s="9"/>
      <c r="K178" s="9"/>
      <c r="L178" s="5" t="s">
        <v>103</v>
      </c>
      <c r="M178" s="5" t="s">
        <v>104</v>
      </c>
      <c r="N178" s="5" t="s">
        <v>107</v>
      </c>
      <c r="O178" s="5" t="s">
        <v>290</v>
      </c>
      <c r="P178" s="5" t="s">
        <v>446</v>
      </c>
      <c r="Q178" s="5" t="s">
        <v>448</v>
      </c>
      <c r="R178" s="5" t="s">
        <v>409</v>
      </c>
      <c r="S178" s="5" t="s">
        <v>447</v>
      </c>
      <c r="T178" s="5" t="s">
        <v>449</v>
      </c>
      <c r="U178" s="5" t="s">
        <v>106</v>
      </c>
      <c r="V178" s="20"/>
      <c r="W178" s="25">
        <f t="shared" si="68"/>
        <v>0</v>
      </c>
      <c r="X178" s="20">
        <f t="shared" si="69"/>
        <v>0</v>
      </c>
      <c r="Y178" s="20"/>
      <c r="Z178" s="20">
        <f>(INDEX(($AM$106:$CK$111,$AM$115:$CK$120,$AM$124:$CK$129,$AM$133:$CK$138),MATCH($L$184,$AL$106:$AL$111,0),MATCH(A189,$AM$105:$CK$105,0),MATCH($G$179,$X$128:$X$131,0)))*C189</f>
        <v>0</v>
      </c>
      <c r="AA178" s="20">
        <f>(INDEX(($AM$106:$CK$111,$AM$115:$CK$120,$AM$124:$CK$129,$AM$133:$CK$138),MATCH($L$179,$AL$106:$AL$111,0),MATCH(A189,$AM$105:$CK$105,0),MATCH($G$179,$X$128:$X$131,0)))*C189</f>
        <v>0</v>
      </c>
      <c r="AB178" s="20">
        <f>(INDEX(($AM$106:$CK$111,$AM$115:$CK$120,$AM$124:$CK$129,$AM$133:$CK$138),MATCH($L$180,$AL$106:$AL$111,0),MATCH(A189,$AM$105:$CK$105,0),MATCH($G$179,$X$128:$X$131,0)))*C189</f>
        <v>0</v>
      </c>
      <c r="AC178" s="20">
        <f>(INDEX(($AM$106:$CK$111,$AM$115:$CK$120,$AM$124:$CK$129,$AM$133:$CK$138),MATCH($L$181,$AL$106:$AL$111,0),MATCH(A189,$AM$105:$CK$105,0),MATCH($G$179,$X$128:$X$131,0)))*C189</f>
        <v>0</v>
      </c>
      <c r="AD178" s="20">
        <f>(INDEX(($AM$106:$CK$111,$AM$115:$CK$120,$AM$124:$CK$129,$AM$133:$CK$138),MATCH($L$182,$AL$106:$AL$111,0),MATCH(A189,$AM$105:$CK$105,0),MATCH($G$179,$X$128:$X$131,0)))*C189</f>
        <v>0</v>
      </c>
      <c r="AE178" s="20">
        <f>(INDEX(($AM$106:$CK$111,$AM$115:$CK$120,$AM$124:$CK$129,$AM$133:$CK$138),MATCH($L$183,$AL$106:$AL$111,0),MATCH(A189,$AM$105:$CK$105,0),MATCH($G$179,$X$128:$X$131,0)))*C189</f>
        <v>0</v>
      </c>
      <c r="AF178" s="20"/>
      <c r="AG178" s="20"/>
      <c r="AH178" s="20">
        <v>32</v>
      </c>
      <c r="AI178" s="20" t="s">
        <v>1052</v>
      </c>
      <c r="AJ178" s="20" t="s">
        <v>1439</v>
      </c>
      <c r="AK178" s="20"/>
      <c r="AL178" s="20"/>
      <c r="AM178" s="20">
        <v>0</v>
      </c>
      <c r="AN178" s="20">
        <v>1</v>
      </c>
      <c r="AO178" s="20">
        <v>2</v>
      </c>
      <c r="AP178" s="20">
        <v>3</v>
      </c>
      <c r="AQ178" s="20">
        <v>4</v>
      </c>
      <c r="AR178" s="20">
        <v>5</v>
      </c>
      <c r="AS178" s="20">
        <v>6</v>
      </c>
      <c r="AT178" s="20">
        <v>7</v>
      </c>
      <c r="AU178" s="20">
        <v>8</v>
      </c>
      <c r="AV178" s="20">
        <v>9</v>
      </c>
      <c r="AW178" s="20">
        <v>10</v>
      </c>
      <c r="AX178" s="20">
        <v>11</v>
      </c>
      <c r="AY178" s="20">
        <v>12</v>
      </c>
      <c r="AZ178" s="20">
        <v>13</v>
      </c>
      <c r="BA178" s="20">
        <v>14</v>
      </c>
      <c r="BB178" s="20">
        <v>15</v>
      </c>
      <c r="BC178" s="20">
        <v>16</v>
      </c>
      <c r="BD178" s="20">
        <v>17</v>
      </c>
      <c r="BE178" s="20">
        <v>18</v>
      </c>
      <c r="BF178" s="20">
        <v>19</v>
      </c>
      <c r="BG178" s="20">
        <v>20</v>
      </c>
      <c r="BH178" s="20">
        <v>21</v>
      </c>
      <c r="BI178" s="20">
        <v>22</v>
      </c>
      <c r="BJ178" s="20">
        <v>23</v>
      </c>
      <c r="BK178" s="20">
        <v>24</v>
      </c>
      <c r="BL178" s="20">
        <v>25</v>
      </c>
      <c r="BM178" s="20">
        <v>26</v>
      </c>
      <c r="BN178" s="20">
        <v>27</v>
      </c>
      <c r="BO178" s="20">
        <v>28</v>
      </c>
      <c r="BP178" s="20">
        <v>29</v>
      </c>
      <c r="BQ178" s="20">
        <v>30</v>
      </c>
      <c r="BR178" s="20">
        <v>31</v>
      </c>
      <c r="BS178" s="20">
        <v>32</v>
      </c>
      <c r="BT178" s="20">
        <v>33</v>
      </c>
      <c r="BU178" s="20">
        <v>34</v>
      </c>
      <c r="BV178" s="20">
        <v>35</v>
      </c>
      <c r="BW178" s="20">
        <v>36</v>
      </c>
      <c r="BX178" s="20">
        <v>37</v>
      </c>
      <c r="BY178" s="20">
        <v>38</v>
      </c>
      <c r="BZ178" s="20">
        <v>39</v>
      </c>
      <c r="CA178" s="20">
        <v>40</v>
      </c>
      <c r="CB178" s="20">
        <v>41</v>
      </c>
      <c r="CC178" s="20">
        <v>42</v>
      </c>
      <c r="CD178" s="20">
        <v>43</v>
      </c>
      <c r="CE178" s="20">
        <v>44</v>
      </c>
      <c r="CF178" s="20">
        <v>45</v>
      </c>
      <c r="CG178" s="20">
        <v>46</v>
      </c>
      <c r="CH178" s="20">
        <v>47</v>
      </c>
      <c r="CI178" s="20">
        <v>48</v>
      </c>
      <c r="CJ178" s="20">
        <v>49</v>
      </c>
      <c r="CK178" s="20">
        <v>50</v>
      </c>
      <c r="CL178" s="20"/>
      <c r="CM178" s="20" t="s">
        <v>19</v>
      </c>
      <c r="CN178" s="20">
        <v>0</v>
      </c>
      <c r="CO178" s="20">
        <v>0</v>
      </c>
      <c r="CP178" s="20">
        <v>0</v>
      </c>
      <c r="CQ178" s="20">
        <v>2</v>
      </c>
      <c r="CR178" s="20">
        <v>0</v>
      </c>
      <c r="CS178" s="20">
        <v>2</v>
      </c>
      <c r="CT178" s="20">
        <v>4</v>
      </c>
      <c r="CU178" s="20">
        <v>2</v>
      </c>
      <c r="CV178" s="20">
        <v>4</v>
      </c>
      <c r="CW178" s="20">
        <v>6</v>
      </c>
      <c r="CX178" s="20">
        <v>4</v>
      </c>
      <c r="CY178" s="20">
        <v>6</v>
      </c>
      <c r="CZ178" s="20">
        <v>8</v>
      </c>
      <c r="DA178" s="20">
        <v>6</v>
      </c>
      <c r="DB178" s="20">
        <v>8</v>
      </c>
      <c r="DC178" s="20">
        <v>8</v>
      </c>
      <c r="DD178" s="20">
        <v>10</v>
      </c>
      <c r="DE178" s="20">
        <v>8</v>
      </c>
      <c r="DF178" s="20">
        <v>10</v>
      </c>
      <c r="DG178" s="20">
        <v>12</v>
      </c>
      <c r="DH178" s="20">
        <v>10</v>
      </c>
      <c r="DI178" s="20"/>
      <c r="DJ178" s="20"/>
      <c r="DK178" s="20"/>
      <c r="DL178" s="20"/>
      <c r="DM178" s="20" t="s">
        <v>474</v>
      </c>
      <c r="DN178" s="20"/>
      <c r="DO178" s="20"/>
      <c r="DP178" s="20"/>
      <c r="DQ178" s="20"/>
      <c r="DR178" s="20"/>
      <c r="DS178" s="20"/>
      <c r="DT178" s="20"/>
      <c r="DU178" s="20"/>
      <c r="DV178" s="20"/>
      <c r="DW178" s="20"/>
      <c r="DX178" s="20"/>
      <c r="DY178" s="20"/>
      <c r="DZ178" s="87"/>
      <c r="EA178" s="54"/>
      <c r="EB178" s="54"/>
      <c r="EC178" s="20"/>
      <c r="ED178" s="20"/>
      <c r="EE178" s="20"/>
      <c r="EF178" s="20"/>
      <c r="EG178" s="20"/>
      <c r="EH178" s="20"/>
      <c r="EI178" s="20"/>
      <c r="EJ178" s="20"/>
      <c r="EK178" s="20"/>
      <c r="EL178" s="20"/>
      <c r="EM178" s="20"/>
      <c r="EN178" s="20"/>
      <c r="EO178" s="20"/>
      <c r="EP178" s="20"/>
      <c r="EQ178" s="20"/>
      <c r="ER178" s="20"/>
      <c r="ES178" s="20"/>
      <c r="ET178" s="20"/>
      <c r="EU178" s="20"/>
      <c r="EV178" s="20" t="s">
        <v>132</v>
      </c>
      <c r="EW178" s="20"/>
      <c r="EX178" s="20"/>
      <c r="EY178" s="20"/>
      <c r="EZ178" s="20"/>
      <c r="FA178" s="20"/>
      <c r="FB178" s="20"/>
      <c r="FC178" s="20"/>
      <c r="FD178" s="20"/>
      <c r="FE178" s="20"/>
      <c r="FF178" s="20"/>
      <c r="FG178" s="20"/>
      <c r="FH178" s="20"/>
      <c r="FI178" s="21"/>
      <c r="FJ178" s="21"/>
      <c r="FK178" s="21"/>
      <c r="FL178" s="21"/>
      <c r="FM178" s="21"/>
      <c r="FN178" s="21"/>
      <c r="FO178" s="21"/>
      <c r="FP178" s="21"/>
      <c r="FQ178" s="21"/>
      <c r="FR178" s="21"/>
      <c r="FS178" s="21"/>
      <c r="FT178" s="21"/>
      <c r="FU178" s="20"/>
      <c r="FV178" s="20"/>
      <c r="FW178" s="20"/>
      <c r="FX178" s="20"/>
      <c r="FY178" s="20"/>
      <c r="FZ178" s="20"/>
      <c r="GA178" s="20"/>
      <c r="GB178" s="20"/>
      <c r="GC178" s="20"/>
      <c r="GD178" s="20"/>
      <c r="GE178" s="20"/>
      <c r="GF178" s="20"/>
      <c r="GG178" s="20"/>
      <c r="GH178" s="20"/>
      <c r="GI178" s="20"/>
      <c r="GJ178" s="20"/>
      <c r="GK178" s="20"/>
      <c r="GL178" s="20"/>
      <c r="GM178" s="20"/>
      <c r="GN178" s="20"/>
      <c r="GO178" s="20"/>
      <c r="GP178" s="20"/>
      <c r="GQ178" s="20"/>
      <c r="GR178" s="20"/>
      <c r="GS178" s="20"/>
      <c r="GT178" s="20"/>
      <c r="GU178" s="20"/>
      <c r="GV178" s="20"/>
      <c r="GW178" s="21"/>
      <c r="GX178" s="20"/>
      <c r="GY178" s="20"/>
      <c r="GZ178" s="20">
        <f>(SUM(HD175:HE177)-1)*6</f>
        <v>138</v>
      </c>
      <c r="HA178" s="21"/>
      <c r="HB178" s="21">
        <v>0.85750000000000004</v>
      </c>
      <c r="HC178" s="21">
        <f>GZ178*HB178</f>
        <v>118.33500000000001</v>
      </c>
      <c r="HD178" s="20"/>
      <c r="HE178" s="21"/>
      <c r="HF178" s="21"/>
      <c r="HG178" s="21"/>
      <c r="HH178" s="21"/>
      <c r="HI178" s="21"/>
      <c r="HJ178" s="21"/>
      <c r="HK178" s="21"/>
      <c r="HL178" s="21"/>
      <c r="HM178" s="21"/>
      <c r="HN178" s="21"/>
      <c r="HO178" s="21"/>
      <c r="HP178" s="21"/>
      <c r="HQ178" s="21"/>
      <c r="HR178" s="21"/>
      <c r="HS178" s="21"/>
      <c r="HT178" s="21"/>
      <c r="HU178" s="21"/>
      <c r="HV178" s="186"/>
      <c r="HW178" s="21">
        <v>0</v>
      </c>
      <c r="HX178" s="21">
        <v>1</v>
      </c>
      <c r="HY178" s="21">
        <v>2</v>
      </c>
      <c r="HZ178" s="21">
        <v>3</v>
      </c>
      <c r="IA178" s="21">
        <v>4</v>
      </c>
      <c r="IB178" s="21">
        <v>5</v>
      </c>
      <c r="IC178" s="21">
        <v>6</v>
      </c>
      <c r="ID178" s="21">
        <v>7</v>
      </c>
      <c r="IE178" s="21">
        <v>8</v>
      </c>
      <c r="IF178" s="21">
        <v>9</v>
      </c>
      <c r="IG178" s="21">
        <v>10</v>
      </c>
      <c r="IH178" s="21">
        <v>11</v>
      </c>
      <c r="II178" s="21">
        <v>12</v>
      </c>
      <c r="IJ178" s="21">
        <v>13</v>
      </c>
      <c r="IK178" s="21">
        <v>14</v>
      </c>
      <c r="IL178" s="21">
        <v>15</v>
      </c>
      <c r="IM178" s="21">
        <v>16</v>
      </c>
      <c r="IN178" s="21">
        <v>17</v>
      </c>
      <c r="IO178" s="21">
        <v>18</v>
      </c>
      <c r="IP178" s="21">
        <v>19</v>
      </c>
      <c r="IQ178" s="21">
        <v>20</v>
      </c>
      <c r="IR178" s="21"/>
      <c r="IS178" s="21"/>
      <c r="IT178" s="21">
        <f t="shared" si="66"/>
        <v>0</v>
      </c>
      <c r="IU178" s="21">
        <f t="shared" si="66"/>
        <v>2</v>
      </c>
      <c r="IV178" s="21">
        <f t="shared" si="66"/>
        <v>4</v>
      </c>
      <c r="IW178" s="21">
        <f t="shared" si="66"/>
        <v>6</v>
      </c>
      <c r="IX178" s="21">
        <f t="shared" si="66"/>
        <v>8</v>
      </c>
      <c r="IY178" s="21">
        <f t="shared" si="66"/>
        <v>10</v>
      </c>
      <c r="IZ178" s="21">
        <f t="shared" si="66"/>
        <v>12</v>
      </c>
      <c r="JA178" s="21">
        <f t="shared" si="66"/>
        <v>14</v>
      </c>
      <c r="JB178" s="21">
        <f t="shared" si="66"/>
        <v>16</v>
      </c>
      <c r="JC178" s="21">
        <f t="shared" si="66"/>
        <v>18</v>
      </c>
      <c r="JD178" s="21">
        <f t="shared" si="66"/>
        <v>20</v>
      </c>
      <c r="JE178" s="21">
        <f t="shared" si="66"/>
        <v>22</v>
      </c>
      <c r="JF178" s="21">
        <f t="shared" si="66"/>
        <v>24</v>
      </c>
      <c r="JG178" s="21">
        <f t="shared" si="66"/>
        <v>26</v>
      </c>
      <c r="JH178" s="21">
        <f t="shared" si="66"/>
        <v>28</v>
      </c>
      <c r="JI178" s="21">
        <f t="shared" si="53"/>
        <v>30</v>
      </c>
      <c r="JJ178" s="21">
        <f t="shared" si="53"/>
        <v>32</v>
      </c>
      <c r="JK178" s="21">
        <f t="shared" si="53"/>
        <v>34</v>
      </c>
      <c r="JL178" s="21">
        <f t="shared" si="53"/>
        <v>36</v>
      </c>
      <c r="JM178" s="21">
        <f t="shared" si="53"/>
        <v>38</v>
      </c>
      <c r="JN178" s="21">
        <f t="shared" si="53"/>
        <v>40</v>
      </c>
      <c r="JO178" s="21"/>
      <c r="JP178" s="21"/>
      <c r="JQ178" s="21"/>
      <c r="JR178" s="21"/>
      <c r="JS178" s="21"/>
      <c r="JT178" s="21"/>
      <c r="JU178" s="21"/>
      <c r="JV178" s="21"/>
      <c r="JW178" s="21"/>
      <c r="JX178" s="21"/>
      <c r="JY178" s="21"/>
      <c r="JZ178" s="21"/>
      <c r="KA178" s="21"/>
      <c r="KB178" s="21"/>
      <c r="KC178" s="21"/>
      <c r="KD178" s="21"/>
      <c r="KE178" s="21"/>
      <c r="KF178" s="21"/>
      <c r="KG178" s="21"/>
      <c r="KH178" s="21"/>
    </row>
    <row r="179" spans="1:294" x14ac:dyDescent="0.25">
      <c r="A179" s="8"/>
      <c r="B179" s="5" t="s">
        <v>116</v>
      </c>
      <c r="C179" s="8"/>
      <c r="D179" s="6" t="s">
        <v>118</v>
      </c>
      <c r="E179" s="8" t="s">
        <v>132</v>
      </c>
      <c r="F179" s="5" t="s">
        <v>116</v>
      </c>
      <c r="G179" s="8" t="s">
        <v>114</v>
      </c>
      <c r="H179" s="5" t="s">
        <v>116</v>
      </c>
      <c r="I179" s="8">
        <v>40</v>
      </c>
      <c r="J179" s="5" t="s">
        <v>119</v>
      </c>
      <c r="K179" s="9"/>
      <c r="L179" s="6" t="s">
        <v>126</v>
      </c>
      <c r="M179" s="11">
        <f>INDEX(cennik!$C$2:$L$529,MATCH($L179,cennik!$B$2:$B$522,0),MATCH(M$104,cennik!$C$1:$L$1,0))</f>
        <v>894510</v>
      </c>
      <c r="N179" s="11" t="str">
        <f>INDEX(cennik!$C$2:$L$529,MATCH($L179,cennik!$B$2:$B$522,0),MATCH(N$104,cennik!$C$1:$L$1,0))</f>
        <v>szt.</v>
      </c>
      <c r="O179" s="11">
        <f>SUM(AA167:AA182)</f>
        <v>0</v>
      </c>
      <c r="P179" s="34">
        <f>INDEX(cennik!$C$2:$L$529,MATCH($L179,cennik!$B$2:$B$522,0),MATCH(P$104,cennik!$C$1:$L$1,0))</f>
        <v>36.799999999999997</v>
      </c>
      <c r="Q179" s="34">
        <f>O179*P179</f>
        <v>0</v>
      </c>
      <c r="R179" s="35">
        <f t="shared" ref="R179:R202" si="74">$E$184</f>
        <v>0</v>
      </c>
      <c r="S179" s="34">
        <f t="shared" ref="S179:S202" si="75">P179*((100-$E$184)/100)</f>
        <v>36.799999999999997</v>
      </c>
      <c r="T179" s="34">
        <f>O179*S179</f>
        <v>0</v>
      </c>
      <c r="U179" s="34">
        <f>INDEX(cennik!$C$2:$L$529,MATCH($L179,cennik!$B$2:$B$522,0),MATCH(U$104,cennik!$C$1:$L$1,0))*O179</f>
        <v>0</v>
      </c>
      <c r="V179" s="20"/>
      <c r="W179" s="25">
        <f t="shared" si="68"/>
        <v>0</v>
      </c>
      <c r="X179" s="20">
        <f t="shared" si="69"/>
        <v>0</v>
      </c>
      <c r="Y179" s="20"/>
      <c r="Z179" s="20">
        <f>(INDEX(($AM$106:$CK$111,$AM$115:$CK$120,$AM$124:$CK$129,$AM$133:$CK$138),MATCH($L$184,$AL$106:$AL$111,0),MATCH(A190,$AM$105:$CK$105,0),MATCH($G$179,$X$128:$X$131,0)))*C190</f>
        <v>0</v>
      </c>
      <c r="AA179" s="20">
        <f>(INDEX(($AM$106:$CK$111,$AM$115:$CK$120,$AM$124:$CK$129,$AM$133:$CK$138),MATCH($L$179,$AL$106:$AL$111,0),MATCH(A190,$AM$105:$CK$105,0),MATCH($G$179,$X$128:$X$131,0)))*C190</f>
        <v>0</v>
      </c>
      <c r="AB179" s="20">
        <f>(INDEX(($AM$106:$CK$111,$AM$115:$CK$120,$AM$124:$CK$129,$AM$133:$CK$138),MATCH($L$180,$AL$106:$AL$111,0),MATCH(A190,$AM$105:$CK$105,0),MATCH($G$179,$X$128:$X$131,0)))*C190</f>
        <v>0</v>
      </c>
      <c r="AC179" s="20">
        <f>(INDEX(($AM$106:$CK$111,$AM$115:$CK$120,$AM$124:$CK$129,$AM$133:$CK$138),MATCH($L$181,$AL$106:$AL$111,0),MATCH(A190,$AM$105:$CK$105,0),MATCH($G$179,$X$128:$X$131,0)))*C190</f>
        <v>0</v>
      </c>
      <c r="AD179" s="20">
        <f>(INDEX(($AM$106:$CK$111,$AM$115:$CK$120,$AM$124:$CK$129,$AM$133:$CK$138),MATCH($L$182,$AL$106:$AL$111,0),MATCH(A190,$AM$105:$CK$105,0),MATCH($G$179,$X$128:$X$131,0)))*C190</f>
        <v>0</v>
      </c>
      <c r="AE179" s="20">
        <f>(INDEX(($AM$106:$CK$111,$AM$115:$CK$120,$AM$124:$CK$129,$AM$133:$CK$138),MATCH($L$183,$AL$106:$AL$111,0),MATCH(A190,$AM$105:$CK$105,0),MATCH($G$179,$X$128:$X$131,0)))*C190</f>
        <v>0</v>
      </c>
      <c r="AF179" s="20"/>
      <c r="AG179" s="20"/>
      <c r="AH179" s="20">
        <v>33</v>
      </c>
      <c r="AI179" s="20" t="s">
        <v>1440</v>
      </c>
      <c r="AJ179" s="20" t="s">
        <v>1441</v>
      </c>
      <c r="AK179" s="20"/>
      <c r="AL179" s="20" t="s">
        <v>126</v>
      </c>
      <c r="AM179" s="20">
        <v>0</v>
      </c>
      <c r="AN179" s="20">
        <v>0</v>
      </c>
      <c r="AO179" s="20">
        <v>0</v>
      </c>
      <c r="AP179" s="20">
        <v>0</v>
      </c>
      <c r="AQ179" s="20">
        <v>0</v>
      </c>
      <c r="AR179" s="20">
        <v>0</v>
      </c>
      <c r="AS179" s="20">
        <v>0</v>
      </c>
      <c r="AT179" s="20">
        <v>0</v>
      </c>
      <c r="AU179" s="20">
        <v>0</v>
      </c>
      <c r="AV179" s="20">
        <v>0</v>
      </c>
      <c r="AW179" s="20">
        <v>0</v>
      </c>
      <c r="AX179" s="20">
        <v>0</v>
      </c>
      <c r="AY179" s="20">
        <v>0</v>
      </c>
      <c r="AZ179" s="20">
        <v>0</v>
      </c>
      <c r="BA179" s="20">
        <v>0</v>
      </c>
      <c r="BB179" s="20">
        <v>0</v>
      </c>
      <c r="BC179" s="20">
        <v>0</v>
      </c>
      <c r="BD179" s="20">
        <v>0</v>
      </c>
      <c r="BE179" s="20">
        <v>0</v>
      </c>
      <c r="BF179" s="20">
        <v>0</v>
      </c>
      <c r="BG179" s="20">
        <v>0</v>
      </c>
      <c r="BH179" s="20">
        <v>0</v>
      </c>
      <c r="BI179" s="20">
        <v>0</v>
      </c>
      <c r="BJ179" s="20">
        <v>0</v>
      </c>
      <c r="BK179" s="20">
        <v>0</v>
      </c>
      <c r="BL179" s="20">
        <v>0</v>
      </c>
      <c r="BM179" s="20">
        <v>0</v>
      </c>
      <c r="BN179" s="20">
        <v>0</v>
      </c>
      <c r="BO179" s="20">
        <v>0</v>
      </c>
      <c r="BP179" s="20">
        <v>0</v>
      </c>
      <c r="BQ179" s="20">
        <v>0</v>
      </c>
      <c r="BR179" s="20">
        <v>0</v>
      </c>
      <c r="BS179" s="20">
        <v>0</v>
      </c>
      <c r="BT179" s="20">
        <v>0</v>
      </c>
      <c r="BU179" s="20">
        <v>0</v>
      </c>
      <c r="BV179" s="20">
        <v>0</v>
      </c>
      <c r="BW179" s="20">
        <v>0</v>
      </c>
      <c r="BX179" s="20">
        <v>0</v>
      </c>
      <c r="BY179" s="20">
        <v>0</v>
      </c>
      <c r="BZ179" s="20">
        <v>0</v>
      </c>
      <c r="CA179" s="20">
        <v>0</v>
      </c>
      <c r="CB179" s="20">
        <v>0</v>
      </c>
      <c r="CC179" s="20">
        <v>0</v>
      </c>
      <c r="CD179" s="20">
        <v>0</v>
      </c>
      <c r="CE179" s="20">
        <v>0</v>
      </c>
      <c r="CF179" s="20">
        <v>0</v>
      </c>
      <c r="CG179" s="20">
        <v>0</v>
      </c>
      <c r="CH179" s="20">
        <v>0</v>
      </c>
      <c r="CI179" s="20">
        <v>0</v>
      </c>
      <c r="CJ179" s="20">
        <v>0</v>
      </c>
      <c r="CK179" s="20">
        <v>0</v>
      </c>
      <c r="CL179" s="20"/>
      <c r="CM179" s="20" t="s">
        <v>408</v>
      </c>
      <c r="CN179" s="20">
        <v>0</v>
      </c>
      <c r="CO179" s="20">
        <v>0</v>
      </c>
      <c r="CP179" s="20">
        <v>0</v>
      </c>
      <c r="CQ179" s="20">
        <v>0</v>
      </c>
      <c r="CR179" s="20">
        <v>4</v>
      </c>
      <c r="CS179" s="20">
        <v>4</v>
      </c>
      <c r="CT179" s="20">
        <v>4</v>
      </c>
      <c r="CU179" s="20">
        <v>8</v>
      </c>
      <c r="CV179" s="20">
        <v>8</v>
      </c>
      <c r="CW179" s="20">
        <v>8</v>
      </c>
      <c r="CX179" s="20">
        <v>12</v>
      </c>
      <c r="CY179" s="20">
        <v>12</v>
      </c>
      <c r="CZ179" s="20">
        <v>12</v>
      </c>
      <c r="DA179" s="20">
        <v>16</v>
      </c>
      <c r="DB179" s="20">
        <v>16</v>
      </c>
      <c r="DC179" s="20">
        <v>16</v>
      </c>
      <c r="DD179" s="20">
        <v>16</v>
      </c>
      <c r="DE179" s="20">
        <v>20</v>
      </c>
      <c r="DF179" s="20">
        <v>20</v>
      </c>
      <c r="DG179" s="20">
        <v>20</v>
      </c>
      <c r="DH179" s="20">
        <v>24</v>
      </c>
      <c r="DI179" s="20"/>
      <c r="DJ179" s="20"/>
      <c r="DK179" s="20"/>
      <c r="DL179" s="20"/>
      <c r="DM179" s="20"/>
      <c r="DN179" s="20">
        <v>0</v>
      </c>
      <c r="DO179" s="20">
        <v>1</v>
      </c>
      <c r="DP179" s="20">
        <v>2</v>
      </c>
      <c r="DQ179" s="20">
        <v>3</v>
      </c>
      <c r="DR179" s="20">
        <v>4</v>
      </c>
      <c r="DS179" s="20">
        <v>5</v>
      </c>
      <c r="DT179" s="20">
        <v>6</v>
      </c>
      <c r="DU179" s="20">
        <v>7</v>
      </c>
      <c r="DV179" s="20">
        <v>8</v>
      </c>
      <c r="DW179" s="20">
        <v>9</v>
      </c>
      <c r="DX179" s="20">
        <v>10</v>
      </c>
      <c r="DY179" s="20">
        <v>11</v>
      </c>
      <c r="DZ179" s="54">
        <v>12</v>
      </c>
      <c r="EA179" s="54">
        <v>13</v>
      </c>
      <c r="EB179" s="54">
        <v>14</v>
      </c>
      <c r="EC179" s="20">
        <v>15</v>
      </c>
      <c r="ED179" s="20">
        <v>16</v>
      </c>
      <c r="EE179" s="20">
        <v>17</v>
      </c>
      <c r="EF179" s="20">
        <v>18</v>
      </c>
      <c r="EG179" s="20">
        <v>19</v>
      </c>
      <c r="EH179" s="20">
        <v>20</v>
      </c>
      <c r="EI179" s="20"/>
      <c r="EJ179" s="20"/>
      <c r="EK179" s="20"/>
      <c r="EL179" s="20"/>
      <c r="EM179" s="20"/>
      <c r="EN179" s="20"/>
      <c r="EO179" s="20"/>
      <c r="EP179" s="20"/>
      <c r="EQ179" s="20"/>
      <c r="ER179" s="20"/>
      <c r="ES179" s="20"/>
      <c r="ET179" s="20"/>
      <c r="EU179" s="20"/>
      <c r="EV179" s="20"/>
      <c r="EW179" s="20">
        <v>0</v>
      </c>
      <c r="EX179" s="20">
        <v>1</v>
      </c>
      <c r="EY179" s="20">
        <v>2</v>
      </c>
      <c r="EZ179" s="20">
        <v>3</v>
      </c>
      <c r="FA179" s="20">
        <v>4</v>
      </c>
      <c r="FB179" s="20">
        <v>5</v>
      </c>
      <c r="FC179" s="20">
        <v>6</v>
      </c>
      <c r="FD179" s="20">
        <v>7</v>
      </c>
      <c r="FE179" s="20">
        <v>8</v>
      </c>
      <c r="FF179" s="20">
        <v>9</v>
      </c>
      <c r="FG179" s="20">
        <v>10</v>
      </c>
      <c r="FH179" s="20"/>
      <c r="FI179" s="20" t="s">
        <v>473</v>
      </c>
      <c r="FJ179" s="20"/>
      <c r="FK179" s="20"/>
      <c r="FL179" s="20"/>
      <c r="FM179" s="20"/>
      <c r="FN179" s="20"/>
      <c r="FO179" s="20"/>
      <c r="FP179" s="20"/>
      <c r="FQ179" s="20"/>
      <c r="FR179" s="20"/>
      <c r="FS179" s="20"/>
      <c r="FT179" s="20"/>
      <c r="FU179" s="20"/>
      <c r="FV179" s="20"/>
      <c r="FW179" s="20"/>
      <c r="FX179" s="20"/>
      <c r="FY179" s="20"/>
      <c r="FZ179" s="20"/>
      <c r="GA179" s="20"/>
      <c r="GB179" s="20"/>
      <c r="GC179" s="20"/>
      <c r="GD179" s="20"/>
      <c r="GE179" s="20"/>
      <c r="GF179" s="20"/>
      <c r="GG179" s="20"/>
      <c r="GH179" s="20"/>
      <c r="GI179" s="20"/>
      <c r="GJ179" s="20"/>
      <c r="GK179" s="20"/>
      <c r="GL179" s="20"/>
      <c r="GM179" s="20"/>
      <c r="GN179" s="20"/>
      <c r="GO179" s="20"/>
      <c r="GP179" s="20"/>
      <c r="GQ179" s="20"/>
      <c r="GR179" s="20"/>
      <c r="GS179" s="20"/>
      <c r="GT179" s="20"/>
      <c r="GU179" s="20"/>
      <c r="GV179" s="20"/>
      <c r="GW179" s="21"/>
      <c r="GX179" s="20"/>
      <c r="GY179" s="20"/>
      <c r="GZ179" s="21"/>
      <c r="HA179" s="20">
        <f>SUM(HA175:HA177)</f>
        <v>45760</v>
      </c>
      <c r="HB179" s="20"/>
      <c r="HC179" s="20">
        <f>SUM(HC175:HC178)</f>
        <v>979.73500000000001</v>
      </c>
      <c r="HD179" s="21"/>
      <c r="HE179" s="21"/>
      <c r="HF179" s="21"/>
      <c r="HG179" s="21"/>
      <c r="HH179" s="21"/>
      <c r="HI179" s="21"/>
      <c r="HJ179" s="21"/>
      <c r="HK179" s="21"/>
      <c r="HL179" s="21"/>
      <c r="HM179" s="21"/>
      <c r="HN179" s="21"/>
      <c r="HO179" s="21"/>
      <c r="HP179" s="21"/>
      <c r="HQ179" s="21"/>
      <c r="HR179" s="21"/>
      <c r="HS179" s="21"/>
      <c r="HT179" s="21"/>
      <c r="HU179" s="21"/>
      <c r="HV179" s="21" t="s">
        <v>826</v>
      </c>
      <c r="HW179" s="21">
        <v>0</v>
      </c>
      <c r="HX179" s="21">
        <v>2</v>
      </c>
      <c r="HY179" s="21">
        <v>4</v>
      </c>
      <c r="HZ179" s="21">
        <v>0</v>
      </c>
      <c r="IA179" s="21">
        <v>2</v>
      </c>
      <c r="IB179" s="21">
        <v>4</v>
      </c>
      <c r="IC179" s="21">
        <v>0</v>
      </c>
      <c r="ID179" s="21">
        <v>2</v>
      </c>
      <c r="IE179" s="21">
        <v>2</v>
      </c>
      <c r="IF179" s="21">
        <v>4</v>
      </c>
      <c r="IG179" s="21">
        <v>0</v>
      </c>
      <c r="IH179" s="21">
        <v>2</v>
      </c>
      <c r="II179" s="21">
        <v>4</v>
      </c>
      <c r="IJ179" s="21">
        <v>0</v>
      </c>
      <c r="IK179" s="21">
        <v>2</v>
      </c>
      <c r="IL179" s="21">
        <v>4</v>
      </c>
      <c r="IM179" s="21">
        <v>0</v>
      </c>
      <c r="IN179" s="21">
        <v>2</v>
      </c>
      <c r="IO179" s="21">
        <v>4</v>
      </c>
      <c r="IP179" s="21">
        <v>0</v>
      </c>
      <c r="IQ179" s="21">
        <v>2</v>
      </c>
      <c r="IR179" s="21"/>
      <c r="IS179" s="21" t="s">
        <v>826</v>
      </c>
      <c r="IT179" s="21">
        <f t="shared" si="66"/>
        <v>0</v>
      </c>
      <c r="IU179" s="21">
        <f t="shared" si="66"/>
        <v>4</v>
      </c>
      <c r="IV179" s="21">
        <f t="shared" si="66"/>
        <v>8</v>
      </c>
      <c r="IW179" s="21">
        <f t="shared" si="66"/>
        <v>0</v>
      </c>
      <c r="IX179" s="21">
        <f t="shared" si="66"/>
        <v>4</v>
      </c>
      <c r="IY179" s="21">
        <f t="shared" si="66"/>
        <v>8</v>
      </c>
      <c r="IZ179" s="21">
        <f t="shared" si="66"/>
        <v>0</v>
      </c>
      <c r="JA179" s="21">
        <f t="shared" si="66"/>
        <v>4</v>
      </c>
      <c r="JB179" s="21">
        <f t="shared" si="66"/>
        <v>4</v>
      </c>
      <c r="JC179" s="21">
        <f t="shared" si="66"/>
        <v>8</v>
      </c>
      <c r="JD179" s="21">
        <f t="shared" si="66"/>
        <v>0</v>
      </c>
      <c r="JE179" s="21">
        <f t="shared" si="66"/>
        <v>4</v>
      </c>
      <c r="JF179" s="21">
        <f t="shared" si="66"/>
        <v>8</v>
      </c>
      <c r="JG179" s="21">
        <f t="shared" si="66"/>
        <v>0</v>
      </c>
      <c r="JH179" s="21">
        <f t="shared" si="66"/>
        <v>4</v>
      </c>
      <c r="JI179" s="21">
        <f t="shared" si="53"/>
        <v>8</v>
      </c>
      <c r="JJ179" s="21">
        <f t="shared" si="53"/>
        <v>0</v>
      </c>
      <c r="JK179" s="21">
        <f t="shared" si="53"/>
        <v>4</v>
      </c>
      <c r="JL179" s="21">
        <f t="shared" si="53"/>
        <v>8</v>
      </c>
      <c r="JM179" s="21">
        <f t="shared" si="53"/>
        <v>0</v>
      </c>
      <c r="JN179" s="21">
        <f t="shared" si="53"/>
        <v>4</v>
      </c>
      <c r="JO179" s="21"/>
      <c r="JP179" s="21"/>
      <c r="JQ179" s="21"/>
      <c r="JR179" s="21"/>
      <c r="JS179" s="21"/>
      <c r="JT179" s="21"/>
      <c r="JU179" s="21"/>
      <c r="JV179" s="21"/>
      <c r="JW179" s="21"/>
      <c r="JX179" s="21"/>
      <c r="JY179" s="21"/>
      <c r="JZ179" s="21"/>
      <c r="KA179" s="21"/>
      <c r="KB179" s="21"/>
      <c r="KC179" s="21"/>
      <c r="KD179" s="21"/>
      <c r="KE179" s="21"/>
      <c r="KF179" s="21"/>
      <c r="KG179" s="21"/>
      <c r="KH179" s="21"/>
    </row>
    <row r="180" spans="1:294" x14ac:dyDescent="0.25">
      <c r="A180" s="8"/>
      <c r="B180" s="5" t="s">
        <v>116</v>
      </c>
      <c r="C180" s="8"/>
      <c r="D180" s="6" t="s">
        <v>129</v>
      </c>
      <c r="E180" s="8" t="s">
        <v>130</v>
      </c>
      <c r="F180" s="5"/>
      <c r="G180" s="5"/>
      <c r="H180" s="5"/>
      <c r="I180" s="5"/>
      <c r="J180" s="5" t="s">
        <v>119</v>
      </c>
      <c r="K180" s="9"/>
      <c r="L180" s="6" t="s">
        <v>12</v>
      </c>
      <c r="M180" s="11">
        <f>INDEX(cennik!$C$2:$L$529,MATCH($L180,cennik!$B$2:$B$522,0),MATCH(M$104,cennik!$C$1:$L$1,0))</f>
        <v>894621</v>
      </c>
      <c r="N180" s="11" t="str">
        <f>INDEX(cennik!$C$2:$L$529,MATCH($L180,cennik!$B$2:$B$522,0),MATCH(N$104,cennik!$C$1:$L$1,0))</f>
        <v>szt.</v>
      </c>
      <c r="O180" s="11">
        <f>SUM(AB167:AB182)</f>
        <v>0</v>
      </c>
      <c r="P180" s="34">
        <f>INDEX(cennik!$C$2:$L$529,MATCH($L180,cennik!$B$2:$B$522,0),MATCH(P$104,cennik!$C$1:$L$1,0))</f>
        <v>65.099999999999994</v>
      </c>
      <c r="Q180" s="34">
        <f t="shared" ref="Q180:Q202" si="76">O180*P180</f>
        <v>0</v>
      </c>
      <c r="R180" s="35">
        <f t="shared" si="74"/>
        <v>0</v>
      </c>
      <c r="S180" s="34">
        <f t="shared" si="75"/>
        <v>65.099999999999994</v>
      </c>
      <c r="T180" s="34">
        <f t="shared" ref="T180:T202" si="77">O180*S180</f>
        <v>0</v>
      </c>
      <c r="U180" s="34">
        <f>INDEX(cennik!$C$2:$L$529,MATCH($L180,cennik!$B$2:$B$522,0),MATCH(U$104,cennik!$C$1:$L$1,0))*O180</f>
        <v>0</v>
      </c>
      <c r="V180" s="20"/>
      <c r="W180" s="25">
        <f t="shared" si="68"/>
        <v>0</v>
      </c>
      <c r="X180" s="20">
        <f t="shared" si="69"/>
        <v>0</v>
      </c>
      <c r="Y180" s="20"/>
      <c r="Z180" s="20">
        <f>(INDEX(($AM$106:$CK$111,$AM$115:$CK$120,$AM$124:$CK$129,$AM$133:$CK$138),MATCH($L$184,$AL$106:$AL$111,0),MATCH(A191,$AM$105:$CK$105,0),MATCH($G$179,$X$128:$X$131,0)))*C191</f>
        <v>0</v>
      </c>
      <c r="AA180" s="20">
        <f>(INDEX(($AM$106:$CK$111,$AM$115:$CK$120,$AM$124:$CK$129,$AM$133:$CK$138),MATCH($L$179,$AL$106:$AL$111,0),MATCH(A191,$AM$105:$CK$105,0),MATCH($G$179,$X$128:$X$131,0)))*C191</f>
        <v>0</v>
      </c>
      <c r="AB180" s="20">
        <f>(INDEX(($AM$106:$CK$111,$AM$115:$CK$120,$AM$124:$CK$129,$AM$133:$CK$138),MATCH($L$180,$AL$106:$AL$111,0),MATCH(A191,$AM$105:$CK$105,0),MATCH($G$179,$X$128:$X$131,0)))*C191</f>
        <v>0</v>
      </c>
      <c r="AC180" s="20">
        <f>(INDEX(($AM$106:$CK$111,$AM$115:$CK$120,$AM$124:$CK$129,$AM$133:$CK$138),MATCH($L$181,$AL$106:$AL$111,0),MATCH(A191,$AM$105:$CK$105,0),MATCH($G$179,$X$128:$X$131,0)))*C191</f>
        <v>0</v>
      </c>
      <c r="AD180" s="20">
        <f>(INDEX(($AM$106:$CK$111,$AM$115:$CK$120,$AM$124:$CK$129,$AM$133:$CK$138),MATCH($L$182,$AL$106:$AL$111,0),MATCH(A191,$AM$105:$CK$105,0),MATCH($G$179,$X$128:$X$131,0)))*C191</f>
        <v>0</v>
      </c>
      <c r="AE180" s="20">
        <f>(INDEX(($AM$106:$CK$111,$AM$115:$CK$120,$AM$124:$CK$129,$AM$133:$CK$138),MATCH($L$183,$AL$106:$AL$111,0),MATCH(A191,$AM$105:$CK$105,0),MATCH($G$179,$X$128:$X$131,0)))*C191</f>
        <v>0</v>
      </c>
      <c r="AF180" s="20"/>
      <c r="AG180" s="20"/>
      <c r="AH180" s="20">
        <v>34</v>
      </c>
      <c r="AI180" s="20" t="s">
        <v>1442</v>
      </c>
      <c r="AJ180" s="20" t="s">
        <v>1443</v>
      </c>
      <c r="AK180" s="20"/>
      <c r="AL180" s="20" t="s">
        <v>12</v>
      </c>
      <c r="AM180" s="20">
        <v>0</v>
      </c>
      <c r="AN180" s="20">
        <v>0</v>
      </c>
      <c r="AO180" s="20">
        <v>4</v>
      </c>
      <c r="AP180" s="20">
        <v>0</v>
      </c>
      <c r="AQ180" s="20">
        <v>2</v>
      </c>
      <c r="AR180" s="20">
        <v>4</v>
      </c>
      <c r="AS180" s="20">
        <v>0</v>
      </c>
      <c r="AT180" s="20">
        <v>2</v>
      </c>
      <c r="AU180" s="20">
        <v>4</v>
      </c>
      <c r="AV180" s="20">
        <v>0</v>
      </c>
      <c r="AW180" s="20">
        <v>0</v>
      </c>
      <c r="AX180" s="20">
        <v>0</v>
      </c>
      <c r="AY180" s="20">
        <v>0</v>
      </c>
      <c r="AZ180" s="20">
        <v>0</v>
      </c>
      <c r="BA180" s="20">
        <v>0</v>
      </c>
      <c r="BB180" s="20">
        <v>2</v>
      </c>
      <c r="BC180" s="20">
        <v>0</v>
      </c>
      <c r="BD180" s="20">
        <v>0</v>
      </c>
      <c r="BE180" s="20">
        <v>2</v>
      </c>
      <c r="BF180" s="20">
        <v>0</v>
      </c>
      <c r="BG180" s="20">
        <v>0</v>
      </c>
      <c r="BH180" s="20">
        <v>2</v>
      </c>
      <c r="BI180" s="20">
        <v>0</v>
      </c>
      <c r="BJ180" s="20">
        <v>0</v>
      </c>
      <c r="BK180" s="20">
        <v>0</v>
      </c>
      <c r="BL180" s="20">
        <v>0</v>
      </c>
      <c r="BM180" s="20">
        <v>0</v>
      </c>
      <c r="BN180" s="20">
        <v>0</v>
      </c>
      <c r="BO180" s="20">
        <v>0</v>
      </c>
      <c r="BP180" s="20">
        <v>0</v>
      </c>
      <c r="BQ180" s="20">
        <v>0</v>
      </c>
      <c r="BR180" s="20">
        <v>0</v>
      </c>
      <c r="BS180" s="20">
        <v>4</v>
      </c>
      <c r="BT180" s="20">
        <v>0</v>
      </c>
      <c r="BU180" s="20">
        <v>0</v>
      </c>
      <c r="BV180" s="20">
        <v>0</v>
      </c>
      <c r="BW180" s="20">
        <v>0</v>
      </c>
      <c r="BX180" s="20">
        <v>4</v>
      </c>
      <c r="BY180" s="20">
        <v>0</v>
      </c>
      <c r="BZ180" s="20">
        <v>0</v>
      </c>
      <c r="CA180" s="20">
        <v>0</v>
      </c>
      <c r="CB180" s="20">
        <v>0</v>
      </c>
      <c r="CC180" s="20">
        <v>0</v>
      </c>
      <c r="CD180" s="20">
        <v>0</v>
      </c>
      <c r="CE180" s="20">
        <v>0</v>
      </c>
      <c r="CF180" s="20">
        <v>0</v>
      </c>
      <c r="CG180" s="20">
        <v>0</v>
      </c>
      <c r="CH180" s="20">
        <v>0</v>
      </c>
      <c r="CI180" s="20">
        <v>0</v>
      </c>
      <c r="CJ180" s="20">
        <v>0</v>
      </c>
      <c r="CK180" s="20">
        <v>0</v>
      </c>
      <c r="CL180" s="20"/>
      <c r="CM180" s="20" t="s">
        <v>518</v>
      </c>
      <c r="CN180" s="20">
        <v>0</v>
      </c>
      <c r="CO180" s="20">
        <v>2</v>
      </c>
      <c r="CP180" s="20">
        <v>2</v>
      </c>
      <c r="CQ180" s="20">
        <v>0</v>
      </c>
      <c r="CR180" s="20">
        <v>4</v>
      </c>
      <c r="CS180" s="20">
        <v>2</v>
      </c>
      <c r="CT180" s="20">
        <v>0</v>
      </c>
      <c r="CU180" s="20">
        <v>4</v>
      </c>
      <c r="CV180" s="20">
        <v>2</v>
      </c>
      <c r="CW180" s="20">
        <v>0</v>
      </c>
      <c r="CX180" s="20">
        <v>4</v>
      </c>
      <c r="CY180" s="20">
        <v>2</v>
      </c>
      <c r="CZ180" s="20">
        <v>0</v>
      </c>
      <c r="DA180" s="20">
        <v>4</v>
      </c>
      <c r="DB180" s="20">
        <v>2</v>
      </c>
      <c r="DC180" s="20">
        <v>2</v>
      </c>
      <c r="DD180" s="20">
        <v>0</v>
      </c>
      <c r="DE180" s="20">
        <v>4</v>
      </c>
      <c r="DF180" s="20">
        <v>2</v>
      </c>
      <c r="DG180" s="20">
        <v>0</v>
      </c>
      <c r="DH180" s="20">
        <v>4</v>
      </c>
      <c r="DI180" s="20"/>
      <c r="DJ180" s="20"/>
      <c r="DK180" s="20"/>
      <c r="DL180" s="20"/>
      <c r="DM180" s="20" t="s">
        <v>293</v>
      </c>
      <c r="DN180" s="20">
        <v>0</v>
      </c>
      <c r="DO180" s="20">
        <v>2</v>
      </c>
      <c r="DP180" s="20">
        <v>0</v>
      </c>
      <c r="DQ180" s="20">
        <v>0</v>
      </c>
      <c r="DR180" s="20">
        <v>2</v>
      </c>
      <c r="DS180" s="20">
        <v>2</v>
      </c>
      <c r="DT180" s="20">
        <v>0</v>
      </c>
      <c r="DU180" s="20">
        <v>4</v>
      </c>
      <c r="DV180" s="20">
        <v>2</v>
      </c>
      <c r="DW180" s="20">
        <v>0</v>
      </c>
      <c r="DX180" s="20">
        <v>4</v>
      </c>
      <c r="DY180" s="20">
        <v>2</v>
      </c>
      <c r="DZ180" s="54">
        <v>0</v>
      </c>
      <c r="EA180" s="54">
        <v>4</v>
      </c>
      <c r="EB180" s="54">
        <v>2</v>
      </c>
      <c r="EC180" s="20">
        <v>0</v>
      </c>
      <c r="ED180" s="20">
        <v>4</v>
      </c>
      <c r="EE180" s="20">
        <v>2</v>
      </c>
      <c r="EF180" s="20">
        <v>0</v>
      </c>
      <c r="EG180" s="20">
        <v>4</v>
      </c>
      <c r="EH180" s="20">
        <v>2</v>
      </c>
      <c r="EI180" s="20"/>
      <c r="EJ180" s="20"/>
      <c r="EK180" s="20"/>
      <c r="EL180" s="20"/>
      <c r="EM180" s="20"/>
      <c r="EN180" s="20"/>
      <c r="EO180" s="20"/>
      <c r="EP180" s="20"/>
      <c r="EQ180" s="20"/>
      <c r="ER180" s="20"/>
      <c r="ES180" s="20"/>
      <c r="ET180" s="20"/>
      <c r="EU180" s="20"/>
      <c r="EV180" s="20" t="s">
        <v>210</v>
      </c>
      <c r="EW180" s="20">
        <v>0</v>
      </c>
      <c r="EX180" s="20">
        <v>0</v>
      </c>
      <c r="EY180" s="20">
        <v>0</v>
      </c>
      <c r="EZ180" s="20">
        <v>0</v>
      </c>
      <c r="FA180" s="20">
        <v>0</v>
      </c>
      <c r="FB180" s="20">
        <v>0</v>
      </c>
      <c r="FC180" s="20">
        <v>0</v>
      </c>
      <c r="FD180" s="20">
        <v>0</v>
      </c>
      <c r="FE180" s="20">
        <v>0</v>
      </c>
      <c r="FF180" s="20">
        <v>0</v>
      </c>
      <c r="FG180" s="20">
        <v>0</v>
      </c>
      <c r="FH180" s="20"/>
      <c r="FI180" s="20"/>
      <c r="FJ180" s="20">
        <v>0</v>
      </c>
      <c r="FK180" s="20">
        <v>1</v>
      </c>
      <c r="FL180" s="20">
        <v>2</v>
      </c>
      <c r="FM180" s="20">
        <v>3</v>
      </c>
      <c r="FN180" s="20">
        <v>4</v>
      </c>
      <c r="FO180" s="20">
        <v>5</v>
      </c>
      <c r="FP180" s="20">
        <v>6</v>
      </c>
      <c r="FQ180" s="20">
        <v>7</v>
      </c>
      <c r="FR180" s="20">
        <v>8</v>
      </c>
      <c r="FS180" s="20">
        <v>9</v>
      </c>
      <c r="FT180" s="20">
        <v>10</v>
      </c>
      <c r="FU180" s="20"/>
      <c r="FV180" s="20"/>
      <c r="FW180" s="20"/>
      <c r="FX180" s="20"/>
      <c r="FY180" s="20"/>
      <c r="FZ180" s="20"/>
      <c r="GA180" s="20"/>
      <c r="GB180" s="20"/>
      <c r="GC180" s="20"/>
      <c r="GD180" s="20"/>
      <c r="GE180" s="20"/>
      <c r="GF180" s="20"/>
      <c r="GG180" s="20"/>
      <c r="GH180" s="20"/>
      <c r="GI180" s="20"/>
      <c r="GJ180" s="20"/>
      <c r="GK180" s="20"/>
      <c r="GL180" s="20"/>
      <c r="GM180" s="20"/>
      <c r="GN180" s="20"/>
      <c r="GO180" s="20"/>
      <c r="GP180" s="20"/>
      <c r="GQ180" s="20"/>
      <c r="GR180" s="20"/>
      <c r="GS180" s="20"/>
      <c r="GT180" s="20"/>
      <c r="GU180" s="20"/>
      <c r="GV180" s="20"/>
      <c r="GW180" s="20"/>
      <c r="GX180" s="21"/>
      <c r="GY180" s="21"/>
      <c r="GZ180" s="21"/>
      <c r="HA180" s="21"/>
      <c r="HB180" s="21"/>
      <c r="HC180" s="21"/>
      <c r="HD180" s="21"/>
      <c r="HE180" s="21"/>
      <c r="HF180" s="21"/>
      <c r="HG180" s="21"/>
      <c r="HH180" s="21"/>
      <c r="HI180" s="21"/>
      <c r="HJ180" s="21"/>
      <c r="HK180" s="21"/>
      <c r="HL180" s="21"/>
      <c r="HM180" s="21"/>
      <c r="HN180" s="21"/>
      <c r="HO180" s="21"/>
      <c r="HP180" s="21"/>
      <c r="HQ180" s="21"/>
      <c r="HR180" s="21"/>
      <c r="HS180" s="21"/>
      <c r="HT180" s="21"/>
      <c r="HU180" s="21"/>
      <c r="HV180" s="21" t="s">
        <v>825</v>
      </c>
      <c r="HW180" s="21">
        <v>0</v>
      </c>
      <c r="HX180" s="21">
        <v>0</v>
      </c>
      <c r="HY180" s="21">
        <v>0</v>
      </c>
      <c r="HZ180" s="21">
        <v>4</v>
      </c>
      <c r="IA180" s="21">
        <v>4</v>
      </c>
      <c r="IB180" s="21">
        <v>4</v>
      </c>
      <c r="IC180" s="21">
        <v>8</v>
      </c>
      <c r="ID180" s="21">
        <v>8</v>
      </c>
      <c r="IE180" s="21">
        <v>10</v>
      </c>
      <c r="IF180" s="21">
        <v>10</v>
      </c>
      <c r="IG180" s="21">
        <v>14</v>
      </c>
      <c r="IH180" s="21">
        <v>14</v>
      </c>
      <c r="II180" s="21">
        <v>14</v>
      </c>
      <c r="IJ180" s="21">
        <v>18</v>
      </c>
      <c r="IK180" s="21">
        <v>18</v>
      </c>
      <c r="IL180" s="21">
        <v>18</v>
      </c>
      <c r="IM180" s="21">
        <v>22</v>
      </c>
      <c r="IN180" s="21">
        <v>22</v>
      </c>
      <c r="IO180" s="21">
        <v>22</v>
      </c>
      <c r="IP180" s="21">
        <v>26</v>
      </c>
      <c r="IQ180" s="21">
        <v>26</v>
      </c>
      <c r="IR180" s="21"/>
      <c r="IS180" s="21" t="s">
        <v>825</v>
      </c>
      <c r="IT180" s="21">
        <f t="shared" si="66"/>
        <v>0</v>
      </c>
      <c r="IU180" s="21">
        <f t="shared" si="66"/>
        <v>0</v>
      </c>
      <c r="IV180" s="21">
        <f t="shared" si="66"/>
        <v>0</v>
      </c>
      <c r="IW180" s="21">
        <f t="shared" si="66"/>
        <v>8</v>
      </c>
      <c r="IX180" s="21">
        <f t="shared" si="66"/>
        <v>8</v>
      </c>
      <c r="IY180" s="21">
        <f t="shared" si="66"/>
        <v>8</v>
      </c>
      <c r="IZ180" s="21">
        <f t="shared" si="66"/>
        <v>16</v>
      </c>
      <c r="JA180" s="21">
        <f t="shared" si="66"/>
        <v>16</v>
      </c>
      <c r="JB180" s="21">
        <f t="shared" si="66"/>
        <v>20</v>
      </c>
      <c r="JC180" s="21">
        <f t="shared" si="66"/>
        <v>20</v>
      </c>
      <c r="JD180" s="21">
        <f t="shared" si="66"/>
        <v>28</v>
      </c>
      <c r="JE180" s="21">
        <f t="shared" si="66"/>
        <v>28</v>
      </c>
      <c r="JF180" s="21">
        <f t="shared" si="66"/>
        <v>28</v>
      </c>
      <c r="JG180" s="21">
        <f t="shared" si="66"/>
        <v>36</v>
      </c>
      <c r="JH180" s="21">
        <f t="shared" si="66"/>
        <v>36</v>
      </c>
      <c r="JI180" s="21">
        <f t="shared" si="53"/>
        <v>36</v>
      </c>
      <c r="JJ180" s="21">
        <f t="shared" si="53"/>
        <v>44</v>
      </c>
      <c r="JK180" s="21">
        <f t="shared" si="53"/>
        <v>44</v>
      </c>
      <c r="JL180" s="21">
        <f t="shared" si="53"/>
        <v>44</v>
      </c>
      <c r="JM180" s="21">
        <f t="shared" si="53"/>
        <v>52</v>
      </c>
      <c r="JN180" s="21">
        <f t="shared" si="53"/>
        <v>52</v>
      </c>
      <c r="JO180" s="21"/>
      <c r="JP180" s="21"/>
      <c r="JQ180" s="21"/>
      <c r="JR180" s="21"/>
      <c r="JS180" s="21"/>
      <c r="JT180" s="21"/>
      <c r="JU180" s="21"/>
      <c r="JV180" s="21"/>
      <c r="JW180" s="21"/>
      <c r="JX180" s="21"/>
      <c r="JY180" s="21"/>
      <c r="JZ180" s="21"/>
      <c r="KA180" s="21"/>
      <c r="KB180" s="21"/>
      <c r="KC180" s="21"/>
      <c r="KD180" s="21"/>
      <c r="KE180" s="21"/>
      <c r="KF180" s="21"/>
      <c r="KG180" s="21"/>
      <c r="KH180" s="21"/>
    </row>
    <row r="181" spans="1:294" x14ac:dyDescent="0.25">
      <c r="A181" s="8"/>
      <c r="B181" s="5" t="s">
        <v>116</v>
      </c>
      <c r="C181" s="8"/>
      <c r="D181" s="6" t="s">
        <v>124</v>
      </c>
      <c r="E181" s="8" t="s">
        <v>125</v>
      </c>
      <c r="F181" s="5"/>
      <c r="G181" s="5"/>
      <c r="H181" s="5"/>
      <c r="I181" s="5"/>
      <c r="J181" s="5"/>
      <c r="K181" s="9"/>
      <c r="L181" s="6" t="s">
        <v>127</v>
      </c>
      <c r="M181" s="11">
        <f>INDEX(cennik!$C$2:$L$529,MATCH($L181,cennik!$B$2:$B$522,0),MATCH(M$104,cennik!$C$1:$L$1,0))</f>
        <v>894622</v>
      </c>
      <c r="N181" s="11" t="str">
        <f>INDEX(cennik!$C$2:$L$529,MATCH($L181,cennik!$B$2:$B$522,0),MATCH(N$104,cennik!$C$1:$L$1,0))</f>
        <v>szt.</v>
      </c>
      <c r="O181" s="11">
        <f>SUM(AC167:AC182)</f>
        <v>0</v>
      </c>
      <c r="P181" s="34">
        <f>INDEX(cennik!$C$2:$L$529,MATCH($L181,cennik!$B$2:$B$522,0),MATCH(P$104,cennik!$C$1:$L$1,0))</f>
        <v>68.2</v>
      </c>
      <c r="Q181" s="34">
        <f t="shared" si="76"/>
        <v>0</v>
      </c>
      <c r="R181" s="35">
        <f t="shared" si="74"/>
        <v>0</v>
      </c>
      <c r="S181" s="34">
        <f t="shared" si="75"/>
        <v>68.2</v>
      </c>
      <c r="T181" s="34">
        <f t="shared" si="77"/>
        <v>0</v>
      </c>
      <c r="U181" s="34">
        <f>INDEX(cennik!$C$2:$L$529,MATCH($L181,cennik!$B$2:$B$522,0),MATCH(U$104,cennik!$C$1:$L$1,0))*O181</f>
        <v>0</v>
      </c>
      <c r="V181" s="20"/>
      <c r="W181" s="25">
        <f t="shared" si="68"/>
        <v>0</v>
      </c>
      <c r="X181" s="20">
        <f t="shared" si="69"/>
        <v>0</v>
      </c>
      <c r="Y181" s="20"/>
      <c r="Z181" s="20">
        <f>(INDEX(($AM$106:$CK$111,$AM$115:$CK$120,$AM$124:$CK$129,$AM$133:$CK$138),MATCH($L$184,$AL$106:$AL$111,0),MATCH(A192,$AM$105:$CK$105,0),MATCH($G$179,$X$128:$X$131,0)))*C192</f>
        <v>0</v>
      </c>
      <c r="AA181" s="20">
        <f>(INDEX(($AM$106:$CK$111,$AM$115:$CK$120,$AM$124:$CK$129,$AM$133:$CK$138),MATCH($L$179,$AL$106:$AL$111,0),MATCH(A192,$AM$105:$CK$105,0),MATCH($G$179,$X$128:$X$131,0)))*C192</f>
        <v>0</v>
      </c>
      <c r="AB181" s="20">
        <f>(INDEX(($AM$106:$CK$111,$AM$115:$CK$120,$AM$124:$CK$129,$AM$133:$CK$138),MATCH($L$180,$AL$106:$AL$111,0),MATCH(A192,$AM$105:$CK$105,0),MATCH($G$179,$X$128:$X$131,0)))*C192</f>
        <v>0</v>
      </c>
      <c r="AC181" s="20">
        <f>(INDEX(($AM$106:$CK$111,$AM$115:$CK$120,$AM$124:$CK$129,$AM$133:$CK$138),MATCH($L$181,$AL$106:$AL$111,0),MATCH(A192,$AM$105:$CK$105,0),MATCH($G$179,$X$128:$X$131,0)))*C192</f>
        <v>0</v>
      </c>
      <c r="AD181" s="20">
        <f>(INDEX(($AM$106:$CK$111,$AM$115:$CK$120,$AM$124:$CK$129,$AM$133:$CK$138),MATCH($L$182,$AL$106:$AL$111,0),MATCH(A192,$AM$105:$CK$105,0),MATCH($G$179,$X$128:$X$131,0)))*C192</f>
        <v>0</v>
      </c>
      <c r="AE181" s="20">
        <f>(INDEX(($AM$106:$CK$111,$AM$115:$CK$120,$AM$124:$CK$129,$AM$133:$CK$138),MATCH($L$183,$AL$106:$AL$111,0),MATCH(A192,$AM$105:$CK$105,0),MATCH($G$179,$X$128:$X$131,0)))*C192</f>
        <v>0</v>
      </c>
      <c r="AF181" s="20"/>
      <c r="AG181" s="20"/>
      <c r="AH181" s="20">
        <v>35</v>
      </c>
      <c r="AI181" s="20" t="s">
        <v>1054</v>
      </c>
      <c r="AJ181" s="20" t="s">
        <v>1444</v>
      </c>
      <c r="AK181" s="20"/>
      <c r="AL181" s="20" t="s">
        <v>127</v>
      </c>
      <c r="AM181" s="20">
        <v>0</v>
      </c>
      <c r="AN181" s="20">
        <v>2</v>
      </c>
      <c r="AO181" s="20">
        <v>0</v>
      </c>
      <c r="AP181" s="20">
        <v>0</v>
      </c>
      <c r="AQ181" s="20">
        <v>0</v>
      </c>
      <c r="AR181" s="20">
        <v>0</v>
      </c>
      <c r="AS181" s="20">
        <v>0</v>
      </c>
      <c r="AT181" s="20">
        <v>0</v>
      </c>
      <c r="AU181" s="20">
        <v>0</v>
      </c>
      <c r="AV181" s="20">
        <v>2</v>
      </c>
      <c r="AW181" s="20">
        <v>4</v>
      </c>
      <c r="AX181" s="20">
        <v>0</v>
      </c>
      <c r="AY181" s="20">
        <v>2</v>
      </c>
      <c r="AZ181" s="20">
        <v>4</v>
      </c>
      <c r="BA181" s="20">
        <v>0</v>
      </c>
      <c r="BB181" s="20">
        <v>0</v>
      </c>
      <c r="BC181" s="20">
        <v>4</v>
      </c>
      <c r="BD181" s="20">
        <v>0</v>
      </c>
      <c r="BE181" s="20">
        <v>0</v>
      </c>
      <c r="BF181" s="20">
        <v>0</v>
      </c>
      <c r="BG181" s="20">
        <v>0</v>
      </c>
      <c r="BH181" s="20">
        <v>0</v>
      </c>
      <c r="BI181" s="20">
        <v>0</v>
      </c>
      <c r="BJ181" s="20">
        <v>0</v>
      </c>
      <c r="BK181" s="20">
        <v>2</v>
      </c>
      <c r="BL181" s="20">
        <v>0</v>
      </c>
      <c r="BM181" s="20">
        <v>2</v>
      </c>
      <c r="BN181" s="20">
        <v>0</v>
      </c>
      <c r="BO181" s="20">
        <v>0</v>
      </c>
      <c r="BP181" s="20">
        <v>0</v>
      </c>
      <c r="BQ181" s="20">
        <v>0</v>
      </c>
      <c r="BR181" s="20">
        <v>0</v>
      </c>
      <c r="BS181" s="20">
        <v>0</v>
      </c>
      <c r="BT181" s="20">
        <v>0</v>
      </c>
      <c r="BU181" s="20">
        <v>0</v>
      </c>
      <c r="BV181" s="20">
        <v>0</v>
      </c>
      <c r="BW181" s="20">
        <v>0</v>
      </c>
      <c r="BX181" s="20">
        <v>0</v>
      </c>
      <c r="BY181" s="20">
        <v>0</v>
      </c>
      <c r="BZ181" s="20">
        <v>0</v>
      </c>
      <c r="CA181" s="20">
        <v>2</v>
      </c>
      <c r="CB181" s="20">
        <v>0</v>
      </c>
      <c r="CC181" s="20">
        <v>2</v>
      </c>
      <c r="CD181" s="20">
        <v>0</v>
      </c>
      <c r="CE181" s="20">
        <v>0</v>
      </c>
      <c r="CF181" s="20">
        <v>0</v>
      </c>
      <c r="CG181" s="20">
        <v>0</v>
      </c>
      <c r="CH181" s="20">
        <v>0</v>
      </c>
      <c r="CI181" s="20">
        <v>0</v>
      </c>
      <c r="CJ181" s="20">
        <v>0</v>
      </c>
      <c r="CK181" s="20">
        <v>0</v>
      </c>
      <c r="CL181" s="20"/>
      <c r="CM181" s="20" t="s">
        <v>520</v>
      </c>
      <c r="CN181" s="20">
        <v>0</v>
      </c>
      <c r="CO181" s="20">
        <v>0</v>
      </c>
      <c r="CP181" s="20">
        <v>0</v>
      </c>
      <c r="CQ181" s="20">
        <v>2</v>
      </c>
      <c r="CR181" s="20">
        <v>0</v>
      </c>
      <c r="CS181" s="20">
        <v>2</v>
      </c>
      <c r="CT181" s="20">
        <v>4</v>
      </c>
      <c r="CU181" s="20">
        <v>2</v>
      </c>
      <c r="CV181" s="20">
        <v>4</v>
      </c>
      <c r="CW181" s="20">
        <v>6</v>
      </c>
      <c r="CX181" s="20">
        <v>4</v>
      </c>
      <c r="CY181" s="20">
        <v>6</v>
      </c>
      <c r="CZ181" s="20">
        <v>8</v>
      </c>
      <c r="DA181" s="20">
        <v>6</v>
      </c>
      <c r="DB181" s="20">
        <v>8</v>
      </c>
      <c r="DC181" s="20">
        <v>8</v>
      </c>
      <c r="DD181" s="20">
        <v>10</v>
      </c>
      <c r="DE181" s="20">
        <v>8</v>
      </c>
      <c r="DF181" s="20">
        <v>10</v>
      </c>
      <c r="DG181" s="20">
        <v>12</v>
      </c>
      <c r="DH181" s="20">
        <v>10</v>
      </c>
      <c r="DI181" s="20"/>
      <c r="DJ181" s="20"/>
      <c r="DK181" s="20"/>
      <c r="DL181" s="20"/>
      <c r="DM181" s="20" t="s">
        <v>212</v>
      </c>
      <c r="DN181" s="20">
        <v>0</v>
      </c>
      <c r="DO181" s="20">
        <v>0</v>
      </c>
      <c r="DP181" s="20">
        <v>2</v>
      </c>
      <c r="DQ181" s="20">
        <v>2</v>
      </c>
      <c r="DR181" s="20">
        <v>2</v>
      </c>
      <c r="DS181" s="20">
        <v>2</v>
      </c>
      <c r="DT181" s="20">
        <v>4</v>
      </c>
      <c r="DU181" s="20">
        <v>2</v>
      </c>
      <c r="DV181" s="20">
        <v>4</v>
      </c>
      <c r="DW181" s="20">
        <v>6</v>
      </c>
      <c r="DX181" s="20">
        <v>4</v>
      </c>
      <c r="DY181" s="20">
        <v>6</v>
      </c>
      <c r="DZ181" s="54">
        <v>8</v>
      </c>
      <c r="EA181" s="54">
        <v>6</v>
      </c>
      <c r="EB181" s="54">
        <v>8</v>
      </c>
      <c r="EC181" s="20">
        <v>10</v>
      </c>
      <c r="ED181" s="20">
        <v>8</v>
      </c>
      <c r="EE181" s="20">
        <v>10</v>
      </c>
      <c r="EF181" s="20">
        <v>12</v>
      </c>
      <c r="EG181" s="20">
        <v>10</v>
      </c>
      <c r="EH181" s="20">
        <v>12</v>
      </c>
      <c r="EI181" s="20"/>
      <c r="EJ181" s="20"/>
      <c r="EK181" s="20"/>
      <c r="EL181" s="20"/>
      <c r="EM181" s="20"/>
      <c r="EN181" s="20"/>
      <c r="EO181" s="20"/>
      <c r="EP181" s="20"/>
      <c r="EQ181" s="20"/>
      <c r="ER181" s="20"/>
      <c r="ES181" s="20"/>
      <c r="ET181" s="20"/>
      <c r="EU181" s="20"/>
      <c r="EV181" s="20" t="s">
        <v>9</v>
      </c>
      <c r="EW181" s="20">
        <v>0</v>
      </c>
      <c r="EX181" s="20">
        <v>0</v>
      </c>
      <c r="EY181" s="20">
        <v>0</v>
      </c>
      <c r="EZ181" s="20">
        <v>0</v>
      </c>
      <c r="FA181" s="20">
        <v>0</v>
      </c>
      <c r="FB181" s="20">
        <v>0</v>
      </c>
      <c r="FC181" s="20">
        <v>0</v>
      </c>
      <c r="FD181" s="20">
        <v>0</v>
      </c>
      <c r="FE181" s="20">
        <v>0</v>
      </c>
      <c r="FF181" s="20">
        <v>0</v>
      </c>
      <c r="FG181" s="20">
        <v>0</v>
      </c>
      <c r="FH181" s="20"/>
      <c r="FI181" s="20" t="s">
        <v>210</v>
      </c>
      <c r="FJ181" s="20">
        <v>0</v>
      </c>
      <c r="FK181" s="20">
        <v>0</v>
      </c>
      <c r="FL181" s="20">
        <v>2</v>
      </c>
      <c r="FM181" s="20">
        <v>0</v>
      </c>
      <c r="FN181" s="20">
        <v>2</v>
      </c>
      <c r="FO181" s="20">
        <v>0</v>
      </c>
      <c r="FP181" s="20">
        <v>0</v>
      </c>
      <c r="FQ181" s="20">
        <v>0</v>
      </c>
      <c r="FR181" s="20">
        <v>0</v>
      </c>
      <c r="FS181" s="20">
        <v>0</v>
      </c>
      <c r="FT181" s="20">
        <v>0</v>
      </c>
      <c r="FU181" s="20"/>
      <c r="FV181" s="20"/>
      <c r="FW181" s="20"/>
      <c r="FX181" s="20"/>
      <c r="FY181" s="20"/>
      <c r="FZ181" s="20"/>
      <c r="GA181" s="21" t="s">
        <v>111</v>
      </c>
      <c r="GB181" s="20"/>
      <c r="GC181" s="20"/>
      <c r="GD181" s="20"/>
      <c r="GE181" s="20"/>
      <c r="GF181" s="20"/>
      <c r="GG181" s="20"/>
      <c r="GH181" s="20"/>
      <c r="GI181" s="20"/>
      <c r="GJ181" s="20"/>
      <c r="GK181" s="20"/>
      <c r="GL181" s="20"/>
      <c r="GM181" s="20"/>
      <c r="GN181" s="20"/>
      <c r="GO181" s="20"/>
      <c r="GP181" s="20"/>
      <c r="GQ181" s="20"/>
      <c r="GR181" s="20"/>
      <c r="GS181" s="20"/>
      <c r="GT181" s="20"/>
      <c r="GU181" s="20"/>
      <c r="GV181" s="20"/>
      <c r="GW181" s="20"/>
      <c r="GX181" s="20"/>
      <c r="GY181" s="21"/>
      <c r="GZ181" s="21"/>
      <c r="HA181" s="21"/>
      <c r="HB181" s="21"/>
      <c r="HC181" s="21"/>
      <c r="HD181" s="21"/>
      <c r="HE181" s="21"/>
      <c r="HF181" s="21"/>
      <c r="HG181" s="21"/>
      <c r="HH181" s="21"/>
      <c r="HI181" s="21"/>
      <c r="HJ181" s="21"/>
      <c r="HK181" s="21"/>
      <c r="HL181" s="21"/>
      <c r="HM181" s="21"/>
      <c r="HN181" s="21"/>
      <c r="HO181" s="21"/>
      <c r="HP181" s="21"/>
      <c r="HQ181" s="21"/>
      <c r="HR181" s="21"/>
      <c r="HS181" s="21"/>
      <c r="HT181" s="21"/>
      <c r="HU181" s="21"/>
      <c r="HV181" s="21" t="s">
        <v>853</v>
      </c>
      <c r="HW181" s="21">
        <v>0</v>
      </c>
      <c r="HX181" s="21">
        <v>0</v>
      </c>
      <c r="HY181" s="21">
        <v>2</v>
      </c>
      <c r="HZ181" s="21">
        <v>2</v>
      </c>
      <c r="IA181" s="21">
        <v>4</v>
      </c>
      <c r="IB181" s="21">
        <v>6</v>
      </c>
      <c r="IC181" s="21">
        <v>6</v>
      </c>
      <c r="ID181" s="21">
        <v>8</v>
      </c>
      <c r="IE181" s="21">
        <v>10</v>
      </c>
      <c r="IF181" s="21">
        <v>12</v>
      </c>
      <c r="IG181" s="21">
        <v>12</v>
      </c>
      <c r="IH181" s="21">
        <v>14</v>
      </c>
      <c r="II181" s="21">
        <v>16</v>
      </c>
      <c r="IJ181" s="21">
        <v>16</v>
      </c>
      <c r="IK181" s="21">
        <v>18</v>
      </c>
      <c r="IL181" s="21">
        <v>20</v>
      </c>
      <c r="IM181" s="21">
        <v>20</v>
      </c>
      <c r="IN181" s="21">
        <v>22</v>
      </c>
      <c r="IO181" s="21">
        <v>24</v>
      </c>
      <c r="IP181" s="21">
        <v>24</v>
      </c>
      <c r="IQ181" s="21">
        <v>26</v>
      </c>
      <c r="IR181" s="21"/>
      <c r="IS181" s="21" t="s">
        <v>853</v>
      </c>
      <c r="IT181" s="21">
        <f t="shared" si="66"/>
        <v>0</v>
      </c>
      <c r="IU181" s="21">
        <f t="shared" si="66"/>
        <v>0</v>
      </c>
      <c r="IV181" s="21">
        <f t="shared" si="66"/>
        <v>4</v>
      </c>
      <c r="IW181" s="21">
        <f t="shared" si="66"/>
        <v>4</v>
      </c>
      <c r="IX181" s="21">
        <f t="shared" si="66"/>
        <v>8</v>
      </c>
      <c r="IY181" s="21">
        <f t="shared" si="66"/>
        <v>12</v>
      </c>
      <c r="IZ181" s="21">
        <f t="shared" si="66"/>
        <v>12</v>
      </c>
      <c r="JA181" s="21">
        <f t="shared" si="66"/>
        <v>16</v>
      </c>
      <c r="JB181" s="21">
        <f t="shared" si="66"/>
        <v>20</v>
      </c>
      <c r="JC181" s="21">
        <f t="shared" si="66"/>
        <v>24</v>
      </c>
      <c r="JD181" s="21">
        <f t="shared" si="66"/>
        <v>24</v>
      </c>
      <c r="JE181" s="21">
        <f t="shared" si="66"/>
        <v>28</v>
      </c>
      <c r="JF181" s="21">
        <f t="shared" si="66"/>
        <v>32</v>
      </c>
      <c r="JG181" s="21">
        <f t="shared" si="66"/>
        <v>32</v>
      </c>
      <c r="JH181" s="21">
        <f t="shared" si="66"/>
        <v>36</v>
      </c>
      <c r="JI181" s="21">
        <f t="shared" si="53"/>
        <v>40</v>
      </c>
      <c r="JJ181" s="21">
        <f t="shared" si="53"/>
        <v>40</v>
      </c>
      <c r="JK181" s="21">
        <f t="shared" si="53"/>
        <v>44</v>
      </c>
      <c r="JL181" s="21">
        <f t="shared" si="53"/>
        <v>48</v>
      </c>
      <c r="JM181" s="21">
        <f t="shared" si="53"/>
        <v>48</v>
      </c>
      <c r="JN181" s="21">
        <f t="shared" si="53"/>
        <v>52</v>
      </c>
      <c r="JO181" s="21"/>
      <c r="JP181" s="21"/>
      <c r="JQ181" s="21"/>
      <c r="JR181" s="21"/>
      <c r="JS181" s="21"/>
      <c r="JT181" s="21"/>
      <c r="JU181" s="21"/>
      <c r="JV181" s="21"/>
      <c r="JW181" s="21"/>
      <c r="JX181" s="21"/>
      <c r="JY181" s="21"/>
      <c r="JZ181" s="21"/>
      <c r="KA181" s="21"/>
      <c r="KB181" s="21"/>
      <c r="KC181" s="21"/>
      <c r="KD181" s="21"/>
      <c r="KE181" s="21"/>
      <c r="KF181" s="21"/>
      <c r="KG181" s="21"/>
      <c r="KH181" s="21"/>
    </row>
    <row r="182" spans="1:294" x14ac:dyDescent="0.25">
      <c r="A182" s="8"/>
      <c r="B182" s="5" t="s">
        <v>116</v>
      </c>
      <c r="C182" s="8"/>
      <c r="D182" s="6" t="s">
        <v>307</v>
      </c>
      <c r="E182" s="8" t="s">
        <v>308</v>
      </c>
      <c r="F182" s="37" t="str">
        <f>IF(E182="balastowa","wartość balastu określa konstruktor","")</f>
        <v>wartość balastu określa konstruktor</v>
      </c>
      <c r="G182" s="5"/>
      <c r="H182" s="5"/>
      <c r="I182" s="5"/>
      <c r="J182" s="5"/>
      <c r="K182" s="9"/>
      <c r="L182" s="6" t="s">
        <v>15</v>
      </c>
      <c r="M182" s="11">
        <f>INDEX(cennik!$C$2:$L$529,MATCH($L182,cennik!$B$2:$B$522,0),MATCH(M$104,cennik!$C$1:$L$1,0))</f>
        <v>894631</v>
      </c>
      <c r="N182" s="11" t="str">
        <f>INDEX(cennik!$C$2:$L$529,MATCH($L182,cennik!$B$2:$B$522,0),MATCH(N$104,cennik!$C$1:$L$1,0))</f>
        <v>szt.</v>
      </c>
      <c r="O182" s="11">
        <f>SUM(AD167:AD182)</f>
        <v>0</v>
      </c>
      <c r="P182" s="34">
        <f>INDEX(cennik!$C$2:$L$529,MATCH($L182,cennik!$B$2:$B$522,0),MATCH(P$104,cennik!$C$1:$L$1,0))</f>
        <v>97.65</v>
      </c>
      <c r="Q182" s="34">
        <f t="shared" si="76"/>
        <v>0</v>
      </c>
      <c r="R182" s="35">
        <f t="shared" si="74"/>
        <v>0</v>
      </c>
      <c r="S182" s="34">
        <f t="shared" si="75"/>
        <v>97.65</v>
      </c>
      <c r="T182" s="34">
        <f t="shared" si="77"/>
        <v>0</v>
      </c>
      <c r="U182" s="34">
        <f>INDEX(cennik!$C$2:$L$529,MATCH($L182,cennik!$B$2:$B$522,0),MATCH(U$104,cennik!$C$1:$L$1,0))*O182</f>
        <v>0</v>
      </c>
      <c r="V182" s="20"/>
      <c r="W182" s="25">
        <f t="shared" si="68"/>
        <v>0</v>
      </c>
      <c r="X182" s="20">
        <f t="shared" si="69"/>
        <v>0</v>
      </c>
      <c r="Y182" s="20"/>
      <c r="Z182" s="20">
        <f>(INDEX(($AM$106:$CK$111,$AM$115:$CK$120,$AM$124:$CK$129,$AM$133:$CK$138),MATCH($L$184,$AL$106:$AL$111,0),MATCH(A193,$AM$105:$CK$105,0),MATCH($G$179,$X$128:$X$131,0)))*C193</f>
        <v>0</v>
      </c>
      <c r="AA182" s="20">
        <f>(INDEX(($AM$106:$CK$111,$AM$115:$CK$120,$AM$124:$CK$129,$AM$133:$CK$138),MATCH($L$179,$AL$106:$AL$111,0),MATCH(A193,$AM$105:$CK$105,0),MATCH($G$179,$X$128:$X$131,0)))*C193</f>
        <v>0</v>
      </c>
      <c r="AB182" s="20">
        <f>(INDEX(($AM$106:$CK$111,$AM$115:$CK$120,$AM$124:$CK$129,$AM$133:$CK$138),MATCH($L$180,$AL$106:$AL$111,0),MATCH(A193,$AM$105:$CK$105,0),MATCH($G$179,$X$128:$X$131,0)))*C193</f>
        <v>0</v>
      </c>
      <c r="AC182" s="20">
        <f>(INDEX(($AM$106:$CK$111,$AM$115:$CK$120,$AM$124:$CK$129,$AM$133:$CK$138),MATCH($L$181,$AL$106:$AL$111,0),MATCH(A193,$AM$105:$CK$105,0),MATCH($G$179,$X$128:$X$131,0)))*C193</f>
        <v>0</v>
      </c>
      <c r="AD182" s="20">
        <f>(INDEX(($AM$106:$CK$111,$AM$115:$CK$120,$AM$124:$CK$129,$AM$133:$CK$138),MATCH($L$182,$AL$106:$AL$111,0),MATCH(A193,$AM$105:$CK$105,0),MATCH($G$179,$X$128:$X$131,0)))*C193</f>
        <v>0</v>
      </c>
      <c r="AE182" s="20">
        <f>(INDEX(($AM$106:$CK$111,$AM$115:$CK$120,$AM$124:$CK$129,$AM$133:$CK$138),MATCH($L$183,$AL$106:$AL$111,0),MATCH(A193,$AM$105:$CK$105,0),MATCH($G$179,$X$128:$X$131,0)))*C193</f>
        <v>0</v>
      </c>
      <c r="AF182" s="20"/>
      <c r="AG182" s="20"/>
      <c r="AH182" s="20">
        <v>38</v>
      </c>
      <c r="AI182" s="20" t="s">
        <v>1445</v>
      </c>
      <c r="AJ182" s="20" t="s">
        <v>1446</v>
      </c>
      <c r="AK182" s="20"/>
      <c r="AL182" s="20" t="s">
        <v>15</v>
      </c>
      <c r="AM182" s="20">
        <v>0</v>
      </c>
      <c r="AN182" s="20">
        <v>0</v>
      </c>
      <c r="AO182" s="20">
        <v>0</v>
      </c>
      <c r="AP182" s="20">
        <v>4</v>
      </c>
      <c r="AQ182" s="20">
        <v>4</v>
      </c>
      <c r="AR182" s="20">
        <v>4</v>
      </c>
      <c r="AS182" s="20">
        <v>8</v>
      </c>
      <c r="AT182" s="20">
        <v>8</v>
      </c>
      <c r="AU182" s="20">
        <v>8</v>
      </c>
      <c r="AV182" s="20">
        <v>0</v>
      </c>
      <c r="AW182" s="20">
        <v>0</v>
      </c>
      <c r="AX182" s="20">
        <v>2</v>
      </c>
      <c r="AY182" s="20">
        <v>2</v>
      </c>
      <c r="AZ182" s="20">
        <v>4</v>
      </c>
      <c r="BA182" s="20">
        <v>6</v>
      </c>
      <c r="BB182" s="20">
        <v>6</v>
      </c>
      <c r="BC182" s="20">
        <v>8</v>
      </c>
      <c r="BD182" s="20">
        <v>10</v>
      </c>
      <c r="BE182" s="20">
        <v>10</v>
      </c>
      <c r="BF182" s="20">
        <v>0</v>
      </c>
      <c r="BG182" s="20">
        <v>14</v>
      </c>
      <c r="BH182" s="20">
        <v>14</v>
      </c>
      <c r="BI182" s="20">
        <v>2</v>
      </c>
      <c r="BJ182" s="20">
        <v>18</v>
      </c>
      <c r="BK182" s="20">
        <v>20</v>
      </c>
      <c r="BL182" s="20">
        <v>8</v>
      </c>
      <c r="BM182" s="20">
        <v>8</v>
      </c>
      <c r="BN182" s="20">
        <v>2</v>
      </c>
      <c r="BO182" s="20">
        <v>12</v>
      </c>
      <c r="BP182" s="20">
        <v>28</v>
      </c>
      <c r="BQ182" s="20">
        <v>0</v>
      </c>
      <c r="BR182" s="20">
        <v>16</v>
      </c>
      <c r="BS182" s="20">
        <v>8</v>
      </c>
      <c r="BT182" s="20">
        <v>4</v>
      </c>
      <c r="BU182" s="20">
        <v>20</v>
      </c>
      <c r="BV182" s="20">
        <v>0</v>
      </c>
      <c r="BW182" s="20">
        <v>8</v>
      </c>
      <c r="BX182" s="20">
        <v>2</v>
      </c>
      <c r="BY182" s="20">
        <v>0</v>
      </c>
      <c r="BZ182" s="20">
        <v>12</v>
      </c>
      <c r="CA182" s="20">
        <v>14</v>
      </c>
      <c r="CB182" s="20">
        <v>2</v>
      </c>
      <c r="CC182" s="20">
        <v>2</v>
      </c>
      <c r="CD182" s="20">
        <v>0</v>
      </c>
      <c r="CE182" s="20">
        <v>6</v>
      </c>
      <c r="CF182" s="20">
        <v>22</v>
      </c>
      <c r="CG182" s="20">
        <v>22</v>
      </c>
      <c r="CH182" s="20">
        <v>10</v>
      </c>
      <c r="CI182" s="20">
        <v>26</v>
      </c>
      <c r="CJ182" s="20">
        <v>0</v>
      </c>
      <c r="CK182" s="20">
        <v>14</v>
      </c>
      <c r="CL182" s="20"/>
      <c r="CM182" s="20" t="s">
        <v>521</v>
      </c>
      <c r="CN182" s="20">
        <v>0</v>
      </c>
      <c r="CO182" s="20">
        <v>0</v>
      </c>
      <c r="CP182" s="20">
        <v>0</v>
      </c>
      <c r="CQ182" s="20">
        <v>0</v>
      </c>
      <c r="CR182" s="20">
        <v>4</v>
      </c>
      <c r="CS182" s="20">
        <v>4</v>
      </c>
      <c r="CT182" s="20">
        <v>4</v>
      </c>
      <c r="CU182" s="20">
        <v>8</v>
      </c>
      <c r="CV182" s="20">
        <v>8</v>
      </c>
      <c r="CW182" s="20">
        <v>8</v>
      </c>
      <c r="CX182" s="20">
        <v>12</v>
      </c>
      <c r="CY182" s="20">
        <v>12</v>
      </c>
      <c r="CZ182" s="20">
        <v>12</v>
      </c>
      <c r="DA182" s="20">
        <v>16</v>
      </c>
      <c r="DB182" s="20">
        <v>16</v>
      </c>
      <c r="DC182" s="20">
        <v>16</v>
      </c>
      <c r="DD182" s="20">
        <v>16</v>
      </c>
      <c r="DE182" s="20">
        <v>20</v>
      </c>
      <c r="DF182" s="20">
        <v>20</v>
      </c>
      <c r="DG182" s="20">
        <v>20</v>
      </c>
      <c r="DH182" s="20">
        <v>24</v>
      </c>
      <c r="DI182" s="20"/>
      <c r="DJ182" s="20"/>
      <c r="DK182" s="20"/>
      <c r="DL182" s="20"/>
      <c r="DM182" s="20" t="s">
        <v>11</v>
      </c>
      <c r="DN182" s="20">
        <v>0</v>
      </c>
      <c r="DO182" s="20">
        <v>0</v>
      </c>
      <c r="DP182" s="20">
        <v>0</v>
      </c>
      <c r="DQ182" s="20">
        <v>0</v>
      </c>
      <c r="DR182" s="20">
        <v>2</v>
      </c>
      <c r="DS182" s="20">
        <v>2</v>
      </c>
      <c r="DT182" s="20">
        <v>2</v>
      </c>
      <c r="DU182" s="20">
        <v>4</v>
      </c>
      <c r="DV182" s="20">
        <v>4</v>
      </c>
      <c r="DW182" s="20">
        <v>4</v>
      </c>
      <c r="DX182" s="20">
        <v>6</v>
      </c>
      <c r="DY182" s="20">
        <v>6</v>
      </c>
      <c r="DZ182" s="54">
        <v>6</v>
      </c>
      <c r="EA182" s="54">
        <v>8</v>
      </c>
      <c r="EB182" s="54">
        <v>8</v>
      </c>
      <c r="EC182" s="20">
        <v>8</v>
      </c>
      <c r="ED182" s="20">
        <v>10</v>
      </c>
      <c r="EE182" s="20">
        <v>10</v>
      </c>
      <c r="EF182" s="20">
        <v>10</v>
      </c>
      <c r="EG182" s="20">
        <v>12</v>
      </c>
      <c r="EH182" s="20">
        <v>12</v>
      </c>
      <c r="EI182" s="20"/>
      <c r="EJ182" s="20"/>
      <c r="EK182" s="20"/>
      <c r="EL182" s="20"/>
      <c r="EM182" s="20"/>
      <c r="EN182" s="20"/>
      <c r="EO182" s="20"/>
      <c r="EP182" s="20"/>
      <c r="EQ182" s="20"/>
      <c r="ER182" s="20"/>
      <c r="ES182" s="20"/>
      <c r="ET182" s="20"/>
      <c r="EU182" s="20"/>
      <c r="EV182" s="20" t="s">
        <v>208</v>
      </c>
      <c r="EW182" s="20">
        <v>0</v>
      </c>
      <c r="EX182" s="20">
        <v>0</v>
      </c>
      <c r="EY182" s="20">
        <v>0</v>
      </c>
      <c r="EZ182" s="20">
        <v>2</v>
      </c>
      <c r="FA182" s="20">
        <v>0</v>
      </c>
      <c r="FB182" s="20">
        <v>0</v>
      </c>
      <c r="FC182" s="20">
        <v>0</v>
      </c>
      <c r="FD182" s="20">
        <v>0</v>
      </c>
      <c r="FE182" s="20">
        <v>0</v>
      </c>
      <c r="FF182" s="20">
        <v>0</v>
      </c>
      <c r="FG182" s="20">
        <v>0</v>
      </c>
      <c r="FH182" s="20"/>
      <c r="FI182" s="20" t="s">
        <v>9</v>
      </c>
      <c r="FJ182" s="20">
        <v>0</v>
      </c>
      <c r="FK182" s="20">
        <v>0</v>
      </c>
      <c r="FL182" s="20">
        <v>0</v>
      </c>
      <c r="FM182" s="20">
        <v>0</v>
      </c>
      <c r="FN182" s="20">
        <v>0</v>
      </c>
      <c r="FO182" s="20">
        <v>0</v>
      </c>
      <c r="FP182" s="20">
        <v>0</v>
      </c>
      <c r="FQ182" s="20">
        <v>0</v>
      </c>
      <c r="FR182" s="20">
        <v>0</v>
      </c>
      <c r="FS182" s="20">
        <v>0</v>
      </c>
      <c r="FT182" s="20">
        <v>0</v>
      </c>
      <c r="FU182" s="20"/>
      <c r="FV182" s="20"/>
      <c r="FW182" s="20"/>
      <c r="FX182" s="20"/>
      <c r="FY182" s="20"/>
      <c r="FZ182" s="20"/>
      <c r="GA182" s="21"/>
      <c r="GB182" s="21">
        <v>0</v>
      </c>
      <c r="GC182" s="21">
        <v>1</v>
      </c>
      <c r="GD182" s="21">
        <v>2</v>
      </c>
      <c r="GE182" s="21">
        <v>3</v>
      </c>
      <c r="GF182" s="21">
        <v>4</v>
      </c>
      <c r="GG182" s="21">
        <v>5</v>
      </c>
      <c r="GH182" s="21">
        <v>6</v>
      </c>
      <c r="GI182" s="21">
        <v>7</v>
      </c>
      <c r="GJ182" s="21">
        <v>8</v>
      </c>
      <c r="GK182" s="21">
        <v>9</v>
      </c>
      <c r="GL182" s="21">
        <v>10</v>
      </c>
      <c r="GM182" s="21">
        <v>11</v>
      </c>
      <c r="GN182" s="21">
        <v>12</v>
      </c>
      <c r="GO182" s="21">
        <v>13</v>
      </c>
      <c r="GP182" s="21">
        <v>14</v>
      </c>
      <c r="GQ182" s="21">
        <v>15</v>
      </c>
      <c r="GR182" s="21">
        <v>16</v>
      </c>
      <c r="GS182" s="21">
        <v>17</v>
      </c>
      <c r="GT182" s="21">
        <v>18</v>
      </c>
      <c r="GU182" s="21">
        <v>19</v>
      </c>
      <c r="GV182" s="21">
        <v>20</v>
      </c>
      <c r="GW182" s="21"/>
      <c r="GX182" s="21" t="s">
        <v>479</v>
      </c>
      <c r="GY182" s="21"/>
      <c r="GZ182" s="21"/>
      <c r="HA182" s="21"/>
      <c r="HB182" s="21"/>
      <c r="HC182" s="21"/>
      <c r="HD182" s="21"/>
      <c r="HE182" s="21"/>
      <c r="HF182" s="21"/>
      <c r="HG182" s="21"/>
      <c r="HH182" s="21"/>
      <c r="HI182" s="21"/>
      <c r="HJ182" s="21"/>
      <c r="HK182" s="21"/>
      <c r="HL182" s="21"/>
      <c r="HM182" s="21"/>
      <c r="HN182" s="21"/>
      <c r="HO182" s="21"/>
      <c r="HP182" s="21"/>
      <c r="HQ182" s="21"/>
      <c r="HR182" s="21"/>
      <c r="HS182" s="21"/>
      <c r="HT182" s="21"/>
      <c r="HU182" s="21"/>
      <c r="HV182" s="186"/>
      <c r="HW182" s="21"/>
      <c r="HX182" s="21"/>
      <c r="HY182" s="21"/>
      <c r="HZ182" s="21"/>
      <c r="IA182" s="21"/>
      <c r="IB182" s="21"/>
      <c r="IC182" s="21"/>
      <c r="ID182" s="21"/>
      <c r="IE182" s="21"/>
      <c r="IF182" s="21"/>
      <c r="IG182" s="21"/>
      <c r="IH182" s="21"/>
      <c r="II182" s="21"/>
      <c r="IJ182" s="21"/>
      <c r="IK182" s="21"/>
      <c r="IL182" s="21"/>
      <c r="IM182" s="21"/>
      <c r="IN182" s="21"/>
      <c r="IO182" s="21"/>
      <c r="IP182" s="21"/>
      <c r="IQ182" s="21"/>
      <c r="IR182" s="21"/>
      <c r="IS182" s="21"/>
      <c r="IT182" s="21"/>
      <c r="IU182" s="21"/>
      <c r="IV182" s="21"/>
      <c r="IW182" s="21"/>
      <c r="IX182" s="21"/>
      <c r="IY182" s="21"/>
      <c r="IZ182" s="21"/>
      <c r="JA182" s="21"/>
      <c r="JB182" s="21"/>
      <c r="JC182" s="21"/>
      <c r="JD182" s="21"/>
      <c r="JE182" s="21"/>
      <c r="JF182" s="21"/>
      <c r="JG182" s="21"/>
      <c r="JH182" s="21"/>
      <c r="JI182" s="21"/>
      <c r="JJ182" s="21"/>
      <c r="JK182" s="21"/>
      <c r="JL182" s="21"/>
      <c r="JM182" s="21"/>
      <c r="JN182" s="21"/>
      <c r="JO182" s="21"/>
      <c r="JP182" s="21"/>
      <c r="JQ182" s="21"/>
      <c r="JR182" s="21"/>
      <c r="JS182" s="21"/>
      <c r="JT182" s="21"/>
      <c r="JU182" s="21"/>
      <c r="JV182" s="21"/>
      <c r="JW182" s="21"/>
      <c r="JX182" s="21"/>
      <c r="JY182" s="21"/>
      <c r="JZ182" s="21"/>
      <c r="KA182" s="21"/>
      <c r="KB182" s="21"/>
      <c r="KC182" s="21"/>
      <c r="KD182" s="21"/>
      <c r="KE182" s="21"/>
      <c r="KF182" s="21"/>
      <c r="KG182" s="21"/>
      <c r="KH182" s="21"/>
    </row>
    <row r="183" spans="1:294" x14ac:dyDescent="0.25">
      <c r="A183" s="8"/>
      <c r="B183" s="5" t="s">
        <v>116</v>
      </c>
      <c r="C183" s="8"/>
      <c r="D183" s="6" t="s">
        <v>310</v>
      </c>
      <c r="E183" s="8">
        <v>25</v>
      </c>
      <c r="F183" s="5"/>
      <c r="G183" s="5"/>
      <c r="H183" s="5"/>
      <c r="I183" s="5"/>
      <c r="J183" s="5" t="s">
        <v>411</v>
      </c>
      <c r="K183" s="9"/>
      <c r="L183" s="6" t="s">
        <v>19</v>
      </c>
      <c r="M183" s="11">
        <f>INDEX(cennik!$C$2:$L$529,MATCH($L183,cennik!$B$2:$B$522,0),MATCH(M$104,cennik!$C$1:$L$1,0))</f>
        <v>894633</v>
      </c>
      <c r="N183" s="11" t="str">
        <f>INDEX(cennik!$C$2:$L$529,MATCH($L183,cennik!$B$2:$B$522,0),MATCH(N$104,cennik!$C$1:$L$1,0))</f>
        <v>szt.</v>
      </c>
      <c r="O183" s="11">
        <f>SUM(AE167:AE182)</f>
        <v>0</v>
      </c>
      <c r="P183" s="34">
        <f>INDEX(cennik!$C$2:$L$529,MATCH($L183,cennik!$B$2:$B$522,0),MATCH(P$104,cennik!$C$1:$L$1,0))</f>
        <v>102.3</v>
      </c>
      <c r="Q183" s="34">
        <f t="shared" si="76"/>
        <v>0</v>
      </c>
      <c r="R183" s="35">
        <f t="shared" si="74"/>
        <v>0</v>
      </c>
      <c r="S183" s="34">
        <f t="shared" si="75"/>
        <v>102.3</v>
      </c>
      <c r="T183" s="34">
        <f t="shared" si="77"/>
        <v>0</v>
      </c>
      <c r="U183" s="34">
        <f>INDEX(cennik!$C$2:$L$529,MATCH($L183,cennik!$B$2:$B$522,0),MATCH(U$104,cennik!$C$1:$L$1,0))*O183</f>
        <v>0</v>
      </c>
      <c r="V183" s="20"/>
      <c r="W183" s="20"/>
      <c r="X183" s="20"/>
      <c r="Y183" s="20"/>
      <c r="Z183" s="20"/>
      <c r="AA183" s="20"/>
      <c r="AB183" s="20"/>
      <c r="AC183" s="20"/>
      <c r="AD183" s="20"/>
      <c r="AE183" s="20"/>
      <c r="AF183" s="20"/>
      <c r="AG183" s="20"/>
      <c r="AH183" s="20">
        <v>40</v>
      </c>
      <c r="AI183" s="20" t="s">
        <v>1447</v>
      </c>
      <c r="AJ183" s="20" t="s">
        <v>1448</v>
      </c>
      <c r="AK183" s="20"/>
      <c r="AL183" s="20" t="s">
        <v>19</v>
      </c>
      <c r="AM183" s="20">
        <v>0</v>
      </c>
      <c r="AN183" s="20">
        <v>0</v>
      </c>
      <c r="AO183" s="20">
        <v>0</v>
      </c>
      <c r="AP183" s="20">
        <v>0</v>
      </c>
      <c r="AQ183" s="20">
        <v>0</v>
      </c>
      <c r="AR183" s="20">
        <v>0</v>
      </c>
      <c r="AS183" s="20">
        <v>0</v>
      </c>
      <c r="AT183" s="20">
        <v>0</v>
      </c>
      <c r="AU183" s="20">
        <v>0</v>
      </c>
      <c r="AV183" s="20">
        <v>10</v>
      </c>
      <c r="AW183" s="20">
        <v>10</v>
      </c>
      <c r="AX183" s="20">
        <v>12</v>
      </c>
      <c r="AY183" s="20">
        <v>12</v>
      </c>
      <c r="AZ183" s="20">
        <v>10</v>
      </c>
      <c r="BA183" s="20">
        <v>12</v>
      </c>
      <c r="BB183" s="20">
        <v>12</v>
      </c>
      <c r="BC183" s="20">
        <v>10</v>
      </c>
      <c r="BD183" s="20">
        <v>12</v>
      </c>
      <c r="BE183" s="20">
        <v>12</v>
      </c>
      <c r="BF183" s="20">
        <v>24</v>
      </c>
      <c r="BG183" s="20">
        <v>12</v>
      </c>
      <c r="BH183" s="20">
        <v>12</v>
      </c>
      <c r="BI183" s="20">
        <v>26</v>
      </c>
      <c r="BJ183" s="20">
        <v>12</v>
      </c>
      <c r="BK183" s="20">
        <v>10</v>
      </c>
      <c r="BL183" s="20">
        <v>24</v>
      </c>
      <c r="BM183" s="20">
        <v>24</v>
      </c>
      <c r="BN183" s="20">
        <v>32</v>
      </c>
      <c r="BO183" s="20">
        <v>24</v>
      </c>
      <c r="BP183" s="20">
        <v>10</v>
      </c>
      <c r="BQ183" s="20">
        <v>38</v>
      </c>
      <c r="BR183" s="20">
        <v>24</v>
      </c>
      <c r="BS183" s="20">
        <v>30</v>
      </c>
      <c r="BT183" s="20">
        <v>38</v>
      </c>
      <c r="BU183" s="20">
        <v>24</v>
      </c>
      <c r="BV183" s="20">
        <v>44</v>
      </c>
      <c r="BW183" s="20">
        <v>38</v>
      </c>
      <c r="BX183" s="20">
        <v>42</v>
      </c>
      <c r="BY183" s="20">
        <v>48</v>
      </c>
      <c r="BZ183" s="20">
        <v>38</v>
      </c>
      <c r="CA183" s="20">
        <v>36</v>
      </c>
      <c r="CB183" s="20">
        <v>50</v>
      </c>
      <c r="CC183" s="20">
        <v>50</v>
      </c>
      <c r="CD183" s="20">
        <v>54</v>
      </c>
      <c r="CE183" s="20">
        <v>50</v>
      </c>
      <c r="CF183" s="20">
        <v>36</v>
      </c>
      <c r="CG183" s="20">
        <v>36</v>
      </c>
      <c r="CH183" s="20">
        <v>50</v>
      </c>
      <c r="CI183" s="20">
        <v>36</v>
      </c>
      <c r="CJ183" s="20">
        <v>62</v>
      </c>
      <c r="CK183" s="20">
        <v>50</v>
      </c>
      <c r="CL183" s="20"/>
      <c r="CM183" s="20"/>
      <c r="CN183" s="20"/>
      <c r="CO183" s="20"/>
      <c r="CP183" s="20"/>
      <c r="CQ183" s="20"/>
      <c r="CR183" s="20"/>
      <c r="CS183" s="20"/>
      <c r="CT183" s="20"/>
      <c r="CU183" s="20"/>
      <c r="CV183" s="20"/>
      <c r="CW183" s="20"/>
      <c r="CX183" s="20"/>
      <c r="CY183" s="20"/>
      <c r="CZ183" s="20"/>
      <c r="DA183" s="20"/>
      <c r="DB183" s="20"/>
      <c r="DC183" s="20"/>
      <c r="DD183" s="20"/>
      <c r="DE183" s="20"/>
      <c r="DF183" s="20"/>
      <c r="DG183" s="20"/>
      <c r="DH183" s="20"/>
      <c r="DI183" s="20"/>
      <c r="DJ183" s="20"/>
      <c r="DK183" s="20"/>
      <c r="DL183" s="20"/>
      <c r="DM183" s="20"/>
      <c r="DN183" s="20"/>
      <c r="DO183" s="20"/>
      <c r="DP183" s="20"/>
      <c r="DQ183" s="20"/>
      <c r="DR183" s="20"/>
      <c r="DS183" s="20"/>
      <c r="DT183" s="20"/>
      <c r="DU183" s="20"/>
      <c r="DV183" s="20"/>
      <c r="DW183" s="20"/>
      <c r="DX183" s="20"/>
      <c r="DY183" s="20"/>
      <c r="DZ183" s="54"/>
      <c r="EA183" s="54"/>
      <c r="EB183" s="54"/>
      <c r="EC183" s="20"/>
      <c r="ED183" s="20"/>
      <c r="EE183" s="20"/>
      <c r="EF183" s="20"/>
      <c r="EG183" s="20"/>
      <c r="EH183" s="20"/>
      <c r="EI183" s="20"/>
      <c r="EJ183" s="20"/>
      <c r="EK183" s="20"/>
      <c r="EL183" s="20"/>
      <c r="EM183" s="20"/>
      <c r="EN183" s="20"/>
      <c r="EO183" s="20"/>
      <c r="EP183" s="20"/>
      <c r="EQ183" s="20"/>
      <c r="ER183" s="20"/>
      <c r="ES183" s="20"/>
      <c r="ET183" s="20"/>
      <c r="EU183" s="20"/>
      <c r="EV183" s="20" t="s">
        <v>211</v>
      </c>
      <c r="EW183" s="20">
        <v>0</v>
      </c>
      <c r="EX183" s="20">
        <v>2</v>
      </c>
      <c r="EY183" s="20">
        <v>0</v>
      </c>
      <c r="EZ183" s="20">
        <v>0</v>
      </c>
      <c r="FA183" s="20">
        <v>0</v>
      </c>
      <c r="FB183" s="20">
        <v>0</v>
      </c>
      <c r="FC183" s="20">
        <v>0</v>
      </c>
      <c r="FD183" s="20">
        <v>0</v>
      </c>
      <c r="FE183" s="20">
        <v>0</v>
      </c>
      <c r="FF183" s="20">
        <v>0</v>
      </c>
      <c r="FG183" s="20">
        <v>0</v>
      </c>
      <c r="FH183" s="20"/>
      <c r="FI183" s="20" t="s">
        <v>208</v>
      </c>
      <c r="FJ183" s="20">
        <v>0</v>
      </c>
      <c r="FK183" s="20">
        <v>0</v>
      </c>
      <c r="FL183" s="20">
        <v>0</v>
      </c>
      <c r="FM183" s="20">
        <v>0</v>
      </c>
      <c r="FN183" s="20">
        <v>0</v>
      </c>
      <c r="FO183" s="20">
        <v>0</v>
      </c>
      <c r="FP183" s="20">
        <v>0</v>
      </c>
      <c r="FQ183" s="20">
        <v>0</v>
      </c>
      <c r="FR183" s="20">
        <v>0</v>
      </c>
      <c r="FS183" s="20">
        <v>0</v>
      </c>
      <c r="FT183" s="20">
        <v>0</v>
      </c>
      <c r="FU183" s="20"/>
      <c r="FV183" s="20"/>
      <c r="FW183" s="20"/>
      <c r="FX183" s="20"/>
      <c r="FY183" s="20"/>
      <c r="FZ183" s="20"/>
      <c r="GA183" s="347" t="s">
        <v>866</v>
      </c>
      <c r="GB183" s="21">
        <v>0</v>
      </c>
      <c r="GC183" s="21">
        <v>1</v>
      </c>
      <c r="GD183" s="21">
        <v>1</v>
      </c>
      <c r="GE183" s="21">
        <v>2</v>
      </c>
      <c r="GF183" s="21">
        <v>3</v>
      </c>
      <c r="GG183" s="21">
        <v>3</v>
      </c>
      <c r="GH183" s="21">
        <v>4</v>
      </c>
      <c r="GI183" s="21">
        <v>5</v>
      </c>
      <c r="GJ183" s="21">
        <v>6</v>
      </c>
      <c r="GK183" s="21">
        <v>7</v>
      </c>
      <c r="GL183" s="21">
        <v>7</v>
      </c>
      <c r="GM183" s="21">
        <v>2</v>
      </c>
      <c r="GN183" s="21">
        <v>3</v>
      </c>
      <c r="GO183" s="21">
        <v>4</v>
      </c>
      <c r="GP183" s="21">
        <v>5</v>
      </c>
      <c r="GQ183" s="21">
        <v>5</v>
      </c>
      <c r="GR183" s="21">
        <v>0</v>
      </c>
      <c r="GS183" s="21">
        <v>1</v>
      </c>
      <c r="GT183" s="21">
        <v>2</v>
      </c>
      <c r="GU183" s="21">
        <v>2</v>
      </c>
      <c r="GV183" s="21">
        <v>3</v>
      </c>
      <c r="GW183" s="21"/>
      <c r="GX183" s="21"/>
      <c r="GY183" s="21">
        <v>0</v>
      </c>
      <c r="GZ183" s="21">
        <v>1</v>
      </c>
      <c r="HA183" s="21">
        <v>2</v>
      </c>
      <c r="HB183" s="21">
        <v>3</v>
      </c>
      <c r="HC183" s="21">
        <v>4</v>
      </c>
      <c r="HD183" s="21">
        <v>5</v>
      </c>
      <c r="HE183" s="21">
        <v>6</v>
      </c>
      <c r="HF183" s="21">
        <v>7</v>
      </c>
      <c r="HG183" s="21">
        <v>8</v>
      </c>
      <c r="HH183" s="21">
        <v>9</v>
      </c>
      <c r="HI183" s="21">
        <v>10</v>
      </c>
      <c r="HJ183" s="21">
        <v>11</v>
      </c>
      <c r="HK183" s="21">
        <v>12</v>
      </c>
      <c r="HL183" s="21">
        <v>13</v>
      </c>
      <c r="HM183" s="21">
        <v>14</v>
      </c>
      <c r="HN183" s="21">
        <v>15</v>
      </c>
      <c r="HO183" s="21">
        <v>16</v>
      </c>
      <c r="HP183" s="21">
        <v>17</v>
      </c>
      <c r="HQ183" s="21">
        <v>18</v>
      </c>
      <c r="HR183" s="21">
        <v>19</v>
      </c>
      <c r="HS183" s="21">
        <v>20</v>
      </c>
      <c r="HT183" s="21"/>
      <c r="HU183" s="21"/>
      <c r="HV183" s="186" t="s">
        <v>507</v>
      </c>
      <c r="HW183" s="21"/>
      <c r="HX183" s="21"/>
      <c r="HY183" s="21"/>
      <c r="HZ183" s="21"/>
      <c r="IA183" s="21"/>
      <c r="IB183" s="21"/>
      <c r="IC183" s="21"/>
      <c r="ID183" s="21"/>
      <c r="IE183" s="21"/>
      <c r="IF183" s="21"/>
      <c r="IG183" s="21"/>
      <c r="IH183" s="21"/>
      <c r="II183" s="21"/>
      <c r="IJ183" s="21"/>
      <c r="IK183" s="21"/>
      <c r="IL183" s="21"/>
      <c r="IM183" s="21"/>
      <c r="IN183" s="21"/>
      <c r="IO183" s="21"/>
      <c r="IP183" s="21"/>
      <c r="IQ183" s="21"/>
      <c r="IR183" s="21"/>
      <c r="IS183" s="21" t="s">
        <v>507</v>
      </c>
      <c r="IT183" s="21"/>
      <c r="IU183" s="21"/>
      <c r="IV183" s="21"/>
      <c r="IW183" s="21"/>
      <c r="IX183" s="21"/>
      <c r="IY183" s="21"/>
      <c r="IZ183" s="21"/>
      <c r="JA183" s="21"/>
      <c r="JB183" s="21"/>
      <c r="JC183" s="21"/>
      <c r="JD183" s="21"/>
      <c r="JE183" s="21"/>
      <c r="JF183" s="21"/>
      <c r="JG183" s="21"/>
      <c r="JH183" s="21"/>
      <c r="JI183" s="21"/>
      <c r="JJ183" s="21"/>
      <c r="JK183" s="21"/>
      <c r="JL183" s="21"/>
      <c r="JM183" s="21"/>
      <c r="JN183" s="21"/>
      <c r="JO183" s="21"/>
      <c r="JP183" s="21"/>
      <c r="JQ183" s="21"/>
      <c r="JR183" s="21"/>
      <c r="JS183" s="21"/>
      <c r="JT183" s="21"/>
      <c r="JU183" s="21"/>
      <c r="JV183" s="21"/>
      <c r="JW183" s="21"/>
      <c r="JX183" s="21"/>
      <c r="JY183" s="21"/>
      <c r="JZ183" s="21"/>
      <c r="KA183" s="21"/>
      <c r="KB183" s="21"/>
      <c r="KC183" s="21"/>
      <c r="KD183" s="21"/>
      <c r="KE183" s="21"/>
      <c r="KF183" s="21"/>
      <c r="KG183" s="21"/>
      <c r="KH183" s="21"/>
    </row>
    <row r="184" spans="1:294" x14ac:dyDescent="0.25">
      <c r="A184" s="8"/>
      <c r="B184" s="5" t="s">
        <v>116</v>
      </c>
      <c r="C184" s="8"/>
      <c r="D184" s="6" t="s">
        <v>162</v>
      </c>
      <c r="E184" s="8">
        <v>0</v>
      </c>
      <c r="F184" s="5"/>
      <c r="G184" s="5"/>
      <c r="H184" s="5"/>
      <c r="I184" s="5"/>
      <c r="J184" s="5" t="s">
        <v>163</v>
      </c>
      <c r="K184" s="9"/>
      <c r="L184" s="6" t="s">
        <v>408</v>
      </c>
      <c r="M184" s="11">
        <f>INDEX(cennik!$C$2:$L$529,MATCH($L184,cennik!$B$2:$B$522,0),MATCH(M$104,cennik!$C$1:$L$1,0))</f>
        <v>890512</v>
      </c>
      <c r="N184" s="11" t="str">
        <f>INDEX(cennik!$C$2:$L$529,MATCH($L184,cennik!$B$2:$B$522,0),MATCH(N$104,cennik!$C$1:$L$1,0))</f>
        <v>szt.</v>
      </c>
      <c r="O184" s="11">
        <f>SUM(Z167:Z182)</f>
        <v>0</v>
      </c>
      <c r="P184" s="34">
        <f>INDEX(cennik!$C$2:$L$529,MATCH($L184,cennik!$B$2:$B$522,0),MATCH(P$104,cennik!$C$1:$L$1,0))</f>
        <v>4.28</v>
      </c>
      <c r="Q184" s="34">
        <f t="shared" si="76"/>
        <v>0</v>
      </c>
      <c r="R184" s="35">
        <f t="shared" si="74"/>
        <v>0</v>
      </c>
      <c r="S184" s="34">
        <f t="shared" si="75"/>
        <v>4.28</v>
      </c>
      <c r="T184" s="34">
        <f t="shared" si="77"/>
        <v>0</v>
      </c>
      <c r="U184" s="34">
        <f>INDEX(cennik!$C$2:$L$529,MATCH($L184,cennik!$B$2:$B$522,0),MATCH(U$104,cennik!$C$1:$L$1,0))*O184</f>
        <v>0</v>
      </c>
      <c r="V184" s="20"/>
      <c r="W184" s="20"/>
      <c r="X184" s="20"/>
      <c r="Y184" s="20"/>
      <c r="Z184" s="20"/>
      <c r="AA184" s="20"/>
      <c r="AB184" s="20"/>
      <c r="AC184" s="20"/>
      <c r="AD184" s="20"/>
      <c r="AE184" s="20"/>
      <c r="AF184" s="20"/>
      <c r="AG184" s="20"/>
      <c r="AH184" s="20">
        <v>42</v>
      </c>
      <c r="AI184" s="20" t="s">
        <v>1449</v>
      </c>
      <c r="AJ184" s="20" t="s">
        <v>1450</v>
      </c>
      <c r="AK184" s="20"/>
      <c r="AL184" s="20" t="s">
        <v>408</v>
      </c>
      <c r="AM184" s="20">
        <v>0</v>
      </c>
      <c r="AN184" s="20">
        <f>((((SUM(AN179:AN183))/2)-1))*4</f>
        <v>0</v>
      </c>
      <c r="AO184" s="20">
        <f t="shared" ref="AO184:CK184" si="78">((((SUM(AO179:AO183))/2)-1))*4</f>
        <v>4</v>
      </c>
      <c r="AP184" s="20">
        <f t="shared" si="78"/>
        <v>4</v>
      </c>
      <c r="AQ184" s="20">
        <f t="shared" si="78"/>
        <v>8</v>
      </c>
      <c r="AR184" s="20">
        <f t="shared" si="78"/>
        <v>12</v>
      </c>
      <c r="AS184" s="20">
        <f t="shared" si="78"/>
        <v>12</v>
      </c>
      <c r="AT184" s="20">
        <f t="shared" si="78"/>
        <v>16</v>
      </c>
      <c r="AU184" s="20">
        <f t="shared" si="78"/>
        <v>20</v>
      </c>
      <c r="AV184" s="20">
        <f t="shared" si="78"/>
        <v>20</v>
      </c>
      <c r="AW184" s="20">
        <f t="shared" si="78"/>
        <v>24</v>
      </c>
      <c r="AX184" s="20">
        <f t="shared" si="78"/>
        <v>24</v>
      </c>
      <c r="AY184" s="20">
        <f t="shared" si="78"/>
        <v>28</v>
      </c>
      <c r="AZ184" s="20">
        <f t="shared" si="78"/>
        <v>32</v>
      </c>
      <c r="BA184" s="20">
        <f t="shared" si="78"/>
        <v>32</v>
      </c>
      <c r="BB184" s="20">
        <f t="shared" si="78"/>
        <v>36</v>
      </c>
      <c r="BC184" s="20">
        <f t="shared" si="78"/>
        <v>40</v>
      </c>
      <c r="BD184" s="20">
        <f t="shared" si="78"/>
        <v>40</v>
      </c>
      <c r="BE184" s="20">
        <f t="shared" si="78"/>
        <v>44</v>
      </c>
      <c r="BF184" s="20">
        <f t="shared" si="78"/>
        <v>44</v>
      </c>
      <c r="BG184" s="20">
        <f t="shared" si="78"/>
        <v>48</v>
      </c>
      <c r="BH184" s="20">
        <f t="shared" si="78"/>
        <v>52</v>
      </c>
      <c r="BI184" s="20">
        <f t="shared" si="78"/>
        <v>52</v>
      </c>
      <c r="BJ184" s="20">
        <f t="shared" si="78"/>
        <v>56</v>
      </c>
      <c r="BK184" s="20">
        <f t="shared" si="78"/>
        <v>60</v>
      </c>
      <c r="BL184" s="20">
        <f t="shared" si="78"/>
        <v>60</v>
      </c>
      <c r="BM184" s="20">
        <f t="shared" si="78"/>
        <v>64</v>
      </c>
      <c r="BN184" s="20">
        <f t="shared" si="78"/>
        <v>64</v>
      </c>
      <c r="BO184" s="20">
        <f t="shared" si="78"/>
        <v>68</v>
      </c>
      <c r="BP184" s="20">
        <f t="shared" si="78"/>
        <v>72</v>
      </c>
      <c r="BQ184" s="20">
        <f t="shared" si="78"/>
        <v>72</v>
      </c>
      <c r="BR184" s="20">
        <f t="shared" si="78"/>
        <v>76</v>
      </c>
      <c r="BS184" s="20">
        <f t="shared" si="78"/>
        <v>80</v>
      </c>
      <c r="BT184" s="20">
        <f t="shared" si="78"/>
        <v>80</v>
      </c>
      <c r="BU184" s="20">
        <f t="shared" si="78"/>
        <v>84</v>
      </c>
      <c r="BV184" s="20">
        <f t="shared" si="78"/>
        <v>84</v>
      </c>
      <c r="BW184" s="20">
        <f t="shared" si="78"/>
        <v>88</v>
      </c>
      <c r="BX184" s="20">
        <f t="shared" si="78"/>
        <v>92</v>
      </c>
      <c r="BY184" s="20">
        <f t="shared" si="78"/>
        <v>92</v>
      </c>
      <c r="BZ184" s="20">
        <f t="shared" si="78"/>
        <v>96</v>
      </c>
      <c r="CA184" s="20">
        <f t="shared" si="78"/>
        <v>100</v>
      </c>
      <c r="CB184" s="20">
        <f t="shared" si="78"/>
        <v>100</v>
      </c>
      <c r="CC184" s="20">
        <f t="shared" si="78"/>
        <v>104</v>
      </c>
      <c r="CD184" s="20">
        <f t="shared" si="78"/>
        <v>104</v>
      </c>
      <c r="CE184" s="20">
        <f t="shared" si="78"/>
        <v>108</v>
      </c>
      <c r="CF184" s="20">
        <f t="shared" si="78"/>
        <v>112</v>
      </c>
      <c r="CG184" s="20">
        <f t="shared" si="78"/>
        <v>112</v>
      </c>
      <c r="CH184" s="20">
        <f t="shared" si="78"/>
        <v>116</v>
      </c>
      <c r="CI184" s="20">
        <f t="shared" si="78"/>
        <v>120</v>
      </c>
      <c r="CJ184" s="20">
        <f t="shared" si="78"/>
        <v>120</v>
      </c>
      <c r="CK184" s="20">
        <f t="shared" si="78"/>
        <v>124</v>
      </c>
      <c r="CL184" s="20"/>
      <c r="CM184" s="20" t="s">
        <v>115</v>
      </c>
      <c r="CN184" s="20">
        <v>0</v>
      </c>
      <c r="CO184" s="20">
        <v>1</v>
      </c>
      <c r="CP184" s="20">
        <v>2</v>
      </c>
      <c r="CQ184" s="20">
        <v>3</v>
      </c>
      <c r="CR184" s="20">
        <v>4</v>
      </c>
      <c r="CS184" s="20">
        <v>5</v>
      </c>
      <c r="CT184" s="20">
        <v>6</v>
      </c>
      <c r="CU184" s="20">
        <v>7</v>
      </c>
      <c r="CV184" s="20">
        <v>8</v>
      </c>
      <c r="CW184" s="20">
        <v>9</v>
      </c>
      <c r="CX184" s="20">
        <v>10</v>
      </c>
      <c r="CY184" s="20">
        <v>11</v>
      </c>
      <c r="CZ184" s="20">
        <v>12</v>
      </c>
      <c r="DA184" s="20">
        <v>13</v>
      </c>
      <c r="DB184" s="20">
        <v>14</v>
      </c>
      <c r="DC184" s="20">
        <v>15</v>
      </c>
      <c r="DD184" s="20">
        <v>16</v>
      </c>
      <c r="DE184" s="20">
        <v>17</v>
      </c>
      <c r="DF184" s="20">
        <v>18</v>
      </c>
      <c r="DG184" s="20">
        <v>19</v>
      </c>
      <c r="DH184" s="20">
        <v>20</v>
      </c>
      <c r="DI184" s="20"/>
      <c r="DJ184" s="20"/>
      <c r="DK184" s="20"/>
      <c r="DL184" s="20"/>
      <c r="DM184" s="20" t="s">
        <v>480</v>
      </c>
      <c r="DN184" s="20"/>
      <c r="DO184" s="20"/>
      <c r="DP184" s="20"/>
      <c r="DQ184" s="20"/>
      <c r="DR184" s="20"/>
      <c r="DS184" s="20"/>
      <c r="DT184" s="20"/>
      <c r="DU184" s="20"/>
      <c r="DV184" s="20"/>
      <c r="DW184" s="20"/>
      <c r="DX184" s="20"/>
      <c r="DY184" s="20"/>
      <c r="DZ184" s="87"/>
      <c r="EA184" s="54"/>
      <c r="EB184" s="54"/>
      <c r="EC184" s="20"/>
      <c r="ED184" s="20"/>
      <c r="EE184" s="20"/>
      <c r="EF184" s="20"/>
      <c r="EG184" s="20"/>
      <c r="EH184" s="20"/>
      <c r="EI184" s="20"/>
      <c r="EJ184" s="20"/>
      <c r="EK184" s="20"/>
      <c r="EL184" s="20"/>
      <c r="EM184" s="20"/>
      <c r="EN184" s="20"/>
      <c r="EO184" s="20"/>
      <c r="EP184" s="20"/>
      <c r="EQ184" s="20"/>
      <c r="ER184" s="20"/>
      <c r="ES184" s="20"/>
      <c r="ET184" s="20"/>
      <c r="EU184" s="20"/>
      <c r="EV184" s="20" t="s">
        <v>293</v>
      </c>
      <c r="EW184" s="20">
        <v>0</v>
      </c>
      <c r="EX184" s="20">
        <v>0</v>
      </c>
      <c r="EY184" s="20">
        <v>0</v>
      </c>
      <c r="EZ184" s="20">
        <v>0</v>
      </c>
      <c r="FA184" s="20">
        <v>0</v>
      </c>
      <c r="FB184" s="20">
        <v>0</v>
      </c>
      <c r="FC184" s="20">
        <v>0</v>
      </c>
      <c r="FD184" s="20">
        <v>0</v>
      </c>
      <c r="FE184" s="20">
        <v>0</v>
      </c>
      <c r="FF184" s="20">
        <v>0</v>
      </c>
      <c r="FG184" s="20">
        <v>0</v>
      </c>
      <c r="FH184" s="20"/>
      <c r="FI184" s="20" t="s">
        <v>211</v>
      </c>
      <c r="FJ184" s="20">
        <v>0</v>
      </c>
      <c r="FK184" s="20">
        <v>0</v>
      </c>
      <c r="FL184" s="20">
        <v>0</v>
      </c>
      <c r="FM184" s="20">
        <v>0</v>
      </c>
      <c r="FN184" s="20">
        <v>0</v>
      </c>
      <c r="FO184" s="20">
        <v>0</v>
      </c>
      <c r="FP184" s="20">
        <v>0</v>
      </c>
      <c r="FQ184" s="20">
        <v>0</v>
      </c>
      <c r="FR184" s="20">
        <v>0</v>
      </c>
      <c r="FS184" s="20">
        <v>0</v>
      </c>
      <c r="FT184" s="20">
        <v>0</v>
      </c>
      <c r="FU184" s="20"/>
      <c r="FV184" s="20"/>
      <c r="FW184" s="20"/>
      <c r="FX184" s="20"/>
      <c r="FY184" s="20"/>
      <c r="FZ184" s="20"/>
      <c r="GA184" s="347" t="s">
        <v>867</v>
      </c>
      <c r="GB184" s="21">
        <v>0</v>
      </c>
      <c r="GC184" s="21">
        <v>0</v>
      </c>
      <c r="GD184" s="21">
        <v>1</v>
      </c>
      <c r="GE184" s="21">
        <v>1</v>
      </c>
      <c r="GF184" s="21">
        <v>1</v>
      </c>
      <c r="GG184" s="21">
        <v>2</v>
      </c>
      <c r="GH184" s="21">
        <v>2</v>
      </c>
      <c r="GI184" s="21">
        <v>2</v>
      </c>
      <c r="GJ184" s="21">
        <v>2</v>
      </c>
      <c r="GK184" s="21">
        <v>2</v>
      </c>
      <c r="GL184" s="21">
        <v>3</v>
      </c>
      <c r="GM184" s="21">
        <v>8</v>
      </c>
      <c r="GN184" s="21">
        <v>8</v>
      </c>
      <c r="GO184" s="21">
        <v>8</v>
      </c>
      <c r="GP184" s="21">
        <v>8</v>
      </c>
      <c r="GQ184" s="21">
        <v>9</v>
      </c>
      <c r="GR184" s="21">
        <v>14</v>
      </c>
      <c r="GS184" s="21">
        <v>14</v>
      </c>
      <c r="GT184" s="21">
        <v>14</v>
      </c>
      <c r="GU184" s="21">
        <v>15</v>
      </c>
      <c r="GV184" s="21">
        <v>15</v>
      </c>
      <c r="GW184" s="21"/>
      <c r="GX184" s="347" t="s">
        <v>866</v>
      </c>
      <c r="GY184" s="21">
        <v>0</v>
      </c>
      <c r="GZ184" s="20">
        <v>0</v>
      </c>
      <c r="HA184" s="21">
        <v>3</v>
      </c>
      <c r="HB184" s="21">
        <v>3</v>
      </c>
      <c r="HC184" s="21">
        <v>2</v>
      </c>
      <c r="HD184" s="21">
        <v>1</v>
      </c>
      <c r="HE184" s="21">
        <v>0</v>
      </c>
      <c r="HF184" s="21">
        <v>5</v>
      </c>
      <c r="HG184" s="21">
        <v>4</v>
      </c>
      <c r="HH184" s="21">
        <v>3</v>
      </c>
      <c r="HI184" s="21">
        <v>2</v>
      </c>
      <c r="HJ184" s="21">
        <v>1</v>
      </c>
      <c r="HK184" s="21">
        <v>0</v>
      </c>
      <c r="HL184" s="21">
        <v>5</v>
      </c>
      <c r="HM184" s="21">
        <v>4</v>
      </c>
      <c r="HN184" s="21">
        <v>4</v>
      </c>
      <c r="HO184" s="21">
        <v>2</v>
      </c>
      <c r="HP184" s="21">
        <v>1</v>
      </c>
      <c r="HQ184" s="21">
        <v>0</v>
      </c>
      <c r="HR184" s="21">
        <v>0</v>
      </c>
      <c r="HS184" s="21">
        <v>4</v>
      </c>
      <c r="HT184" s="21"/>
      <c r="HU184" s="21"/>
      <c r="HV184" s="186"/>
      <c r="HW184" s="21">
        <v>0</v>
      </c>
      <c r="HX184" s="21">
        <v>1</v>
      </c>
      <c r="HY184" s="21">
        <v>2</v>
      </c>
      <c r="HZ184" s="21">
        <v>3</v>
      </c>
      <c r="IA184" s="21">
        <v>4</v>
      </c>
      <c r="IB184" s="21">
        <v>5</v>
      </c>
      <c r="IC184" s="21">
        <v>6</v>
      </c>
      <c r="ID184" s="21">
        <v>7</v>
      </c>
      <c r="IE184" s="21">
        <v>8</v>
      </c>
      <c r="IF184" s="21">
        <v>9</v>
      </c>
      <c r="IG184" s="21">
        <v>10</v>
      </c>
      <c r="IH184" s="21">
        <v>11</v>
      </c>
      <c r="II184" s="21">
        <v>12</v>
      </c>
      <c r="IJ184" s="21">
        <v>13</v>
      </c>
      <c r="IK184" s="21">
        <v>14</v>
      </c>
      <c r="IL184" s="21">
        <v>15</v>
      </c>
      <c r="IM184" s="21">
        <v>16</v>
      </c>
      <c r="IN184" s="21">
        <v>17</v>
      </c>
      <c r="IO184" s="21">
        <v>18</v>
      </c>
      <c r="IP184" s="21">
        <v>19</v>
      </c>
      <c r="IQ184" s="21">
        <v>20</v>
      </c>
      <c r="IR184" s="21"/>
      <c r="IS184" s="21"/>
      <c r="IT184" s="21">
        <f t="shared" si="66"/>
        <v>0</v>
      </c>
      <c r="IU184" s="21">
        <f t="shared" si="66"/>
        <v>2</v>
      </c>
      <c r="IV184" s="21">
        <f t="shared" si="66"/>
        <v>4</v>
      </c>
      <c r="IW184" s="21">
        <f t="shared" si="66"/>
        <v>6</v>
      </c>
      <c r="IX184" s="21">
        <f t="shared" si="66"/>
        <v>8</v>
      </c>
      <c r="IY184" s="21">
        <f t="shared" si="66"/>
        <v>10</v>
      </c>
      <c r="IZ184" s="21">
        <f t="shared" si="66"/>
        <v>12</v>
      </c>
      <c r="JA184" s="21">
        <f t="shared" si="66"/>
        <v>14</v>
      </c>
      <c r="JB184" s="21">
        <f t="shared" si="66"/>
        <v>16</v>
      </c>
      <c r="JC184" s="21">
        <f t="shared" si="66"/>
        <v>18</v>
      </c>
      <c r="JD184" s="21">
        <f t="shared" si="66"/>
        <v>20</v>
      </c>
      <c r="JE184" s="21">
        <f t="shared" si="66"/>
        <v>22</v>
      </c>
      <c r="JF184" s="21">
        <f t="shared" si="66"/>
        <v>24</v>
      </c>
      <c r="JG184" s="21">
        <f t="shared" si="66"/>
        <v>26</v>
      </c>
      <c r="JH184" s="21">
        <f t="shared" si="66"/>
        <v>28</v>
      </c>
      <c r="JI184" s="21">
        <f t="shared" si="53"/>
        <v>30</v>
      </c>
      <c r="JJ184" s="21">
        <f t="shared" si="53"/>
        <v>32</v>
      </c>
      <c r="JK184" s="21">
        <f t="shared" si="53"/>
        <v>34</v>
      </c>
      <c r="JL184" s="21">
        <f t="shared" si="53"/>
        <v>36</v>
      </c>
      <c r="JM184" s="21">
        <f t="shared" si="53"/>
        <v>38</v>
      </c>
      <c r="JN184" s="21">
        <f t="shared" si="53"/>
        <v>40</v>
      </c>
      <c r="JO184" s="21"/>
      <c r="JP184" s="21"/>
      <c r="JQ184" s="21"/>
      <c r="JR184" s="21"/>
      <c r="JS184" s="21"/>
      <c r="JT184" s="21"/>
      <c r="JU184" s="21"/>
      <c r="JV184" s="21"/>
      <c r="JW184" s="21"/>
      <c r="JX184" s="21"/>
      <c r="JY184" s="21"/>
      <c r="JZ184" s="21"/>
      <c r="KA184" s="21"/>
      <c r="KB184" s="21"/>
      <c r="KC184" s="21"/>
      <c r="KD184" s="21"/>
      <c r="KE184" s="21"/>
      <c r="KF184" s="21"/>
      <c r="KG184" s="21"/>
      <c r="KH184" s="21"/>
    </row>
    <row r="185" spans="1:294" x14ac:dyDescent="0.25">
      <c r="A185" s="8"/>
      <c r="B185" s="5" t="s">
        <v>116</v>
      </c>
      <c r="C185" s="8"/>
      <c r="D185" s="6" t="s">
        <v>510</v>
      </c>
      <c r="E185" s="8">
        <v>0</v>
      </c>
      <c r="F185" s="6"/>
      <c r="G185" s="6"/>
      <c r="H185" s="6"/>
      <c r="I185" s="6"/>
      <c r="J185" s="5" t="s">
        <v>412</v>
      </c>
      <c r="K185" s="9"/>
      <c r="L185" s="6" t="s">
        <v>233</v>
      </c>
      <c r="M185" s="11">
        <f>INDEX(cennik!$C$2:$L$529,MATCH($L185,cennik!$B$2:$B$522,0),MATCH(M$104,cennik!$C$1:$L$1,0))</f>
        <v>898170</v>
      </c>
      <c r="N185" s="11" t="str">
        <f>INDEX(cennik!$C$2:$L$529,MATCH($L185,cennik!$B$2:$B$522,0),MATCH(N$104,cennik!$C$1:$L$1,0))</f>
        <v>szt.</v>
      </c>
      <c r="O185" s="11">
        <f>SUM(W167:W182)</f>
        <v>0</v>
      </c>
      <c r="P185" s="34">
        <f>INDEX(cennik!$C$2:$L$529,MATCH($L185,cennik!$B$2:$B$522,0),MATCH(P$104,cennik!$C$1:$L$1,0))</f>
        <v>63.34</v>
      </c>
      <c r="Q185" s="34">
        <f t="shared" si="76"/>
        <v>0</v>
      </c>
      <c r="R185" s="35">
        <f t="shared" si="74"/>
        <v>0</v>
      </c>
      <c r="S185" s="34">
        <f t="shared" si="75"/>
        <v>63.34</v>
      </c>
      <c r="T185" s="34">
        <f t="shared" si="77"/>
        <v>0</v>
      </c>
      <c r="U185" s="34">
        <f>INDEX(cennik!$C$2:$L$529,MATCH($L185,cennik!$B$2:$B$522,0),MATCH(U$104,cennik!$C$1:$L$1,0))*O185</f>
        <v>0</v>
      </c>
      <c r="V185" s="20"/>
      <c r="W185" s="20"/>
      <c r="X185" s="20"/>
      <c r="Y185" s="20"/>
      <c r="Z185" s="20"/>
      <c r="AA185" s="20"/>
      <c r="AB185" s="20"/>
      <c r="AC185" s="20"/>
      <c r="AD185" s="20"/>
      <c r="AE185" s="20"/>
      <c r="AF185" s="20"/>
      <c r="AG185" s="20"/>
      <c r="AH185" s="20">
        <v>45</v>
      </c>
      <c r="AI185" s="20" t="s">
        <v>1451</v>
      </c>
      <c r="AJ185" s="20" t="s">
        <v>1452</v>
      </c>
      <c r="AK185" s="20"/>
      <c r="AL185" s="20"/>
      <c r="AM185" s="20"/>
      <c r="AN185" s="20"/>
      <c r="AO185" s="20"/>
      <c r="AP185" s="20"/>
      <c r="AQ185" s="20"/>
      <c r="AR185" s="20"/>
      <c r="AS185" s="20"/>
      <c r="AT185" s="20"/>
      <c r="AU185" s="20"/>
      <c r="AV185" s="20"/>
      <c r="AW185" s="20"/>
      <c r="AX185" s="20"/>
      <c r="AY185" s="20"/>
      <c r="AZ185" s="20"/>
      <c r="BA185" s="20"/>
      <c r="BB185" s="20"/>
      <c r="BC185" s="20"/>
      <c r="BD185" s="20"/>
      <c r="BE185" s="20"/>
      <c r="BF185" s="20"/>
      <c r="BG185" s="20"/>
      <c r="BH185" s="20"/>
      <c r="BI185" s="20"/>
      <c r="BJ185" s="20"/>
      <c r="BK185" s="20"/>
      <c r="BL185" s="20"/>
      <c r="BM185" s="20"/>
      <c r="BN185" s="20"/>
      <c r="BO185" s="20"/>
      <c r="BP185" s="20"/>
      <c r="BQ185" s="20"/>
      <c r="BR185" s="20"/>
      <c r="BS185" s="20"/>
      <c r="BT185" s="20"/>
      <c r="BU185" s="20"/>
      <c r="BV185" s="20"/>
      <c r="BW185" s="20"/>
      <c r="BX185" s="20"/>
      <c r="BY185" s="20"/>
      <c r="BZ185" s="20"/>
      <c r="CA185" s="20"/>
      <c r="CB185" s="20"/>
      <c r="CC185" s="20"/>
      <c r="CD185" s="20"/>
      <c r="CE185" s="20"/>
      <c r="CF185" s="20"/>
      <c r="CG185" s="20"/>
      <c r="CH185" s="20"/>
      <c r="CI185" s="20"/>
      <c r="CJ185" s="20"/>
      <c r="CK185" s="20"/>
      <c r="CL185" s="20"/>
      <c r="CM185" s="20" t="s">
        <v>127</v>
      </c>
      <c r="CN185" s="20">
        <v>0</v>
      </c>
      <c r="CO185" s="20">
        <v>2</v>
      </c>
      <c r="CP185" s="20">
        <v>2</v>
      </c>
      <c r="CQ185" s="20">
        <v>0</v>
      </c>
      <c r="CR185" s="20">
        <v>4</v>
      </c>
      <c r="CS185" s="20">
        <v>2</v>
      </c>
      <c r="CT185" s="20">
        <v>0</v>
      </c>
      <c r="CU185" s="20">
        <v>4</v>
      </c>
      <c r="CV185" s="20">
        <v>2</v>
      </c>
      <c r="CW185" s="20">
        <v>0</v>
      </c>
      <c r="CX185" s="20">
        <v>4</v>
      </c>
      <c r="CY185" s="20">
        <v>2</v>
      </c>
      <c r="CZ185" s="20">
        <v>0</v>
      </c>
      <c r="DA185" s="20">
        <v>4</v>
      </c>
      <c r="DB185" s="20">
        <v>2</v>
      </c>
      <c r="DC185" s="20">
        <v>0</v>
      </c>
      <c r="DD185" s="20">
        <v>4</v>
      </c>
      <c r="DE185" s="20">
        <v>2</v>
      </c>
      <c r="DF185" s="20">
        <v>0</v>
      </c>
      <c r="DG185" s="20">
        <v>4</v>
      </c>
      <c r="DH185" s="20">
        <v>2</v>
      </c>
      <c r="DI185" s="20"/>
      <c r="DJ185" s="20"/>
      <c r="DK185" s="20"/>
      <c r="DL185" s="20"/>
      <c r="DM185" s="20"/>
      <c r="DN185" s="20">
        <v>0</v>
      </c>
      <c r="DO185" s="20">
        <v>1</v>
      </c>
      <c r="DP185" s="20">
        <v>2</v>
      </c>
      <c r="DQ185" s="20">
        <v>3</v>
      </c>
      <c r="DR185" s="20">
        <v>4</v>
      </c>
      <c r="DS185" s="20">
        <v>5</v>
      </c>
      <c r="DT185" s="20">
        <v>6</v>
      </c>
      <c r="DU185" s="20">
        <v>7</v>
      </c>
      <c r="DV185" s="20">
        <v>8</v>
      </c>
      <c r="DW185" s="20">
        <v>9</v>
      </c>
      <c r="DX185" s="20">
        <v>10</v>
      </c>
      <c r="DY185" s="20">
        <v>11</v>
      </c>
      <c r="DZ185" s="54">
        <v>12</v>
      </c>
      <c r="EA185" s="54">
        <v>13</v>
      </c>
      <c r="EB185" s="54">
        <v>14</v>
      </c>
      <c r="EC185" s="20">
        <v>15</v>
      </c>
      <c r="ED185" s="20">
        <v>16</v>
      </c>
      <c r="EE185" s="20">
        <v>17</v>
      </c>
      <c r="EF185" s="20">
        <v>18</v>
      </c>
      <c r="EG185" s="20">
        <v>19</v>
      </c>
      <c r="EH185" s="20">
        <v>20</v>
      </c>
      <c r="EI185" s="20"/>
      <c r="EJ185" s="20"/>
      <c r="EK185" s="20"/>
      <c r="EL185" s="20"/>
      <c r="EM185" s="20"/>
      <c r="EN185" s="20"/>
      <c r="EO185" s="20"/>
      <c r="EP185" s="20"/>
      <c r="EQ185" s="20"/>
      <c r="ER185" s="20"/>
      <c r="ES185" s="20"/>
      <c r="ET185" s="20"/>
      <c r="EU185" s="20"/>
      <c r="EV185" s="20" t="s">
        <v>10</v>
      </c>
      <c r="EW185" s="20">
        <v>0</v>
      </c>
      <c r="EX185" s="20">
        <v>0</v>
      </c>
      <c r="EY185" s="20">
        <v>0</v>
      </c>
      <c r="EZ185" s="20">
        <v>0</v>
      </c>
      <c r="FA185" s="20">
        <v>0</v>
      </c>
      <c r="FB185" s="20">
        <v>6</v>
      </c>
      <c r="FC185" s="20">
        <v>0</v>
      </c>
      <c r="FD185" s="20">
        <v>6</v>
      </c>
      <c r="FE185" s="20">
        <v>0</v>
      </c>
      <c r="FF185" s="20">
        <v>6</v>
      </c>
      <c r="FG185" s="20">
        <v>0</v>
      </c>
      <c r="FH185" s="20"/>
      <c r="FI185" s="20" t="s">
        <v>293</v>
      </c>
      <c r="FJ185" s="20">
        <v>0</v>
      </c>
      <c r="FK185" s="20">
        <v>2</v>
      </c>
      <c r="FL185" s="20">
        <v>0</v>
      </c>
      <c r="FM185" s="20">
        <v>0</v>
      </c>
      <c r="FN185" s="20">
        <v>0</v>
      </c>
      <c r="FO185" s="20">
        <v>0</v>
      </c>
      <c r="FP185" s="20">
        <v>0</v>
      </c>
      <c r="FQ185" s="20">
        <v>0</v>
      </c>
      <c r="FR185" s="20">
        <v>0</v>
      </c>
      <c r="FS185" s="20">
        <v>0</v>
      </c>
      <c r="FT185" s="20">
        <v>0</v>
      </c>
      <c r="FU185" s="20"/>
      <c r="FV185" s="20"/>
      <c r="FW185" s="20"/>
      <c r="FX185" s="20"/>
      <c r="FY185" s="20"/>
      <c r="FZ185" s="20"/>
      <c r="GA185" s="347" t="s">
        <v>868</v>
      </c>
      <c r="GB185" s="21">
        <v>0</v>
      </c>
      <c r="GC185" s="21">
        <v>0</v>
      </c>
      <c r="GD185" s="21">
        <v>0</v>
      </c>
      <c r="GE185" s="21">
        <v>0</v>
      </c>
      <c r="GF185" s="21">
        <v>0</v>
      </c>
      <c r="GG185" s="21">
        <v>0</v>
      </c>
      <c r="GH185" s="21">
        <v>0</v>
      </c>
      <c r="GI185" s="21">
        <v>0</v>
      </c>
      <c r="GJ185" s="21">
        <v>0</v>
      </c>
      <c r="GK185" s="21">
        <v>0</v>
      </c>
      <c r="GL185" s="21">
        <v>0</v>
      </c>
      <c r="GM185" s="21">
        <v>0</v>
      </c>
      <c r="GN185" s="21">
        <v>0</v>
      </c>
      <c r="GO185" s="21">
        <v>0</v>
      </c>
      <c r="GP185" s="21">
        <v>0</v>
      </c>
      <c r="GQ185" s="21">
        <v>0</v>
      </c>
      <c r="GR185" s="21">
        <v>0</v>
      </c>
      <c r="GS185" s="21">
        <v>0</v>
      </c>
      <c r="GT185" s="21">
        <v>0</v>
      </c>
      <c r="GU185" s="21">
        <v>0</v>
      </c>
      <c r="GV185" s="21">
        <v>0</v>
      </c>
      <c r="GW185" s="21"/>
      <c r="GX185" s="347" t="s">
        <v>867</v>
      </c>
      <c r="GY185" s="21">
        <v>0</v>
      </c>
      <c r="GZ185" s="20">
        <v>0</v>
      </c>
      <c r="HA185" s="21">
        <v>0</v>
      </c>
      <c r="HB185" s="21">
        <v>1</v>
      </c>
      <c r="HC185" s="21">
        <v>3</v>
      </c>
      <c r="HD185" s="21">
        <v>5</v>
      </c>
      <c r="HE185" s="21">
        <v>7</v>
      </c>
      <c r="HF185" s="21">
        <v>4</v>
      </c>
      <c r="HG185" s="21">
        <v>6</v>
      </c>
      <c r="HH185" s="21">
        <v>8</v>
      </c>
      <c r="HI185" s="21">
        <v>10</v>
      </c>
      <c r="HJ185" s="21">
        <v>12</v>
      </c>
      <c r="HK185" s="21">
        <v>14</v>
      </c>
      <c r="HL185" s="21">
        <v>11</v>
      </c>
      <c r="HM185" s="21">
        <v>13</v>
      </c>
      <c r="HN185" s="21">
        <v>14</v>
      </c>
      <c r="HO185" s="21">
        <v>17</v>
      </c>
      <c r="HP185" s="21">
        <v>19</v>
      </c>
      <c r="HQ185" s="21">
        <v>21</v>
      </c>
      <c r="HR185" s="21">
        <v>22</v>
      </c>
      <c r="HS185" s="21">
        <v>20</v>
      </c>
      <c r="HT185" s="21"/>
      <c r="HU185" s="21"/>
      <c r="HV185" s="21" t="s">
        <v>826</v>
      </c>
      <c r="HW185" s="21">
        <v>0</v>
      </c>
      <c r="HX185" s="21">
        <v>2</v>
      </c>
      <c r="HY185" s="21">
        <v>4</v>
      </c>
      <c r="HZ185" s="21">
        <v>0</v>
      </c>
      <c r="IA185" s="21">
        <v>2</v>
      </c>
      <c r="IB185" s="21">
        <v>2</v>
      </c>
      <c r="IC185" s="21">
        <v>4</v>
      </c>
      <c r="ID185" s="21">
        <v>0</v>
      </c>
      <c r="IE185" s="21">
        <v>2</v>
      </c>
      <c r="IF185" s="21">
        <v>4</v>
      </c>
      <c r="IG185" s="21">
        <v>0</v>
      </c>
      <c r="IH185" s="21">
        <v>2</v>
      </c>
      <c r="II185" s="21">
        <v>4</v>
      </c>
      <c r="IJ185" s="21">
        <v>0</v>
      </c>
      <c r="IK185" s="21">
        <v>0</v>
      </c>
      <c r="IL185" s="21">
        <v>2</v>
      </c>
      <c r="IM185" s="21">
        <v>4</v>
      </c>
      <c r="IN185" s="21">
        <v>0</v>
      </c>
      <c r="IO185" s="21">
        <v>2</v>
      </c>
      <c r="IP185" s="21">
        <v>4</v>
      </c>
      <c r="IQ185" s="21">
        <v>0</v>
      </c>
      <c r="IR185" s="21"/>
      <c r="IS185" s="21" t="s">
        <v>826</v>
      </c>
      <c r="IT185" s="21">
        <f t="shared" si="66"/>
        <v>0</v>
      </c>
      <c r="IU185" s="21">
        <f t="shared" si="66"/>
        <v>4</v>
      </c>
      <c r="IV185" s="21">
        <f t="shared" si="66"/>
        <v>8</v>
      </c>
      <c r="IW185" s="21">
        <f t="shared" si="66"/>
        <v>0</v>
      </c>
      <c r="IX185" s="21">
        <f t="shared" si="66"/>
        <v>4</v>
      </c>
      <c r="IY185" s="21">
        <f t="shared" si="66"/>
        <v>4</v>
      </c>
      <c r="IZ185" s="21">
        <f t="shared" si="66"/>
        <v>8</v>
      </c>
      <c r="JA185" s="21">
        <f t="shared" si="66"/>
        <v>0</v>
      </c>
      <c r="JB185" s="21">
        <f t="shared" si="66"/>
        <v>4</v>
      </c>
      <c r="JC185" s="21">
        <f t="shared" si="66"/>
        <v>8</v>
      </c>
      <c r="JD185" s="21">
        <f t="shared" si="66"/>
        <v>0</v>
      </c>
      <c r="JE185" s="21">
        <f t="shared" si="66"/>
        <v>4</v>
      </c>
      <c r="JF185" s="21">
        <f t="shared" si="66"/>
        <v>8</v>
      </c>
      <c r="JG185" s="21">
        <f t="shared" si="66"/>
        <v>0</v>
      </c>
      <c r="JH185" s="21">
        <f t="shared" si="66"/>
        <v>0</v>
      </c>
      <c r="JI185" s="21">
        <f t="shared" si="53"/>
        <v>4</v>
      </c>
      <c r="JJ185" s="21">
        <f t="shared" si="53"/>
        <v>8</v>
      </c>
      <c r="JK185" s="21">
        <f t="shared" si="53"/>
        <v>0</v>
      </c>
      <c r="JL185" s="21">
        <f t="shared" si="53"/>
        <v>4</v>
      </c>
      <c r="JM185" s="21">
        <f t="shared" si="53"/>
        <v>8</v>
      </c>
      <c r="JN185" s="21">
        <f t="shared" si="53"/>
        <v>0</v>
      </c>
      <c r="JO185" s="21"/>
      <c r="JP185" s="21"/>
      <c r="JQ185" s="21"/>
      <c r="JR185" s="21"/>
      <c r="JS185" s="21"/>
      <c r="JT185" s="21"/>
      <c r="JU185" s="21"/>
      <c r="JV185" s="21"/>
      <c r="JW185" s="21"/>
      <c r="JX185" s="21"/>
      <c r="JY185" s="21"/>
      <c r="JZ185" s="21"/>
      <c r="KA185" s="21"/>
      <c r="KB185" s="21"/>
      <c r="KC185" s="21"/>
      <c r="KD185" s="21"/>
      <c r="KE185" s="21"/>
      <c r="KF185" s="21"/>
      <c r="KG185" s="21"/>
      <c r="KH185" s="21"/>
    </row>
    <row r="186" spans="1:294" x14ac:dyDescent="0.25">
      <c r="A186" s="8"/>
      <c r="B186" s="5" t="s">
        <v>116</v>
      </c>
      <c r="C186" s="8"/>
      <c r="D186" s="6" t="s">
        <v>511</v>
      </c>
      <c r="E186" s="9"/>
      <c r="F186" s="9"/>
      <c r="G186" s="9"/>
      <c r="H186" s="9"/>
      <c r="I186" s="9"/>
      <c r="J186" s="9"/>
      <c r="K186" s="9"/>
      <c r="L186" s="6" t="str">
        <f>IF(E183=W186,"KT850A",IF(E183=X186,"KT1000A",IF(E183=Y186,"KT1150A",0)))</f>
        <v>KT850A</v>
      </c>
      <c r="M186" s="11">
        <f>INDEX(cennik!$C$2:$L$529,MATCH($L186,cennik!$B$2:$B$522,0),MATCH(M$104,cennik!$C$1:$L$1,0))</f>
        <v>898085</v>
      </c>
      <c r="N186" s="11" t="str">
        <f>INDEX(cennik!$C$2:$L$529,MATCH($L186,cennik!$B$2:$B$522,0),MATCH(N$104,cennik!$C$1:$L$1,0))</f>
        <v>szt.</v>
      </c>
      <c r="O186" s="11">
        <f>SUM(W167:W182)</f>
        <v>0</v>
      </c>
      <c r="P186" s="34">
        <f>INDEX(cennik!$C$2:$L$529,MATCH($L186,cennik!$B$2:$B$522,0),MATCH(P$104,cennik!$C$1:$L$1,0))</f>
        <v>31.64</v>
      </c>
      <c r="Q186" s="34">
        <f t="shared" si="76"/>
        <v>0</v>
      </c>
      <c r="R186" s="35">
        <f t="shared" si="74"/>
        <v>0</v>
      </c>
      <c r="S186" s="34">
        <f t="shared" si="75"/>
        <v>31.64</v>
      </c>
      <c r="T186" s="34">
        <f t="shared" si="77"/>
        <v>0</v>
      </c>
      <c r="U186" s="34">
        <f>INDEX(cennik!$C$2:$L$529,MATCH($L186,cennik!$B$2:$B$522,0),MATCH(U$104,cennik!$C$1:$L$1,0))*O186</f>
        <v>0</v>
      </c>
      <c r="V186" s="20"/>
      <c r="W186" s="20">
        <v>25</v>
      </c>
      <c r="X186" s="20">
        <v>30</v>
      </c>
      <c r="Y186" s="20">
        <v>35</v>
      </c>
      <c r="Z186" s="20"/>
      <c r="AA186" s="20"/>
      <c r="AB186" s="20"/>
      <c r="AC186" s="20"/>
      <c r="AD186" s="20"/>
      <c r="AE186" s="20"/>
      <c r="AF186" s="20" t="str">
        <f>INDEX(($AG$132:$AH$141),MATCH(I179,$AF$132:$AF$141,0),MATCH(E180,$AG$131:$AH$131,0))</f>
        <v>suma</v>
      </c>
      <c r="AG186" s="20"/>
      <c r="AH186" s="20">
        <v>50</v>
      </c>
      <c r="AI186" s="20" t="s">
        <v>1453</v>
      </c>
      <c r="AJ186" s="20" t="s">
        <v>1454</v>
      </c>
      <c r="AK186" s="20"/>
      <c r="AL186" s="20" t="s">
        <v>138</v>
      </c>
      <c r="AM186" s="20"/>
      <c r="AN186" s="20"/>
      <c r="AO186" s="20"/>
      <c r="AP186" s="20"/>
      <c r="AQ186" s="20"/>
      <c r="AR186" s="20"/>
      <c r="AS186" s="20"/>
      <c r="AT186" s="20"/>
      <c r="AU186" s="20"/>
      <c r="AV186" s="20"/>
      <c r="AW186" s="20"/>
      <c r="AX186" s="20"/>
      <c r="AY186" s="20"/>
      <c r="AZ186" s="20"/>
      <c r="BA186" s="20"/>
      <c r="BB186" s="20"/>
      <c r="BC186" s="20"/>
      <c r="BD186" s="20"/>
      <c r="BE186" s="20"/>
      <c r="BF186" s="20"/>
      <c r="BG186" s="20"/>
      <c r="BH186" s="20"/>
      <c r="BI186" s="20"/>
      <c r="BJ186" s="20"/>
      <c r="BK186" s="20"/>
      <c r="BL186" s="20"/>
      <c r="BM186" s="20"/>
      <c r="BN186" s="20"/>
      <c r="BO186" s="20"/>
      <c r="BP186" s="20"/>
      <c r="BQ186" s="20"/>
      <c r="BR186" s="20"/>
      <c r="BS186" s="20"/>
      <c r="BT186" s="20"/>
      <c r="BU186" s="20"/>
      <c r="BV186" s="20"/>
      <c r="BW186" s="20"/>
      <c r="BX186" s="20"/>
      <c r="BY186" s="20"/>
      <c r="BZ186" s="20"/>
      <c r="CA186" s="20"/>
      <c r="CB186" s="20"/>
      <c r="CC186" s="20"/>
      <c r="CD186" s="20"/>
      <c r="CE186" s="20"/>
      <c r="CF186" s="20"/>
      <c r="CG186" s="20"/>
      <c r="CH186" s="20"/>
      <c r="CI186" s="20"/>
      <c r="CJ186" s="20"/>
      <c r="CK186" s="20"/>
      <c r="CL186" s="20"/>
      <c r="CM186" s="20" t="s">
        <v>19</v>
      </c>
      <c r="CN186" s="20">
        <v>0</v>
      </c>
      <c r="CO186" s="20">
        <v>0</v>
      </c>
      <c r="CP186" s="20">
        <v>0</v>
      </c>
      <c r="CQ186" s="20">
        <v>2</v>
      </c>
      <c r="CR186" s="20">
        <v>0</v>
      </c>
      <c r="CS186" s="20">
        <v>2</v>
      </c>
      <c r="CT186" s="20">
        <v>4</v>
      </c>
      <c r="CU186" s="20">
        <v>2</v>
      </c>
      <c r="CV186" s="20">
        <v>4</v>
      </c>
      <c r="CW186" s="20">
        <v>6</v>
      </c>
      <c r="CX186" s="20">
        <v>4</v>
      </c>
      <c r="CY186" s="20">
        <v>6</v>
      </c>
      <c r="CZ186" s="20">
        <v>8</v>
      </c>
      <c r="DA186" s="20">
        <v>6</v>
      </c>
      <c r="DB186" s="20">
        <v>8</v>
      </c>
      <c r="DC186" s="20">
        <v>10</v>
      </c>
      <c r="DD186" s="20">
        <v>8</v>
      </c>
      <c r="DE186" s="20">
        <v>10</v>
      </c>
      <c r="DF186" s="20">
        <v>12</v>
      </c>
      <c r="DG186" s="20">
        <v>10</v>
      </c>
      <c r="DH186" s="20">
        <v>12</v>
      </c>
      <c r="DI186" s="20"/>
      <c r="DJ186" s="20"/>
      <c r="DK186" s="20"/>
      <c r="DL186" s="20"/>
      <c r="DM186" s="20" t="s">
        <v>293</v>
      </c>
      <c r="DN186" s="20">
        <v>0</v>
      </c>
      <c r="DO186" s="20">
        <v>2</v>
      </c>
      <c r="DP186" s="20">
        <v>0</v>
      </c>
      <c r="DQ186" s="20">
        <v>4</v>
      </c>
      <c r="DR186" s="20">
        <v>2</v>
      </c>
      <c r="DS186" s="20">
        <v>0</v>
      </c>
      <c r="DT186" s="20">
        <v>4</v>
      </c>
      <c r="DU186" s="20">
        <v>2</v>
      </c>
      <c r="DV186" s="20">
        <v>0</v>
      </c>
      <c r="DW186" s="20">
        <v>4</v>
      </c>
      <c r="DX186" s="20">
        <v>2</v>
      </c>
      <c r="DY186" s="20">
        <v>0</v>
      </c>
      <c r="DZ186" s="54">
        <v>4</v>
      </c>
      <c r="EA186" s="54">
        <v>2</v>
      </c>
      <c r="EB186" s="54">
        <v>0</v>
      </c>
      <c r="EC186" s="20">
        <v>4</v>
      </c>
      <c r="ED186" s="20">
        <v>2</v>
      </c>
      <c r="EE186" s="20">
        <v>0</v>
      </c>
      <c r="EF186" s="20">
        <v>4</v>
      </c>
      <c r="EG186" s="20">
        <v>2</v>
      </c>
      <c r="EH186" s="20">
        <v>0</v>
      </c>
      <c r="EI186" s="20"/>
      <c r="EJ186" s="20"/>
      <c r="EK186" s="20"/>
      <c r="EL186" s="20"/>
      <c r="EM186" s="20"/>
      <c r="EN186" s="20"/>
      <c r="EO186" s="20"/>
      <c r="EP186" s="20"/>
      <c r="EQ186" s="20"/>
      <c r="ER186" s="20"/>
      <c r="ES186" s="20"/>
      <c r="ET186" s="20"/>
      <c r="EU186" s="20"/>
      <c r="EV186" s="20" t="s">
        <v>212</v>
      </c>
      <c r="EW186" s="20">
        <v>0</v>
      </c>
      <c r="EX186" s="20">
        <v>0</v>
      </c>
      <c r="EY186" s="20">
        <v>0</v>
      </c>
      <c r="EZ186" s="20">
        <v>0</v>
      </c>
      <c r="FA186" s="20">
        <v>2</v>
      </c>
      <c r="FB186" s="20">
        <v>0</v>
      </c>
      <c r="FC186" s="20">
        <v>4</v>
      </c>
      <c r="FD186" s="20">
        <v>2</v>
      </c>
      <c r="FE186" s="20">
        <v>4</v>
      </c>
      <c r="FF186" s="20">
        <v>4</v>
      </c>
      <c r="FG186" s="20">
        <v>6</v>
      </c>
      <c r="FH186" s="20"/>
      <c r="FI186" s="20" t="s">
        <v>10</v>
      </c>
      <c r="FJ186" s="20">
        <v>0</v>
      </c>
      <c r="FK186" s="20">
        <v>0</v>
      </c>
      <c r="FL186" s="20">
        <v>2</v>
      </c>
      <c r="FM186" s="20">
        <v>4</v>
      </c>
      <c r="FN186" s="20">
        <v>0</v>
      </c>
      <c r="FO186" s="20">
        <v>2</v>
      </c>
      <c r="FP186" s="20">
        <v>8</v>
      </c>
      <c r="FQ186" s="20">
        <v>2</v>
      </c>
      <c r="FR186" s="20">
        <v>6</v>
      </c>
      <c r="FS186" s="20">
        <v>0</v>
      </c>
      <c r="FT186" s="20">
        <v>6</v>
      </c>
      <c r="FU186" s="20"/>
      <c r="FV186" s="20"/>
      <c r="FW186" s="20"/>
      <c r="FX186" s="20"/>
      <c r="FY186" s="20"/>
      <c r="FZ186" s="20"/>
      <c r="GA186" s="21"/>
      <c r="GB186" s="21"/>
      <c r="GC186" s="21"/>
      <c r="GD186" s="21"/>
      <c r="GE186" s="21"/>
      <c r="GF186" s="21"/>
      <c r="GG186" s="21"/>
      <c r="GH186" s="21"/>
      <c r="GI186" s="21"/>
      <c r="GJ186" s="21"/>
      <c r="GK186" s="21"/>
      <c r="GL186" s="21"/>
      <c r="GM186" s="21"/>
      <c r="GN186" s="21"/>
      <c r="GO186" s="21"/>
      <c r="GP186" s="21"/>
      <c r="GQ186" s="21"/>
      <c r="GR186" s="21"/>
      <c r="GS186" s="21"/>
      <c r="GT186" s="21"/>
      <c r="GU186" s="21"/>
      <c r="GV186" s="21"/>
      <c r="GW186" s="21"/>
      <c r="GX186" s="347" t="s">
        <v>868</v>
      </c>
      <c r="GY186" s="21">
        <v>0</v>
      </c>
      <c r="GZ186" s="20">
        <v>1</v>
      </c>
      <c r="HA186" s="21">
        <v>0</v>
      </c>
      <c r="HB186" s="21">
        <v>0</v>
      </c>
      <c r="HC186" s="21">
        <v>0</v>
      </c>
      <c r="HD186" s="21">
        <v>0</v>
      </c>
      <c r="HE186" s="21">
        <v>0</v>
      </c>
      <c r="HF186" s="21">
        <v>0</v>
      </c>
      <c r="HG186" s="21">
        <v>0</v>
      </c>
      <c r="HH186" s="21">
        <v>0</v>
      </c>
      <c r="HI186" s="21">
        <v>0</v>
      </c>
      <c r="HJ186" s="21">
        <v>0</v>
      </c>
      <c r="HK186" s="21">
        <v>0</v>
      </c>
      <c r="HL186" s="21">
        <v>0</v>
      </c>
      <c r="HM186" s="21">
        <v>0</v>
      </c>
      <c r="HN186" s="21">
        <v>0</v>
      </c>
      <c r="HO186" s="21">
        <v>0</v>
      </c>
      <c r="HP186" s="21">
        <v>0</v>
      </c>
      <c r="HQ186" s="21">
        <v>0</v>
      </c>
      <c r="HR186" s="21">
        <v>0</v>
      </c>
      <c r="HS186" s="21">
        <v>0</v>
      </c>
      <c r="HT186" s="21"/>
      <c r="HU186" s="21"/>
      <c r="HV186" s="21" t="s">
        <v>825</v>
      </c>
      <c r="HW186" s="21">
        <v>0</v>
      </c>
      <c r="HX186" s="21">
        <v>0</v>
      </c>
      <c r="HY186" s="21">
        <v>0</v>
      </c>
      <c r="HZ186" s="21">
        <v>4</v>
      </c>
      <c r="IA186" s="21">
        <v>4</v>
      </c>
      <c r="IB186" s="21">
        <v>6</v>
      </c>
      <c r="IC186" s="21">
        <v>6</v>
      </c>
      <c r="ID186" s="21">
        <v>10</v>
      </c>
      <c r="IE186" s="21">
        <v>10</v>
      </c>
      <c r="IF186" s="21">
        <v>10</v>
      </c>
      <c r="IG186" s="21">
        <v>14</v>
      </c>
      <c r="IH186" s="21">
        <v>14</v>
      </c>
      <c r="II186" s="21">
        <v>14</v>
      </c>
      <c r="IJ186" s="21">
        <v>18</v>
      </c>
      <c r="IK186" s="21">
        <v>20</v>
      </c>
      <c r="IL186" s="21">
        <v>20</v>
      </c>
      <c r="IM186" s="21">
        <v>20</v>
      </c>
      <c r="IN186" s="21">
        <v>24</v>
      </c>
      <c r="IO186" s="21">
        <v>24</v>
      </c>
      <c r="IP186" s="21">
        <v>24</v>
      </c>
      <c r="IQ186" s="21">
        <v>28</v>
      </c>
      <c r="IR186" s="21"/>
      <c r="IS186" s="21" t="s">
        <v>825</v>
      </c>
      <c r="IT186" s="21">
        <f t="shared" ref="IT186:JI210" si="79">HW186*2</f>
        <v>0</v>
      </c>
      <c r="IU186" s="21">
        <f t="shared" si="79"/>
        <v>0</v>
      </c>
      <c r="IV186" s="21">
        <f t="shared" si="79"/>
        <v>0</v>
      </c>
      <c r="IW186" s="21">
        <f t="shared" si="79"/>
        <v>8</v>
      </c>
      <c r="IX186" s="21">
        <f t="shared" si="79"/>
        <v>8</v>
      </c>
      <c r="IY186" s="21">
        <f t="shared" si="79"/>
        <v>12</v>
      </c>
      <c r="IZ186" s="21">
        <f t="shared" si="79"/>
        <v>12</v>
      </c>
      <c r="JA186" s="21">
        <f t="shared" si="79"/>
        <v>20</v>
      </c>
      <c r="JB186" s="21">
        <f t="shared" si="79"/>
        <v>20</v>
      </c>
      <c r="JC186" s="21">
        <f t="shared" si="79"/>
        <v>20</v>
      </c>
      <c r="JD186" s="21">
        <f t="shared" si="79"/>
        <v>28</v>
      </c>
      <c r="JE186" s="21">
        <f t="shared" si="79"/>
        <v>28</v>
      </c>
      <c r="JF186" s="21">
        <f t="shared" si="79"/>
        <v>28</v>
      </c>
      <c r="JG186" s="21">
        <f t="shared" si="79"/>
        <v>36</v>
      </c>
      <c r="JH186" s="21">
        <f t="shared" si="79"/>
        <v>40</v>
      </c>
      <c r="JI186" s="21">
        <f t="shared" si="53"/>
        <v>40</v>
      </c>
      <c r="JJ186" s="21">
        <f t="shared" si="53"/>
        <v>40</v>
      </c>
      <c r="JK186" s="21">
        <f t="shared" si="53"/>
        <v>48</v>
      </c>
      <c r="JL186" s="21">
        <f t="shared" si="53"/>
        <v>48</v>
      </c>
      <c r="JM186" s="21">
        <f t="shared" si="53"/>
        <v>48</v>
      </c>
      <c r="JN186" s="21">
        <f t="shared" si="53"/>
        <v>56</v>
      </c>
      <c r="JO186" s="21"/>
      <c r="JP186" s="21"/>
      <c r="JQ186" s="21"/>
      <c r="JR186" s="21"/>
      <c r="JS186" s="21"/>
      <c r="JT186" s="21"/>
      <c r="JU186" s="21"/>
      <c r="JV186" s="21"/>
      <c r="JW186" s="21"/>
      <c r="JX186" s="21"/>
      <c r="JY186" s="21"/>
      <c r="JZ186" s="21"/>
      <c r="KA186" s="21"/>
      <c r="KB186" s="21"/>
      <c r="KC186" s="21"/>
      <c r="KD186" s="21"/>
      <c r="KE186" s="21"/>
      <c r="KF186" s="21"/>
      <c r="KG186" s="21"/>
      <c r="KH186" s="21"/>
    </row>
    <row r="187" spans="1:294" x14ac:dyDescent="0.25">
      <c r="A187" s="8"/>
      <c r="B187" s="5" t="s">
        <v>116</v>
      </c>
      <c r="C187" s="8"/>
      <c r="D187" s="6" t="s">
        <v>774</v>
      </c>
      <c r="E187" s="52">
        <f>INDEX((AI213:AM215),MATCH(E188,AH213:AH215,0),MATCH(E189,AI212:AM212,0))</f>
        <v>1000</v>
      </c>
      <c r="F187" s="9"/>
      <c r="G187" s="9"/>
      <c r="H187" s="9"/>
      <c r="I187" s="9"/>
      <c r="J187" s="9"/>
      <c r="K187" s="9"/>
      <c r="L187" s="6" t="s">
        <v>227</v>
      </c>
      <c r="M187" s="11">
        <f>INDEX(cennik!$C$2:$L$529,MATCH($L187,cennik!$B$2:$B$522,0),MATCH(M$104,cennik!$C$1:$L$1,0))</f>
        <v>898175</v>
      </c>
      <c r="N187" s="11" t="str">
        <f>INDEX(cennik!$C$2:$L$529,MATCH($L187,cennik!$B$2:$B$522,0),MATCH(N$104,cennik!$C$1:$L$1,0))</f>
        <v>szt.</v>
      </c>
      <c r="O187" s="11">
        <f>SUM(X167:X182)</f>
        <v>0</v>
      </c>
      <c r="P187" s="34">
        <f>INDEX(cennik!$C$2:$L$529,MATCH($L187,cennik!$B$2:$B$522,0),MATCH(P$104,cennik!$C$1:$L$1,0))</f>
        <v>63.34</v>
      </c>
      <c r="Q187" s="34">
        <f t="shared" si="76"/>
        <v>0</v>
      </c>
      <c r="R187" s="35">
        <f t="shared" si="74"/>
        <v>0</v>
      </c>
      <c r="S187" s="34">
        <f t="shared" si="75"/>
        <v>63.34</v>
      </c>
      <c r="T187" s="34">
        <f t="shared" si="77"/>
        <v>0</v>
      </c>
      <c r="U187" s="34">
        <f>INDEX(cennik!$C$2:$L$529,MATCH($L187,cennik!$B$2:$B$522,0),MATCH(U$104,cennik!$C$1:$L$1,0))*O187</f>
        <v>0</v>
      </c>
      <c r="V187" s="20"/>
      <c r="W187" s="20"/>
      <c r="X187" s="20"/>
      <c r="Y187" s="20"/>
      <c r="Z187" s="20"/>
      <c r="AA187" s="20"/>
      <c r="AB187" s="20"/>
      <c r="AC187" s="20"/>
      <c r="AD187" s="20"/>
      <c r="AE187" s="20"/>
      <c r="AF187" s="20"/>
      <c r="AG187" s="20"/>
      <c r="AH187" s="20"/>
      <c r="AI187" s="20"/>
      <c r="AJ187" s="20"/>
      <c r="AK187" s="20"/>
      <c r="AL187" s="20"/>
      <c r="AM187" s="20">
        <v>0</v>
      </c>
      <c r="AN187" s="20">
        <v>1</v>
      </c>
      <c r="AO187" s="20">
        <v>2</v>
      </c>
      <c r="AP187" s="20">
        <v>3</v>
      </c>
      <c r="AQ187" s="20">
        <v>4</v>
      </c>
      <c r="AR187" s="20">
        <v>5</v>
      </c>
      <c r="AS187" s="20">
        <v>6</v>
      </c>
      <c r="AT187" s="20">
        <v>7</v>
      </c>
      <c r="AU187" s="20">
        <v>8</v>
      </c>
      <c r="AV187" s="20">
        <v>9</v>
      </c>
      <c r="AW187" s="20">
        <v>10</v>
      </c>
      <c r="AX187" s="20">
        <v>11</v>
      </c>
      <c r="AY187" s="20">
        <v>12</v>
      </c>
      <c r="AZ187" s="20">
        <v>13</v>
      </c>
      <c r="BA187" s="20">
        <v>14</v>
      </c>
      <c r="BB187" s="20">
        <v>15</v>
      </c>
      <c r="BC187" s="20">
        <v>16</v>
      </c>
      <c r="BD187" s="20">
        <v>17</v>
      </c>
      <c r="BE187" s="20">
        <v>18</v>
      </c>
      <c r="BF187" s="20">
        <v>19</v>
      </c>
      <c r="BG187" s="20">
        <v>20</v>
      </c>
      <c r="BH187" s="20">
        <v>21</v>
      </c>
      <c r="BI187" s="20">
        <v>22</v>
      </c>
      <c r="BJ187" s="20">
        <v>23</v>
      </c>
      <c r="BK187" s="20">
        <v>24</v>
      </c>
      <c r="BL187" s="20">
        <v>25</v>
      </c>
      <c r="BM187" s="20">
        <v>26</v>
      </c>
      <c r="BN187" s="20">
        <v>27</v>
      </c>
      <c r="BO187" s="20">
        <v>28</v>
      </c>
      <c r="BP187" s="20">
        <v>29</v>
      </c>
      <c r="BQ187" s="20">
        <v>30</v>
      </c>
      <c r="BR187" s="20">
        <v>31</v>
      </c>
      <c r="BS187" s="20">
        <v>32</v>
      </c>
      <c r="BT187" s="20">
        <v>33</v>
      </c>
      <c r="BU187" s="20">
        <v>34</v>
      </c>
      <c r="BV187" s="20">
        <v>35</v>
      </c>
      <c r="BW187" s="20">
        <v>36</v>
      </c>
      <c r="BX187" s="20">
        <v>37</v>
      </c>
      <c r="BY187" s="20">
        <v>38</v>
      </c>
      <c r="BZ187" s="20">
        <v>39</v>
      </c>
      <c r="CA187" s="20">
        <v>40</v>
      </c>
      <c r="CB187" s="20">
        <v>41</v>
      </c>
      <c r="CC187" s="20">
        <v>42</v>
      </c>
      <c r="CD187" s="20">
        <v>43</v>
      </c>
      <c r="CE187" s="20">
        <v>44</v>
      </c>
      <c r="CF187" s="20">
        <v>45</v>
      </c>
      <c r="CG187" s="20">
        <v>46</v>
      </c>
      <c r="CH187" s="20">
        <v>47</v>
      </c>
      <c r="CI187" s="20">
        <v>48</v>
      </c>
      <c r="CJ187" s="20">
        <v>49</v>
      </c>
      <c r="CK187" s="20">
        <v>50</v>
      </c>
      <c r="CL187" s="20"/>
      <c r="CM187" s="20" t="s">
        <v>408</v>
      </c>
      <c r="CN187" s="20">
        <v>0</v>
      </c>
      <c r="CO187" s="20">
        <v>0</v>
      </c>
      <c r="CP187" s="20">
        <v>0</v>
      </c>
      <c r="CQ187" s="20">
        <v>0</v>
      </c>
      <c r="CR187" s="20">
        <v>4</v>
      </c>
      <c r="CS187" s="20">
        <v>4</v>
      </c>
      <c r="CT187" s="20">
        <v>4</v>
      </c>
      <c r="CU187" s="20">
        <v>8</v>
      </c>
      <c r="CV187" s="20">
        <v>8</v>
      </c>
      <c r="CW187" s="20">
        <v>8</v>
      </c>
      <c r="CX187" s="20">
        <v>12</v>
      </c>
      <c r="CY187" s="20">
        <v>12</v>
      </c>
      <c r="CZ187" s="20">
        <v>12</v>
      </c>
      <c r="DA187" s="20">
        <v>16</v>
      </c>
      <c r="DB187" s="20">
        <v>16</v>
      </c>
      <c r="DC187" s="20">
        <v>16</v>
      </c>
      <c r="DD187" s="20">
        <v>20</v>
      </c>
      <c r="DE187" s="20">
        <v>20</v>
      </c>
      <c r="DF187" s="20">
        <v>20</v>
      </c>
      <c r="DG187" s="20">
        <v>24</v>
      </c>
      <c r="DH187" s="20">
        <v>24</v>
      </c>
      <c r="DI187" s="20"/>
      <c r="DJ187" s="20"/>
      <c r="DK187" s="20"/>
      <c r="DL187" s="20"/>
      <c r="DM187" s="20" t="s">
        <v>212</v>
      </c>
      <c r="DN187" s="20">
        <v>0</v>
      </c>
      <c r="DO187" s="20">
        <v>0</v>
      </c>
      <c r="DP187" s="20">
        <v>2</v>
      </c>
      <c r="DQ187" s="20">
        <v>0</v>
      </c>
      <c r="DR187" s="20">
        <v>2</v>
      </c>
      <c r="DS187" s="20">
        <v>4</v>
      </c>
      <c r="DT187" s="20">
        <v>2</v>
      </c>
      <c r="DU187" s="20">
        <v>4</v>
      </c>
      <c r="DV187" s="20">
        <v>6</v>
      </c>
      <c r="DW187" s="20">
        <v>4</v>
      </c>
      <c r="DX187" s="20">
        <v>6</v>
      </c>
      <c r="DY187" s="20">
        <v>8</v>
      </c>
      <c r="DZ187" s="54">
        <v>6</v>
      </c>
      <c r="EA187" s="54">
        <v>8</v>
      </c>
      <c r="EB187" s="54">
        <v>10</v>
      </c>
      <c r="EC187" s="20">
        <v>8</v>
      </c>
      <c r="ED187" s="20">
        <v>10</v>
      </c>
      <c r="EE187" s="20">
        <v>12</v>
      </c>
      <c r="EF187" s="20">
        <v>10</v>
      </c>
      <c r="EG187" s="20">
        <v>12</v>
      </c>
      <c r="EH187" s="20">
        <v>14</v>
      </c>
      <c r="EI187" s="20"/>
      <c r="EJ187" s="20"/>
      <c r="EK187" s="20"/>
      <c r="EL187" s="20"/>
      <c r="EM187" s="20"/>
      <c r="EN187" s="20"/>
      <c r="EO187" s="20"/>
      <c r="EP187" s="20"/>
      <c r="EQ187" s="20"/>
      <c r="ER187" s="20"/>
      <c r="ES187" s="20"/>
      <c r="ET187" s="20"/>
      <c r="EU187" s="20"/>
      <c r="EV187" s="20" t="s">
        <v>214</v>
      </c>
      <c r="EW187" s="20">
        <v>0</v>
      </c>
      <c r="EX187" s="20">
        <v>0</v>
      </c>
      <c r="EY187" s="20">
        <v>2</v>
      </c>
      <c r="EZ187" s="20">
        <v>2</v>
      </c>
      <c r="FA187" s="20">
        <v>2</v>
      </c>
      <c r="FB187" s="20">
        <v>0</v>
      </c>
      <c r="FC187" s="20">
        <v>2</v>
      </c>
      <c r="FD187" s="20">
        <v>0</v>
      </c>
      <c r="FE187" s="20">
        <v>4</v>
      </c>
      <c r="FF187" s="20">
        <v>0</v>
      </c>
      <c r="FG187" s="20">
        <v>4</v>
      </c>
      <c r="FH187" s="20"/>
      <c r="FI187" s="20" t="s">
        <v>212</v>
      </c>
      <c r="FJ187" s="20">
        <v>0</v>
      </c>
      <c r="FK187" s="20">
        <v>0</v>
      </c>
      <c r="FL187" s="20">
        <v>0</v>
      </c>
      <c r="FM187" s="20">
        <v>0</v>
      </c>
      <c r="FN187" s="20">
        <v>4</v>
      </c>
      <c r="FO187" s="20">
        <v>4</v>
      </c>
      <c r="FP187" s="20">
        <v>0</v>
      </c>
      <c r="FQ187" s="20">
        <v>2</v>
      </c>
      <c r="FR187" s="20">
        <v>4</v>
      </c>
      <c r="FS187" s="20">
        <v>6</v>
      </c>
      <c r="FT187" s="20">
        <v>2</v>
      </c>
      <c r="FU187" s="20"/>
      <c r="FV187" s="20"/>
      <c r="FW187" s="20"/>
      <c r="FX187" s="20"/>
      <c r="FY187" s="20"/>
      <c r="FZ187" s="20"/>
      <c r="GA187" s="21" t="s">
        <v>112</v>
      </c>
      <c r="GB187" s="21"/>
      <c r="GC187" s="21"/>
      <c r="GD187" s="21"/>
      <c r="GE187" s="21"/>
      <c r="GF187" s="21"/>
      <c r="GG187" s="21"/>
      <c r="GH187" s="21"/>
      <c r="GI187" s="21"/>
      <c r="GJ187" s="21"/>
      <c r="GK187" s="21"/>
      <c r="GL187" s="21"/>
      <c r="GM187" s="21"/>
      <c r="GN187" s="21"/>
      <c r="GO187" s="21"/>
      <c r="GP187" s="21"/>
      <c r="GQ187" s="21"/>
      <c r="GR187" s="21"/>
      <c r="GS187" s="21"/>
      <c r="GT187" s="21"/>
      <c r="GU187" s="21"/>
      <c r="GV187" s="21"/>
      <c r="GW187" s="21"/>
      <c r="GX187" s="21"/>
      <c r="GY187" s="21"/>
      <c r="GZ187" s="21"/>
      <c r="HA187" s="21"/>
      <c r="HB187" s="21"/>
      <c r="HC187" s="21"/>
      <c r="HD187" s="21"/>
      <c r="HE187" s="21"/>
      <c r="HF187" s="21"/>
      <c r="HG187" s="21"/>
      <c r="HH187" s="21"/>
      <c r="HI187" s="21"/>
      <c r="HJ187" s="21"/>
      <c r="HK187" s="21"/>
      <c r="HL187" s="21"/>
      <c r="HM187" s="21"/>
      <c r="HN187" s="21"/>
      <c r="HO187" s="21"/>
      <c r="HP187" s="21"/>
      <c r="HQ187" s="21"/>
      <c r="HR187" s="21"/>
      <c r="HS187" s="21"/>
      <c r="HT187" s="21"/>
      <c r="HU187" s="21"/>
      <c r="HV187" s="21" t="s">
        <v>853</v>
      </c>
      <c r="HW187" s="21">
        <v>0</v>
      </c>
      <c r="HX187" s="21">
        <v>0</v>
      </c>
      <c r="HY187" s="21">
        <v>2</v>
      </c>
      <c r="HZ187" s="21">
        <v>2</v>
      </c>
      <c r="IA187" s="21">
        <v>4</v>
      </c>
      <c r="IB187" s="21">
        <v>6</v>
      </c>
      <c r="IC187" s="21">
        <v>8</v>
      </c>
      <c r="ID187" s="21">
        <v>8</v>
      </c>
      <c r="IE187" s="21">
        <v>10</v>
      </c>
      <c r="IF187" s="21">
        <v>12</v>
      </c>
      <c r="IG187" s="21">
        <v>12</v>
      </c>
      <c r="IH187" s="21">
        <v>14</v>
      </c>
      <c r="II187" s="21">
        <v>16</v>
      </c>
      <c r="IJ187" s="21">
        <v>16</v>
      </c>
      <c r="IK187" s="21">
        <v>18</v>
      </c>
      <c r="IL187" s="21">
        <v>20</v>
      </c>
      <c r="IM187" s="21">
        <v>22</v>
      </c>
      <c r="IN187" s="21">
        <v>22</v>
      </c>
      <c r="IO187" s="21">
        <v>24</v>
      </c>
      <c r="IP187" s="21">
        <v>26</v>
      </c>
      <c r="IQ187" s="21">
        <v>26</v>
      </c>
      <c r="IR187" s="21"/>
      <c r="IS187" s="21" t="s">
        <v>853</v>
      </c>
      <c r="IT187" s="21">
        <f t="shared" si="79"/>
        <v>0</v>
      </c>
      <c r="IU187" s="21">
        <f t="shared" si="79"/>
        <v>0</v>
      </c>
      <c r="IV187" s="21">
        <f t="shared" si="79"/>
        <v>4</v>
      </c>
      <c r="IW187" s="21">
        <f t="shared" si="79"/>
        <v>4</v>
      </c>
      <c r="IX187" s="21">
        <f t="shared" si="79"/>
        <v>8</v>
      </c>
      <c r="IY187" s="21">
        <f t="shared" si="79"/>
        <v>12</v>
      </c>
      <c r="IZ187" s="21">
        <f t="shared" si="79"/>
        <v>16</v>
      </c>
      <c r="JA187" s="21">
        <f t="shared" si="79"/>
        <v>16</v>
      </c>
      <c r="JB187" s="21">
        <f t="shared" si="79"/>
        <v>20</v>
      </c>
      <c r="JC187" s="21">
        <f t="shared" si="79"/>
        <v>24</v>
      </c>
      <c r="JD187" s="21">
        <f t="shared" si="79"/>
        <v>24</v>
      </c>
      <c r="JE187" s="21">
        <f t="shared" si="79"/>
        <v>28</v>
      </c>
      <c r="JF187" s="21">
        <f t="shared" si="79"/>
        <v>32</v>
      </c>
      <c r="JG187" s="21">
        <f t="shared" si="79"/>
        <v>32</v>
      </c>
      <c r="JH187" s="21">
        <f t="shared" si="79"/>
        <v>36</v>
      </c>
      <c r="JI187" s="21">
        <f t="shared" si="53"/>
        <v>40</v>
      </c>
      <c r="JJ187" s="21">
        <f t="shared" si="53"/>
        <v>44</v>
      </c>
      <c r="JK187" s="21">
        <f t="shared" si="53"/>
        <v>44</v>
      </c>
      <c r="JL187" s="21">
        <f t="shared" si="53"/>
        <v>48</v>
      </c>
      <c r="JM187" s="21">
        <f t="shared" si="53"/>
        <v>52</v>
      </c>
      <c r="JN187" s="21">
        <f t="shared" si="53"/>
        <v>52</v>
      </c>
      <c r="JO187" s="21"/>
      <c r="JP187" s="21"/>
      <c r="JQ187" s="21"/>
      <c r="JR187" s="21"/>
      <c r="JS187" s="21"/>
      <c r="JT187" s="21"/>
      <c r="JU187" s="21"/>
      <c r="JV187" s="21"/>
      <c r="JW187" s="21"/>
      <c r="JX187" s="21"/>
      <c r="JY187" s="21"/>
      <c r="JZ187" s="21"/>
      <c r="KA187" s="21"/>
      <c r="KB187" s="21"/>
      <c r="KC187" s="21"/>
      <c r="KD187" s="21"/>
      <c r="KE187" s="21"/>
      <c r="KF187" s="21"/>
      <c r="KG187" s="21"/>
      <c r="KH187" s="21"/>
    </row>
    <row r="188" spans="1:294" x14ac:dyDescent="0.25">
      <c r="A188" s="8"/>
      <c r="B188" s="5" t="s">
        <v>116</v>
      </c>
      <c r="C188" s="8"/>
      <c r="D188" s="6" t="s">
        <v>787</v>
      </c>
      <c r="E188" s="8">
        <v>1</v>
      </c>
      <c r="F188" s="39" t="s">
        <v>789</v>
      </c>
      <c r="G188" s="17"/>
      <c r="H188" s="9"/>
      <c r="I188" s="9"/>
      <c r="J188" s="9"/>
      <c r="K188" s="9"/>
      <c r="L188" s="6" t="s">
        <v>225</v>
      </c>
      <c r="M188" s="11">
        <f>INDEX(cennik!$C$2:$L$529,MATCH($L188,cennik!$B$2:$B$522,0),MATCH(M$104,cennik!$C$1:$L$1,0))</f>
        <v>898210</v>
      </c>
      <c r="N188" s="11" t="str">
        <f>INDEX(cennik!$C$2:$L$529,MATCH($L188,cennik!$B$2:$B$522,0),MATCH(N$104,cennik!$C$1:$L$1,0))</f>
        <v>szt.</v>
      </c>
      <c r="O188" s="11">
        <f>O186</f>
        <v>0</v>
      </c>
      <c r="P188" s="34">
        <f>INDEX(cennik!$C$2:$L$529,MATCH($L188,cennik!$B$2:$B$522,0),MATCH(P$104,cennik!$C$1:$L$1,0))</f>
        <v>74.540000000000006</v>
      </c>
      <c r="Q188" s="34">
        <f t="shared" si="76"/>
        <v>0</v>
      </c>
      <c r="R188" s="35">
        <f t="shared" si="74"/>
        <v>0</v>
      </c>
      <c r="S188" s="34">
        <f t="shared" si="75"/>
        <v>74.540000000000006</v>
      </c>
      <c r="T188" s="34">
        <f t="shared" si="77"/>
        <v>0</v>
      </c>
      <c r="U188" s="34">
        <f>INDEX(cennik!$C$2:$L$529,MATCH($L188,cennik!$B$2:$B$522,0),MATCH(U$104,cennik!$C$1:$L$1,0))*O188</f>
        <v>0</v>
      </c>
      <c r="V188" s="20"/>
      <c r="W188" s="20"/>
      <c r="X188" s="20"/>
      <c r="Y188" s="20"/>
      <c r="Z188" s="20"/>
      <c r="AA188" s="20"/>
      <c r="AB188" s="20"/>
      <c r="AC188" s="20"/>
      <c r="AD188" s="20"/>
      <c r="AE188" s="20"/>
      <c r="AF188" s="20"/>
      <c r="AG188" s="20"/>
      <c r="AH188" s="20"/>
      <c r="AI188" s="20"/>
      <c r="AJ188" s="20"/>
      <c r="AK188" s="20"/>
      <c r="AL188" s="20" t="s">
        <v>126</v>
      </c>
      <c r="AM188" s="20">
        <v>0</v>
      </c>
      <c r="AN188" s="20">
        <v>0</v>
      </c>
      <c r="AO188" s="20">
        <v>2</v>
      </c>
      <c r="AP188" s="20">
        <v>0</v>
      </c>
      <c r="AQ188" s="20">
        <v>0</v>
      </c>
      <c r="AR188" s="20">
        <v>0</v>
      </c>
      <c r="AS188" s="20">
        <v>0</v>
      </c>
      <c r="AT188" s="20">
        <v>0</v>
      </c>
      <c r="AU188" s="20">
        <v>0</v>
      </c>
      <c r="AV188" s="20">
        <v>0</v>
      </c>
      <c r="AW188" s="20">
        <v>0</v>
      </c>
      <c r="AX188" s="20">
        <v>0</v>
      </c>
      <c r="AY188" s="20">
        <v>0</v>
      </c>
      <c r="AZ188" s="20">
        <v>0</v>
      </c>
      <c r="BA188" s="20">
        <v>0</v>
      </c>
      <c r="BB188" s="20">
        <v>0</v>
      </c>
      <c r="BC188" s="20">
        <v>0</v>
      </c>
      <c r="BD188" s="20">
        <v>0</v>
      </c>
      <c r="BE188" s="20">
        <v>0</v>
      </c>
      <c r="BF188" s="20">
        <v>0</v>
      </c>
      <c r="BG188" s="20">
        <v>0</v>
      </c>
      <c r="BH188" s="20">
        <v>0</v>
      </c>
      <c r="BI188" s="20">
        <v>0</v>
      </c>
      <c r="BJ188" s="20">
        <v>0</v>
      </c>
      <c r="BK188" s="20">
        <v>0</v>
      </c>
      <c r="BL188" s="20">
        <v>0</v>
      </c>
      <c r="BM188" s="20">
        <v>0</v>
      </c>
      <c r="BN188" s="20">
        <v>0</v>
      </c>
      <c r="BO188" s="20">
        <v>0</v>
      </c>
      <c r="BP188" s="20">
        <v>0</v>
      </c>
      <c r="BQ188" s="20">
        <v>0</v>
      </c>
      <c r="BR188" s="20">
        <v>0</v>
      </c>
      <c r="BS188" s="20">
        <v>0</v>
      </c>
      <c r="BT188" s="20">
        <v>0</v>
      </c>
      <c r="BU188" s="20">
        <v>0</v>
      </c>
      <c r="BV188" s="20">
        <v>0</v>
      </c>
      <c r="BW188" s="20">
        <v>0</v>
      </c>
      <c r="BX188" s="20">
        <v>0</v>
      </c>
      <c r="BY188" s="20">
        <v>0</v>
      </c>
      <c r="BZ188" s="20">
        <v>0</v>
      </c>
      <c r="CA188" s="20">
        <v>0</v>
      </c>
      <c r="CB188" s="20">
        <v>0</v>
      </c>
      <c r="CC188" s="20">
        <v>0</v>
      </c>
      <c r="CD188" s="20">
        <v>0</v>
      </c>
      <c r="CE188" s="20">
        <v>0</v>
      </c>
      <c r="CF188" s="20">
        <v>0</v>
      </c>
      <c r="CG188" s="20">
        <v>0</v>
      </c>
      <c r="CH188" s="20">
        <v>2</v>
      </c>
      <c r="CI188" s="20">
        <v>0</v>
      </c>
      <c r="CJ188" s="20">
        <v>0</v>
      </c>
      <c r="CK188" s="20">
        <v>0</v>
      </c>
      <c r="CL188" s="20"/>
      <c r="CM188" s="20" t="s">
        <v>518</v>
      </c>
      <c r="CN188" s="20">
        <v>0</v>
      </c>
      <c r="CO188" s="20">
        <v>2</v>
      </c>
      <c r="CP188" s="20">
        <v>2</v>
      </c>
      <c r="CQ188" s="20">
        <v>0</v>
      </c>
      <c r="CR188" s="20">
        <v>4</v>
      </c>
      <c r="CS188" s="20">
        <v>2</v>
      </c>
      <c r="CT188" s="20">
        <v>0</v>
      </c>
      <c r="CU188" s="20">
        <v>4</v>
      </c>
      <c r="CV188" s="20">
        <v>2</v>
      </c>
      <c r="CW188" s="20">
        <v>0</v>
      </c>
      <c r="CX188" s="20">
        <v>4</v>
      </c>
      <c r="CY188" s="20">
        <v>2</v>
      </c>
      <c r="CZ188" s="20">
        <v>0</v>
      </c>
      <c r="DA188" s="20">
        <v>4</v>
      </c>
      <c r="DB188" s="20">
        <v>2</v>
      </c>
      <c r="DC188" s="20">
        <v>0</v>
      </c>
      <c r="DD188" s="20">
        <v>4</v>
      </c>
      <c r="DE188" s="20">
        <v>2</v>
      </c>
      <c r="DF188" s="20">
        <v>0</v>
      </c>
      <c r="DG188" s="20">
        <v>4</v>
      </c>
      <c r="DH188" s="20">
        <v>2</v>
      </c>
      <c r="DI188" s="20"/>
      <c r="DJ188" s="20"/>
      <c r="DK188" s="20"/>
      <c r="DL188" s="20"/>
      <c r="DM188" s="20" t="s">
        <v>11</v>
      </c>
      <c r="DN188" s="20">
        <v>0</v>
      </c>
      <c r="DO188" s="20">
        <v>0</v>
      </c>
      <c r="DP188" s="20">
        <v>0</v>
      </c>
      <c r="DQ188" s="20">
        <v>2</v>
      </c>
      <c r="DR188" s="20">
        <v>2</v>
      </c>
      <c r="DS188" s="20">
        <v>2</v>
      </c>
      <c r="DT188" s="20">
        <v>4</v>
      </c>
      <c r="DU188" s="20">
        <v>4</v>
      </c>
      <c r="DV188" s="20">
        <v>4</v>
      </c>
      <c r="DW188" s="20">
        <v>6</v>
      </c>
      <c r="DX188" s="20">
        <v>6</v>
      </c>
      <c r="DY188" s="20">
        <v>6</v>
      </c>
      <c r="DZ188" s="54">
        <v>8</v>
      </c>
      <c r="EA188" s="54">
        <v>8</v>
      </c>
      <c r="EB188" s="54">
        <v>8</v>
      </c>
      <c r="EC188" s="20">
        <v>10</v>
      </c>
      <c r="ED188" s="20">
        <v>10</v>
      </c>
      <c r="EE188" s="20">
        <v>10</v>
      </c>
      <c r="EF188" s="20">
        <v>12</v>
      </c>
      <c r="EG188" s="20">
        <v>12</v>
      </c>
      <c r="EH188" s="20">
        <v>12</v>
      </c>
      <c r="EI188" s="20"/>
      <c r="EJ188" s="20"/>
      <c r="EK188" s="20"/>
      <c r="EL188" s="20"/>
      <c r="EM188" s="20"/>
      <c r="EN188" s="20"/>
      <c r="EO188" s="20"/>
      <c r="EP188" s="20"/>
      <c r="EQ188" s="20"/>
      <c r="ER188" s="20"/>
      <c r="ES188" s="20"/>
      <c r="ET188" s="20"/>
      <c r="EU188" s="20"/>
      <c r="EV188" s="20" t="s">
        <v>11</v>
      </c>
      <c r="EW188" s="20">
        <v>0</v>
      </c>
      <c r="EX188" s="20">
        <v>0</v>
      </c>
      <c r="EY188" s="20">
        <v>0</v>
      </c>
      <c r="EZ188" s="20">
        <v>2</v>
      </c>
      <c r="FA188" s="20">
        <v>2</v>
      </c>
      <c r="FB188" s="20">
        <v>4</v>
      </c>
      <c r="FC188" s="20">
        <v>4</v>
      </c>
      <c r="FD188" s="20">
        <v>6</v>
      </c>
      <c r="FE188" s="20">
        <v>6</v>
      </c>
      <c r="FF188" s="20">
        <v>8</v>
      </c>
      <c r="FG188" s="20">
        <v>8</v>
      </c>
      <c r="FH188" s="20"/>
      <c r="FI188" s="20" t="s">
        <v>214</v>
      </c>
      <c r="FJ188" s="20">
        <v>0</v>
      </c>
      <c r="FK188" s="20">
        <v>0</v>
      </c>
      <c r="FL188" s="20">
        <v>0</v>
      </c>
      <c r="FM188" s="20">
        <v>0</v>
      </c>
      <c r="FN188" s="20">
        <v>0</v>
      </c>
      <c r="FO188" s="20">
        <v>0</v>
      </c>
      <c r="FP188" s="20">
        <v>0</v>
      </c>
      <c r="FQ188" s="20">
        <v>4</v>
      </c>
      <c r="FR188" s="20">
        <v>0</v>
      </c>
      <c r="FS188" s="20">
        <v>4</v>
      </c>
      <c r="FT188" s="20">
        <v>4</v>
      </c>
      <c r="FU188" s="20"/>
      <c r="FV188" s="20"/>
      <c r="FW188" s="20"/>
      <c r="FX188" s="20"/>
      <c r="FY188" s="20"/>
      <c r="FZ188" s="20"/>
      <c r="GA188" s="21"/>
      <c r="GB188" s="21">
        <v>0</v>
      </c>
      <c r="GC188" s="21">
        <v>1</v>
      </c>
      <c r="GD188" s="21">
        <v>2</v>
      </c>
      <c r="GE188" s="21">
        <v>3</v>
      </c>
      <c r="GF188" s="21">
        <v>4</v>
      </c>
      <c r="GG188" s="21">
        <v>5</v>
      </c>
      <c r="GH188" s="21">
        <v>6</v>
      </c>
      <c r="GI188" s="21">
        <v>7</v>
      </c>
      <c r="GJ188" s="21">
        <v>8</v>
      </c>
      <c r="GK188" s="21">
        <v>9</v>
      </c>
      <c r="GL188" s="21">
        <v>10</v>
      </c>
      <c r="GM188" s="21">
        <v>11</v>
      </c>
      <c r="GN188" s="21">
        <v>12</v>
      </c>
      <c r="GO188" s="21">
        <v>13</v>
      </c>
      <c r="GP188" s="21">
        <v>14</v>
      </c>
      <c r="GQ188" s="21">
        <v>15</v>
      </c>
      <c r="GR188" s="21">
        <v>16</v>
      </c>
      <c r="GS188" s="21">
        <v>17</v>
      </c>
      <c r="GT188" s="21">
        <v>18</v>
      </c>
      <c r="GU188" s="21">
        <v>19</v>
      </c>
      <c r="GV188" s="21">
        <v>20</v>
      </c>
      <c r="GW188" s="21"/>
      <c r="GX188" s="21" t="s">
        <v>508</v>
      </c>
      <c r="GY188" s="21"/>
      <c r="GZ188" s="21"/>
      <c r="HA188" s="21"/>
      <c r="HB188" s="21"/>
      <c r="HC188" s="21"/>
      <c r="HD188" s="21"/>
      <c r="HE188" s="21"/>
      <c r="HF188" s="21"/>
      <c r="HG188" s="21"/>
      <c r="HH188" s="21"/>
      <c r="HI188" s="21"/>
      <c r="HJ188" s="21"/>
      <c r="HK188" s="21"/>
      <c r="HL188" s="21"/>
      <c r="HM188" s="21"/>
      <c r="HN188" s="21"/>
      <c r="HO188" s="21"/>
      <c r="HP188" s="21"/>
      <c r="HQ188" s="21"/>
      <c r="HR188" s="21"/>
      <c r="HS188" s="21"/>
      <c r="HT188" s="21"/>
      <c r="HU188" s="21"/>
      <c r="HV188" s="186"/>
      <c r="HW188" s="21"/>
      <c r="HX188" s="21"/>
      <c r="HY188" s="21"/>
      <c r="HZ188" s="21"/>
      <c r="IA188" s="21"/>
      <c r="IB188" s="21"/>
      <c r="IC188" s="21"/>
      <c r="ID188" s="21"/>
      <c r="IE188" s="21"/>
      <c r="IF188" s="21"/>
      <c r="IG188" s="21"/>
      <c r="IH188" s="21"/>
      <c r="II188" s="21"/>
      <c r="IJ188" s="21"/>
      <c r="IK188" s="21"/>
      <c r="IL188" s="21"/>
      <c r="IM188" s="21"/>
      <c r="IN188" s="21"/>
      <c r="IO188" s="21"/>
      <c r="IP188" s="21"/>
      <c r="IQ188" s="21"/>
      <c r="IR188" s="21"/>
      <c r="IS188" s="21"/>
      <c r="IT188" s="21"/>
      <c r="IU188" s="21"/>
      <c r="IV188" s="21"/>
      <c r="IW188" s="21"/>
      <c r="IX188" s="21"/>
      <c r="IY188" s="21"/>
      <c r="IZ188" s="21"/>
      <c r="JA188" s="21"/>
      <c r="JB188" s="21"/>
      <c r="JC188" s="21"/>
      <c r="JD188" s="21"/>
      <c r="JE188" s="21"/>
      <c r="JF188" s="21"/>
      <c r="JG188" s="21"/>
      <c r="JH188" s="21"/>
      <c r="JI188" s="21"/>
      <c r="JJ188" s="21"/>
      <c r="JK188" s="21"/>
      <c r="JL188" s="21"/>
      <c r="JM188" s="21"/>
      <c r="JN188" s="21"/>
      <c r="JO188" s="21"/>
      <c r="JP188" s="21"/>
      <c r="JQ188" s="21"/>
      <c r="JR188" s="21"/>
      <c r="JS188" s="21"/>
      <c r="JT188" s="21"/>
      <c r="JU188" s="21"/>
      <c r="JV188" s="21"/>
      <c r="JW188" s="21"/>
      <c r="JX188" s="21"/>
      <c r="JY188" s="21"/>
      <c r="JZ188" s="21"/>
      <c r="KA188" s="21"/>
      <c r="KB188" s="21"/>
      <c r="KC188" s="21"/>
      <c r="KD188" s="21"/>
      <c r="KE188" s="21"/>
      <c r="KF188" s="21"/>
      <c r="KG188" s="21"/>
      <c r="KH188" s="21"/>
    </row>
    <row r="189" spans="1:294" x14ac:dyDescent="0.25">
      <c r="A189" s="8"/>
      <c r="B189" s="5" t="s">
        <v>116</v>
      </c>
      <c r="C189" s="8"/>
      <c r="D189" s="6" t="s">
        <v>788</v>
      </c>
      <c r="E189" s="8">
        <v>1</v>
      </c>
      <c r="F189" s="39" t="s">
        <v>790</v>
      </c>
      <c r="G189" s="9"/>
      <c r="H189" s="9"/>
      <c r="I189" s="9"/>
      <c r="J189" s="9"/>
      <c r="K189" s="9"/>
      <c r="L189" s="6" t="str">
        <f>INDEX(($Z$191:$AA$201,$AE$191:$AF$201),MATCH(I179,$Y$191:$Y$200,0),MATCH(E181,$Z$190:$AA$190,0),MATCH(E180,$Y$106:$Y$107,0))</f>
        <v>BUF40</v>
      </c>
      <c r="M189" s="11">
        <f>INDEX(cennik!$C$2:$L$529,MATCH($L189,cennik!$B$2:$B$522,0),MATCH(M$104,cennik!$C$1:$L$1,0))</f>
        <v>897340</v>
      </c>
      <c r="N189" s="11" t="str">
        <f>INDEX(cennik!$C$2:$L$529,MATCH($L189,cennik!$B$2:$B$522,0),MATCH(N$104,cennik!$C$1:$L$1,0))</f>
        <v>szt.</v>
      </c>
      <c r="O189" s="11">
        <f>SUM(IF(A178=0,0,IF((A178&gt;0),C178*4)),IF(A179=0,0,IF((A179&gt;0),C179*4)),IF(A180=0,0,IF((A180&gt;0),C180*4)),IF(A181=0,0,IF((A181&gt;0),C181*4)),IF(A182=0,0,IF((A182&gt;0),C182*4)),IF(A183=0,0,IF((A183&gt;0),C183*4)),IF(A184=0,0,IF((A184&gt;0),C184*4)),IF(A185=0,0,IF((A185&gt;0),C185*4)),IF(A186=0,0,IF((A186&gt;0),C186*4)),IF(A187=0,0,IF((A187&gt;0),C187*4)),IF(A188=0,0,IF((A188&gt;0),C188*4)),IF(A189=0,0,IF((A189&gt;0),C189*4)),IF(A190=0,0,IF((A190&gt;0),C190*4)),IF(A191=0,0,IF((A191&gt;0),C191*4)),IF(A192=0,0,IF((A192&gt;0),C192*4)),,IF(A193=0,0,IF((A193&gt;0),C193*4)))</f>
        <v>0</v>
      </c>
      <c r="P189" s="34">
        <f>INDEX(cennik!$C$2:$L$529,MATCH($L189,cennik!$B$2:$B$522,0),MATCH(P$104,cennik!$C$1:$L$1,0))</f>
        <v>1.92</v>
      </c>
      <c r="Q189" s="34">
        <f t="shared" si="76"/>
        <v>0</v>
      </c>
      <c r="R189" s="35">
        <f t="shared" si="74"/>
        <v>0</v>
      </c>
      <c r="S189" s="34">
        <f t="shared" si="75"/>
        <v>1.92</v>
      </c>
      <c r="T189" s="34">
        <f t="shared" si="77"/>
        <v>0</v>
      </c>
      <c r="U189" s="34">
        <f>INDEX(cennik!$C$2:$L$529,MATCH($L189,cennik!$B$2:$B$522,0),MATCH(U$104,cennik!$C$1:$L$1,0))*O189</f>
        <v>0</v>
      </c>
      <c r="V189" s="20"/>
      <c r="W189" s="20"/>
      <c r="X189" s="20"/>
      <c r="Y189" s="20"/>
      <c r="Z189" s="20"/>
      <c r="AA189" s="20"/>
      <c r="AB189" s="20"/>
      <c r="AC189" s="20"/>
      <c r="AD189" s="20"/>
      <c r="AE189" s="20"/>
      <c r="AF189" s="20"/>
      <c r="AG189" s="20"/>
      <c r="AH189" s="20"/>
      <c r="AI189" s="20"/>
      <c r="AJ189" s="20"/>
      <c r="AK189" s="20"/>
      <c r="AL189" s="20" t="s">
        <v>12</v>
      </c>
      <c r="AM189" s="20">
        <v>0</v>
      </c>
      <c r="AN189" s="20">
        <v>0</v>
      </c>
      <c r="AO189" s="20">
        <v>0</v>
      </c>
      <c r="AP189" s="20">
        <v>0</v>
      </c>
      <c r="AQ189" s="20">
        <v>2</v>
      </c>
      <c r="AR189" s="20">
        <v>2</v>
      </c>
      <c r="AS189" s="20">
        <v>0</v>
      </c>
      <c r="AT189" s="20">
        <v>2</v>
      </c>
      <c r="AU189" s="20">
        <v>0</v>
      </c>
      <c r="AV189" s="20">
        <v>0</v>
      </c>
      <c r="AW189" s="20">
        <v>2</v>
      </c>
      <c r="AX189" s="20">
        <v>0</v>
      </c>
      <c r="AY189" s="20">
        <v>0</v>
      </c>
      <c r="AZ189" s="20">
        <v>0</v>
      </c>
      <c r="BA189" s="20">
        <v>4</v>
      </c>
      <c r="BB189" s="20">
        <v>0</v>
      </c>
      <c r="BC189" s="20">
        <v>0</v>
      </c>
      <c r="BD189" s="20">
        <v>0</v>
      </c>
      <c r="BE189" s="20">
        <v>0</v>
      </c>
      <c r="BF189" s="20">
        <v>0</v>
      </c>
      <c r="BG189" s="20">
        <v>0</v>
      </c>
      <c r="BH189" s="20">
        <v>0</v>
      </c>
      <c r="BI189" s="20">
        <v>0</v>
      </c>
      <c r="BJ189" s="20">
        <v>0</v>
      </c>
      <c r="BK189" s="20">
        <v>0</v>
      </c>
      <c r="BL189" s="20">
        <v>0</v>
      </c>
      <c r="BM189" s="20">
        <v>0</v>
      </c>
      <c r="BN189" s="20">
        <v>0</v>
      </c>
      <c r="BO189" s="20">
        <v>0</v>
      </c>
      <c r="BP189" s="20">
        <v>0</v>
      </c>
      <c r="BQ189" s="20">
        <v>0</v>
      </c>
      <c r="BR189" s="20">
        <v>0</v>
      </c>
      <c r="BS189" s="20">
        <v>0</v>
      </c>
      <c r="BT189" s="20">
        <v>0</v>
      </c>
      <c r="BU189" s="20">
        <v>0</v>
      </c>
      <c r="BV189" s="20">
        <v>0</v>
      </c>
      <c r="BW189" s="20">
        <v>0</v>
      </c>
      <c r="BX189" s="20">
        <v>0</v>
      </c>
      <c r="BY189" s="20">
        <v>0</v>
      </c>
      <c r="BZ189" s="20">
        <v>0</v>
      </c>
      <c r="CA189" s="20">
        <v>0</v>
      </c>
      <c r="CB189" s="20">
        <v>0</v>
      </c>
      <c r="CC189" s="20">
        <v>0</v>
      </c>
      <c r="CD189" s="20">
        <v>0</v>
      </c>
      <c r="CE189" s="20">
        <v>0</v>
      </c>
      <c r="CF189" s="20">
        <v>0</v>
      </c>
      <c r="CG189" s="20">
        <v>0</v>
      </c>
      <c r="CH189" s="20">
        <v>0</v>
      </c>
      <c r="CI189" s="20">
        <v>0</v>
      </c>
      <c r="CJ189" s="20">
        <v>0</v>
      </c>
      <c r="CK189" s="20">
        <v>0</v>
      </c>
      <c r="CL189" s="20"/>
      <c r="CM189" s="20" t="s">
        <v>520</v>
      </c>
      <c r="CN189" s="20">
        <v>0</v>
      </c>
      <c r="CO189" s="20">
        <v>0</v>
      </c>
      <c r="CP189" s="20">
        <v>0</v>
      </c>
      <c r="CQ189" s="20">
        <v>2</v>
      </c>
      <c r="CR189" s="20">
        <v>0</v>
      </c>
      <c r="CS189" s="20">
        <v>2</v>
      </c>
      <c r="CT189" s="20">
        <v>4</v>
      </c>
      <c r="CU189" s="20">
        <v>2</v>
      </c>
      <c r="CV189" s="20">
        <v>4</v>
      </c>
      <c r="CW189" s="20">
        <v>6</v>
      </c>
      <c r="CX189" s="20">
        <v>4</v>
      </c>
      <c r="CY189" s="20">
        <v>6</v>
      </c>
      <c r="CZ189" s="20">
        <v>8</v>
      </c>
      <c r="DA189" s="20">
        <v>6</v>
      </c>
      <c r="DB189" s="20">
        <v>8</v>
      </c>
      <c r="DC189" s="20">
        <v>10</v>
      </c>
      <c r="DD189" s="20">
        <v>8</v>
      </c>
      <c r="DE189" s="20">
        <v>10</v>
      </c>
      <c r="DF189" s="20">
        <v>12</v>
      </c>
      <c r="DG189" s="20">
        <v>10</v>
      </c>
      <c r="DH189" s="20">
        <v>12</v>
      </c>
      <c r="DI189" s="20"/>
      <c r="DJ189" s="20"/>
      <c r="DK189" s="20"/>
      <c r="DL189" s="20"/>
      <c r="DM189" s="20"/>
      <c r="DN189" s="20"/>
      <c r="DO189" s="20"/>
      <c r="DP189" s="20"/>
      <c r="DQ189" s="20"/>
      <c r="DR189" s="20"/>
      <c r="DS189" s="20"/>
      <c r="DT189" s="20"/>
      <c r="DU189" s="20"/>
      <c r="DV189" s="20"/>
      <c r="DW189" s="20"/>
      <c r="DX189" s="20"/>
      <c r="DY189" s="20"/>
      <c r="DZ189" s="54"/>
      <c r="EA189" s="54"/>
      <c r="EB189" s="54"/>
      <c r="EC189" s="20"/>
      <c r="ED189" s="20"/>
      <c r="EE189" s="20"/>
      <c r="EF189" s="20"/>
      <c r="EG189" s="20"/>
      <c r="EH189" s="20"/>
      <c r="EI189" s="20"/>
      <c r="EJ189" s="20"/>
      <c r="EK189" s="20"/>
      <c r="EL189" s="20"/>
      <c r="EM189" s="20"/>
      <c r="EN189" s="20"/>
      <c r="EO189" s="20"/>
      <c r="EP189" s="20"/>
      <c r="EQ189" s="20"/>
      <c r="ER189" s="20"/>
      <c r="ES189" s="20"/>
      <c r="ET189" s="20"/>
      <c r="EU189" s="20"/>
      <c r="EV189" s="21"/>
      <c r="EW189" s="21"/>
      <c r="EX189" s="21"/>
      <c r="EY189" s="21"/>
      <c r="EZ189" s="21"/>
      <c r="FA189" s="21"/>
      <c r="FB189" s="21"/>
      <c r="FC189" s="21"/>
      <c r="FD189" s="21"/>
      <c r="FE189" s="21"/>
      <c r="FF189" s="21"/>
      <c r="FG189" s="21"/>
      <c r="FH189" s="20"/>
      <c r="FI189" s="20" t="s">
        <v>11</v>
      </c>
      <c r="FJ189" s="20">
        <v>0</v>
      </c>
      <c r="FK189" s="20">
        <v>0</v>
      </c>
      <c r="FL189" s="20">
        <v>2</v>
      </c>
      <c r="FM189" s="20">
        <v>2</v>
      </c>
      <c r="FN189" s="20">
        <v>4</v>
      </c>
      <c r="FO189" s="20">
        <v>4</v>
      </c>
      <c r="FP189" s="20">
        <v>6</v>
      </c>
      <c r="FQ189" s="20">
        <v>6</v>
      </c>
      <c r="FR189" s="20">
        <v>8</v>
      </c>
      <c r="FS189" s="20">
        <v>8</v>
      </c>
      <c r="FT189" s="20">
        <v>10</v>
      </c>
      <c r="FU189" s="20"/>
      <c r="FV189" s="20"/>
      <c r="FW189" s="20"/>
      <c r="FX189" s="20"/>
      <c r="FY189" s="20"/>
      <c r="FZ189" s="20"/>
      <c r="GA189" s="347" t="s">
        <v>866</v>
      </c>
      <c r="GB189" s="21">
        <v>0</v>
      </c>
      <c r="GC189" s="21">
        <v>1</v>
      </c>
      <c r="GD189" s="21">
        <v>1</v>
      </c>
      <c r="GE189" s="21">
        <v>1</v>
      </c>
      <c r="GF189" s="21">
        <v>2</v>
      </c>
      <c r="GG189" s="21">
        <v>3</v>
      </c>
      <c r="GH189" s="21">
        <v>3</v>
      </c>
      <c r="GI189" s="21">
        <v>4</v>
      </c>
      <c r="GJ189" s="21">
        <v>5</v>
      </c>
      <c r="GK189" s="21">
        <v>5</v>
      </c>
      <c r="GL189" s="21">
        <v>6</v>
      </c>
      <c r="GM189" s="21">
        <v>0</v>
      </c>
      <c r="GN189" s="21">
        <v>1</v>
      </c>
      <c r="GO189" s="21">
        <v>2</v>
      </c>
      <c r="GP189" s="21">
        <v>2</v>
      </c>
      <c r="GQ189" s="21">
        <v>3</v>
      </c>
      <c r="GR189" s="21">
        <v>4</v>
      </c>
      <c r="GS189" s="21">
        <v>4</v>
      </c>
      <c r="GT189" s="21">
        <v>5</v>
      </c>
      <c r="GU189" s="21">
        <v>5</v>
      </c>
      <c r="GV189" s="21">
        <v>0</v>
      </c>
      <c r="GW189" s="21"/>
      <c r="GX189" s="21"/>
      <c r="GY189" s="21">
        <v>0</v>
      </c>
      <c r="GZ189" s="21">
        <v>1</v>
      </c>
      <c r="HA189" s="21">
        <v>2</v>
      </c>
      <c r="HB189" s="21">
        <v>3</v>
      </c>
      <c r="HC189" s="21">
        <v>4</v>
      </c>
      <c r="HD189" s="21">
        <v>5</v>
      </c>
      <c r="HE189" s="21">
        <v>6</v>
      </c>
      <c r="HF189" s="21">
        <v>7</v>
      </c>
      <c r="HG189" s="21">
        <v>8</v>
      </c>
      <c r="HH189" s="21">
        <v>9</v>
      </c>
      <c r="HI189" s="21">
        <v>10</v>
      </c>
      <c r="HJ189" s="21">
        <v>11</v>
      </c>
      <c r="HK189" s="21">
        <v>12</v>
      </c>
      <c r="HL189" s="21">
        <v>13</v>
      </c>
      <c r="HM189" s="21">
        <v>14</v>
      </c>
      <c r="HN189" s="21">
        <v>15</v>
      </c>
      <c r="HO189" s="21">
        <v>16</v>
      </c>
      <c r="HP189" s="21">
        <v>17</v>
      </c>
      <c r="HQ189" s="21">
        <v>18</v>
      </c>
      <c r="HR189" s="21">
        <v>19</v>
      </c>
      <c r="HS189" s="21">
        <v>20</v>
      </c>
      <c r="HT189" s="21"/>
      <c r="HU189" s="21"/>
      <c r="HV189" s="186" t="s">
        <v>763</v>
      </c>
      <c r="HW189" s="21"/>
      <c r="HX189" s="21"/>
      <c r="HY189" s="21"/>
      <c r="HZ189" s="21"/>
      <c r="IA189" s="21"/>
      <c r="IB189" s="21"/>
      <c r="IC189" s="21"/>
      <c r="ID189" s="21"/>
      <c r="IE189" s="21"/>
      <c r="IF189" s="21"/>
      <c r="IG189" s="21"/>
      <c r="IH189" s="21"/>
      <c r="II189" s="21"/>
      <c r="IJ189" s="21"/>
      <c r="IK189" s="21"/>
      <c r="IL189" s="21"/>
      <c r="IM189" s="21"/>
      <c r="IN189" s="21"/>
      <c r="IO189" s="21"/>
      <c r="IP189" s="21"/>
      <c r="IQ189" s="21"/>
      <c r="IR189" s="21"/>
      <c r="IS189" s="21" t="s">
        <v>763</v>
      </c>
      <c r="IT189" s="21"/>
      <c r="IU189" s="21"/>
      <c r="IV189" s="21"/>
      <c r="IW189" s="21"/>
      <c r="IX189" s="21"/>
      <c r="IY189" s="21"/>
      <c r="IZ189" s="21"/>
      <c r="JA189" s="21"/>
      <c r="JB189" s="21"/>
      <c r="JC189" s="21"/>
      <c r="JD189" s="21"/>
      <c r="JE189" s="21"/>
      <c r="JF189" s="21"/>
      <c r="JG189" s="21"/>
      <c r="JH189" s="21"/>
      <c r="JI189" s="21"/>
      <c r="JJ189" s="21"/>
      <c r="JK189" s="21"/>
      <c r="JL189" s="21"/>
      <c r="JM189" s="21"/>
      <c r="JN189" s="21"/>
      <c r="JO189" s="21"/>
      <c r="JP189" s="21"/>
      <c r="JQ189" s="21"/>
      <c r="JR189" s="21"/>
      <c r="JS189" s="21"/>
      <c r="JT189" s="21"/>
      <c r="JU189" s="21"/>
      <c r="JV189" s="21"/>
      <c r="JW189" s="21"/>
      <c r="JX189" s="21"/>
      <c r="JY189" s="21"/>
      <c r="JZ189" s="21"/>
      <c r="KA189" s="21"/>
      <c r="KB189" s="21"/>
      <c r="KC189" s="21"/>
      <c r="KD189" s="21"/>
      <c r="KE189" s="21"/>
      <c r="KF189" s="21"/>
      <c r="KG189" s="21"/>
      <c r="KH189" s="21"/>
    </row>
    <row r="190" spans="1:294" x14ac:dyDescent="0.25">
      <c r="A190" s="8"/>
      <c r="B190" s="5" t="s">
        <v>116</v>
      </c>
      <c r="C190" s="8"/>
      <c r="D190" s="40" t="s">
        <v>941</v>
      </c>
      <c r="E190" s="32"/>
      <c r="F190" s="31"/>
      <c r="G190" s="31"/>
      <c r="H190" s="9"/>
      <c r="I190" s="9"/>
      <c r="J190" s="9"/>
      <c r="K190" s="9"/>
      <c r="L190" s="6" t="str">
        <f>INDEX(($Z$201:$AA$201,$AE$201:$AF$201),1,MATCH(E181,$Z$190:$AA$190,0),MATCH(E180,$Y$106:$Y$107,0))</f>
        <v>PUF</v>
      </c>
      <c r="M190" s="11">
        <f>INDEX(cennik!$C$2:$L$529,MATCH($L190,cennik!$B$2:$B$522,0),MATCH(M$104,cennik!$C$1:$L$1,0))</f>
        <v>897300</v>
      </c>
      <c r="N190" s="11" t="str">
        <f>INDEX(cennik!$C$2:$L$529,MATCH($L190,cennik!$B$2:$B$522,0),MATCH(N$104,cennik!$C$1:$L$1,0))</f>
        <v>szt.</v>
      </c>
      <c r="O190" s="11">
        <f>SUM(IF(A178=0,0,IF(A178&gt;0,(A178-1)*2*C178)),IF(A179=0,0,IF(A179&gt;0,(A179-1)*2*C179)),IF(A180=0,0,IF(A180&gt;0,(A180-1)*2*C180)),IF(A181=0,0,IF(A181&gt;0,(A181-1)*2*C181)),IF(A182=0,0,IF(A182&gt;0,(A182-1)*2*C182)),IF(A183=0,0,IF(A183&gt;0,(A183-1)*2*C183)),IF(A184=0,0,IF(A184&gt;0,(A184-1)*2*C184)),IF(A185=0,0,IF(A185&gt;0,(A185-1)*2*C185)),IF(A186=0,0,IF(A186&gt;0,(A186-1)*2*C186)),IF(A187=0,0,IF(A187&gt;0,(A187-1)*2*C187)),IF(A188=0,0,IF(A188&gt;0,(A188-1)*2*C188)),IF(A189=0,0,IF(A189&gt;0,(A189-1)*2*C189)),IF(A190=0,0,IF(A190&gt;0,(A190-1)*2*C190)),IF(A191=0,0,IF(A191&gt;0,(A191-1)*2*C191)),IF(A192=0,0,IF(A192&gt;0,(A192-1)*2*C192)),IF(A193=0,0,IF(A193&gt;0,(A193-1)*2*C193)))</f>
        <v>0</v>
      </c>
      <c r="P190" s="34">
        <f>INDEX(cennik!$C$2:$L$529,MATCH($L190,cennik!$B$2:$B$522,0),MATCH(P$104,cennik!$C$1:$L$1,0))</f>
        <v>2.06</v>
      </c>
      <c r="Q190" s="34">
        <f t="shared" si="76"/>
        <v>0</v>
      </c>
      <c r="R190" s="35">
        <f t="shared" si="74"/>
        <v>0</v>
      </c>
      <c r="S190" s="34">
        <f t="shared" si="75"/>
        <v>2.06</v>
      </c>
      <c r="T190" s="34">
        <f t="shared" si="77"/>
        <v>0</v>
      </c>
      <c r="U190" s="34">
        <f>INDEX(cennik!$C$2:$L$529,MATCH($L190,cennik!$B$2:$B$522,0),MATCH(U$104,cennik!$C$1:$L$1,0))*O190</f>
        <v>0</v>
      </c>
      <c r="V190" s="20"/>
      <c r="W190" s="20"/>
      <c r="X190" s="20"/>
      <c r="Y190" s="20" t="s">
        <v>130</v>
      </c>
      <c r="Z190" s="20" t="s">
        <v>125</v>
      </c>
      <c r="AA190" s="20" t="s">
        <v>144</v>
      </c>
      <c r="AB190" s="27"/>
      <c r="AC190" s="27"/>
      <c r="AD190" s="20" t="s">
        <v>140</v>
      </c>
      <c r="AE190" s="20" t="s">
        <v>125</v>
      </c>
      <c r="AF190" s="20" t="s">
        <v>144</v>
      </c>
      <c r="AG190" s="27"/>
      <c r="AH190" s="27"/>
      <c r="AI190" s="20"/>
      <c r="AJ190" s="20"/>
      <c r="AK190" s="20"/>
      <c r="AL190" s="20" t="s">
        <v>127</v>
      </c>
      <c r="AM190" s="20">
        <v>0</v>
      </c>
      <c r="AN190" s="20">
        <v>2</v>
      </c>
      <c r="AO190" s="20">
        <v>0</v>
      </c>
      <c r="AP190" s="20">
        <v>0</v>
      </c>
      <c r="AQ190" s="20">
        <v>0</v>
      </c>
      <c r="AR190" s="20">
        <v>2</v>
      </c>
      <c r="AS190" s="20">
        <v>0</v>
      </c>
      <c r="AT190" s="20">
        <v>0</v>
      </c>
      <c r="AU190" s="20">
        <v>4</v>
      </c>
      <c r="AV190" s="20">
        <v>0</v>
      </c>
      <c r="AW190" s="20">
        <v>0</v>
      </c>
      <c r="AX190" s="20">
        <v>4</v>
      </c>
      <c r="AY190" s="20">
        <v>0</v>
      </c>
      <c r="AZ190" s="20">
        <v>2</v>
      </c>
      <c r="BA190" s="20">
        <v>0</v>
      </c>
      <c r="BB190" s="20">
        <v>0</v>
      </c>
      <c r="BC190" s="20">
        <v>2</v>
      </c>
      <c r="BD190" s="20">
        <v>0</v>
      </c>
      <c r="BE190" s="20">
        <v>0</v>
      </c>
      <c r="BF190" s="20">
        <v>2</v>
      </c>
      <c r="BG190" s="20">
        <v>0</v>
      </c>
      <c r="BH190" s="20">
        <v>0</v>
      </c>
      <c r="BI190" s="20">
        <v>4</v>
      </c>
      <c r="BJ190" s="20">
        <v>0</v>
      </c>
      <c r="BK190" s="20">
        <v>0</v>
      </c>
      <c r="BL190" s="20">
        <v>0</v>
      </c>
      <c r="BM190" s="20">
        <v>0</v>
      </c>
      <c r="BN190" s="20">
        <v>2</v>
      </c>
      <c r="BO190" s="20">
        <v>0</v>
      </c>
      <c r="BP190" s="20">
        <v>0</v>
      </c>
      <c r="BQ190" s="20">
        <v>2</v>
      </c>
      <c r="BR190" s="20">
        <v>0</v>
      </c>
      <c r="BS190" s="20">
        <v>2</v>
      </c>
      <c r="BT190" s="20">
        <v>0</v>
      </c>
      <c r="BU190" s="20">
        <v>0</v>
      </c>
      <c r="BV190" s="20">
        <v>0</v>
      </c>
      <c r="BW190" s="20">
        <v>0</v>
      </c>
      <c r="BX190" s="20">
        <v>0</v>
      </c>
      <c r="BY190" s="20">
        <v>2</v>
      </c>
      <c r="BZ190" s="20">
        <v>0</v>
      </c>
      <c r="CA190" s="20">
        <v>0</v>
      </c>
      <c r="CB190" s="20">
        <v>2</v>
      </c>
      <c r="CC190" s="20">
        <v>0</v>
      </c>
      <c r="CD190" s="20">
        <v>0</v>
      </c>
      <c r="CE190" s="20">
        <v>0</v>
      </c>
      <c r="CF190" s="20">
        <v>0</v>
      </c>
      <c r="CG190" s="20">
        <v>0</v>
      </c>
      <c r="CH190" s="20">
        <v>0</v>
      </c>
      <c r="CI190" s="20">
        <v>0</v>
      </c>
      <c r="CJ190" s="20">
        <v>0</v>
      </c>
      <c r="CK190" s="20">
        <v>0</v>
      </c>
      <c r="CL190" s="20"/>
      <c r="CM190" s="20" t="s">
        <v>521</v>
      </c>
      <c r="CN190" s="20">
        <v>0</v>
      </c>
      <c r="CO190" s="20">
        <v>0</v>
      </c>
      <c r="CP190" s="20">
        <v>0</v>
      </c>
      <c r="CQ190" s="20">
        <v>0</v>
      </c>
      <c r="CR190" s="20">
        <v>4</v>
      </c>
      <c r="CS190" s="20">
        <v>4</v>
      </c>
      <c r="CT190" s="20">
        <v>4</v>
      </c>
      <c r="CU190" s="20">
        <v>8</v>
      </c>
      <c r="CV190" s="20">
        <v>8</v>
      </c>
      <c r="CW190" s="20">
        <v>8</v>
      </c>
      <c r="CX190" s="20">
        <v>12</v>
      </c>
      <c r="CY190" s="20">
        <v>12</v>
      </c>
      <c r="CZ190" s="20">
        <v>12</v>
      </c>
      <c r="DA190" s="20">
        <v>16</v>
      </c>
      <c r="DB190" s="20">
        <v>16</v>
      </c>
      <c r="DC190" s="20">
        <v>16</v>
      </c>
      <c r="DD190" s="20">
        <v>20</v>
      </c>
      <c r="DE190" s="20">
        <v>20</v>
      </c>
      <c r="DF190" s="20">
        <v>20</v>
      </c>
      <c r="DG190" s="20">
        <v>24</v>
      </c>
      <c r="DH190" s="20">
        <v>24</v>
      </c>
      <c r="DI190" s="20"/>
      <c r="DJ190" s="20"/>
      <c r="DK190" s="20"/>
      <c r="DL190" s="20"/>
      <c r="DM190" s="20"/>
      <c r="DN190" s="20"/>
      <c r="DO190" s="20"/>
      <c r="DP190" s="20"/>
      <c r="DQ190" s="20"/>
      <c r="DR190" s="20"/>
      <c r="DS190" s="20"/>
      <c r="DT190" s="20"/>
      <c r="DU190" s="20"/>
      <c r="DV190" s="20"/>
      <c r="DW190" s="20"/>
      <c r="DX190" s="20"/>
      <c r="DY190" s="20"/>
      <c r="DZ190" s="54"/>
      <c r="EA190" s="54"/>
      <c r="EB190" s="54"/>
      <c r="EC190" s="20"/>
      <c r="ED190" s="20"/>
      <c r="EE190" s="20"/>
      <c r="EF190" s="20"/>
      <c r="EG190" s="20"/>
      <c r="EH190" s="20"/>
      <c r="EI190" s="20"/>
      <c r="EJ190" s="20"/>
      <c r="EK190" s="20"/>
      <c r="EL190" s="20"/>
      <c r="EM190" s="20"/>
      <c r="EN190" s="20"/>
      <c r="EO190" s="20"/>
      <c r="EP190" s="20"/>
      <c r="EQ190" s="20"/>
      <c r="ER190" s="20"/>
      <c r="ES190" s="20"/>
      <c r="ET190" s="20"/>
      <c r="EU190" s="20"/>
      <c r="EV190" s="20" t="s">
        <v>470</v>
      </c>
      <c r="EW190" s="20"/>
      <c r="EX190" s="20"/>
      <c r="EY190" s="20"/>
      <c r="EZ190" s="20"/>
      <c r="FA190" s="20"/>
      <c r="FB190" s="20"/>
      <c r="FC190" s="20"/>
      <c r="FD190" s="20"/>
      <c r="FE190" s="20"/>
      <c r="FF190" s="20"/>
      <c r="FG190" s="20"/>
      <c r="FH190" s="20"/>
      <c r="FI190" s="21"/>
      <c r="FJ190" s="21"/>
      <c r="FK190" s="21"/>
      <c r="FL190" s="21"/>
      <c r="FM190" s="21"/>
      <c r="FN190" s="21"/>
      <c r="FO190" s="21"/>
      <c r="FP190" s="21"/>
      <c r="FQ190" s="21"/>
      <c r="FR190" s="21"/>
      <c r="FS190" s="21"/>
      <c r="FT190" s="21"/>
      <c r="FU190" s="20"/>
      <c r="FV190" s="20"/>
      <c r="FW190" s="20"/>
      <c r="FX190" s="20"/>
      <c r="FY190" s="20"/>
      <c r="FZ190" s="20"/>
      <c r="GA190" s="347" t="s">
        <v>867</v>
      </c>
      <c r="GB190" s="21">
        <v>0</v>
      </c>
      <c r="GC190" s="21">
        <v>0</v>
      </c>
      <c r="GD190" s="21">
        <v>1</v>
      </c>
      <c r="GE190" s="21">
        <v>2</v>
      </c>
      <c r="GF190" s="21">
        <v>2</v>
      </c>
      <c r="GG190" s="21">
        <v>2</v>
      </c>
      <c r="GH190" s="21">
        <v>3</v>
      </c>
      <c r="GI190" s="21">
        <v>3</v>
      </c>
      <c r="GJ190" s="21">
        <v>3</v>
      </c>
      <c r="GK190" s="21">
        <v>4</v>
      </c>
      <c r="GL190" s="21">
        <v>4</v>
      </c>
      <c r="GM190" s="21">
        <v>10</v>
      </c>
      <c r="GN190" s="21">
        <v>10</v>
      </c>
      <c r="GO190" s="21">
        <v>10</v>
      </c>
      <c r="GP190" s="21">
        <v>11</v>
      </c>
      <c r="GQ190" s="21">
        <v>11</v>
      </c>
      <c r="GR190" s="21">
        <v>11</v>
      </c>
      <c r="GS190" s="21">
        <v>12</v>
      </c>
      <c r="GT190" s="21">
        <v>12</v>
      </c>
      <c r="GU190" s="21">
        <v>13</v>
      </c>
      <c r="GV190" s="21">
        <v>18</v>
      </c>
      <c r="GW190" s="21"/>
      <c r="GX190" s="347" t="s">
        <v>866</v>
      </c>
      <c r="GY190" s="21">
        <v>0</v>
      </c>
      <c r="GZ190" s="21">
        <v>0</v>
      </c>
      <c r="HA190" s="21">
        <v>3</v>
      </c>
      <c r="HB190" s="21">
        <v>2</v>
      </c>
      <c r="HC190" s="21">
        <v>1</v>
      </c>
      <c r="HD190" s="21">
        <v>0</v>
      </c>
      <c r="HE190" s="21">
        <v>5</v>
      </c>
      <c r="HF190" s="21">
        <v>4</v>
      </c>
      <c r="HG190" s="21">
        <v>3</v>
      </c>
      <c r="HH190" s="21">
        <v>2</v>
      </c>
      <c r="HI190" s="21">
        <v>1</v>
      </c>
      <c r="HJ190" s="21">
        <v>0</v>
      </c>
      <c r="HK190" s="21">
        <v>4</v>
      </c>
      <c r="HL190" s="21">
        <v>3</v>
      </c>
      <c r="HM190" s="21">
        <v>2</v>
      </c>
      <c r="HN190" s="21">
        <v>1</v>
      </c>
      <c r="HO190" s="21">
        <v>0</v>
      </c>
      <c r="HP190" s="21">
        <v>5</v>
      </c>
      <c r="HQ190" s="21">
        <v>4</v>
      </c>
      <c r="HR190" s="21">
        <v>2</v>
      </c>
      <c r="HS190" s="21">
        <v>1</v>
      </c>
      <c r="HT190" s="21"/>
      <c r="HU190" s="21"/>
      <c r="HV190" s="186"/>
      <c r="HW190" s="21">
        <v>0</v>
      </c>
      <c r="HX190" s="21">
        <v>1</v>
      </c>
      <c r="HY190" s="21">
        <v>2</v>
      </c>
      <c r="HZ190" s="21">
        <v>3</v>
      </c>
      <c r="IA190" s="21">
        <v>4</v>
      </c>
      <c r="IB190" s="21">
        <v>5</v>
      </c>
      <c r="IC190" s="21">
        <v>6</v>
      </c>
      <c r="ID190" s="21">
        <v>7</v>
      </c>
      <c r="IE190" s="21">
        <v>8</v>
      </c>
      <c r="IF190" s="21">
        <v>9</v>
      </c>
      <c r="IG190" s="21">
        <v>10</v>
      </c>
      <c r="IH190" s="21">
        <v>11</v>
      </c>
      <c r="II190" s="21">
        <v>12</v>
      </c>
      <c r="IJ190" s="21">
        <v>13</v>
      </c>
      <c r="IK190" s="21">
        <v>14</v>
      </c>
      <c r="IL190" s="21">
        <v>15</v>
      </c>
      <c r="IM190" s="21">
        <v>16</v>
      </c>
      <c r="IN190" s="21">
        <v>17</v>
      </c>
      <c r="IO190" s="21">
        <v>18</v>
      </c>
      <c r="IP190" s="21">
        <v>19</v>
      </c>
      <c r="IQ190" s="21">
        <v>20</v>
      </c>
      <c r="IR190" s="21"/>
      <c r="IS190" s="21"/>
      <c r="IT190" s="21">
        <f t="shared" si="79"/>
        <v>0</v>
      </c>
      <c r="IU190" s="21">
        <f t="shared" si="79"/>
        <v>2</v>
      </c>
      <c r="IV190" s="21">
        <f t="shared" si="79"/>
        <v>4</v>
      </c>
      <c r="IW190" s="21">
        <f t="shared" si="79"/>
        <v>6</v>
      </c>
      <c r="IX190" s="21">
        <f t="shared" si="79"/>
        <v>8</v>
      </c>
      <c r="IY190" s="21">
        <f t="shared" si="79"/>
        <v>10</v>
      </c>
      <c r="IZ190" s="21">
        <f t="shared" si="79"/>
        <v>12</v>
      </c>
      <c r="JA190" s="21">
        <f t="shared" si="79"/>
        <v>14</v>
      </c>
      <c r="JB190" s="21">
        <f t="shared" si="79"/>
        <v>16</v>
      </c>
      <c r="JC190" s="21">
        <f t="shared" si="79"/>
        <v>18</v>
      </c>
      <c r="JD190" s="21">
        <f t="shared" si="79"/>
        <v>20</v>
      </c>
      <c r="JE190" s="21">
        <f t="shared" si="79"/>
        <v>22</v>
      </c>
      <c r="JF190" s="21">
        <f t="shared" si="79"/>
        <v>24</v>
      </c>
      <c r="JG190" s="21">
        <f t="shared" si="79"/>
        <v>26</v>
      </c>
      <c r="JH190" s="21">
        <f t="shared" si="79"/>
        <v>28</v>
      </c>
      <c r="JI190" s="21">
        <f t="shared" si="53"/>
        <v>30</v>
      </c>
      <c r="JJ190" s="21">
        <f t="shared" si="53"/>
        <v>32</v>
      </c>
      <c r="JK190" s="21">
        <f t="shared" si="53"/>
        <v>34</v>
      </c>
      <c r="JL190" s="21">
        <f t="shared" si="53"/>
        <v>36</v>
      </c>
      <c r="JM190" s="21">
        <f t="shared" si="53"/>
        <v>38</v>
      </c>
      <c r="JN190" s="21">
        <f t="shared" si="53"/>
        <v>40</v>
      </c>
      <c r="JO190" s="21"/>
      <c r="JP190" s="21"/>
      <c r="JQ190" s="21"/>
      <c r="JR190" s="21"/>
      <c r="JS190" s="21"/>
      <c r="JT190" s="21"/>
      <c r="JU190" s="21"/>
      <c r="JV190" s="21"/>
      <c r="JW190" s="21"/>
      <c r="JX190" s="21"/>
      <c r="JY190" s="21"/>
      <c r="JZ190" s="21"/>
      <c r="KA190" s="21"/>
      <c r="KB190" s="21"/>
      <c r="KC190" s="21"/>
      <c r="KD190" s="21"/>
      <c r="KE190" s="21"/>
      <c r="KF190" s="21"/>
      <c r="KG190" s="21"/>
      <c r="KH190" s="21"/>
    </row>
    <row r="191" spans="1:294" x14ac:dyDescent="0.25">
      <c r="A191" s="8"/>
      <c r="B191" s="5" t="s">
        <v>116</v>
      </c>
      <c r="C191" s="8"/>
      <c r="D191" s="40" t="s">
        <v>797</v>
      </c>
      <c r="E191" s="9"/>
      <c r="F191" s="9"/>
      <c r="G191" s="9"/>
      <c r="H191" s="9"/>
      <c r="I191" s="9"/>
      <c r="J191" s="9"/>
      <c r="K191" s="9"/>
      <c r="L191" s="6" t="str">
        <f>INDEX(($AB$191:$AB$200,$AG$191:$AG$200),MATCH(I179,$Y$191:$Y$200,0),1,MATCH(E180,$Y$106:$Y$107,0))</f>
        <v>SAM8X35E</v>
      </c>
      <c r="M191" s="11">
        <f>INDEX(cennik!$C$2:$L$529,MATCH($L191,cennik!$B$2:$B$522,0),MATCH(M$104,cennik!$C$1:$L$1,0))</f>
        <v>898535</v>
      </c>
      <c r="N191" s="11" t="str">
        <f>INDEX(cennik!$C$2:$L$529,MATCH($L191,cennik!$B$2:$B$522,0),MATCH(N$104,cennik!$C$1:$L$1,0))</f>
        <v>szt.</v>
      </c>
      <c r="O191" s="11">
        <f>IF(AF186="suma",SUM(O189:O190),IF(AF186="tylko buf",O189,IF(AF186=0,0,0)))</f>
        <v>0</v>
      </c>
      <c r="P191" s="34">
        <f>INDEX(cennik!$C$2:$L$529,MATCH($L191,cennik!$B$2:$B$522,0),MATCH(P$104,cennik!$C$1:$L$1,0))</f>
        <v>0.61</v>
      </c>
      <c r="Q191" s="34">
        <f t="shared" si="76"/>
        <v>0</v>
      </c>
      <c r="R191" s="35">
        <f t="shared" si="74"/>
        <v>0</v>
      </c>
      <c r="S191" s="34">
        <f t="shared" si="75"/>
        <v>0.61</v>
      </c>
      <c r="T191" s="34">
        <f t="shared" si="77"/>
        <v>0</v>
      </c>
      <c r="U191" s="34">
        <f>INDEX(cennik!$C$2:$L$529,MATCH($L191,cennik!$B$2:$B$522,0),MATCH(U$104,cennik!$C$1:$L$1,0))*O191</f>
        <v>0</v>
      </c>
      <c r="V191" s="20"/>
      <c r="W191" s="20"/>
      <c r="X191" s="20"/>
      <c r="Y191" s="26">
        <v>30</v>
      </c>
      <c r="Z191" s="20" t="s">
        <v>475</v>
      </c>
      <c r="AA191" s="20" t="s">
        <v>476</v>
      </c>
      <c r="AB191" s="20" t="s">
        <v>477</v>
      </c>
      <c r="AC191" s="20" t="s">
        <v>67</v>
      </c>
      <c r="AD191" s="20">
        <v>30</v>
      </c>
      <c r="AE191" s="20" t="s">
        <v>1007</v>
      </c>
      <c r="AF191" s="20" t="s">
        <v>1008</v>
      </c>
      <c r="AG191" s="188" t="s">
        <v>477</v>
      </c>
      <c r="AH191" s="188" t="s">
        <v>67</v>
      </c>
      <c r="AI191" s="20" t="s">
        <v>14</v>
      </c>
      <c r="AJ191" s="20"/>
      <c r="AK191" s="20"/>
      <c r="AL191" s="20" t="s">
        <v>15</v>
      </c>
      <c r="AM191" s="20">
        <v>0</v>
      </c>
      <c r="AN191" s="20">
        <v>0</v>
      </c>
      <c r="AO191" s="20">
        <v>2</v>
      </c>
      <c r="AP191" s="20">
        <v>2</v>
      </c>
      <c r="AQ191" s="20">
        <v>2</v>
      </c>
      <c r="AR191" s="20">
        <v>2</v>
      </c>
      <c r="AS191" s="20">
        <v>4</v>
      </c>
      <c r="AT191" s="20">
        <v>4</v>
      </c>
      <c r="AU191" s="20">
        <v>6</v>
      </c>
      <c r="AV191" s="20">
        <v>8</v>
      </c>
      <c r="AW191" s="20">
        <v>6</v>
      </c>
      <c r="AX191" s="20">
        <v>8</v>
      </c>
      <c r="AY191" s="20">
        <v>12</v>
      </c>
      <c r="AZ191" s="20">
        <v>10</v>
      </c>
      <c r="BA191" s="20">
        <v>8</v>
      </c>
      <c r="BB191" s="20">
        <v>12</v>
      </c>
      <c r="BC191" s="20">
        <v>12</v>
      </c>
      <c r="BD191" s="20">
        <v>0</v>
      </c>
      <c r="BE191" s="20">
        <v>14</v>
      </c>
      <c r="BF191" s="20">
        <v>14</v>
      </c>
      <c r="BG191" s="20">
        <v>2</v>
      </c>
      <c r="BH191" s="20">
        <v>16</v>
      </c>
      <c r="BI191" s="20">
        <v>8</v>
      </c>
      <c r="BJ191" s="20">
        <v>4</v>
      </c>
      <c r="BK191" s="20">
        <v>18</v>
      </c>
      <c r="BL191" s="20">
        <v>34</v>
      </c>
      <c r="BM191" s="20">
        <v>6</v>
      </c>
      <c r="BN191" s="20">
        <v>6</v>
      </c>
      <c r="BO191" s="20">
        <v>36</v>
      </c>
      <c r="BP191" s="20">
        <v>8</v>
      </c>
      <c r="BQ191" s="20">
        <v>8</v>
      </c>
      <c r="BR191" s="20">
        <v>0</v>
      </c>
      <c r="BS191" s="20">
        <v>4</v>
      </c>
      <c r="BT191" s="20">
        <v>26</v>
      </c>
      <c r="BU191" s="20">
        <v>0</v>
      </c>
      <c r="BV191" s="20">
        <v>12</v>
      </c>
      <c r="BW191" s="20">
        <v>28</v>
      </c>
      <c r="BX191" s="20">
        <v>0</v>
      </c>
      <c r="BY191" s="20">
        <v>0</v>
      </c>
      <c r="BZ191" s="20">
        <v>30</v>
      </c>
      <c r="CA191" s="20">
        <v>2</v>
      </c>
      <c r="CB191" s="20">
        <v>2</v>
      </c>
      <c r="CC191" s="20">
        <v>0</v>
      </c>
      <c r="CD191" s="20">
        <v>4</v>
      </c>
      <c r="CE191" s="20">
        <v>20</v>
      </c>
      <c r="CF191" s="20">
        <v>0</v>
      </c>
      <c r="CG191" s="20">
        <v>6</v>
      </c>
      <c r="CH191" s="20">
        <v>6</v>
      </c>
      <c r="CI191" s="20">
        <v>0</v>
      </c>
      <c r="CJ191" s="20">
        <v>10</v>
      </c>
      <c r="CK191" s="20">
        <v>24</v>
      </c>
      <c r="CL191" s="20"/>
      <c r="CM191" s="20"/>
      <c r="CN191" s="20"/>
      <c r="CO191" s="20"/>
      <c r="CP191" s="20"/>
      <c r="CQ191" s="20"/>
      <c r="CR191" s="20"/>
      <c r="CS191" s="20"/>
      <c r="CT191" s="20"/>
      <c r="CU191" s="20"/>
      <c r="CV191" s="20"/>
      <c r="CW191" s="20"/>
      <c r="CX191" s="20"/>
      <c r="CY191" s="20"/>
      <c r="CZ191" s="20"/>
      <c r="DA191" s="20"/>
      <c r="DB191" s="20"/>
      <c r="DC191" s="20"/>
      <c r="DD191" s="20"/>
      <c r="DE191" s="20"/>
      <c r="DF191" s="20"/>
      <c r="DG191" s="20"/>
      <c r="DH191" s="20"/>
      <c r="DI191" s="20"/>
      <c r="DJ191" s="20"/>
      <c r="DK191" s="20"/>
      <c r="DL191" s="20"/>
      <c r="DM191" s="20"/>
      <c r="DN191" s="20"/>
      <c r="DO191" s="20"/>
      <c r="DP191" s="20"/>
      <c r="DQ191" s="20"/>
      <c r="DR191" s="20"/>
      <c r="DS191" s="20"/>
      <c r="DT191" s="20"/>
      <c r="DU191" s="20"/>
      <c r="DV191" s="20"/>
      <c r="DW191" s="20"/>
      <c r="DX191" s="20"/>
      <c r="DY191" s="20"/>
      <c r="DZ191" s="54"/>
      <c r="EA191" s="54"/>
      <c r="EB191" s="54"/>
      <c r="EC191" s="20"/>
      <c r="ED191" s="20"/>
      <c r="EE191" s="20"/>
      <c r="EF191" s="20"/>
      <c r="EG191" s="20"/>
      <c r="EH191" s="20"/>
      <c r="EI191" s="20"/>
      <c r="EJ191" s="20"/>
      <c r="EK191" s="20"/>
      <c r="EL191" s="20"/>
      <c r="EM191" s="20"/>
      <c r="EN191" s="20"/>
      <c r="EO191" s="20"/>
      <c r="EP191" s="20"/>
      <c r="EQ191" s="20"/>
      <c r="ER191" s="20"/>
      <c r="ES191" s="20"/>
      <c r="ET191" s="20"/>
      <c r="EU191" s="20"/>
      <c r="EV191" s="20"/>
      <c r="EW191" s="20">
        <v>0</v>
      </c>
      <c r="EX191" s="20">
        <v>1</v>
      </c>
      <c r="EY191" s="20">
        <v>2</v>
      </c>
      <c r="EZ191" s="20">
        <v>3</v>
      </c>
      <c r="FA191" s="20">
        <v>4</v>
      </c>
      <c r="FB191" s="20">
        <v>5</v>
      </c>
      <c r="FC191" s="20">
        <v>6</v>
      </c>
      <c r="FD191" s="20">
        <v>7</v>
      </c>
      <c r="FE191" s="20">
        <v>8</v>
      </c>
      <c r="FF191" s="20">
        <v>9</v>
      </c>
      <c r="FG191" s="20">
        <v>10</v>
      </c>
      <c r="FH191" s="20"/>
      <c r="FI191" s="20" t="s">
        <v>113</v>
      </c>
      <c r="FJ191" s="20"/>
      <c r="FK191" s="20"/>
      <c r="FL191" s="20"/>
      <c r="FM191" s="20"/>
      <c r="FN191" s="20"/>
      <c r="FO191" s="20"/>
      <c r="FP191" s="20"/>
      <c r="FQ191" s="20"/>
      <c r="FR191" s="20"/>
      <c r="FS191" s="20"/>
      <c r="FT191" s="20"/>
      <c r="FU191" s="20"/>
      <c r="FV191" s="20"/>
      <c r="FW191" s="20"/>
      <c r="FX191" s="20"/>
      <c r="FY191" s="20"/>
      <c r="FZ191" s="20"/>
      <c r="GA191" s="347" t="s">
        <v>868</v>
      </c>
      <c r="GB191" s="21">
        <v>0</v>
      </c>
      <c r="GC191" s="21">
        <v>0</v>
      </c>
      <c r="GD191" s="21">
        <v>0</v>
      </c>
      <c r="GE191" s="21">
        <v>0</v>
      </c>
      <c r="GF191" s="21">
        <v>0</v>
      </c>
      <c r="GG191" s="21">
        <v>0</v>
      </c>
      <c r="GH191" s="21">
        <v>0</v>
      </c>
      <c r="GI191" s="21">
        <v>0</v>
      </c>
      <c r="GJ191" s="21">
        <v>0</v>
      </c>
      <c r="GK191" s="21">
        <v>0</v>
      </c>
      <c r="GL191" s="21">
        <v>0</v>
      </c>
      <c r="GM191" s="21">
        <v>0</v>
      </c>
      <c r="GN191" s="21">
        <v>0</v>
      </c>
      <c r="GO191" s="21">
        <v>0</v>
      </c>
      <c r="GP191" s="21">
        <v>0</v>
      </c>
      <c r="GQ191" s="21">
        <v>0</v>
      </c>
      <c r="GR191" s="21">
        <v>0</v>
      </c>
      <c r="GS191" s="21">
        <v>0</v>
      </c>
      <c r="GT191" s="21">
        <v>0</v>
      </c>
      <c r="GU191" s="21">
        <v>0</v>
      </c>
      <c r="GV191" s="21">
        <v>0</v>
      </c>
      <c r="GW191" s="21"/>
      <c r="GX191" s="347" t="s">
        <v>867</v>
      </c>
      <c r="GY191" s="21">
        <v>0</v>
      </c>
      <c r="GZ191" s="21">
        <v>0</v>
      </c>
      <c r="HA191" s="21">
        <v>0</v>
      </c>
      <c r="HB191" s="21">
        <v>2</v>
      </c>
      <c r="HC191" s="21">
        <v>4</v>
      </c>
      <c r="HD191" s="21">
        <v>6</v>
      </c>
      <c r="HE191" s="21">
        <v>3</v>
      </c>
      <c r="HF191" s="21">
        <v>5</v>
      </c>
      <c r="HG191" s="21">
        <v>7</v>
      </c>
      <c r="HH191" s="21">
        <v>9</v>
      </c>
      <c r="HI191" s="21">
        <v>11</v>
      </c>
      <c r="HJ191" s="21">
        <v>13</v>
      </c>
      <c r="HK191" s="21">
        <v>11</v>
      </c>
      <c r="HL191" s="21">
        <v>13</v>
      </c>
      <c r="HM191" s="21">
        <v>15</v>
      </c>
      <c r="HN191" s="21">
        <v>17</v>
      </c>
      <c r="HO191" s="21">
        <v>19</v>
      </c>
      <c r="HP191" s="21">
        <v>16</v>
      </c>
      <c r="HQ191" s="21">
        <v>18</v>
      </c>
      <c r="HR191" s="21">
        <v>21</v>
      </c>
      <c r="HS191" s="21">
        <v>23</v>
      </c>
      <c r="HT191" s="21"/>
      <c r="HU191" s="21"/>
      <c r="HV191" s="21" t="s">
        <v>826</v>
      </c>
      <c r="HW191" s="21">
        <v>0</v>
      </c>
      <c r="HX191" s="21">
        <v>2</v>
      </c>
      <c r="HY191" s="21">
        <v>4</v>
      </c>
      <c r="HZ191" s="21">
        <v>0</v>
      </c>
      <c r="IA191" s="21">
        <v>0</v>
      </c>
      <c r="IB191" s="21">
        <v>2</v>
      </c>
      <c r="IC191" s="21">
        <v>4</v>
      </c>
      <c r="ID191" s="21">
        <v>0</v>
      </c>
      <c r="IE191" s="21">
        <v>2</v>
      </c>
      <c r="IF191" s="21">
        <v>4</v>
      </c>
      <c r="IG191" s="21">
        <v>4</v>
      </c>
      <c r="IH191" s="21">
        <v>0</v>
      </c>
      <c r="II191" s="21">
        <v>2</v>
      </c>
      <c r="IJ191" s="21">
        <v>4</v>
      </c>
      <c r="IK191" s="21">
        <v>0</v>
      </c>
      <c r="IL191" s="21">
        <v>2</v>
      </c>
      <c r="IM191" s="21">
        <v>4</v>
      </c>
      <c r="IN191" s="21">
        <v>4</v>
      </c>
      <c r="IO191" s="21">
        <v>0</v>
      </c>
      <c r="IP191" s="21">
        <v>2</v>
      </c>
      <c r="IQ191" s="21">
        <v>4</v>
      </c>
      <c r="IR191" s="21"/>
      <c r="IS191" s="21" t="s">
        <v>826</v>
      </c>
      <c r="IT191" s="21">
        <f t="shared" si="79"/>
        <v>0</v>
      </c>
      <c r="IU191" s="21">
        <f t="shared" si="79"/>
        <v>4</v>
      </c>
      <c r="IV191" s="21">
        <f t="shared" si="79"/>
        <v>8</v>
      </c>
      <c r="IW191" s="21">
        <f t="shared" si="79"/>
        <v>0</v>
      </c>
      <c r="IX191" s="21">
        <f t="shared" si="79"/>
        <v>0</v>
      </c>
      <c r="IY191" s="21">
        <f t="shared" si="79"/>
        <v>4</v>
      </c>
      <c r="IZ191" s="21">
        <f t="shared" si="79"/>
        <v>8</v>
      </c>
      <c r="JA191" s="21">
        <f t="shared" si="79"/>
        <v>0</v>
      </c>
      <c r="JB191" s="21">
        <f t="shared" si="79"/>
        <v>4</v>
      </c>
      <c r="JC191" s="21">
        <f t="shared" si="79"/>
        <v>8</v>
      </c>
      <c r="JD191" s="21">
        <f t="shared" si="79"/>
        <v>8</v>
      </c>
      <c r="JE191" s="21">
        <f t="shared" si="79"/>
        <v>0</v>
      </c>
      <c r="JF191" s="21">
        <f t="shared" si="79"/>
        <v>4</v>
      </c>
      <c r="JG191" s="21">
        <f t="shared" si="79"/>
        <v>8</v>
      </c>
      <c r="JH191" s="21">
        <f t="shared" si="79"/>
        <v>0</v>
      </c>
      <c r="JI191" s="21">
        <f t="shared" si="53"/>
        <v>4</v>
      </c>
      <c r="JJ191" s="21">
        <f t="shared" si="53"/>
        <v>8</v>
      </c>
      <c r="JK191" s="21">
        <f t="shared" si="53"/>
        <v>8</v>
      </c>
      <c r="JL191" s="21">
        <f t="shared" si="53"/>
        <v>0</v>
      </c>
      <c r="JM191" s="21">
        <f t="shared" si="53"/>
        <v>4</v>
      </c>
      <c r="JN191" s="21">
        <f t="shared" si="53"/>
        <v>8</v>
      </c>
      <c r="JO191" s="21"/>
      <c r="JP191" s="21"/>
      <c r="JQ191" s="21"/>
      <c r="JR191" s="21"/>
      <c r="JS191" s="21"/>
      <c r="JT191" s="21"/>
      <c r="JU191" s="21"/>
      <c r="JV191" s="21"/>
      <c r="JW191" s="21"/>
      <c r="JX191" s="21"/>
      <c r="JY191" s="21"/>
      <c r="JZ191" s="21"/>
      <c r="KA191" s="21"/>
      <c r="KB191" s="21"/>
      <c r="KC191" s="21"/>
      <c r="KD191" s="21"/>
      <c r="KE191" s="21"/>
      <c r="KF191" s="21"/>
      <c r="KG191" s="21"/>
      <c r="KH191" s="21"/>
    </row>
    <row r="192" spans="1:294" x14ac:dyDescent="0.25">
      <c r="A192" s="8"/>
      <c r="B192" s="5" t="s">
        <v>116</v>
      </c>
      <c r="C192" s="8"/>
      <c r="D192" s="9"/>
      <c r="E192" s="9"/>
      <c r="F192" s="9"/>
      <c r="G192" s="9"/>
      <c r="H192" s="9"/>
      <c r="I192" s="9"/>
      <c r="J192" s="9"/>
      <c r="K192" s="9"/>
      <c r="L192" s="6" t="s">
        <v>14</v>
      </c>
      <c r="M192" s="11">
        <f>INDEX(cennik!$C$2:$L$529,MATCH($L192,cennik!$B$2:$B$522,0),MATCH(M$104,cennik!$C$1:$L$1,0))</f>
        <v>600909</v>
      </c>
      <c r="N192" s="11" t="str">
        <f>INDEX(cennik!$C$2:$L$529,MATCH($L192,cennik!$B$2:$B$522,0),MATCH(N$104,cennik!$C$1:$L$1,0))</f>
        <v>szt.</v>
      </c>
      <c r="O192" s="11">
        <f>O191</f>
        <v>0</v>
      </c>
      <c r="P192" s="34">
        <f>INDEX(cennik!$C$2:$L$529,MATCH($L192,cennik!$B$2:$B$522,0),MATCH(P$104,cennik!$C$1:$L$1,0))</f>
        <v>0.6</v>
      </c>
      <c r="Q192" s="34">
        <f t="shared" si="76"/>
        <v>0</v>
      </c>
      <c r="R192" s="35">
        <f t="shared" si="74"/>
        <v>0</v>
      </c>
      <c r="S192" s="34">
        <f t="shared" si="75"/>
        <v>0.6</v>
      </c>
      <c r="T192" s="34">
        <f t="shared" si="77"/>
        <v>0</v>
      </c>
      <c r="U192" s="34">
        <f>INDEX(cennik!$C$2:$L$529,MATCH($L192,cennik!$B$2:$B$522,0),MATCH(U$104,cennik!$C$1:$L$1,0))*O192</f>
        <v>0</v>
      </c>
      <c r="V192" s="20"/>
      <c r="W192" s="20"/>
      <c r="X192" s="20"/>
      <c r="Y192" s="26">
        <v>32</v>
      </c>
      <c r="Z192" s="20" t="s">
        <v>26</v>
      </c>
      <c r="AA192" s="20" t="s">
        <v>27</v>
      </c>
      <c r="AB192" s="20" t="s">
        <v>110</v>
      </c>
      <c r="AC192" s="20" t="s">
        <v>67</v>
      </c>
      <c r="AD192" s="20">
        <v>32</v>
      </c>
      <c r="AE192" s="20" t="s">
        <v>38</v>
      </c>
      <c r="AF192" s="20" t="s">
        <v>39</v>
      </c>
      <c r="AG192" s="188" t="s">
        <v>151</v>
      </c>
      <c r="AH192" s="188" t="s">
        <v>151</v>
      </c>
      <c r="AI192" s="20" t="s">
        <v>14</v>
      </c>
      <c r="AJ192" s="20"/>
      <c r="AK192" s="20"/>
      <c r="AL192" s="20" t="s">
        <v>19</v>
      </c>
      <c r="AM192" s="20">
        <v>0</v>
      </c>
      <c r="AN192" s="20">
        <v>0</v>
      </c>
      <c r="AO192" s="20">
        <v>0</v>
      </c>
      <c r="AP192" s="20">
        <v>2</v>
      </c>
      <c r="AQ192" s="20">
        <v>2</v>
      </c>
      <c r="AR192" s="20">
        <v>2</v>
      </c>
      <c r="AS192" s="20">
        <v>4</v>
      </c>
      <c r="AT192" s="20">
        <v>4</v>
      </c>
      <c r="AU192" s="20">
        <v>2</v>
      </c>
      <c r="AV192" s="20">
        <v>4</v>
      </c>
      <c r="AW192" s="20">
        <v>6</v>
      </c>
      <c r="AX192" s="20">
        <v>4</v>
      </c>
      <c r="AY192" s="20">
        <v>4</v>
      </c>
      <c r="AZ192" s="20">
        <v>6</v>
      </c>
      <c r="BA192" s="20">
        <v>8</v>
      </c>
      <c r="BB192" s="20">
        <v>8</v>
      </c>
      <c r="BC192" s="20">
        <v>8</v>
      </c>
      <c r="BD192" s="20">
        <v>22</v>
      </c>
      <c r="BE192" s="20">
        <v>10</v>
      </c>
      <c r="BF192" s="20">
        <v>10</v>
      </c>
      <c r="BG192" s="20">
        <v>24</v>
      </c>
      <c r="BH192" s="20">
        <v>12</v>
      </c>
      <c r="BI192" s="20">
        <v>18</v>
      </c>
      <c r="BJ192" s="20">
        <v>26</v>
      </c>
      <c r="BK192" s="20">
        <v>14</v>
      </c>
      <c r="BL192" s="20">
        <v>0</v>
      </c>
      <c r="BM192" s="20">
        <v>28</v>
      </c>
      <c r="BN192" s="20">
        <v>28</v>
      </c>
      <c r="BO192" s="20">
        <v>2</v>
      </c>
      <c r="BP192" s="20">
        <v>30</v>
      </c>
      <c r="BQ192" s="20">
        <v>30</v>
      </c>
      <c r="BR192" s="20">
        <v>40</v>
      </c>
      <c r="BS192" s="20">
        <v>36</v>
      </c>
      <c r="BT192" s="20">
        <v>18</v>
      </c>
      <c r="BU192" s="20">
        <v>44</v>
      </c>
      <c r="BV192" s="20">
        <v>34</v>
      </c>
      <c r="BW192" s="20">
        <v>20</v>
      </c>
      <c r="BX192" s="20">
        <v>48</v>
      </c>
      <c r="BY192" s="20">
        <v>48</v>
      </c>
      <c r="BZ192" s="20">
        <v>22</v>
      </c>
      <c r="CA192" s="20">
        <v>50</v>
      </c>
      <c r="CB192" s="20">
        <v>50</v>
      </c>
      <c r="CC192" s="20">
        <v>54</v>
      </c>
      <c r="CD192" s="20">
        <v>52</v>
      </c>
      <c r="CE192" s="20">
        <v>38</v>
      </c>
      <c r="CF192" s="20">
        <v>58</v>
      </c>
      <c r="CG192" s="20">
        <v>54</v>
      </c>
      <c r="CH192" s="20">
        <v>54</v>
      </c>
      <c r="CI192" s="20">
        <v>62</v>
      </c>
      <c r="CJ192" s="20">
        <v>54</v>
      </c>
      <c r="CK192" s="20">
        <v>42</v>
      </c>
      <c r="CL192" s="20"/>
      <c r="CM192" s="20" t="s">
        <v>474</v>
      </c>
      <c r="CN192" s="20">
        <v>0</v>
      </c>
      <c r="CO192" s="20">
        <v>1</v>
      </c>
      <c r="CP192" s="20">
        <v>2</v>
      </c>
      <c r="CQ192" s="20">
        <v>3</v>
      </c>
      <c r="CR192" s="20">
        <v>4</v>
      </c>
      <c r="CS192" s="20">
        <v>5</v>
      </c>
      <c r="CT192" s="20">
        <v>6</v>
      </c>
      <c r="CU192" s="20">
        <v>7</v>
      </c>
      <c r="CV192" s="20">
        <v>8</v>
      </c>
      <c r="CW192" s="20">
        <v>9</v>
      </c>
      <c r="CX192" s="20">
        <v>10</v>
      </c>
      <c r="CY192" s="20">
        <v>11</v>
      </c>
      <c r="CZ192" s="20">
        <v>12</v>
      </c>
      <c r="DA192" s="20">
        <v>13</v>
      </c>
      <c r="DB192" s="20">
        <v>14</v>
      </c>
      <c r="DC192" s="20">
        <v>15</v>
      </c>
      <c r="DD192" s="20">
        <v>16</v>
      </c>
      <c r="DE192" s="20">
        <v>17</v>
      </c>
      <c r="DF192" s="20">
        <v>18</v>
      </c>
      <c r="DG192" s="20">
        <v>19</v>
      </c>
      <c r="DH192" s="20">
        <v>20</v>
      </c>
      <c r="DI192" s="20"/>
      <c r="DJ192" s="20"/>
      <c r="DK192" s="20"/>
      <c r="DL192" s="20"/>
      <c r="DM192" s="20"/>
      <c r="DN192" s="20"/>
      <c r="DO192" s="20"/>
      <c r="DP192" s="20"/>
      <c r="DQ192" s="20"/>
      <c r="DR192" s="20"/>
      <c r="DS192" s="20"/>
      <c r="DT192" s="20"/>
      <c r="DU192" s="20"/>
      <c r="DV192" s="20"/>
      <c r="DW192" s="20"/>
      <c r="DX192" s="20"/>
      <c r="DY192" s="20"/>
      <c r="DZ192" s="54"/>
      <c r="EA192" s="54"/>
      <c r="EB192" s="54"/>
      <c r="EC192" s="20"/>
      <c r="ED192" s="20"/>
      <c r="EE192" s="20"/>
      <c r="EF192" s="20"/>
      <c r="EG192" s="20"/>
      <c r="EH192" s="20"/>
      <c r="EI192" s="20"/>
      <c r="EJ192" s="20"/>
      <c r="EK192" s="20"/>
      <c r="EL192" s="20"/>
      <c r="EM192" s="20"/>
      <c r="EN192" s="20"/>
      <c r="EO192" s="20"/>
      <c r="EP192" s="20"/>
      <c r="EQ192" s="20"/>
      <c r="ER192" s="20"/>
      <c r="ES192" s="20"/>
      <c r="ET192" s="20"/>
      <c r="EU192" s="20"/>
      <c r="EV192" s="20" t="s">
        <v>210</v>
      </c>
      <c r="EW192" s="20">
        <v>0</v>
      </c>
      <c r="EX192" s="20">
        <v>0</v>
      </c>
      <c r="EY192" s="20">
        <v>0</v>
      </c>
      <c r="EZ192" s="20">
        <v>0</v>
      </c>
      <c r="FA192" s="20">
        <v>0</v>
      </c>
      <c r="FB192" s="20">
        <v>0</v>
      </c>
      <c r="FC192" s="20">
        <v>0</v>
      </c>
      <c r="FD192" s="20">
        <v>0</v>
      </c>
      <c r="FE192" s="20">
        <v>0</v>
      </c>
      <c r="FF192" s="20">
        <v>0</v>
      </c>
      <c r="FG192" s="20">
        <v>0</v>
      </c>
      <c r="FH192" s="20"/>
      <c r="FI192" s="20"/>
      <c r="FJ192" s="20">
        <v>0</v>
      </c>
      <c r="FK192" s="20">
        <v>1</v>
      </c>
      <c r="FL192" s="20">
        <v>2</v>
      </c>
      <c r="FM192" s="20">
        <v>3</v>
      </c>
      <c r="FN192" s="20">
        <v>4</v>
      </c>
      <c r="FO192" s="20">
        <v>5</v>
      </c>
      <c r="FP192" s="20">
        <v>6</v>
      </c>
      <c r="FQ192" s="20">
        <v>7</v>
      </c>
      <c r="FR192" s="20">
        <v>8</v>
      </c>
      <c r="FS192" s="20">
        <v>9</v>
      </c>
      <c r="FT192" s="20">
        <v>10</v>
      </c>
      <c r="FU192" s="20"/>
      <c r="FV192" s="20"/>
      <c r="FW192" s="20"/>
      <c r="FX192" s="20"/>
      <c r="FY192" s="20"/>
      <c r="FZ192" s="20"/>
      <c r="GA192" s="21"/>
      <c r="GB192" s="21"/>
      <c r="GC192" s="21"/>
      <c r="GD192" s="21"/>
      <c r="GE192" s="21"/>
      <c r="GF192" s="21"/>
      <c r="GG192" s="21"/>
      <c r="GH192" s="21"/>
      <c r="GI192" s="21"/>
      <c r="GJ192" s="21"/>
      <c r="GK192" s="21"/>
      <c r="GL192" s="21"/>
      <c r="GM192" s="21"/>
      <c r="GN192" s="21"/>
      <c r="GO192" s="21"/>
      <c r="GP192" s="21"/>
      <c r="GQ192" s="21"/>
      <c r="GR192" s="21"/>
      <c r="GS192" s="21"/>
      <c r="GT192" s="21"/>
      <c r="GU192" s="21"/>
      <c r="GV192" s="21"/>
      <c r="GW192" s="21"/>
      <c r="GX192" s="347" t="s">
        <v>868</v>
      </c>
      <c r="GY192" s="21">
        <v>0</v>
      </c>
      <c r="GZ192" s="21">
        <v>1</v>
      </c>
      <c r="HA192" s="21">
        <v>0</v>
      </c>
      <c r="HB192" s="21">
        <v>0</v>
      </c>
      <c r="HC192" s="21">
        <v>0</v>
      </c>
      <c r="HD192" s="21">
        <v>0</v>
      </c>
      <c r="HE192" s="21">
        <v>0</v>
      </c>
      <c r="HF192" s="21">
        <v>0</v>
      </c>
      <c r="HG192" s="21">
        <v>0</v>
      </c>
      <c r="HH192" s="21">
        <v>0</v>
      </c>
      <c r="HI192" s="21">
        <v>0</v>
      </c>
      <c r="HJ192" s="21">
        <v>0</v>
      </c>
      <c r="HK192" s="21">
        <v>0</v>
      </c>
      <c r="HL192" s="21">
        <v>0</v>
      </c>
      <c r="HM192" s="21">
        <v>0</v>
      </c>
      <c r="HN192" s="21">
        <v>0</v>
      </c>
      <c r="HO192" s="21">
        <v>0</v>
      </c>
      <c r="HP192" s="21">
        <v>0</v>
      </c>
      <c r="HQ192" s="21">
        <v>0</v>
      </c>
      <c r="HR192" s="21">
        <v>0</v>
      </c>
      <c r="HS192" s="21">
        <v>0</v>
      </c>
      <c r="HT192" s="21"/>
      <c r="HU192" s="21"/>
      <c r="HV192" s="21" t="s">
        <v>825</v>
      </c>
      <c r="HW192" s="21">
        <v>0</v>
      </c>
      <c r="HX192" s="21">
        <v>0</v>
      </c>
      <c r="HY192" s="21">
        <v>0</v>
      </c>
      <c r="HZ192" s="21">
        <v>4</v>
      </c>
      <c r="IA192" s="21">
        <v>6</v>
      </c>
      <c r="IB192" s="21">
        <v>6</v>
      </c>
      <c r="IC192" s="21">
        <v>6</v>
      </c>
      <c r="ID192" s="21">
        <v>10</v>
      </c>
      <c r="IE192" s="21">
        <v>10</v>
      </c>
      <c r="IF192" s="21">
        <v>10</v>
      </c>
      <c r="IG192" s="21">
        <v>12</v>
      </c>
      <c r="IH192" s="21">
        <v>16</v>
      </c>
      <c r="II192" s="21">
        <v>16</v>
      </c>
      <c r="IJ192" s="21">
        <v>16</v>
      </c>
      <c r="IK192" s="21">
        <v>20</v>
      </c>
      <c r="IL192" s="21">
        <v>20</v>
      </c>
      <c r="IM192" s="21">
        <v>20</v>
      </c>
      <c r="IN192" s="21">
        <v>22</v>
      </c>
      <c r="IO192" s="21">
        <v>26</v>
      </c>
      <c r="IP192" s="21">
        <v>26</v>
      </c>
      <c r="IQ192" s="21">
        <v>26</v>
      </c>
      <c r="IR192" s="21"/>
      <c r="IS192" s="21" t="s">
        <v>825</v>
      </c>
      <c r="IT192" s="21">
        <f t="shared" si="79"/>
        <v>0</v>
      </c>
      <c r="IU192" s="21">
        <f t="shared" si="79"/>
        <v>0</v>
      </c>
      <c r="IV192" s="21">
        <f t="shared" si="79"/>
        <v>0</v>
      </c>
      <c r="IW192" s="21">
        <f t="shared" si="79"/>
        <v>8</v>
      </c>
      <c r="IX192" s="21">
        <f t="shared" si="79"/>
        <v>12</v>
      </c>
      <c r="IY192" s="21">
        <f t="shared" si="79"/>
        <v>12</v>
      </c>
      <c r="IZ192" s="21">
        <f t="shared" si="79"/>
        <v>12</v>
      </c>
      <c r="JA192" s="21">
        <f t="shared" si="79"/>
        <v>20</v>
      </c>
      <c r="JB192" s="21">
        <f t="shared" si="79"/>
        <v>20</v>
      </c>
      <c r="JC192" s="21">
        <f t="shared" si="79"/>
        <v>20</v>
      </c>
      <c r="JD192" s="21">
        <f t="shared" si="79"/>
        <v>24</v>
      </c>
      <c r="JE192" s="21">
        <f t="shared" si="79"/>
        <v>32</v>
      </c>
      <c r="JF192" s="21">
        <f t="shared" si="79"/>
        <v>32</v>
      </c>
      <c r="JG192" s="21">
        <f t="shared" si="79"/>
        <v>32</v>
      </c>
      <c r="JH192" s="21">
        <f t="shared" si="79"/>
        <v>40</v>
      </c>
      <c r="JI192" s="21">
        <f t="shared" si="53"/>
        <v>40</v>
      </c>
      <c r="JJ192" s="21">
        <f t="shared" si="53"/>
        <v>40</v>
      </c>
      <c r="JK192" s="21">
        <f t="shared" si="53"/>
        <v>44</v>
      </c>
      <c r="JL192" s="21">
        <f t="shared" si="53"/>
        <v>52</v>
      </c>
      <c r="JM192" s="21">
        <f t="shared" si="53"/>
        <v>52</v>
      </c>
      <c r="JN192" s="21">
        <f t="shared" si="53"/>
        <v>52</v>
      </c>
      <c r="JO192" s="21"/>
      <c r="JP192" s="21"/>
      <c r="JQ192" s="21"/>
      <c r="JR192" s="21"/>
      <c r="JS192" s="21"/>
      <c r="JT192" s="21"/>
      <c r="JU192" s="21"/>
      <c r="JV192" s="21"/>
      <c r="JW192" s="21"/>
      <c r="JX192" s="21"/>
      <c r="JY192" s="21"/>
      <c r="JZ192" s="21"/>
      <c r="KA192" s="21"/>
      <c r="KB192" s="21"/>
      <c r="KC192" s="21"/>
      <c r="KD192" s="21"/>
      <c r="KE192" s="21"/>
      <c r="KF192" s="21"/>
      <c r="KG192" s="21"/>
      <c r="KH192" s="21"/>
    </row>
    <row r="193" spans="1:294" x14ac:dyDescent="0.25">
      <c r="A193" s="8"/>
      <c r="B193" s="5" t="s">
        <v>116</v>
      </c>
      <c r="C193" s="8"/>
      <c r="D193" s="9"/>
      <c r="E193" s="9"/>
      <c r="F193" s="9"/>
      <c r="G193" s="9"/>
      <c r="H193" s="9"/>
      <c r="I193" s="9"/>
      <c r="J193" s="9"/>
      <c r="K193" s="9"/>
      <c r="L193" s="6" t="str">
        <f>IF(E182="balastowa","SBV250X350",IF(E182="kotwiona","SBV50X500",0))</f>
        <v>SBV250X350</v>
      </c>
      <c r="M193" s="11">
        <f>INDEX(cennik!$C$2:$L$529,MATCH($L193,cennik!$B$2:$B$522,0),MATCH(M$104,cennik!$C$1:$L$1,0))</f>
        <v>895507</v>
      </c>
      <c r="N193" s="11" t="str">
        <f>INDEX(cennik!$C$2:$L$529,MATCH($L193,cennik!$B$2:$B$522,0),MATCH(N$104,cennik!$C$1:$L$1,0))</f>
        <v>szt.</v>
      </c>
      <c r="O193" s="11">
        <f>IF(E182=Z104,O186*3,IF(E182=Z105,O186*4,0))</f>
        <v>0</v>
      </c>
      <c r="P193" s="34">
        <f>INDEX(cennik!$C$2:$L$529,MATCH($L193,cennik!$B$2:$B$522,0),MATCH(P$104,cennik!$C$1:$L$1,0))</f>
        <v>4.08</v>
      </c>
      <c r="Q193" s="34">
        <f t="shared" si="76"/>
        <v>0</v>
      </c>
      <c r="R193" s="35">
        <f t="shared" si="74"/>
        <v>0</v>
      </c>
      <c r="S193" s="34">
        <f t="shared" si="75"/>
        <v>4.08</v>
      </c>
      <c r="T193" s="34">
        <f t="shared" si="77"/>
        <v>0</v>
      </c>
      <c r="U193" s="34">
        <f>INDEX(cennik!$C$2:$L$529,MATCH($L193,cennik!$B$2:$B$522,0),MATCH(U$104,cennik!$C$1:$L$1,0))*O193</f>
        <v>0</v>
      </c>
      <c r="V193" s="20"/>
      <c r="W193" s="20"/>
      <c r="X193" s="20"/>
      <c r="Y193" s="26">
        <v>33</v>
      </c>
      <c r="Z193" s="20" t="s">
        <v>28</v>
      </c>
      <c r="AA193" s="20"/>
      <c r="AB193" s="20" t="s">
        <v>110</v>
      </c>
      <c r="AC193" s="20" t="s">
        <v>67</v>
      </c>
      <c r="AD193" s="20">
        <v>33</v>
      </c>
      <c r="AE193" s="20" t="s">
        <v>1291</v>
      </c>
      <c r="AF193" s="20" t="s">
        <v>1292</v>
      </c>
      <c r="AG193" s="188" t="s">
        <v>151</v>
      </c>
      <c r="AH193" s="188" t="s">
        <v>151</v>
      </c>
      <c r="AI193" s="20" t="s">
        <v>14</v>
      </c>
      <c r="AJ193" s="20"/>
      <c r="AK193" s="20"/>
      <c r="AL193" s="20" t="s">
        <v>408</v>
      </c>
      <c r="AM193" s="20">
        <v>0</v>
      </c>
      <c r="AN193" s="20">
        <f>((((SUM(AN188:AN192))/2)-1))*4</f>
        <v>0</v>
      </c>
      <c r="AO193" s="20">
        <f t="shared" ref="AO193:CK193" si="80">((((SUM(AO188:AO192))/2)-1))*4</f>
        <v>4</v>
      </c>
      <c r="AP193" s="20">
        <f t="shared" si="80"/>
        <v>4</v>
      </c>
      <c r="AQ193" s="20">
        <f t="shared" si="80"/>
        <v>8</v>
      </c>
      <c r="AR193" s="20">
        <f t="shared" si="80"/>
        <v>12</v>
      </c>
      <c r="AS193" s="20">
        <f t="shared" si="80"/>
        <v>12</v>
      </c>
      <c r="AT193" s="20">
        <f t="shared" si="80"/>
        <v>16</v>
      </c>
      <c r="AU193" s="20">
        <f t="shared" si="80"/>
        <v>20</v>
      </c>
      <c r="AV193" s="20">
        <f t="shared" si="80"/>
        <v>20</v>
      </c>
      <c r="AW193" s="20">
        <f t="shared" si="80"/>
        <v>24</v>
      </c>
      <c r="AX193" s="20">
        <f t="shared" si="80"/>
        <v>28</v>
      </c>
      <c r="AY193" s="20">
        <f t="shared" si="80"/>
        <v>28</v>
      </c>
      <c r="AZ193" s="20">
        <f t="shared" si="80"/>
        <v>32</v>
      </c>
      <c r="BA193" s="20">
        <f t="shared" si="80"/>
        <v>36</v>
      </c>
      <c r="BB193" s="20">
        <f t="shared" si="80"/>
        <v>36</v>
      </c>
      <c r="BC193" s="20">
        <f t="shared" si="80"/>
        <v>40</v>
      </c>
      <c r="BD193" s="20">
        <f t="shared" si="80"/>
        <v>40</v>
      </c>
      <c r="BE193" s="20">
        <f t="shared" si="80"/>
        <v>44</v>
      </c>
      <c r="BF193" s="20">
        <f t="shared" si="80"/>
        <v>48</v>
      </c>
      <c r="BG193" s="20">
        <f t="shared" si="80"/>
        <v>48</v>
      </c>
      <c r="BH193" s="20">
        <f t="shared" si="80"/>
        <v>52</v>
      </c>
      <c r="BI193" s="20">
        <f t="shared" si="80"/>
        <v>56</v>
      </c>
      <c r="BJ193" s="20">
        <f t="shared" si="80"/>
        <v>56</v>
      </c>
      <c r="BK193" s="20">
        <f t="shared" si="80"/>
        <v>60</v>
      </c>
      <c r="BL193" s="20">
        <f t="shared" si="80"/>
        <v>64</v>
      </c>
      <c r="BM193" s="20">
        <f t="shared" si="80"/>
        <v>64</v>
      </c>
      <c r="BN193" s="20">
        <f t="shared" si="80"/>
        <v>68</v>
      </c>
      <c r="BO193" s="20">
        <f t="shared" si="80"/>
        <v>72</v>
      </c>
      <c r="BP193" s="20">
        <f t="shared" si="80"/>
        <v>72</v>
      </c>
      <c r="BQ193" s="20">
        <f t="shared" si="80"/>
        <v>76</v>
      </c>
      <c r="BR193" s="20">
        <f t="shared" si="80"/>
        <v>76</v>
      </c>
      <c r="BS193" s="20">
        <f t="shared" si="80"/>
        <v>80</v>
      </c>
      <c r="BT193" s="20">
        <f t="shared" si="80"/>
        <v>84</v>
      </c>
      <c r="BU193" s="20">
        <f t="shared" si="80"/>
        <v>84</v>
      </c>
      <c r="BV193" s="20">
        <f t="shared" si="80"/>
        <v>88</v>
      </c>
      <c r="BW193" s="20">
        <f t="shared" si="80"/>
        <v>92</v>
      </c>
      <c r="BX193" s="20">
        <f t="shared" si="80"/>
        <v>92</v>
      </c>
      <c r="BY193" s="20">
        <f t="shared" si="80"/>
        <v>96</v>
      </c>
      <c r="BZ193" s="20">
        <f t="shared" si="80"/>
        <v>100</v>
      </c>
      <c r="CA193" s="20">
        <f t="shared" si="80"/>
        <v>100</v>
      </c>
      <c r="CB193" s="20">
        <f t="shared" si="80"/>
        <v>104</v>
      </c>
      <c r="CC193" s="20">
        <f t="shared" si="80"/>
        <v>104</v>
      </c>
      <c r="CD193" s="20">
        <f t="shared" si="80"/>
        <v>108</v>
      </c>
      <c r="CE193" s="20">
        <f t="shared" si="80"/>
        <v>112</v>
      </c>
      <c r="CF193" s="20">
        <f t="shared" si="80"/>
        <v>112</v>
      </c>
      <c r="CG193" s="20">
        <f t="shared" si="80"/>
        <v>116</v>
      </c>
      <c r="CH193" s="20">
        <f t="shared" si="80"/>
        <v>120</v>
      </c>
      <c r="CI193" s="20">
        <f t="shared" si="80"/>
        <v>120</v>
      </c>
      <c r="CJ193" s="20">
        <f t="shared" si="80"/>
        <v>124</v>
      </c>
      <c r="CK193" s="20">
        <f t="shared" si="80"/>
        <v>128</v>
      </c>
      <c r="CL193" s="20"/>
      <c r="CM193" s="20" t="s">
        <v>127</v>
      </c>
      <c r="CN193" s="20">
        <v>0</v>
      </c>
      <c r="CO193" s="20">
        <v>2</v>
      </c>
      <c r="CP193" s="20">
        <v>0</v>
      </c>
      <c r="CQ193" s="20">
        <v>4</v>
      </c>
      <c r="CR193" s="20">
        <v>2</v>
      </c>
      <c r="CS193" s="20">
        <v>0</v>
      </c>
      <c r="CT193" s="20">
        <v>4</v>
      </c>
      <c r="CU193" s="20">
        <v>2</v>
      </c>
      <c r="CV193" s="20">
        <v>0</v>
      </c>
      <c r="CW193" s="20">
        <v>4</v>
      </c>
      <c r="CX193" s="20">
        <v>2</v>
      </c>
      <c r="CY193" s="20">
        <v>0</v>
      </c>
      <c r="CZ193" s="20">
        <v>4</v>
      </c>
      <c r="DA193" s="20">
        <v>2</v>
      </c>
      <c r="DB193" s="20">
        <v>0</v>
      </c>
      <c r="DC193" s="20">
        <v>4</v>
      </c>
      <c r="DD193" s="20">
        <v>2</v>
      </c>
      <c r="DE193" s="20">
        <v>0</v>
      </c>
      <c r="DF193" s="20">
        <v>4</v>
      </c>
      <c r="DG193" s="20">
        <v>2</v>
      </c>
      <c r="DH193" s="20">
        <v>0</v>
      </c>
      <c r="DI193" s="20"/>
      <c r="DJ193" s="20"/>
      <c r="DK193" s="20"/>
      <c r="DL193" s="20"/>
      <c r="DM193" s="20"/>
      <c r="DN193" s="20"/>
      <c r="DO193" s="20"/>
      <c r="DP193" s="20"/>
      <c r="DQ193" s="20"/>
      <c r="DR193" s="20"/>
      <c r="DS193" s="20"/>
      <c r="DT193" s="20"/>
      <c r="DU193" s="20"/>
      <c r="DV193" s="20"/>
      <c r="DW193" s="20"/>
      <c r="DX193" s="20"/>
      <c r="DY193" s="20"/>
      <c r="DZ193" s="54"/>
      <c r="EA193" s="54"/>
      <c r="EB193" s="54"/>
      <c r="EC193" s="20"/>
      <c r="ED193" s="20"/>
      <c r="EE193" s="20"/>
      <c r="EF193" s="20"/>
      <c r="EG193" s="20"/>
      <c r="EH193" s="20"/>
      <c r="EI193" s="20"/>
      <c r="EJ193" s="20"/>
      <c r="EK193" s="20"/>
      <c r="EL193" s="20"/>
      <c r="EM193" s="20"/>
      <c r="EN193" s="20"/>
      <c r="EO193" s="20"/>
      <c r="EP193" s="20"/>
      <c r="EQ193" s="20"/>
      <c r="ER193" s="20"/>
      <c r="ES193" s="20"/>
      <c r="ET193" s="20"/>
      <c r="EU193" s="20"/>
      <c r="EV193" s="20" t="s">
        <v>9</v>
      </c>
      <c r="EW193" s="20">
        <v>0</v>
      </c>
      <c r="EX193" s="20">
        <v>0</v>
      </c>
      <c r="EY193" s="20">
        <v>0</v>
      </c>
      <c r="EZ193" s="20">
        <v>0</v>
      </c>
      <c r="FA193" s="20">
        <v>0</v>
      </c>
      <c r="FB193" s="20">
        <v>0</v>
      </c>
      <c r="FC193" s="20">
        <v>0</v>
      </c>
      <c r="FD193" s="20">
        <v>0</v>
      </c>
      <c r="FE193" s="20">
        <v>0</v>
      </c>
      <c r="FF193" s="20">
        <v>0</v>
      </c>
      <c r="FG193" s="20">
        <v>0</v>
      </c>
      <c r="FH193" s="20"/>
      <c r="FI193" s="20" t="s">
        <v>210</v>
      </c>
      <c r="FJ193" s="20">
        <v>0</v>
      </c>
      <c r="FK193" s="20">
        <v>0</v>
      </c>
      <c r="FL193" s="20">
        <f t="shared" ref="FL193:FL201" si="81">2*AK332</f>
        <v>0</v>
      </c>
      <c r="FM193" s="20">
        <v>0</v>
      </c>
      <c r="FN193" s="20">
        <v>0</v>
      </c>
      <c r="FO193" s="20">
        <v>0</v>
      </c>
      <c r="FP193" s="20">
        <v>0</v>
      </c>
      <c r="FQ193" s="20">
        <v>0</v>
      </c>
      <c r="FR193" s="20">
        <v>0</v>
      </c>
      <c r="FS193" s="20">
        <v>0</v>
      </c>
      <c r="FT193" s="20">
        <v>0</v>
      </c>
      <c r="FU193" s="20"/>
      <c r="FV193" s="20"/>
      <c r="FW193" s="20"/>
      <c r="FX193" s="20"/>
      <c r="FY193" s="20"/>
      <c r="FZ193" s="20"/>
      <c r="GA193" s="21" t="s">
        <v>132</v>
      </c>
      <c r="GB193" s="21"/>
      <c r="GC193" s="21"/>
      <c r="GD193" s="21"/>
      <c r="GE193" s="21"/>
      <c r="GF193" s="21"/>
      <c r="GG193" s="21"/>
      <c r="GH193" s="21"/>
      <c r="GI193" s="21"/>
      <c r="GJ193" s="21"/>
      <c r="GK193" s="21"/>
      <c r="GL193" s="21"/>
      <c r="GM193" s="21"/>
      <c r="GN193" s="21"/>
      <c r="GO193" s="21"/>
      <c r="GP193" s="21"/>
      <c r="GQ193" s="21"/>
      <c r="GR193" s="21"/>
      <c r="GS193" s="21"/>
      <c r="GT193" s="21"/>
      <c r="GU193" s="21"/>
      <c r="GV193" s="21"/>
      <c r="GW193" s="21"/>
      <c r="GX193" s="21"/>
      <c r="GY193" s="21"/>
      <c r="GZ193" s="21"/>
      <c r="HA193" s="21"/>
      <c r="HB193" s="21"/>
      <c r="HC193" s="21"/>
      <c r="HD193" s="21"/>
      <c r="HE193" s="21"/>
      <c r="HF193" s="21"/>
      <c r="HG193" s="21"/>
      <c r="HH193" s="21"/>
      <c r="HI193" s="21"/>
      <c r="HJ193" s="21"/>
      <c r="HK193" s="21"/>
      <c r="HL193" s="21"/>
      <c r="HM193" s="21"/>
      <c r="HN193" s="21"/>
      <c r="HO193" s="21"/>
      <c r="HP193" s="21"/>
      <c r="HQ193" s="21"/>
      <c r="HR193" s="21"/>
      <c r="HS193" s="21"/>
      <c r="HT193" s="21"/>
      <c r="HU193" s="21"/>
      <c r="HV193" s="21" t="s">
        <v>853</v>
      </c>
      <c r="HW193" s="21">
        <v>0</v>
      </c>
      <c r="HX193" s="21">
        <v>0</v>
      </c>
      <c r="HY193" s="21">
        <v>2</v>
      </c>
      <c r="HZ193" s="21">
        <v>2</v>
      </c>
      <c r="IA193" s="21">
        <v>4</v>
      </c>
      <c r="IB193" s="21">
        <v>6</v>
      </c>
      <c r="IC193" s="21">
        <v>8</v>
      </c>
      <c r="ID193" s="21">
        <v>8</v>
      </c>
      <c r="IE193" s="21">
        <v>10</v>
      </c>
      <c r="IF193" s="21">
        <v>12</v>
      </c>
      <c r="IG193" s="21">
        <v>14</v>
      </c>
      <c r="IH193" s="21">
        <v>14</v>
      </c>
      <c r="II193" s="21">
        <v>16</v>
      </c>
      <c r="IJ193" s="21">
        <v>18</v>
      </c>
      <c r="IK193" s="21">
        <v>18</v>
      </c>
      <c r="IL193" s="21">
        <v>20</v>
      </c>
      <c r="IM193" s="21">
        <v>22</v>
      </c>
      <c r="IN193" s="21">
        <v>24</v>
      </c>
      <c r="IO193" s="21">
        <v>24</v>
      </c>
      <c r="IP193" s="21">
        <v>26</v>
      </c>
      <c r="IQ193" s="21">
        <v>28</v>
      </c>
      <c r="IR193" s="21"/>
      <c r="IS193" s="21" t="s">
        <v>853</v>
      </c>
      <c r="IT193" s="21">
        <f t="shared" si="79"/>
        <v>0</v>
      </c>
      <c r="IU193" s="21">
        <f t="shared" si="79"/>
        <v>0</v>
      </c>
      <c r="IV193" s="21">
        <f t="shared" si="79"/>
        <v>4</v>
      </c>
      <c r="IW193" s="21">
        <f t="shared" si="79"/>
        <v>4</v>
      </c>
      <c r="IX193" s="21">
        <f t="shared" si="79"/>
        <v>8</v>
      </c>
      <c r="IY193" s="21">
        <f t="shared" si="79"/>
        <v>12</v>
      </c>
      <c r="IZ193" s="21">
        <f t="shared" si="79"/>
        <v>16</v>
      </c>
      <c r="JA193" s="21">
        <f t="shared" si="79"/>
        <v>16</v>
      </c>
      <c r="JB193" s="21">
        <f t="shared" si="79"/>
        <v>20</v>
      </c>
      <c r="JC193" s="21">
        <f t="shared" si="79"/>
        <v>24</v>
      </c>
      <c r="JD193" s="21">
        <f t="shared" si="79"/>
        <v>28</v>
      </c>
      <c r="JE193" s="21">
        <f t="shared" si="79"/>
        <v>28</v>
      </c>
      <c r="JF193" s="21">
        <f t="shared" si="79"/>
        <v>32</v>
      </c>
      <c r="JG193" s="21">
        <f t="shared" si="79"/>
        <v>36</v>
      </c>
      <c r="JH193" s="21">
        <f t="shared" si="79"/>
        <v>36</v>
      </c>
      <c r="JI193" s="21">
        <f t="shared" si="53"/>
        <v>40</v>
      </c>
      <c r="JJ193" s="21">
        <f t="shared" si="53"/>
        <v>44</v>
      </c>
      <c r="JK193" s="21">
        <f t="shared" si="53"/>
        <v>48</v>
      </c>
      <c r="JL193" s="21">
        <f t="shared" si="53"/>
        <v>48</v>
      </c>
      <c r="JM193" s="21">
        <f t="shared" si="53"/>
        <v>52</v>
      </c>
      <c r="JN193" s="21">
        <f t="shared" si="53"/>
        <v>56</v>
      </c>
      <c r="JO193" s="21"/>
      <c r="JP193" s="21"/>
      <c r="JQ193" s="21"/>
      <c r="JR193" s="21"/>
      <c r="JS193" s="21"/>
      <c r="JT193" s="21"/>
      <c r="JU193" s="21"/>
      <c r="JV193" s="21"/>
      <c r="JW193" s="21"/>
      <c r="JX193" s="21"/>
      <c r="JY193" s="21"/>
      <c r="JZ193" s="21"/>
      <c r="KA193" s="21"/>
      <c r="KB193" s="21"/>
      <c r="KC193" s="21"/>
      <c r="KD193" s="21"/>
      <c r="KE193" s="21"/>
      <c r="KF193" s="21"/>
      <c r="KG193" s="21"/>
      <c r="KH193" s="21"/>
    </row>
    <row r="194" spans="1:294" x14ac:dyDescent="0.25">
      <c r="A194" s="9"/>
      <c r="B194" s="6"/>
      <c r="C194" s="9"/>
      <c r="D194" s="9"/>
      <c r="E194" s="9"/>
      <c r="F194" s="9"/>
      <c r="G194" s="9"/>
      <c r="H194" s="9"/>
      <c r="I194" s="9"/>
      <c r="J194" s="9"/>
      <c r="K194" s="9"/>
      <c r="L194" s="6" t="str">
        <f>IF(E182="balastowa","PBKD40MC",IF(E182="kotwiona","-------",0))</f>
        <v>PBKD40MC</v>
      </c>
      <c r="M194" s="11">
        <f>INDEX(cennik!$C$2:$L$529,MATCH($L194,cennik!$B$2:$B$522,0),MATCH(M$104,cennik!$C$1:$L$1,0))</f>
        <v>858441</v>
      </c>
      <c r="N194" s="11" t="str">
        <f>INDEX(cennik!$C$2:$L$529,MATCH($L194,cennik!$B$2:$B$522,0),MATCH(N$104,cennik!$C$1:$L$1,0))</f>
        <v>szt.</v>
      </c>
      <c r="O194" s="11">
        <f>IF(E182=Z104,O186*3,IF(E182=Z105,0,0))</f>
        <v>0</v>
      </c>
      <c r="P194" s="34">
        <f>INDEX(cennik!$C$2:$L$529,MATCH($L194,cennik!$B$2:$B$522,0),MATCH(P$104,cennik!$C$1:$L$1,0))</f>
        <v>34.47</v>
      </c>
      <c r="Q194" s="34">
        <f t="shared" si="76"/>
        <v>0</v>
      </c>
      <c r="R194" s="35">
        <f t="shared" si="74"/>
        <v>0</v>
      </c>
      <c r="S194" s="34">
        <f t="shared" si="75"/>
        <v>34.47</v>
      </c>
      <c r="T194" s="34">
        <f t="shared" si="77"/>
        <v>0</v>
      </c>
      <c r="U194" s="34">
        <f>INDEX(cennik!$C$2:$L$529,MATCH($L194,cennik!$B$2:$B$522,0),MATCH(U$104,cennik!$C$1:$L$1,0))*O194</f>
        <v>0</v>
      </c>
      <c r="V194" s="20"/>
      <c r="W194" s="20"/>
      <c r="X194" s="20"/>
      <c r="Y194" s="26">
        <v>34</v>
      </c>
      <c r="Z194" s="20"/>
      <c r="AA194" s="20"/>
      <c r="AB194" s="20" t="s">
        <v>110</v>
      </c>
      <c r="AC194" s="20" t="s">
        <v>67</v>
      </c>
      <c r="AD194" s="20">
        <v>34</v>
      </c>
      <c r="AE194" s="20" t="s">
        <v>40</v>
      </c>
      <c r="AF194" s="20" t="s">
        <v>1293</v>
      </c>
      <c r="AG194" s="188" t="s">
        <v>151</v>
      </c>
      <c r="AH194" s="188" t="s">
        <v>151</v>
      </c>
      <c r="AI194" s="20" t="s">
        <v>14</v>
      </c>
      <c r="AJ194" s="20"/>
      <c r="AK194" s="20"/>
      <c r="AL194" s="20"/>
      <c r="AM194" s="20"/>
      <c r="AN194" s="20"/>
      <c r="AO194" s="20"/>
      <c r="AP194" s="20"/>
      <c r="AQ194" s="20"/>
      <c r="AR194" s="20"/>
      <c r="AS194" s="20"/>
      <c r="AT194" s="20"/>
      <c r="AU194" s="20"/>
      <c r="AV194" s="20"/>
      <c r="AW194" s="20"/>
      <c r="AX194" s="20"/>
      <c r="AY194" s="20"/>
      <c r="AZ194" s="20"/>
      <c r="BA194" s="20"/>
      <c r="BB194" s="20"/>
      <c r="BC194" s="20"/>
      <c r="BD194" s="20"/>
      <c r="BE194" s="20"/>
      <c r="BF194" s="20"/>
      <c r="BG194" s="20"/>
      <c r="BH194" s="20"/>
      <c r="BI194" s="20"/>
      <c r="BJ194" s="20"/>
      <c r="BK194" s="20"/>
      <c r="BL194" s="20"/>
      <c r="BM194" s="20"/>
      <c r="BN194" s="20"/>
      <c r="BO194" s="20"/>
      <c r="BP194" s="20"/>
      <c r="BQ194" s="20"/>
      <c r="BR194" s="20"/>
      <c r="BS194" s="20"/>
      <c r="BT194" s="20"/>
      <c r="BU194" s="20"/>
      <c r="BV194" s="20"/>
      <c r="BW194" s="20"/>
      <c r="BX194" s="20"/>
      <c r="BY194" s="20"/>
      <c r="BZ194" s="20"/>
      <c r="CA194" s="20"/>
      <c r="CB194" s="20"/>
      <c r="CC194" s="20"/>
      <c r="CD194" s="20"/>
      <c r="CE194" s="20"/>
      <c r="CF194" s="20"/>
      <c r="CG194" s="20"/>
      <c r="CH194" s="20"/>
      <c r="CI194" s="20"/>
      <c r="CJ194" s="20"/>
      <c r="CK194" s="20"/>
      <c r="CL194" s="20"/>
      <c r="CM194" s="20" t="s">
        <v>19</v>
      </c>
      <c r="CN194" s="20">
        <v>0</v>
      </c>
      <c r="CO194" s="20">
        <v>0</v>
      </c>
      <c r="CP194" s="20">
        <v>2</v>
      </c>
      <c r="CQ194" s="20">
        <v>0</v>
      </c>
      <c r="CR194" s="20">
        <v>2</v>
      </c>
      <c r="CS194" s="20">
        <v>4</v>
      </c>
      <c r="CT194" s="20">
        <v>2</v>
      </c>
      <c r="CU194" s="20">
        <v>4</v>
      </c>
      <c r="CV194" s="20">
        <v>6</v>
      </c>
      <c r="CW194" s="20">
        <v>4</v>
      </c>
      <c r="CX194" s="20">
        <v>6</v>
      </c>
      <c r="CY194" s="20">
        <v>8</v>
      </c>
      <c r="CZ194" s="20">
        <v>6</v>
      </c>
      <c r="DA194" s="20">
        <v>8</v>
      </c>
      <c r="DB194" s="20">
        <v>10</v>
      </c>
      <c r="DC194" s="20">
        <v>8</v>
      </c>
      <c r="DD194" s="20">
        <v>10</v>
      </c>
      <c r="DE194" s="20">
        <v>12</v>
      </c>
      <c r="DF194" s="20">
        <v>10</v>
      </c>
      <c r="DG194" s="20">
        <v>12</v>
      </c>
      <c r="DH194" s="20">
        <v>14</v>
      </c>
      <c r="DI194" s="20"/>
      <c r="DJ194" s="20"/>
      <c r="DK194" s="20"/>
      <c r="DL194" s="20"/>
      <c r="DM194" s="20"/>
      <c r="DN194" s="20"/>
      <c r="DO194" s="20"/>
      <c r="DP194" s="20"/>
      <c r="DQ194" s="20"/>
      <c r="DR194" s="20"/>
      <c r="DS194" s="20"/>
      <c r="DT194" s="20"/>
      <c r="DU194" s="20"/>
      <c r="DV194" s="20"/>
      <c r="DW194" s="20"/>
      <c r="DX194" s="20"/>
      <c r="DY194" s="20"/>
      <c r="DZ194" s="54"/>
      <c r="EA194" s="54"/>
      <c r="EB194" s="54"/>
      <c r="EC194" s="20"/>
      <c r="ED194" s="20"/>
      <c r="EE194" s="20"/>
      <c r="EF194" s="20"/>
      <c r="EG194" s="20"/>
      <c r="EH194" s="20"/>
      <c r="EI194" s="20"/>
      <c r="EJ194" s="20"/>
      <c r="EK194" s="20"/>
      <c r="EL194" s="20"/>
      <c r="EM194" s="20"/>
      <c r="EN194" s="20"/>
      <c r="EO194" s="20"/>
      <c r="EP194" s="20"/>
      <c r="EQ194" s="20"/>
      <c r="ER194" s="20"/>
      <c r="ES194" s="20"/>
      <c r="ET194" s="20"/>
      <c r="EU194" s="20"/>
      <c r="EV194" s="20" t="s">
        <v>208</v>
      </c>
      <c r="EW194" s="20">
        <v>0</v>
      </c>
      <c r="EX194" s="20">
        <v>0</v>
      </c>
      <c r="EY194" s="20">
        <v>0</v>
      </c>
      <c r="EZ194" s="20">
        <v>0</v>
      </c>
      <c r="FA194" s="20">
        <v>0</v>
      </c>
      <c r="FB194" s="20">
        <v>0</v>
      </c>
      <c r="FC194" s="20">
        <v>0</v>
      </c>
      <c r="FD194" s="20">
        <v>2</v>
      </c>
      <c r="FE194" s="20">
        <v>0</v>
      </c>
      <c r="FF194" s="20">
        <v>0</v>
      </c>
      <c r="FG194" s="20">
        <v>0</v>
      </c>
      <c r="FH194" s="20"/>
      <c r="FI194" s="20" t="s">
        <v>9</v>
      </c>
      <c r="FJ194" s="20">
        <v>0</v>
      </c>
      <c r="FK194" s="20">
        <v>0</v>
      </c>
      <c r="FL194" s="20">
        <f t="shared" si="81"/>
        <v>0</v>
      </c>
      <c r="FM194" s="20">
        <v>0</v>
      </c>
      <c r="FN194" s="20">
        <v>2</v>
      </c>
      <c r="FO194" s="20">
        <v>0</v>
      </c>
      <c r="FP194" s="20">
        <v>2</v>
      </c>
      <c r="FQ194" s="20">
        <v>0</v>
      </c>
      <c r="FR194" s="20">
        <v>0</v>
      </c>
      <c r="FS194" s="20">
        <v>0</v>
      </c>
      <c r="FT194" s="20">
        <v>0</v>
      </c>
      <c r="FU194" s="20"/>
      <c r="FV194" s="20"/>
      <c r="FW194" s="20"/>
      <c r="FX194" s="20"/>
      <c r="FY194" s="20"/>
      <c r="FZ194" s="20"/>
      <c r="GA194" s="21"/>
      <c r="GB194" s="21">
        <v>0</v>
      </c>
      <c r="GC194" s="21">
        <v>1</v>
      </c>
      <c r="GD194" s="21">
        <v>2</v>
      </c>
      <c r="GE194" s="21">
        <v>3</v>
      </c>
      <c r="GF194" s="21">
        <v>4</v>
      </c>
      <c r="GG194" s="21">
        <v>5</v>
      </c>
      <c r="GH194" s="21">
        <v>6</v>
      </c>
      <c r="GI194" s="21">
        <v>7</v>
      </c>
      <c r="GJ194" s="21">
        <v>8</v>
      </c>
      <c r="GK194" s="21">
        <v>9</v>
      </c>
      <c r="GL194" s="21">
        <v>10</v>
      </c>
      <c r="GM194" s="21">
        <v>11</v>
      </c>
      <c r="GN194" s="21">
        <v>12</v>
      </c>
      <c r="GO194" s="21">
        <v>13</v>
      </c>
      <c r="GP194" s="21">
        <v>14</v>
      </c>
      <c r="GQ194" s="21">
        <v>15</v>
      </c>
      <c r="GR194" s="21">
        <v>16</v>
      </c>
      <c r="GS194" s="21">
        <v>17</v>
      </c>
      <c r="GT194" s="21">
        <v>18</v>
      </c>
      <c r="GU194" s="21">
        <v>19</v>
      </c>
      <c r="GV194" s="21">
        <v>20</v>
      </c>
      <c r="GW194" s="21"/>
      <c r="GX194" s="21" t="s">
        <v>507</v>
      </c>
      <c r="GY194" s="21"/>
      <c r="GZ194" s="21"/>
      <c r="HA194" s="21"/>
      <c r="HB194" s="21"/>
      <c r="HC194" s="21"/>
      <c r="HD194" s="21"/>
      <c r="HE194" s="21"/>
      <c r="HF194" s="21"/>
      <c r="HG194" s="21"/>
      <c r="HH194" s="21"/>
      <c r="HI194" s="21"/>
      <c r="HJ194" s="21"/>
      <c r="HK194" s="21"/>
      <c r="HL194" s="21"/>
      <c r="HM194" s="21"/>
      <c r="HN194" s="21"/>
      <c r="HO194" s="21"/>
      <c r="HP194" s="21"/>
      <c r="HQ194" s="21"/>
      <c r="HR194" s="21"/>
      <c r="HS194" s="21"/>
      <c r="HT194" s="21"/>
      <c r="HU194" s="21"/>
      <c r="HV194" s="186"/>
      <c r="HW194" s="21"/>
      <c r="HX194" s="21"/>
      <c r="HY194" s="21"/>
      <c r="HZ194" s="21"/>
      <c r="IA194" s="21"/>
      <c r="IB194" s="21"/>
      <c r="IC194" s="21"/>
      <c r="ID194" s="21"/>
      <c r="IE194" s="21"/>
      <c r="IF194" s="21"/>
      <c r="IG194" s="21"/>
      <c r="IH194" s="21"/>
      <c r="II194" s="21"/>
      <c r="IJ194" s="21"/>
      <c r="IK194" s="21"/>
      <c r="IL194" s="21"/>
      <c r="IM194" s="21"/>
      <c r="IN194" s="21"/>
      <c r="IO194" s="21"/>
      <c r="IP194" s="21"/>
      <c r="IQ194" s="21"/>
      <c r="IR194" s="21"/>
      <c r="IS194" s="21"/>
      <c r="IT194" s="21"/>
      <c r="IU194" s="21"/>
      <c r="IV194" s="21"/>
      <c r="IW194" s="21"/>
      <c r="IX194" s="21"/>
      <c r="IY194" s="21"/>
      <c r="IZ194" s="21"/>
      <c r="JA194" s="21"/>
      <c r="JB194" s="21"/>
      <c r="JC194" s="21"/>
      <c r="JD194" s="21"/>
      <c r="JE194" s="21"/>
      <c r="JF194" s="21"/>
      <c r="JG194" s="21"/>
      <c r="JH194" s="21"/>
      <c r="JI194" s="21"/>
      <c r="JJ194" s="21"/>
      <c r="JK194" s="21"/>
      <c r="JL194" s="21"/>
      <c r="JM194" s="21"/>
      <c r="JN194" s="21"/>
      <c r="JO194" s="21"/>
      <c r="JP194" s="21"/>
      <c r="JQ194" s="21"/>
      <c r="JR194" s="21"/>
      <c r="JS194" s="21"/>
      <c r="JT194" s="21"/>
      <c r="JU194" s="21"/>
      <c r="JV194" s="21"/>
      <c r="JW194" s="21"/>
      <c r="JX194" s="21"/>
      <c r="JY194" s="21"/>
      <c r="JZ194" s="21"/>
      <c r="KA194" s="21"/>
      <c r="KB194" s="21"/>
      <c r="KC194" s="21"/>
      <c r="KD194" s="21"/>
      <c r="KE194" s="21"/>
      <c r="KF194" s="21"/>
      <c r="KG194" s="21"/>
      <c r="KH194" s="21"/>
    </row>
    <row r="195" spans="1:294" x14ac:dyDescent="0.25">
      <c r="A195" s="9"/>
      <c r="B195" s="9"/>
      <c r="C195" s="9"/>
      <c r="D195" s="9"/>
      <c r="E195" s="9"/>
      <c r="F195" s="9"/>
      <c r="G195" s="9"/>
      <c r="H195" s="9"/>
      <c r="I195" s="9"/>
      <c r="J195" s="9"/>
      <c r="K195" s="9"/>
      <c r="L195" s="6" t="s">
        <v>406</v>
      </c>
      <c r="M195" s="11">
        <f>INDEX(cennik!$C$2:$L$529,MATCH($L195,cennik!$B$2:$B$522,0),MATCH(M$104,cennik!$C$1:$L$1,0))</f>
        <v>991020</v>
      </c>
      <c r="N195" s="11" t="str">
        <f>INDEX(cennik!$C$2:$L$529,MATCH($L195,cennik!$B$2:$B$522,0),MATCH(N$104,cennik!$C$1:$L$1,0))</f>
        <v>100 szt.</v>
      </c>
      <c r="O195" s="11">
        <f>ROUNDUP((IF(E182=Z104,((O188*5)+(SUM(X167:X182)*2)+(O194*2)),IF(E182=Z105,((O188*5)+(SUM(X167:X182)*2)),0)))/100,0)</f>
        <v>0</v>
      </c>
      <c r="P195" s="34">
        <f>INDEX(cennik!$C$2:$L$529,MATCH($L195,cennik!$B$2:$B$522,0),MATCH(P$104,cennik!$C$1:$L$1,0))</f>
        <v>69.75</v>
      </c>
      <c r="Q195" s="34">
        <f t="shared" si="76"/>
        <v>0</v>
      </c>
      <c r="R195" s="35">
        <f t="shared" si="74"/>
        <v>0</v>
      </c>
      <c r="S195" s="34">
        <f t="shared" si="75"/>
        <v>69.75</v>
      </c>
      <c r="T195" s="34">
        <f t="shared" si="77"/>
        <v>0</v>
      </c>
      <c r="U195" s="34">
        <f>INDEX(cennik!$C$2:$L$529,MATCH($L195,cennik!$B$2:$B$522,0),MATCH(U$104,cennik!$C$1:$L$1,0))*O195</f>
        <v>0</v>
      </c>
      <c r="V195" s="20"/>
      <c r="W195" s="20"/>
      <c r="X195" s="20"/>
      <c r="Y195" s="26">
        <v>35</v>
      </c>
      <c r="Z195" s="20" t="s">
        <v>29</v>
      </c>
      <c r="AA195" s="20" t="s">
        <v>30</v>
      </c>
      <c r="AB195" s="20" t="s">
        <v>110</v>
      </c>
      <c r="AC195" s="20" t="s">
        <v>67</v>
      </c>
      <c r="AD195" s="20">
        <v>35</v>
      </c>
      <c r="AE195" s="20" t="s">
        <v>41</v>
      </c>
      <c r="AF195" s="20" t="s">
        <v>42</v>
      </c>
      <c r="AG195" s="188" t="s">
        <v>151</v>
      </c>
      <c r="AH195" s="188" t="s">
        <v>151</v>
      </c>
      <c r="AI195" s="20" t="s">
        <v>14</v>
      </c>
      <c r="AJ195" s="20"/>
      <c r="AK195" s="20"/>
      <c r="AL195" s="20"/>
      <c r="AM195" s="20">
        <v>0</v>
      </c>
      <c r="AN195" s="20">
        <v>2</v>
      </c>
      <c r="AO195" s="20">
        <v>4</v>
      </c>
      <c r="AP195" s="20">
        <v>6</v>
      </c>
      <c r="AQ195" s="20">
        <v>8</v>
      </c>
      <c r="AR195" s="20">
        <v>10</v>
      </c>
      <c r="AS195" s="20">
        <v>12</v>
      </c>
      <c r="AT195" s="20">
        <v>14</v>
      </c>
      <c r="AU195" s="20">
        <v>16</v>
      </c>
      <c r="AV195" s="20">
        <v>18</v>
      </c>
      <c r="AW195" s="20">
        <v>20</v>
      </c>
      <c r="AX195" s="20">
        <v>22</v>
      </c>
      <c r="AY195" s="20">
        <v>24</v>
      </c>
      <c r="AZ195" s="20">
        <v>26</v>
      </c>
      <c r="BA195" s="20">
        <v>28</v>
      </c>
      <c r="BB195" s="20">
        <v>30</v>
      </c>
      <c r="BC195" s="20">
        <v>32</v>
      </c>
      <c r="BD195" s="20">
        <v>34</v>
      </c>
      <c r="BE195" s="20">
        <v>36</v>
      </c>
      <c r="BF195" s="20">
        <v>38</v>
      </c>
      <c r="BG195" s="20">
        <v>40</v>
      </c>
      <c r="BH195" s="20">
        <v>42</v>
      </c>
      <c r="BI195" s="20">
        <v>44</v>
      </c>
      <c r="BJ195" s="20">
        <v>46</v>
      </c>
      <c r="BK195" s="20">
        <v>48</v>
      </c>
      <c r="BL195" s="20">
        <v>50</v>
      </c>
      <c r="BM195" s="20"/>
      <c r="BN195" s="20"/>
      <c r="BO195" s="20"/>
      <c r="BP195" s="20"/>
      <c r="BQ195" s="20"/>
      <c r="BR195" s="20"/>
      <c r="BS195" s="20"/>
      <c r="BT195" s="20"/>
      <c r="BU195" s="20"/>
      <c r="BV195" s="20"/>
      <c r="BW195" s="20"/>
      <c r="BX195" s="20"/>
      <c r="BY195" s="20"/>
      <c r="BZ195" s="20"/>
      <c r="CA195" s="20"/>
      <c r="CB195" s="20"/>
      <c r="CC195" s="20"/>
      <c r="CD195" s="20"/>
      <c r="CE195" s="20"/>
      <c r="CF195" s="20"/>
      <c r="CG195" s="20"/>
      <c r="CH195" s="20"/>
      <c r="CI195" s="20"/>
      <c r="CJ195" s="20"/>
      <c r="CK195" s="20"/>
      <c r="CL195" s="20"/>
      <c r="CM195" s="20" t="s">
        <v>408</v>
      </c>
      <c r="CN195" s="20">
        <v>0</v>
      </c>
      <c r="CO195" s="20">
        <v>0</v>
      </c>
      <c r="CP195" s="20">
        <v>0</v>
      </c>
      <c r="CQ195" s="20">
        <v>4</v>
      </c>
      <c r="CR195" s="20">
        <v>4</v>
      </c>
      <c r="CS195" s="20">
        <v>4</v>
      </c>
      <c r="CT195" s="20">
        <v>8</v>
      </c>
      <c r="CU195" s="20">
        <v>8</v>
      </c>
      <c r="CV195" s="20">
        <v>8</v>
      </c>
      <c r="CW195" s="20">
        <v>12</v>
      </c>
      <c r="CX195" s="20">
        <v>12</v>
      </c>
      <c r="CY195" s="20">
        <v>12</v>
      </c>
      <c r="CZ195" s="20">
        <v>16</v>
      </c>
      <c r="DA195" s="20">
        <v>16</v>
      </c>
      <c r="DB195" s="20">
        <v>16</v>
      </c>
      <c r="DC195" s="20">
        <v>20</v>
      </c>
      <c r="DD195" s="20">
        <v>20</v>
      </c>
      <c r="DE195" s="20">
        <v>20</v>
      </c>
      <c r="DF195" s="20">
        <v>24</v>
      </c>
      <c r="DG195" s="20">
        <v>24</v>
      </c>
      <c r="DH195" s="20">
        <v>24</v>
      </c>
      <c r="DI195" s="20"/>
      <c r="DJ195" s="20"/>
      <c r="DK195" s="20"/>
      <c r="DL195" s="20"/>
      <c r="DM195" s="20"/>
      <c r="DN195" s="20"/>
      <c r="DO195" s="20"/>
      <c r="DP195" s="20"/>
      <c r="DQ195" s="20"/>
      <c r="DR195" s="20"/>
      <c r="DS195" s="20"/>
      <c r="DT195" s="20"/>
      <c r="DU195" s="20"/>
      <c r="DV195" s="20"/>
      <c r="DW195" s="20"/>
      <c r="DX195" s="20"/>
      <c r="DY195" s="20"/>
      <c r="DZ195" s="54"/>
      <c r="EA195" s="54"/>
      <c r="EB195" s="54"/>
      <c r="EC195" s="20"/>
      <c r="ED195" s="20"/>
      <c r="EE195" s="20"/>
      <c r="EF195" s="20"/>
      <c r="EG195" s="20"/>
      <c r="EH195" s="20"/>
      <c r="EI195" s="20"/>
      <c r="EJ195" s="20"/>
      <c r="EK195" s="20"/>
      <c r="EL195" s="20"/>
      <c r="EM195" s="20"/>
      <c r="EN195" s="20"/>
      <c r="EO195" s="20"/>
      <c r="EP195" s="20"/>
      <c r="EQ195" s="20"/>
      <c r="ER195" s="20"/>
      <c r="ES195" s="20"/>
      <c r="ET195" s="20"/>
      <c r="EU195" s="20"/>
      <c r="EV195" s="20" t="s">
        <v>211</v>
      </c>
      <c r="EW195" s="20">
        <v>0</v>
      </c>
      <c r="EX195" s="20">
        <v>2</v>
      </c>
      <c r="EY195" s="20">
        <v>0</v>
      </c>
      <c r="EZ195" s="20">
        <v>2</v>
      </c>
      <c r="FA195" s="20">
        <v>0</v>
      </c>
      <c r="FB195" s="20">
        <v>2</v>
      </c>
      <c r="FC195" s="20">
        <v>0</v>
      </c>
      <c r="FD195" s="20">
        <v>0</v>
      </c>
      <c r="FE195" s="20">
        <v>0</v>
      </c>
      <c r="FF195" s="20">
        <v>0</v>
      </c>
      <c r="FG195" s="20">
        <v>0</v>
      </c>
      <c r="FH195" s="20"/>
      <c r="FI195" s="20" t="s">
        <v>208</v>
      </c>
      <c r="FJ195" s="20">
        <v>0</v>
      </c>
      <c r="FK195" s="20">
        <v>0</v>
      </c>
      <c r="FL195" s="20">
        <f t="shared" si="81"/>
        <v>0</v>
      </c>
      <c r="FM195" s="20">
        <v>0</v>
      </c>
      <c r="FN195" s="20">
        <v>0</v>
      </c>
      <c r="FO195" s="20">
        <v>0</v>
      </c>
      <c r="FP195" s="20">
        <v>0</v>
      </c>
      <c r="FQ195" s="20">
        <v>0</v>
      </c>
      <c r="FR195" s="20">
        <v>0</v>
      </c>
      <c r="FS195" s="20">
        <v>0</v>
      </c>
      <c r="FT195" s="20">
        <v>0</v>
      </c>
      <c r="FU195" s="20"/>
      <c r="FV195" s="20"/>
      <c r="FW195" s="20"/>
      <c r="FX195" s="20"/>
      <c r="FY195" s="20"/>
      <c r="FZ195" s="20"/>
      <c r="GA195" s="347" t="s">
        <v>866</v>
      </c>
      <c r="GB195" s="21">
        <v>0</v>
      </c>
      <c r="GC195" s="21">
        <v>1</v>
      </c>
      <c r="GD195" s="21">
        <v>1</v>
      </c>
      <c r="GE195" s="21">
        <v>1</v>
      </c>
      <c r="GF195" s="21">
        <v>1</v>
      </c>
      <c r="GG195" s="21">
        <v>2</v>
      </c>
      <c r="GH195" s="21">
        <v>2</v>
      </c>
      <c r="GI195" s="21">
        <v>3</v>
      </c>
      <c r="GJ195" s="21">
        <v>3</v>
      </c>
      <c r="GK195" s="21">
        <v>4</v>
      </c>
      <c r="GL195" s="21">
        <v>4</v>
      </c>
      <c r="GM195" s="21">
        <v>5</v>
      </c>
      <c r="GN195" s="21">
        <v>5</v>
      </c>
      <c r="GO195" s="21">
        <v>0</v>
      </c>
      <c r="GP195" s="21">
        <v>0</v>
      </c>
      <c r="GQ195" s="21">
        <v>1</v>
      </c>
      <c r="GR195" s="21">
        <v>1</v>
      </c>
      <c r="GS195" s="21">
        <v>2</v>
      </c>
      <c r="GT195" s="21">
        <v>2</v>
      </c>
      <c r="GU195" s="21">
        <v>2</v>
      </c>
      <c r="GV195" s="21">
        <v>3</v>
      </c>
      <c r="GW195" s="21"/>
      <c r="GX195" s="21"/>
      <c r="GY195" s="21">
        <v>0</v>
      </c>
      <c r="GZ195" s="21">
        <v>1</v>
      </c>
      <c r="HA195" s="21">
        <v>2</v>
      </c>
      <c r="HB195" s="21">
        <v>3</v>
      </c>
      <c r="HC195" s="21">
        <v>4</v>
      </c>
      <c r="HD195" s="21">
        <v>5</v>
      </c>
      <c r="HE195" s="21">
        <v>6</v>
      </c>
      <c r="HF195" s="21">
        <v>7</v>
      </c>
      <c r="HG195" s="21">
        <v>8</v>
      </c>
      <c r="HH195" s="21">
        <v>9</v>
      </c>
      <c r="HI195" s="21">
        <v>10</v>
      </c>
      <c r="HJ195" s="21">
        <v>11</v>
      </c>
      <c r="HK195" s="21">
        <v>12</v>
      </c>
      <c r="HL195" s="21">
        <v>13</v>
      </c>
      <c r="HM195" s="21">
        <v>14</v>
      </c>
      <c r="HN195" s="21">
        <v>15</v>
      </c>
      <c r="HO195" s="21">
        <v>16</v>
      </c>
      <c r="HP195" s="21">
        <v>17</v>
      </c>
      <c r="HQ195" s="21">
        <v>18</v>
      </c>
      <c r="HR195" s="21">
        <v>19</v>
      </c>
      <c r="HS195" s="21">
        <v>20</v>
      </c>
      <c r="HT195" s="21"/>
      <c r="HU195" s="21"/>
      <c r="HV195" s="186" t="s">
        <v>764</v>
      </c>
      <c r="HW195" s="21"/>
      <c r="HX195" s="21"/>
      <c r="HY195" s="21"/>
      <c r="HZ195" s="21"/>
      <c r="IA195" s="21"/>
      <c r="IB195" s="21"/>
      <c r="IC195" s="21"/>
      <c r="ID195" s="21"/>
      <c r="IE195" s="21"/>
      <c r="IF195" s="21"/>
      <c r="IG195" s="21"/>
      <c r="IH195" s="21"/>
      <c r="II195" s="21"/>
      <c r="IJ195" s="21"/>
      <c r="IK195" s="21"/>
      <c r="IL195" s="21"/>
      <c r="IM195" s="21"/>
      <c r="IN195" s="21"/>
      <c r="IO195" s="21"/>
      <c r="IP195" s="21"/>
      <c r="IQ195" s="21"/>
      <c r="IR195" s="21"/>
      <c r="IS195" s="21" t="s">
        <v>764</v>
      </c>
      <c r="IT195" s="21"/>
      <c r="IU195" s="21"/>
      <c r="IV195" s="21"/>
      <c r="IW195" s="21"/>
      <c r="IX195" s="21"/>
      <c r="IY195" s="21"/>
      <c r="IZ195" s="21"/>
      <c r="JA195" s="21"/>
      <c r="JB195" s="21"/>
      <c r="JC195" s="21"/>
      <c r="JD195" s="21"/>
      <c r="JE195" s="21"/>
      <c r="JF195" s="21"/>
      <c r="JG195" s="21"/>
      <c r="JH195" s="21"/>
      <c r="JI195" s="21"/>
      <c r="JJ195" s="21"/>
      <c r="JK195" s="21"/>
      <c r="JL195" s="21"/>
      <c r="JM195" s="21"/>
      <c r="JN195" s="21"/>
      <c r="JO195" s="21"/>
      <c r="JP195" s="21"/>
      <c r="JQ195" s="21"/>
      <c r="JR195" s="21"/>
      <c r="JS195" s="21"/>
      <c r="JT195" s="21"/>
      <c r="JU195" s="21"/>
      <c r="JV195" s="21"/>
      <c r="JW195" s="21"/>
      <c r="JX195" s="21"/>
      <c r="JY195" s="21"/>
      <c r="JZ195" s="21"/>
      <c r="KA195" s="21"/>
      <c r="KB195" s="21"/>
      <c r="KC195" s="21"/>
      <c r="KD195" s="21"/>
      <c r="KE195" s="21"/>
      <c r="KF195" s="21"/>
      <c r="KG195" s="21"/>
      <c r="KH195" s="21"/>
    </row>
    <row r="196" spans="1:294" x14ac:dyDescent="0.25">
      <c r="A196" s="9"/>
      <c r="B196" s="9"/>
      <c r="C196" s="9"/>
      <c r="D196" s="9"/>
      <c r="E196" s="9"/>
      <c r="F196" s="9"/>
      <c r="G196" s="9"/>
      <c r="H196" s="9"/>
      <c r="I196" s="9"/>
      <c r="J196" s="9"/>
      <c r="K196" s="9"/>
      <c r="L196" s="6" t="s">
        <v>65</v>
      </c>
      <c r="M196" s="11">
        <f>INDEX(cennik!$C$2:$L$529,MATCH($L196,cennik!$B$2:$B$522,0),MATCH(M$104,cennik!$C$1:$L$1,0))</f>
        <v>890009</v>
      </c>
      <c r="N196" s="11" t="str">
        <f>INDEX(cennik!$C$2:$L$529,MATCH($L196,cennik!$B$2:$B$522,0),MATCH(N$104,cennik!$C$1:$L$1,0))</f>
        <v>100 szt.</v>
      </c>
      <c r="O196" s="11">
        <f>O195</f>
        <v>0</v>
      </c>
      <c r="P196" s="34">
        <f>INDEX(cennik!$C$2:$L$529,MATCH($L196,cennik!$B$2:$B$522,0),MATCH(P$104,cennik!$C$1:$L$1,0))</f>
        <v>46.15</v>
      </c>
      <c r="Q196" s="34">
        <f t="shared" si="76"/>
        <v>0</v>
      </c>
      <c r="R196" s="35">
        <f t="shared" si="74"/>
        <v>0</v>
      </c>
      <c r="S196" s="34">
        <f t="shared" si="75"/>
        <v>46.15</v>
      </c>
      <c r="T196" s="34">
        <f t="shared" si="77"/>
        <v>0</v>
      </c>
      <c r="U196" s="34">
        <f>INDEX(cennik!$C$2:$L$529,MATCH($L196,cennik!$B$2:$B$522,0),MATCH(U$104,cennik!$C$1:$L$1,0))*O196</f>
        <v>0</v>
      </c>
      <c r="V196" s="20"/>
      <c r="W196" s="20"/>
      <c r="X196" s="20"/>
      <c r="Y196" s="26">
        <v>38</v>
      </c>
      <c r="Z196" s="20" t="s">
        <v>31</v>
      </c>
      <c r="AA196" s="20"/>
      <c r="AB196" s="20" t="s">
        <v>110</v>
      </c>
      <c r="AC196" s="20" t="s">
        <v>67</v>
      </c>
      <c r="AD196" s="20">
        <v>38</v>
      </c>
      <c r="AE196" s="20" t="s">
        <v>43</v>
      </c>
      <c r="AF196" s="20" t="s">
        <v>1294</v>
      </c>
      <c r="AG196" s="188" t="s">
        <v>151</v>
      </c>
      <c r="AH196" s="188" t="s">
        <v>151</v>
      </c>
      <c r="AI196" s="20" t="s">
        <v>14</v>
      </c>
      <c r="AJ196" s="20"/>
      <c r="AK196" s="20"/>
      <c r="AL196" s="20"/>
      <c r="AM196" s="20"/>
      <c r="AN196" s="20"/>
      <c r="AO196" s="20"/>
      <c r="AP196" s="20"/>
      <c r="AQ196" s="20"/>
      <c r="AR196" s="20"/>
      <c r="AS196" s="20"/>
      <c r="AT196" s="20"/>
      <c r="AU196" s="20"/>
      <c r="AV196" s="20"/>
      <c r="AW196" s="20"/>
      <c r="AX196" s="20"/>
      <c r="AY196" s="20"/>
      <c r="AZ196" s="20"/>
      <c r="BA196" s="20"/>
      <c r="BB196" s="20"/>
      <c r="BC196" s="20"/>
      <c r="BD196" s="20"/>
      <c r="BE196" s="20"/>
      <c r="BF196" s="20"/>
      <c r="BG196" s="20"/>
      <c r="BH196" s="20"/>
      <c r="BI196" s="20"/>
      <c r="BJ196" s="20"/>
      <c r="BK196" s="20"/>
      <c r="BL196" s="20"/>
      <c r="BM196" s="20"/>
      <c r="BN196" s="20"/>
      <c r="BO196" s="20"/>
      <c r="BP196" s="20"/>
      <c r="BQ196" s="20"/>
      <c r="BR196" s="20"/>
      <c r="BS196" s="20"/>
      <c r="BT196" s="20"/>
      <c r="BU196" s="20"/>
      <c r="BV196" s="20"/>
      <c r="BW196" s="20"/>
      <c r="BX196" s="20"/>
      <c r="BY196" s="20"/>
      <c r="BZ196" s="20"/>
      <c r="CA196" s="20"/>
      <c r="CB196" s="20"/>
      <c r="CC196" s="20"/>
      <c r="CD196" s="20"/>
      <c r="CE196" s="20"/>
      <c r="CF196" s="20"/>
      <c r="CG196" s="20"/>
      <c r="CH196" s="20"/>
      <c r="CI196" s="20"/>
      <c r="CJ196" s="20"/>
      <c r="CK196" s="20"/>
      <c r="CL196" s="20"/>
      <c r="CM196" s="20" t="s">
        <v>518</v>
      </c>
      <c r="CN196" s="20">
        <v>0</v>
      </c>
      <c r="CO196" s="20">
        <v>2</v>
      </c>
      <c r="CP196" s="20">
        <v>0</v>
      </c>
      <c r="CQ196" s="20">
        <v>4</v>
      </c>
      <c r="CR196" s="20">
        <v>2</v>
      </c>
      <c r="CS196" s="20">
        <v>0</v>
      </c>
      <c r="CT196" s="20">
        <v>4</v>
      </c>
      <c r="CU196" s="20">
        <v>2</v>
      </c>
      <c r="CV196" s="20">
        <v>0</v>
      </c>
      <c r="CW196" s="20">
        <v>4</v>
      </c>
      <c r="CX196" s="20">
        <v>2</v>
      </c>
      <c r="CY196" s="20">
        <v>0</v>
      </c>
      <c r="CZ196" s="20">
        <v>4</v>
      </c>
      <c r="DA196" s="20">
        <v>2</v>
      </c>
      <c r="DB196" s="20">
        <v>0</v>
      </c>
      <c r="DC196" s="20">
        <v>4</v>
      </c>
      <c r="DD196" s="20">
        <v>2</v>
      </c>
      <c r="DE196" s="20">
        <v>0</v>
      </c>
      <c r="DF196" s="20">
        <v>4</v>
      </c>
      <c r="DG196" s="20">
        <v>2</v>
      </c>
      <c r="DH196" s="20">
        <v>0</v>
      </c>
      <c r="DI196" s="20"/>
      <c r="DJ196" s="20"/>
      <c r="DK196" s="20"/>
      <c r="DL196" s="20"/>
      <c r="DM196" s="20"/>
      <c r="DN196" s="20"/>
      <c r="DO196" s="20"/>
      <c r="DP196" s="20"/>
      <c r="DQ196" s="20"/>
      <c r="DR196" s="20"/>
      <c r="DS196" s="20"/>
      <c r="DT196" s="20"/>
      <c r="DU196" s="20"/>
      <c r="DV196" s="20"/>
      <c r="DW196" s="20"/>
      <c r="DX196" s="20"/>
      <c r="DY196" s="20"/>
      <c r="DZ196" s="54"/>
      <c r="EA196" s="54"/>
      <c r="EB196" s="54"/>
      <c r="EC196" s="20"/>
      <c r="ED196" s="20"/>
      <c r="EE196" s="20"/>
      <c r="EF196" s="20"/>
      <c r="EG196" s="20"/>
      <c r="EH196" s="20"/>
      <c r="EI196" s="20"/>
      <c r="EJ196" s="20"/>
      <c r="EK196" s="20"/>
      <c r="EL196" s="20"/>
      <c r="EM196" s="20"/>
      <c r="EN196" s="20"/>
      <c r="EO196" s="20"/>
      <c r="EP196" s="20"/>
      <c r="EQ196" s="20"/>
      <c r="ER196" s="20"/>
      <c r="ES196" s="20"/>
      <c r="ET196" s="20"/>
      <c r="EU196" s="20"/>
      <c r="EV196" s="20" t="s">
        <v>293</v>
      </c>
      <c r="EW196" s="20">
        <v>0</v>
      </c>
      <c r="EX196" s="20">
        <v>0</v>
      </c>
      <c r="EY196" s="20">
        <v>0</v>
      </c>
      <c r="EZ196" s="20">
        <v>0</v>
      </c>
      <c r="FA196" s="20">
        <v>0</v>
      </c>
      <c r="FB196" s="20">
        <v>0</v>
      </c>
      <c r="FC196" s="20">
        <v>0</v>
      </c>
      <c r="FD196" s="20">
        <v>0</v>
      </c>
      <c r="FE196" s="20">
        <v>0</v>
      </c>
      <c r="FF196" s="20">
        <v>0</v>
      </c>
      <c r="FG196" s="20">
        <v>0</v>
      </c>
      <c r="FH196" s="20"/>
      <c r="FI196" s="20" t="s">
        <v>211</v>
      </c>
      <c r="FJ196" s="20">
        <v>0</v>
      </c>
      <c r="FK196" s="20">
        <v>0</v>
      </c>
      <c r="FL196" s="20">
        <f t="shared" si="81"/>
        <v>0</v>
      </c>
      <c r="FM196" s="20">
        <v>0</v>
      </c>
      <c r="FN196" s="20">
        <v>0</v>
      </c>
      <c r="FO196" s="20">
        <v>0</v>
      </c>
      <c r="FP196" s="20">
        <v>0</v>
      </c>
      <c r="FQ196" s="20">
        <v>0</v>
      </c>
      <c r="FR196" s="20">
        <v>0</v>
      </c>
      <c r="FS196" s="20">
        <v>0</v>
      </c>
      <c r="FT196" s="20">
        <v>0</v>
      </c>
      <c r="FU196" s="20"/>
      <c r="FV196" s="20"/>
      <c r="FW196" s="20"/>
      <c r="FX196" s="20"/>
      <c r="FY196" s="20"/>
      <c r="FZ196" s="20"/>
      <c r="GA196" s="347" t="s">
        <v>867</v>
      </c>
      <c r="GB196" s="21">
        <v>0</v>
      </c>
      <c r="GC196" s="21">
        <v>0</v>
      </c>
      <c r="GD196" s="21">
        <v>1</v>
      </c>
      <c r="GE196" s="21">
        <v>2</v>
      </c>
      <c r="GF196" s="21">
        <v>3</v>
      </c>
      <c r="GG196" s="21">
        <v>3</v>
      </c>
      <c r="GH196" s="21">
        <v>4</v>
      </c>
      <c r="GI196" s="21">
        <v>4</v>
      </c>
      <c r="GJ196" s="21">
        <v>5</v>
      </c>
      <c r="GK196" s="21">
        <v>5</v>
      </c>
      <c r="GL196" s="21">
        <v>6</v>
      </c>
      <c r="GM196" s="21">
        <v>6</v>
      </c>
      <c r="GN196" s="21">
        <v>7</v>
      </c>
      <c r="GO196" s="21">
        <v>12</v>
      </c>
      <c r="GP196" s="21">
        <v>13</v>
      </c>
      <c r="GQ196" s="21">
        <v>13</v>
      </c>
      <c r="GR196" s="21">
        <v>14</v>
      </c>
      <c r="GS196" s="21">
        <v>14</v>
      </c>
      <c r="GT196" s="21">
        <v>15</v>
      </c>
      <c r="GU196" s="21">
        <v>16</v>
      </c>
      <c r="GV196" s="21">
        <v>16</v>
      </c>
      <c r="GW196" s="21"/>
      <c r="GX196" s="347" t="s">
        <v>866</v>
      </c>
      <c r="GY196" s="21">
        <v>0</v>
      </c>
      <c r="GZ196" s="21">
        <v>0</v>
      </c>
      <c r="HA196" s="21">
        <v>3</v>
      </c>
      <c r="HB196" s="21">
        <v>2</v>
      </c>
      <c r="HC196" s="21">
        <v>1</v>
      </c>
      <c r="HD196" s="21">
        <v>5</v>
      </c>
      <c r="HE196" s="21">
        <v>4</v>
      </c>
      <c r="HF196" s="21">
        <v>3</v>
      </c>
      <c r="HG196" s="21">
        <v>2</v>
      </c>
      <c r="HH196" s="21">
        <v>0</v>
      </c>
      <c r="HI196" s="21">
        <v>5</v>
      </c>
      <c r="HJ196" s="21">
        <v>4</v>
      </c>
      <c r="HK196" s="21">
        <v>3</v>
      </c>
      <c r="HL196" s="21">
        <v>1</v>
      </c>
      <c r="HM196" s="21">
        <v>0</v>
      </c>
      <c r="HN196" s="21">
        <v>5</v>
      </c>
      <c r="HO196" s="21">
        <v>3</v>
      </c>
      <c r="HP196" s="21">
        <v>2</v>
      </c>
      <c r="HQ196" s="21">
        <v>1</v>
      </c>
      <c r="HR196" s="21">
        <v>0</v>
      </c>
      <c r="HS196" s="21">
        <v>4</v>
      </c>
      <c r="HT196" s="21"/>
      <c r="HU196" s="21"/>
      <c r="HV196" s="186"/>
      <c r="HW196" s="21">
        <v>0</v>
      </c>
      <c r="HX196" s="21">
        <v>1</v>
      </c>
      <c r="HY196" s="21">
        <v>2</v>
      </c>
      <c r="HZ196" s="21">
        <v>3</v>
      </c>
      <c r="IA196" s="21">
        <v>4</v>
      </c>
      <c r="IB196" s="21">
        <v>5</v>
      </c>
      <c r="IC196" s="21">
        <v>6</v>
      </c>
      <c r="ID196" s="21">
        <v>7</v>
      </c>
      <c r="IE196" s="21">
        <v>8</v>
      </c>
      <c r="IF196" s="21">
        <v>9</v>
      </c>
      <c r="IG196" s="21">
        <v>10</v>
      </c>
      <c r="IH196" s="21">
        <v>11</v>
      </c>
      <c r="II196" s="21">
        <v>12</v>
      </c>
      <c r="IJ196" s="21">
        <v>13</v>
      </c>
      <c r="IK196" s="21">
        <v>14</v>
      </c>
      <c r="IL196" s="21">
        <v>15</v>
      </c>
      <c r="IM196" s="21">
        <v>16</v>
      </c>
      <c r="IN196" s="21">
        <v>17</v>
      </c>
      <c r="IO196" s="21">
        <v>18</v>
      </c>
      <c r="IP196" s="21">
        <v>19</v>
      </c>
      <c r="IQ196" s="21">
        <v>20</v>
      </c>
      <c r="IR196" s="21"/>
      <c r="IS196" s="21"/>
      <c r="IT196" s="21">
        <f t="shared" si="79"/>
        <v>0</v>
      </c>
      <c r="IU196" s="21">
        <f t="shared" si="79"/>
        <v>2</v>
      </c>
      <c r="IV196" s="21">
        <f t="shared" si="79"/>
        <v>4</v>
      </c>
      <c r="IW196" s="21">
        <f t="shared" si="79"/>
        <v>6</v>
      </c>
      <c r="IX196" s="21">
        <f t="shared" si="79"/>
        <v>8</v>
      </c>
      <c r="IY196" s="21">
        <f t="shared" si="79"/>
        <v>10</v>
      </c>
      <c r="IZ196" s="21">
        <f t="shared" si="79"/>
        <v>12</v>
      </c>
      <c r="JA196" s="21">
        <f t="shared" si="79"/>
        <v>14</v>
      </c>
      <c r="JB196" s="21">
        <f t="shared" si="79"/>
        <v>16</v>
      </c>
      <c r="JC196" s="21">
        <f t="shared" si="79"/>
        <v>18</v>
      </c>
      <c r="JD196" s="21">
        <f t="shared" si="79"/>
        <v>20</v>
      </c>
      <c r="JE196" s="21">
        <f t="shared" si="79"/>
        <v>22</v>
      </c>
      <c r="JF196" s="21">
        <f t="shared" si="79"/>
        <v>24</v>
      </c>
      <c r="JG196" s="21">
        <f t="shared" si="79"/>
        <v>26</v>
      </c>
      <c r="JH196" s="21">
        <f t="shared" si="79"/>
        <v>28</v>
      </c>
      <c r="JI196" s="21">
        <f t="shared" si="79"/>
        <v>30</v>
      </c>
      <c r="JJ196" s="21">
        <f t="shared" ref="JJ196:JN211" si="82">IM196*2</f>
        <v>32</v>
      </c>
      <c r="JK196" s="21">
        <f t="shared" si="82"/>
        <v>34</v>
      </c>
      <c r="JL196" s="21">
        <f t="shared" si="82"/>
        <v>36</v>
      </c>
      <c r="JM196" s="21">
        <f t="shared" si="82"/>
        <v>38</v>
      </c>
      <c r="JN196" s="21">
        <f t="shared" si="82"/>
        <v>40</v>
      </c>
      <c r="JO196" s="21"/>
      <c r="JP196" s="21"/>
      <c r="JQ196" s="21"/>
      <c r="JR196" s="21"/>
      <c r="JS196" s="21"/>
      <c r="JT196" s="21"/>
      <c r="JU196" s="21"/>
      <c r="JV196" s="21"/>
      <c r="JW196" s="21"/>
      <c r="JX196" s="21"/>
      <c r="JY196" s="21"/>
      <c r="JZ196" s="21"/>
      <c r="KA196" s="21"/>
      <c r="KB196" s="21"/>
      <c r="KC196" s="21"/>
      <c r="KD196" s="21"/>
      <c r="KE196" s="21"/>
      <c r="KF196" s="21"/>
      <c r="KG196" s="21"/>
      <c r="KH196" s="21"/>
    </row>
    <row r="197" spans="1:294" x14ac:dyDescent="0.25">
      <c r="A197" s="9"/>
      <c r="B197" s="9"/>
      <c r="C197" s="9"/>
      <c r="D197" s="9"/>
      <c r="E197" s="9"/>
      <c r="F197" s="9"/>
      <c r="G197" s="9"/>
      <c r="H197" s="9"/>
      <c r="I197" s="9"/>
      <c r="J197" s="9"/>
      <c r="K197" s="9"/>
      <c r="L197" s="6" t="str">
        <f>IF(E180="standard","PUP",IF(E180="klick","PUPK",0))</f>
        <v>PUP</v>
      </c>
      <c r="M197" s="11">
        <f>INDEX(cennik!$C$2:$L$529,MATCH($L197,cennik!$B$2:$B$522,0),MATCH(M$104,cennik!$C$1:$L$1,0))</f>
        <v>897303</v>
      </c>
      <c r="N197" s="11" t="str">
        <f>INDEX(cennik!$C$2:$L$529,MATCH($L197,cennik!$B$2:$B$522,0),MATCH(N$104,cennik!$C$1:$L$1,0))</f>
        <v>szt.</v>
      </c>
      <c r="O197" s="11">
        <f>SUM((IF(MOD(A178,2)=0,A178/2,IF(MOD(A178,2)=1,FLOOR(A178/2,1)+1,0))*C178),(IF(MOD(A179,2)=0,A179/2,IF(MOD(A179,2)=1,FLOOR(A179/2,1)+1,0))*C179),(IF(MOD(A180,2)=0,A180/2,IF(MOD(A180,2)=1,FLOOR(A180/2,1)+1,0))*C180),(IF(MOD(A181,2)=0,A181/2,IF(MOD(A181,2)=1,FLOOR(A181/2,1)+1,0))*C181),(IF(MOD(A182,2)=0,A182/2,IF(MOD(A182,2)=1,FLOOR(A182/2,1)+1,0))*C182),(IF(MOD(A183,2)=0,A183/2,IF(MOD(A183,2)=1,FLOOR(A183/2,1)+1,0))*C183),(IF(MOD(A184,2)=0,A184/2,IF(MOD(A184,2)=1,FLOOR(A184/2,1)+1,0))*C184),(IF(MOD(A185,2)=0,A185/2,IF(MOD(A185,2)=1,FLOOR(A185/2,1)+1,0))*C185),(IF(MOD(A186,2)=0,A186/2,IF(MOD(A186,2)=1,FLOOR(A186/2,1)+1,0))*C186),(IF(MOD(A187,2)=0,A187/2,IF(MOD(A187,2)=1,FLOOR(A187/2,1)+1,0))*C187),(IF(MOD(A188,2)=0,A188/2,IF(MOD(A188,2)=1,FLOOR(A188/2,1)+1,0))*C188),(IF(MOD(A189,2)=0,A189/2,IF(MOD(A189,2)=1,FLOOR(A189/2,1)+1,0))*C189),(IF(MOD(A190,2)=0,A190/2,IF(MOD(A190,2)=1,FLOOR(A190/2,1)+1,0))*C190),(IF(MOD(A191,2)=0,A191/2,IF(MOD(A191,2)=1,FLOOR(A191/2,1)+1,0))*C191),(IF(MOD(A192,2)=0,A192/2,IF(MOD(A192,2)=1,FLOOR(A192/2,1)+1,0))*C192),(IF(MOD(A193,2)=0,A193/2,IF(MOD(A193,2)=1,FLOOR(A193/2,1)+1,0))*C193))</f>
        <v>0</v>
      </c>
      <c r="P197" s="34">
        <f>INDEX(cennik!$C$2:$L$529,MATCH($L197,cennik!$B$2:$B$522,0),MATCH(P$104,cennik!$C$1:$L$1,0))</f>
        <v>2.4</v>
      </c>
      <c r="Q197" s="34">
        <f t="shared" si="76"/>
        <v>0</v>
      </c>
      <c r="R197" s="35">
        <f t="shared" si="74"/>
        <v>0</v>
      </c>
      <c r="S197" s="34">
        <f t="shared" si="75"/>
        <v>2.4</v>
      </c>
      <c r="T197" s="34">
        <f t="shared" si="77"/>
        <v>0</v>
      </c>
      <c r="U197" s="34">
        <f>INDEX(cennik!$C$2:$L$529,MATCH($L197,cennik!$B$2:$B$522,0),MATCH(U$104,cennik!$C$1:$L$1,0))*O197</f>
        <v>0</v>
      </c>
      <c r="V197" s="20"/>
      <c r="W197" s="20"/>
      <c r="X197" s="20"/>
      <c r="Y197" s="26">
        <v>40</v>
      </c>
      <c r="Z197" s="20" t="s">
        <v>32</v>
      </c>
      <c r="AA197" s="20" t="s">
        <v>33</v>
      </c>
      <c r="AB197" s="20" t="s">
        <v>109</v>
      </c>
      <c r="AC197" s="20" t="s">
        <v>67</v>
      </c>
      <c r="AD197" s="20">
        <v>40</v>
      </c>
      <c r="AE197" s="20" t="s">
        <v>44</v>
      </c>
      <c r="AF197" s="20" t="s">
        <v>45</v>
      </c>
      <c r="AG197" s="188" t="s">
        <v>151</v>
      </c>
      <c r="AH197" s="188" t="s">
        <v>151</v>
      </c>
      <c r="AI197" s="20" t="s">
        <v>14</v>
      </c>
      <c r="AJ197" s="20"/>
      <c r="AK197" s="20"/>
      <c r="AL197" s="20"/>
      <c r="AM197" s="20"/>
      <c r="AN197" s="20"/>
      <c r="AO197" s="20"/>
      <c r="AP197" s="20"/>
      <c r="AQ197" s="20"/>
      <c r="AR197" s="20"/>
      <c r="AS197" s="20"/>
      <c r="AT197" s="20"/>
      <c r="AU197" s="20"/>
      <c r="AV197" s="20"/>
      <c r="AW197" s="20"/>
      <c r="AX197" s="20"/>
      <c r="AY197" s="20"/>
      <c r="AZ197" s="20"/>
      <c r="BA197" s="20"/>
      <c r="BB197" s="20"/>
      <c r="BC197" s="20"/>
      <c r="BD197" s="20"/>
      <c r="BE197" s="20"/>
      <c r="BF197" s="20"/>
      <c r="BG197" s="20"/>
      <c r="BH197" s="20"/>
      <c r="BI197" s="20"/>
      <c r="BJ197" s="20"/>
      <c r="BK197" s="20"/>
      <c r="BL197" s="20"/>
      <c r="BM197" s="20"/>
      <c r="BN197" s="20"/>
      <c r="BO197" s="20"/>
      <c r="BP197" s="20"/>
      <c r="BQ197" s="20"/>
      <c r="BR197" s="20"/>
      <c r="BS197" s="20"/>
      <c r="BT197" s="20"/>
      <c r="BU197" s="20"/>
      <c r="BV197" s="20"/>
      <c r="BW197" s="20"/>
      <c r="BX197" s="20"/>
      <c r="BY197" s="20"/>
      <c r="BZ197" s="20"/>
      <c r="CA197" s="20"/>
      <c r="CB197" s="20"/>
      <c r="CC197" s="20"/>
      <c r="CD197" s="20"/>
      <c r="CE197" s="20"/>
      <c r="CF197" s="20"/>
      <c r="CG197" s="20"/>
      <c r="CH197" s="20"/>
      <c r="CI197" s="20"/>
      <c r="CJ197" s="20"/>
      <c r="CK197" s="20"/>
      <c r="CL197" s="20"/>
      <c r="CM197" s="20" t="s">
        <v>520</v>
      </c>
      <c r="CN197" s="20">
        <v>0</v>
      </c>
      <c r="CO197" s="20">
        <v>0</v>
      </c>
      <c r="CP197" s="20">
        <v>2</v>
      </c>
      <c r="CQ197" s="20">
        <v>0</v>
      </c>
      <c r="CR197" s="20">
        <v>2</v>
      </c>
      <c r="CS197" s="20">
        <v>4</v>
      </c>
      <c r="CT197" s="20">
        <v>2</v>
      </c>
      <c r="CU197" s="20">
        <v>4</v>
      </c>
      <c r="CV197" s="20">
        <v>6</v>
      </c>
      <c r="CW197" s="20">
        <v>4</v>
      </c>
      <c r="CX197" s="20">
        <v>6</v>
      </c>
      <c r="CY197" s="20">
        <v>8</v>
      </c>
      <c r="CZ197" s="20">
        <v>6</v>
      </c>
      <c r="DA197" s="20">
        <v>8</v>
      </c>
      <c r="DB197" s="20">
        <v>10</v>
      </c>
      <c r="DC197" s="20">
        <v>8</v>
      </c>
      <c r="DD197" s="20">
        <v>10</v>
      </c>
      <c r="DE197" s="20">
        <v>12</v>
      </c>
      <c r="DF197" s="20">
        <v>10</v>
      </c>
      <c r="DG197" s="20">
        <v>12</v>
      </c>
      <c r="DH197" s="20">
        <v>14</v>
      </c>
      <c r="DI197" s="20"/>
      <c r="DJ197" s="20"/>
      <c r="DK197" s="20"/>
      <c r="DL197" s="20"/>
      <c r="DM197" s="20"/>
      <c r="DN197" s="20"/>
      <c r="DO197" s="20"/>
      <c r="DP197" s="20"/>
      <c r="DQ197" s="20"/>
      <c r="DR197" s="20"/>
      <c r="DS197" s="20"/>
      <c r="DT197" s="20"/>
      <c r="DU197" s="20"/>
      <c r="DV197" s="20"/>
      <c r="DW197" s="20"/>
      <c r="DX197" s="20"/>
      <c r="DY197" s="20"/>
      <c r="DZ197" s="54"/>
      <c r="EA197" s="54"/>
      <c r="EB197" s="54"/>
      <c r="EC197" s="20"/>
      <c r="ED197" s="20"/>
      <c r="EE197" s="20"/>
      <c r="EF197" s="20"/>
      <c r="EG197" s="20"/>
      <c r="EH197" s="20"/>
      <c r="EI197" s="20"/>
      <c r="EJ197" s="20"/>
      <c r="EK197" s="20"/>
      <c r="EL197" s="20"/>
      <c r="EM197" s="20"/>
      <c r="EN197" s="20"/>
      <c r="EO197" s="20"/>
      <c r="EP197" s="20"/>
      <c r="EQ197" s="20"/>
      <c r="ER197" s="20"/>
      <c r="ES197" s="20"/>
      <c r="ET197" s="20"/>
      <c r="EU197" s="20"/>
      <c r="EV197" s="20" t="s">
        <v>10</v>
      </c>
      <c r="EW197" s="20">
        <v>0</v>
      </c>
      <c r="EX197" s="20">
        <v>0</v>
      </c>
      <c r="EY197" s="20">
        <v>0</v>
      </c>
      <c r="EZ197" s="20">
        <v>0</v>
      </c>
      <c r="FA197" s="20">
        <v>0</v>
      </c>
      <c r="FB197" s="20">
        <v>0</v>
      </c>
      <c r="FC197" s="20">
        <v>0</v>
      </c>
      <c r="FD197" s="20">
        <v>0</v>
      </c>
      <c r="FE197" s="20">
        <v>0</v>
      </c>
      <c r="FF197" s="20">
        <v>4</v>
      </c>
      <c r="FG197" s="20">
        <v>0</v>
      </c>
      <c r="FH197" s="20"/>
      <c r="FI197" s="20" t="s">
        <v>293</v>
      </c>
      <c r="FJ197" s="20">
        <v>0</v>
      </c>
      <c r="FK197" s="20">
        <v>2</v>
      </c>
      <c r="FL197" s="20">
        <f t="shared" si="81"/>
        <v>0</v>
      </c>
      <c r="FM197" s="20">
        <v>0</v>
      </c>
      <c r="FN197" s="20">
        <v>0</v>
      </c>
      <c r="FO197" s="20">
        <v>0</v>
      </c>
      <c r="FP197" s="20">
        <v>0</v>
      </c>
      <c r="FQ197" s="20">
        <v>0</v>
      </c>
      <c r="FR197" s="20">
        <v>0</v>
      </c>
      <c r="FS197" s="20">
        <v>0</v>
      </c>
      <c r="FT197" s="20">
        <v>0</v>
      </c>
      <c r="FU197" s="20"/>
      <c r="FV197" s="20"/>
      <c r="FW197" s="20"/>
      <c r="FX197" s="20"/>
      <c r="FY197" s="20"/>
      <c r="FZ197" s="20"/>
      <c r="GA197" s="347" t="s">
        <v>868</v>
      </c>
      <c r="GB197" s="21">
        <v>0</v>
      </c>
      <c r="GC197" s="21">
        <v>0</v>
      </c>
      <c r="GD197" s="21">
        <v>0</v>
      </c>
      <c r="GE197" s="21">
        <v>0</v>
      </c>
      <c r="GF197" s="21">
        <v>0</v>
      </c>
      <c r="GG197" s="21">
        <v>0</v>
      </c>
      <c r="GH197" s="21">
        <v>0</v>
      </c>
      <c r="GI197" s="21">
        <v>0</v>
      </c>
      <c r="GJ197" s="21">
        <v>0</v>
      </c>
      <c r="GK197" s="21">
        <v>0</v>
      </c>
      <c r="GL197" s="21">
        <v>0</v>
      </c>
      <c r="GM197" s="21">
        <v>0</v>
      </c>
      <c r="GN197" s="21">
        <v>0</v>
      </c>
      <c r="GO197" s="21">
        <v>0</v>
      </c>
      <c r="GP197" s="21">
        <v>0</v>
      </c>
      <c r="GQ197" s="21">
        <v>0</v>
      </c>
      <c r="GR197" s="21">
        <v>0</v>
      </c>
      <c r="GS197" s="21">
        <v>0</v>
      </c>
      <c r="GT197" s="21">
        <v>0</v>
      </c>
      <c r="GU197" s="21">
        <v>0</v>
      </c>
      <c r="GV197" s="21">
        <v>0</v>
      </c>
      <c r="GW197" s="21"/>
      <c r="GX197" s="347" t="s">
        <v>867</v>
      </c>
      <c r="GY197" s="21">
        <v>0</v>
      </c>
      <c r="GZ197" s="21">
        <v>0</v>
      </c>
      <c r="HA197" s="21">
        <v>0</v>
      </c>
      <c r="HB197" s="21">
        <v>2</v>
      </c>
      <c r="HC197" s="21">
        <v>4</v>
      </c>
      <c r="HD197" s="21">
        <v>2</v>
      </c>
      <c r="HE197" s="21">
        <v>4</v>
      </c>
      <c r="HF197" s="21">
        <v>6</v>
      </c>
      <c r="HG197" s="21">
        <v>8</v>
      </c>
      <c r="HH197" s="21">
        <v>11</v>
      </c>
      <c r="HI197" s="21">
        <v>8</v>
      </c>
      <c r="HJ197" s="21">
        <v>10</v>
      </c>
      <c r="HK197" s="21">
        <v>12</v>
      </c>
      <c r="HL197" s="21">
        <v>15</v>
      </c>
      <c r="HM197" s="21">
        <v>17</v>
      </c>
      <c r="HN197" s="21">
        <v>14</v>
      </c>
      <c r="HO197" s="21">
        <v>17</v>
      </c>
      <c r="HP197" s="21">
        <v>19</v>
      </c>
      <c r="HQ197" s="21">
        <v>21</v>
      </c>
      <c r="HR197" s="21">
        <v>23</v>
      </c>
      <c r="HS197" s="21">
        <v>21</v>
      </c>
      <c r="HT197" s="21"/>
      <c r="HU197" s="21"/>
      <c r="HV197" s="21" t="s">
        <v>826</v>
      </c>
      <c r="HW197" s="21">
        <v>0</v>
      </c>
      <c r="HX197" s="21">
        <v>2</v>
      </c>
      <c r="HY197" s="21">
        <v>4</v>
      </c>
      <c r="HZ197" s="21">
        <v>4</v>
      </c>
      <c r="IA197" s="21">
        <v>0</v>
      </c>
      <c r="IB197" s="21">
        <v>2</v>
      </c>
      <c r="IC197" s="21">
        <v>4</v>
      </c>
      <c r="ID197" s="21">
        <v>0</v>
      </c>
      <c r="IE197" s="21">
        <v>0</v>
      </c>
      <c r="IF197" s="21">
        <v>2</v>
      </c>
      <c r="IG197" s="21">
        <v>4</v>
      </c>
      <c r="IH197" s="21">
        <v>0</v>
      </c>
      <c r="II197" s="21">
        <v>2</v>
      </c>
      <c r="IJ197" s="21">
        <v>2</v>
      </c>
      <c r="IK197" s="21">
        <v>4</v>
      </c>
      <c r="IL197" s="21">
        <v>0</v>
      </c>
      <c r="IM197" s="21">
        <v>2</v>
      </c>
      <c r="IN197" s="21">
        <v>4</v>
      </c>
      <c r="IO197" s="21">
        <v>4</v>
      </c>
      <c r="IP197" s="21">
        <v>0</v>
      </c>
      <c r="IQ197" s="21">
        <v>2</v>
      </c>
      <c r="IR197" s="21"/>
      <c r="IS197" s="21" t="s">
        <v>826</v>
      </c>
      <c r="IT197" s="21">
        <f t="shared" si="79"/>
        <v>0</v>
      </c>
      <c r="IU197" s="21">
        <f t="shared" si="79"/>
        <v>4</v>
      </c>
      <c r="IV197" s="21">
        <f t="shared" si="79"/>
        <v>8</v>
      </c>
      <c r="IW197" s="21">
        <f t="shared" si="79"/>
        <v>8</v>
      </c>
      <c r="IX197" s="21">
        <f t="shared" si="79"/>
        <v>0</v>
      </c>
      <c r="IY197" s="21">
        <f t="shared" si="79"/>
        <v>4</v>
      </c>
      <c r="IZ197" s="21">
        <f t="shared" si="79"/>
        <v>8</v>
      </c>
      <c r="JA197" s="21">
        <f t="shared" si="79"/>
        <v>0</v>
      </c>
      <c r="JB197" s="21">
        <f t="shared" si="79"/>
        <v>0</v>
      </c>
      <c r="JC197" s="21">
        <f t="shared" si="79"/>
        <v>4</v>
      </c>
      <c r="JD197" s="21">
        <f t="shared" si="79"/>
        <v>8</v>
      </c>
      <c r="JE197" s="21">
        <f t="shared" si="79"/>
        <v>0</v>
      </c>
      <c r="JF197" s="21">
        <f t="shared" si="79"/>
        <v>4</v>
      </c>
      <c r="JG197" s="21">
        <f t="shared" si="79"/>
        <v>4</v>
      </c>
      <c r="JH197" s="21">
        <f t="shared" si="79"/>
        <v>8</v>
      </c>
      <c r="JI197" s="21">
        <f t="shared" si="79"/>
        <v>0</v>
      </c>
      <c r="JJ197" s="21">
        <f t="shared" si="82"/>
        <v>4</v>
      </c>
      <c r="JK197" s="21">
        <f t="shared" si="82"/>
        <v>8</v>
      </c>
      <c r="JL197" s="21">
        <f t="shared" si="82"/>
        <v>8</v>
      </c>
      <c r="JM197" s="21">
        <f t="shared" si="82"/>
        <v>0</v>
      </c>
      <c r="JN197" s="21">
        <f t="shared" si="82"/>
        <v>4</v>
      </c>
      <c r="JO197" s="21"/>
      <c r="JP197" s="21"/>
      <c r="JQ197" s="21"/>
      <c r="JR197" s="21"/>
      <c r="JS197" s="21"/>
      <c r="JT197" s="21"/>
      <c r="JU197" s="21"/>
      <c r="JV197" s="21"/>
      <c r="JW197" s="21"/>
      <c r="JX197" s="21"/>
      <c r="JY197" s="21"/>
      <c r="JZ197" s="21"/>
      <c r="KA197" s="21"/>
      <c r="KB197" s="21"/>
      <c r="KC197" s="21"/>
      <c r="KD197" s="21"/>
      <c r="KE197" s="21"/>
      <c r="KF197" s="21"/>
      <c r="KG197" s="21"/>
      <c r="KH197" s="21"/>
    </row>
    <row r="198" spans="1:294" x14ac:dyDescent="0.25">
      <c r="A198" s="9"/>
      <c r="B198" s="9"/>
      <c r="C198" s="9"/>
      <c r="D198" s="9"/>
      <c r="E198" s="9"/>
      <c r="F198" s="9"/>
      <c r="G198" s="9"/>
      <c r="H198" s="9"/>
      <c r="I198" s="9"/>
      <c r="J198" s="9"/>
      <c r="K198" s="9"/>
      <c r="L198" s="6" t="s">
        <v>512</v>
      </c>
      <c r="M198" s="11">
        <f>INDEX(cennik!$C$2:$L$529,MATCH($L198,cennik!$B$2:$B$522,0),MATCH(M$104,cennik!$C$1:$L$1,0))</f>
        <v>808251</v>
      </c>
      <c r="N198" s="11" t="str">
        <f>INDEX(cennik!$C$2:$L$529,MATCH($L198,cennik!$B$2:$B$522,0),MATCH(N$104,cennik!$C$1:$L$1,0))</f>
        <v>szt.</v>
      </c>
      <c r="O198" s="11">
        <f>E185</f>
        <v>0</v>
      </c>
      <c r="P198" s="34">
        <f>INDEX(cennik!$C$2:$L$529,MATCH($L198,cennik!$B$2:$B$522,0),MATCH(P$104,cennik!$C$1:$L$1,0))</f>
        <v>0.63</v>
      </c>
      <c r="Q198" s="34">
        <f t="shared" si="76"/>
        <v>0</v>
      </c>
      <c r="R198" s="35">
        <f t="shared" si="74"/>
        <v>0</v>
      </c>
      <c r="S198" s="34">
        <f t="shared" si="75"/>
        <v>0.63</v>
      </c>
      <c r="T198" s="34">
        <f t="shared" si="77"/>
        <v>0</v>
      </c>
      <c r="U198" s="34">
        <f>INDEX(cennik!$C$2:$L$529,MATCH($L198,cennik!$B$2:$B$522,0),MATCH(U$104,cennik!$C$1:$L$1,0))*O198</f>
        <v>0</v>
      </c>
      <c r="V198" s="20"/>
      <c r="W198" s="20"/>
      <c r="X198" s="20"/>
      <c r="Y198" s="26">
        <v>42</v>
      </c>
      <c r="Z198" s="20" t="s">
        <v>34</v>
      </c>
      <c r="AA198" s="20"/>
      <c r="AB198" s="20" t="s">
        <v>109</v>
      </c>
      <c r="AC198" s="20" t="s">
        <v>67</v>
      </c>
      <c r="AD198" s="20">
        <v>42</v>
      </c>
      <c r="AE198" s="20" t="s">
        <v>46</v>
      </c>
      <c r="AF198" s="20" t="s">
        <v>1295</v>
      </c>
      <c r="AG198" s="188" t="s">
        <v>151</v>
      </c>
      <c r="AH198" s="188" t="s">
        <v>151</v>
      </c>
      <c r="AI198" s="20" t="s">
        <v>14</v>
      </c>
      <c r="AJ198" s="20"/>
      <c r="AK198" s="20"/>
      <c r="AL198" s="20"/>
      <c r="AM198" s="20"/>
      <c r="AN198" s="20"/>
      <c r="AO198" s="20"/>
      <c r="AP198" s="20"/>
      <c r="AQ198" s="20"/>
      <c r="AR198" s="20"/>
      <c r="AS198" s="20"/>
      <c r="AT198" s="20"/>
      <c r="AU198" s="20"/>
      <c r="AV198" s="20"/>
      <c r="AW198" s="20"/>
      <c r="AX198" s="20"/>
      <c r="AY198" s="20"/>
      <c r="AZ198" s="20"/>
      <c r="BA198" s="20"/>
      <c r="BB198" s="20"/>
      <c r="BC198" s="20"/>
      <c r="BD198" s="20"/>
      <c r="BE198" s="20"/>
      <c r="BF198" s="20"/>
      <c r="BG198" s="20"/>
      <c r="BH198" s="20"/>
      <c r="BI198" s="20"/>
      <c r="BJ198" s="20"/>
      <c r="BK198" s="20"/>
      <c r="BL198" s="20"/>
      <c r="BM198" s="20"/>
      <c r="BN198" s="20"/>
      <c r="BO198" s="20"/>
      <c r="BP198" s="20"/>
      <c r="BQ198" s="20"/>
      <c r="BR198" s="20"/>
      <c r="BS198" s="20"/>
      <c r="BT198" s="20"/>
      <c r="BU198" s="20"/>
      <c r="BV198" s="20"/>
      <c r="BW198" s="20"/>
      <c r="BX198" s="20"/>
      <c r="BY198" s="20"/>
      <c r="BZ198" s="20"/>
      <c r="CA198" s="20"/>
      <c r="CB198" s="20"/>
      <c r="CC198" s="20"/>
      <c r="CD198" s="20"/>
      <c r="CE198" s="20"/>
      <c r="CF198" s="20"/>
      <c r="CG198" s="20"/>
      <c r="CH198" s="20"/>
      <c r="CI198" s="20"/>
      <c r="CJ198" s="20"/>
      <c r="CK198" s="20"/>
      <c r="CL198" s="20"/>
      <c r="CM198" s="20" t="s">
        <v>521</v>
      </c>
      <c r="CN198" s="20">
        <v>0</v>
      </c>
      <c r="CO198" s="20">
        <v>0</v>
      </c>
      <c r="CP198" s="20">
        <v>0</v>
      </c>
      <c r="CQ198" s="20">
        <v>4</v>
      </c>
      <c r="CR198" s="20">
        <v>4</v>
      </c>
      <c r="CS198" s="20">
        <v>4</v>
      </c>
      <c r="CT198" s="20">
        <v>8</v>
      </c>
      <c r="CU198" s="20">
        <v>8</v>
      </c>
      <c r="CV198" s="20">
        <v>8</v>
      </c>
      <c r="CW198" s="20">
        <v>12</v>
      </c>
      <c r="CX198" s="20">
        <v>12</v>
      </c>
      <c r="CY198" s="20">
        <v>12</v>
      </c>
      <c r="CZ198" s="20">
        <v>16</v>
      </c>
      <c r="DA198" s="20">
        <v>16</v>
      </c>
      <c r="DB198" s="20">
        <v>16</v>
      </c>
      <c r="DC198" s="20">
        <v>20</v>
      </c>
      <c r="DD198" s="20">
        <v>20</v>
      </c>
      <c r="DE198" s="20">
        <v>20</v>
      </c>
      <c r="DF198" s="20">
        <v>24</v>
      </c>
      <c r="DG198" s="20">
        <v>24</v>
      </c>
      <c r="DH198" s="20">
        <v>24</v>
      </c>
      <c r="DI198" s="20"/>
      <c r="DJ198" s="20"/>
      <c r="DK198" s="20"/>
      <c r="DL198" s="20"/>
      <c r="DM198" s="20"/>
      <c r="DN198" s="20"/>
      <c r="DO198" s="20"/>
      <c r="DP198" s="20"/>
      <c r="DQ198" s="20"/>
      <c r="DR198" s="20"/>
      <c r="DS198" s="20"/>
      <c r="DT198" s="20"/>
      <c r="DU198" s="20"/>
      <c r="DV198" s="20"/>
      <c r="DW198" s="20"/>
      <c r="DX198" s="20"/>
      <c r="DY198" s="20"/>
      <c r="DZ198" s="54"/>
      <c r="EA198" s="54"/>
      <c r="EB198" s="54"/>
      <c r="EC198" s="20"/>
      <c r="ED198" s="20"/>
      <c r="EE198" s="20"/>
      <c r="EF198" s="20"/>
      <c r="EG198" s="20"/>
      <c r="EH198" s="20"/>
      <c r="EI198" s="20"/>
      <c r="EJ198" s="20"/>
      <c r="EK198" s="20"/>
      <c r="EL198" s="20"/>
      <c r="EM198" s="20"/>
      <c r="EN198" s="20"/>
      <c r="EO198" s="20"/>
      <c r="EP198" s="20"/>
      <c r="EQ198" s="20"/>
      <c r="ER198" s="20"/>
      <c r="ES198" s="20"/>
      <c r="ET198" s="20"/>
      <c r="EU198" s="20"/>
      <c r="EV198" s="20" t="s">
        <v>212</v>
      </c>
      <c r="EW198" s="20">
        <v>0</v>
      </c>
      <c r="EX198" s="20">
        <v>0</v>
      </c>
      <c r="EY198" s="20">
        <v>0</v>
      </c>
      <c r="EZ198" s="20">
        <v>0</v>
      </c>
      <c r="FA198" s="20">
        <v>0</v>
      </c>
      <c r="FB198" s="20">
        <v>2</v>
      </c>
      <c r="FC198" s="20">
        <v>0</v>
      </c>
      <c r="FD198" s="20">
        <v>0</v>
      </c>
      <c r="FE198" s="20">
        <v>0</v>
      </c>
      <c r="FF198" s="20">
        <v>6</v>
      </c>
      <c r="FG198" s="20">
        <v>2</v>
      </c>
      <c r="FH198" s="20"/>
      <c r="FI198" s="20" t="s">
        <v>10</v>
      </c>
      <c r="FJ198" s="20">
        <v>0</v>
      </c>
      <c r="FK198" s="20">
        <v>0</v>
      </c>
      <c r="FL198" s="20">
        <f t="shared" si="81"/>
        <v>0</v>
      </c>
      <c r="FM198" s="20">
        <v>2</v>
      </c>
      <c r="FN198" s="20">
        <v>0</v>
      </c>
      <c r="FO198" s="20">
        <v>2</v>
      </c>
      <c r="FP198" s="20">
        <v>0</v>
      </c>
      <c r="FQ198" s="20">
        <v>0</v>
      </c>
      <c r="FR198" s="20">
        <v>6</v>
      </c>
      <c r="FS198" s="20">
        <v>0</v>
      </c>
      <c r="FT198" s="20">
        <v>4</v>
      </c>
      <c r="FU198" s="20"/>
      <c r="FV198" s="20"/>
      <c r="FW198" s="20"/>
      <c r="FX198" s="20"/>
      <c r="FY198" s="20"/>
      <c r="FZ198" s="20"/>
      <c r="GA198" s="21"/>
      <c r="GB198" s="21"/>
      <c r="GC198" s="21"/>
      <c r="GD198" s="21"/>
      <c r="GE198" s="21"/>
      <c r="GF198" s="21"/>
      <c r="GG198" s="21"/>
      <c r="GH198" s="21"/>
      <c r="GI198" s="21"/>
      <c r="GJ198" s="21"/>
      <c r="GK198" s="21"/>
      <c r="GL198" s="21"/>
      <c r="GM198" s="21"/>
      <c r="GN198" s="21"/>
      <c r="GO198" s="21"/>
      <c r="GP198" s="21"/>
      <c r="GQ198" s="21"/>
      <c r="GR198" s="21"/>
      <c r="GS198" s="21"/>
      <c r="GT198" s="21"/>
      <c r="GU198" s="21"/>
      <c r="GV198" s="21"/>
      <c r="GW198" s="21"/>
      <c r="GX198" s="347" t="s">
        <v>868</v>
      </c>
      <c r="GY198" s="21">
        <v>0</v>
      </c>
      <c r="GZ198" s="21">
        <v>1</v>
      </c>
      <c r="HA198" s="21">
        <v>0</v>
      </c>
      <c r="HB198" s="21">
        <v>0</v>
      </c>
      <c r="HC198" s="21">
        <v>0</v>
      </c>
      <c r="HD198" s="21">
        <v>0</v>
      </c>
      <c r="HE198" s="21">
        <v>0</v>
      </c>
      <c r="HF198" s="21">
        <v>0</v>
      </c>
      <c r="HG198" s="21">
        <v>0</v>
      </c>
      <c r="HH198" s="21">
        <v>0</v>
      </c>
      <c r="HI198" s="21">
        <v>0</v>
      </c>
      <c r="HJ198" s="21">
        <v>0</v>
      </c>
      <c r="HK198" s="21">
        <v>0</v>
      </c>
      <c r="HL198" s="21">
        <v>0</v>
      </c>
      <c r="HM198" s="21">
        <v>0</v>
      </c>
      <c r="HN198" s="21">
        <v>0</v>
      </c>
      <c r="HO198" s="21">
        <v>0</v>
      </c>
      <c r="HP198" s="21">
        <v>0</v>
      </c>
      <c r="HQ198" s="21">
        <v>0</v>
      </c>
      <c r="HR198" s="21">
        <v>0</v>
      </c>
      <c r="HS198" s="21">
        <v>0</v>
      </c>
      <c r="HT198" s="21"/>
      <c r="HU198" s="21"/>
      <c r="HV198" s="21" t="s">
        <v>825</v>
      </c>
      <c r="HW198" s="21">
        <v>0</v>
      </c>
      <c r="HX198" s="21">
        <v>0</v>
      </c>
      <c r="HY198" s="21">
        <v>0</v>
      </c>
      <c r="HZ198" s="21">
        <v>2</v>
      </c>
      <c r="IA198" s="21">
        <v>6</v>
      </c>
      <c r="IB198" s="21">
        <v>6</v>
      </c>
      <c r="IC198" s="21">
        <v>6</v>
      </c>
      <c r="ID198" s="21">
        <v>10</v>
      </c>
      <c r="IE198" s="21">
        <v>12</v>
      </c>
      <c r="IF198" s="21">
        <v>12</v>
      </c>
      <c r="IG198" s="21">
        <v>12</v>
      </c>
      <c r="IH198" s="21">
        <v>16</v>
      </c>
      <c r="II198" s="21">
        <v>16</v>
      </c>
      <c r="IJ198" s="21">
        <v>18</v>
      </c>
      <c r="IK198" s="21">
        <v>18</v>
      </c>
      <c r="IL198" s="21">
        <v>22</v>
      </c>
      <c r="IM198" s="21">
        <v>22</v>
      </c>
      <c r="IN198" s="21">
        <v>22</v>
      </c>
      <c r="IO198" s="21">
        <v>24</v>
      </c>
      <c r="IP198" s="21">
        <v>28</v>
      </c>
      <c r="IQ198" s="21">
        <v>28</v>
      </c>
      <c r="IR198" s="21"/>
      <c r="IS198" s="21" t="s">
        <v>825</v>
      </c>
      <c r="IT198" s="21">
        <f t="shared" si="79"/>
        <v>0</v>
      </c>
      <c r="IU198" s="21">
        <f t="shared" si="79"/>
        <v>0</v>
      </c>
      <c r="IV198" s="21">
        <f t="shared" si="79"/>
        <v>0</v>
      </c>
      <c r="IW198" s="21">
        <f t="shared" si="79"/>
        <v>4</v>
      </c>
      <c r="IX198" s="21">
        <f t="shared" si="79"/>
        <v>12</v>
      </c>
      <c r="IY198" s="21">
        <f t="shared" si="79"/>
        <v>12</v>
      </c>
      <c r="IZ198" s="21">
        <f t="shared" si="79"/>
        <v>12</v>
      </c>
      <c r="JA198" s="21">
        <f t="shared" si="79"/>
        <v>20</v>
      </c>
      <c r="JB198" s="21">
        <f t="shared" si="79"/>
        <v>24</v>
      </c>
      <c r="JC198" s="21">
        <f t="shared" si="79"/>
        <v>24</v>
      </c>
      <c r="JD198" s="21">
        <f t="shared" si="79"/>
        <v>24</v>
      </c>
      <c r="JE198" s="21">
        <f t="shared" si="79"/>
        <v>32</v>
      </c>
      <c r="JF198" s="21">
        <f t="shared" si="79"/>
        <v>32</v>
      </c>
      <c r="JG198" s="21">
        <f t="shared" si="79"/>
        <v>36</v>
      </c>
      <c r="JH198" s="21">
        <f t="shared" si="79"/>
        <v>36</v>
      </c>
      <c r="JI198" s="21">
        <f t="shared" si="79"/>
        <v>44</v>
      </c>
      <c r="JJ198" s="21">
        <f t="shared" si="82"/>
        <v>44</v>
      </c>
      <c r="JK198" s="21">
        <f t="shared" si="82"/>
        <v>44</v>
      </c>
      <c r="JL198" s="21">
        <f t="shared" si="82"/>
        <v>48</v>
      </c>
      <c r="JM198" s="21">
        <f t="shared" si="82"/>
        <v>56</v>
      </c>
      <c r="JN198" s="21">
        <f t="shared" si="82"/>
        <v>56</v>
      </c>
      <c r="JO198" s="21"/>
      <c r="JP198" s="21"/>
      <c r="JQ198" s="21"/>
      <c r="JR198" s="21"/>
      <c r="JS198" s="21"/>
      <c r="JT198" s="21"/>
      <c r="JU198" s="21"/>
      <c r="JV198" s="21"/>
      <c r="JW198" s="21"/>
      <c r="JX198" s="21"/>
      <c r="JY198" s="21"/>
      <c r="JZ198" s="21"/>
      <c r="KA198" s="21"/>
      <c r="KB198" s="21"/>
      <c r="KC198" s="21"/>
      <c r="KD198" s="21"/>
      <c r="KE198" s="21"/>
      <c r="KF198" s="21"/>
      <c r="KG198" s="21"/>
      <c r="KH198" s="21"/>
    </row>
    <row r="199" spans="1:294" x14ac:dyDescent="0.25">
      <c r="A199" s="9"/>
      <c r="B199" s="9"/>
      <c r="C199" s="9"/>
      <c r="D199" s="9"/>
      <c r="E199" s="9"/>
      <c r="F199" s="17" t="str">
        <f>IF(L199="PSRM10X90F","PROPOZYCJA KOTEW- DO WERFIKACJI",IF(L199="-------","",""))</f>
        <v/>
      </c>
      <c r="G199" s="9"/>
      <c r="H199" s="9"/>
      <c r="I199" s="9"/>
      <c r="J199" s="9"/>
      <c r="K199" s="9"/>
      <c r="L199" s="6" t="str">
        <f>IF(E182=$Z$104,"-------",IF(E182=$Z$105,"PSRM10X90F",IF(E182=$Z$106,"-------",IF(E182=$Z$107,"SSZ8X25E A2",0))))</f>
        <v>-------</v>
      </c>
      <c r="M199" s="11" t="str">
        <f>INDEX(cennik!$C$2:$L$529,MATCH($L199,cennik!$B$2:$B$522,0),MATCH(M$104,cennik!$C$1:$L$1,0))</f>
        <v>-------</v>
      </c>
      <c r="N199" s="11">
        <f>INDEX(cennik!$C$2:$L$529,MATCH($L199,cennik!$B$2:$B$522,0),MATCH(N$104,cennik!$C$1:$L$1,0))</f>
        <v>0</v>
      </c>
      <c r="O199" s="11">
        <f>IF(L199="-------",0,IF(L199="PSRM10X90F",O188*6,IF(L199="SSZ8X25E A2",O188*6)))</f>
        <v>0</v>
      </c>
      <c r="P199" s="34">
        <f>INDEX(cennik!$C$2:$L$529,MATCH($L199,cennik!$B$2:$B$522,0),MATCH(P$104,cennik!$C$1:$L$1,0))</f>
        <v>0</v>
      </c>
      <c r="Q199" s="34">
        <f t="shared" si="76"/>
        <v>0</v>
      </c>
      <c r="R199" s="35">
        <f t="shared" si="74"/>
        <v>0</v>
      </c>
      <c r="S199" s="34">
        <f t="shared" si="75"/>
        <v>0</v>
      </c>
      <c r="T199" s="34">
        <f t="shared" si="77"/>
        <v>0</v>
      </c>
      <c r="U199" s="34">
        <f>INDEX(cennik!$C$2:$L$529,MATCH($L199,cennik!$B$2:$B$522,0),MATCH(U$104,cennik!$C$1:$L$1,0))*O199</f>
        <v>0</v>
      </c>
      <c r="V199" s="20"/>
      <c r="W199" s="20"/>
      <c r="X199" s="20"/>
      <c r="Y199" s="26">
        <v>45</v>
      </c>
      <c r="Z199" s="20" t="s">
        <v>35</v>
      </c>
      <c r="AA199" s="20"/>
      <c r="AB199" s="20" t="s">
        <v>149</v>
      </c>
      <c r="AC199" s="20" t="s">
        <v>67</v>
      </c>
      <c r="AD199" s="20">
        <v>45</v>
      </c>
      <c r="AE199" s="20" t="s">
        <v>47</v>
      </c>
      <c r="AF199" s="20" t="s">
        <v>1296</v>
      </c>
      <c r="AG199" s="188" t="s">
        <v>151</v>
      </c>
      <c r="AH199" s="188" t="s">
        <v>151</v>
      </c>
      <c r="AI199" s="20" t="s">
        <v>14</v>
      </c>
      <c r="AJ199" s="20"/>
      <c r="AK199" s="20"/>
      <c r="AL199" s="20"/>
      <c r="AM199" s="20"/>
      <c r="AN199" s="20"/>
      <c r="AO199" s="20"/>
      <c r="AP199" s="20"/>
      <c r="AQ199" s="20"/>
      <c r="AR199" s="20"/>
      <c r="AS199" s="20"/>
      <c r="AT199" s="20"/>
      <c r="AU199" s="20"/>
      <c r="AV199" s="20"/>
      <c r="AW199" s="20"/>
      <c r="AX199" s="20"/>
      <c r="AY199" s="20"/>
      <c r="AZ199" s="20"/>
      <c r="BA199" s="20"/>
      <c r="BB199" s="20"/>
      <c r="BC199" s="20"/>
      <c r="BD199" s="20"/>
      <c r="BE199" s="20"/>
      <c r="BF199" s="20"/>
      <c r="BG199" s="20"/>
      <c r="BH199" s="20"/>
      <c r="BI199" s="20"/>
      <c r="BJ199" s="20"/>
      <c r="BK199" s="20"/>
      <c r="BL199" s="20"/>
      <c r="BM199" s="20"/>
      <c r="BN199" s="20"/>
      <c r="BO199" s="20"/>
      <c r="BP199" s="20"/>
      <c r="BQ199" s="20"/>
      <c r="BR199" s="20"/>
      <c r="BS199" s="20"/>
      <c r="BT199" s="20"/>
      <c r="BU199" s="20"/>
      <c r="BV199" s="20"/>
      <c r="BW199" s="20"/>
      <c r="BX199" s="20"/>
      <c r="BY199" s="20"/>
      <c r="BZ199" s="20"/>
      <c r="CA199" s="20"/>
      <c r="CB199" s="20"/>
      <c r="CC199" s="20"/>
      <c r="CD199" s="20"/>
      <c r="CE199" s="20"/>
      <c r="CF199" s="20"/>
      <c r="CG199" s="20"/>
      <c r="CH199" s="20"/>
      <c r="CI199" s="20"/>
      <c r="CJ199" s="20"/>
      <c r="CK199" s="20"/>
      <c r="CL199" s="20"/>
      <c r="CM199" s="20"/>
      <c r="CN199" s="20"/>
      <c r="CO199" s="20"/>
      <c r="CP199" s="20"/>
      <c r="CQ199" s="20"/>
      <c r="CR199" s="20"/>
      <c r="CS199" s="20"/>
      <c r="CT199" s="20"/>
      <c r="CU199" s="20"/>
      <c r="CV199" s="20"/>
      <c r="CW199" s="20"/>
      <c r="CX199" s="20"/>
      <c r="CY199" s="20"/>
      <c r="CZ199" s="20"/>
      <c r="DA199" s="20"/>
      <c r="DB199" s="20"/>
      <c r="DC199" s="20"/>
      <c r="DD199" s="20"/>
      <c r="DE199" s="20"/>
      <c r="DF199" s="20"/>
      <c r="DG199" s="20"/>
      <c r="DH199" s="20"/>
      <c r="DI199" s="20"/>
      <c r="DJ199" s="20"/>
      <c r="DK199" s="20"/>
      <c r="DL199" s="20"/>
      <c r="DM199" s="20"/>
      <c r="DN199" s="20"/>
      <c r="DO199" s="20"/>
      <c r="DP199" s="20"/>
      <c r="DQ199" s="20"/>
      <c r="DR199" s="20"/>
      <c r="DS199" s="20"/>
      <c r="DT199" s="20"/>
      <c r="DU199" s="20"/>
      <c r="DV199" s="20"/>
      <c r="DW199" s="20"/>
      <c r="DX199" s="20"/>
      <c r="DY199" s="20"/>
      <c r="DZ199" s="54"/>
      <c r="EA199" s="54"/>
      <c r="EB199" s="54"/>
      <c r="EC199" s="20"/>
      <c r="ED199" s="20"/>
      <c r="EE199" s="20"/>
      <c r="EF199" s="20"/>
      <c r="EG199" s="20"/>
      <c r="EH199" s="20"/>
      <c r="EI199" s="20"/>
      <c r="EJ199" s="20"/>
      <c r="EK199" s="20"/>
      <c r="EL199" s="20"/>
      <c r="EM199" s="20"/>
      <c r="EN199" s="20"/>
      <c r="EO199" s="20"/>
      <c r="EP199" s="20"/>
      <c r="EQ199" s="20"/>
      <c r="ER199" s="20"/>
      <c r="ES199" s="20"/>
      <c r="ET199" s="20"/>
      <c r="EU199" s="20"/>
      <c r="EV199" s="20" t="s">
        <v>214</v>
      </c>
      <c r="EW199" s="20">
        <v>0</v>
      </c>
      <c r="EX199" s="20">
        <v>0</v>
      </c>
      <c r="EY199" s="20">
        <v>2</v>
      </c>
      <c r="EZ199" s="20">
        <v>2</v>
      </c>
      <c r="FA199" s="20">
        <v>4</v>
      </c>
      <c r="FB199" s="20">
        <v>2</v>
      </c>
      <c r="FC199" s="20">
        <v>6</v>
      </c>
      <c r="FD199" s="20">
        <v>6</v>
      </c>
      <c r="FE199" s="20">
        <v>8</v>
      </c>
      <c r="FF199" s="20">
        <v>0</v>
      </c>
      <c r="FG199" s="20">
        <v>8</v>
      </c>
      <c r="FH199" s="20"/>
      <c r="FI199" s="20" t="s">
        <v>212</v>
      </c>
      <c r="FJ199" s="20">
        <v>0</v>
      </c>
      <c r="FK199" s="20">
        <v>0</v>
      </c>
      <c r="FL199" s="20">
        <f t="shared" si="81"/>
        <v>0</v>
      </c>
      <c r="FM199" s="20">
        <v>2</v>
      </c>
      <c r="FN199" s="20">
        <v>4</v>
      </c>
      <c r="FO199" s="20">
        <v>2</v>
      </c>
      <c r="FP199" s="20">
        <v>0</v>
      </c>
      <c r="FQ199" s="20">
        <v>6</v>
      </c>
      <c r="FR199" s="20">
        <v>0</v>
      </c>
      <c r="FS199" s="20">
        <v>2</v>
      </c>
      <c r="FT199" s="20">
        <v>4</v>
      </c>
      <c r="FU199" s="20"/>
      <c r="FV199" s="20"/>
      <c r="FW199" s="20"/>
      <c r="FX199" s="20"/>
      <c r="FY199" s="20"/>
      <c r="FZ199" s="20"/>
      <c r="GA199" s="21" t="s">
        <v>470</v>
      </c>
      <c r="GB199" s="21"/>
      <c r="GC199" s="21"/>
      <c r="GD199" s="21"/>
      <c r="GE199" s="21"/>
      <c r="GF199" s="21"/>
      <c r="GG199" s="21"/>
      <c r="GH199" s="21"/>
      <c r="GI199" s="21"/>
      <c r="GJ199" s="21"/>
      <c r="GK199" s="21"/>
      <c r="GL199" s="21"/>
      <c r="GM199" s="21"/>
      <c r="GN199" s="21"/>
      <c r="GO199" s="21"/>
      <c r="GP199" s="21"/>
      <c r="GQ199" s="21"/>
      <c r="GR199" s="21"/>
      <c r="GS199" s="21"/>
      <c r="GT199" s="21"/>
      <c r="GU199" s="21"/>
      <c r="GV199" s="21"/>
      <c r="GW199" s="21"/>
      <c r="GX199" s="21"/>
      <c r="GY199" s="21"/>
      <c r="GZ199" s="21"/>
      <c r="HA199" s="21"/>
      <c r="HB199" s="21"/>
      <c r="HC199" s="21"/>
      <c r="HD199" s="21"/>
      <c r="HE199" s="21"/>
      <c r="HF199" s="21"/>
      <c r="HG199" s="21"/>
      <c r="HH199" s="21"/>
      <c r="HI199" s="21"/>
      <c r="HJ199" s="21"/>
      <c r="HK199" s="21"/>
      <c r="HL199" s="21"/>
      <c r="HM199" s="21"/>
      <c r="HN199" s="21"/>
      <c r="HO199" s="21"/>
      <c r="HP199" s="21"/>
      <c r="HQ199" s="21"/>
      <c r="HR199" s="21"/>
      <c r="HS199" s="21"/>
      <c r="HT199" s="21"/>
      <c r="HU199" s="21"/>
      <c r="HV199" s="21" t="s">
        <v>853</v>
      </c>
      <c r="HW199" s="21">
        <v>0</v>
      </c>
      <c r="HX199" s="21">
        <v>0</v>
      </c>
      <c r="HY199" s="21">
        <v>2</v>
      </c>
      <c r="HZ199" s="21">
        <v>4</v>
      </c>
      <c r="IA199" s="21">
        <v>4</v>
      </c>
      <c r="IB199" s="21">
        <v>6</v>
      </c>
      <c r="IC199" s="21">
        <v>8</v>
      </c>
      <c r="ID199" s="21">
        <v>8</v>
      </c>
      <c r="IE199" s="21">
        <v>10</v>
      </c>
      <c r="IF199" s="21">
        <v>12</v>
      </c>
      <c r="IG199" s="21">
        <v>14</v>
      </c>
      <c r="IH199" s="21">
        <v>14</v>
      </c>
      <c r="II199" s="21">
        <v>16</v>
      </c>
      <c r="IJ199" s="21">
        <v>18</v>
      </c>
      <c r="IK199" s="21">
        <v>20</v>
      </c>
      <c r="IL199" s="21">
        <v>20</v>
      </c>
      <c r="IM199" s="21">
        <v>22</v>
      </c>
      <c r="IN199" s="21">
        <v>24</v>
      </c>
      <c r="IO199" s="21">
        <v>26</v>
      </c>
      <c r="IP199" s="21">
        <v>26</v>
      </c>
      <c r="IQ199" s="21">
        <v>28</v>
      </c>
      <c r="IR199" s="21"/>
      <c r="IS199" s="21" t="s">
        <v>853</v>
      </c>
      <c r="IT199" s="21">
        <f t="shared" si="79"/>
        <v>0</v>
      </c>
      <c r="IU199" s="21">
        <f t="shared" si="79"/>
        <v>0</v>
      </c>
      <c r="IV199" s="21">
        <f t="shared" si="79"/>
        <v>4</v>
      </c>
      <c r="IW199" s="21">
        <f t="shared" si="79"/>
        <v>8</v>
      </c>
      <c r="IX199" s="21">
        <f t="shared" si="79"/>
        <v>8</v>
      </c>
      <c r="IY199" s="21">
        <f t="shared" si="79"/>
        <v>12</v>
      </c>
      <c r="IZ199" s="21">
        <f t="shared" si="79"/>
        <v>16</v>
      </c>
      <c r="JA199" s="21">
        <f t="shared" si="79"/>
        <v>16</v>
      </c>
      <c r="JB199" s="21">
        <f t="shared" si="79"/>
        <v>20</v>
      </c>
      <c r="JC199" s="21">
        <f t="shared" si="79"/>
        <v>24</v>
      </c>
      <c r="JD199" s="21">
        <f t="shared" si="79"/>
        <v>28</v>
      </c>
      <c r="JE199" s="21">
        <f t="shared" si="79"/>
        <v>28</v>
      </c>
      <c r="JF199" s="21">
        <f t="shared" si="79"/>
        <v>32</v>
      </c>
      <c r="JG199" s="21">
        <f t="shared" si="79"/>
        <v>36</v>
      </c>
      <c r="JH199" s="21">
        <f t="shared" si="79"/>
        <v>40</v>
      </c>
      <c r="JI199" s="21">
        <f t="shared" si="79"/>
        <v>40</v>
      </c>
      <c r="JJ199" s="21">
        <f t="shared" si="82"/>
        <v>44</v>
      </c>
      <c r="JK199" s="21">
        <f t="shared" si="82"/>
        <v>48</v>
      </c>
      <c r="JL199" s="21">
        <f t="shared" si="82"/>
        <v>52</v>
      </c>
      <c r="JM199" s="21">
        <f t="shared" si="82"/>
        <v>52</v>
      </c>
      <c r="JN199" s="21">
        <f t="shared" si="82"/>
        <v>56</v>
      </c>
      <c r="JO199" s="21"/>
      <c r="JP199" s="21"/>
      <c r="JQ199" s="21"/>
      <c r="JR199" s="21"/>
      <c r="JS199" s="21"/>
      <c r="JT199" s="21"/>
      <c r="JU199" s="21"/>
      <c r="JV199" s="21"/>
      <c r="JW199" s="21"/>
      <c r="JX199" s="21"/>
      <c r="JY199" s="21"/>
      <c r="JZ199" s="21"/>
      <c r="KA199" s="21"/>
      <c r="KB199" s="21"/>
      <c r="KC199" s="21"/>
      <c r="KD199" s="21"/>
      <c r="KE199" s="21"/>
      <c r="KF199" s="21"/>
      <c r="KG199" s="21"/>
      <c r="KH199" s="21"/>
    </row>
    <row r="200" spans="1:294" x14ac:dyDescent="0.25">
      <c r="A200" s="9"/>
      <c r="B200" s="9"/>
      <c r="C200" s="9"/>
      <c r="D200" s="9"/>
      <c r="E200" s="9"/>
      <c r="F200" s="9"/>
      <c r="G200" s="9"/>
      <c r="H200" s="9"/>
      <c r="I200" s="9"/>
      <c r="J200" s="9"/>
      <c r="K200" s="9"/>
      <c r="L200" s="6" t="s">
        <v>67</v>
      </c>
      <c r="M200" s="11">
        <f>INDEX(cennik!$C$2:$L$529,MATCH($L200,cennik!$B$2:$B$522,0),MATCH(M$104,cennik!$C$1:$L$1,0))</f>
        <v>890008</v>
      </c>
      <c r="N200" s="11" t="str">
        <f>INDEX(cennik!$C$2:$L$529,MATCH($L200,cennik!$B$2:$B$522,0),MATCH(N$104,cennik!$C$1:$L$1,0))</f>
        <v>100 szt.</v>
      </c>
      <c r="O200" s="11">
        <f>ROUNDUP(O198/100,0)</f>
        <v>0</v>
      </c>
      <c r="P200" s="34">
        <f>INDEX(cennik!$C$2:$L$529,MATCH($L200,cennik!$B$2:$B$522,0),MATCH(P$104,cennik!$C$1:$L$1,0))</f>
        <v>28.15</v>
      </c>
      <c r="Q200" s="34">
        <f t="shared" si="76"/>
        <v>0</v>
      </c>
      <c r="R200" s="35">
        <f t="shared" si="74"/>
        <v>0</v>
      </c>
      <c r="S200" s="34">
        <f t="shared" si="75"/>
        <v>28.15</v>
      </c>
      <c r="T200" s="34">
        <f t="shared" si="77"/>
        <v>0</v>
      </c>
      <c r="U200" s="34">
        <f>INDEX(cennik!$C$2:$L$529,MATCH($L200,cennik!$B$2:$B$522,0),MATCH(U$104,cennik!$C$1:$L$1,0))*O200</f>
        <v>0</v>
      </c>
      <c r="V200" s="20"/>
      <c r="W200" s="20">
        <v>2000</v>
      </c>
      <c r="X200" s="20">
        <f t="shared" ref="X200:X215" si="83">(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g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+1,IF((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*$E$212)+600&lt;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,(INT((((A205)*(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))+(((A205)-1)*20))/$E$212))+2,0)))*C205</f>
        <v>0</v>
      </c>
      <c r="Y200" s="26">
        <v>50</v>
      </c>
      <c r="Z200" s="20" t="s">
        <v>36</v>
      </c>
      <c r="AA200" s="20" t="s">
        <v>37</v>
      </c>
      <c r="AB200" s="20" t="s">
        <v>150</v>
      </c>
      <c r="AC200" s="20" t="s">
        <v>67</v>
      </c>
      <c r="AD200" s="20">
        <v>50</v>
      </c>
      <c r="AE200" s="20" t="s">
        <v>48</v>
      </c>
      <c r="AF200" s="20" t="s">
        <v>1297</v>
      </c>
      <c r="AG200" s="188" t="s">
        <v>151</v>
      </c>
      <c r="AH200" s="188" t="s">
        <v>151</v>
      </c>
      <c r="AI200" s="20" t="s">
        <v>14</v>
      </c>
      <c r="AJ200" s="20"/>
      <c r="AK200" s="20"/>
      <c r="AL200" s="20"/>
      <c r="AM200" s="20"/>
      <c r="AN200" s="20"/>
      <c r="AO200" s="20"/>
      <c r="AP200" s="20"/>
      <c r="AQ200" s="20"/>
      <c r="AR200" s="20"/>
      <c r="AS200" s="20"/>
      <c r="AT200" s="20"/>
      <c r="AU200" s="20"/>
      <c r="AV200" s="20"/>
      <c r="AW200" s="25"/>
      <c r="AX200" s="20"/>
      <c r="AY200" s="20"/>
      <c r="AZ200" s="20"/>
      <c r="BA200" s="20"/>
      <c r="BB200" s="20"/>
      <c r="BC200" s="20"/>
      <c r="BD200" s="20"/>
      <c r="BE200" s="20"/>
      <c r="BF200" s="20"/>
      <c r="BG200" s="20"/>
      <c r="BH200" s="20"/>
      <c r="BI200" s="20"/>
      <c r="BJ200" s="20"/>
      <c r="BK200" s="20"/>
      <c r="BL200" s="20"/>
      <c r="BM200" s="20"/>
      <c r="BN200" s="20"/>
      <c r="BO200" s="20"/>
      <c r="BP200" s="20"/>
      <c r="BQ200" s="20"/>
      <c r="BR200" s="20"/>
      <c r="BS200" s="20"/>
      <c r="BT200" s="20"/>
      <c r="BU200" s="20"/>
      <c r="BV200" s="20"/>
      <c r="BW200" s="20"/>
      <c r="BX200" s="20"/>
      <c r="BY200" s="20"/>
      <c r="BZ200" s="20"/>
      <c r="CA200" s="20"/>
      <c r="CB200" s="20"/>
      <c r="CC200" s="20"/>
      <c r="CD200" s="20"/>
      <c r="CE200" s="20"/>
      <c r="CF200" s="20"/>
      <c r="CG200" s="20"/>
      <c r="CH200" s="20"/>
      <c r="CI200" s="20"/>
      <c r="CJ200" s="20"/>
      <c r="CK200" s="20"/>
      <c r="CL200" s="20"/>
      <c r="CM200" s="20" t="s">
        <v>480</v>
      </c>
      <c r="CN200" s="20">
        <v>0</v>
      </c>
      <c r="CO200" s="20">
        <v>1</v>
      </c>
      <c r="CP200" s="20">
        <v>2</v>
      </c>
      <c r="CQ200" s="20">
        <v>3</v>
      </c>
      <c r="CR200" s="20">
        <v>4</v>
      </c>
      <c r="CS200" s="20">
        <v>5</v>
      </c>
      <c r="CT200" s="20">
        <v>6</v>
      </c>
      <c r="CU200" s="20">
        <v>7</v>
      </c>
      <c r="CV200" s="20">
        <v>8</v>
      </c>
      <c r="CW200" s="20">
        <v>9</v>
      </c>
      <c r="CX200" s="20">
        <v>10</v>
      </c>
      <c r="CY200" s="20">
        <v>11</v>
      </c>
      <c r="CZ200" s="20">
        <v>12</v>
      </c>
      <c r="DA200" s="20">
        <v>13</v>
      </c>
      <c r="DB200" s="20">
        <v>14</v>
      </c>
      <c r="DC200" s="20">
        <v>15</v>
      </c>
      <c r="DD200" s="20">
        <v>16</v>
      </c>
      <c r="DE200" s="20">
        <v>17</v>
      </c>
      <c r="DF200" s="20">
        <v>18</v>
      </c>
      <c r="DG200" s="20">
        <v>19</v>
      </c>
      <c r="DH200" s="20">
        <v>20</v>
      </c>
      <c r="DI200" s="20"/>
      <c r="DJ200" s="20"/>
      <c r="DK200" s="20"/>
      <c r="DL200" s="20"/>
      <c r="DM200" s="20"/>
      <c r="DN200" s="20"/>
      <c r="DO200" s="20"/>
      <c r="DP200" s="20"/>
      <c r="DQ200" s="20"/>
      <c r="DR200" s="20"/>
      <c r="DS200" s="20"/>
      <c r="DT200" s="20"/>
      <c r="DU200" s="20"/>
      <c r="DV200" s="20"/>
      <c r="DW200" s="20"/>
      <c r="DX200" s="20"/>
      <c r="DY200" s="20"/>
      <c r="DZ200" s="54"/>
      <c r="EA200" s="54"/>
      <c r="EB200" s="54"/>
      <c r="EC200" s="20"/>
      <c r="ED200" s="20"/>
      <c r="EE200" s="20"/>
      <c r="EF200" s="20"/>
      <c r="EG200" s="20"/>
      <c r="EH200" s="20"/>
      <c r="EI200" s="20"/>
      <c r="EJ200" s="20"/>
      <c r="EK200" s="20"/>
      <c r="EL200" s="20"/>
      <c r="EM200" s="20"/>
      <c r="EN200" s="20"/>
      <c r="EO200" s="20"/>
      <c r="EP200" s="20"/>
      <c r="EQ200" s="20"/>
      <c r="ER200" s="20"/>
      <c r="ES200" s="20"/>
      <c r="ET200" s="20"/>
      <c r="EU200" s="20"/>
      <c r="EV200" s="20" t="s">
        <v>11</v>
      </c>
      <c r="EW200" s="20">
        <v>0</v>
      </c>
      <c r="EX200" s="20">
        <v>0</v>
      </c>
      <c r="EY200" s="20">
        <v>0</v>
      </c>
      <c r="EZ200" s="20">
        <v>2</v>
      </c>
      <c r="FA200" s="20">
        <v>2</v>
      </c>
      <c r="FB200" s="20">
        <v>4</v>
      </c>
      <c r="FC200" s="20">
        <v>4</v>
      </c>
      <c r="FD200" s="20">
        <v>6</v>
      </c>
      <c r="FE200" s="20">
        <v>6</v>
      </c>
      <c r="FF200" s="20">
        <v>8</v>
      </c>
      <c r="FG200" s="20">
        <v>8</v>
      </c>
      <c r="FH200" s="20"/>
      <c r="FI200" s="20" t="s">
        <v>214</v>
      </c>
      <c r="FJ200" s="20">
        <v>0</v>
      </c>
      <c r="FK200" s="20">
        <v>0</v>
      </c>
      <c r="FL200" s="20">
        <f t="shared" si="81"/>
        <v>0</v>
      </c>
      <c r="FM200" s="20">
        <v>0</v>
      </c>
      <c r="FN200" s="20">
        <v>0</v>
      </c>
      <c r="FO200" s="20">
        <v>2</v>
      </c>
      <c r="FP200" s="20">
        <v>6</v>
      </c>
      <c r="FQ200" s="20">
        <v>2</v>
      </c>
      <c r="FR200" s="20">
        <v>4</v>
      </c>
      <c r="FS200" s="20">
        <v>8</v>
      </c>
      <c r="FT200" s="20">
        <v>4</v>
      </c>
      <c r="FU200" s="20"/>
      <c r="FV200" s="20"/>
      <c r="FW200" s="20"/>
      <c r="FX200" s="20"/>
      <c r="FY200" s="20"/>
      <c r="FZ200" s="20"/>
      <c r="GA200" s="21"/>
      <c r="GB200" s="21">
        <v>0</v>
      </c>
      <c r="GC200" s="21">
        <v>1</v>
      </c>
      <c r="GD200" s="21">
        <v>2</v>
      </c>
      <c r="GE200" s="21">
        <v>3</v>
      </c>
      <c r="GF200" s="21">
        <v>4</v>
      </c>
      <c r="GG200" s="21">
        <v>5</v>
      </c>
      <c r="GH200" s="21">
        <v>6</v>
      </c>
      <c r="GI200" s="21">
        <v>7</v>
      </c>
      <c r="GJ200" s="21">
        <v>8</v>
      </c>
      <c r="GK200" s="21">
        <v>9</v>
      </c>
      <c r="GL200" s="21">
        <v>10</v>
      </c>
      <c r="GM200" s="21">
        <v>11</v>
      </c>
      <c r="GN200" s="21">
        <v>12</v>
      </c>
      <c r="GO200" s="21">
        <v>13</v>
      </c>
      <c r="GP200" s="21">
        <v>14</v>
      </c>
      <c r="GQ200" s="21">
        <v>15</v>
      </c>
      <c r="GR200" s="21">
        <v>16</v>
      </c>
      <c r="GS200" s="21">
        <v>17</v>
      </c>
      <c r="GT200" s="21">
        <v>18</v>
      </c>
      <c r="GU200" s="21">
        <v>19</v>
      </c>
      <c r="GV200" s="21">
        <v>20</v>
      </c>
      <c r="GW200" s="21"/>
      <c r="GX200" s="21" t="s">
        <v>763</v>
      </c>
      <c r="GY200" s="21"/>
      <c r="GZ200" s="21"/>
      <c r="HA200" s="21"/>
      <c r="HB200" s="21"/>
      <c r="HC200" s="21"/>
      <c r="HD200" s="21"/>
      <c r="HE200" s="21"/>
      <c r="HF200" s="21"/>
      <c r="HG200" s="21"/>
      <c r="HH200" s="21"/>
      <c r="HI200" s="21"/>
      <c r="HJ200" s="21"/>
      <c r="HK200" s="21"/>
      <c r="HL200" s="21"/>
      <c r="HM200" s="21"/>
      <c r="HN200" s="21"/>
      <c r="HO200" s="21"/>
      <c r="HP200" s="21"/>
      <c r="HQ200" s="21"/>
      <c r="HR200" s="21"/>
      <c r="HS200" s="21"/>
      <c r="HT200" s="21"/>
      <c r="HU200" s="21"/>
      <c r="HV200" s="186"/>
      <c r="HW200" s="21"/>
      <c r="HX200" s="21"/>
      <c r="HY200" s="21"/>
      <c r="HZ200" s="21"/>
      <c r="IA200" s="21"/>
      <c r="IB200" s="21"/>
      <c r="IC200" s="21"/>
      <c r="ID200" s="21"/>
      <c r="IE200" s="21"/>
      <c r="IF200" s="21"/>
      <c r="IG200" s="21"/>
      <c r="IH200" s="21"/>
      <c r="II200" s="21"/>
      <c r="IJ200" s="21"/>
      <c r="IK200" s="21"/>
      <c r="IL200" s="21"/>
      <c r="IM200" s="21"/>
      <c r="IN200" s="21"/>
      <c r="IO200" s="21"/>
      <c r="IP200" s="21"/>
      <c r="IQ200" s="21"/>
      <c r="IR200" s="21"/>
      <c r="IS200" s="21"/>
      <c r="IT200" s="21"/>
      <c r="IU200" s="21"/>
      <c r="IV200" s="21"/>
      <c r="IW200" s="21"/>
      <c r="IX200" s="21"/>
      <c r="IY200" s="21"/>
      <c r="IZ200" s="21"/>
      <c r="JA200" s="21"/>
      <c r="JB200" s="21"/>
      <c r="JC200" s="21"/>
      <c r="JD200" s="21"/>
      <c r="JE200" s="21"/>
      <c r="JF200" s="21"/>
      <c r="JG200" s="21"/>
      <c r="JH200" s="21"/>
      <c r="JI200" s="21"/>
      <c r="JJ200" s="21"/>
      <c r="JK200" s="21"/>
      <c r="JL200" s="21"/>
      <c r="JM200" s="21"/>
      <c r="JN200" s="21"/>
      <c r="JO200" s="21"/>
      <c r="JP200" s="21"/>
      <c r="JQ200" s="21"/>
      <c r="JR200" s="21"/>
      <c r="JS200" s="21"/>
      <c r="JT200" s="21"/>
      <c r="JU200" s="21"/>
      <c r="JV200" s="21"/>
      <c r="JW200" s="21"/>
      <c r="JX200" s="21"/>
      <c r="JY200" s="21"/>
      <c r="JZ200" s="21"/>
      <c r="KA200" s="21"/>
      <c r="KB200" s="21"/>
      <c r="KC200" s="21"/>
      <c r="KD200" s="21"/>
      <c r="KE200" s="21"/>
      <c r="KF200" s="21"/>
      <c r="KG200" s="21"/>
      <c r="KH200" s="21"/>
    </row>
    <row r="201" spans="1:294" x14ac:dyDescent="0.25">
      <c r="A201" s="9"/>
      <c r="B201" s="9"/>
      <c r="C201" s="9"/>
      <c r="D201" s="9"/>
      <c r="E201" s="9"/>
      <c r="F201" s="9"/>
      <c r="G201" s="9"/>
      <c r="H201" s="9"/>
      <c r="I201" s="9"/>
      <c r="J201" s="9"/>
      <c r="K201" s="9"/>
      <c r="L201" s="6" t="s">
        <v>396</v>
      </c>
      <c r="M201" s="11">
        <f>INDEX(cennik!$C$2:$L$529,MATCH($L201,cennik!$B$2:$B$522,0),MATCH(M$104,cennik!$C$1:$L$1,0))</f>
        <v>890404</v>
      </c>
      <c r="N201" s="11" t="str">
        <f>INDEX(cennik!$C$2:$L$529,MATCH($L201,cennik!$B$2:$B$522,0),MATCH(N$104,cennik!$C$1:$L$1,0))</f>
        <v>szt.</v>
      </c>
      <c r="O201" s="11">
        <f>SUM(C178:C193)*4</f>
        <v>0</v>
      </c>
      <c r="P201" s="34">
        <f>INDEX(cennik!$C$2:$L$529,MATCH($L201,cennik!$B$2:$B$522,0),MATCH(P$104,cennik!$C$1:$L$1,0))</f>
        <v>0.7</v>
      </c>
      <c r="Q201" s="34">
        <f t="shared" si="76"/>
        <v>0</v>
      </c>
      <c r="R201" s="35">
        <f t="shared" si="74"/>
        <v>0</v>
      </c>
      <c r="S201" s="34">
        <f t="shared" si="75"/>
        <v>0.7</v>
      </c>
      <c r="T201" s="34">
        <f t="shared" si="77"/>
        <v>0</v>
      </c>
      <c r="U201" s="34">
        <f>INDEX(cennik!$C$2:$L$529,MATCH($L201,cennik!$B$2:$B$522,0),MATCH(U$104,cennik!$C$1:$L$1,0))*O201</f>
        <v>0</v>
      </c>
      <c r="V201" s="21"/>
      <c r="W201" s="20"/>
      <c r="X201" s="20">
        <f t="shared" si="83"/>
        <v>0</v>
      </c>
      <c r="Y201" s="26"/>
      <c r="Z201" s="20" t="s">
        <v>13</v>
      </c>
      <c r="AA201" s="20" t="s">
        <v>77</v>
      </c>
      <c r="AB201" s="20"/>
      <c r="AC201" s="20"/>
      <c r="AD201" s="20"/>
      <c r="AE201" s="20" t="s">
        <v>6</v>
      </c>
      <c r="AF201" s="20" t="s">
        <v>78</v>
      </c>
      <c r="AG201" s="20"/>
      <c r="AH201" s="20"/>
      <c r="AI201" s="20"/>
      <c r="AJ201" s="20"/>
      <c r="AK201" s="20"/>
      <c r="AL201" s="20"/>
      <c r="AM201" s="20"/>
      <c r="AN201" s="20"/>
      <c r="AO201" s="21"/>
      <c r="AP201" s="20"/>
      <c r="AQ201" s="20"/>
      <c r="AR201" s="20"/>
      <c r="AS201" s="20"/>
      <c r="AT201" s="20"/>
      <c r="AU201" s="20"/>
      <c r="AV201" s="20"/>
      <c r="AW201" s="20"/>
      <c r="AX201" s="20"/>
      <c r="AY201" s="20"/>
      <c r="AZ201" s="20"/>
      <c r="BA201" s="20"/>
      <c r="BB201" s="20"/>
      <c r="BC201" s="20"/>
      <c r="BD201" s="20"/>
      <c r="BE201" s="20"/>
      <c r="BF201" s="20"/>
      <c r="BG201" s="20"/>
      <c r="BH201" s="20"/>
      <c r="BI201" s="20"/>
      <c r="BJ201" s="20"/>
      <c r="BK201" s="20"/>
      <c r="BL201" s="20"/>
      <c r="BM201" s="20"/>
      <c r="BN201" s="20"/>
      <c r="BO201" s="20"/>
      <c r="BP201" s="20"/>
      <c r="BQ201" s="20"/>
      <c r="BR201" s="20"/>
      <c r="BS201" s="20"/>
      <c r="BT201" s="20"/>
      <c r="BU201" s="20"/>
      <c r="BV201" s="20"/>
      <c r="BW201" s="20"/>
      <c r="BX201" s="20"/>
      <c r="BY201" s="20"/>
      <c r="BZ201" s="20"/>
      <c r="CA201" s="20"/>
      <c r="CB201" s="20"/>
      <c r="CC201" s="20"/>
      <c r="CD201" s="20"/>
      <c r="CE201" s="20"/>
      <c r="CF201" s="20"/>
      <c r="CG201" s="20"/>
      <c r="CH201" s="20"/>
      <c r="CI201" s="20"/>
      <c r="CJ201" s="20"/>
      <c r="CK201" s="20"/>
      <c r="CL201" s="20"/>
      <c r="CM201" s="20" t="s">
        <v>127</v>
      </c>
      <c r="CN201" s="20">
        <v>0</v>
      </c>
      <c r="CO201" s="20">
        <v>2</v>
      </c>
      <c r="CP201" s="20">
        <v>0</v>
      </c>
      <c r="CQ201" s="20">
        <v>4</v>
      </c>
      <c r="CR201" s="20">
        <v>2</v>
      </c>
      <c r="CS201" s="20">
        <v>0</v>
      </c>
      <c r="CT201" s="20">
        <v>4</v>
      </c>
      <c r="CU201" s="20">
        <v>2</v>
      </c>
      <c r="CV201" s="20">
        <v>0</v>
      </c>
      <c r="CW201" s="20">
        <v>4</v>
      </c>
      <c r="CX201" s="20">
        <v>2</v>
      </c>
      <c r="CY201" s="20">
        <v>0</v>
      </c>
      <c r="CZ201" s="20">
        <v>4</v>
      </c>
      <c r="DA201" s="20">
        <v>2</v>
      </c>
      <c r="DB201" s="20">
        <v>0</v>
      </c>
      <c r="DC201" s="20">
        <v>2</v>
      </c>
      <c r="DD201" s="20">
        <v>0</v>
      </c>
      <c r="DE201" s="20">
        <v>4</v>
      </c>
      <c r="DF201" s="20">
        <v>2</v>
      </c>
      <c r="DG201" s="20">
        <v>0</v>
      </c>
      <c r="DH201" s="20">
        <v>4</v>
      </c>
      <c r="DI201" s="20"/>
      <c r="DJ201" s="20"/>
      <c r="DK201" s="20"/>
      <c r="DL201" s="20"/>
      <c r="DM201" s="20"/>
      <c r="DN201" s="20"/>
      <c r="DO201" s="20"/>
      <c r="DP201" s="20"/>
      <c r="DQ201" s="20"/>
      <c r="DR201" s="20"/>
      <c r="DS201" s="20"/>
      <c r="DT201" s="20"/>
      <c r="DU201" s="20"/>
      <c r="DV201" s="20"/>
      <c r="DW201" s="20"/>
      <c r="DX201" s="20"/>
      <c r="DY201" s="20"/>
      <c r="DZ201" s="54"/>
      <c r="EA201" s="54"/>
      <c r="EB201" s="54"/>
      <c r="EC201" s="20"/>
      <c r="ED201" s="20"/>
      <c r="EE201" s="20"/>
      <c r="EF201" s="20"/>
      <c r="EG201" s="20"/>
      <c r="EH201" s="20"/>
      <c r="EI201" s="20"/>
      <c r="EJ201" s="20"/>
      <c r="EK201" s="20"/>
      <c r="EL201" s="20"/>
      <c r="EM201" s="20"/>
      <c r="EN201" s="20"/>
      <c r="EO201" s="20"/>
      <c r="EP201" s="20"/>
      <c r="EQ201" s="20"/>
      <c r="ER201" s="20"/>
      <c r="ES201" s="20"/>
      <c r="ET201" s="20"/>
      <c r="EU201" s="20"/>
      <c r="EV201" s="21"/>
      <c r="EW201" s="21"/>
      <c r="EX201" s="21"/>
      <c r="EY201" s="21"/>
      <c r="EZ201" s="21"/>
      <c r="FA201" s="21"/>
      <c r="FB201" s="21"/>
      <c r="FC201" s="21"/>
      <c r="FD201" s="21"/>
      <c r="FE201" s="21"/>
      <c r="FF201" s="21"/>
      <c r="FG201" s="21"/>
      <c r="FH201" s="20"/>
      <c r="FI201" s="20" t="s">
        <v>11</v>
      </c>
      <c r="FJ201" s="20">
        <v>0</v>
      </c>
      <c r="FK201" s="20">
        <v>0</v>
      </c>
      <c r="FL201" s="20">
        <f t="shared" si="81"/>
        <v>0</v>
      </c>
      <c r="FM201" s="20">
        <v>2</v>
      </c>
      <c r="FN201" s="20">
        <v>4</v>
      </c>
      <c r="FO201" s="20">
        <v>4</v>
      </c>
      <c r="FP201" s="20">
        <v>6</v>
      </c>
      <c r="FQ201" s="20">
        <v>6</v>
      </c>
      <c r="FR201" s="20">
        <v>8</v>
      </c>
      <c r="FS201" s="20">
        <v>8</v>
      </c>
      <c r="FT201" s="20">
        <v>10</v>
      </c>
      <c r="FU201" s="20"/>
      <c r="FV201" s="20"/>
      <c r="FW201" s="20"/>
      <c r="FX201" s="20"/>
      <c r="FY201" s="20"/>
      <c r="FZ201" s="20"/>
      <c r="GA201" s="347" t="s">
        <v>866</v>
      </c>
      <c r="GB201" s="21">
        <v>0</v>
      </c>
      <c r="GC201" s="21">
        <v>1</v>
      </c>
      <c r="GD201" s="21">
        <v>0</v>
      </c>
      <c r="GE201" s="21">
        <v>1</v>
      </c>
      <c r="GF201" s="21">
        <v>1</v>
      </c>
      <c r="GG201" s="21">
        <v>1</v>
      </c>
      <c r="GH201" s="21">
        <v>7</v>
      </c>
      <c r="GI201" s="21">
        <v>8</v>
      </c>
      <c r="GJ201" s="21">
        <v>8</v>
      </c>
      <c r="GK201" s="21">
        <v>8</v>
      </c>
      <c r="GL201" s="21">
        <v>3</v>
      </c>
      <c r="GM201" s="21">
        <v>3</v>
      </c>
      <c r="GN201" s="21">
        <v>3</v>
      </c>
      <c r="GO201" s="21">
        <v>4</v>
      </c>
      <c r="GP201" s="21">
        <v>4</v>
      </c>
      <c r="GQ201" s="21">
        <v>4</v>
      </c>
      <c r="GR201" s="21">
        <v>5</v>
      </c>
      <c r="GS201" s="21">
        <v>5</v>
      </c>
      <c r="GT201" s="21">
        <v>5</v>
      </c>
      <c r="GU201" s="21">
        <v>0</v>
      </c>
      <c r="GV201" s="21">
        <v>0</v>
      </c>
      <c r="GW201" s="21"/>
      <c r="GX201" s="21"/>
      <c r="GY201" s="21">
        <v>0</v>
      </c>
      <c r="GZ201" s="21">
        <v>1</v>
      </c>
      <c r="HA201" s="21">
        <v>2</v>
      </c>
      <c r="HB201" s="21">
        <v>3</v>
      </c>
      <c r="HC201" s="21">
        <v>4</v>
      </c>
      <c r="HD201" s="21">
        <v>5</v>
      </c>
      <c r="HE201" s="21">
        <v>6</v>
      </c>
      <c r="HF201" s="21">
        <v>7</v>
      </c>
      <c r="HG201" s="21">
        <v>8</v>
      </c>
      <c r="HH201" s="21">
        <v>9</v>
      </c>
      <c r="HI201" s="21">
        <v>10</v>
      </c>
      <c r="HJ201" s="21">
        <v>11</v>
      </c>
      <c r="HK201" s="21">
        <v>12</v>
      </c>
      <c r="HL201" s="21">
        <v>13</v>
      </c>
      <c r="HM201" s="21">
        <v>14</v>
      </c>
      <c r="HN201" s="21">
        <v>15</v>
      </c>
      <c r="HO201" s="21">
        <v>16</v>
      </c>
      <c r="HP201" s="21">
        <v>17</v>
      </c>
      <c r="HQ201" s="21">
        <v>18</v>
      </c>
      <c r="HR201" s="21">
        <v>19</v>
      </c>
      <c r="HS201" s="21">
        <v>20</v>
      </c>
      <c r="HT201" s="21"/>
      <c r="HU201" s="346"/>
      <c r="HV201" s="186" t="s">
        <v>832</v>
      </c>
      <c r="HW201" s="21"/>
      <c r="HX201" s="21"/>
      <c r="HY201" s="21"/>
      <c r="HZ201" s="21"/>
      <c r="IA201" s="21"/>
      <c r="IB201" s="21"/>
      <c r="IC201" s="21"/>
      <c r="ID201" s="21"/>
      <c r="IE201" s="21"/>
      <c r="IF201" s="21"/>
      <c r="IG201" s="21"/>
      <c r="IH201" s="21"/>
      <c r="II201" s="21"/>
      <c r="IJ201" s="21"/>
      <c r="IK201" s="21"/>
      <c r="IL201" s="21"/>
      <c r="IM201" s="21"/>
      <c r="IN201" s="21"/>
      <c r="IO201" s="21"/>
      <c r="IP201" s="21"/>
      <c r="IQ201" s="21"/>
      <c r="IR201" s="21"/>
      <c r="IS201" s="21" t="s">
        <v>832</v>
      </c>
      <c r="IT201" s="21"/>
      <c r="IU201" s="21"/>
      <c r="IV201" s="21"/>
      <c r="IW201" s="21"/>
      <c r="IX201" s="21"/>
      <c r="IY201" s="21"/>
      <c r="IZ201" s="21"/>
      <c r="JA201" s="21"/>
      <c r="JB201" s="21"/>
      <c r="JC201" s="21"/>
      <c r="JD201" s="21"/>
      <c r="JE201" s="21"/>
      <c r="JF201" s="21"/>
      <c r="JG201" s="21"/>
      <c r="JH201" s="21"/>
      <c r="JI201" s="21"/>
      <c r="JJ201" s="21"/>
      <c r="JK201" s="21"/>
      <c r="JL201" s="21"/>
      <c r="JM201" s="21"/>
      <c r="JN201" s="21"/>
      <c r="JO201" s="21"/>
      <c r="JP201" s="21"/>
      <c r="JQ201" s="21"/>
      <c r="JR201" s="21"/>
      <c r="JS201" s="21"/>
      <c r="JT201" s="21"/>
      <c r="JU201" s="21"/>
      <c r="JV201" s="21"/>
      <c r="JW201" s="21"/>
      <c r="JX201" s="21"/>
      <c r="JY201" s="21"/>
      <c r="JZ201" s="21"/>
      <c r="KA201" s="21"/>
      <c r="KB201" s="21"/>
      <c r="KC201" s="21"/>
      <c r="KD201" s="21"/>
      <c r="KE201" s="21"/>
      <c r="KF201" s="21"/>
      <c r="KG201" s="21"/>
      <c r="KH201" s="21"/>
    </row>
    <row r="202" spans="1:294" x14ac:dyDescent="0.25">
      <c r="A202" s="9"/>
      <c r="B202" s="9"/>
      <c r="C202" s="9"/>
      <c r="D202" s="9"/>
      <c r="E202" s="9"/>
      <c r="F202" s="9"/>
      <c r="G202" s="9"/>
      <c r="H202" s="9"/>
      <c r="I202" s="9"/>
      <c r="J202" s="9"/>
      <c r="K202" s="9"/>
      <c r="L202" s="6" t="s">
        <v>1019</v>
      </c>
      <c r="M202" s="11">
        <f>INDEX(cennik!$C$2:$L$529,MATCH($L202,cennik!$B$2:$B$522,0),MATCH(M$104,cennik!$C$1:$L$1,0))</f>
        <v>166794</v>
      </c>
      <c r="N202" s="11" t="str">
        <f>INDEX(cennik!$C$2:$L$529,MATCH($L202,cennik!$B$2:$B$522,0),MATCH(N$104,cennik!$C$1:$L$1,0))</f>
        <v>100 szt.</v>
      </c>
      <c r="O202" s="11">
        <f>ROUNDUP((O191/100),0)</f>
        <v>0</v>
      </c>
      <c r="P202" s="34">
        <f>INDEX(cennik!$C$2:$L$529,MATCH($L202,cennik!$B$2:$B$522,0),MATCH(P$104,cennik!$C$1:$L$1,0))</f>
        <v>3.95</v>
      </c>
      <c r="Q202" s="34">
        <f t="shared" si="76"/>
        <v>0</v>
      </c>
      <c r="R202" s="35">
        <f t="shared" si="74"/>
        <v>0</v>
      </c>
      <c r="S202" s="34">
        <f t="shared" si="75"/>
        <v>3.95</v>
      </c>
      <c r="T202" s="34">
        <f t="shared" si="77"/>
        <v>0</v>
      </c>
      <c r="U202" s="34">
        <f>INDEX(cennik!$C$2:$L$529,MATCH($L202,cennik!$B$2:$B$522,0),MATCH(U$104,cennik!$C$1:$L$1,0))*O202</f>
        <v>0</v>
      </c>
      <c r="V202" s="20" t="s">
        <v>838</v>
      </c>
      <c r="W202" s="20" t="s">
        <v>837</v>
      </c>
      <c r="X202" s="20">
        <f t="shared" si="83"/>
        <v>0</v>
      </c>
      <c r="Y202" s="20"/>
      <c r="Z202" s="20"/>
      <c r="AA202" s="20"/>
      <c r="AB202" s="20"/>
      <c r="AC202" s="20"/>
      <c r="AD202" s="20" t="s">
        <v>838</v>
      </c>
      <c r="AE202" s="20" t="s">
        <v>837</v>
      </c>
      <c r="AF202" s="20" t="s">
        <v>837</v>
      </c>
      <c r="AG202" s="20" t="s">
        <v>885</v>
      </c>
      <c r="AH202" s="20"/>
      <c r="AI202" s="20"/>
      <c r="AJ202" s="20"/>
      <c r="AK202" s="20"/>
      <c r="AL202" s="20"/>
      <c r="AM202" s="20"/>
      <c r="AN202" s="20"/>
      <c r="AO202" s="20"/>
      <c r="AP202" s="20"/>
      <c r="AQ202" s="20"/>
      <c r="AR202" s="20"/>
      <c r="AS202" s="20" t="s">
        <v>885</v>
      </c>
      <c r="AT202" s="20"/>
      <c r="AU202" s="21"/>
      <c r="AV202" s="20"/>
      <c r="AW202" s="20"/>
      <c r="AX202" s="20"/>
      <c r="AY202" s="20"/>
      <c r="AZ202" s="20"/>
      <c r="BA202" s="20"/>
      <c r="BB202" s="20"/>
      <c r="BC202" s="20"/>
      <c r="BD202" s="20"/>
      <c r="BE202" s="20"/>
      <c r="BF202" s="20"/>
      <c r="BG202" s="20"/>
      <c r="BH202" s="20"/>
      <c r="BI202" s="20"/>
      <c r="BJ202" s="20"/>
      <c r="BK202" s="20"/>
      <c r="BL202" s="20"/>
      <c r="BM202" s="20"/>
      <c r="BN202" s="20"/>
      <c r="BO202" s="20"/>
      <c r="BP202" s="20"/>
      <c r="BQ202" s="20"/>
      <c r="BR202" s="20"/>
      <c r="BS202" s="20"/>
      <c r="BT202" s="20"/>
      <c r="BU202" s="20"/>
      <c r="BV202" s="20"/>
      <c r="BW202" s="20"/>
      <c r="BX202" s="20"/>
      <c r="BY202" s="20"/>
      <c r="BZ202" s="20"/>
      <c r="CA202" s="20"/>
      <c r="CB202" s="20"/>
      <c r="CC202" s="20"/>
      <c r="CD202" s="20"/>
      <c r="CE202" s="20"/>
      <c r="CF202" s="20"/>
      <c r="CG202" s="20"/>
      <c r="CH202" s="20"/>
      <c r="CI202" s="20"/>
      <c r="CJ202" s="20"/>
      <c r="CK202" s="20"/>
      <c r="CL202" s="20"/>
      <c r="CM202" s="20" t="s">
        <v>19</v>
      </c>
      <c r="CN202" s="20">
        <v>0</v>
      </c>
      <c r="CO202" s="20">
        <v>0</v>
      </c>
      <c r="CP202" s="20">
        <v>2</v>
      </c>
      <c r="CQ202" s="20">
        <v>0</v>
      </c>
      <c r="CR202" s="20">
        <v>2</v>
      </c>
      <c r="CS202" s="20">
        <v>4</v>
      </c>
      <c r="CT202" s="20">
        <v>2</v>
      </c>
      <c r="CU202" s="20">
        <v>4</v>
      </c>
      <c r="CV202" s="20">
        <v>6</v>
      </c>
      <c r="CW202" s="20">
        <v>4</v>
      </c>
      <c r="CX202" s="20">
        <v>6</v>
      </c>
      <c r="CY202" s="20">
        <v>8</v>
      </c>
      <c r="CZ202" s="20">
        <v>6</v>
      </c>
      <c r="DA202" s="20">
        <v>8</v>
      </c>
      <c r="DB202" s="20">
        <v>10</v>
      </c>
      <c r="DC202" s="20">
        <v>10</v>
      </c>
      <c r="DD202" s="20">
        <v>12</v>
      </c>
      <c r="DE202" s="20">
        <v>10</v>
      </c>
      <c r="DF202" s="20">
        <v>12</v>
      </c>
      <c r="DG202" s="20">
        <v>14</v>
      </c>
      <c r="DH202" s="20">
        <v>12</v>
      </c>
      <c r="DI202" s="20"/>
      <c r="DJ202" s="20"/>
      <c r="DK202" s="20"/>
      <c r="DL202" s="20"/>
      <c r="DM202" s="20"/>
      <c r="DN202" s="20"/>
      <c r="DO202" s="20"/>
      <c r="DP202" s="20"/>
      <c r="DQ202" s="20"/>
      <c r="DR202" s="20"/>
      <c r="DS202" s="20"/>
      <c r="DT202" s="20"/>
      <c r="DU202" s="20"/>
      <c r="DV202" s="20"/>
      <c r="DW202" s="20"/>
      <c r="DX202" s="20"/>
      <c r="DY202" s="20"/>
      <c r="DZ202" s="54"/>
      <c r="EA202" s="54"/>
      <c r="EB202" s="54"/>
      <c r="EC202" s="20"/>
      <c r="ED202" s="20"/>
      <c r="EE202" s="20"/>
      <c r="EF202" s="20"/>
      <c r="EG202" s="20"/>
      <c r="EH202" s="20"/>
      <c r="EI202" s="20"/>
      <c r="EJ202" s="20"/>
      <c r="EK202" s="20"/>
      <c r="EL202" s="20"/>
      <c r="EM202" s="20"/>
      <c r="EN202" s="20"/>
      <c r="EO202" s="20"/>
      <c r="EP202" s="20"/>
      <c r="EQ202" s="20"/>
      <c r="ER202" s="20"/>
      <c r="ES202" s="20"/>
      <c r="ET202" s="20"/>
      <c r="EU202" s="20"/>
      <c r="EV202" s="20"/>
      <c r="EW202" s="20"/>
      <c r="EX202" s="20"/>
      <c r="EY202" s="20"/>
      <c r="EZ202" s="20"/>
      <c r="FA202" s="20"/>
      <c r="FB202" s="20"/>
      <c r="FC202" s="20"/>
      <c r="FD202" s="20"/>
      <c r="FE202" s="20"/>
      <c r="FF202" s="20"/>
      <c r="FG202" s="20"/>
      <c r="FH202" s="20"/>
      <c r="FI202" s="21"/>
      <c r="FJ202" s="21"/>
      <c r="FK202" s="21"/>
      <c r="FL202" s="21"/>
      <c r="FM202" s="21"/>
      <c r="FN202" s="21"/>
      <c r="FO202" s="21"/>
      <c r="FP202" s="21"/>
      <c r="FQ202" s="21"/>
      <c r="FR202" s="21"/>
      <c r="FS202" s="21"/>
      <c r="FT202" s="21"/>
      <c r="FU202" s="20"/>
      <c r="FV202" s="20"/>
      <c r="FW202" s="20"/>
      <c r="FX202" s="20"/>
      <c r="FY202" s="20"/>
      <c r="FZ202" s="20"/>
      <c r="GA202" s="347" t="s">
        <v>867</v>
      </c>
      <c r="GB202" s="21">
        <v>0</v>
      </c>
      <c r="GC202" s="21">
        <v>0</v>
      </c>
      <c r="GD202" s="21">
        <v>2</v>
      </c>
      <c r="GE202" s="21">
        <v>2</v>
      </c>
      <c r="GF202" s="21">
        <v>3</v>
      </c>
      <c r="GG202" s="21">
        <v>4</v>
      </c>
      <c r="GH202" s="21">
        <v>0</v>
      </c>
      <c r="GI202" s="21">
        <v>0</v>
      </c>
      <c r="GJ202" s="21">
        <v>1</v>
      </c>
      <c r="GK202" s="21">
        <v>2</v>
      </c>
      <c r="GL202" s="21">
        <v>7</v>
      </c>
      <c r="GM202" s="21">
        <v>8</v>
      </c>
      <c r="GN202" s="21">
        <v>9</v>
      </c>
      <c r="GO202" s="21">
        <v>9</v>
      </c>
      <c r="GP202" s="21">
        <v>10</v>
      </c>
      <c r="GQ202" s="21">
        <v>11</v>
      </c>
      <c r="GR202" s="21">
        <v>11</v>
      </c>
      <c r="GS202" s="21">
        <v>12</v>
      </c>
      <c r="GT202" s="21">
        <v>13</v>
      </c>
      <c r="GU202" s="21">
        <v>18</v>
      </c>
      <c r="GV202" s="21">
        <v>19</v>
      </c>
      <c r="GW202" s="21"/>
      <c r="GX202" s="347" t="s">
        <v>866</v>
      </c>
      <c r="GY202" s="21">
        <v>0</v>
      </c>
      <c r="GZ202" s="21">
        <v>0</v>
      </c>
      <c r="HA202" s="21">
        <v>3</v>
      </c>
      <c r="HB202" s="21">
        <v>1</v>
      </c>
      <c r="HC202" s="21">
        <v>0</v>
      </c>
      <c r="HD202" s="21">
        <v>5</v>
      </c>
      <c r="HE202" s="21">
        <v>3</v>
      </c>
      <c r="HF202" s="21">
        <v>2</v>
      </c>
      <c r="HG202" s="21">
        <v>0</v>
      </c>
      <c r="HH202" s="21">
        <v>5</v>
      </c>
      <c r="HI202" s="21">
        <v>4</v>
      </c>
      <c r="HJ202" s="21">
        <v>2</v>
      </c>
      <c r="HK202" s="21">
        <v>1</v>
      </c>
      <c r="HL202" s="21">
        <v>5</v>
      </c>
      <c r="HM202" s="21">
        <v>4</v>
      </c>
      <c r="HN202" s="21">
        <v>2</v>
      </c>
      <c r="HO202" s="21">
        <v>1</v>
      </c>
      <c r="HP202" s="21">
        <v>0</v>
      </c>
      <c r="HQ202" s="21">
        <v>4</v>
      </c>
      <c r="HR202" s="21">
        <v>2</v>
      </c>
      <c r="HS202" s="21">
        <v>1</v>
      </c>
      <c r="HT202" s="21"/>
      <c r="HU202" s="21"/>
      <c r="HV202" s="186"/>
      <c r="HW202" s="21">
        <v>0</v>
      </c>
      <c r="HX202" s="21">
        <v>1</v>
      </c>
      <c r="HY202" s="21">
        <v>2</v>
      </c>
      <c r="HZ202" s="21">
        <v>3</v>
      </c>
      <c r="IA202" s="21">
        <v>4</v>
      </c>
      <c r="IB202" s="21">
        <v>5</v>
      </c>
      <c r="IC202" s="21">
        <v>6</v>
      </c>
      <c r="ID202" s="21">
        <v>7</v>
      </c>
      <c r="IE202" s="21">
        <v>8</v>
      </c>
      <c r="IF202" s="21">
        <v>9</v>
      </c>
      <c r="IG202" s="21">
        <v>10</v>
      </c>
      <c r="IH202" s="21">
        <v>11</v>
      </c>
      <c r="II202" s="21">
        <v>12</v>
      </c>
      <c r="IJ202" s="21">
        <v>13</v>
      </c>
      <c r="IK202" s="21">
        <v>14</v>
      </c>
      <c r="IL202" s="21">
        <v>15</v>
      </c>
      <c r="IM202" s="21">
        <v>16</v>
      </c>
      <c r="IN202" s="21">
        <v>17</v>
      </c>
      <c r="IO202" s="21">
        <v>18</v>
      </c>
      <c r="IP202" s="21">
        <v>19</v>
      </c>
      <c r="IQ202" s="21">
        <v>20</v>
      </c>
      <c r="IR202" s="21"/>
      <c r="IS202" s="21"/>
      <c r="IT202" s="21">
        <f t="shared" si="79"/>
        <v>0</v>
      </c>
      <c r="IU202" s="21">
        <f t="shared" si="79"/>
        <v>2</v>
      </c>
      <c r="IV202" s="21">
        <f t="shared" si="79"/>
        <v>4</v>
      </c>
      <c r="IW202" s="21">
        <f t="shared" si="79"/>
        <v>6</v>
      </c>
      <c r="IX202" s="21">
        <f t="shared" si="79"/>
        <v>8</v>
      </c>
      <c r="IY202" s="21">
        <f t="shared" si="79"/>
        <v>10</v>
      </c>
      <c r="IZ202" s="21">
        <f t="shared" si="79"/>
        <v>12</v>
      </c>
      <c r="JA202" s="21">
        <f t="shared" si="79"/>
        <v>14</v>
      </c>
      <c r="JB202" s="21">
        <f t="shared" si="79"/>
        <v>16</v>
      </c>
      <c r="JC202" s="21">
        <f t="shared" si="79"/>
        <v>18</v>
      </c>
      <c r="JD202" s="21">
        <f t="shared" si="79"/>
        <v>20</v>
      </c>
      <c r="JE202" s="21">
        <f t="shared" si="79"/>
        <v>22</v>
      </c>
      <c r="JF202" s="21">
        <f t="shared" si="79"/>
        <v>24</v>
      </c>
      <c r="JG202" s="21">
        <f t="shared" si="79"/>
        <v>26</v>
      </c>
      <c r="JH202" s="21">
        <f t="shared" si="79"/>
        <v>28</v>
      </c>
      <c r="JI202" s="21">
        <f t="shared" si="79"/>
        <v>30</v>
      </c>
      <c r="JJ202" s="21">
        <f t="shared" si="82"/>
        <v>32</v>
      </c>
      <c r="JK202" s="21">
        <f t="shared" si="82"/>
        <v>34</v>
      </c>
      <c r="JL202" s="21">
        <f t="shared" si="82"/>
        <v>36</v>
      </c>
      <c r="JM202" s="21">
        <f t="shared" si="82"/>
        <v>38</v>
      </c>
      <c r="JN202" s="21">
        <f t="shared" si="82"/>
        <v>40</v>
      </c>
      <c r="JO202" s="21"/>
      <c r="JP202" s="21"/>
      <c r="JQ202" s="21"/>
      <c r="JR202" s="21"/>
      <c r="JS202" s="21"/>
      <c r="JT202" s="21"/>
      <c r="JU202" s="21"/>
      <c r="JV202" s="21"/>
      <c r="JW202" s="21"/>
      <c r="JX202" s="21"/>
      <c r="JY202" s="21"/>
      <c r="JZ202" s="21"/>
      <c r="KA202" s="21"/>
      <c r="KB202" s="21"/>
      <c r="KC202" s="21"/>
      <c r="KD202" s="21"/>
      <c r="KE202" s="21"/>
      <c r="KF202" s="21"/>
      <c r="KG202" s="21"/>
      <c r="KH202" s="21"/>
    </row>
    <row r="203" spans="1:294" x14ac:dyDescent="0.25">
      <c r="A203" s="9"/>
      <c r="B203" s="9"/>
      <c r="C203" s="9"/>
      <c r="D203" s="9"/>
      <c r="E203" s="9"/>
      <c r="F203" s="9"/>
      <c r="G203" s="9"/>
      <c r="H203" s="9"/>
      <c r="I203" s="9"/>
      <c r="J203" s="9"/>
      <c r="K203" s="9"/>
      <c r="L203" s="9"/>
      <c r="M203" s="9"/>
      <c r="N203" s="9"/>
      <c r="O203" s="9"/>
      <c r="P203" s="9"/>
      <c r="Q203" s="9"/>
      <c r="R203" s="9"/>
      <c r="S203" s="9"/>
      <c r="T203" s="34">
        <f>SUM(T179:T202)</f>
        <v>0</v>
      </c>
      <c r="U203" s="34">
        <f>SUM(U179:U202)</f>
        <v>0</v>
      </c>
      <c r="V203" s="21">
        <f>IF(V206&gt;=V207,V208,IF(V206&lt;V207,V209,0))</f>
        <v>0</v>
      </c>
      <c r="W203" s="20">
        <f>IF(W206&gt;=W207,W208,IF(W206&lt;W207,W209,0))</f>
        <v>1</v>
      </c>
      <c r="X203" s="20">
        <f t="shared" si="83"/>
        <v>0</v>
      </c>
      <c r="Y203" s="20" t="s">
        <v>130</v>
      </c>
      <c r="Z203" s="20" t="s">
        <v>125</v>
      </c>
      <c r="AA203" s="20"/>
      <c r="AB203" s="20"/>
      <c r="AC203" s="20"/>
      <c r="AD203" s="20">
        <f>ROUNDUP((((IF(((INT((((A205*$Z$213)+((A205-1)*20))/2000))*2000)+200)&gt;=(((A205*$Z$213)+((A205-1)*20))),(INT((((A205*$Z$213)+((A205-1)*20))/2000))),IF(((INT((((A205*$Z$213)+((A205-1)*20))/2000))*2000)+200)&lt;(((A205*$Z$213)+((A205-1)*20))),(INT((((A205*$Z$213)+((A205-1)*20))/2000))+1),0)))*C205)/2),0)</f>
        <v>0</v>
      </c>
      <c r="AE203" s="20">
        <f t="shared" ref="AE203:AE218" si="84">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*C205</f>
        <v>0</v>
      </c>
      <c r="AF203" s="20">
        <f>IF(A205&gt;0,AE203,0)</f>
        <v>0</v>
      </c>
      <c r="AG203" s="20">
        <f t="shared" ref="AG203:AG218" si="85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*C205</f>
        <v>0</v>
      </c>
      <c r="AH203" s="20"/>
      <c r="AI203" s="20"/>
      <c r="AJ203" s="20"/>
      <c r="AK203" s="20"/>
      <c r="AL203" s="20"/>
      <c r="AM203" s="20"/>
      <c r="AN203" s="20"/>
      <c r="AO203" s="20"/>
      <c r="AP203" s="20"/>
      <c r="AQ203" s="20"/>
      <c r="AR203" s="20"/>
      <c r="AS203" s="20">
        <f t="shared" ref="AS203:AS218" si="86">((IF(((INT((((A205*$Z$213)+((A205-1)*20))/$E$212))*$E$212)+600)&gt;=(((A205*$Z$213)+((A205-1)*20))),(INT((((A205*$Z$213)+((A205-1)*20))/$E$212))+1),IF(((INT((((A205*$Z$213)+((A205-1)*20))/$E$212))*$E$212)+600)&lt;(((A205*$Z$213)+((A205-1)*20))),(INT((((A205*$Z$213)+((A205-1)*20))/$E$212))+2),0)))-1)</f>
        <v>0</v>
      </c>
      <c r="AT203" s="20">
        <f>IF(AS203&gt;1,(AS203-1)*4*C205,0)</f>
        <v>0</v>
      </c>
      <c r="AU203" s="20"/>
      <c r="AV203" s="20"/>
      <c r="AW203" s="20"/>
      <c r="AX203" s="20"/>
      <c r="AY203" s="20"/>
      <c r="AZ203" s="20"/>
      <c r="BA203" s="20"/>
      <c r="BB203" s="20"/>
      <c r="BC203" s="20"/>
      <c r="BD203" s="20"/>
      <c r="BE203" s="20"/>
      <c r="BF203" s="20"/>
      <c r="BG203" s="20"/>
      <c r="BH203" s="20"/>
      <c r="BI203" s="20"/>
      <c r="BJ203" s="20"/>
      <c r="BK203" s="20"/>
      <c r="BL203" s="20"/>
      <c r="BM203" s="20"/>
      <c r="BN203" s="20"/>
      <c r="BO203" s="20"/>
      <c r="BP203" s="20"/>
      <c r="BQ203" s="20"/>
      <c r="BR203" s="20"/>
      <c r="BS203" s="20"/>
      <c r="BT203" s="20"/>
      <c r="BU203" s="20"/>
      <c r="BV203" s="20"/>
      <c r="BW203" s="20"/>
      <c r="BX203" s="20"/>
      <c r="BY203" s="20"/>
      <c r="BZ203" s="20"/>
      <c r="CA203" s="20"/>
      <c r="CB203" s="20"/>
      <c r="CC203" s="20"/>
      <c r="CD203" s="20"/>
      <c r="CE203" s="20"/>
      <c r="CF203" s="20"/>
      <c r="CG203" s="20"/>
      <c r="CH203" s="20"/>
      <c r="CI203" s="20"/>
      <c r="CJ203" s="20"/>
      <c r="CK203" s="20"/>
      <c r="CL203" s="20"/>
      <c r="CM203" s="20" t="s">
        <v>408</v>
      </c>
      <c r="CN203" s="20">
        <v>0</v>
      </c>
      <c r="CO203" s="20">
        <v>0</v>
      </c>
      <c r="CP203" s="20">
        <v>0</v>
      </c>
      <c r="CQ203" s="20">
        <v>4</v>
      </c>
      <c r="CR203" s="20">
        <v>4</v>
      </c>
      <c r="CS203" s="20">
        <v>4</v>
      </c>
      <c r="CT203" s="20">
        <v>8</v>
      </c>
      <c r="CU203" s="20">
        <v>8</v>
      </c>
      <c r="CV203" s="20">
        <v>8</v>
      </c>
      <c r="CW203" s="20">
        <v>12</v>
      </c>
      <c r="CX203" s="20">
        <v>12</v>
      </c>
      <c r="CY203" s="20">
        <v>12</v>
      </c>
      <c r="CZ203" s="20">
        <v>16</v>
      </c>
      <c r="DA203" s="20">
        <v>16</v>
      </c>
      <c r="DB203" s="20">
        <v>16</v>
      </c>
      <c r="DC203" s="20">
        <v>20</v>
      </c>
      <c r="DD203" s="20">
        <v>20</v>
      </c>
      <c r="DE203" s="20">
        <v>24</v>
      </c>
      <c r="DF203" s="20">
        <v>24</v>
      </c>
      <c r="DG203" s="20">
        <v>24</v>
      </c>
      <c r="DH203" s="20">
        <v>28</v>
      </c>
      <c r="DI203" s="20"/>
      <c r="DJ203" s="20"/>
      <c r="DK203" s="20"/>
      <c r="DL203" s="20"/>
      <c r="DM203" s="20"/>
      <c r="DN203" s="20"/>
      <c r="DO203" s="20"/>
      <c r="DP203" s="20"/>
      <c r="DQ203" s="20"/>
      <c r="DR203" s="20"/>
      <c r="DS203" s="20"/>
      <c r="DT203" s="20"/>
      <c r="DU203" s="20"/>
      <c r="DV203" s="20"/>
      <c r="DW203" s="20"/>
      <c r="DX203" s="20"/>
      <c r="DY203" s="20"/>
      <c r="DZ203" s="54"/>
      <c r="EA203" s="54"/>
      <c r="EB203" s="54"/>
      <c r="EC203" s="20"/>
      <c r="ED203" s="20"/>
      <c r="EE203" s="20"/>
      <c r="EF203" s="20"/>
      <c r="EG203" s="20"/>
      <c r="EH203" s="20"/>
      <c r="EI203" s="20"/>
      <c r="EJ203" s="20"/>
      <c r="EK203" s="20"/>
      <c r="EL203" s="20"/>
      <c r="EM203" s="20"/>
      <c r="EN203" s="20"/>
      <c r="EO203" s="20"/>
      <c r="EP203" s="20"/>
      <c r="EQ203" s="20"/>
      <c r="ER203" s="20"/>
      <c r="ES203" s="20"/>
      <c r="ET203" s="20"/>
      <c r="EU203" s="20"/>
      <c r="EV203" s="20"/>
      <c r="EW203" s="20"/>
      <c r="EX203" s="20"/>
      <c r="EY203" s="20"/>
      <c r="EZ203" s="20"/>
      <c r="FA203" s="20"/>
      <c r="FB203" s="20"/>
      <c r="FC203" s="20"/>
      <c r="FD203" s="20"/>
      <c r="FE203" s="20"/>
      <c r="FF203" s="20"/>
      <c r="FG203" s="20"/>
      <c r="FH203" s="20"/>
      <c r="FI203" s="21"/>
      <c r="FJ203" s="20"/>
      <c r="FK203" s="20"/>
      <c r="FL203" s="20"/>
      <c r="FM203" s="20"/>
      <c r="FN203" s="20"/>
      <c r="FO203" s="20"/>
      <c r="FP203" s="20"/>
      <c r="FQ203" s="20"/>
      <c r="FR203" s="20"/>
      <c r="FS203" s="20"/>
      <c r="FT203" s="20"/>
      <c r="FU203" s="20"/>
      <c r="FV203" s="20"/>
      <c r="FW203" s="20"/>
      <c r="FX203" s="20"/>
      <c r="FY203" s="20"/>
      <c r="FZ203" s="20"/>
      <c r="GA203" s="347" t="s">
        <v>868</v>
      </c>
      <c r="GB203" s="21">
        <v>0</v>
      </c>
      <c r="GC203" s="21">
        <v>0</v>
      </c>
      <c r="GD203" s="21">
        <v>0</v>
      </c>
      <c r="GE203" s="21">
        <v>0</v>
      </c>
      <c r="GF203" s="21">
        <v>0</v>
      </c>
      <c r="GG203" s="21">
        <v>0</v>
      </c>
      <c r="GH203" s="21">
        <v>0</v>
      </c>
      <c r="GI203" s="21">
        <v>0</v>
      </c>
      <c r="GJ203" s="21">
        <v>0</v>
      </c>
      <c r="GK203" s="21">
        <v>0</v>
      </c>
      <c r="GL203" s="21">
        <v>0</v>
      </c>
      <c r="GM203" s="21">
        <v>0</v>
      </c>
      <c r="GN203" s="21">
        <v>0</v>
      </c>
      <c r="GO203" s="21">
        <v>0</v>
      </c>
      <c r="GP203" s="21">
        <v>0</v>
      </c>
      <c r="GQ203" s="21">
        <v>0</v>
      </c>
      <c r="GR203" s="21">
        <v>0</v>
      </c>
      <c r="GS203" s="21">
        <v>0</v>
      </c>
      <c r="GT203" s="21">
        <v>0</v>
      </c>
      <c r="GU203" s="21">
        <v>0</v>
      </c>
      <c r="GV203" s="21">
        <v>0</v>
      </c>
      <c r="GW203" s="21"/>
      <c r="GX203" s="347" t="s">
        <v>867</v>
      </c>
      <c r="GY203" s="21">
        <v>0</v>
      </c>
      <c r="GZ203" s="21">
        <v>0</v>
      </c>
      <c r="HA203" s="21">
        <v>0</v>
      </c>
      <c r="HB203" s="21">
        <v>3</v>
      </c>
      <c r="HC203" s="21">
        <v>5</v>
      </c>
      <c r="HD203" s="21">
        <v>2</v>
      </c>
      <c r="HE203" s="21">
        <v>5</v>
      </c>
      <c r="HF203" s="21">
        <v>7</v>
      </c>
      <c r="HG203" s="21">
        <v>10</v>
      </c>
      <c r="HH203" s="21">
        <v>7</v>
      </c>
      <c r="HI203" s="21">
        <v>9</v>
      </c>
      <c r="HJ203" s="21">
        <v>12</v>
      </c>
      <c r="HK203" s="21">
        <v>14</v>
      </c>
      <c r="HL203" s="21">
        <v>12</v>
      </c>
      <c r="HM203" s="21">
        <v>14</v>
      </c>
      <c r="HN203" s="21">
        <v>17</v>
      </c>
      <c r="HO203" s="21">
        <v>19</v>
      </c>
      <c r="HP203" s="21">
        <v>21</v>
      </c>
      <c r="HQ203" s="21">
        <v>19</v>
      </c>
      <c r="HR203" s="21">
        <v>22</v>
      </c>
      <c r="HS203" s="21">
        <v>24</v>
      </c>
      <c r="HT203" s="21"/>
      <c r="HU203" s="21"/>
      <c r="HV203" s="21" t="s">
        <v>826</v>
      </c>
      <c r="HW203" s="21">
        <v>0</v>
      </c>
      <c r="HX203" s="21">
        <v>2</v>
      </c>
      <c r="HY203" s="21">
        <v>2</v>
      </c>
      <c r="HZ203" s="21">
        <v>4</v>
      </c>
      <c r="IA203" s="21">
        <v>0</v>
      </c>
      <c r="IB203" s="21">
        <v>2</v>
      </c>
      <c r="IC203" s="21">
        <v>4</v>
      </c>
      <c r="ID203" s="21">
        <v>4</v>
      </c>
      <c r="IE203" s="21">
        <v>0</v>
      </c>
      <c r="IF203" s="21">
        <v>2</v>
      </c>
      <c r="IG203" s="21">
        <v>4</v>
      </c>
      <c r="IH203" s="21">
        <v>4</v>
      </c>
      <c r="II203" s="21">
        <v>0</v>
      </c>
      <c r="IJ203" s="21">
        <v>2</v>
      </c>
      <c r="IK203" s="21">
        <v>4</v>
      </c>
      <c r="IL203" s="21">
        <v>4</v>
      </c>
      <c r="IM203" s="21">
        <v>0</v>
      </c>
      <c r="IN203" s="21">
        <v>2</v>
      </c>
      <c r="IO203" s="21">
        <v>4</v>
      </c>
      <c r="IP203" s="21">
        <v>4</v>
      </c>
      <c r="IQ203" s="21">
        <v>0</v>
      </c>
      <c r="IR203" s="21"/>
      <c r="IS203" s="21" t="s">
        <v>826</v>
      </c>
      <c r="IT203" s="21">
        <f t="shared" si="79"/>
        <v>0</v>
      </c>
      <c r="IU203" s="21">
        <f t="shared" si="79"/>
        <v>4</v>
      </c>
      <c r="IV203" s="21">
        <f t="shared" si="79"/>
        <v>4</v>
      </c>
      <c r="IW203" s="21">
        <f t="shared" si="79"/>
        <v>8</v>
      </c>
      <c r="IX203" s="21">
        <f t="shared" si="79"/>
        <v>0</v>
      </c>
      <c r="IY203" s="21">
        <f t="shared" si="79"/>
        <v>4</v>
      </c>
      <c r="IZ203" s="21">
        <f t="shared" si="79"/>
        <v>8</v>
      </c>
      <c r="JA203" s="21">
        <f t="shared" si="79"/>
        <v>8</v>
      </c>
      <c r="JB203" s="21">
        <f t="shared" si="79"/>
        <v>0</v>
      </c>
      <c r="JC203" s="21">
        <f t="shared" si="79"/>
        <v>4</v>
      </c>
      <c r="JD203" s="21">
        <f t="shared" si="79"/>
        <v>8</v>
      </c>
      <c r="JE203" s="21">
        <f t="shared" si="79"/>
        <v>8</v>
      </c>
      <c r="JF203" s="21">
        <f t="shared" si="79"/>
        <v>0</v>
      </c>
      <c r="JG203" s="21">
        <f t="shared" si="79"/>
        <v>4</v>
      </c>
      <c r="JH203" s="21">
        <f t="shared" si="79"/>
        <v>8</v>
      </c>
      <c r="JI203" s="21">
        <f t="shared" si="79"/>
        <v>8</v>
      </c>
      <c r="JJ203" s="21">
        <f t="shared" si="82"/>
        <v>0</v>
      </c>
      <c r="JK203" s="21">
        <f t="shared" si="82"/>
        <v>4</v>
      </c>
      <c r="JL203" s="21">
        <f t="shared" si="82"/>
        <v>8</v>
      </c>
      <c r="JM203" s="21">
        <f t="shared" si="82"/>
        <v>8</v>
      </c>
      <c r="JN203" s="21">
        <f t="shared" si="82"/>
        <v>0</v>
      </c>
      <c r="JO203" s="21"/>
      <c r="JP203" s="21"/>
      <c r="JQ203" s="21"/>
      <c r="JR203" s="21"/>
      <c r="JS203" s="21"/>
      <c r="JT203" s="21"/>
      <c r="JU203" s="21"/>
      <c r="JV203" s="21"/>
      <c r="JW203" s="21"/>
      <c r="JX203" s="21"/>
      <c r="JY203" s="21"/>
      <c r="JZ203" s="21"/>
      <c r="KA203" s="21"/>
      <c r="KB203" s="21"/>
      <c r="KC203" s="21"/>
      <c r="KD203" s="21"/>
      <c r="KE203" s="21"/>
      <c r="KF203" s="21"/>
      <c r="KG203" s="21"/>
      <c r="KH203" s="21"/>
    </row>
    <row r="204" spans="1:294" ht="51.75" x14ac:dyDescent="0.25">
      <c r="A204" s="3" t="s">
        <v>120</v>
      </c>
      <c r="B204" s="3"/>
      <c r="C204" s="3" t="s">
        <v>121</v>
      </c>
      <c r="D204" s="9"/>
      <c r="E204" s="9"/>
      <c r="F204" s="9"/>
      <c r="G204" s="9"/>
      <c r="H204" s="9"/>
      <c r="I204" s="9"/>
      <c r="J204" s="9"/>
      <c r="K204" s="9"/>
      <c r="L204" s="360" t="str">
        <f>IF(E207=$Z$104,"KONSTRUKCJA DP-DTHBN",IF(E207=$Z$105,"KONSTRUKCJA DP-DTHKN",IF(E207=$Z$106,"KONSTRUKCJA DP-DTHWN",IF(E207=$Z$107,"KONSTRUKCJA DP-DTHKSN"))))</f>
        <v>KONSTRUKCJA DP-DTHKN</v>
      </c>
      <c r="M204" s="360"/>
      <c r="N204" s="360"/>
      <c r="O204" s="360"/>
      <c r="P204" s="360"/>
      <c r="Q204" s="360"/>
      <c r="R204" s="360"/>
      <c r="S204" s="360"/>
      <c r="T204" s="360"/>
      <c r="U204" s="360"/>
      <c r="V204" s="21"/>
      <c r="W204" s="20"/>
      <c r="X204" s="20">
        <f t="shared" si="83"/>
        <v>0</v>
      </c>
      <c r="Y204" s="26">
        <v>30</v>
      </c>
      <c r="Z204" s="20" t="s">
        <v>828</v>
      </c>
      <c r="AA204" s="20"/>
      <c r="AB204" s="20">
        <v>1</v>
      </c>
      <c r="AC204" s="20"/>
      <c r="AD204" s="20">
        <f t="shared" ref="AD204:AD218" si="87">ROUNDUP((((IF(((INT((((A206*$Z$213)+((A206-1)*20))/2000))*2000)+200)&gt;=(((A206*$Z$213)+((A206-1)*20))),(INT((((A206*$Z$213)+((A206-1)*20))/2000))),IF(((INT((((A206*$Z$213)+((A206-1)*20))/2000))*2000)+200)&lt;(((A206*$Z$213)+((A206-1)*20))),(INT((((A206*$Z$213)+((A206-1)*20))/2000))+1),0)))*C206)/2),0)</f>
        <v>0</v>
      </c>
      <c r="AE204" s="20">
        <f t="shared" si="84"/>
        <v>0</v>
      </c>
      <c r="AF204" s="20">
        <f>IF(A206&gt;0,AE204,0)</f>
        <v>0</v>
      </c>
      <c r="AG204" s="20">
        <f t="shared" si="85"/>
        <v>0</v>
      </c>
      <c r="AH204" s="20"/>
      <c r="AI204" s="20"/>
      <c r="AJ204" s="20"/>
      <c r="AK204" s="20"/>
      <c r="AL204" s="20"/>
      <c r="AM204" s="20"/>
      <c r="AN204" s="20"/>
      <c r="AO204" s="20"/>
      <c r="AP204" s="20"/>
      <c r="AQ204" s="20"/>
      <c r="AR204" s="20"/>
      <c r="AS204" s="20">
        <f t="shared" si="86"/>
        <v>0</v>
      </c>
      <c r="AT204" s="20">
        <f t="shared" ref="AT204:AT218" si="88">IF(AS204&gt;1,(AS204-1)*4*C206,0)</f>
        <v>0</v>
      </c>
      <c r="AU204" s="20"/>
      <c r="AV204" s="20"/>
      <c r="AW204" s="20"/>
      <c r="AX204" s="20"/>
      <c r="AY204" s="20"/>
      <c r="AZ204" s="20"/>
      <c r="BA204" s="20"/>
      <c r="BB204" s="20"/>
      <c r="BC204" s="20"/>
      <c r="BD204" s="20"/>
      <c r="BE204" s="20"/>
      <c r="BF204" s="20"/>
      <c r="BG204" s="20"/>
      <c r="BH204" s="20"/>
      <c r="BI204" s="20"/>
      <c r="BJ204" s="20"/>
      <c r="BK204" s="20"/>
      <c r="BL204" s="20"/>
      <c r="BM204" s="20"/>
      <c r="BN204" s="20"/>
      <c r="BO204" s="20"/>
      <c r="BP204" s="20"/>
      <c r="BQ204" s="20"/>
      <c r="BR204" s="20"/>
      <c r="BS204" s="20"/>
      <c r="BT204" s="20"/>
      <c r="BU204" s="20"/>
      <c r="BV204" s="20"/>
      <c r="BW204" s="20"/>
      <c r="BX204" s="20"/>
      <c r="BY204" s="20"/>
      <c r="BZ204" s="20"/>
      <c r="CA204" s="20"/>
      <c r="CB204" s="20"/>
      <c r="CC204" s="20"/>
      <c r="CD204" s="20"/>
      <c r="CE204" s="20"/>
      <c r="CF204" s="20"/>
      <c r="CG204" s="20"/>
      <c r="CH204" s="20"/>
      <c r="CI204" s="20"/>
      <c r="CJ204" s="20"/>
      <c r="CK204" s="20"/>
      <c r="CL204" s="20"/>
      <c r="CM204" s="20" t="s">
        <v>518</v>
      </c>
      <c r="CN204" s="20">
        <v>0</v>
      </c>
      <c r="CO204" s="20">
        <v>2</v>
      </c>
      <c r="CP204" s="20">
        <v>0</v>
      </c>
      <c r="CQ204" s="20">
        <v>4</v>
      </c>
      <c r="CR204" s="20">
        <v>2</v>
      </c>
      <c r="CS204" s="20">
        <v>0</v>
      </c>
      <c r="CT204" s="20">
        <v>4</v>
      </c>
      <c r="CU204" s="20">
        <v>2</v>
      </c>
      <c r="CV204" s="20">
        <v>0</v>
      </c>
      <c r="CW204" s="20">
        <v>4</v>
      </c>
      <c r="CX204" s="20">
        <v>2</v>
      </c>
      <c r="CY204" s="20">
        <v>0</v>
      </c>
      <c r="CZ204" s="20">
        <v>4</v>
      </c>
      <c r="DA204" s="20">
        <v>2</v>
      </c>
      <c r="DB204" s="20">
        <v>0</v>
      </c>
      <c r="DC204" s="20">
        <v>2</v>
      </c>
      <c r="DD204" s="20">
        <v>0</v>
      </c>
      <c r="DE204" s="20">
        <v>4</v>
      </c>
      <c r="DF204" s="20">
        <v>2</v>
      </c>
      <c r="DG204" s="20">
        <v>0</v>
      </c>
      <c r="DH204" s="20">
        <v>4</v>
      </c>
      <c r="DI204" s="20"/>
      <c r="DJ204" s="20"/>
      <c r="DK204" s="20"/>
      <c r="DL204" s="20"/>
      <c r="DM204" s="20"/>
      <c r="DN204" s="20"/>
      <c r="DO204" s="20"/>
      <c r="DP204" s="20"/>
      <c r="DQ204" s="20"/>
      <c r="DR204" s="20"/>
      <c r="DS204" s="20"/>
      <c r="DT204" s="20"/>
      <c r="DU204" s="20"/>
      <c r="DV204" s="20"/>
      <c r="DW204" s="20"/>
      <c r="DX204" s="20"/>
      <c r="DY204" s="20"/>
      <c r="DZ204" s="54"/>
      <c r="EA204" s="54"/>
      <c r="EB204" s="54"/>
      <c r="EC204" s="20"/>
      <c r="ED204" s="20"/>
      <c r="EE204" s="20"/>
      <c r="EF204" s="20"/>
      <c r="EG204" s="20"/>
      <c r="EH204" s="20"/>
      <c r="EI204" s="20"/>
      <c r="EJ204" s="20"/>
      <c r="EK204" s="20"/>
      <c r="EL204" s="20"/>
      <c r="EM204" s="20"/>
      <c r="EN204" s="20"/>
      <c r="EO204" s="20"/>
      <c r="EP204" s="20"/>
      <c r="EQ204" s="20"/>
      <c r="ER204" s="20"/>
      <c r="ES204" s="20"/>
      <c r="ET204" s="20"/>
      <c r="EU204" s="20"/>
      <c r="EV204" s="20"/>
      <c r="EW204" s="20"/>
      <c r="EX204" s="20"/>
      <c r="EY204" s="20"/>
      <c r="EZ204" s="20"/>
      <c r="FA204" s="20"/>
      <c r="FB204" s="20"/>
      <c r="FC204" s="20"/>
      <c r="FD204" s="20"/>
      <c r="FE204" s="20"/>
      <c r="FF204" s="20"/>
      <c r="FG204" s="20"/>
      <c r="FH204" s="20"/>
      <c r="FI204" s="20"/>
      <c r="FJ204" s="20"/>
      <c r="FK204" s="20"/>
      <c r="FL204" s="20"/>
      <c r="FM204" s="20"/>
      <c r="FN204" s="20"/>
      <c r="FO204" s="20"/>
      <c r="FP204" s="20"/>
      <c r="FQ204" s="20"/>
      <c r="FR204" s="20"/>
      <c r="FS204" s="20"/>
      <c r="FT204" s="20"/>
      <c r="FU204" s="20"/>
      <c r="FV204" s="20"/>
      <c r="FW204" s="20"/>
      <c r="FX204" s="20"/>
      <c r="FY204" s="20"/>
      <c r="FZ204" s="20"/>
      <c r="GA204" s="21"/>
      <c r="GB204" s="21"/>
      <c r="GC204" s="21"/>
      <c r="GD204" s="21"/>
      <c r="GE204" s="21"/>
      <c r="GF204" s="21"/>
      <c r="GG204" s="21"/>
      <c r="GH204" s="21"/>
      <c r="GI204" s="21"/>
      <c r="GJ204" s="21"/>
      <c r="GK204" s="21"/>
      <c r="GL204" s="21"/>
      <c r="GM204" s="21"/>
      <c r="GN204" s="21"/>
      <c r="GO204" s="21"/>
      <c r="GP204" s="21"/>
      <c r="GQ204" s="21"/>
      <c r="GR204" s="21"/>
      <c r="GS204" s="21"/>
      <c r="GT204" s="21"/>
      <c r="GU204" s="21"/>
      <c r="GV204" s="21"/>
      <c r="GW204" s="21"/>
      <c r="GX204" s="347" t="s">
        <v>868</v>
      </c>
      <c r="GY204" s="21">
        <v>0</v>
      </c>
      <c r="GZ204" s="21">
        <v>1</v>
      </c>
      <c r="HA204" s="21">
        <v>0</v>
      </c>
      <c r="HB204" s="21">
        <v>0</v>
      </c>
      <c r="HC204" s="21">
        <v>0</v>
      </c>
      <c r="HD204" s="21">
        <v>0</v>
      </c>
      <c r="HE204" s="21">
        <v>0</v>
      </c>
      <c r="HF204" s="21">
        <v>0</v>
      </c>
      <c r="HG204" s="21">
        <v>0</v>
      </c>
      <c r="HH204" s="21">
        <v>0</v>
      </c>
      <c r="HI204" s="21">
        <v>0</v>
      </c>
      <c r="HJ204" s="21">
        <v>0</v>
      </c>
      <c r="HK204" s="21">
        <v>0</v>
      </c>
      <c r="HL204" s="21">
        <v>0</v>
      </c>
      <c r="HM204" s="21">
        <v>0</v>
      </c>
      <c r="HN204" s="21">
        <v>0</v>
      </c>
      <c r="HO204" s="21">
        <v>0</v>
      </c>
      <c r="HP204" s="21">
        <v>0</v>
      </c>
      <c r="HQ204" s="21">
        <v>0</v>
      </c>
      <c r="HR204" s="21">
        <v>0</v>
      </c>
      <c r="HS204" s="21">
        <v>0</v>
      </c>
      <c r="HT204" s="21"/>
      <c r="HU204" s="21"/>
      <c r="HV204" s="21" t="s">
        <v>825</v>
      </c>
      <c r="HW204" s="21">
        <v>0</v>
      </c>
      <c r="HX204" s="21">
        <v>0</v>
      </c>
      <c r="HY204" s="21">
        <v>2</v>
      </c>
      <c r="HZ204" s="21">
        <v>2</v>
      </c>
      <c r="IA204" s="21">
        <v>6</v>
      </c>
      <c r="IB204" s="21">
        <v>6</v>
      </c>
      <c r="IC204" s="21">
        <v>6</v>
      </c>
      <c r="ID204" s="21">
        <v>8</v>
      </c>
      <c r="IE204" s="21">
        <v>12</v>
      </c>
      <c r="IF204" s="21">
        <v>12</v>
      </c>
      <c r="IG204" s="21">
        <v>12</v>
      </c>
      <c r="IH204" s="21">
        <v>14</v>
      </c>
      <c r="II204" s="21">
        <v>18</v>
      </c>
      <c r="IJ204" s="21">
        <v>18</v>
      </c>
      <c r="IK204" s="21">
        <v>18</v>
      </c>
      <c r="IL204" s="21">
        <v>20</v>
      </c>
      <c r="IM204" s="21">
        <v>24</v>
      </c>
      <c r="IN204" s="21">
        <v>24</v>
      </c>
      <c r="IO204" s="21">
        <v>24</v>
      </c>
      <c r="IP204" s="21">
        <v>26</v>
      </c>
      <c r="IQ204" s="21">
        <v>30</v>
      </c>
      <c r="IR204" s="21"/>
      <c r="IS204" s="21" t="s">
        <v>825</v>
      </c>
      <c r="IT204" s="21">
        <f t="shared" si="79"/>
        <v>0</v>
      </c>
      <c r="IU204" s="21">
        <f t="shared" si="79"/>
        <v>0</v>
      </c>
      <c r="IV204" s="21">
        <f t="shared" si="79"/>
        <v>4</v>
      </c>
      <c r="IW204" s="21">
        <f t="shared" si="79"/>
        <v>4</v>
      </c>
      <c r="IX204" s="21">
        <f t="shared" si="79"/>
        <v>12</v>
      </c>
      <c r="IY204" s="21">
        <f t="shared" si="79"/>
        <v>12</v>
      </c>
      <c r="IZ204" s="21">
        <f t="shared" si="79"/>
        <v>12</v>
      </c>
      <c r="JA204" s="21">
        <f t="shared" si="79"/>
        <v>16</v>
      </c>
      <c r="JB204" s="21">
        <f t="shared" si="79"/>
        <v>24</v>
      </c>
      <c r="JC204" s="21">
        <f t="shared" si="79"/>
        <v>24</v>
      </c>
      <c r="JD204" s="21">
        <f t="shared" si="79"/>
        <v>24</v>
      </c>
      <c r="JE204" s="21">
        <f t="shared" si="79"/>
        <v>28</v>
      </c>
      <c r="JF204" s="21">
        <f t="shared" si="79"/>
        <v>36</v>
      </c>
      <c r="JG204" s="21">
        <f t="shared" si="79"/>
        <v>36</v>
      </c>
      <c r="JH204" s="21">
        <f t="shared" si="79"/>
        <v>36</v>
      </c>
      <c r="JI204" s="21">
        <f t="shared" si="79"/>
        <v>40</v>
      </c>
      <c r="JJ204" s="21">
        <f t="shared" si="82"/>
        <v>48</v>
      </c>
      <c r="JK204" s="21">
        <f t="shared" si="82"/>
        <v>48</v>
      </c>
      <c r="JL204" s="21">
        <f t="shared" si="82"/>
        <v>48</v>
      </c>
      <c r="JM204" s="21">
        <f t="shared" si="82"/>
        <v>52</v>
      </c>
      <c r="JN204" s="21">
        <f t="shared" si="82"/>
        <v>60</v>
      </c>
      <c r="JO204" s="21"/>
      <c r="JP204" s="21"/>
      <c r="JQ204" s="21"/>
      <c r="JR204" s="21"/>
      <c r="JS204" s="21"/>
      <c r="JT204" s="21"/>
      <c r="JU204" s="21"/>
      <c r="JV204" s="21"/>
      <c r="JW204" s="21"/>
      <c r="JX204" s="21"/>
      <c r="JY204" s="21"/>
      <c r="JZ204" s="21"/>
      <c r="KA204" s="21"/>
      <c r="KB204" s="21"/>
      <c r="KC204" s="21"/>
      <c r="KD204" s="21"/>
      <c r="KE204" s="21"/>
      <c r="KF204" s="21"/>
      <c r="KG204" s="21"/>
      <c r="KH204" s="21"/>
    </row>
    <row r="205" spans="1:294" x14ac:dyDescent="0.25">
      <c r="A205" s="8"/>
      <c r="B205" s="5" t="s">
        <v>116</v>
      </c>
      <c r="C205" s="8"/>
      <c r="D205" s="9"/>
      <c r="E205" s="9"/>
      <c r="F205" s="9"/>
      <c r="G205" s="1"/>
      <c r="H205" s="9"/>
      <c r="I205" s="9"/>
      <c r="J205" s="9"/>
      <c r="K205" s="9"/>
      <c r="L205" s="5" t="s">
        <v>103</v>
      </c>
      <c r="M205" s="5" t="s">
        <v>104</v>
      </c>
      <c r="N205" s="5" t="s">
        <v>107</v>
      </c>
      <c r="O205" s="5" t="s">
        <v>290</v>
      </c>
      <c r="P205" s="5" t="s">
        <v>446</v>
      </c>
      <c r="Q205" s="5" t="s">
        <v>448</v>
      </c>
      <c r="R205" s="5" t="s">
        <v>409</v>
      </c>
      <c r="S205" s="5" t="s">
        <v>447</v>
      </c>
      <c r="T205" s="5" t="s">
        <v>449</v>
      </c>
      <c r="U205" s="5" t="s">
        <v>106</v>
      </c>
      <c r="V205" s="21"/>
      <c r="W205" s="20"/>
      <c r="X205" s="20">
        <f t="shared" si="83"/>
        <v>0</v>
      </c>
      <c r="Y205" s="26">
        <v>32</v>
      </c>
      <c r="Z205" s="20" t="s">
        <v>829</v>
      </c>
      <c r="AA205" s="20"/>
      <c r="AB205" s="20">
        <v>2</v>
      </c>
      <c r="AC205" s="20"/>
      <c r="AD205" s="20">
        <f t="shared" si="87"/>
        <v>0</v>
      </c>
      <c r="AE205" s="20">
        <f t="shared" si="84"/>
        <v>0</v>
      </c>
      <c r="AF205" s="20">
        <f t="shared" ref="AF205:AF218" si="89">IF(A207&gt;0,AE205,0)</f>
        <v>0</v>
      </c>
      <c r="AG205" s="20">
        <f t="shared" si="85"/>
        <v>0</v>
      </c>
      <c r="AH205" s="20" t="s">
        <v>834</v>
      </c>
      <c r="AI205" s="20"/>
      <c r="AJ205" s="20"/>
      <c r="AK205" s="20"/>
      <c r="AL205" s="20"/>
      <c r="AM205" s="20"/>
      <c r="AN205" s="21"/>
      <c r="AO205" s="21"/>
      <c r="AP205" s="21"/>
      <c r="AQ205" s="21"/>
      <c r="AR205" s="21"/>
      <c r="AS205" s="20">
        <f t="shared" si="86"/>
        <v>0</v>
      </c>
      <c r="AT205" s="20">
        <f t="shared" si="88"/>
        <v>0</v>
      </c>
      <c r="AU205" s="20"/>
      <c r="AV205" s="20"/>
      <c r="AW205" s="20"/>
      <c r="AX205" s="20"/>
      <c r="AY205" s="20"/>
      <c r="AZ205" s="20"/>
      <c r="BA205" s="20"/>
      <c r="BB205" s="20"/>
      <c r="BC205" s="20"/>
      <c r="BD205" s="20"/>
      <c r="BE205" s="20"/>
      <c r="BF205" s="20"/>
      <c r="BG205" s="20"/>
      <c r="BH205" s="20"/>
      <c r="BI205" s="20"/>
      <c r="BJ205" s="20"/>
      <c r="BK205" s="20"/>
      <c r="BL205" s="20"/>
      <c r="BM205" s="20"/>
      <c r="BN205" s="20"/>
      <c r="BO205" s="20"/>
      <c r="BP205" s="20"/>
      <c r="BQ205" s="20"/>
      <c r="BR205" s="20"/>
      <c r="BS205" s="20"/>
      <c r="BT205" s="20"/>
      <c r="BU205" s="20"/>
      <c r="BV205" s="20"/>
      <c r="BW205" s="20"/>
      <c r="BX205" s="20"/>
      <c r="BY205" s="20"/>
      <c r="BZ205" s="20"/>
      <c r="CA205" s="20"/>
      <c r="CB205" s="20"/>
      <c r="CC205" s="20"/>
      <c r="CD205" s="20"/>
      <c r="CE205" s="20"/>
      <c r="CF205" s="20"/>
      <c r="CG205" s="20"/>
      <c r="CH205" s="20"/>
      <c r="CI205" s="20"/>
      <c r="CJ205" s="20"/>
      <c r="CK205" s="20"/>
      <c r="CL205" s="20"/>
      <c r="CM205" s="20" t="s">
        <v>520</v>
      </c>
      <c r="CN205" s="20">
        <v>0</v>
      </c>
      <c r="CO205" s="20">
        <v>0</v>
      </c>
      <c r="CP205" s="20">
        <v>2</v>
      </c>
      <c r="CQ205" s="20">
        <v>0</v>
      </c>
      <c r="CR205" s="20">
        <v>2</v>
      </c>
      <c r="CS205" s="20">
        <v>4</v>
      </c>
      <c r="CT205" s="20">
        <v>2</v>
      </c>
      <c r="CU205" s="20">
        <v>4</v>
      </c>
      <c r="CV205" s="20">
        <v>6</v>
      </c>
      <c r="CW205" s="20">
        <v>4</v>
      </c>
      <c r="CX205" s="20">
        <v>6</v>
      </c>
      <c r="CY205" s="20">
        <v>8</v>
      </c>
      <c r="CZ205" s="20">
        <v>6</v>
      </c>
      <c r="DA205" s="20">
        <v>8</v>
      </c>
      <c r="DB205" s="20">
        <v>10</v>
      </c>
      <c r="DC205" s="20">
        <v>10</v>
      </c>
      <c r="DD205" s="20">
        <v>12</v>
      </c>
      <c r="DE205" s="20">
        <v>10</v>
      </c>
      <c r="DF205" s="20">
        <v>12</v>
      </c>
      <c r="DG205" s="20">
        <v>14</v>
      </c>
      <c r="DH205" s="20">
        <v>12</v>
      </c>
      <c r="DI205" s="20"/>
      <c r="DJ205" s="20"/>
      <c r="DK205" s="20"/>
      <c r="DL205" s="20"/>
      <c r="DM205" s="20"/>
      <c r="DN205" s="20"/>
      <c r="DO205" s="20"/>
      <c r="DP205" s="20"/>
      <c r="DQ205" s="20"/>
      <c r="DR205" s="20"/>
      <c r="DS205" s="20"/>
      <c r="DT205" s="20"/>
      <c r="DU205" s="20"/>
      <c r="DV205" s="20"/>
      <c r="DW205" s="20"/>
      <c r="DX205" s="20"/>
      <c r="DY205" s="20"/>
      <c r="DZ205" s="54"/>
      <c r="EA205" s="54"/>
      <c r="EB205" s="54"/>
      <c r="EC205" s="20"/>
      <c r="ED205" s="20"/>
      <c r="EE205" s="20"/>
      <c r="EF205" s="20"/>
      <c r="EG205" s="20"/>
      <c r="EH205" s="20"/>
      <c r="EI205" s="20"/>
      <c r="EJ205" s="20"/>
      <c r="EK205" s="20"/>
      <c r="EL205" s="20"/>
      <c r="EM205" s="20"/>
      <c r="EN205" s="20"/>
      <c r="EO205" s="20"/>
      <c r="EP205" s="20"/>
      <c r="EQ205" s="20"/>
      <c r="ER205" s="20"/>
      <c r="ES205" s="20"/>
      <c r="ET205" s="20"/>
      <c r="EU205" s="20"/>
      <c r="EV205" s="20"/>
      <c r="EW205" s="20"/>
      <c r="EX205" s="20"/>
      <c r="EY205" s="20"/>
      <c r="EZ205" s="20"/>
      <c r="FA205" s="20"/>
      <c r="FB205" s="20"/>
      <c r="FC205" s="20"/>
      <c r="FD205" s="20"/>
      <c r="FE205" s="20"/>
      <c r="FF205" s="20"/>
      <c r="FG205" s="20"/>
      <c r="FH205" s="20"/>
      <c r="FI205" s="20"/>
      <c r="FJ205" s="20"/>
      <c r="FK205" s="20"/>
      <c r="FL205" s="20"/>
      <c r="FM205" s="20"/>
      <c r="FN205" s="20"/>
      <c r="FO205" s="20"/>
      <c r="FP205" s="20"/>
      <c r="FQ205" s="20"/>
      <c r="FR205" s="20"/>
      <c r="FS205" s="20"/>
      <c r="FT205" s="20"/>
      <c r="FU205" s="20"/>
      <c r="FV205" s="20"/>
      <c r="FW205" s="20"/>
      <c r="FX205" s="20"/>
      <c r="FY205" s="20"/>
      <c r="FZ205" s="20"/>
      <c r="GA205" s="21" t="s">
        <v>472</v>
      </c>
      <c r="GB205" s="20"/>
      <c r="GC205" s="20"/>
      <c r="GD205" s="20"/>
      <c r="GE205" s="20"/>
      <c r="GF205" s="20"/>
      <c r="GG205" s="20"/>
      <c r="GH205" s="20"/>
      <c r="GI205" s="20"/>
      <c r="GJ205" s="20"/>
      <c r="GK205" s="20"/>
      <c r="GL205" s="20"/>
      <c r="GM205" s="20"/>
      <c r="GN205" s="20"/>
      <c r="GO205" s="20"/>
      <c r="GP205" s="20"/>
      <c r="GQ205" s="21"/>
      <c r="GR205" s="21"/>
      <c r="GS205" s="21"/>
      <c r="GT205" s="21"/>
      <c r="GU205" s="21"/>
      <c r="GV205" s="21"/>
      <c r="GW205" s="21"/>
      <c r="GX205" s="21"/>
      <c r="GY205" s="21"/>
      <c r="GZ205" s="21"/>
      <c r="HA205" s="21"/>
      <c r="HB205" s="21"/>
      <c r="HC205" s="21"/>
      <c r="HD205" s="21"/>
      <c r="HE205" s="21"/>
      <c r="HF205" s="21"/>
      <c r="HG205" s="21"/>
      <c r="HH205" s="21"/>
      <c r="HI205" s="21"/>
      <c r="HJ205" s="21"/>
      <c r="HK205" s="21"/>
      <c r="HL205" s="21"/>
      <c r="HM205" s="21"/>
      <c r="HN205" s="21"/>
      <c r="HO205" s="21"/>
      <c r="HP205" s="21"/>
      <c r="HQ205" s="21"/>
      <c r="HR205" s="21"/>
      <c r="HS205" s="21"/>
      <c r="HT205" s="21"/>
      <c r="HU205" s="21"/>
      <c r="HV205" s="21" t="s">
        <v>853</v>
      </c>
      <c r="HW205" s="21">
        <v>0</v>
      </c>
      <c r="HX205" s="21">
        <v>0</v>
      </c>
      <c r="HY205" s="21">
        <v>2</v>
      </c>
      <c r="HZ205" s="21">
        <v>4</v>
      </c>
      <c r="IA205" s="21">
        <v>4</v>
      </c>
      <c r="IB205" s="21">
        <v>6</v>
      </c>
      <c r="IC205" s="21">
        <v>8</v>
      </c>
      <c r="ID205" s="21">
        <v>10</v>
      </c>
      <c r="IE205" s="21">
        <v>10</v>
      </c>
      <c r="IF205" s="21">
        <v>12</v>
      </c>
      <c r="IG205" s="21">
        <v>14</v>
      </c>
      <c r="IH205" s="21">
        <v>16</v>
      </c>
      <c r="II205" s="21">
        <v>16</v>
      </c>
      <c r="IJ205" s="21">
        <v>18</v>
      </c>
      <c r="IK205" s="21">
        <v>20</v>
      </c>
      <c r="IL205" s="21">
        <v>22</v>
      </c>
      <c r="IM205" s="21">
        <v>22</v>
      </c>
      <c r="IN205" s="21">
        <v>24</v>
      </c>
      <c r="IO205" s="21">
        <v>26</v>
      </c>
      <c r="IP205" s="21">
        <v>28</v>
      </c>
      <c r="IQ205" s="21">
        <v>28</v>
      </c>
      <c r="IR205" s="21"/>
      <c r="IS205" s="21" t="s">
        <v>853</v>
      </c>
      <c r="IT205" s="21">
        <f t="shared" si="79"/>
        <v>0</v>
      </c>
      <c r="IU205" s="21">
        <f t="shared" si="79"/>
        <v>0</v>
      </c>
      <c r="IV205" s="21">
        <f t="shared" si="79"/>
        <v>4</v>
      </c>
      <c r="IW205" s="21">
        <f t="shared" si="79"/>
        <v>8</v>
      </c>
      <c r="IX205" s="21">
        <f t="shared" si="79"/>
        <v>8</v>
      </c>
      <c r="IY205" s="21">
        <f t="shared" si="79"/>
        <v>12</v>
      </c>
      <c r="IZ205" s="21">
        <f t="shared" si="79"/>
        <v>16</v>
      </c>
      <c r="JA205" s="21">
        <f t="shared" si="79"/>
        <v>20</v>
      </c>
      <c r="JB205" s="21">
        <f t="shared" si="79"/>
        <v>20</v>
      </c>
      <c r="JC205" s="21">
        <f t="shared" si="79"/>
        <v>24</v>
      </c>
      <c r="JD205" s="21">
        <f t="shared" si="79"/>
        <v>28</v>
      </c>
      <c r="JE205" s="21">
        <f t="shared" si="79"/>
        <v>32</v>
      </c>
      <c r="JF205" s="21">
        <f t="shared" si="79"/>
        <v>32</v>
      </c>
      <c r="JG205" s="21">
        <f t="shared" si="79"/>
        <v>36</v>
      </c>
      <c r="JH205" s="21">
        <f t="shared" si="79"/>
        <v>40</v>
      </c>
      <c r="JI205" s="21">
        <f t="shared" si="79"/>
        <v>44</v>
      </c>
      <c r="JJ205" s="21">
        <f t="shared" si="82"/>
        <v>44</v>
      </c>
      <c r="JK205" s="21">
        <f t="shared" si="82"/>
        <v>48</v>
      </c>
      <c r="JL205" s="21">
        <f t="shared" si="82"/>
        <v>52</v>
      </c>
      <c r="JM205" s="21">
        <f t="shared" si="82"/>
        <v>56</v>
      </c>
      <c r="JN205" s="21">
        <f t="shared" si="82"/>
        <v>56</v>
      </c>
      <c r="JO205" s="21"/>
      <c r="JP205" s="21"/>
      <c r="JQ205" s="21"/>
      <c r="JR205" s="21"/>
      <c r="JS205" s="21"/>
      <c r="JT205" s="21"/>
      <c r="JU205" s="21"/>
      <c r="JV205" s="21"/>
      <c r="JW205" s="21"/>
      <c r="JX205" s="21"/>
      <c r="JY205" s="21"/>
      <c r="JZ205" s="21"/>
      <c r="KA205" s="21"/>
      <c r="KB205" s="21"/>
      <c r="KC205" s="21"/>
      <c r="KD205" s="21"/>
      <c r="KE205" s="21"/>
      <c r="KF205" s="21"/>
      <c r="KG205" s="21"/>
      <c r="KH205" s="21"/>
    </row>
    <row r="206" spans="1:294" x14ac:dyDescent="0.25">
      <c r="A206" s="8"/>
      <c r="B206" s="5" t="s">
        <v>116</v>
      </c>
      <c r="C206" s="8"/>
      <c r="D206" s="6" t="s">
        <v>118</v>
      </c>
      <c r="E206" s="8" t="s">
        <v>138</v>
      </c>
      <c r="F206" s="5" t="s">
        <v>116</v>
      </c>
      <c r="G206" s="8" t="s">
        <v>115</v>
      </c>
      <c r="H206" s="5" t="s">
        <v>116</v>
      </c>
      <c r="I206" s="8">
        <v>40</v>
      </c>
      <c r="J206" s="5" t="s">
        <v>119</v>
      </c>
      <c r="K206" s="9"/>
      <c r="L206" s="6" t="s">
        <v>825</v>
      </c>
      <c r="M206" s="11">
        <f>INDEX(cennik!$C$2:$L$529,MATCH($L206,cennik!$B$2:$B$522,0),MATCH(M$205,cennik!$C$1:$L$1,0))</f>
        <v>895333</v>
      </c>
      <c r="N206" s="11" t="str">
        <f>INDEX(cennik!$C$2:$L$529,MATCH($L206,cennik!$B$2:$B$522,0),MATCH(N$104,cennik!$C$1:$L$1,0))</f>
        <v>szt.</v>
      </c>
      <c r="O206" s="11">
        <f>SUM(AF225:AF240)</f>
        <v>0</v>
      </c>
      <c r="P206" s="34">
        <f>INDEX(cennik!$C$2:$L$529,MATCH($L206,cennik!$B$2:$B$522,0),MATCH(P$104,cennik!$C$1:$L$1,0))</f>
        <v>85.5</v>
      </c>
      <c r="Q206" s="34">
        <f>O206*P206</f>
        <v>0</v>
      </c>
      <c r="R206" s="35">
        <f t="shared" ref="R206:R227" si="90">$E$209</f>
        <v>0</v>
      </c>
      <c r="S206" s="34">
        <f t="shared" ref="S206:S227" si="91">P206*((100-$E$209)/100)</f>
        <v>85.5</v>
      </c>
      <c r="T206" s="34">
        <f>O206*S206</f>
        <v>0</v>
      </c>
      <c r="U206" s="34">
        <f>INDEX(cennik!$C$2:$L$529,MATCH($L206,cennik!$B$2:$B$522,0),MATCH(U$104,cennik!$C$1:$L$1,0))*O206</f>
        <v>0</v>
      </c>
      <c r="V206" s="21">
        <f>((INT((((A205*$Z$213)+((A205-1)*20))/900))*900)+200)</f>
        <v>-700</v>
      </c>
      <c r="W206" s="20">
        <f>((INT((((A205*$Z$213)+((A205-1)*20))/$E$212))*$E$212)+600)</f>
        <v>-1400</v>
      </c>
      <c r="X206" s="20">
        <f t="shared" si="83"/>
        <v>0</v>
      </c>
      <c r="Y206" s="26">
        <v>33</v>
      </c>
      <c r="Z206" s="21" t="s">
        <v>506</v>
      </c>
      <c r="AA206" s="20"/>
      <c r="AB206" s="20">
        <v>3</v>
      </c>
      <c r="AC206" s="20"/>
      <c r="AD206" s="20">
        <f t="shared" si="87"/>
        <v>0</v>
      </c>
      <c r="AE206" s="20">
        <f t="shared" si="84"/>
        <v>0</v>
      </c>
      <c r="AF206" s="20">
        <f t="shared" si="89"/>
        <v>0</v>
      </c>
      <c r="AG206" s="20">
        <f t="shared" si="85"/>
        <v>0</v>
      </c>
      <c r="AH206" s="20" t="s">
        <v>717</v>
      </c>
      <c r="AI206" s="20">
        <v>1</v>
      </c>
      <c r="AJ206" s="20">
        <v>2</v>
      </c>
      <c r="AK206" s="20">
        <v>3</v>
      </c>
      <c r="AL206" s="20">
        <v>4</v>
      </c>
      <c r="AM206" s="20">
        <v>5</v>
      </c>
      <c r="AN206" s="21"/>
      <c r="AO206" s="21"/>
      <c r="AP206" s="21"/>
      <c r="AQ206" s="21"/>
      <c r="AR206" s="21"/>
      <c r="AS206" s="20">
        <f t="shared" si="86"/>
        <v>0</v>
      </c>
      <c r="AT206" s="20">
        <f t="shared" si="88"/>
        <v>0</v>
      </c>
      <c r="AU206" s="20"/>
      <c r="AV206" s="20"/>
      <c r="AW206" s="20"/>
      <c r="AX206" s="20" t="s">
        <v>866</v>
      </c>
      <c r="AY206" s="20" t="s">
        <v>867</v>
      </c>
      <c r="AZ206" s="20" t="s">
        <v>868</v>
      </c>
      <c r="BA206" s="20"/>
      <c r="BB206" s="20"/>
      <c r="BC206" s="20"/>
      <c r="BD206" s="20" t="s">
        <v>866</v>
      </c>
      <c r="BE206" s="20" t="s">
        <v>867</v>
      </c>
      <c r="BF206" s="20" t="s">
        <v>868</v>
      </c>
      <c r="BG206" s="20"/>
      <c r="BH206" s="20"/>
      <c r="BI206" s="20"/>
      <c r="BJ206" s="20"/>
      <c r="BK206" s="20" t="s">
        <v>786</v>
      </c>
      <c r="BL206" s="20" t="s">
        <v>786</v>
      </c>
      <c r="BM206" s="20"/>
      <c r="BN206" s="20"/>
      <c r="BO206" s="20"/>
      <c r="BP206" s="20"/>
      <c r="BQ206" s="20"/>
      <c r="BR206" s="20"/>
      <c r="BS206" s="20">
        <v>10</v>
      </c>
      <c r="BT206" s="20">
        <v>15</v>
      </c>
      <c r="BU206" s="20">
        <v>20</v>
      </c>
      <c r="BV206" s="20"/>
      <c r="BW206" s="20"/>
      <c r="BX206" s="20"/>
      <c r="BY206" s="20"/>
      <c r="BZ206" s="20"/>
      <c r="CA206" s="20"/>
      <c r="CB206" s="20"/>
      <c r="CC206" s="20"/>
      <c r="CD206" s="20"/>
      <c r="CE206" s="20"/>
      <c r="CF206" s="20"/>
      <c r="CG206" s="20"/>
      <c r="CH206" s="20"/>
      <c r="CI206" s="20"/>
      <c r="CJ206" s="20"/>
      <c r="CK206" s="20"/>
      <c r="CL206" s="20"/>
      <c r="CM206" s="20" t="s">
        <v>521</v>
      </c>
      <c r="CN206" s="20">
        <v>0</v>
      </c>
      <c r="CO206" s="20">
        <v>0</v>
      </c>
      <c r="CP206" s="20">
        <v>0</v>
      </c>
      <c r="CQ206" s="20">
        <v>4</v>
      </c>
      <c r="CR206" s="20">
        <v>4</v>
      </c>
      <c r="CS206" s="20">
        <v>4</v>
      </c>
      <c r="CT206" s="20">
        <v>8</v>
      </c>
      <c r="CU206" s="20">
        <v>8</v>
      </c>
      <c r="CV206" s="20">
        <v>8</v>
      </c>
      <c r="CW206" s="20">
        <v>12</v>
      </c>
      <c r="CX206" s="20">
        <v>12</v>
      </c>
      <c r="CY206" s="20">
        <v>12</v>
      </c>
      <c r="CZ206" s="20">
        <v>16</v>
      </c>
      <c r="DA206" s="20">
        <v>16</v>
      </c>
      <c r="DB206" s="20">
        <v>16</v>
      </c>
      <c r="DC206" s="20">
        <v>20</v>
      </c>
      <c r="DD206" s="20">
        <v>20</v>
      </c>
      <c r="DE206" s="20">
        <v>24</v>
      </c>
      <c r="DF206" s="20">
        <v>24</v>
      </c>
      <c r="DG206" s="20">
        <v>24</v>
      </c>
      <c r="DH206" s="20">
        <v>28</v>
      </c>
      <c r="DI206" s="20"/>
      <c r="DJ206" s="20"/>
      <c r="DK206" s="20"/>
      <c r="DL206" s="20"/>
      <c r="DM206" s="20"/>
      <c r="DN206" s="20"/>
      <c r="DO206" s="20"/>
      <c r="DP206" s="20"/>
      <c r="DQ206" s="20"/>
      <c r="DR206" s="20"/>
      <c r="DS206" s="20"/>
      <c r="DT206" s="20"/>
      <c r="DU206" s="20"/>
      <c r="DV206" s="20"/>
      <c r="DW206" s="20"/>
      <c r="DX206" s="20"/>
      <c r="DY206" s="20"/>
      <c r="DZ206" s="54"/>
      <c r="EA206" s="54"/>
      <c r="EB206" s="54"/>
      <c r="EC206" s="20"/>
      <c r="ED206" s="20"/>
      <c r="EE206" s="20"/>
      <c r="EF206" s="20"/>
      <c r="EG206" s="20"/>
      <c r="EH206" s="20"/>
      <c r="EI206" s="20"/>
      <c r="EJ206" s="20"/>
      <c r="EK206" s="20"/>
      <c r="EL206" s="20"/>
      <c r="EM206" s="20"/>
      <c r="EN206" s="20"/>
      <c r="EO206" s="20"/>
      <c r="EP206" s="20"/>
      <c r="EQ206" s="20"/>
      <c r="ER206" s="20"/>
      <c r="ES206" s="20"/>
      <c r="ET206" s="20"/>
      <c r="EU206" s="20"/>
      <c r="EV206" s="20"/>
      <c r="EW206" s="20"/>
      <c r="EX206" s="20"/>
      <c r="EY206" s="20"/>
      <c r="EZ206" s="20"/>
      <c r="FA206" s="20"/>
      <c r="FB206" s="20"/>
      <c r="FC206" s="20"/>
      <c r="FD206" s="20"/>
      <c r="FE206" s="20"/>
      <c r="FF206" s="20"/>
      <c r="FG206" s="20"/>
      <c r="FH206" s="20"/>
      <c r="FI206" s="20"/>
      <c r="FJ206" s="20"/>
      <c r="FK206" s="20"/>
      <c r="FL206" s="20"/>
      <c r="FM206" s="20"/>
      <c r="FN206" s="20"/>
      <c r="FO206" s="20"/>
      <c r="FP206" s="20"/>
      <c r="FQ206" s="20"/>
      <c r="FR206" s="20"/>
      <c r="FS206" s="20"/>
      <c r="FT206" s="20"/>
      <c r="FU206" s="20"/>
      <c r="FV206" s="20"/>
      <c r="FW206" s="20"/>
      <c r="FX206" s="20"/>
      <c r="FY206" s="20"/>
      <c r="FZ206" s="20"/>
      <c r="GA206" s="21"/>
      <c r="GB206" s="21">
        <v>0</v>
      </c>
      <c r="GC206" s="21">
        <v>1</v>
      </c>
      <c r="GD206" s="21">
        <v>2</v>
      </c>
      <c r="GE206" s="21">
        <v>3</v>
      </c>
      <c r="GF206" s="21">
        <v>4</v>
      </c>
      <c r="GG206" s="21">
        <v>5</v>
      </c>
      <c r="GH206" s="21">
        <v>6</v>
      </c>
      <c r="GI206" s="21">
        <v>7</v>
      </c>
      <c r="GJ206" s="21">
        <v>8</v>
      </c>
      <c r="GK206" s="21">
        <v>9</v>
      </c>
      <c r="GL206" s="21">
        <v>10</v>
      </c>
      <c r="GM206" s="21">
        <v>11</v>
      </c>
      <c r="GN206" s="21">
        <v>12</v>
      </c>
      <c r="GO206" s="21">
        <v>13</v>
      </c>
      <c r="GP206" s="21">
        <v>14</v>
      </c>
      <c r="GQ206" s="21">
        <v>15</v>
      </c>
      <c r="GR206" s="21">
        <v>16</v>
      </c>
      <c r="GS206" s="21">
        <v>17</v>
      </c>
      <c r="GT206" s="21">
        <v>18</v>
      </c>
      <c r="GU206" s="21">
        <v>19</v>
      </c>
      <c r="GV206" s="21">
        <v>20</v>
      </c>
      <c r="GW206" s="21"/>
      <c r="GX206" s="21" t="s">
        <v>764</v>
      </c>
      <c r="GY206" s="21"/>
      <c r="GZ206" s="21"/>
      <c r="HA206" s="21"/>
      <c r="HB206" s="21"/>
      <c r="HC206" s="21"/>
      <c r="HD206" s="21"/>
      <c r="HE206" s="21"/>
      <c r="HF206" s="21"/>
      <c r="HG206" s="21"/>
      <c r="HH206" s="21"/>
      <c r="HI206" s="21"/>
      <c r="HJ206" s="21"/>
      <c r="HK206" s="21"/>
      <c r="HL206" s="21"/>
      <c r="HM206" s="21"/>
      <c r="HN206" s="21"/>
      <c r="HO206" s="21"/>
      <c r="HP206" s="21"/>
      <c r="HQ206" s="21"/>
      <c r="HR206" s="21"/>
      <c r="HS206" s="21"/>
      <c r="HT206" s="21"/>
      <c r="HU206" s="21"/>
      <c r="HV206" s="186"/>
      <c r="HW206" s="21"/>
      <c r="HX206" s="21"/>
      <c r="HY206" s="21"/>
      <c r="HZ206" s="21"/>
      <c r="IA206" s="21"/>
      <c r="IB206" s="21"/>
      <c r="IC206" s="21"/>
      <c r="ID206" s="21"/>
      <c r="IE206" s="21"/>
      <c r="IF206" s="21"/>
      <c r="IG206" s="21"/>
      <c r="IH206" s="21"/>
      <c r="II206" s="21"/>
      <c r="IJ206" s="21"/>
      <c r="IK206" s="21"/>
      <c r="IL206" s="21"/>
      <c r="IM206" s="21"/>
      <c r="IN206" s="21"/>
      <c r="IO206" s="21"/>
      <c r="IP206" s="21"/>
      <c r="IQ206" s="21"/>
      <c r="IR206" s="21"/>
      <c r="IS206" s="21"/>
      <c r="IT206" s="21"/>
      <c r="IU206" s="21"/>
      <c r="IV206" s="21"/>
      <c r="IW206" s="21"/>
      <c r="IX206" s="21"/>
      <c r="IY206" s="21"/>
      <c r="IZ206" s="21"/>
      <c r="JA206" s="21"/>
      <c r="JB206" s="21"/>
      <c r="JC206" s="21"/>
      <c r="JD206" s="21"/>
      <c r="JE206" s="21"/>
      <c r="JF206" s="21"/>
      <c r="JG206" s="21"/>
      <c r="JH206" s="21"/>
      <c r="JI206" s="21"/>
      <c r="JJ206" s="21"/>
      <c r="JK206" s="21"/>
      <c r="JL206" s="21"/>
      <c r="JM206" s="21"/>
      <c r="JN206" s="21"/>
      <c r="JO206" s="21"/>
      <c r="JP206" s="21"/>
      <c r="JQ206" s="21"/>
      <c r="JR206" s="21"/>
      <c r="JS206" s="21"/>
      <c r="JT206" s="21"/>
      <c r="JU206" s="21"/>
      <c r="JV206" s="21"/>
      <c r="JW206" s="21"/>
      <c r="JX206" s="21"/>
      <c r="JY206" s="21"/>
      <c r="JZ206" s="21"/>
      <c r="KA206" s="21"/>
      <c r="KB206" s="21"/>
      <c r="KC206" s="21"/>
      <c r="KD206" s="21"/>
      <c r="KE206" s="21"/>
      <c r="KF206" s="21"/>
      <c r="KG206" s="21"/>
      <c r="KH206" s="21"/>
    </row>
    <row r="207" spans="1:294" x14ac:dyDescent="0.25">
      <c r="A207" s="8"/>
      <c r="B207" s="5" t="s">
        <v>116</v>
      </c>
      <c r="C207" s="8"/>
      <c r="D207" s="6" t="s">
        <v>307</v>
      </c>
      <c r="E207" s="8" t="s">
        <v>309</v>
      </c>
      <c r="F207" s="362" t="str">
        <f>IF(E207=$Z$104,"wartość balastu określa konstruktor","")</f>
        <v/>
      </c>
      <c r="G207" s="362"/>
      <c r="H207" s="362"/>
      <c r="I207" s="362"/>
      <c r="J207" s="5" t="s">
        <v>119</v>
      </c>
      <c r="K207" s="9"/>
      <c r="L207" s="6" t="s">
        <v>826</v>
      </c>
      <c r="M207" s="11">
        <f>INDEX(cennik!$C$2:$L$529,MATCH($L207,cennik!$B$2:$B$522,0),MATCH(M$205,cennik!$C$1:$L$1,0))</f>
        <v>895322</v>
      </c>
      <c r="N207" s="11" t="str">
        <f>INDEX(cennik!$C$2:$L$529,MATCH($L207,cennik!$B$2:$B$522,0),MATCH(N$104,cennik!$C$1:$L$1,0))</f>
        <v>szt.</v>
      </c>
      <c r="O207" s="11">
        <f>SUM(AE225:AE240)</f>
        <v>0</v>
      </c>
      <c r="P207" s="34">
        <f>INDEX(cennik!$C$2:$L$529,MATCH($L207,cennik!$B$2:$B$522,0),MATCH(P$104,cennik!$C$1:$L$1,0))</f>
        <v>57</v>
      </c>
      <c r="Q207" s="34">
        <f t="shared" ref="Q207:Q222" si="92">O207*P207</f>
        <v>0</v>
      </c>
      <c r="R207" s="35">
        <f t="shared" si="90"/>
        <v>0</v>
      </c>
      <c r="S207" s="34">
        <f t="shared" si="91"/>
        <v>57</v>
      </c>
      <c r="T207" s="34">
        <f t="shared" ref="T207:T222" si="93">O207*S207</f>
        <v>0</v>
      </c>
      <c r="U207" s="34">
        <f>INDEX(cennik!$C$2:$L$529,MATCH($L207,cennik!$B$2:$B$522,0),MATCH(U$104,cennik!$C$1:$L$1,0))*O207</f>
        <v>0</v>
      </c>
      <c r="V207" s="21">
        <f>(((A205*$Z$213)+((A205-1)*20)))</f>
        <v>-20</v>
      </c>
      <c r="W207" s="20">
        <f>(((A205*$Z$213)+((A205-1)*20)))</f>
        <v>-20</v>
      </c>
      <c r="X207" s="20">
        <f t="shared" si="83"/>
        <v>0</v>
      </c>
      <c r="Y207" s="26">
        <v>34</v>
      </c>
      <c r="Z207" s="21" t="s">
        <v>506</v>
      </c>
      <c r="AA207" s="20"/>
      <c r="AB207" s="20">
        <v>4</v>
      </c>
      <c r="AC207" s="20"/>
      <c r="AD207" s="20">
        <f t="shared" si="87"/>
        <v>0</v>
      </c>
      <c r="AE207" s="20">
        <f t="shared" si="84"/>
        <v>0</v>
      </c>
      <c r="AF207" s="20">
        <f t="shared" si="89"/>
        <v>0</v>
      </c>
      <c r="AG207" s="20">
        <f t="shared" si="85"/>
        <v>0</v>
      </c>
      <c r="AH207" s="20">
        <v>1</v>
      </c>
      <c r="AI207" s="20">
        <v>1400</v>
      </c>
      <c r="AJ207" s="20">
        <v>1400</v>
      </c>
      <c r="AK207" s="20">
        <v>1400</v>
      </c>
      <c r="AL207" s="20">
        <v>1100</v>
      </c>
      <c r="AM207" s="20" t="s">
        <v>719</v>
      </c>
      <c r="AN207" s="21"/>
      <c r="AO207" s="21"/>
      <c r="AP207" s="21"/>
      <c r="AQ207" s="21"/>
      <c r="AR207" s="21"/>
      <c r="AS207" s="20">
        <f t="shared" si="86"/>
        <v>0</v>
      </c>
      <c r="AT207" s="20">
        <f t="shared" si="88"/>
        <v>0</v>
      </c>
      <c r="AU207" s="20"/>
      <c r="AV207" s="20"/>
      <c r="AW207" s="20"/>
      <c r="AX20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</f>
        <v>0</v>
      </c>
      <c r="AY20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</f>
        <v>0</v>
      </c>
      <c r="AZ20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</f>
        <v>0</v>
      </c>
      <c r="BA207" s="20"/>
      <c r="BB207" s="20"/>
      <c r="BC207" s="20"/>
      <c r="BD20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205,$GB$182:$GV$182,0),MATCH($E$206,$X$109:$X$126,0)))*$C205</f>
        <v>0</v>
      </c>
      <c r="BE20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205,$GB$182:$GV$182,0),MATCH($E$206,$X$109:$X$126,0)))*$C205</f>
        <v>0</v>
      </c>
      <c r="BF20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205,$GB$182:$GV$182,0),MATCH($E$206,$X$109:$X$126,0)))*$C205</f>
        <v>0</v>
      </c>
      <c r="BG207" s="20"/>
      <c r="BH207" s="20"/>
      <c r="BI207" s="20"/>
      <c r="BJ207" s="20">
        <f>SUM(AX207:AZ207)</f>
        <v>0</v>
      </c>
      <c r="BK207" s="20">
        <f>IF(BJ207&lt;=1,0,IF(BJ207&gt;1,(BJ207*4-4),0))</f>
        <v>0</v>
      </c>
      <c r="BL207" s="20">
        <f t="shared" ref="BL207:BL222" si="94">BK207*C205</f>
        <v>0</v>
      </c>
      <c r="BM207" s="20"/>
      <c r="BN207" s="20"/>
      <c r="BO207" s="20"/>
      <c r="BP207" s="20"/>
      <c r="BQ207" s="20"/>
      <c r="BR207" s="20">
        <v>1100</v>
      </c>
      <c r="BS207" s="20" t="s">
        <v>1363</v>
      </c>
      <c r="BT207" s="20" t="s">
        <v>1369</v>
      </c>
      <c r="BU207" s="20" t="s">
        <v>1286</v>
      </c>
      <c r="BV207" s="20"/>
      <c r="BW207" s="20"/>
      <c r="BX207" s="20"/>
      <c r="BY207" s="20"/>
      <c r="BZ207" s="20"/>
      <c r="CA207" s="20"/>
      <c r="CB207" s="20"/>
      <c r="CC207" s="20"/>
      <c r="CD207" s="20"/>
      <c r="CE207" s="20"/>
      <c r="CF207" s="20"/>
      <c r="CG207" s="20"/>
      <c r="CH207" s="20"/>
      <c r="CI207" s="20"/>
      <c r="CJ207" s="20"/>
      <c r="CK207" s="20"/>
      <c r="CL207" s="20"/>
      <c r="CM207" s="20"/>
      <c r="CN207" s="20"/>
      <c r="CO207" s="20"/>
      <c r="CP207" s="20"/>
      <c r="CQ207" s="20"/>
      <c r="CR207" s="20"/>
      <c r="CS207" s="20"/>
      <c r="CT207" s="20"/>
      <c r="CU207" s="20"/>
      <c r="CV207" s="20"/>
      <c r="CW207" s="20"/>
      <c r="CX207" s="20"/>
      <c r="CY207" s="20"/>
      <c r="CZ207" s="20"/>
      <c r="DA207" s="20"/>
      <c r="DB207" s="20"/>
      <c r="DC207" s="20"/>
      <c r="DD207" s="20"/>
      <c r="DE207" s="20"/>
      <c r="DF207" s="20"/>
      <c r="DG207" s="20"/>
      <c r="DH207" s="20"/>
      <c r="DI207" s="20"/>
      <c r="DJ207" s="20"/>
      <c r="DK207" s="20"/>
      <c r="DL207" s="20"/>
      <c r="DM207" s="20"/>
      <c r="DN207" s="20"/>
      <c r="DO207" s="20"/>
      <c r="DP207" s="20"/>
      <c r="DQ207" s="20"/>
      <c r="DR207" s="20"/>
      <c r="DS207" s="20"/>
      <c r="DT207" s="20"/>
      <c r="DU207" s="20"/>
      <c r="DV207" s="20"/>
      <c r="DW207" s="20"/>
      <c r="DX207" s="20"/>
      <c r="DY207" s="20"/>
      <c r="DZ207" s="54"/>
      <c r="EA207" s="54"/>
      <c r="EB207" s="54"/>
      <c r="EC207" s="20"/>
      <c r="ED207" s="20"/>
      <c r="EE207" s="20"/>
      <c r="EF207" s="20"/>
      <c r="EG207" s="20"/>
      <c r="EH207" s="20"/>
      <c r="EI207" s="20"/>
      <c r="EJ207" s="20"/>
      <c r="EK207" s="20"/>
      <c r="EL207" s="20"/>
      <c r="EM207" s="20"/>
      <c r="EN207" s="20"/>
      <c r="EO207" s="20"/>
      <c r="EP207" s="20"/>
      <c r="EQ207" s="20"/>
      <c r="ER207" s="20"/>
      <c r="ES207" s="20"/>
      <c r="ET207" s="20"/>
      <c r="EU207" s="20"/>
      <c r="EV207" s="20"/>
      <c r="EW207" s="20"/>
      <c r="EX207" s="20"/>
      <c r="EY207" s="20"/>
      <c r="EZ207" s="20"/>
      <c r="FA207" s="20"/>
      <c r="FB207" s="20"/>
      <c r="FC207" s="20"/>
      <c r="FD207" s="20"/>
      <c r="FE207" s="20"/>
      <c r="FF207" s="20"/>
      <c r="FG207" s="20"/>
      <c r="FH207" s="20"/>
      <c r="FI207" s="20"/>
      <c r="FJ207" s="20"/>
      <c r="FK207" s="20"/>
      <c r="FL207" s="20"/>
      <c r="FM207" s="20"/>
      <c r="FN207" s="20"/>
      <c r="FO207" s="20"/>
      <c r="FP207" s="20"/>
      <c r="FQ207" s="20"/>
      <c r="FR207" s="20"/>
      <c r="FS207" s="20"/>
      <c r="FT207" s="20"/>
      <c r="FU207" s="20"/>
      <c r="FV207" s="20"/>
      <c r="FW207" s="20"/>
      <c r="FX207" s="20"/>
      <c r="FY207" s="20"/>
      <c r="FZ207" s="20"/>
      <c r="GA207" s="347" t="s">
        <v>866</v>
      </c>
      <c r="GB207" s="21">
        <v>0</v>
      </c>
      <c r="GC207" s="21">
        <v>0</v>
      </c>
      <c r="GD207" s="21">
        <v>0</v>
      </c>
      <c r="GE207" s="21">
        <v>0</v>
      </c>
      <c r="GF207" s="21">
        <v>0</v>
      </c>
      <c r="GG207" s="21">
        <v>0</v>
      </c>
      <c r="GH207" s="21">
        <v>1</v>
      </c>
      <c r="GI207" s="21">
        <v>1</v>
      </c>
      <c r="GJ207" s="21">
        <v>1</v>
      </c>
      <c r="GK207" s="21">
        <v>1</v>
      </c>
      <c r="GL207" s="21">
        <v>1</v>
      </c>
      <c r="GM207" s="21">
        <v>1</v>
      </c>
      <c r="GN207" s="21">
        <v>1</v>
      </c>
      <c r="GO207" s="21">
        <v>2</v>
      </c>
      <c r="GP207" s="21">
        <v>2</v>
      </c>
      <c r="GQ207" s="21">
        <v>2</v>
      </c>
      <c r="GR207" s="21">
        <v>2</v>
      </c>
      <c r="GS207" s="21">
        <v>2</v>
      </c>
      <c r="GT207" s="21">
        <v>2</v>
      </c>
      <c r="GU207" s="21">
        <v>2</v>
      </c>
      <c r="GV207" s="21">
        <v>2</v>
      </c>
      <c r="GW207" s="21"/>
      <c r="GX207" s="21"/>
      <c r="GY207" s="21">
        <v>0</v>
      </c>
      <c r="GZ207" s="21">
        <v>1</v>
      </c>
      <c r="HA207" s="21">
        <v>2</v>
      </c>
      <c r="HB207" s="21">
        <v>3</v>
      </c>
      <c r="HC207" s="21">
        <v>4</v>
      </c>
      <c r="HD207" s="21">
        <v>5</v>
      </c>
      <c r="HE207" s="21">
        <v>6</v>
      </c>
      <c r="HF207" s="21">
        <v>7</v>
      </c>
      <c r="HG207" s="21">
        <v>8</v>
      </c>
      <c r="HH207" s="21">
        <v>9</v>
      </c>
      <c r="HI207" s="21">
        <v>10</v>
      </c>
      <c r="HJ207" s="21">
        <v>11</v>
      </c>
      <c r="HK207" s="21">
        <v>12</v>
      </c>
      <c r="HL207" s="21">
        <v>13</v>
      </c>
      <c r="HM207" s="21">
        <v>14</v>
      </c>
      <c r="HN207" s="21">
        <v>15</v>
      </c>
      <c r="HO207" s="21">
        <v>16</v>
      </c>
      <c r="HP207" s="21">
        <v>17</v>
      </c>
      <c r="HQ207" s="21">
        <v>18</v>
      </c>
      <c r="HR207" s="21">
        <v>19</v>
      </c>
      <c r="HS207" s="21">
        <v>20</v>
      </c>
      <c r="HT207" s="21"/>
      <c r="HU207" s="346"/>
      <c r="HV207" s="186" t="s">
        <v>833</v>
      </c>
      <c r="HW207" s="21"/>
      <c r="HX207" s="21"/>
      <c r="HY207" s="21"/>
      <c r="HZ207" s="21"/>
      <c r="IA207" s="21"/>
      <c r="IB207" s="21"/>
      <c r="IC207" s="21"/>
      <c r="ID207" s="21"/>
      <c r="IE207" s="21"/>
      <c r="IF207" s="21"/>
      <c r="IG207" s="21"/>
      <c r="IH207" s="21"/>
      <c r="II207" s="21"/>
      <c r="IJ207" s="21"/>
      <c r="IK207" s="21"/>
      <c r="IL207" s="21"/>
      <c r="IM207" s="21"/>
      <c r="IN207" s="21"/>
      <c r="IO207" s="21"/>
      <c r="IP207" s="21"/>
      <c r="IQ207" s="21"/>
      <c r="IR207" s="21"/>
      <c r="IS207" s="21" t="s">
        <v>833</v>
      </c>
      <c r="IT207" s="21"/>
      <c r="IU207" s="21"/>
      <c r="IV207" s="21"/>
      <c r="IW207" s="21"/>
      <c r="IX207" s="21"/>
      <c r="IY207" s="21"/>
      <c r="IZ207" s="21"/>
      <c r="JA207" s="21"/>
      <c r="JB207" s="21"/>
      <c r="JC207" s="21"/>
      <c r="JD207" s="21"/>
      <c r="JE207" s="21"/>
      <c r="JF207" s="21"/>
      <c r="JG207" s="21"/>
      <c r="JH207" s="21"/>
      <c r="JI207" s="21"/>
      <c r="JJ207" s="21"/>
      <c r="JK207" s="21"/>
      <c r="JL207" s="21"/>
      <c r="JM207" s="21"/>
      <c r="JN207" s="21"/>
      <c r="JO207" s="21"/>
      <c r="JP207" s="21"/>
      <c r="JQ207" s="21"/>
      <c r="JR207" s="21"/>
      <c r="JS207" s="21"/>
      <c r="JT207" s="21"/>
      <c r="JU207" s="21"/>
      <c r="JV207" s="21"/>
      <c r="JW207" s="21"/>
      <c r="JX207" s="21"/>
      <c r="JY207" s="21"/>
      <c r="JZ207" s="21"/>
      <c r="KA207" s="21"/>
      <c r="KB207" s="21"/>
      <c r="KC207" s="21"/>
      <c r="KD207" s="21"/>
      <c r="KE207" s="21"/>
      <c r="KF207" s="21"/>
      <c r="KG207" s="21"/>
      <c r="KH207" s="21"/>
    </row>
    <row r="208" spans="1:294" x14ac:dyDescent="0.25">
      <c r="A208" s="8"/>
      <c r="B208" s="5" t="s">
        <v>116</v>
      </c>
      <c r="C208" s="8"/>
      <c r="D208" s="6" t="s">
        <v>310</v>
      </c>
      <c r="E208" s="8">
        <v>15</v>
      </c>
      <c r="F208" s="362"/>
      <c r="G208" s="362"/>
      <c r="H208" s="362"/>
      <c r="I208" s="362"/>
      <c r="J208" s="5" t="s">
        <v>411</v>
      </c>
      <c r="K208" s="9"/>
      <c r="L208" s="6" t="s">
        <v>853</v>
      </c>
      <c r="M208" s="11">
        <f>INDEX(cennik!$C$2:$L$529,MATCH($L208,cennik!$B$2:$B$522,0),MATCH(M$205,cennik!$C$1:$L$1,0))</f>
        <v>620415</v>
      </c>
      <c r="N208" s="11" t="str">
        <f>INDEX(cennik!$C$2:$L$529,MATCH($L208,cennik!$B$2:$B$522,0),MATCH(N$104,cennik!$C$1:$L$1,0))</f>
        <v>szt.</v>
      </c>
      <c r="O208" s="11">
        <f>SUM(AD225:AD240)</f>
        <v>0</v>
      </c>
      <c r="P208" s="34">
        <f>INDEX(cennik!$C$2:$L$529,MATCH($L208,cennik!$B$2:$B$522,0),MATCH(P$104,cennik!$C$1:$L$1,0))</f>
        <v>8.33</v>
      </c>
      <c r="Q208" s="34">
        <f t="shared" si="92"/>
        <v>0</v>
      </c>
      <c r="R208" s="35">
        <f t="shared" si="90"/>
        <v>0</v>
      </c>
      <c r="S208" s="34">
        <f t="shared" si="91"/>
        <v>8.33</v>
      </c>
      <c r="T208" s="34">
        <f t="shared" si="93"/>
        <v>0</v>
      </c>
      <c r="U208" s="34">
        <f>INDEX(cennik!$C$2:$L$529,MATCH($L208,cennik!$B$2:$B$522,0),MATCH(U$104,cennik!$C$1:$L$1,0))*O208</f>
        <v>0</v>
      </c>
      <c r="V208" s="21">
        <f>(INT((((A205*$Z$213)+((A205-1)*20))/900)))</f>
        <v>-1</v>
      </c>
      <c r="W208" s="20">
        <f>(INT((((A205*$Z$213)+((A205-1)*20))/$E$212))+1)</f>
        <v>0</v>
      </c>
      <c r="X208" s="20">
        <f t="shared" si="83"/>
        <v>0</v>
      </c>
      <c r="Y208" s="26">
        <v>35</v>
      </c>
      <c r="Z208" s="20" t="s">
        <v>830</v>
      </c>
      <c r="AA208" s="20"/>
      <c r="AB208" s="20">
        <v>5</v>
      </c>
      <c r="AC208" s="20"/>
      <c r="AD208" s="20">
        <f t="shared" si="87"/>
        <v>0</v>
      </c>
      <c r="AE208" s="20">
        <f t="shared" si="84"/>
        <v>0</v>
      </c>
      <c r="AF208" s="20">
        <f t="shared" si="89"/>
        <v>0</v>
      </c>
      <c r="AG208" s="20">
        <f t="shared" si="85"/>
        <v>0</v>
      </c>
      <c r="AH208" s="20">
        <v>2</v>
      </c>
      <c r="AI208" s="20" t="s">
        <v>719</v>
      </c>
      <c r="AJ208" s="20">
        <v>700</v>
      </c>
      <c r="AK208" s="20">
        <v>700</v>
      </c>
      <c r="AL208" s="20" t="s">
        <v>719</v>
      </c>
      <c r="AM208" s="20" t="s">
        <v>719</v>
      </c>
      <c r="AN208" s="21"/>
      <c r="AO208" s="21"/>
      <c r="AP208" s="21"/>
      <c r="AQ208" s="21"/>
      <c r="AR208" s="21"/>
      <c r="AS208" s="20">
        <f t="shared" si="86"/>
        <v>0</v>
      </c>
      <c r="AT208" s="20">
        <f t="shared" si="88"/>
        <v>0</v>
      </c>
      <c r="AU208" s="20"/>
      <c r="AV208" s="20"/>
      <c r="AW208" s="20"/>
      <c r="AX20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</f>
        <v>0</v>
      </c>
      <c r="AY20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</f>
        <v>0</v>
      </c>
      <c r="AZ20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</f>
        <v>0</v>
      </c>
      <c r="BA208" s="20"/>
      <c r="BB208" s="20"/>
      <c r="BC208" s="20"/>
      <c r="BD20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206,$GB$182:$GV$182,0),MATCH($E$206,$X$109:$X$126,0)))*$C206</f>
        <v>0</v>
      </c>
      <c r="BE20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206,$GB$182:$GV$182,0),MATCH($E$206,$X$109:$X$126,0)))*$C206</f>
        <v>0</v>
      </c>
      <c r="BF20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206,$GB$182:$GV$182,0),MATCH($E$206,$X$109:$X$126,0)))*$C206</f>
        <v>0</v>
      </c>
      <c r="BG208" s="20"/>
      <c r="BH208" s="20"/>
      <c r="BI208" s="20"/>
      <c r="BJ208" s="20">
        <f>SUM(AX208:AZ208)</f>
        <v>0</v>
      </c>
      <c r="BK208" s="20">
        <f t="shared" ref="BK208:BK222" si="95">IF(BJ208&lt;=1,0,IF(BJ208&gt;1,(BJ208*4-4),0))</f>
        <v>0</v>
      </c>
      <c r="BL208" s="20">
        <f t="shared" si="94"/>
        <v>0</v>
      </c>
      <c r="BM208" s="20"/>
      <c r="BN208" s="20"/>
      <c r="BO208" s="20"/>
      <c r="BP208" s="20"/>
      <c r="BQ208" s="20"/>
      <c r="BR208" s="20">
        <v>1300</v>
      </c>
      <c r="BS208" s="20" t="s">
        <v>1363</v>
      </c>
      <c r="BT208" s="20" t="s">
        <v>1369</v>
      </c>
      <c r="BU208" s="20" t="s">
        <v>1286</v>
      </c>
      <c r="BV208" s="20"/>
      <c r="BW208" s="20"/>
      <c r="BX208" s="20"/>
      <c r="BY208" s="20"/>
      <c r="BZ208" s="20"/>
      <c r="CA208" s="20"/>
      <c r="CB208" s="20"/>
      <c r="CC208" s="20"/>
      <c r="CD208" s="20"/>
      <c r="CE208" s="20"/>
      <c r="CF208" s="20"/>
      <c r="CG208" s="20"/>
      <c r="CH208" s="20"/>
      <c r="CI208" s="20"/>
      <c r="CJ208" s="20"/>
      <c r="CK208" s="20"/>
      <c r="CL208" s="20"/>
      <c r="CM208" s="20"/>
      <c r="CN208" s="20"/>
      <c r="CO208" s="20"/>
      <c r="CP208" s="20"/>
      <c r="CQ208" s="20"/>
      <c r="CR208" s="20"/>
      <c r="CS208" s="20"/>
      <c r="CT208" s="20"/>
      <c r="CU208" s="20"/>
      <c r="CV208" s="20"/>
      <c r="CW208" s="20"/>
      <c r="CX208" s="20"/>
      <c r="CY208" s="20"/>
      <c r="CZ208" s="20"/>
      <c r="DA208" s="20"/>
      <c r="DB208" s="20"/>
      <c r="DC208" s="20"/>
      <c r="DD208" s="20"/>
      <c r="DE208" s="20"/>
      <c r="DF208" s="20"/>
      <c r="DG208" s="20"/>
      <c r="DH208" s="20"/>
      <c r="DI208" s="20"/>
      <c r="DJ208" s="20"/>
      <c r="DK208" s="20"/>
      <c r="DL208" s="20"/>
      <c r="DM208" s="20"/>
      <c r="DN208" s="20"/>
      <c r="DO208" s="20"/>
      <c r="DP208" s="20"/>
      <c r="DQ208" s="20"/>
      <c r="DR208" s="20"/>
      <c r="DS208" s="20"/>
      <c r="DT208" s="20"/>
      <c r="DU208" s="20"/>
      <c r="DV208" s="20"/>
      <c r="DW208" s="20"/>
      <c r="DX208" s="20"/>
      <c r="DY208" s="20"/>
      <c r="DZ208" s="54"/>
      <c r="EA208" s="54"/>
      <c r="EB208" s="54"/>
      <c r="EC208" s="20"/>
      <c r="ED208" s="20"/>
      <c r="EE208" s="20"/>
      <c r="EF208" s="20"/>
      <c r="EG208" s="20"/>
      <c r="EH208" s="20"/>
      <c r="EI208" s="20"/>
      <c r="EJ208" s="20"/>
      <c r="EK208" s="20"/>
      <c r="EL208" s="20"/>
      <c r="EM208" s="20"/>
      <c r="EN208" s="20"/>
      <c r="EO208" s="20"/>
      <c r="EP208" s="20"/>
      <c r="EQ208" s="20"/>
      <c r="ER208" s="20"/>
      <c r="ES208" s="20"/>
      <c r="ET208" s="20"/>
      <c r="EU208" s="20"/>
      <c r="EV208" s="20"/>
      <c r="EW208" s="20"/>
      <c r="EX208" s="20"/>
      <c r="EY208" s="20"/>
      <c r="EZ208" s="20"/>
      <c r="FA208" s="20"/>
      <c r="FB208" s="20"/>
      <c r="FC208" s="20"/>
      <c r="FD208" s="20"/>
      <c r="FE208" s="20"/>
      <c r="FF208" s="20"/>
      <c r="FG208" s="20"/>
      <c r="FH208" s="20"/>
      <c r="FI208" s="20"/>
      <c r="FJ208" s="20"/>
      <c r="FK208" s="20"/>
      <c r="FL208" s="20"/>
      <c r="FM208" s="20"/>
      <c r="FN208" s="20"/>
      <c r="FO208" s="20"/>
      <c r="FP208" s="20"/>
      <c r="FQ208" s="20"/>
      <c r="FR208" s="20"/>
      <c r="FS208" s="20"/>
      <c r="FT208" s="20"/>
      <c r="FU208" s="20"/>
      <c r="FV208" s="20"/>
      <c r="FW208" s="20"/>
      <c r="FX208" s="20"/>
      <c r="FY208" s="20"/>
      <c r="FZ208" s="20"/>
      <c r="GA208" s="347" t="s">
        <v>867</v>
      </c>
      <c r="GB208" s="21">
        <v>0</v>
      </c>
      <c r="GC208" s="21">
        <v>1</v>
      </c>
      <c r="GD208" s="21">
        <v>2</v>
      </c>
      <c r="GE208" s="21">
        <v>3</v>
      </c>
      <c r="GF208" s="21">
        <v>4</v>
      </c>
      <c r="GG208" s="21">
        <v>5</v>
      </c>
      <c r="GH208" s="21">
        <v>5</v>
      </c>
      <c r="GI208" s="21">
        <v>6</v>
      </c>
      <c r="GJ208" s="21">
        <v>7</v>
      </c>
      <c r="GK208" s="21">
        <v>8</v>
      </c>
      <c r="GL208" s="21">
        <v>9</v>
      </c>
      <c r="GM208" s="21">
        <v>10</v>
      </c>
      <c r="GN208" s="21">
        <v>11</v>
      </c>
      <c r="GO208" s="21">
        <v>11</v>
      </c>
      <c r="GP208" s="21">
        <v>12</v>
      </c>
      <c r="GQ208" s="21">
        <v>13</v>
      </c>
      <c r="GR208" s="21">
        <v>14</v>
      </c>
      <c r="GS208" s="21">
        <v>15</v>
      </c>
      <c r="GT208" s="21">
        <v>16</v>
      </c>
      <c r="GU208" s="21">
        <v>17</v>
      </c>
      <c r="GV208" s="21">
        <v>18</v>
      </c>
      <c r="GW208" s="21"/>
      <c r="GX208" s="347" t="s">
        <v>866</v>
      </c>
      <c r="GY208" s="21">
        <v>0</v>
      </c>
      <c r="GZ208" s="20">
        <f>FY273</f>
        <v>0</v>
      </c>
      <c r="HA208" s="21">
        <v>2</v>
      </c>
      <c r="HB208" s="21">
        <v>1</v>
      </c>
      <c r="HC208" s="21">
        <v>5</v>
      </c>
      <c r="HD208" s="21">
        <v>4</v>
      </c>
      <c r="HE208" s="21">
        <v>2</v>
      </c>
      <c r="HF208" s="21">
        <v>1</v>
      </c>
      <c r="HG208" s="21">
        <v>5</v>
      </c>
      <c r="HH208" s="21">
        <v>4</v>
      </c>
      <c r="HI208" s="21">
        <v>2</v>
      </c>
      <c r="HJ208" s="21">
        <v>0</v>
      </c>
      <c r="HK208" s="21">
        <v>5</v>
      </c>
      <c r="HL208" s="21">
        <v>3</v>
      </c>
      <c r="HM208" s="21">
        <v>2</v>
      </c>
      <c r="HN208" s="21">
        <v>0</v>
      </c>
      <c r="HO208" s="21">
        <v>4</v>
      </c>
      <c r="HP208" s="21">
        <v>3</v>
      </c>
      <c r="HQ208" s="21">
        <v>1</v>
      </c>
      <c r="HR208" s="21">
        <v>0</v>
      </c>
      <c r="HS208" s="21">
        <v>4</v>
      </c>
      <c r="HT208" s="21"/>
      <c r="HU208" s="21"/>
      <c r="HV208" s="186"/>
      <c r="HW208" s="21">
        <v>0</v>
      </c>
      <c r="HX208" s="21">
        <v>1</v>
      </c>
      <c r="HY208" s="21">
        <v>2</v>
      </c>
      <c r="HZ208" s="21">
        <v>3</v>
      </c>
      <c r="IA208" s="21">
        <v>4</v>
      </c>
      <c r="IB208" s="21">
        <v>5</v>
      </c>
      <c r="IC208" s="21">
        <v>6</v>
      </c>
      <c r="ID208" s="21">
        <v>7</v>
      </c>
      <c r="IE208" s="21">
        <v>8</v>
      </c>
      <c r="IF208" s="21">
        <v>9</v>
      </c>
      <c r="IG208" s="21">
        <v>10</v>
      </c>
      <c r="IH208" s="21">
        <v>11</v>
      </c>
      <c r="II208" s="21">
        <v>12</v>
      </c>
      <c r="IJ208" s="21">
        <v>13</v>
      </c>
      <c r="IK208" s="21">
        <v>14</v>
      </c>
      <c r="IL208" s="21">
        <v>15</v>
      </c>
      <c r="IM208" s="21">
        <v>16</v>
      </c>
      <c r="IN208" s="21">
        <v>17</v>
      </c>
      <c r="IO208" s="21">
        <v>18</v>
      </c>
      <c r="IP208" s="21">
        <v>19</v>
      </c>
      <c r="IQ208" s="21">
        <v>20</v>
      </c>
      <c r="IR208" s="21"/>
      <c r="IS208" s="21"/>
      <c r="IT208" s="21">
        <f t="shared" si="79"/>
        <v>0</v>
      </c>
      <c r="IU208" s="21">
        <f t="shared" si="79"/>
        <v>2</v>
      </c>
      <c r="IV208" s="21">
        <f t="shared" si="79"/>
        <v>4</v>
      </c>
      <c r="IW208" s="21">
        <f t="shared" si="79"/>
        <v>6</v>
      </c>
      <c r="IX208" s="21">
        <f t="shared" si="79"/>
        <v>8</v>
      </c>
      <c r="IY208" s="21">
        <f t="shared" si="79"/>
        <v>10</v>
      </c>
      <c r="IZ208" s="21">
        <f t="shared" si="79"/>
        <v>12</v>
      </c>
      <c r="JA208" s="21">
        <f t="shared" si="79"/>
        <v>14</v>
      </c>
      <c r="JB208" s="21">
        <f t="shared" si="79"/>
        <v>16</v>
      </c>
      <c r="JC208" s="21">
        <f t="shared" si="79"/>
        <v>18</v>
      </c>
      <c r="JD208" s="21">
        <f t="shared" si="79"/>
        <v>20</v>
      </c>
      <c r="JE208" s="21">
        <f t="shared" si="79"/>
        <v>22</v>
      </c>
      <c r="JF208" s="21">
        <f t="shared" si="79"/>
        <v>24</v>
      </c>
      <c r="JG208" s="21">
        <f t="shared" si="79"/>
        <v>26</v>
      </c>
      <c r="JH208" s="21">
        <f t="shared" si="79"/>
        <v>28</v>
      </c>
      <c r="JI208" s="21">
        <f t="shared" si="79"/>
        <v>30</v>
      </c>
      <c r="JJ208" s="21">
        <f t="shared" si="82"/>
        <v>32</v>
      </c>
      <c r="JK208" s="21">
        <f t="shared" si="82"/>
        <v>34</v>
      </c>
      <c r="JL208" s="21">
        <f t="shared" si="82"/>
        <v>36</v>
      </c>
      <c r="JM208" s="21">
        <f t="shared" si="82"/>
        <v>38</v>
      </c>
      <c r="JN208" s="21">
        <f t="shared" si="82"/>
        <v>40</v>
      </c>
      <c r="JO208" s="21"/>
      <c r="JP208" s="21"/>
      <c r="JQ208" s="21"/>
      <c r="JR208" s="21"/>
      <c r="JS208" s="21"/>
      <c r="JT208" s="21"/>
      <c r="JU208" s="21"/>
      <c r="JV208" s="21"/>
      <c r="JW208" s="21"/>
      <c r="JX208" s="21"/>
      <c r="JY208" s="21"/>
      <c r="JZ208" s="21"/>
      <c r="KA208" s="21"/>
      <c r="KB208" s="21"/>
      <c r="KC208" s="21"/>
      <c r="KD208" s="21"/>
      <c r="KE208" s="21"/>
      <c r="KF208" s="21"/>
      <c r="KG208" s="21"/>
      <c r="KH208" s="21"/>
    </row>
    <row r="209" spans="1:294" x14ac:dyDescent="0.25">
      <c r="A209" s="8"/>
      <c r="B209" s="5" t="s">
        <v>116</v>
      </c>
      <c r="C209" s="8"/>
      <c r="D209" s="6" t="s">
        <v>162</v>
      </c>
      <c r="E209" s="8">
        <v>0</v>
      </c>
      <c r="F209" s="5"/>
      <c r="G209" s="5"/>
      <c r="H209" s="5"/>
      <c r="I209" s="5"/>
      <c r="J209" s="5" t="s">
        <v>163</v>
      </c>
      <c r="K209" s="9"/>
      <c r="L209" s="6" t="str">
        <f>IF($G$206=$X$128,"CC55H50/1,35MC",IF($G$206=$X$129,"CC55H50/1,35MC",IF($G$206=$X$130,"CC55H50/1,35MC",IF($G$206=$X$131,"CC55H50/1,35MC",IF($G$206=$X$132,"CC55H50/1,55MC",IF($G$206=$X$133,"CC55H50/1,55MC",IF($G$206=$X$134,"CC55H50/1,55MC",IF($G$206=$X$135,"CC55H50/1,55MC",0))))))))</f>
        <v>CC55H50/1,35MC</v>
      </c>
      <c r="M209" s="11">
        <f>INDEX(cennik!$C$2:$L$529,MATCH($L209,cennik!$B$2:$B$522,0),MATCH(M$205,cennik!$C$1:$L$1,0))</f>
        <v>895535</v>
      </c>
      <c r="N209" s="11" t="str">
        <f>INDEX(cennik!$C$2:$L$529,MATCH($L209,cennik!$B$2:$B$522,0),MATCH(N$104,cennik!$C$1:$L$1,0))</f>
        <v>szt.</v>
      </c>
      <c r="O209" s="11">
        <f>SUM(AF203:AF218)</f>
        <v>0</v>
      </c>
      <c r="P209" s="34">
        <f>INDEX(cennik!$C$2:$L$529,MATCH($L209,cennik!$B$2:$B$522,0),MATCH(P$104,cennik!$C$1:$L$1,0))</f>
        <v>42</v>
      </c>
      <c r="Q209" s="34">
        <f t="shared" si="92"/>
        <v>0</v>
      </c>
      <c r="R209" s="35">
        <f t="shared" si="90"/>
        <v>0</v>
      </c>
      <c r="S209" s="34">
        <f t="shared" si="91"/>
        <v>42</v>
      </c>
      <c r="T209" s="34">
        <f t="shared" si="93"/>
        <v>0</v>
      </c>
      <c r="U209" s="34">
        <f>INDEX(cennik!$C$2:$L$529,MATCH($L209,cennik!$B$2:$B$522,0),MATCH(U$104,cennik!$C$1:$L$1,0))*O209</f>
        <v>0</v>
      </c>
      <c r="V209" s="21">
        <f>(INT((((A205*$Z$213)+((A205-1)*20))/900))+1)</f>
        <v>0</v>
      </c>
      <c r="W209" s="20">
        <f>(INT((((A205*$Z$213)+((A205-1)*20))/$E$212))+2)</f>
        <v>1</v>
      </c>
      <c r="X209" s="20">
        <f t="shared" si="83"/>
        <v>0</v>
      </c>
      <c r="Y209" s="26">
        <v>38</v>
      </c>
      <c r="Z209" s="21" t="s">
        <v>506</v>
      </c>
      <c r="AA209" s="20"/>
      <c r="AB209" s="20"/>
      <c r="AC209" s="20"/>
      <c r="AD209" s="20">
        <f t="shared" si="87"/>
        <v>0</v>
      </c>
      <c r="AE209" s="20">
        <f t="shared" si="84"/>
        <v>0</v>
      </c>
      <c r="AF209" s="20">
        <f t="shared" si="89"/>
        <v>0</v>
      </c>
      <c r="AG209" s="20">
        <f t="shared" si="85"/>
        <v>0</v>
      </c>
      <c r="AH209" s="20" t="s">
        <v>725</v>
      </c>
      <c r="AI209" s="20">
        <v>1000</v>
      </c>
      <c r="AJ209" s="20" t="s">
        <v>719</v>
      </c>
      <c r="AK209" s="20">
        <v>700</v>
      </c>
      <c r="AL209" s="20" t="s">
        <v>719</v>
      </c>
      <c r="AM209" s="20">
        <v>600</v>
      </c>
      <c r="AN209" s="21"/>
      <c r="AO209" s="21"/>
      <c r="AP209" s="21"/>
      <c r="AQ209" s="21"/>
      <c r="AR209" s="21"/>
      <c r="AS209" s="20">
        <f t="shared" si="86"/>
        <v>0</v>
      </c>
      <c r="AT209" s="20">
        <f t="shared" si="88"/>
        <v>0</v>
      </c>
      <c r="AU209" s="20"/>
      <c r="AV209" s="20"/>
      <c r="AW209" s="20"/>
      <c r="AX20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</f>
        <v>0</v>
      </c>
      <c r="AY20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</f>
        <v>0</v>
      </c>
      <c r="AZ20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</f>
        <v>0</v>
      </c>
      <c r="BA209" s="20"/>
      <c r="BB209" s="20"/>
      <c r="BC209" s="20"/>
      <c r="BD20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207,$GB$182:$GV$182,0),MATCH($E$206,$X$109:$X$126,0)))*$C207</f>
        <v>0</v>
      </c>
      <c r="BE20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207,$GB$182:$GV$182,0),MATCH($E$206,$X$109:$X$126,0)))*$C207</f>
        <v>0</v>
      </c>
      <c r="BF20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207,$GB$182:$GV$182,0),MATCH($E$206,$X$109:$X$126,0)))*$C207</f>
        <v>0</v>
      </c>
      <c r="BG209" s="20"/>
      <c r="BH209" s="20"/>
      <c r="BI209" s="20"/>
      <c r="BJ209" s="20">
        <f t="shared" ref="BJ209:BJ222" si="96">SUM(AX209:AZ209)</f>
        <v>0</v>
      </c>
      <c r="BK209" s="20">
        <f t="shared" si="95"/>
        <v>0</v>
      </c>
      <c r="BL209" s="20">
        <f t="shared" si="94"/>
        <v>0</v>
      </c>
      <c r="BM209" s="20"/>
      <c r="BN209" s="20"/>
      <c r="BO209" s="20"/>
      <c r="BP209" s="20"/>
      <c r="BQ209" s="20"/>
      <c r="BR209" s="20">
        <v>1400</v>
      </c>
      <c r="BS209" s="20" t="s">
        <v>1363</v>
      </c>
      <c r="BT209" s="20" t="s">
        <v>1369</v>
      </c>
      <c r="BU209" s="20" t="s">
        <v>1286</v>
      </c>
      <c r="BV209" s="20"/>
      <c r="BW209" s="20"/>
      <c r="BX209" s="20"/>
      <c r="BY209" s="20"/>
      <c r="BZ209" s="20"/>
      <c r="CA209" s="20"/>
      <c r="CB209" s="20"/>
      <c r="CC209" s="20"/>
      <c r="CD209" s="20"/>
      <c r="CE209" s="20"/>
      <c r="CF209" s="20"/>
      <c r="CG209" s="20"/>
      <c r="CH209" s="20"/>
      <c r="CI209" s="20"/>
      <c r="CJ209" s="20"/>
      <c r="CK209" s="20"/>
      <c r="CL209" s="20"/>
      <c r="CM209" s="20"/>
      <c r="CN209" s="20"/>
      <c r="CO209" s="20"/>
      <c r="CP209" s="20"/>
      <c r="CQ209" s="20"/>
      <c r="CR209" s="20"/>
      <c r="CS209" s="20"/>
      <c r="CT209" s="20"/>
      <c r="CU209" s="20"/>
      <c r="CV209" s="20"/>
      <c r="CW209" s="20"/>
      <c r="CX209" s="20"/>
      <c r="CY209" s="20"/>
      <c r="CZ209" s="20"/>
      <c r="DA209" s="20"/>
      <c r="DB209" s="20"/>
      <c r="DC209" s="20"/>
      <c r="DD209" s="20"/>
      <c r="DE209" s="20"/>
      <c r="DF209" s="20"/>
      <c r="DG209" s="20"/>
      <c r="DH209" s="20"/>
      <c r="DI209" s="20"/>
      <c r="DJ209" s="20"/>
      <c r="DK209" s="20"/>
      <c r="DL209" s="20"/>
      <c r="DM209" s="20"/>
      <c r="DN209" s="20"/>
      <c r="DO209" s="20"/>
      <c r="DP209" s="20"/>
      <c r="DQ209" s="20"/>
      <c r="DR209" s="20"/>
      <c r="DS209" s="20"/>
      <c r="DT209" s="20"/>
      <c r="DU209" s="20"/>
      <c r="DV209" s="20"/>
      <c r="DW209" s="20"/>
      <c r="DX209" s="20"/>
      <c r="DY209" s="20"/>
      <c r="DZ209" s="54"/>
      <c r="EA209" s="54"/>
      <c r="EB209" s="54"/>
      <c r="EC209" s="20"/>
      <c r="ED209" s="20"/>
      <c r="EE209" s="20"/>
      <c r="EF209" s="20"/>
      <c r="EG209" s="20"/>
      <c r="EH209" s="20"/>
      <c r="EI209" s="20"/>
      <c r="EJ209" s="20"/>
      <c r="EK209" s="20"/>
      <c r="EL209" s="20"/>
      <c r="EM209" s="20"/>
      <c r="EN209" s="20"/>
      <c r="EO209" s="20"/>
      <c r="EP209" s="20"/>
      <c r="EQ209" s="20"/>
      <c r="ER209" s="20"/>
      <c r="ES209" s="20"/>
      <c r="ET209" s="20"/>
      <c r="EU209" s="20"/>
      <c r="EV209" s="20"/>
      <c r="EW209" s="20"/>
      <c r="EX209" s="20"/>
      <c r="EY209" s="20"/>
      <c r="EZ209" s="20"/>
      <c r="FA209" s="20"/>
      <c r="FB209" s="20"/>
      <c r="FC209" s="20"/>
      <c r="FD209" s="20"/>
      <c r="FE209" s="20"/>
      <c r="FF209" s="20"/>
      <c r="FG209" s="20"/>
      <c r="FH209" s="20"/>
      <c r="FI209" s="20"/>
      <c r="FJ209" s="20"/>
      <c r="FK209" s="20"/>
      <c r="FL209" s="20"/>
      <c r="FM209" s="20"/>
      <c r="FN209" s="20"/>
      <c r="FO209" s="20"/>
      <c r="FP209" s="20"/>
      <c r="FQ209" s="20"/>
      <c r="FR209" s="20"/>
      <c r="FS209" s="20"/>
      <c r="FT209" s="20"/>
      <c r="FU209" s="20"/>
      <c r="FV209" s="20"/>
      <c r="FW209" s="20"/>
      <c r="FX209" s="20"/>
      <c r="FY209" s="20"/>
      <c r="FZ209" s="20"/>
      <c r="GA209" s="347" t="s">
        <v>868</v>
      </c>
      <c r="GB209" s="21">
        <v>0</v>
      </c>
      <c r="GC209" s="21">
        <v>0</v>
      </c>
      <c r="GD209" s="21">
        <v>0</v>
      </c>
      <c r="GE209" s="21">
        <v>0</v>
      </c>
      <c r="GF209" s="21">
        <v>0</v>
      </c>
      <c r="GG209" s="21">
        <v>0</v>
      </c>
      <c r="GH209" s="21">
        <v>0</v>
      </c>
      <c r="GI209" s="21">
        <v>0</v>
      </c>
      <c r="GJ209" s="21">
        <v>0</v>
      </c>
      <c r="GK209" s="21">
        <v>0</v>
      </c>
      <c r="GL209" s="21">
        <v>0</v>
      </c>
      <c r="GM209" s="21">
        <v>0</v>
      </c>
      <c r="GN209" s="21">
        <v>0</v>
      </c>
      <c r="GO209" s="21">
        <v>0</v>
      </c>
      <c r="GP209" s="21">
        <v>0</v>
      </c>
      <c r="GQ209" s="21">
        <v>0</v>
      </c>
      <c r="GR209" s="21">
        <v>0</v>
      </c>
      <c r="GS209" s="21">
        <v>0</v>
      </c>
      <c r="GT209" s="21">
        <v>0</v>
      </c>
      <c r="GU209" s="21">
        <v>0</v>
      </c>
      <c r="GV209" s="21">
        <v>0</v>
      </c>
      <c r="GW209" s="21"/>
      <c r="GX209" s="347" t="s">
        <v>867</v>
      </c>
      <c r="GY209" s="21">
        <v>0</v>
      </c>
      <c r="GZ209" s="20">
        <f>FY274</f>
        <v>0</v>
      </c>
      <c r="HA209" s="21">
        <v>1</v>
      </c>
      <c r="HB209" s="21">
        <v>3</v>
      </c>
      <c r="HC209" s="21">
        <v>1</v>
      </c>
      <c r="HD209" s="21">
        <v>3</v>
      </c>
      <c r="HE209" s="21">
        <v>6</v>
      </c>
      <c r="HF209" s="21">
        <v>8</v>
      </c>
      <c r="HG209" s="21">
        <v>6</v>
      </c>
      <c r="HH209" s="21">
        <v>8</v>
      </c>
      <c r="HI209" s="21">
        <v>11</v>
      </c>
      <c r="HJ209" s="21">
        <v>14</v>
      </c>
      <c r="HK209" s="21">
        <v>11</v>
      </c>
      <c r="HL209" s="21">
        <v>14</v>
      </c>
      <c r="HM209" s="21">
        <v>16</v>
      </c>
      <c r="HN209" s="21">
        <v>19</v>
      </c>
      <c r="HO209" s="21">
        <v>17</v>
      </c>
      <c r="HP209" s="21">
        <v>19</v>
      </c>
      <c r="HQ209" s="21">
        <v>22</v>
      </c>
      <c r="HR209" s="21">
        <v>24</v>
      </c>
      <c r="HS209" s="21">
        <v>22</v>
      </c>
      <c r="HT209" s="21"/>
      <c r="HU209" s="21"/>
      <c r="HV209" s="21" t="s">
        <v>826</v>
      </c>
      <c r="HW209" s="21">
        <v>0</v>
      </c>
      <c r="HX209" s="21">
        <v>2</v>
      </c>
      <c r="HY209" s="21">
        <v>2</v>
      </c>
      <c r="HZ209" s="21">
        <v>4</v>
      </c>
      <c r="IA209" s="21">
        <v>0</v>
      </c>
      <c r="IB209" s="21">
        <v>2</v>
      </c>
      <c r="IC209" s="21">
        <v>2</v>
      </c>
      <c r="ID209" s="21">
        <v>4</v>
      </c>
      <c r="IE209" s="21">
        <v>0</v>
      </c>
      <c r="IF209" s="21">
        <v>0</v>
      </c>
      <c r="IG209" s="21">
        <v>2</v>
      </c>
      <c r="IH209" s="21">
        <v>4</v>
      </c>
      <c r="II209" s="21">
        <v>4</v>
      </c>
      <c r="IJ209" s="21">
        <v>0</v>
      </c>
      <c r="IK209" s="21">
        <v>2</v>
      </c>
      <c r="IL209" s="21">
        <v>4</v>
      </c>
      <c r="IM209" s="21">
        <v>4</v>
      </c>
      <c r="IN209" s="21">
        <v>0</v>
      </c>
      <c r="IO209" s="21">
        <v>2</v>
      </c>
      <c r="IP209" s="21">
        <v>2</v>
      </c>
      <c r="IQ209" s="21">
        <v>4</v>
      </c>
      <c r="IR209" s="21"/>
      <c r="IS209" s="21" t="s">
        <v>826</v>
      </c>
      <c r="IT209" s="21">
        <f t="shared" si="79"/>
        <v>0</v>
      </c>
      <c r="IU209" s="21">
        <f t="shared" si="79"/>
        <v>4</v>
      </c>
      <c r="IV209" s="21">
        <f t="shared" si="79"/>
        <v>4</v>
      </c>
      <c r="IW209" s="21">
        <f t="shared" si="79"/>
        <v>8</v>
      </c>
      <c r="IX209" s="21">
        <f t="shared" si="79"/>
        <v>0</v>
      </c>
      <c r="IY209" s="21">
        <f t="shared" si="79"/>
        <v>4</v>
      </c>
      <c r="IZ209" s="21">
        <f t="shared" si="79"/>
        <v>4</v>
      </c>
      <c r="JA209" s="21">
        <f t="shared" si="79"/>
        <v>8</v>
      </c>
      <c r="JB209" s="21">
        <f t="shared" si="79"/>
        <v>0</v>
      </c>
      <c r="JC209" s="21">
        <f t="shared" si="79"/>
        <v>0</v>
      </c>
      <c r="JD209" s="21">
        <f t="shared" si="79"/>
        <v>4</v>
      </c>
      <c r="JE209" s="21">
        <f t="shared" si="79"/>
        <v>8</v>
      </c>
      <c r="JF209" s="21">
        <f t="shared" si="79"/>
        <v>8</v>
      </c>
      <c r="JG209" s="21">
        <f t="shared" si="79"/>
        <v>0</v>
      </c>
      <c r="JH209" s="21">
        <f t="shared" si="79"/>
        <v>4</v>
      </c>
      <c r="JI209" s="21">
        <f t="shared" si="79"/>
        <v>8</v>
      </c>
      <c r="JJ209" s="21">
        <f t="shared" si="82"/>
        <v>8</v>
      </c>
      <c r="JK209" s="21">
        <f t="shared" si="82"/>
        <v>0</v>
      </c>
      <c r="JL209" s="21">
        <f t="shared" si="82"/>
        <v>4</v>
      </c>
      <c r="JM209" s="21">
        <f t="shared" si="82"/>
        <v>4</v>
      </c>
      <c r="JN209" s="21">
        <f t="shared" si="82"/>
        <v>8</v>
      </c>
      <c r="JO209" s="21"/>
      <c r="JP209" s="21"/>
      <c r="JQ209" s="21"/>
      <c r="JR209" s="21"/>
      <c r="JS209" s="21"/>
      <c r="JT209" s="21"/>
      <c r="JU209" s="21"/>
      <c r="JV209" s="21"/>
      <c r="JW209" s="21"/>
      <c r="JX209" s="21"/>
      <c r="JY209" s="21"/>
      <c r="JZ209" s="21"/>
      <c r="KA209" s="21"/>
      <c r="KB209" s="21"/>
      <c r="KC209" s="21"/>
      <c r="KD209" s="21"/>
      <c r="KE209" s="21"/>
      <c r="KF209" s="21"/>
      <c r="KG209" s="21"/>
      <c r="KH209" s="21"/>
    </row>
    <row r="210" spans="1:294" x14ac:dyDescent="0.25">
      <c r="A210" s="8"/>
      <c r="B210" s="5" t="s">
        <v>116</v>
      </c>
      <c r="C210" s="8"/>
      <c r="D210" s="6" t="s">
        <v>515</v>
      </c>
      <c r="E210" s="8">
        <v>0</v>
      </c>
      <c r="F210" s="5"/>
      <c r="G210" s="5"/>
      <c r="H210" s="5"/>
      <c r="I210" s="5"/>
      <c r="J210" s="5" t="s">
        <v>412</v>
      </c>
      <c r="K210" s="9"/>
      <c r="L210" s="6" t="str">
        <f>IF($G$206=$X$128,"CP50H35/1,3MC",IF($G$206=$X$129,"CP50H35/1,3MC",IF($G$206=$X$130,"CP50H35/1,3MC",IF($G$206=$X$131,"CP50H35/1,3MC",IF($G$206=$X$132,"CP50H35/1,5MC",IF($G$206=$X$133,"CP50H35/1,5MC",IF($G$206=$X$134,"CP50H35/1,5MC",IF($G$206=$X$135,"CP50H35/1,5MC",0))))))))</f>
        <v>CP50H35/1,3MC</v>
      </c>
      <c r="M210" s="11">
        <f>INDEX(cennik!$C$2:$L$529,MATCH($L210,cennik!$B$2:$B$522,0),MATCH(M$205,cennik!$C$1:$L$1,0))</f>
        <v>895613</v>
      </c>
      <c r="N210" s="11" t="str">
        <f>INDEX(cennik!$C$2:$L$529,MATCH($L210,cennik!$B$2:$B$522,0),MATCH(N$104,cennik!$C$1:$L$1,0))</f>
        <v>szt.</v>
      </c>
      <c r="O210" s="10">
        <f>O209</f>
        <v>0</v>
      </c>
      <c r="P210" s="34">
        <f>INDEX(cennik!$C$2:$L$529,MATCH($L210,cennik!$B$2:$B$522,0),MATCH(P$104,cennik!$C$1:$L$1,0))</f>
        <v>29.56</v>
      </c>
      <c r="Q210" s="34">
        <f t="shared" si="92"/>
        <v>0</v>
      </c>
      <c r="R210" s="35">
        <f t="shared" si="90"/>
        <v>0</v>
      </c>
      <c r="S210" s="34">
        <f t="shared" si="91"/>
        <v>29.56</v>
      </c>
      <c r="T210" s="34">
        <f t="shared" si="93"/>
        <v>0</v>
      </c>
      <c r="U210" s="34">
        <f>INDEX(cennik!$C$2:$L$529,MATCH($L210,cennik!$B$2:$B$522,0),MATCH(U$104,cennik!$C$1:$L$1,0))*O210</f>
        <v>0</v>
      </c>
      <c r="V210" s="20"/>
      <c r="W210" s="20"/>
      <c r="X210" s="20">
        <f t="shared" si="83"/>
        <v>0</v>
      </c>
      <c r="Y210" s="26">
        <v>40</v>
      </c>
      <c r="Z210" s="20" t="s">
        <v>831</v>
      </c>
      <c r="AA210" s="20"/>
      <c r="AB210" s="20">
        <v>1</v>
      </c>
      <c r="AC210" s="20"/>
      <c r="AD210" s="20">
        <f t="shared" si="87"/>
        <v>0</v>
      </c>
      <c r="AE210" s="20">
        <f t="shared" si="84"/>
        <v>0</v>
      </c>
      <c r="AF210" s="20">
        <f t="shared" si="89"/>
        <v>0</v>
      </c>
      <c r="AG210" s="20">
        <f t="shared" si="85"/>
        <v>0</v>
      </c>
      <c r="AH210" s="20"/>
      <c r="AI210" s="20"/>
      <c r="AJ210" s="20"/>
      <c r="AK210" s="20"/>
      <c r="AL210" s="20"/>
      <c r="AM210" s="20"/>
      <c r="AN210" s="21"/>
      <c r="AO210" s="21"/>
      <c r="AP210" s="21"/>
      <c r="AQ210" s="21"/>
      <c r="AR210" s="21"/>
      <c r="AS210" s="20">
        <f t="shared" si="86"/>
        <v>0</v>
      </c>
      <c r="AT210" s="20">
        <f t="shared" si="88"/>
        <v>0</v>
      </c>
      <c r="AU210" s="20"/>
      <c r="AV210" s="20"/>
      <c r="AW210" s="20"/>
      <c r="AX21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</f>
        <v>0</v>
      </c>
      <c r="AY21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</f>
        <v>0</v>
      </c>
      <c r="AZ21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</f>
        <v>0</v>
      </c>
      <c r="BA210" s="20"/>
      <c r="BB210" s="20"/>
      <c r="BC210" s="20"/>
      <c r="BD21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208,$GB$182:$GV$182,0),MATCH($E$206,$X$109:$X$126,0)))*$C208</f>
        <v>0</v>
      </c>
      <c r="BE21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208,$GB$182:$GV$182,0),MATCH($E$206,$X$109:$X$126,0)))*$C208</f>
        <v>0</v>
      </c>
      <c r="BF21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208,$GB$182:$GV$182,0),MATCH($E$206,$X$109:$X$126,0)))*$C208</f>
        <v>0</v>
      </c>
      <c r="BG210" s="20"/>
      <c r="BH210" s="20"/>
      <c r="BI210" s="20"/>
      <c r="BJ210" s="20">
        <f t="shared" si="96"/>
        <v>0</v>
      </c>
      <c r="BK210" s="20">
        <f t="shared" si="95"/>
        <v>0</v>
      </c>
      <c r="BL210" s="20">
        <f t="shared" si="94"/>
        <v>0</v>
      </c>
      <c r="BM210" s="20"/>
      <c r="BN210" s="20"/>
      <c r="BO210" s="20"/>
      <c r="BP210" s="20"/>
      <c r="BQ210" s="20"/>
      <c r="BR210" s="20">
        <v>1600</v>
      </c>
      <c r="BS210" s="20" t="s">
        <v>1365</v>
      </c>
      <c r="BT210" s="20" t="s">
        <v>1371</v>
      </c>
      <c r="BU210" s="20" t="s">
        <v>1287</v>
      </c>
      <c r="BV210" s="20"/>
      <c r="BW210" s="20"/>
      <c r="BX210" s="20"/>
      <c r="BY210" s="20"/>
      <c r="BZ210" s="20"/>
      <c r="CA210" s="20"/>
      <c r="CB210" s="20"/>
      <c r="CC210" s="20"/>
      <c r="CD210" s="20"/>
      <c r="CE210" s="20"/>
      <c r="CF210" s="20"/>
      <c r="CG210" s="20"/>
      <c r="CH210" s="20"/>
      <c r="CI210" s="20"/>
      <c r="CJ210" s="20"/>
      <c r="CK210" s="20"/>
      <c r="CL210" s="20"/>
      <c r="CM210" s="20"/>
      <c r="CN210" s="20"/>
      <c r="CO210" s="20"/>
      <c r="CP210" s="20"/>
      <c r="CQ210" s="20"/>
      <c r="CR210" s="20"/>
      <c r="CS210" s="20"/>
      <c r="CT210" s="20"/>
      <c r="CU210" s="20"/>
      <c r="CV210" s="20"/>
      <c r="CW210" s="20"/>
      <c r="CX210" s="20"/>
      <c r="CY210" s="20"/>
      <c r="CZ210" s="20"/>
      <c r="DA210" s="20"/>
      <c r="DB210" s="20"/>
      <c r="DC210" s="20"/>
      <c r="DD210" s="20"/>
      <c r="DE210" s="20"/>
      <c r="DF210" s="20"/>
      <c r="DG210" s="20"/>
      <c r="DH210" s="20"/>
      <c r="DI210" s="20"/>
      <c r="DJ210" s="20"/>
      <c r="DK210" s="20"/>
      <c r="DL210" s="20"/>
      <c r="DM210" s="20"/>
      <c r="DN210" s="20"/>
      <c r="DO210" s="20"/>
      <c r="DP210" s="20"/>
      <c r="DQ210" s="20"/>
      <c r="DR210" s="20"/>
      <c r="DS210" s="20"/>
      <c r="DT210" s="20"/>
      <c r="DU210" s="20"/>
      <c r="DV210" s="20"/>
      <c r="DW210" s="20"/>
      <c r="DX210" s="20"/>
      <c r="DY210" s="20"/>
      <c r="DZ210" s="87"/>
      <c r="EA210" s="54"/>
      <c r="EB210" s="54"/>
      <c r="EC210" s="20"/>
      <c r="ED210" s="20"/>
      <c r="EE210" s="20"/>
      <c r="EF210" s="20"/>
      <c r="EG210" s="20"/>
      <c r="EH210" s="20"/>
      <c r="EI210" s="20"/>
      <c r="EJ210" s="20"/>
      <c r="EK210" s="20"/>
      <c r="EL210" s="20"/>
      <c r="EM210" s="20"/>
      <c r="EN210" s="20"/>
      <c r="EO210" s="20"/>
      <c r="EP210" s="20"/>
      <c r="EQ210" s="20"/>
      <c r="ER210" s="20"/>
      <c r="ES210" s="20"/>
      <c r="ET210" s="20"/>
      <c r="EU210" s="20"/>
      <c r="EV210" s="20"/>
      <c r="EW210" s="20"/>
      <c r="EX210" s="20"/>
      <c r="EY210" s="20"/>
      <c r="EZ210" s="20"/>
      <c r="FA210" s="20"/>
      <c r="FB210" s="20"/>
      <c r="FC210" s="20"/>
      <c r="FD210" s="20"/>
      <c r="FE210" s="20"/>
      <c r="FF210" s="20"/>
      <c r="FG210" s="20"/>
      <c r="FH210" s="20"/>
      <c r="FI210" s="20"/>
      <c r="FJ210" s="20"/>
      <c r="FK210" s="20"/>
      <c r="FL210" s="20"/>
      <c r="FM210" s="20"/>
      <c r="FN210" s="20"/>
      <c r="FO210" s="20"/>
      <c r="FP210" s="20"/>
      <c r="FQ210" s="20"/>
      <c r="FR210" s="20"/>
      <c r="FS210" s="20"/>
      <c r="FT210" s="20"/>
      <c r="FU210" s="20"/>
      <c r="FV210" s="20"/>
      <c r="FW210" s="20"/>
      <c r="FX210" s="20"/>
      <c r="FY210" s="20"/>
      <c r="FZ210" s="20"/>
      <c r="GA210" s="21"/>
      <c r="GB210" s="21"/>
      <c r="GC210" s="21"/>
      <c r="GD210" s="21"/>
      <c r="GE210" s="21"/>
      <c r="GF210" s="21"/>
      <c r="GG210" s="21"/>
      <c r="GH210" s="21"/>
      <c r="GI210" s="21"/>
      <c r="GJ210" s="21"/>
      <c r="GK210" s="21"/>
      <c r="GL210" s="21"/>
      <c r="GM210" s="21"/>
      <c r="GN210" s="21"/>
      <c r="GO210" s="21"/>
      <c r="GP210" s="21"/>
      <c r="GQ210" s="21"/>
      <c r="GR210" s="21"/>
      <c r="GS210" s="21"/>
      <c r="GT210" s="21"/>
      <c r="GU210" s="21"/>
      <c r="GV210" s="21"/>
      <c r="GW210" s="21"/>
      <c r="GX210" s="347" t="s">
        <v>868</v>
      </c>
      <c r="GY210" s="21">
        <v>0</v>
      </c>
      <c r="GZ210" s="20">
        <v>1</v>
      </c>
      <c r="HA210" s="21">
        <v>0</v>
      </c>
      <c r="HB210" s="21">
        <v>0</v>
      </c>
      <c r="HC210" s="21">
        <v>0</v>
      </c>
      <c r="HD210" s="21">
        <v>0</v>
      </c>
      <c r="HE210" s="21">
        <v>0</v>
      </c>
      <c r="HF210" s="21">
        <v>0</v>
      </c>
      <c r="HG210" s="21">
        <v>0</v>
      </c>
      <c r="HH210" s="21">
        <v>0</v>
      </c>
      <c r="HI210" s="21">
        <v>0</v>
      </c>
      <c r="HJ210" s="21">
        <v>0</v>
      </c>
      <c r="HK210" s="21">
        <v>0</v>
      </c>
      <c r="HL210" s="21">
        <v>0</v>
      </c>
      <c r="HM210" s="21">
        <v>0</v>
      </c>
      <c r="HN210" s="21">
        <v>0</v>
      </c>
      <c r="HO210" s="21">
        <v>0</v>
      </c>
      <c r="HP210" s="21">
        <v>0</v>
      </c>
      <c r="HQ210" s="21">
        <v>0</v>
      </c>
      <c r="HR210" s="21">
        <v>0</v>
      </c>
      <c r="HS210" s="21">
        <v>0</v>
      </c>
      <c r="HT210" s="21"/>
      <c r="HU210" s="21"/>
      <c r="HV210" s="21" t="s">
        <v>825</v>
      </c>
      <c r="HW210" s="21">
        <v>0</v>
      </c>
      <c r="HX210" s="21">
        <v>0</v>
      </c>
      <c r="HY210" s="21">
        <v>2</v>
      </c>
      <c r="HZ210" s="21">
        <v>2</v>
      </c>
      <c r="IA210" s="21">
        <v>6</v>
      </c>
      <c r="IB210" s="21">
        <v>6</v>
      </c>
      <c r="IC210" s="21">
        <v>8</v>
      </c>
      <c r="ID210" s="21">
        <v>8</v>
      </c>
      <c r="IE210" s="21">
        <v>12</v>
      </c>
      <c r="IF210" s="21">
        <v>14</v>
      </c>
      <c r="IG210" s="21">
        <v>14</v>
      </c>
      <c r="IH210" s="21">
        <v>14</v>
      </c>
      <c r="II210" s="21">
        <v>16</v>
      </c>
      <c r="IJ210" s="21">
        <v>20</v>
      </c>
      <c r="IK210" s="21">
        <v>20</v>
      </c>
      <c r="IL210" s="21">
        <v>20</v>
      </c>
      <c r="IM210" s="21">
        <v>22</v>
      </c>
      <c r="IN210" s="21">
        <v>26</v>
      </c>
      <c r="IO210" s="21">
        <v>26</v>
      </c>
      <c r="IP210" s="21">
        <v>28</v>
      </c>
      <c r="IQ210" s="21">
        <v>28</v>
      </c>
      <c r="IR210" s="21"/>
      <c r="IS210" s="21" t="s">
        <v>825</v>
      </c>
      <c r="IT210" s="21">
        <f t="shared" si="79"/>
        <v>0</v>
      </c>
      <c r="IU210" s="21">
        <f t="shared" si="79"/>
        <v>0</v>
      </c>
      <c r="IV210" s="21">
        <f t="shared" si="79"/>
        <v>4</v>
      </c>
      <c r="IW210" s="21">
        <f t="shared" si="79"/>
        <v>4</v>
      </c>
      <c r="IX210" s="21">
        <f t="shared" si="79"/>
        <v>12</v>
      </c>
      <c r="IY210" s="21">
        <f t="shared" ref="IY210:JI211" si="97">IB210*2</f>
        <v>12</v>
      </c>
      <c r="IZ210" s="21">
        <f t="shared" si="97"/>
        <v>16</v>
      </c>
      <c r="JA210" s="21">
        <f t="shared" si="97"/>
        <v>16</v>
      </c>
      <c r="JB210" s="21">
        <f t="shared" si="97"/>
        <v>24</v>
      </c>
      <c r="JC210" s="21">
        <f t="shared" si="97"/>
        <v>28</v>
      </c>
      <c r="JD210" s="21">
        <f t="shared" si="97"/>
        <v>28</v>
      </c>
      <c r="JE210" s="21">
        <f t="shared" si="97"/>
        <v>28</v>
      </c>
      <c r="JF210" s="21">
        <f t="shared" si="97"/>
        <v>32</v>
      </c>
      <c r="JG210" s="21">
        <f t="shared" si="97"/>
        <v>40</v>
      </c>
      <c r="JH210" s="21">
        <f t="shared" si="97"/>
        <v>40</v>
      </c>
      <c r="JI210" s="21">
        <f t="shared" si="97"/>
        <v>40</v>
      </c>
      <c r="JJ210" s="21">
        <f t="shared" si="82"/>
        <v>44</v>
      </c>
      <c r="JK210" s="21">
        <f t="shared" si="82"/>
        <v>52</v>
      </c>
      <c r="JL210" s="21">
        <f t="shared" si="82"/>
        <v>52</v>
      </c>
      <c r="JM210" s="21">
        <f t="shared" si="82"/>
        <v>56</v>
      </c>
      <c r="JN210" s="21">
        <f t="shared" si="82"/>
        <v>56</v>
      </c>
      <c r="JO210" s="21"/>
      <c r="JP210" s="21"/>
      <c r="JQ210" s="21"/>
      <c r="JR210" s="21"/>
      <c r="JS210" s="21"/>
      <c r="JT210" s="21"/>
      <c r="JU210" s="21"/>
      <c r="JV210" s="21"/>
      <c r="JW210" s="21"/>
      <c r="JX210" s="21"/>
      <c r="JY210" s="21"/>
      <c r="JZ210" s="21"/>
      <c r="KA210" s="21"/>
      <c r="KB210" s="21"/>
      <c r="KC210" s="21"/>
      <c r="KD210" s="21"/>
      <c r="KE210" s="21"/>
      <c r="KF210" s="21"/>
      <c r="KG210" s="21"/>
      <c r="KH210" s="21"/>
    </row>
    <row r="211" spans="1:294" x14ac:dyDescent="0.25">
      <c r="A211" s="8"/>
      <c r="B211" s="5" t="s">
        <v>116</v>
      </c>
      <c r="C211" s="8"/>
      <c r="D211" s="6" t="s">
        <v>511</v>
      </c>
      <c r="E211" s="4"/>
      <c r="F211" s="5"/>
      <c r="G211" s="5"/>
      <c r="H211" s="5"/>
      <c r="I211" s="5"/>
      <c r="J211" s="1"/>
      <c r="K211" s="9"/>
      <c r="L211" s="6" t="str">
        <f>INDEX((BS216:BU223),MATCH(G206,BR216:BR223,0),MATCH(E208,BS215:BU215,0),1)</f>
        <v>CP50H35/0,35MC</v>
      </c>
      <c r="M211" s="11">
        <f>INDEX(cennik!$C$2:$L$529,MATCH($L211,cennik!$B$2:$B$522,0),MATCH(M$205,cennik!$C$1:$L$1,0))</f>
        <v>895635</v>
      </c>
      <c r="N211" s="11" t="str">
        <f>INDEX(cennik!$C$2:$L$529,MATCH($L211,cennik!$B$2:$B$522,0),MATCH(N$104,cennik!$C$1:$L$1,0))</f>
        <v>szt.</v>
      </c>
      <c r="O211" s="11">
        <f>O209</f>
        <v>0</v>
      </c>
      <c r="P211" s="34">
        <f>INDEX(cennik!$C$2:$L$529,MATCH($L211,cennik!$B$2:$B$522,0),MATCH(P$104,cennik!$C$1:$L$1,0))</f>
        <v>8.3800000000000008</v>
      </c>
      <c r="Q211" s="34">
        <f t="shared" si="92"/>
        <v>0</v>
      </c>
      <c r="R211" s="35">
        <f t="shared" si="90"/>
        <v>0</v>
      </c>
      <c r="S211" s="34">
        <f t="shared" si="91"/>
        <v>8.3800000000000008</v>
      </c>
      <c r="T211" s="34">
        <f t="shared" si="93"/>
        <v>0</v>
      </c>
      <c r="U211" s="34">
        <f>INDEX(cennik!$C$2:$L$529,MATCH($L211,cennik!$B$2:$B$522,0),MATCH(U$104,cennik!$C$1:$L$1,0))*O211</f>
        <v>0</v>
      </c>
      <c r="V211" s="21"/>
      <c r="W211" s="21"/>
      <c r="X211" s="20">
        <f t="shared" si="83"/>
        <v>0</v>
      </c>
      <c r="Y211" s="26">
        <v>42</v>
      </c>
      <c r="Z211" s="21" t="s">
        <v>506</v>
      </c>
      <c r="AA211" s="21"/>
      <c r="AB211" s="21">
        <v>2</v>
      </c>
      <c r="AC211" s="21"/>
      <c r="AD211" s="20">
        <f t="shared" si="87"/>
        <v>0</v>
      </c>
      <c r="AE211" s="20">
        <f t="shared" si="84"/>
        <v>0</v>
      </c>
      <c r="AF211" s="20">
        <f t="shared" si="89"/>
        <v>0</v>
      </c>
      <c r="AG211" s="20">
        <f t="shared" si="85"/>
        <v>0</v>
      </c>
      <c r="AH211" s="21" t="s">
        <v>835</v>
      </c>
      <c r="AI211" s="21"/>
      <c r="AJ211" s="21"/>
      <c r="AK211" s="21"/>
      <c r="AL211" s="21"/>
      <c r="AM211" s="21"/>
      <c r="AN211" s="21"/>
      <c r="AO211" s="21"/>
      <c r="AP211" s="21"/>
      <c r="AQ211" s="21"/>
      <c r="AR211" s="21"/>
      <c r="AS211" s="20">
        <f t="shared" si="86"/>
        <v>0</v>
      </c>
      <c r="AT211" s="20">
        <f t="shared" si="88"/>
        <v>0</v>
      </c>
      <c r="AU211" s="20"/>
      <c r="AV211" s="21"/>
      <c r="AW211" s="20"/>
      <c r="AX21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</f>
        <v>0</v>
      </c>
      <c r="AY21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</f>
        <v>0</v>
      </c>
      <c r="AZ21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</f>
        <v>0</v>
      </c>
      <c r="BA211" s="21"/>
      <c r="BB211" s="21"/>
      <c r="BC211" s="21"/>
      <c r="BD21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209,$GB$182:$GV$182,0),MATCH($E$206,$X$109:$X$126,0)))*$C209</f>
        <v>0</v>
      </c>
      <c r="BE21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209,$GB$182:$GV$182,0),MATCH($E$206,$X$109:$X$126,0)))*$C209</f>
        <v>0</v>
      </c>
      <c r="BF21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209,$GB$182:$GV$182,0),MATCH($E$206,$X$109:$X$126,0)))*$C209</f>
        <v>0</v>
      </c>
      <c r="BG211" s="21"/>
      <c r="BH211" s="21"/>
      <c r="BI211" s="21"/>
      <c r="BJ211" s="20">
        <f t="shared" si="96"/>
        <v>0</v>
      </c>
      <c r="BK211" s="20">
        <f t="shared" si="95"/>
        <v>0</v>
      </c>
      <c r="BL211" s="20">
        <f t="shared" si="94"/>
        <v>0</v>
      </c>
      <c r="BM211" s="21"/>
      <c r="BN211" s="21"/>
      <c r="BO211" s="21"/>
      <c r="BP211" s="21"/>
      <c r="BQ211" s="21"/>
      <c r="BR211" s="21">
        <v>1800</v>
      </c>
      <c r="BS211" s="20" t="s">
        <v>1365</v>
      </c>
      <c r="BT211" s="20" t="s">
        <v>1371</v>
      </c>
      <c r="BU211" s="20" t="s">
        <v>1287</v>
      </c>
      <c r="BV211" s="21"/>
      <c r="BW211" s="21"/>
      <c r="BX211" s="21"/>
      <c r="BY211" s="21"/>
      <c r="BZ211" s="21"/>
      <c r="CA211" s="21"/>
      <c r="CB211" s="21"/>
      <c r="CC211" s="21"/>
      <c r="CD211" s="21"/>
      <c r="CE211" s="21"/>
      <c r="CF211" s="21"/>
      <c r="CG211" s="21"/>
      <c r="CH211" s="21"/>
      <c r="CI211" s="21"/>
      <c r="CJ211" s="21"/>
      <c r="CK211" s="21"/>
      <c r="CL211" s="21"/>
      <c r="CM211" s="21"/>
      <c r="CN211" s="21"/>
      <c r="CO211" s="21"/>
      <c r="CP211" s="21"/>
      <c r="CQ211" s="21"/>
      <c r="CR211" s="21"/>
      <c r="CS211" s="21"/>
      <c r="CT211" s="21"/>
      <c r="CU211" s="21"/>
      <c r="CV211" s="21"/>
      <c r="CW211" s="21"/>
      <c r="CX211" s="21"/>
      <c r="CY211" s="21"/>
      <c r="CZ211" s="21"/>
      <c r="DA211" s="21"/>
      <c r="DB211" s="21"/>
      <c r="DC211" s="21"/>
      <c r="DD211" s="21"/>
      <c r="DE211" s="21"/>
      <c r="DF211" s="21"/>
      <c r="DG211" s="21"/>
      <c r="DH211" s="21"/>
      <c r="DI211" s="21"/>
      <c r="DJ211" s="21"/>
      <c r="DK211" s="21"/>
      <c r="DL211" s="21"/>
      <c r="DM211" s="21"/>
      <c r="DN211" s="21"/>
      <c r="DO211" s="21"/>
      <c r="DP211" s="21"/>
      <c r="DQ211" s="21"/>
      <c r="DR211" s="21"/>
      <c r="DS211" s="21"/>
      <c r="DT211" s="21"/>
      <c r="DU211" s="21"/>
      <c r="DV211" s="21"/>
      <c r="DW211" s="21"/>
      <c r="DX211" s="21"/>
      <c r="DY211" s="21"/>
      <c r="DZ211" s="87"/>
      <c r="EA211" s="87"/>
      <c r="EB211" s="87"/>
      <c r="EC211" s="21"/>
      <c r="ED211" s="21"/>
      <c r="EE211" s="21"/>
      <c r="EF211" s="21"/>
      <c r="EG211" s="21"/>
      <c r="EH211" s="21"/>
      <c r="EI211" s="21"/>
      <c r="EJ211" s="21"/>
      <c r="EK211" s="21"/>
      <c r="EL211" s="21"/>
      <c r="EM211" s="21"/>
      <c r="EN211" s="21"/>
      <c r="EO211" s="21"/>
      <c r="EP211" s="21"/>
      <c r="EQ211" s="21"/>
      <c r="ER211" s="21"/>
      <c r="ES211" s="21"/>
      <c r="ET211" s="21"/>
      <c r="EU211" s="21"/>
      <c r="EV211" s="21"/>
      <c r="EW211" s="21"/>
      <c r="EX211" s="21"/>
      <c r="EY211" s="21"/>
      <c r="EZ211" s="21"/>
      <c r="FA211" s="21"/>
      <c r="FB211" s="21"/>
      <c r="FC211" s="21"/>
      <c r="FD211" s="21"/>
      <c r="FE211" s="21"/>
      <c r="FF211" s="21"/>
      <c r="FG211" s="21"/>
      <c r="FH211" s="21"/>
      <c r="FI211" s="21"/>
      <c r="FJ211" s="21"/>
      <c r="FK211" s="21"/>
      <c r="FL211" s="21"/>
      <c r="FM211" s="21"/>
      <c r="FN211" s="21"/>
      <c r="FO211" s="21"/>
      <c r="FP211" s="21"/>
      <c r="FQ211" s="21"/>
      <c r="FR211" s="21"/>
      <c r="FS211" s="21"/>
      <c r="FT211" s="21"/>
      <c r="FU211" s="21"/>
      <c r="FV211" s="21"/>
      <c r="FW211" s="21"/>
      <c r="FX211" s="21"/>
      <c r="FY211" s="21"/>
      <c r="FZ211" s="21"/>
      <c r="GA211" s="21" t="s">
        <v>471</v>
      </c>
      <c r="GB211" s="21"/>
      <c r="GC211" s="21"/>
      <c r="GD211" s="21"/>
      <c r="GE211" s="21"/>
      <c r="GF211" s="21"/>
      <c r="GG211" s="21"/>
      <c r="GH211" s="21"/>
      <c r="GI211" s="21"/>
      <c r="GJ211" s="21"/>
      <c r="GK211" s="21"/>
      <c r="GL211" s="21"/>
      <c r="GM211" s="21"/>
      <c r="GN211" s="21"/>
      <c r="GO211" s="21"/>
      <c r="GP211" s="21"/>
      <c r="GQ211" s="21"/>
      <c r="GR211" s="21"/>
      <c r="GS211" s="21"/>
      <c r="GT211" s="21"/>
      <c r="GU211" s="21"/>
      <c r="GV211" s="21"/>
      <c r="GW211" s="21"/>
      <c r="GX211" s="21"/>
      <c r="GY211" s="21"/>
      <c r="GZ211" s="21"/>
      <c r="HA211" s="21"/>
      <c r="HB211" s="21"/>
      <c r="HC211" s="21"/>
      <c r="HD211" s="21"/>
      <c r="HE211" s="21"/>
      <c r="HF211" s="21"/>
      <c r="HG211" s="21"/>
      <c r="HH211" s="21"/>
      <c r="HI211" s="21"/>
      <c r="HJ211" s="21"/>
      <c r="HK211" s="21"/>
      <c r="HL211" s="21"/>
      <c r="HM211" s="21"/>
      <c r="HN211" s="21"/>
      <c r="HO211" s="21"/>
      <c r="HP211" s="21"/>
      <c r="HQ211" s="21"/>
      <c r="HR211" s="21"/>
      <c r="HS211" s="21"/>
      <c r="HT211" s="21"/>
      <c r="HU211" s="21"/>
      <c r="HV211" s="21" t="s">
        <v>853</v>
      </c>
      <c r="HW211" s="21">
        <v>0</v>
      </c>
      <c r="HX211" s="21">
        <v>0</v>
      </c>
      <c r="HY211" s="21">
        <v>2</v>
      </c>
      <c r="HZ211" s="21">
        <v>4</v>
      </c>
      <c r="IA211" s="21">
        <v>4</v>
      </c>
      <c r="IB211" s="21">
        <v>6</v>
      </c>
      <c r="IC211" s="21">
        <v>8</v>
      </c>
      <c r="ID211" s="21">
        <v>10</v>
      </c>
      <c r="IE211" s="21">
        <v>10</v>
      </c>
      <c r="IF211" s="21">
        <v>12</v>
      </c>
      <c r="IG211" s="21">
        <v>14</v>
      </c>
      <c r="IH211" s="21">
        <v>16</v>
      </c>
      <c r="II211" s="21">
        <v>18</v>
      </c>
      <c r="IJ211" s="21">
        <v>18</v>
      </c>
      <c r="IK211" s="21">
        <v>20</v>
      </c>
      <c r="IL211" s="21">
        <v>22</v>
      </c>
      <c r="IM211" s="21">
        <v>24</v>
      </c>
      <c r="IN211" s="21">
        <v>24</v>
      </c>
      <c r="IO211" s="21">
        <v>26</v>
      </c>
      <c r="IP211" s="21">
        <v>28</v>
      </c>
      <c r="IQ211" s="21">
        <v>30</v>
      </c>
      <c r="IR211" s="21"/>
      <c r="IS211" s="21" t="s">
        <v>853</v>
      </c>
      <c r="IT211" s="21">
        <f t="shared" ref="IT211:IX211" si="98">HW211*2</f>
        <v>0</v>
      </c>
      <c r="IU211" s="21">
        <f t="shared" si="98"/>
        <v>0</v>
      </c>
      <c r="IV211" s="21">
        <f t="shared" si="98"/>
        <v>4</v>
      </c>
      <c r="IW211" s="21">
        <f t="shared" si="98"/>
        <v>8</v>
      </c>
      <c r="IX211" s="21">
        <f t="shared" si="98"/>
        <v>8</v>
      </c>
      <c r="IY211" s="21">
        <f t="shared" si="97"/>
        <v>12</v>
      </c>
      <c r="IZ211" s="21">
        <f t="shared" si="97"/>
        <v>16</v>
      </c>
      <c r="JA211" s="21">
        <f t="shared" si="97"/>
        <v>20</v>
      </c>
      <c r="JB211" s="21">
        <f t="shared" si="97"/>
        <v>20</v>
      </c>
      <c r="JC211" s="21">
        <f t="shared" si="97"/>
        <v>24</v>
      </c>
      <c r="JD211" s="21">
        <f t="shared" si="97"/>
        <v>28</v>
      </c>
      <c r="JE211" s="21">
        <f t="shared" si="97"/>
        <v>32</v>
      </c>
      <c r="JF211" s="21">
        <f t="shared" si="97"/>
        <v>36</v>
      </c>
      <c r="JG211" s="21">
        <f t="shared" si="97"/>
        <v>36</v>
      </c>
      <c r="JH211" s="21">
        <f t="shared" si="97"/>
        <v>40</v>
      </c>
      <c r="JI211" s="21">
        <f t="shared" si="97"/>
        <v>44</v>
      </c>
      <c r="JJ211" s="21">
        <f t="shared" si="82"/>
        <v>48</v>
      </c>
      <c r="JK211" s="21">
        <f t="shared" si="82"/>
        <v>48</v>
      </c>
      <c r="JL211" s="21">
        <f t="shared" si="82"/>
        <v>52</v>
      </c>
      <c r="JM211" s="21">
        <f t="shared" si="82"/>
        <v>56</v>
      </c>
      <c r="JN211" s="21">
        <f t="shared" si="82"/>
        <v>60</v>
      </c>
      <c r="JO211" s="21"/>
      <c r="JP211" s="21"/>
      <c r="JQ211" s="21"/>
      <c r="JR211" s="21"/>
      <c r="JS211" s="21"/>
      <c r="JT211" s="21"/>
      <c r="JU211" s="21"/>
      <c r="JV211" s="21"/>
      <c r="JW211" s="21"/>
      <c r="JX211" s="21"/>
      <c r="JY211" s="21"/>
      <c r="JZ211" s="21"/>
      <c r="KA211" s="21"/>
      <c r="KB211" s="21"/>
      <c r="KC211" s="21"/>
      <c r="KD211" s="21"/>
      <c r="KE211" s="21"/>
      <c r="KF211" s="21"/>
      <c r="KG211" s="21"/>
      <c r="KH211" s="21"/>
    </row>
    <row r="212" spans="1:294" x14ac:dyDescent="0.25">
      <c r="A212" s="8"/>
      <c r="B212" s="5" t="s">
        <v>116</v>
      </c>
      <c r="C212" s="8"/>
      <c r="D212" s="6" t="s">
        <v>774</v>
      </c>
      <c r="E212" s="52">
        <f>INDEX((AI219:AM221),MATCH(E213,AH219:AH221,0),MATCH(E214,AI218:AM218,0))</f>
        <v>2000</v>
      </c>
      <c r="F212" s="6"/>
      <c r="G212" s="6"/>
      <c r="H212" s="6"/>
      <c r="I212" s="6"/>
      <c r="J212" s="5" t="s">
        <v>119</v>
      </c>
      <c r="K212" s="9"/>
      <c r="L212" s="6" t="s">
        <v>859</v>
      </c>
      <c r="M212" s="11">
        <f>INDEX(cennik!$C$2:$L$529,MATCH($L212,cennik!$B$2:$B$522,0),MATCH(M$205,cennik!$C$1:$L$1,0))</f>
        <v>897334</v>
      </c>
      <c r="N212" s="11" t="str">
        <f>INDEX(cennik!$C$2:$L$529,MATCH($L212,cennik!$B$2:$B$522,0),MATCH(N$104,cennik!$C$1:$L$1,0))</f>
        <v>szt.</v>
      </c>
      <c r="O212" s="11">
        <f>SUM(A205*4*C205,A206*4*C206,A207*4*C207,A208*4*C208,A209*4*C209,A210*4*C210,A211*4*C211,A212*4*C212,A213*4*C213,A214*4*C214,A215*4*C215,A216*4*C216,A217*4*C217,A218*4*C218,A219*4*C219,A220*4*C220)</f>
        <v>0</v>
      </c>
      <c r="P212" s="34">
        <f>INDEX(cennik!$C$2:$L$529,MATCH($L212,cennik!$B$2:$B$522,0),MATCH(P$104,cennik!$C$1:$L$1,0))</f>
        <v>5.18</v>
      </c>
      <c r="Q212" s="34">
        <f t="shared" si="92"/>
        <v>0</v>
      </c>
      <c r="R212" s="35">
        <f t="shared" si="90"/>
        <v>0</v>
      </c>
      <c r="S212" s="34">
        <f t="shared" si="91"/>
        <v>5.18</v>
      </c>
      <c r="T212" s="34">
        <f t="shared" si="93"/>
        <v>0</v>
      </c>
      <c r="U212" s="34">
        <f>INDEX(cennik!$C$2:$L$529,MATCH($L212,cennik!$B$2:$B$522,0),MATCH(U$104,cennik!$C$1:$L$1,0))*O212</f>
        <v>0</v>
      </c>
      <c r="V212" s="21"/>
      <c r="W212" s="21"/>
      <c r="X212" s="20">
        <f t="shared" si="83"/>
        <v>0</v>
      </c>
      <c r="Y212" s="21"/>
      <c r="Z212" s="21"/>
      <c r="AA212" s="21"/>
      <c r="AB212" s="21" t="s">
        <v>725</v>
      </c>
      <c r="AC212" s="21"/>
      <c r="AD212" s="20">
        <f t="shared" si="87"/>
        <v>0</v>
      </c>
      <c r="AE212" s="20">
        <f t="shared" si="84"/>
        <v>0</v>
      </c>
      <c r="AF212" s="20">
        <f t="shared" si="89"/>
        <v>0</v>
      </c>
      <c r="AG212" s="20">
        <f t="shared" si="85"/>
        <v>0</v>
      </c>
      <c r="AH212" s="21" t="s">
        <v>717</v>
      </c>
      <c r="AI212" s="21">
        <v>1</v>
      </c>
      <c r="AJ212" s="21">
        <v>2</v>
      </c>
      <c r="AK212" s="21">
        <v>3</v>
      </c>
      <c r="AL212" s="21">
        <v>4</v>
      </c>
      <c r="AM212" s="21">
        <v>5</v>
      </c>
      <c r="AN212" s="21"/>
      <c r="AO212" s="21"/>
      <c r="AP212" s="21"/>
      <c r="AQ212" s="21"/>
      <c r="AR212" s="21"/>
      <c r="AS212" s="20">
        <f t="shared" si="86"/>
        <v>0</v>
      </c>
      <c r="AT212" s="20">
        <f t="shared" si="88"/>
        <v>0</v>
      </c>
      <c r="AU212" s="20"/>
      <c r="AV212" s="21"/>
      <c r="AW212" s="20"/>
      <c r="AX21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</f>
        <v>0</v>
      </c>
      <c r="AY21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</f>
        <v>0</v>
      </c>
      <c r="AZ21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</f>
        <v>0</v>
      </c>
      <c r="BA212" s="21"/>
      <c r="BB212" s="21"/>
      <c r="BC212" s="21"/>
      <c r="BD21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210,$GB$182:$GV$182,0),MATCH($E$206,$X$109:$X$126,0)))*$C210</f>
        <v>0</v>
      </c>
      <c r="BE21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210,$GB$182:$GV$182,0),MATCH($E$206,$X$109:$X$126,0)))*$C210</f>
        <v>0</v>
      </c>
      <c r="BF21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210,$GB$182:$GV$182,0),MATCH($E$206,$X$109:$X$126,0)))*$C210</f>
        <v>0</v>
      </c>
      <c r="BG212" s="21"/>
      <c r="BH212" s="21"/>
      <c r="BI212" s="21"/>
      <c r="BJ212" s="20">
        <f t="shared" si="96"/>
        <v>0</v>
      </c>
      <c r="BK212" s="20">
        <f t="shared" si="95"/>
        <v>0</v>
      </c>
      <c r="BL212" s="20">
        <f t="shared" si="94"/>
        <v>0</v>
      </c>
      <c r="BM212" s="21"/>
      <c r="BN212" s="21"/>
      <c r="BO212" s="21"/>
      <c r="BP212" s="21"/>
      <c r="BQ212" s="21"/>
      <c r="BR212" s="21">
        <v>2000</v>
      </c>
      <c r="BS212" s="20" t="s">
        <v>1367</v>
      </c>
      <c r="BT212" s="20" t="s">
        <v>1373</v>
      </c>
      <c r="BU212" s="20" t="s">
        <v>1288</v>
      </c>
      <c r="BV212" s="21"/>
      <c r="BW212" s="21"/>
      <c r="BX212" s="21"/>
      <c r="BY212" s="21"/>
      <c r="BZ212" s="21"/>
      <c r="CA212" s="21"/>
      <c r="CB212" s="21"/>
      <c r="CC212" s="21"/>
      <c r="CD212" s="21"/>
      <c r="CE212" s="21"/>
      <c r="CF212" s="21"/>
      <c r="CG212" s="21"/>
      <c r="CH212" s="21"/>
      <c r="CI212" s="21"/>
      <c r="CJ212" s="21"/>
      <c r="CK212" s="21"/>
      <c r="CL212" s="21"/>
      <c r="CM212" s="21"/>
      <c r="CN212" s="21"/>
      <c r="CO212" s="21"/>
      <c r="CP212" s="21"/>
      <c r="CQ212" s="21"/>
      <c r="CR212" s="21"/>
      <c r="CS212" s="21"/>
      <c r="CT212" s="21"/>
      <c r="CU212" s="21"/>
      <c r="CV212" s="21"/>
      <c r="CW212" s="21"/>
      <c r="CX212" s="21"/>
      <c r="CY212" s="21"/>
      <c r="CZ212" s="21"/>
      <c r="DA212" s="21"/>
      <c r="DB212" s="21"/>
      <c r="DC212" s="21"/>
      <c r="DD212" s="21"/>
      <c r="DE212" s="21"/>
      <c r="DF212" s="21"/>
      <c r="DG212" s="21"/>
      <c r="DH212" s="21"/>
      <c r="DI212" s="21"/>
      <c r="DJ212" s="21"/>
      <c r="DK212" s="21"/>
      <c r="DL212" s="21"/>
      <c r="DM212" s="21"/>
      <c r="DN212" s="21"/>
      <c r="DO212" s="21"/>
      <c r="DP212" s="21"/>
      <c r="DQ212" s="21"/>
      <c r="DR212" s="21"/>
      <c r="DS212" s="21"/>
      <c r="DT212" s="21"/>
      <c r="DU212" s="21"/>
      <c r="DV212" s="21"/>
      <c r="DW212" s="21"/>
      <c r="DX212" s="21"/>
      <c r="DY212" s="21"/>
      <c r="DZ212" s="87"/>
      <c r="EA212" s="87"/>
      <c r="EB212" s="87"/>
      <c r="EC212" s="21"/>
      <c r="ED212" s="21"/>
      <c r="EE212" s="21"/>
      <c r="EF212" s="21"/>
      <c r="EG212" s="21"/>
      <c r="EH212" s="21"/>
      <c r="EI212" s="21"/>
      <c r="EJ212" s="21"/>
      <c r="EK212" s="21"/>
      <c r="EL212" s="21"/>
      <c r="EM212" s="21"/>
      <c r="EN212" s="21"/>
      <c r="EO212" s="21"/>
      <c r="EP212" s="21"/>
      <c r="EQ212" s="21"/>
      <c r="ER212" s="21"/>
      <c r="ES212" s="21"/>
      <c r="ET212" s="21"/>
      <c r="EU212" s="21"/>
      <c r="EV212" s="21"/>
      <c r="EW212" s="21"/>
      <c r="EX212" s="21"/>
      <c r="EY212" s="21"/>
      <c r="EZ212" s="21"/>
      <c r="FA212" s="21"/>
      <c r="FB212" s="21"/>
      <c r="FC212" s="21"/>
      <c r="FD212" s="21"/>
      <c r="FE212" s="21"/>
      <c r="FF212" s="21"/>
      <c r="FG212" s="21"/>
      <c r="FH212" s="21"/>
      <c r="FI212" s="21"/>
      <c r="FJ212" s="21"/>
      <c r="FK212" s="21"/>
      <c r="FL212" s="21"/>
      <c r="FM212" s="21"/>
      <c r="FN212" s="21"/>
      <c r="FO212" s="21"/>
      <c r="FP212" s="21"/>
      <c r="FQ212" s="21"/>
      <c r="FR212" s="21"/>
      <c r="FS212" s="21"/>
      <c r="FT212" s="21"/>
      <c r="FU212" s="21"/>
      <c r="FV212" s="21"/>
      <c r="FW212" s="21"/>
      <c r="FX212" s="21"/>
      <c r="FY212" s="21"/>
      <c r="FZ212" s="21"/>
      <c r="GA212" s="21"/>
      <c r="GB212" s="21">
        <v>0</v>
      </c>
      <c r="GC212" s="21">
        <v>1</v>
      </c>
      <c r="GD212" s="21">
        <v>2</v>
      </c>
      <c r="GE212" s="21">
        <v>3</v>
      </c>
      <c r="GF212" s="21">
        <v>4</v>
      </c>
      <c r="GG212" s="21">
        <v>5</v>
      </c>
      <c r="GH212" s="21">
        <v>6</v>
      </c>
      <c r="GI212" s="21">
        <v>7</v>
      </c>
      <c r="GJ212" s="21">
        <v>8</v>
      </c>
      <c r="GK212" s="21">
        <v>9</v>
      </c>
      <c r="GL212" s="21">
        <v>10</v>
      </c>
      <c r="GM212" s="21">
        <v>11</v>
      </c>
      <c r="GN212" s="21">
        <v>12</v>
      </c>
      <c r="GO212" s="21">
        <v>13</v>
      </c>
      <c r="GP212" s="21">
        <v>14</v>
      </c>
      <c r="GQ212" s="21">
        <v>15</v>
      </c>
      <c r="GR212" s="21">
        <v>16</v>
      </c>
      <c r="GS212" s="21">
        <v>17</v>
      </c>
      <c r="GT212" s="21">
        <v>18</v>
      </c>
      <c r="GU212" s="21">
        <v>19</v>
      </c>
      <c r="GV212" s="21">
        <v>20</v>
      </c>
      <c r="GW212" s="21"/>
      <c r="GX212" s="21" t="s">
        <v>832</v>
      </c>
      <c r="GY212" s="21"/>
      <c r="GZ212" s="21"/>
      <c r="HA212" s="21"/>
      <c r="HB212" s="21"/>
      <c r="HC212" s="21"/>
      <c r="HD212" s="21"/>
      <c r="HE212" s="21"/>
      <c r="HF212" s="21"/>
      <c r="HG212" s="21"/>
      <c r="HH212" s="21"/>
      <c r="HI212" s="21"/>
      <c r="HJ212" s="21"/>
      <c r="HK212" s="21"/>
      <c r="HL212" s="21"/>
      <c r="HM212" s="21"/>
      <c r="HN212" s="21"/>
      <c r="HO212" s="21"/>
      <c r="HP212" s="21"/>
      <c r="HQ212" s="21"/>
      <c r="HR212" s="21"/>
      <c r="HS212" s="21"/>
      <c r="HT212" s="21"/>
      <c r="HU212" s="21"/>
      <c r="HV212" s="186"/>
      <c r="HW212" s="21"/>
      <c r="HX212" s="21"/>
      <c r="HY212" s="21"/>
      <c r="HZ212" s="21"/>
      <c r="IA212" s="21"/>
      <c r="IB212" s="21"/>
      <c r="IC212" s="21"/>
      <c r="ID212" s="21"/>
      <c r="IE212" s="21"/>
      <c r="IF212" s="21"/>
      <c r="IG212" s="21"/>
      <c r="IH212" s="21"/>
      <c r="II212" s="21"/>
      <c r="IJ212" s="21"/>
      <c r="IK212" s="21"/>
      <c r="IL212" s="21"/>
      <c r="IM212" s="21"/>
      <c r="IN212" s="21"/>
      <c r="IO212" s="21"/>
      <c r="IP212" s="21"/>
      <c r="IQ212" s="21"/>
      <c r="IR212" s="21"/>
      <c r="IS212" s="21"/>
      <c r="IT212" s="21"/>
      <c r="IU212" s="21"/>
      <c r="IV212" s="21"/>
      <c r="IW212" s="21"/>
      <c r="IX212" s="21"/>
      <c r="IY212" s="21"/>
      <c r="IZ212" s="21"/>
      <c r="JA212" s="21"/>
      <c r="JB212" s="21"/>
      <c r="JC212" s="21"/>
      <c r="JD212" s="21"/>
      <c r="JE212" s="21"/>
      <c r="JF212" s="21"/>
      <c r="JG212" s="21"/>
      <c r="JH212" s="21"/>
      <c r="JI212" s="21"/>
      <c r="JJ212" s="21"/>
      <c r="JK212" s="21"/>
      <c r="JL212" s="21"/>
      <c r="JM212" s="21"/>
      <c r="JN212" s="21"/>
      <c r="JO212" s="21"/>
      <c r="JP212" s="21"/>
      <c r="JQ212" s="21"/>
      <c r="JR212" s="21"/>
      <c r="JS212" s="21"/>
      <c r="JT212" s="21"/>
      <c r="JU212" s="21"/>
      <c r="JV212" s="21"/>
      <c r="JW212" s="21"/>
      <c r="JX212" s="21"/>
      <c r="JY212" s="21"/>
      <c r="JZ212" s="21"/>
      <c r="KA212" s="21"/>
      <c r="KB212" s="21"/>
      <c r="KC212" s="21"/>
      <c r="KD212" s="21"/>
      <c r="KE212" s="21"/>
      <c r="KF212" s="21"/>
      <c r="KG212" s="21"/>
      <c r="KH212" s="21"/>
    </row>
    <row r="213" spans="1:294" x14ac:dyDescent="0.25">
      <c r="A213" s="8"/>
      <c r="B213" s="5" t="s">
        <v>116</v>
      </c>
      <c r="C213" s="8"/>
      <c r="D213" s="6" t="s">
        <v>787</v>
      </c>
      <c r="E213" s="8">
        <v>1</v>
      </c>
      <c r="F213" s="39" t="s">
        <v>789</v>
      </c>
      <c r="G213" s="17"/>
      <c r="H213" s="9"/>
      <c r="I213" s="9"/>
      <c r="J213" s="30"/>
      <c r="K213" s="9"/>
      <c r="L213" s="6" t="str">
        <f>INDEX((BS207:BU213),MATCH(E212,BR207:BR213,0),MATCH(E208,BS206:BU206,0),1)</f>
        <v>OWN15/2,4NMC</v>
      </c>
      <c r="M213" s="11">
        <f>INDEX(cennik!$C$2:$L$529,MATCH($L213,cennik!$B$2:$B$522,0),MATCH(M$205,cennik!$C$1:$L$1,0))</f>
        <v>8515245</v>
      </c>
      <c r="N213" s="11" t="str">
        <f>INDEX(cennik!$C$2:$L$529,MATCH($L213,cennik!$B$2:$B$522,0),MATCH(N$104,cennik!$C$1:$L$1,0))</f>
        <v>szt.</v>
      </c>
      <c r="O213" s="10">
        <f>SUM(AG203:AG218)</f>
        <v>0</v>
      </c>
      <c r="P213" s="34">
        <f>INDEX(cennik!$C$2:$L$529,MATCH($L213,cennik!$B$2:$B$522,0),MATCH(P$104,cennik!$C$1:$L$1,0))</f>
        <v>46.46</v>
      </c>
      <c r="Q213" s="34">
        <f t="shared" si="92"/>
        <v>0</v>
      </c>
      <c r="R213" s="35">
        <f t="shared" si="90"/>
        <v>0</v>
      </c>
      <c r="S213" s="34">
        <f t="shared" si="91"/>
        <v>46.46</v>
      </c>
      <c r="T213" s="34">
        <f t="shared" si="93"/>
        <v>0</v>
      </c>
      <c r="U213" s="34">
        <f>INDEX(cennik!$C$2:$L$529,MATCH($L213,cennik!$B$2:$B$522,0),MATCH(U$104,cennik!$C$1:$L$1,0))*O213</f>
        <v>0</v>
      </c>
      <c r="V213" s="21"/>
      <c r="W213" s="21"/>
      <c r="X213" s="20">
        <f t="shared" si="83"/>
        <v>0</v>
      </c>
      <c r="Y213" s="21"/>
      <c r="Z213" s="21">
        <f>IF($E$206=$X$109,$Y$109,IF($E$206=$X$110,$Y$110,IF($E$206=$X$111,$Y$111,IF($E$206=$X$112,$Y$112,IF($E$206=$X$113,$Y$113,IF($E$206=$X$114,$Y$114,IF($E$206=$X$115,$Y$115,IF($E$206=$X$116,$Y$116,IF($E$206=$X$117,$Y$117,IF($E$206=$X$118,$Y$118,IF($E$206=$X$119,$Y$119,IF($E$206=$X$120,$Y$120,IF($E$206=$X$121,$Y$121,IF($E$206=$X$122,$Y$122,IF($E$206=$X$123,$Y$123,IF($E$206=$X$124,$Y$124,IF($E$206=$X$125,$Y$125,IF($E$206=$X$126,$Y$126,0))))))))))))))))))</f>
        <v>2100</v>
      </c>
      <c r="AA213" s="21"/>
      <c r="AB213" s="21"/>
      <c r="AC213" s="21"/>
      <c r="AD213" s="20">
        <f t="shared" si="87"/>
        <v>0</v>
      </c>
      <c r="AE213" s="20">
        <f t="shared" si="84"/>
        <v>0</v>
      </c>
      <c r="AF213" s="20">
        <f t="shared" si="89"/>
        <v>0</v>
      </c>
      <c r="AG213" s="20">
        <f t="shared" si="85"/>
        <v>0</v>
      </c>
      <c r="AH213" s="21">
        <v>1</v>
      </c>
      <c r="AI213" s="21">
        <v>1000</v>
      </c>
      <c r="AJ213" s="21">
        <v>1000</v>
      </c>
      <c r="AK213" s="21">
        <v>1000</v>
      </c>
      <c r="AL213" s="21">
        <v>800</v>
      </c>
      <c r="AM213" s="21" t="s">
        <v>719</v>
      </c>
      <c r="AN213" s="21"/>
      <c r="AO213" s="21"/>
      <c r="AP213" s="21"/>
      <c r="AQ213" s="21"/>
      <c r="AR213" s="21"/>
      <c r="AS213" s="20">
        <f t="shared" si="86"/>
        <v>0</v>
      </c>
      <c r="AT213" s="20">
        <f t="shared" si="88"/>
        <v>0</v>
      </c>
      <c r="AU213" s="20"/>
      <c r="AV213" s="21"/>
      <c r="AW213" s="20"/>
      <c r="AX21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</f>
        <v>0</v>
      </c>
      <c r="AY21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</f>
        <v>0</v>
      </c>
      <c r="AZ213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</f>
        <v>0</v>
      </c>
      <c r="BA213" s="21"/>
      <c r="BB213" s="21"/>
      <c r="BC213" s="21"/>
      <c r="BD21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211,$GB$182:$GV$182,0),MATCH($E$206,$X$109:$X$126,0)))*$C211</f>
        <v>0</v>
      </c>
      <c r="BE21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211,$GB$182:$GV$182,0),MATCH($E$206,$X$109:$X$126,0)))*$C211</f>
        <v>0</v>
      </c>
      <c r="BF213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211,$GB$182:$GV$182,0),MATCH($E$206,$X$109:$X$126,0)))*$C211</f>
        <v>0</v>
      </c>
      <c r="BG213" s="21"/>
      <c r="BH213" s="21"/>
      <c r="BI213" s="21"/>
      <c r="BJ213" s="20">
        <f t="shared" si="96"/>
        <v>0</v>
      </c>
      <c r="BK213" s="20">
        <f t="shared" si="95"/>
        <v>0</v>
      </c>
      <c r="BL213" s="20">
        <f t="shared" si="94"/>
        <v>0</v>
      </c>
      <c r="BM213" s="21"/>
      <c r="BN213" s="21"/>
      <c r="BO213" s="21"/>
      <c r="BP213" s="21"/>
      <c r="BQ213" s="21"/>
      <c r="BR213" s="21">
        <v>2150</v>
      </c>
      <c r="BS213" s="20" t="s">
        <v>1367</v>
      </c>
      <c r="BT213" s="20" t="s">
        <v>1373</v>
      </c>
      <c r="BU213" s="20" t="s">
        <v>1288</v>
      </c>
      <c r="BV213" s="21"/>
      <c r="BW213" s="21"/>
      <c r="BX213" s="21"/>
      <c r="BY213" s="21"/>
      <c r="BZ213" s="21"/>
      <c r="CA213" s="21"/>
      <c r="CB213" s="21"/>
      <c r="CC213" s="21"/>
      <c r="CD213" s="21"/>
      <c r="CE213" s="21"/>
      <c r="CF213" s="21"/>
      <c r="CG213" s="21"/>
      <c r="CH213" s="21"/>
      <c r="CI213" s="21"/>
      <c r="CJ213" s="21"/>
      <c r="CK213" s="21"/>
      <c r="CL213" s="21"/>
      <c r="CM213" s="21"/>
      <c r="CN213" s="21"/>
      <c r="CO213" s="21"/>
      <c r="CP213" s="21"/>
      <c r="CQ213" s="21"/>
      <c r="CR213" s="21"/>
      <c r="CS213" s="21"/>
      <c r="CT213" s="21"/>
      <c r="CU213" s="21"/>
      <c r="CV213" s="21"/>
      <c r="CW213" s="21"/>
      <c r="CX213" s="21"/>
      <c r="CY213" s="21"/>
      <c r="CZ213" s="21"/>
      <c r="DA213" s="21"/>
      <c r="DB213" s="21"/>
      <c r="DC213" s="21"/>
      <c r="DD213" s="21"/>
      <c r="DE213" s="21"/>
      <c r="DF213" s="21"/>
      <c r="DG213" s="21"/>
      <c r="DH213" s="21"/>
      <c r="DI213" s="21"/>
      <c r="DJ213" s="21"/>
      <c r="DK213" s="21"/>
      <c r="DL213" s="21"/>
      <c r="DM213" s="21"/>
      <c r="DN213" s="21"/>
      <c r="DO213" s="21"/>
      <c r="DP213" s="21"/>
      <c r="DQ213" s="21"/>
      <c r="DR213" s="21"/>
      <c r="DS213" s="21"/>
      <c r="DT213" s="21"/>
      <c r="DU213" s="21"/>
      <c r="DV213" s="21"/>
      <c r="DW213" s="21"/>
      <c r="DX213" s="21"/>
      <c r="DY213" s="21"/>
      <c r="DZ213" s="87"/>
      <c r="EA213" s="87"/>
      <c r="EB213" s="87"/>
      <c r="EC213" s="21"/>
      <c r="ED213" s="21"/>
      <c r="EE213" s="21"/>
      <c r="EF213" s="21"/>
      <c r="EG213" s="21"/>
      <c r="EH213" s="21"/>
      <c r="EI213" s="21"/>
      <c r="EJ213" s="21"/>
      <c r="EK213" s="21"/>
      <c r="EL213" s="21"/>
      <c r="EM213" s="21"/>
      <c r="EN213" s="21"/>
      <c r="EO213" s="21"/>
      <c r="EP213" s="21"/>
      <c r="EQ213" s="21"/>
      <c r="ER213" s="21"/>
      <c r="ES213" s="21"/>
      <c r="ET213" s="21"/>
      <c r="EU213" s="21"/>
      <c r="EV213" s="21"/>
      <c r="EW213" s="21"/>
      <c r="EX213" s="21"/>
      <c r="EY213" s="21"/>
      <c r="EZ213" s="21"/>
      <c r="FA213" s="21"/>
      <c r="FB213" s="21"/>
      <c r="FC213" s="21"/>
      <c r="FD213" s="21"/>
      <c r="FE213" s="21"/>
      <c r="FF213" s="21"/>
      <c r="FG213" s="21"/>
      <c r="FH213" s="21"/>
      <c r="FI213" s="21"/>
      <c r="FJ213" s="21"/>
      <c r="FK213" s="21"/>
      <c r="FL213" s="21"/>
      <c r="FM213" s="21"/>
      <c r="FN213" s="21"/>
      <c r="FO213" s="21"/>
      <c r="FP213" s="21"/>
      <c r="FQ213" s="21"/>
      <c r="FR213" s="21"/>
      <c r="FS213" s="21"/>
      <c r="FT213" s="21"/>
      <c r="FU213" s="21"/>
      <c r="FV213" s="21"/>
      <c r="FW213" s="21"/>
      <c r="FX213" s="21"/>
      <c r="FY213" s="21"/>
      <c r="FZ213" s="21"/>
      <c r="GA213" s="347" t="s">
        <v>866</v>
      </c>
      <c r="GB213" s="21">
        <v>0</v>
      </c>
      <c r="GC213" s="21">
        <v>0</v>
      </c>
      <c r="GD213" s="21">
        <v>0</v>
      </c>
      <c r="GE213" s="21">
        <v>0</v>
      </c>
      <c r="GF213" s="21">
        <v>0</v>
      </c>
      <c r="GG213" s="21">
        <v>0</v>
      </c>
      <c r="GH213" s="21">
        <v>0</v>
      </c>
      <c r="GI213" s="21">
        <v>0</v>
      </c>
      <c r="GJ213" s="21">
        <v>0</v>
      </c>
      <c r="GK213" s="21">
        <v>0</v>
      </c>
      <c r="GL213" s="21">
        <v>0</v>
      </c>
      <c r="GM213" s="21">
        <v>0</v>
      </c>
      <c r="GN213" s="21">
        <v>0</v>
      </c>
      <c r="GO213" s="21">
        <v>0</v>
      </c>
      <c r="GP213" s="21">
        <v>0</v>
      </c>
      <c r="GQ213" s="21">
        <v>0</v>
      </c>
      <c r="GR213" s="21">
        <v>0</v>
      </c>
      <c r="GS213" s="21">
        <v>0</v>
      </c>
      <c r="GT213" s="21">
        <v>0</v>
      </c>
      <c r="GU213" s="21">
        <v>0</v>
      </c>
      <c r="GV213" s="21">
        <v>0</v>
      </c>
      <c r="GW213" s="21"/>
      <c r="GX213" s="21"/>
      <c r="GY213" s="21">
        <v>0</v>
      </c>
      <c r="GZ213" s="21">
        <v>1</v>
      </c>
      <c r="HA213" s="21">
        <v>2</v>
      </c>
      <c r="HB213" s="21">
        <v>3</v>
      </c>
      <c r="HC213" s="21">
        <v>4</v>
      </c>
      <c r="HD213" s="21">
        <v>5</v>
      </c>
      <c r="HE213" s="21">
        <v>6</v>
      </c>
      <c r="HF213" s="21">
        <v>7</v>
      </c>
      <c r="HG213" s="21">
        <v>8</v>
      </c>
      <c r="HH213" s="21">
        <v>9</v>
      </c>
      <c r="HI213" s="21">
        <v>10</v>
      </c>
      <c r="HJ213" s="21">
        <v>11</v>
      </c>
      <c r="HK213" s="21">
        <v>12</v>
      </c>
      <c r="HL213" s="21">
        <v>13</v>
      </c>
      <c r="HM213" s="21">
        <v>14</v>
      </c>
      <c r="HN213" s="21">
        <v>15</v>
      </c>
      <c r="HO213" s="21">
        <v>16</v>
      </c>
      <c r="HP213" s="21">
        <v>17</v>
      </c>
      <c r="HQ213" s="21">
        <v>18</v>
      </c>
      <c r="HR213" s="21">
        <v>19</v>
      </c>
      <c r="HS213" s="21">
        <v>20</v>
      </c>
      <c r="HT213" s="21"/>
      <c r="HU213" s="21"/>
      <c r="HV213" s="186"/>
      <c r="HW213" s="21"/>
      <c r="HX213" s="21"/>
      <c r="HY213" s="21"/>
      <c r="HZ213" s="21"/>
      <c r="IA213" s="21"/>
      <c r="IB213" s="21"/>
      <c r="IC213" s="21"/>
      <c r="ID213" s="21"/>
      <c r="IE213" s="21"/>
      <c r="IF213" s="21"/>
      <c r="IG213" s="21"/>
      <c r="IH213" s="21"/>
      <c r="II213" s="21"/>
      <c r="IJ213" s="21"/>
      <c r="IK213" s="21"/>
      <c r="IL213" s="21"/>
      <c r="IM213" s="21"/>
      <c r="IN213" s="21"/>
      <c r="IO213" s="21"/>
      <c r="IP213" s="21"/>
      <c r="IQ213" s="21"/>
      <c r="IR213" s="21"/>
      <c r="IS213" s="21"/>
      <c r="IT213" s="21"/>
      <c r="IU213" s="21"/>
      <c r="IV213" s="21"/>
      <c r="IW213" s="21"/>
      <c r="IX213" s="21"/>
      <c r="IY213" s="21"/>
      <c r="IZ213" s="21"/>
      <c r="JA213" s="21"/>
      <c r="JB213" s="21"/>
      <c r="JC213" s="21"/>
      <c r="JD213" s="21"/>
      <c r="JE213" s="21"/>
      <c r="JF213" s="21"/>
      <c r="JG213" s="21"/>
      <c r="JH213" s="21"/>
      <c r="JI213" s="21"/>
      <c r="JJ213" s="21"/>
      <c r="JK213" s="21"/>
      <c r="JL213" s="21"/>
      <c r="JM213" s="21"/>
      <c r="JN213" s="21"/>
      <c r="JO213" s="21"/>
      <c r="JP213" s="21"/>
      <c r="JQ213" s="21"/>
      <c r="JR213" s="21"/>
      <c r="JS213" s="21"/>
      <c r="JT213" s="21"/>
      <c r="JU213" s="21"/>
      <c r="JV213" s="21"/>
      <c r="JW213" s="21"/>
      <c r="JX213" s="21"/>
      <c r="JY213" s="21"/>
      <c r="JZ213" s="21"/>
      <c r="KA213" s="21"/>
      <c r="KB213" s="21"/>
      <c r="KC213" s="21"/>
      <c r="KD213" s="21"/>
      <c r="KE213" s="21"/>
      <c r="KF213" s="21"/>
      <c r="KG213" s="21"/>
      <c r="KH213" s="21"/>
    </row>
    <row r="214" spans="1:294" x14ac:dyDescent="0.25">
      <c r="A214" s="8"/>
      <c r="B214" s="5" t="s">
        <v>116</v>
      </c>
      <c r="C214" s="8"/>
      <c r="D214" s="6" t="s">
        <v>788</v>
      </c>
      <c r="E214" s="8">
        <v>2</v>
      </c>
      <c r="F214" s="39" t="s">
        <v>790</v>
      </c>
      <c r="G214" s="9"/>
      <c r="H214" s="9"/>
      <c r="I214" s="9"/>
      <c r="J214" s="9"/>
      <c r="K214" s="9"/>
      <c r="L214" s="6" t="s">
        <v>477</v>
      </c>
      <c r="M214" s="11">
        <f>INDEX(cennik!$C$2:$L$529,MATCH($L214,cennik!$B$2:$B$522,0),MATCH(M$205,cennik!$C$1:$L$1,0))</f>
        <v>898525</v>
      </c>
      <c r="N214" s="11" t="str">
        <f>INDEX(cennik!$C$2:$L$529,MATCH($L214,cennik!$B$2:$B$522,0),MATCH(N$104,cennik!$C$1:$L$1,0))</f>
        <v>szt.</v>
      </c>
      <c r="O214" s="10">
        <f>O211*2+O212</f>
        <v>0</v>
      </c>
      <c r="P214" s="34">
        <f>INDEX(cennik!$C$2:$L$529,MATCH($L214,cennik!$B$2:$B$522,0),MATCH(P$104,cennik!$C$1:$L$1,0))</f>
        <v>0.45</v>
      </c>
      <c r="Q214" s="12">
        <f t="shared" si="92"/>
        <v>0</v>
      </c>
      <c r="R214" s="35">
        <f t="shared" si="90"/>
        <v>0</v>
      </c>
      <c r="S214" s="34">
        <f t="shared" si="91"/>
        <v>0.45</v>
      </c>
      <c r="T214" s="12">
        <f t="shared" si="93"/>
        <v>0</v>
      </c>
      <c r="U214" s="34">
        <f>INDEX(cennik!$C$2:$L$529,MATCH($L214,cennik!$B$2:$B$522,0),MATCH(U$104,cennik!$C$1:$L$1,0))*O214</f>
        <v>0</v>
      </c>
      <c r="V214" s="21"/>
      <c r="W214" s="21"/>
      <c r="X214" s="20">
        <f t="shared" si="83"/>
        <v>0</v>
      </c>
      <c r="Y214" s="21"/>
      <c r="Z214" s="21"/>
      <c r="AA214" s="21"/>
      <c r="AB214" s="21"/>
      <c r="AC214" s="21"/>
      <c r="AD214" s="20">
        <f t="shared" si="87"/>
        <v>0</v>
      </c>
      <c r="AE214" s="20">
        <f t="shared" si="84"/>
        <v>0</v>
      </c>
      <c r="AF214" s="20">
        <f t="shared" si="89"/>
        <v>0</v>
      </c>
      <c r="AG214" s="20">
        <f t="shared" si="85"/>
        <v>0</v>
      </c>
      <c r="AH214" s="21">
        <v>2</v>
      </c>
      <c r="AI214" s="21" t="s">
        <v>719</v>
      </c>
      <c r="AJ214" s="21">
        <v>600</v>
      </c>
      <c r="AK214" s="21">
        <v>600</v>
      </c>
      <c r="AL214" s="21" t="s">
        <v>719</v>
      </c>
      <c r="AM214" s="21" t="s">
        <v>719</v>
      </c>
      <c r="AN214" s="21"/>
      <c r="AO214" s="21"/>
      <c r="AP214" s="21"/>
      <c r="AQ214" s="21"/>
      <c r="AR214" s="21"/>
      <c r="AS214" s="20">
        <f t="shared" si="86"/>
        <v>0</v>
      </c>
      <c r="AT214" s="20">
        <f t="shared" si="88"/>
        <v>0</v>
      </c>
      <c r="AU214" s="20"/>
      <c r="AV214" s="21"/>
      <c r="AW214" s="20"/>
      <c r="AX2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</f>
        <v>0</v>
      </c>
      <c r="AY2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</f>
        <v>0</v>
      </c>
      <c r="AZ214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</f>
        <v>0</v>
      </c>
      <c r="BA214" s="21"/>
      <c r="BB214" s="21"/>
      <c r="BC214" s="21"/>
      <c r="BD2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212,$GB$182:$GV$182,0),MATCH($E$206,$X$109:$X$126,0)))*$C212</f>
        <v>0</v>
      </c>
      <c r="BE2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212,$GB$182:$GV$182,0),MATCH($E$206,$X$109:$X$126,0)))*$C212</f>
        <v>0</v>
      </c>
      <c r="BF214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212,$GB$182:$GV$182,0),MATCH($E$206,$X$109:$X$126,0)))*$C212</f>
        <v>0</v>
      </c>
      <c r="BG214" s="21"/>
      <c r="BH214" s="21"/>
      <c r="BI214" s="21"/>
      <c r="BJ214" s="20">
        <f t="shared" si="96"/>
        <v>0</v>
      </c>
      <c r="BK214" s="20">
        <f t="shared" si="95"/>
        <v>0</v>
      </c>
      <c r="BL214" s="20">
        <f t="shared" si="94"/>
        <v>0</v>
      </c>
      <c r="BM214" s="21"/>
      <c r="BN214" s="21"/>
      <c r="BO214" s="21"/>
      <c r="BP214" s="21"/>
      <c r="BQ214" s="21"/>
      <c r="BR214" s="21"/>
      <c r="BS214" s="21"/>
      <c r="BT214" s="21"/>
      <c r="BU214" s="21"/>
      <c r="BV214" s="21"/>
      <c r="BW214" s="21"/>
      <c r="BX214" s="21"/>
      <c r="BY214" s="21"/>
      <c r="BZ214" s="21"/>
      <c r="CA214" s="21"/>
      <c r="CB214" s="21"/>
      <c r="CC214" s="21"/>
      <c r="CD214" s="21"/>
      <c r="CE214" s="21"/>
      <c r="CF214" s="21"/>
      <c r="CG214" s="21"/>
      <c r="CH214" s="21"/>
      <c r="CI214" s="21"/>
      <c r="CJ214" s="21"/>
      <c r="CK214" s="21"/>
      <c r="CL214" s="21"/>
      <c r="CM214" s="21"/>
      <c r="CN214" s="21"/>
      <c r="CO214" s="21"/>
      <c r="CP214" s="21"/>
      <c r="CQ214" s="21"/>
      <c r="CR214" s="21"/>
      <c r="CS214" s="21"/>
      <c r="CT214" s="21"/>
      <c r="CU214" s="21"/>
      <c r="CV214" s="21"/>
      <c r="CW214" s="21"/>
      <c r="CX214" s="21"/>
      <c r="CY214" s="21"/>
      <c r="CZ214" s="21"/>
      <c r="DA214" s="21"/>
      <c r="DB214" s="21"/>
      <c r="DC214" s="21"/>
      <c r="DD214" s="21"/>
      <c r="DE214" s="21"/>
      <c r="DF214" s="21"/>
      <c r="DG214" s="21"/>
      <c r="DH214" s="21"/>
      <c r="DI214" s="21"/>
      <c r="DJ214" s="21"/>
      <c r="DK214" s="21"/>
      <c r="DL214" s="21"/>
      <c r="DM214" s="21"/>
      <c r="DN214" s="21"/>
      <c r="DO214" s="21"/>
      <c r="DP214" s="21"/>
      <c r="DQ214" s="21"/>
      <c r="DR214" s="21"/>
      <c r="DS214" s="21"/>
      <c r="DT214" s="21"/>
      <c r="DU214" s="21"/>
      <c r="DV214" s="21"/>
      <c r="DW214" s="21"/>
      <c r="DX214" s="21"/>
      <c r="DY214" s="21"/>
      <c r="DZ214" s="87"/>
      <c r="EA214" s="87"/>
      <c r="EB214" s="87"/>
      <c r="EC214" s="21"/>
      <c r="ED214" s="21"/>
      <c r="EE214" s="21"/>
      <c r="EF214" s="21"/>
      <c r="EG214" s="21"/>
      <c r="EH214" s="21"/>
      <c r="EI214" s="21"/>
      <c r="EJ214" s="21"/>
      <c r="EK214" s="21"/>
      <c r="EL214" s="21"/>
      <c r="EM214" s="21"/>
      <c r="EN214" s="21"/>
      <c r="EO214" s="21"/>
      <c r="EP214" s="21"/>
      <c r="EQ214" s="21"/>
      <c r="ER214" s="21"/>
      <c r="ES214" s="21"/>
      <c r="ET214" s="21"/>
      <c r="EU214" s="21"/>
      <c r="EV214" s="21"/>
      <c r="EW214" s="21"/>
      <c r="EX214" s="21"/>
      <c r="EY214" s="21"/>
      <c r="EZ214" s="21"/>
      <c r="FA214" s="21"/>
      <c r="FB214" s="21"/>
      <c r="FC214" s="21"/>
      <c r="FD214" s="21"/>
      <c r="FE214" s="21"/>
      <c r="FF214" s="21"/>
      <c r="FG214" s="21"/>
      <c r="FH214" s="21"/>
      <c r="FI214" s="21"/>
      <c r="FJ214" s="21"/>
      <c r="FK214" s="21"/>
      <c r="FL214" s="21"/>
      <c r="FM214" s="21"/>
      <c r="FN214" s="21"/>
      <c r="FO214" s="21"/>
      <c r="FP214" s="21"/>
      <c r="FQ214" s="21"/>
      <c r="FR214" s="21"/>
      <c r="FS214" s="21"/>
      <c r="FT214" s="21"/>
      <c r="FU214" s="21"/>
      <c r="FV214" s="21"/>
      <c r="FW214" s="21"/>
      <c r="FX214" s="21"/>
      <c r="FY214" s="21"/>
      <c r="FZ214" s="21"/>
      <c r="GA214" s="347" t="s">
        <v>867</v>
      </c>
      <c r="GB214" s="21">
        <v>0</v>
      </c>
      <c r="GC214" s="21">
        <v>1</v>
      </c>
      <c r="GD214" s="21">
        <v>2</v>
      </c>
      <c r="GE214" s="21">
        <v>3</v>
      </c>
      <c r="GF214" s="21">
        <v>4</v>
      </c>
      <c r="GG214" s="21">
        <v>5</v>
      </c>
      <c r="GH214" s="21">
        <v>6</v>
      </c>
      <c r="GI214" s="21">
        <v>7</v>
      </c>
      <c r="GJ214" s="21">
        <v>8</v>
      </c>
      <c r="GK214" s="21">
        <v>9</v>
      </c>
      <c r="GL214" s="21">
        <v>10</v>
      </c>
      <c r="GM214" s="21">
        <v>11</v>
      </c>
      <c r="GN214" s="21">
        <v>12</v>
      </c>
      <c r="GO214" s="21">
        <v>13</v>
      </c>
      <c r="GP214" s="21">
        <v>14</v>
      </c>
      <c r="GQ214" s="21">
        <v>15</v>
      </c>
      <c r="GR214" s="21">
        <v>16</v>
      </c>
      <c r="GS214" s="21">
        <v>17</v>
      </c>
      <c r="GT214" s="21">
        <v>18</v>
      </c>
      <c r="GU214" s="21">
        <v>19</v>
      </c>
      <c r="GV214" s="21">
        <v>20</v>
      </c>
      <c r="GW214" s="21"/>
      <c r="GX214" s="347" t="s">
        <v>866</v>
      </c>
      <c r="GY214" s="21">
        <v>0</v>
      </c>
      <c r="GZ214" s="21">
        <v>2</v>
      </c>
      <c r="HA214" s="21">
        <v>2</v>
      </c>
      <c r="HB214" s="21">
        <v>0</v>
      </c>
      <c r="HC214" s="21">
        <v>5</v>
      </c>
      <c r="HD214" s="21">
        <v>3</v>
      </c>
      <c r="HE214" s="21">
        <v>1</v>
      </c>
      <c r="HF214" s="21">
        <v>0</v>
      </c>
      <c r="HG214" s="21">
        <v>4</v>
      </c>
      <c r="HH214" s="21">
        <v>2</v>
      </c>
      <c r="HI214" s="21">
        <v>0</v>
      </c>
      <c r="HJ214" s="21">
        <v>5</v>
      </c>
      <c r="HK214" s="21">
        <v>3</v>
      </c>
      <c r="HL214" s="21">
        <v>1</v>
      </c>
      <c r="HM214" s="21">
        <v>0</v>
      </c>
      <c r="HN214" s="21">
        <v>4</v>
      </c>
      <c r="HO214" s="21">
        <v>2</v>
      </c>
      <c r="HP214" s="21">
        <v>0</v>
      </c>
      <c r="HQ214" s="21">
        <v>0</v>
      </c>
      <c r="HR214" s="21">
        <v>2</v>
      </c>
      <c r="HS214" s="21">
        <v>1</v>
      </c>
      <c r="HT214" s="21"/>
      <c r="HU214" s="21"/>
      <c r="HV214" s="186" t="s">
        <v>111</v>
      </c>
      <c r="HW214" s="21">
        <v>0</v>
      </c>
      <c r="HX214" s="21">
        <v>1</v>
      </c>
      <c r="HY214" s="21">
        <v>2</v>
      </c>
      <c r="HZ214" s="21">
        <v>3</v>
      </c>
      <c r="IA214" s="21">
        <v>4</v>
      </c>
      <c r="IB214" s="21">
        <v>5</v>
      </c>
      <c r="IC214" s="21">
        <v>6</v>
      </c>
      <c r="ID214" s="21">
        <v>7</v>
      </c>
      <c r="IE214" s="21">
        <v>8</v>
      </c>
      <c r="IF214" s="21">
        <v>9</v>
      </c>
      <c r="IG214" s="21">
        <v>10</v>
      </c>
      <c r="IH214" s="21">
        <v>11</v>
      </c>
      <c r="II214" s="21">
        <v>12</v>
      </c>
      <c r="IJ214" s="21">
        <v>13</v>
      </c>
      <c r="IK214" s="21">
        <v>14</v>
      </c>
      <c r="IL214" s="21">
        <v>15</v>
      </c>
      <c r="IM214" s="21">
        <v>16</v>
      </c>
      <c r="IN214" s="21">
        <v>17</v>
      </c>
      <c r="IO214" s="21">
        <v>18</v>
      </c>
      <c r="IP214" s="21">
        <v>19</v>
      </c>
      <c r="IQ214" s="21">
        <v>20</v>
      </c>
      <c r="IR214" s="21"/>
      <c r="IS214" s="21"/>
      <c r="IT214" s="21"/>
      <c r="IU214" s="21"/>
      <c r="IV214" s="21"/>
      <c r="IW214" s="21"/>
      <c r="IX214" s="21"/>
      <c r="IY214" s="21"/>
      <c r="IZ214" s="21"/>
      <c r="JA214" s="21"/>
      <c r="JB214" s="21"/>
      <c r="JC214" s="21"/>
      <c r="JD214" s="21"/>
      <c r="JE214" s="21"/>
      <c r="JF214" s="21"/>
      <c r="JG214" s="21"/>
      <c r="JH214" s="21"/>
      <c r="JI214" s="21"/>
      <c r="JJ214" s="21"/>
      <c r="JK214" s="21"/>
      <c r="JL214" s="21"/>
      <c r="JM214" s="21"/>
      <c r="JN214" s="21"/>
      <c r="JO214" s="21"/>
      <c r="JP214" s="21"/>
      <c r="JQ214" s="21"/>
      <c r="JR214" s="21"/>
      <c r="JS214" s="21"/>
      <c r="JT214" s="21"/>
      <c r="JU214" s="21"/>
      <c r="JV214" s="21"/>
      <c r="JW214" s="21"/>
      <c r="JX214" s="21"/>
      <c r="JY214" s="21"/>
      <c r="JZ214" s="21"/>
      <c r="KA214" s="21"/>
      <c r="KB214" s="21"/>
      <c r="KC214" s="21"/>
      <c r="KD214" s="21"/>
      <c r="KE214" s="21"/>
      <c r="KF214" s="21"/>
      <c r="KG214" s="21"/>
      <c r="KH214" s="21"/>
    </row>
    <row r="215" spans="1:294" ht="18.75" x14ac:dyDescent="0.25">
      <c r="A215" s="8"/>
      <c r="B215" s="5" t="s">
        <v>116</v>
      </c>
      <c r="C215" s="8"/>
      <c r="D215" s="40" t="s">
        <v>941</v>
      </c>
      <c r="E215" s="32"/>
      <c r="F215" s="31"/>
      <c r="G215" s="31"/>
      <c r="H215" s="9"/>
      <c r="I215" s="9"/>
      <c r="J215" s="9"/>
      <c r="K215" s="9"/>
      <c r="L215" s="6" t="s">
        <v>849</v>
      </c>
      <c r="M215" s="11">
        <f>INDEX(cennik!$C$2:$L$529,MATCH($L215,cennik!$B$2:$B$522,0),MATCH(M$205,cennik!$C$1:$L$1,0))</f>
        <v>660246</v>
      </c>
      <c r="N215" s="11" t="str">
        <f>INDEX(cennik!$C$2:$L$529,MATCH($L215,cennik!$B$2:$B$522,0),MATCH(N$104,cennik!$C$1:$L$1,0))</f>
        <v>szt.</v>
      </c>
      <c r="O215" s="11">
        <f>O214</f>
        <v>0</v>
      </c>
      <c r="P215" s="34">
        <f>INDEX(cennik!$C$2:$L$529,MATCH($L215,cennik!$B$2:$B$522,0),MATCH(P$104,cennik!$C$1:$L$1,0))</f>
        <v>1.56</v>
      </c>
      <c r="Q215" s="34">
        <f t="shared" si="92"/>
        <v>0</v>
      </c>
      <c r="R215" s="35">
        <f t="shared" si="90"/>
        <v>0</v>
      </c>
      <c r="S215" s="34">
        <f t="shared" si="91"/>
        <v>1.56</v>
      </c>
      <c r="T215" s="34">
        <f t="shared" si="93"/>
        <v>0</v>
      </c>
      <c r="U215" s="34">
        <f>INDEX(cennik!$C$2:$L$529,MATCH($L215,cennik!$B$2:$B$522,0),MATCH(U$104,cennik!$C$1:$L$1,0))*O215</f>
        <v>0</v>
      </c>
      <c r="V215" s="21"/>
      <c r="W215" s="21"/>
      <c r="X215" s="20">
        <f t="shared" si="83"/>
        <v>0</v>
      </c>
      <c r="Y215" s="21"/>
      <c r="Z215" s="21"/>
      <c r="AA215" s="21"/>
      <c r="AB215" s="21"/>
      <c r="AC215" s="21"/>
      <c r="AD215" s="20">
        <f t="shared" si="87"/>
        <v>0</v>
      </c>
      <c r="AE215" s="20">
        <f t="shared" si="84"/>
        <v>0</v>
      </c>
      <c r="AF215" s="20">
        <f t="shared" si="89"/>
        <v>0</v>
      </c>
      <c r="AG215" s="20">
        <f t="shared" si="85"/>
        <v>0</v>
      </c>
      <c r="AH215" s="21" t="s">
        <v>725</v>
      </c>
      <c r="AI215" s="21">
        <v>800</v>
      </c>
      <c r="AJ215" s="21" t="s">
        <v>719</v>
      </c>
      <c r="AK215" s="21">
        <v>600</v>
      </c>
      <c r="AL215" s="21" t="s">
        <v>719</v>
      </c>
      <c r="AM215" s="21">
        <v>500</v>
      </c>
      <c r="AN215" s="21"/>
      <c r="AO215" s="21"/>
      <c r="AP215" s="21"/>
      <c r="AQ215" s="21"/>
      <c r="AR215" s="21"/>
      <c r="AS215" s="20">
        <f t="shared" si="86"/>
        <v>0</v>
      </c>
      <c r="AT215" s="20">
        <f t="shared" si="88"/>
        <v>0</v>
      </c>
      <c r="AU215" s="20"/>
      <c r="AV215" s="21"/>
      <c r="AW215" s="20"/>
      <c r="AX2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</f>
        <v>0</v>
      </c>
      <c r="AY2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</f>
        <v>0</v>
      </c>
      <c r="AZ215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</f>
        <v>0</v>
      </c>
      <c r="BA215" s="21"/>
      <c r="BB215" s="21"/>
      <c r="BC215" s="21"/>
      <c r="BD2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213,$GB$182:$GV$182,0),MATCH($E$206,$X$109:$X$126,0)))*$C213</f>
        <v>0</v>
      </c>
      <c r="BE2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213,$GB$182:$GV$182,0),MATCH($E$206,$X$109:$X$126,0)))*$C213</f>
        <v>0</v>
      </c>
      <c r="BF215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213,$GB$182:$GV$182,0),MATCH($E$206,$X$109:$X$126,0)))*$C213</f>
        <v>0</v>
      </c>
      <c r="BG215" s="21"/>
      <c r="BH215" s="21"/>
      <c r="BI215" s="21"/>
      <c r="BJ215" s="20">
        <f t="shared" si="96"/>
        <v>0</v>
      </c>
      <c r="BK215" s="20">
        <f t="shared" si="95"/>
        <v>0</v>
      </c>
      <c r="BL215" s="20">
        <f t="shared" si="94"/>
        <v>0</v>
      </c>
      <c r="BM215" s="21"/>
      <c r="BN215" s="21"/>
      <c r="BO215" s="21"/>
      <c r="BP215" s="21"/>
      <c r="BQ215" s="21"/>
      <c r="BR215" s="350"/>
      <c r="BS215" s="350">
        <v>10</v>
      </c>
      <c r="BT215" s="350">
        <v>15</v>
      </c>
      <c r="BU215" s="350">
        <v>20</v>
      </c>
      <c r="BV215" s="21"/>
      <c r="BW215" s="21"/>
      <c r="BX215" s="21"/>
      <c r="BY215" s="21"/>
      <c r="BZ215" s="21"/>
      <c r="CA215" s="21"/>
      <c r="CB215" s="21"/>
      <c r="CC215" s="21"/>
      <c r="CD215" s="21"/>
      <c r="CE215" s="21"/>
      <c r="CF215" s="21"/>
      <c r="CG215" s="21"/>
      <c r="CH215" s="21"/>
      <c r="CI215" s="21"/>
      <c r="CJ215" s="21"/>
      <c r="CK215" s="21"/>
      <c r="CL215" s="21"/>
      <c r="CM215" s="21"/>
      <c r="CN215" s="21"/>
      <c r="CO215" s="21"/>
      <c r="CP215" s="21"/>
      <c r="CQ215" s="21"/>
      <c r="CR215" s="21"/>
      <c r="CS215" s="21"/>
      <c r="CT215" s="21"/>
      <c r="CU215" s="21"/>
      <c r="CV215" s="21"/>
      <c r="CW215" s="21"/>
      <c r="CX215" s="21"/>
      <c r="CY215" s="21"/>
      <c r="CZ215" s="21"/>
      <c r="DA215" s="21"/>
      <c r="DB215" s="21"/>
      <c r="DC215" s="21"/>
      <c r="DD215" s="21"/>
      <c r="DE215" s="21"/>
      <c r="DF215" s="21"/>
      <c r="DG215" s="21"/>
      <c r="DH215" s="21"/>
      <c r="DI215" s="21"/>
      <c r="DJ215" s="21"/>
      <c r="DK215" s="21"/>
      <c r="DL215" s="21"/>
      <c r="DM215" s="21"/>
      <c r="DN215" s="21"/>
      <c r="DO215" s="21"/>
      <c r="DP215" s="21"/>
      <c r="DQ215" s="21"/>
      <c r="DR215" s="21"/>
      <c r="DS215" s="21"/>
      <c r="DT215" s="21"/>
      <c r="DU215" s="21"/>
      <c r="DV215" s="21"/>
      <c r="DW215" s="21"/>
      <c r="DX215" s="21"/>
      <c r="DY215" s="21"/>
      <c r="DZ215" s="87"/>
      <c r="EA215" s="87"/>
      <c r="EB215" s="87"/>
      <c r="EC215" s="21"/>
      <c r="ED215" s="21"/>
      <c r="EE215" s="21"/>
      <c r="EF215" s="21"/>
      <c r="EG215" s="21"/>
      <c r="EH215" s="21"/>
      <c r="EI215" s="21"/>
      <c r="EJ215" s="21"/>
      <c r="EK215" s="21"/>
      <c r="EL215" s="21"/>
      <c r="EM215" s="21"/>
      <c r="EN215" s="21"/>
      <c r="EO215" s="21"/>
      <c r="EP215" s="21"/>
      <c r="EQ215" s="21"/>
      <c r="ER215" s="21"/>
      <c r="ES215" s="21"/>
      <c r="ET215" s="21"/>
      <c r="EU215" s="21"/>
      <c r="EV215" s="21"/>
      <c r="EW215" s="21"/>
      <c r="EX215" s="21"/>
      <c r="EY215" s="21"/>
      <c r="EZ215" s="21"/>
      <c r="FA215" s="21"/>
      <c r="FB215" s="21"/>
      <c r="FC215" s="21"/>
      <c r="FD215" s="21"/>
      <c r="FE215" s="21"/>
      <c r="FF215" s="21"/>
      <c r="FG215" s="21"/>
      <c r="FH215" s="21"/>
      <c r="FI215" s="21"/>
      <c r="FJ215" s="21"/>
      <c r="FK215" s="21"/>
      <c r="FL215" s="21"/>
      <c r="FM215" s="21"/>
      <c r="FN215" s="21"/>
      <c r="FO215" s="21"/>
      <c r="FP215" s="21"/>
      <c r="FQ215" s="21"/>
      <c r="FR215" s="21"/>
      <c r="FS215" s="21"/>
      <c r="FT215" s="21"/>
      <c r="FU215" s="21"/>
      <c r="FV215" s="21"/>
      <c r="FW215" s="21"/>
      <c r="FX215" s="21"/>
      <c r="FY215" s="21"/>
      <c r="FZ215" s="21"/>
      <c r="GA215" s="347" t="s">
        <v>868</v>
      </c>
      <c r="GB215" s="21">
        <v>0</v>
      </c>
      <c r="GC215" s="21">
        <v>0</v>
      </c>
      <c r="GD215" s="21">
        <v>0</v>
      </c>
      <c r="GE215" s="21">
        <v>0</v>
      </c>
      <c r="GF215" s="21">
        <v>0</v>
      </c>
      <c r="GG215" s="21">
        <v>0</v>
      </c>
      <c r="GH215" s="21">
        <v>0</v>
      </c>
      <c r="GI215" s="21">
        <v>0</v>
      </c>
      <c r="GJ215" s="21">
        <v>0</v>
      </c>
      <c r="GK215" s="21">
        <v>0</v>
      </c>
      <c r="GL215" s="21">
        <v>0</v>
      </c>
      <c r="GM215" s="21">
        <v>0</v>
      </c>
      <c r="GN215" s="21">
        <v>0</v>
      </c>
      <c r="GO215" s="21">
        <v>0</v>
      </c>
      <c r="GP215" s="21">
        <v>0</v>
      </c>
      <c r="GQ215" s="21">
        <v>0</v>
      </c>
      <c r="GR215" s="21">
        <v>0</v>
      </c>
      <c r="GS215" s="21">
        <v>0</v>
      </c>
      <c r="GT215" s="21">
        <v>0</v>
      </c>
      <c r="GU215" s="21">
        <v>0</v>
      </c>
      <c r="GV215" s="21">
        <v>0</v>
      </c>
      <c r="GW215" s="21"/>
      <c r="GX215" s="347" t="s">
        <v>867</v>
      </c>
      <c r="GY215" s="21">
        <v>0</v>
      </c>
      <c r="GZ215" s="21">
        <v>0</v>
      </c>
      <c r="HA215" s="21">
        <v>1</v>
      </c>
      <c r="HB215" s="21">
        <v>4</v>
      </c>
      <c r="HC215" s="21">
        <v>1</v>
      </c>
      <c r="HD215" s="21">
        <v>4</v>
      </c>
      <c r="HE215" s="21">
        <v>7</v>
      </c>
      <c r="HF215" s="21">
        <v>9</v>
      </c>
      <c r="HG215" s="21">
        <v>7</v>
      </c>
      <c r="HH215" s="21">
        <v>10</v>
      </c>
      <c r="HI215" s="21">
        <v>13</v>
      </c>
      <c r="HJ215" s="21">
        <v>10</v>
      </c>
      <c r="HK215" s="21">
        <v>13</v>
      </c>
      <c r="HL215" s="21">
        <v>16</v>
      </c>
      <c r="HM215" s="21">
        <v>18</v>
      </c>
      <c r="HN215" s="21">
        <v>16</v>
      </c>
      <c r="HO215" s="21">
        <v>19</v>
      </c>
      <c r="HP215" s="21">
        <v>22</v>
      </c>
      <c r="HQ215" s="21">
        <v>22</v>
      </c>
      <c r="HR215" s="21">
        <v>23</v>
      </c>
      <c r="HS215" s="21">
        <v>25</v>
      </c>
      <c r="HT215" s="21"/>
      <c r="HU215" s="21"/>
      <c r="HV215" s="186" t="s">
        <v>866</v>
      </c>
      <c r="HW215" s="21">
        <v>0</v>
      </c>
      <c r="HX215" s="21"/>
      <c r="HY215" s="21"/>
      <c r="HZ215" s="21"/>
      <c r="IA215" s="21"/>
      <c r="IB215" s="21"/>
      <c r="IC215" s="21"/>
      <c r="ID215" s="21"/>
      <c r="IE215" s="21"/>
      <c r="IF215" s="21"/>
      <c r="IG215" s="21"/>
      <c r="IH215" s="21"/>
      <c r="II215" s="21"/>
      <c r="IJ215" s="21"/>
      <c r="IK215" s="21"/>
      <c r="IL215" s="21"/>
      <c r="IM215" s="21"/>
      <c r="IN215" s="21"/>
      <c r="IO215" s="21"/>
      <c r="IP215" s="21"/>
      <c r="IQ215" s="21"/>
      <c r="IR215" s="21"/>
      <c r="IS215" s="21"/>
      <c r="IT215" s="21"/>
      <c r="IU215" s="21"/>
      <c r="IV215" s="21"/>
      <c r="IW215" s="21"/>
      <c r="IX215" s="21"/>
      <c r="IY215" s="21"/>
      <c r="IZ215" s="21"/>
      <c r="JA215" s="21"/>
      <c r="JB215" s="21"/>
      <c r="JC215" s="21"/>
      <c r="JD215" s="21"/>
      <c r="JE215" s="21"/>
      <c r="JF215" s="21"/>
      <c r="JG215" s="21"/>
      <c r="JH215" s="21"/>
      <c r="JI215" s="21"/>
      <c r="JJ215" s="21"/>
      <c r="JK215" s="21"/>
      <c r="JL215" s="21"/>
      <c r="JM215" s="21"/>
      <c r="JN215" s="21"/>
      <c r="JO215" s="21"/>
      <c r="JP215" s="21"/>
      <c r="JQ215" s="21"/>
      <c r="JR215" s="21"/>
      <c r="JS215" s="21"/>
      <c r="JT215" s="21"/>
      <c r="JU215" s="21"/>
      <c r="JV215" s="21"/>
      <c r="JW215" s="21"/>
      <c r="JX215" s="21"/>
      <c r="JY215" s="21"/>
      <c r="JZ215" s="21"/>
      <c r="KA215" s="21"/>
      <c r="KB215" s="21"/>
      <c r="KC215" s="21"/>
      <c r="KD215" s="21"/>
      <c r="KE215" s="21"/>
      <c r="KF215" s="21"/>
      <c r="KG215" s="21"/>
      <c r="KH215" s="21"/>
    </row>
    <row r="216" spans="1:294" ht="18.75" x14ac:dyDescent="0.25">
      <c r="A216" s="8"/>
      <c r="B216" s="5" t="s">
        <v>116</v>
      </c>
      <c r="C216" s="8"/>
      <c r="D216" s="40" t="s">
        <v>797</v>
      </c>
      <c r="E216" s="9"/>
      <c r="F216" s="9"/>
      <c r="G216" s="9"/>
      <c r="H216" s="9"/>
      <c r="I216" s="9"/>
      <c r="J216" s="9"/>
      <c r="K216" s="9"/>
      <c r="L216" s="6" t="s">
        <v>1019</v>
      </c>
      <c r="M216" s="11">
        <f>INDEX(cennik!$C$2:$L$529,MATCH($L216,cennik!$B$2:$B$522,0),MATCH(M$205,cennik!$C$1:$L$1,0))</f>
        <v>166794</v>
      </c>
      <c r="N216" s="11" t="str">
        <f>INDEX(cennik!$C$2:$L$529,MATCH($L216,cennik!$B$2:$B$522,0),MATCH(N$104,cennik!$C$1:$L$1,0))</f>
        <v>100 szt.</v>
      </c>
      <c r="O216" s="11">
        <f>ROUNDUP((O214)/100,0)</f>
        <v>0</v>
      </c>
      <c r="P216" s="34">
        <f>INDEX(cennik!$C$2:$L$529,MATCH($L216,cennik!$B$2:$B$522,0),MATCH(P$104,cennik!$C$1:$L$1,0))</f>
        <v>3.95</v>
      </c>
      <c r="Q216" s="34">
        <f t="shared" si="92"/>
        <v>0</v>
      </c>
      <c r="R216" s="35">
        <f t="shared" si="90"/>
        <v>0</v>
      </c>
      <c r="S216" s="34">
        <f t="shared" si="91"/>
        <v>3.95</v>
      </c>
      <c r="T216" s="34">
        <f t="shared" si="93"/>
        <v>0</v>
      </c>
      <c r="U216" s="34">
        <f>INDEX(cennik!$C$2:$L$529,MATCH($L216,cennik!$B$2:$B$522,0),MATCH(U$104,cennik!$C$1:$L$1,0))*O216</f>
        <v>0</v>
      </c>
      <c r="V216" s="21"/>
      <c r="W216" s="21"/>
      <c r="X216" s="20"/>
      <c r="Y216" s="21"/>
      <c r="Z216" s="21"/>
      <c r="AA216" s="21"/>
      <c r="AB216" s="21"/>
      <c r="AC216" s="21"/>
      <c r="AD216" s="20">
        <f t="shared" si="87"/>
        <v>0</v>
      </c>
      <c r="AE216" s="20">
        <f t="shared" si="84"/>
        <v>0</v>
      </c>
      <c r="AF216" s="20">
        <f t="shared" si="89"/>
        <v>0</v>
      </c>
      <c r="AG216" s="20">
        <f t="shared" si="85"/>
        <v>0</v>
      </c>
      <c r="AH216" s="21"/>
      <c r="AI216" s="21"/>
      <c r="AJ216" s="21"/>
      <c r="AK216" s="21"/>
      <c r="AL216" s="21"/>
      <c r="AM216" s="21"/>
      <c r="AN216" s="21"/>
      <c r="AO216" s="21"/>
      <c r="AP216" s="21"/>
      <c r="AQ216" s="21"/>
      <c r="AR216" s="21"/>
      <c r="AS216" s="20">
        <f t="shared" si="86"/>
        <v>0</v>
      </c>
      <c r="AT216" s="20">
        <f t="shared" si="88"/>
        <v>0</v>
      </c>
      <c r="AU216" s="20"/>
      <c r="AV216" s="21"/>
      <c r="AW216" s="20"/>
      <c r="AX2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</f>
        <v>0</v>
      </c>
      <c r="AY2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</f>
        <v>0</v>
      </c>
      <c r="AZ216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</f>
        <v>0</v>
      </c>
      <c r="BA216" s="21"/>
      <c r="BB216" s="21"/>
      <c r="BC216" s="21"/>
      <c r="BD2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214,$GB$182:$GV$182,0),MATCH($E$206,$X$109:$X$126,0)))*$C214</f>
        <v>0</v>
      </c>
      <c r="BE2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214,$GB$182:$GV$182,0),MATCH($E$206,$X$109:$X$126,0)))*$C214</f>
        <v>0</v>
      </c>
      <c r="BF216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214,$GB$182:$GV$182,0),MATCH($E$206,$X$109:$X$126,0)))*$C214</f>
        <v>0</v>
      </c>
      <c r="BG216" s="21"/>
      <c r="BH216" s="21"/>
      <c r="BI216" s="21"/>
      <c r="BJ216" s="20">
        <f t="shared" si="96"/>
        <v>0</v>
      </c>
      <c r="BK216" s="20">
        <f t="shared" si="95"/>
        <v>0</v>
      </c>
      <c r="BL216" s="20">
        <f t="shared" si="94"/>
        <v>0</v>
      </c>
      <c r="BM216" s="21"/>
      <c r="BN216" s="21"/>
      <c r="BO216" s="21"/>
      <c r="BP216" s="21"/>
      <c r="BQ216" s="21"/>
      <c r="BR216" s="350" t="s">
        <v>114</v>
      </c>
      <c r="BS216" s="350" t="s">
        <v>928</v>
      </c>
      <c r="BT216" s="350" t="s">
        <v>929</v>
      </c>
      <c r="BU216" s="350" t="s">
        <v>905</v>
      </c>
      <c r="BV216" s="21"/>
      <c r="BW216" s="21"/>
      <c r="BX216" s="21"/>
      <c r="BY216" s="21"/>
      <c r="BZ216" s="21"/>
      <c r="CA216" s="21"/>
      <c r="CB216" s="21"/>
      <c r="CC216" s="21"/>
      <c r="CD216" s="21"/>
      <c r="CE216" s="21"/>
      <c r="CF216" s="21"/>
      <c r="CG216" s="21"/>
      <c r="CH216" s="21"/>
      <c r="CI216" s="21"/>
      <c r="CJ216" s="21"/>
      <c r="CK216" s="21"/>
      <c r="CL216" s="21"/>
      <c r="CM216" s="21"/>
      <c r="CN216" s="21"/>
      <c r="CO216" s="21"/>
      <c r="CP216" s="21"/>
      <c r="CQ216" s="21"/>
      <c r="CR216" s="21"/>
      <c r="CS216" s="21"/>
      <c r="CT216" s="21"/>
      <c r="CU216" s="21"/>
      <c r="CV216" s="21"/>
      <c r="CW216" s="21"/>
      <c r="CX216" s="21"/>
      <c r="CY216" s="21"/>
      <c r="CZ216" s="21"/>
      <c r="DA216" s="21"/>
      <c r="DB216" s="21"/>
      <c r="DC216" s="21"/>
      <c r="DD216" s="21"/>
      <c r="DE216" s="21"/>
      <c r="DF216" s="21"/>
      <c r="DG216" s="21"/>
      <c r="DH216" s="21"/>
      <c r="DI216" s="21"/>
      <c r="DJ216" s="21"/>
      <c r="DK216" s="21"/>
      <c r="DL216" s="21"/>
      <c r="DM216" s="21"/>
      <c r="DN216" s="21"/>
      <c r="DO216" s="21"/>
      <c r="DP216" s="21"/>
      <c r="DQ216" s="21"/>
      <c r="DR216" s="21"/>
      <c r="DS216" s="21"/>
      <c r="DT216" s="21"/>
      <c r="DU216" s="21"/>
      <c r="DV216" s="21"/>
      <c r="DW216" s="21"/>
      <c r="DX216" s="21"/>
      <c r="DY216" s="21"/>
      <c r="DZ216" s="87"/>
      <c r="EA216" s="87"/>
      <c r="EB216" s="87"/>
      <c r="EC216" s="21"/>
      <c r="ED216" s="21"/>
      <c r="EE216" s="21"/>
      <c r="EF216" s="21"/>
      <c r="EG216" s="21"/>
      <c r="EH216" s="21"/>
      <c r="EI216" s="21"/>
      <c r="EJ216" s="21"/>
      <c r="EK216" s="21"/>
      <c r="EL216" s="21"/>
      <c r="EM216" s="21"/>
      <c r="EN216" s="21"/>
      <c r="EO216" s="21"/>
      <c r="EP216" s="21"/>
      <c r="EQ216" s="21"/>
      <c r="ER216" s="21"/>
      <c r="ES216" s="21"/>
      <c r="ET216" s="21"/>
      <c r="EU216" s="21"/>
      <c r="EV216" s="21"/>
      <c r="EW216" s="21"/>
      <c r="EX216" s="21"/>
      <c r="EY216" s="21"/>
      <c r="EZ216" s="21"/>
      <c r="FA216" s="21"/>
      <c r="FB216" s="21"/>
      <c r="FC216" s="21"/>
      <c r="FD216" s="21"/>
      <c r="FE216" s="21"/>
      <c r="FF216" s="21"/>
      <c r="FG216" s="21"/>
      <c r="FH216" s="21"/>
      <c r="FI216" s="21"/>
      <c r="FJ216" s="21"/>
      <c r="FK216" s="21"/>
      <c r="FL216" s="21"/>
      <c r="FM216" s="21"/>
      <c r="FN216" s="21"/>
      <c r="FO216" s="21"/>
      <c r="FP216" s="21"/>
      <c r="FQ216" s="21"/>
      <c r="FR216" s="21"/>
      <c r="FS216" s="21"/>
      <c r="FT216" s="21"/>
      <c r="FU216" s="21"/>
      <c r="FV216" s="21"/>
      <c r="FW216" s="21"/>
      <c r="FX216" s="21"/>
      <c r="FY216" s="21"/>
      <c r="FZ216" s="21"/>
      <c r="GA216" s="21"/>
      <c r="GB216" s="21"/>
      <c r="GC216" s="21"/>
      <c r="GD216" s="21"/>
      <c r="GE216" s="21"/>
      <c r="GF216" s="21"/>
      <c r="GG216" s="21"/>
      <c r="GH216" s="21"/>
      <c r="GI216" s="21"/>
      <c r="GJ216" s="21"/>
      <c r="GK216" s="21"/>
      <c r="GL216" s="21"/>
      <c r="GM216" s="21"/>
      <c r="GN216" s="21"/>
      <c r="GO216" s="21"/>
      <c r="GP216" s="21"/>
      <c r="GQ216" s="21"/>
      <c r="GR216" s="21"/>
      <c r="GS216" s="21"/>
      <c r="GT216" s="21"/>
      <c r="GU216" s="21"/>
      <c r="GV216" s="21"/>
      <c r="GW216" s="21"/>
      <c r="GX216" s="347" t="s">
        <v>868</v>
      </c>
      <c r="GY216" s="21">
        <v>0</v>
      </c>
      <c r="GZ216" s="21">
        <v>0</v>
      </c>
      <c r="HA216" s="21">
        <v>0</v>
      </c>
      <c r="HB216" s="21">
        <v>0</v>
      </c>
      <c r="HC216" s="21">
        <v>0</v>
      </c>
      <c r="HD216" s="21">
        <v>0</v>
      </c>
      <c r="HE216" s="21">
        <v>0</v>
      </c>
      <c r="HF216" s="21">
        <v>0</v>
      </c>
      <c r="HG216" s="21">
        <v>0</v>
      </c>
      <c r="HH216" s="21">
        <v>0</v>
      </c>
      <c r="HI216" s="21">
        <v>0</v>
      </c>
      <c r="HJ216" s="21">
        <v>0</v>
      </c>
      <c r="HK216" s="21">
        <v>0</v>
      </c>
      <c r="HL216" s="21">
        <v>0</v>
      </c>
      <c r="HM216" s="21">
        <v>0</v>
      </c>
      <c r="HN216" s="21">
        <v>0</v>
      </c>
      <c r="HO216" s="21">
        <v>0</v>
      </c>
      <c r="HP216" s="21">
        <v>0</v>
      </c>
      <c r="HQ216" s="21">
        <v>1</v>
      </c>
      <c r="HR216" s="21">
        <v>0</v>
      </c>
      <c r="HS216" s="21">
        <v>0</v>
      </c>
      <c r="HT216" s="21"/>
      <c r="HU216" s="21"/>
      <c r="HV216" s="186" t="s">
        <v>867</v>
      </c>
      <c r="HW216" s="21">
        <v>0</v>
      </c>
      <c r="HX216" s="21"/>
      <c r="HY216" s="21"/>
      <c r="HZ216" s="21"/>
      <c r="IA216" s="21"/>
      <c r="IB216" s="21"/>
      <c r="IC216" s="21"/>
      <c r="ID216" s="21"/>
      <c r="IE216" s="21"/>
      <c r="IF216" s="21"/>
      <c r="IG216" s="21"/>
      <c r="IH216" s="21"/>
      <c r="II216" s="21"/>
      <c r="IJ216" s="21"/>
      <c r="IK216" s="21"/>
      <c r="IL216" s="21"/>
      <c r="IM216" s="21"/>
      <c r="IN216" s="21"/>
      <c r="IO216" s="21"/>
      <c r="IP216" s="21"/>
      <c r="IQ216" s="21"/>
      <c r="IR216" s="21"/>
      <c r="IS216" s="21"/>
      <c r="IT216" s="21"/>
      <c r="IU216" s="21"/>
      <c r="IV216" s="21"/>
      <c r="IW216" s="21"/>
      <c r="IX216" s="21"/>
      <c r="IY216" s="21"/>
      <c r="IZ216" s="21"/>
      <c r="JA216" s="21"/>
      <c r="JB216" s="21"/>
      <c r="JC216" s="21"/>
      <c r="JD216" s="21"/>
      <c r="JE216" s="21"/>
      <c r="JF216" s="21"/>
      <c r="JG216" s="21"/>
      <c r="JH216" s="21"/>
      <c r="JI216" s="21"/>
      <c r="JJ216" s="21"/>
      <c r="JK216" s="21"/>
      <c r="JL216" s="21"/>
      <c r="JM216" s="21"/>
      <c r="JN216" s="21"/>
      <c r="JO216" s="21"/>
      <c r="JP216" s="21"/>
      <c r="JQ216" s="21"/>
      <c r="JR216" s="21"/>
      <c r="JS216" s="21"/>
      <c r="JT216" s="21"/>
      <c r="JU216" s="21"/>
      <c r="JV216" s="21"/>
      <c r="JW216" s="21"/>
      <c r="JX216" s="21"/>
      <c r="JY216" s="21"/>
      <c r="JZ216" s="21"/>
      <c r="KA216" s="21"/>
      <c r="KB216" s="21"/>
      <c r="KC216" s="21"/>
      <c r="KD216" s="21"/>
      <c r="KE216" s="21"/>
      <c r="KF216" s="21"/>
      <c r="KG216" s="21"/>
      <c r="KH216" s="21"/>
    </row>
    <row r="217" spans="1:294" ht="18.75" x14ac:dyDescent="0.25">
      <c r="A217" s="8"/>
      <c r="B217" s="5" t="s">
        <v>116</v>
      </c>
      <c r="C217" s="8"/>
      <c r="D217" s="40" t="s">
        <v>942</v>
      </c>
      <c r="E217" s="9"/>
      <c r="F217" s="9"/>
      <c r="G217" s="9"/>
      <c r="H217" s="9"/>
      <c r="I217" s="9"/>
      <c r="J217" s="9"/>
      <c r="K217" s="9"/>
      <c r="L217" s="6" t="s">
        <v>623</v>
      </c>
      <c r="M217" s="11">
        <f>INDEX(cennik!$C$2:$L$529,MATCH($L217,cennik!$B$2:$B$522,0),MATCH(M$205,cennik!$C$1:$L$1,0))</f>
        <v>660944</v>
      </c>
      <c r="N217" s="11" t="str">
        <f>INDEX(cennik!$C$2:$L$529,MATCH($L217,cennik!$B$2:$B$522,0),MATCH(N$104,cennik!$C$1:$L$1,0))</f>
        <v>100 szt.</v>
      </c>
      <c r="O217" s="11">
        <f>ROUNDUP((O214+(((SUM(AT203:AT218))*2)))/100,0)</f>
        <v>0</v>
      </c>
      <c r="P217" s="34">
        <f>INDEX(cennik!$C$2:$L$529,MATCH($L217,cennik!$B$2:$B$522,0),MATCH(P$104,cennik!$C$1:$L$1,0))</f>
        <v>21.26</v>
      </c>
      <c r="Q217" s="34">
        <f t="shared" si="92"/>
        <v>0</v>
      </c>
      <c r="R217" s="35">
        <f t="shared" si="90"/>
        <v>0</v>
      </c>
      <c r="S217" s="34">
        <f t="shared" si="91"/>
        <v>21.26</v>
      </c>
      <c r="T217" s="34">
        <f t="shared" si="93"/>
        <v>0</v>
      </c>
      <c r="U217" s="34">
        <f>INDEX(cennik!$C$2:$L$529,MATCH($L217,cennik!$B$2:$B$522,0),MATCH(U$104,cennik!$C$1:$L$1,0))*O217</f>
        <v>0</v>
      </c>
      <c r="V217" s="21"/>
      <c r="W217" s="21"/>
      <c r="X217" s="20"/>
      <c r="Y217" s="21"/>
      <c r="Z217" s="21"/>
      <c r="AA217" s="21"/>
      <c r="AB217" s="21"/>
      <c r="AC217" s="21"/>
      <c r="AD217" s="20">
        <f t="shared" si="87"/>
        <v>0</v>
      </c>
      <c r="AE217" s="20">
        <f t="shared" si="84"/>
        <v>0</v>
      </c>
      <c r="AF217" s="20">
        <f t="shared" si="89"/>
        <v>0</v>
      </c>
      <c r="AG217" s="20">
        <f t="shared" si="85"/>
        <v>0</v>
      </c>
      <c r="AH217" s="21" t="s">
        <v>836</v>
      </c>
      <c r="AI217" s="21"/>
      <c r="AJ217" s="21"/>
      <c r="AK217" s="21"/>
      <c r="AL217" s="21"/>
      <c r="AM217" s="21"/>
      <c r="AN217" s="21"/>
      <c r="AO217" s="21"/>
      <c r="AP217" s="21"/>
      <c r="AQ217" s="21"/>
      <c r="AR217" s="21"/>
      <c r="AS217" s="20">
        <f t="shared" si="86"/>
        <v>0</v>
      </c>
      <c r="AT217" s="20">
        <f t="shared" si="88"/>
        <v>0</v>
      </c>
      <c r="AU217" s="20"/>
      <c r="AV217" s="21"/>
      <c r="AW217" s="21"/>
      <c r="AX2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</f>
        <v>0</v>
      </c>
      <c r="AY2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</f>
        <v>0</v>
      </c>
      <c r="AZ217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</f>
        <v>0</v>
      </c>
      <c r="BA217" s="21"/>
      <c r="BB217" s="21"/>
      <c r="BC217" s="21"/>
      <c r="BD2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215,$GB$182:$GV$182,0),MATCH($E$206,$X$109:$X$126,0)))*$C215</f>
        <v>0</v>
      </c>
      <c r="BE2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215,$GB$182:$GV$182,0),MATCH($E$206,$X$109:$X$126,0)))*$C215</f>
        <v>0</v>
      </c>
      <c r="BF217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215,$GB$182:$GV$182,0),MATCH($E$206,$X$109:$X$126,0)))*$C215</f>
        <v>0</v>
      </c>
      <c r="BG217" s="21"/>
      <c r="BH217" s="21"/>
      <c r="BI217" s="21"/>
      <c r="BJ217" s="20">
        <f t="shared" si="96"/>
        <v>0</v>
      </c>
      <c r="BK217" s="20">
        <f t="shared" si="95"/>
        <v>0</v>
      </c>
      <c r="BL217" s="20">
        <f t="shared" si="94"/>
        <v>0</v>
      </c>
      <c r="BM217" s="21"/>
      <c r="BN217" s="21"/>
      <c r="BO217" s="21"/>
      <c r="BP217" s="21"/>
      <c r="BQ217" s="21"/>
      <c r="BR217" s="350" t="s">
        <v>115</v>
      </c>
      <c r="BS217" s="350" t="s">
        <v>928</v>
      </c>
      <c r="BT217" s="350" t="s">
        <v>929</v>
      </c>
      <c r="BU217" s="350" t="s">
        <v>905</v>
      </c>
      <c r="BV217" s="21"/>
      <c r="BW217" s="21"/>
      <c r="BX217" s="21"/>
      <c r="BY217" s="21"/>
      <c r="BZ217" s="21"/>
      <c r="CA217" s="21"/>
      <c r="CB217" s="21"/>
      <c r="CC217" s="21"/>
      <c r="CD217" s="21"/>
      <c r="CE217" s="21"/>
      <c r="CF217" s="21"/>
      <c r="CG217" s="21"/>
      <c r="CH217" s="21"/>
      <c r="CI217" s="21"/>
      <c r="CJ217" s="21"/>
      <c r="CK217" s="21"/>
      <c r="CL217" s="21"/>
      <c r="CM217" s="21"/>
      <c r="CN217" s="21"/>
      <c r="CO217" s="21"/>
      <c r="CP217" s="21"/>
      <c r="CQ217" s="21"/>
      <c r="CR217" s="21"/>
      <c r="CS217" s="21"/>
      <c r="CT217" s="21"/>
      <c r="CU217" s="21"/>
      <c r="CV217" s="21"/>
      <c r="CW217" s="21"/>
      <c r="CX217" s="21"/>
      <c r="CY217" s="21"/>
      <c r="CZ217" s="21"/>
      <c r="DA217" s="21"/>
      <c r="DB217" s="21"/>
      <c r="DC217" s="21"/>
      <c r="DD217" s="21"/>
      <c r="DE217" s="21"/>
      <c r="DF217" s="21"/>
      <c r="DG217" s="21"/>
      <c r="DH217" s="21"/>
      <c r="DI217" s="21"/>
      <c r="DJ217" s="21"/>
      <c r="DK217" s="21"/>
      <c r="DL217" s="21"/>
      <c r="DM217" s="21"/>
      <c r="DN217" s="21"/>
      <c r="DO217" s="21"/>
      <c r="DP217" s="21"/>
      <c r="DQ217" s="21"/>
      <c r="DR217" s="21"/>
      <c r="DS217" s="21"/>
      <c r="DT217" s="21"/>
      <c r="DU217" s="21"/>
      <c r="DV217" s="21"/>
      <c r="DW217" s="21"/>
      <c r="DX217" s="21"/>
      <c r="DY217" s="21"/>
      <c r="DZ217" s="87"/>
      <c r="EA217" s="87"/>
      <c r="EB217" s="87"/>
      <c r="EC217" s="21"/>
      <c r="ED217" s="21"/>
      <c r="EE217" s="21"/>
      <c r="EF217" s="21"/>
      <c r="EG217" s="21"/>
      <c r="EH217" s="21"/>
      <c r="EI217" s="21"/>
      <c r="EJ217" s="21"/>
      <c r="EK217" s="21"/>
      <c r="EL217" s="21"/>
      <c r="EM217" s="21"/>
      <c r="EN217" s="21"/>
      <c r="EO217" s="21"/>
      <c r="EP217" s="21"/>
      <c r="EQ217" s="21"/>
      <c r="ER217" s="21"/>
      <c r="ES217" s="21"/>
      <c r="ET217" s="21"/>
      <c r="EU217" s="21"/>
      <c r="EV217" s="21"/>
      <c r="EW217" s="21"/>
      <c r="EX217" s="21"/>
      <c r="EY217" s="21"/>
      <c r="EZ217" s="21"/>
      <c r="FA217" s="21"/>
      <c r="FB217" s="21"/>
      <c r="FC217" s="21"/>
      <c r="FD217" s="21"/>
      <c r="FE217" s="21"/>
      <c r="FF217" s="21"/>
      <c r="FG217" s="21"/>
      <c r="FH217" s="21"/>
      <c r="FI217" s="21"/>
      <c r="FJ217" s="21"/>
      <c r="FK217" s="21"/>
      <c r="FL217" s="21"/>
      <c r="FM217" s="21"/>
      <c r="FN217" s="21"/>
      <c r="FO217" s="21"/>
      <c r="FP217" s="21"/>
      <c r="FQ217" s="21"/>
      <c r="FR217" s="21"/>
      <c r="FS217" s="21"/>
      <c r="FT217" s="21"/>
      <c r="FU217" s="21"/>
      <c r="FV217" s="21"/>
      <c r="FW217" s="21"/>
      <c r="FX217" s="21"/>
      <c r="FY217" s="21"/>
      <c r="FZ217" s="21"/>
      <c r="GA217" s="21" t="s">
        <v>473</v>
      </c>
      <c r="GB217" s="21"/>
      <c r="GC217" s="21"/>
      <c r="GD217" s="21"/>
      <c r="GE217" s="21"/>
      <c r="GF217" s="21"/>
      <c r="GG217" s="21"/>
      <c r="GH217" s="21"/>
      <c r="GI217" s="21"/>
      <c r="GJ217" s="21"/>
      <c r="GK217" s="21"/>
      <c r="GL217" s="21"/>
      <c r="GM217" s="21"/>
      <c r="GN217" s="21"/>
      <c r="GO217" s="21"/>
      <c r="GP217" s="21"/>
      <c r="GQ217" s="21"/>
      <c r="GR217" s="21"/>
      <c r="GS217" s="21"/>
      <c r="GT217" s="21"/>
      <c r="GU217" s="21"/>
      <c r="GV217" s="21"/>
      <c r="GW217" s="21"/>
      <c r="GX217" s="21"/>
      <c r="GY217" s="21"/>
      <c r="GZ217" s="21"/>
      <c r="HA217" s="21"/>
      <c r="HB217" s="21"/>
      <c r="HC217" s="21"/>
      <c r="HD217" s="21"/>
      <c r="HE217" s="21"/>
      <c r="HF217" s="21"/>
      <c r="HG217" s="21"/>
      <c r="HH217" s="21"/>
      <c r="HI217" s="21"/>
      <c r="HJ217" s="21"/>
      <c r="HK217" s="21"/>
      <c r="HL217" s="21"/>
      <c r="HM217" s="21"/>
      <c r="HN217" s="21"/>
      <c r="HO217" s="21"/>
      <c r="HP217" s="21"/>
      <c r="HQ217" s="21"/>
      <c r="HR217" s="21"/>
      <c r="HS217" s="21"/>
      <c r="HT217" s="21"/>
      <c r="HU217" s="21"/>
      <c r="HV217" s="186" t="s">
        <v>868</v>
      </c>
      <c r="HW217" s="21">
        <v>0</v>
      </c>
      <c r="HX217" s="21"/>
      <c r="HY217" s="21"/>
      <c r="HZ217" s="21"/>
      <c r="IA217" s="21"/>
      <c r="IB217" s="21"/>
      <c r="IC217" s="21"/>
      <c r="ID217" s="21"/>
      <c r="IE217" s="21"/>
      <c r="IF217" s="21"/>
      <c r="IG217" s="21"/>
      <c r="IH217" s="21"/>
      <c r="II217" s="21"/>
      <c r="IJ217" s="21"/>
      <c r="IK217" s="21"/>
      <c r="IL217" s="21"/>
      <c r="IM217" s="21"/>
      <c r="IN217" s="21"/>
      <c r="IO217" s="21"/>
      <c r="IP217" s="21"/>
      <c r="IQ217" s="21"/>
      <c r="IR217" s="21"/>
      <c r="IS217" s="21"/>
      <c r="IT217" s="21"/>
      <c r="IU217" s="21"/>
      <c r="IV217" s="21"/>
      <c r="IW217" s="21"/>
      <c r="IX217" s="21"/>
      <c r="IY217" s="21"/>
      <c r="IZ217" s="21"/>
      <c r="JA217" s="21"/>
      <c r="JB217" s="21"/>
      <c r="JC217" s="21"/>
      <c r="JD217" s="21"/>
      <c r="JE217" s="21"/>
      <c r="JF217" s="21"/>
      <c r="JG217" s="21"/>
      <c r="JH217" s="21"/>
      <c r="JI217" s="21"/>
      <c r="JJ217" s="21"/>
      <c r="JK217" s="21"/>
      <c r="JL217" s="21"/>
      <c r="JM217" s="21"/>
      <c r="JN217" s="21"/>
      <c r="JO217" s="21"/>
      <c r="JP217" s="21"/>
      <c r="JQ217" s="21"/>
      <c r="JR217" s="21"/>
      <c r="JS217" s="21"/>
      <c r="JT217" s="21"/>
      <c r="JU217" s="21"/>
      <c r="JV217" s="21"/>
      <c r="JW217" s="21"/>
      <c r="JX217" s="21"/>
      <c r="JY217" s="21"/>
      <c r="JZ217" s="21"/>
      <c r="KA217" s="21"/>
      <c r="KB217" s="21"/>
      <c r="KC217" s="21"/>
      <c r="KD217" s="21"/>
      <c r="KE217" s="21"/>
      <c r="KF217" s="21"/>
      <c r="KG217" s="21"/>
      <c r="KH217" s="21"/>
    </row>
    <row r="218" spans="1:294" ht="18.75" x14ac:dyDescent="0.25">
      <c r="A218" s="8"/>
      <c r="B218" s="5" t="s">
        <v>116</v>
      </c>
      <c r="C218" s="8"/>
      <c r="D218" s="40" t="s">
        <v>943</v>
      </c>
      <c r="E218" s="9"/>
      <c r="F218" s="9"/>
      <c r="G218" s="9"/>
      <c r="H218" s="9"/>
      <c r="I218" s="9"/>
      <c r="J218" s="9"/>
      <c r="K218" s="9"/>
      <c r="L218" s="6" t="str">
        <f>IF(E207=$Z$104,"SBV250X350",IF(E207=$Z$105,"SBV50X500",IF(E207=$Z$106,"-------",IF(E207=$Z$107,"-------",0))))</f>
        <v>SBV50X500</v>
      </c>
      <c r="M218" s="11">
        <f>INDEX(cennik!$C$2:$L$529,MATCH($L218,cennik!$B$2:$B$522,0),MATCH(M$205,cennik!$C$1:$L$1,0))</f>
        <v>895501</v>
      </c>
      <c r="N218" s="11" t="str">
        <f>INDEX(cennik!$C$2:$L$529,MATCH($L218,cennik!$B$2:$B$522,0),MATCH(N$104,cennik!$C$1:$L$1,0))</f>
        <v>szt.</v>
      </c>
      <c r="O218" s="11">
        <f>IF(E207=$Z$104,O209*2,IF(E207=$Z$105,O209,IF(E207=$Z$106,0,IF(E207=$Z$107,0))))</f>
        <v>0</v>
      </c>
      <c r="P218" s="34">
        <f>INDEX(cennik!$C$2:$L$529,MATCH($L218,cennik!$B$2:$B$522,0),MATCH(P$104,cennik!$C$1:$L$1,0))</f>
        <v>1.24</v>
      </c>
      <c r="Q218" s="34">
        <f t="shared" si="92"/>
        <v>0</v>
      </c>
      <c r="R218" s="35">
        <f t="shared" si="90"/>
        <v>0</v>
      </c>
      <c r="S218" s="34">
        <f t="shared" si="91"/>
        <v>1.24</v>
      </c>
      <c r="T218" s="34">
        <f t="shared" si="93"/>
        <v>0</v>
      </c>
      <c r="U218" s="34">
        <f>INDEX(cennik!$C$2:$L$529,MATCH($L218,cennik!$B$2:$B$522,0),MATCH(U$104,cennik!$C$1:$L$1,0))*O218</f>
        <v>0</v>
      </c>
      <c r="V218" s="21"/>
      <c r="W218" s="21"/>
      <c r="X218" s="21"/>
      <c r="Y218" s="21"/>
      <c r="Z218" s="21"/>
      <c r="AA218" s="21"/>
      <c r="AB218" s="21"/>
      <c r="AC218" s="21"/>
      <c r="AD218" s="20">
        <f t="shared" si="87"/>
        <v>0</v>
      </c>
      <c r="AE218" s="20">
        <f t="shared" si="84"/>
        <v>0</v>
      </c>
      <c r="AF218" s="20">
        <f t="shared" si="89"/>
        <v>0</v>
      </c>
      <c r="AG218" s="20">
        <f t="shared" si="85"/>
        <v>0</v>
      </c>
      <c r="AH218" s="21" t="s">
        <v>717</v>
      </c>
      <c r="AI218" s="21">
        <v>1</v>
      </c>
      <c r="AJ218" s="21">
        <v>2</v>
      </c>
      <c r="AK218" s="21">
        <v>3</v>
      </c>
      <c r="AL218" s="21">
        <v>4</v>
      </c>
      <c r="AM218" s="21">
        <v>5</v>
      </c>
      <c r="AN218" s="21"/>
      <c r="AO218" s="21"/>
      <c r="AP218" s="21"/>
      <c r="AQ218" s="21"/>
      <c r="AR218" s="21"/>
      <c r="AS218" s="20">
        <f t="shared" si="86"/>
        <v>0</v>
      </c>
      <c r="AT218" s="20">
        <f t="shared" si="88"/>
        <v>0</v>
      </c>
      <c r="AU218" s="20"/>
      <c r="AV218" s="21"/>
      <c r="AW218" s="21"/>
      <c r="AX2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</f>
        <v>0</v>
      </c>
      <c r="AY2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</f>
        <v>0</v>
      </c>
      <c r="AZ218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</f>
        <v>0</v>
      </c>
      <c r="BA218" s="21"/>
      <c r="BB218" s="21"/>
      <c r="BC218" s="21"/>
      <c r="BD2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216,$GB$182:$GV$182,0),MATCH($E$206,$X$109:$X$126,0)))*$C216</f>
        <v>0</v>
      </c>
      <c r="BE2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216,$GB$182:$GV$182,0),MATCH($E$206,$X$109:$X$126,0)))*$C216</f>
        <v>0</v>
      </c>
      <c r="BF218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216,$GB$182:$GV$182,0),MATCH($E$206,$X$109:$X$126,0)))*$C216</f>
        <v>0</v>
      </c>
      <c r="BG218" s="21"/>
      <c r="BH218" s="21"/>
      <c r="BI218" s="21"/>
      <c r="BJ218" s="20">
        <f t="shared" si="96"/>
        <v>0</v>
      </c>
      <c r="BK218" s="20">
        <f t="shared" si="95"/>
        <v>0</v>
      </c>
      <c r="BL218" s="20">
        <f t="shared" si="94"/>
        <v>0</v>
      </c>
      <c r="BM218" s="21"/>
      <c r="BN218" s="21"/>
      <c r="BO218" s="21"/>
      <c r="BP218" s="21"/>
      <c r="BQ218" s="21"/>
      <c r="BR218" s="350" t="s">
        <v>474</v>
      </c>
      <c r="BS218" s="350" t="s">
        <v>928</v>
      </c>
      <c r="BT218" s="350" t="s">
        <v>929</v>
      </c>
      <c r="BU218" s="350" t="s">
        <v>905</v>
      </c>
      <c r="BV218" s="21"/>
      <c r="BW218" s="21"/>
      <c r="BX218" s="21"/>
      <c r="BY218" s="21"/>
      <c r="BZ218" s="21"/>
      <c r="CA218" s="21"/>
      <c r="CB218" s="21"/>
      <c r="CC218" s="21"/>
      <c r="CD218" s="21"/>
      <c r="CE218" s="21"/>
      <c r="CF218" s="21"/>
      <c r="CG218" s="21"/>
      <c r="CH218" s="21"/>
      <c r="CI218" s="21"/>
      <c r="CJ218" s="21"/>
      <c r="CK218" s="21"/>
      <c r="CL218" s="21"/>
      <c r="CM218" s="21"/>
      <c r="CN218" s="21"/>
      <c r="CO218" s="21"/>
      <c r="CP218" s="21"/>
      <c r="CQ218" s="21"/>
      <c r="CR218" s="21"/>
      <c r="CS218" s="21"/>
      <c r="CT218" s="21"/>
      <c r="CU218" s="21"/>
      <c r="CV218" s="21"/>
      <c r="CW218" s="21"/>
      <c r="CX218" s="21"/>
      <c r="CY218" s="21"/>
      <c r="CZ218" s="21"/>
      <c r="DA218" s="21"/>
      <c r="DB218" s="21"/>
      <c r="DC218" s="21"/>
      <c r="DD218" s="21"/>
      <c r="DE218" s="21"/>
      <c r="DF218" s="21"/>
      <c r="DG218" s="21"/>
      <c r="DH218" s="21"/>
      <c r="DI218" s="21"/>
      <c r="DJ218" s="21"/>
      <c r="DK218" s="21"/>
      <c r="DL218" s="21"/>
      <c r="DM218" s="21"/>
      <c r="DN218" s="21"/>
      <c r="DO218" s="21"/>
      <c r="DP218" s="21"/>
      <c r="DQ218" s="21"/>
      <c r="DR218" s="21"/>
      <c r="DS218" s="21"/>
      <c r="DT218" s="21"/>
      <c r="DU218" s="21"/>
      <c r="DV218" s="21"/>
      <c r="DW218" s="21"/>
      <c r="DX218" s="21"/>
      <c r="DY218" s="21"/>
      <c r="DZ218" s="87"/>
      <c r="EA218" s="87"/>
      <c r="EB218" s="87"/>
      <c r="EC218" s="21"/>
      <c r="ED218" s="21"/>
      <c r="EE218" s="21"/>
      <c r="EF218" s="21"/>
      <c r="EG218" s="21"/>
      <c r="EH218" s="21"/>
      <c r="EI218" s="21"/>
      <c r="EJ218" s="21"/>
      <c r="EK218" s="21"/>
      <c r="EL218" s="21"/>
      <c r="EM218" s="21"/>
      <c r="EN218" s="21"/>
      <c r="EO218" s="21"/>
      <c r="EP218" s="21"/>
      <c r="EQ218" s="21"/>
      <c r="ER218" s="21"/>
      <c r="ES218" s="21"/>
      <c r="ET218" s="21"/>
      <c r="EU218" s="21"/>
      <c r="EV218" s="21"/>
      <c r="EW218" s="21"/>
      <c r="EX218" s="21"/>
      <c r="EY218" s="21"/>
      <c r="EZ218" s="21"/>
      <c r="FA218" s="21"/>
      <c r="FB218" s="21"/>
      <c r="FC218" s="21"/>
      <c r="FD218" s="21"/>
      <c r="FE218" s="21"/>
      <c r="FF218" s="21"/>
      <c r="FG218" s="21"/>
      <c r="FH218" s="21"/>
      <c r="FI218" s="21"/>
      <c r="FJ218" s="21"/>
      <c r="FK218" s="21"/>
      <c r="FL218" s="21"/>
      <c r="FM218" s="21"/>
      <c r="FN218" s="21"/>
      <c r="FO218" s="21"/>
      <c r="FP218" s="21"/>
      <c r="FQ218" s="21"/>
      <c r="FR218" s="21"/>
      <c r="FS218" s="21"/>
      <c r="FT218" s="21"/>
      <c r="FU218" s="21"/>
      <c r="FV218" s="21"/>
      <c r="FW218" s="21"/>
      <c r="FX218" s="21"/>
      <c r="FY218" s="21"/>
      <c r="FZ218" s="21"/>
      <c r="GA218" s="21"/>
      <c r="GB218" s="21">
        <v>0</v>
      </c>
      <c r="GC218" s="21">
        <v>1</v>
      </c>
      <c r="GD218" s="21">
        <v>2</v>
      </c>
      <c r="GE218" s="21">
        <v>3</v>
      </c>
      <c r="GF218" s="21">
        <v>4</v>
      </c>
      <c r="GG218" s="21">
        <v>5</v>
      </c>
      <c r="GH218" s="21">
        <v>6</v>
      </c>
      <c r="GI218" s="21">
        <v>7</v>
      </c>
      <c r="GJ218" s="21">
        <v>8</v>
      </c>
      <c r="GK218" s="21">
        <v>9</v>
      </c>
      <c r="GL218" s="21">
        <v>10</v>
      </c>
      <c r="GM218" s="21">
        <v>11</v>
      </c>
      <c r="GN218" s="21">
        <v>12</v>
      </c>
      <c r="GO218" s="21">
        <v>13</v>
      </c>
      <c r="GP218" s="21">
        <v>14</v>
      </c>
      <c r="GQ218" s="21">
        <v>15</v>
      </c>
      <c r="GR218" s="21">
        <v>16</v>
      </c>
      <c r="GS218" s="21">
        <v>17</v>
      </c>
      <c r="GT218" s="21">
        <v>18</v>
      </c>
      <c r="GU218" s="21">
        <v>19</v>
      </c>
      <c r="GV218" s="21">
        <v>20</v>
      </c>
      <c r="GW218" s="21"/>
      <c r="GX218" s="21" t="s">
        <v>833</v>
      </c>
      <c r="GY218" s="21"/>
      <c r="GZ218" s="21"/>
      <c r="HA218" s="21"/>
      <c r="HB218" s="21"/>
      <c r="HC218" s="21"/>
      <c r="HD218" s="21"/>
      <c r="HE218" s="21"/>
      <c r="HF218" s="21"/>
      <c r="HG218" s="21"/>
      <c r="HH218" s="21"/>
      <c r="HI218" s="21"/>
      <c r="HJ218" s="21"/>
      <c r="HK218" s="21"/>
      <c r="HL218" s="21"/>
      <c r="HM218" s="21"/>
      <c r="HN218" s="21"/>
      <c r="HO218" s="21"/>
      <c r="HP218" s="21"/>
      <c r="HQ218" s="21"/>
      <c r="HR218" s="21"/>
      <c r="HS218" s="21"/>
      <c r="HT218" s="21"/>
      <c r="HU218" s="21"/>
      <c r="HV218" s="186"/>
      <c r="HW218" s="21"/>
      <c r="HX218" s="21"/>
      <c r="HY218" s="21"/>
      <c r="HZ218" s="21"/>
      <c r="IA218" s="21"/>
      <c r="IB218" s="21"/>
      <c r="IC218" s="21"/>
      <c r="ID218" s="21"/>
      <c r="IE218" s="21"/>
      <c r="IF218" s="21"/>
      <c r="IG218" s="21"/>
      <c r="IH218" s="21"/>
      <c r="II218" s="21"/>
      <c r="IJ218" s="21"/>
      <c r="IK218" s="21"/>
      <c r="IL218" s="21"/>
      <c r="IM218" s="21"/>
      <c r="IN218" s="21"/>
      <c r="IO218" s="21"/>
      <c r="IP218" s="21"/>
      <c r="IQ218" s="21"/>
      <c r="IR218" s="21"/>
      <c r="IS218" s="21"/>
      <c r="IT218" s="21"/>
      <c r="IU218" s="21"/>
      <c r="IV218" s="21"/>
      <c r="IW218" s="21"/>
      <c r="IX218" s="21"/>
      <c r="IY218" s="21"/>
      <c r="IZ218" s="21"/>
      <c r="JA218" s="21"/>
      <c r="JB218" s="21"/>
      <c r="JC218" s="21"/>
      <c r="JD218" s="21"/>
      <c r="JE218" s="21"/>
      <c r="JF218" s="21"/>
      <c r="JG218" s="21"/>
      <c r="JH218" s="21"/>
      <c r="JI218" s="21"/>
      <c r="JJ218" s="21"/>
      <c r="JK218" s="21"/>
      <c r="JL218" s="21"/>
      <c r="JM218" s="21"/>
      <c r="JN218" s="21"/>
      <c r="JO218" s="21"/>
      <c r="JP218" s="21"/>
      <c r="JQ218" s="21"/>
      <c r="JR218" s="21"/>
      <c r="JS218" s="21"/>
      <c r="JT218" s="21"/>
      <c r="JU218" s="21"/>
      <c r="JV218" s="21"/>
      <c r="JW218" s="21"/>
      <c r="JX218" s="21"/>
      <c r="JY218" s="21"/>
      <c r="JZ218" s="21"/>
      <c r="KA218" s="21"/>
      <c r="KB218" s="21"/>
      <c r="KC218" s="21"/>
      <c r="KD218" s="21"/>
      <c r="KE218" s="21"/>
      <c r="KF218" s="21"/>
      <c r="KG218" s="21"/>
      <c r="KH218" s="21"/>
    </row>
    <row r="219" spans="1:294" ht="18.75" x14ac:dyDescent="0.25">
      <c r="A219" s="8"/>
      <c r="B219" s="5" t="s">
        <v>116</v>
      </c>
      <c r="C219" s="8"/>
      <c r="D219" s="9"/>
      <c r="E219" s="9"/>
      <c r="F219" s="9"/>
      <c r="G219" s="9"/>
      <c r="H219" s="9"/>
      <c r="I219" s="9"/>
      <c r="J219" s="9"/>
      <c r="K219" s="9"/>
      <c r="L219" s="6" t="str">
        <f>IF(E207=$Z$104,"PBK50MC",IF(E207=$Z$105,"-------",IF(E207=$Z$106,"SPM2",IF(E207=$Z$107,"SMA40/033",0))))</f>
        <v>-------</v>
      </c>
      <c r="M219" s="11" t="str">
        <f>INDEX(cennik!$C$2:$L$529,MATCH($L219,cennik!$B$2:$B$522,0),MATCH(M$205,cennik!$C$1:$L$1,0))</f>
        <v>-------</v>
      </c>
      <c r="N219" s="11">
        <f>INDEX(cennik!$C$2:$L$529,MATCH($L219,cennik!$B$2:$B$522,0),MATCH(N$104,cennik!$C$1:$L$1,0))</f>
        <v>0</v>
      </c>
      <c r="O219" s="11">
        <f>IF(E207=$Z$104,$O$209*2,IF(E207=$Z$105,0,IF(E207=$Z$106,O209,IF(E207=$Z$107,O209*3,0))))</f>
        <v>0</v>
      </c>
      <c r="P219" s="34">
        <f>INDEX(cennik!$C$2:$L$529,MATCH($L219,cennik!$B$2:$B$522,0),MATCH(P$104,cennik!$C$1:$L$1,0))</f>
        <v>0</v>
      </c>
      <c r="Q219" s="34">
        <f t="shared" si="92"/>
        <v>0</v>
      </c>
      <c r="R219" s="35">
        <f t="shared" si="90"/>
        <v>0</v>
      </c>
      <c r="S219" s="34">
        <f t="shared" si="91"/>
        <v>0</v>
      </c>
      <c r="T219" s="34">
        <f t="shared" si="93"/>
        <v>0</v>
      </c>
      <c r="U219" s="34">
        <f>INDEX(cennik!$C$2:$L$529,MATCH($L219,cennik!$B$2:$B$522,0),MATCH(U$104,cennik!$C$1:$L$1,0))*O219</f>
        <v>0</v>
      </c>
      <c r="V219" s="21"/>
      <c r="W219" s="21"/>
      <c r="X219" s="21"/>
      <c r="Y219" s="21"/>
      <c r="Z219" s="21"/>
      <c r="AA219" s="21"/>
      <c r="AB219" s="21"/>
      <c r="AC219" s="21"/>
      <c r="AD219" s="20"/>
      <c r="AE219" s="21"/>
      <c r="AF219" s="21"/>
      <c r="AG219" s="21"/>
      <c r="AH219" s="21">
        <v>1</v>
      </c>
      <c r="AI219" s="21">
        <v>2000</v>
      </c>
      <c r="AJ219" s="21">
        <v>2000</v>
      </c>
      <c r="AK219" s="21">
        <v>2000</v>
      </c>
      <c r="AL219" s="21">
        <v>1800</v>
      </c>
      <c r="AM219" s="21" t="s">
        <v>719</v>
      </c>
      <c r="AN219" s="21"/>
      <c r="AO219" s="21"/>
      <c r="AP219" s="21"/>
      <c r="AQ219" s="21"/>
      <c r="AR219" s="21"/>
      <c r="AS219" s="20"/>
      <c r="AT219" s="21"/>
      <c r="AU219" s="20"/>
      <c r="AV219" s="21"/>
      <c r="AW219" s="21"/>
      <c r="AX2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</f>
        <v>0</v>
      </c>
      <c r="AY2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</f>
        <v>0</v>
      </c>
      <c r="AZ219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</f>
        <v>0</v>
      </c>
      <c r="BA219" s="21"/>
      <c r="BB219" s="21"/>
      <c r="BC219" s="21"/>
      <c r="BD2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217,$GB$182:$GV$182,0),MATCH($E$206,$X$109:$X$126,0)))*$C217</f>
        <v>0</v>
      </c>
      <c r="BE2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217,$GB$182:$GV$182,0),MATCH($E$206,$X$109:$X$126,0)))*$C217</f>
        <v>0</v>
      </c>
      <c r="BF219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217,$GB$182:$GV$182,0),MATCH($E$206,$X$109:$X$126,0)))*$C217</f>
        <v>0</v>
      </c>
      <c r="BG219" s="21"/>
      <c r="BH219" s="21"/>
      <c r="BI219" s="21"/>
      <c r="BJ219" s="20">
        <f t="shared" si="96"/>
        <v>0</v>
      </c>
      <c r="BK219" s="20">
        <f t="shared" si="95"/>
        <v>0</v>
      </c>
      <c r="BL219" s="20">
        <f t="shared" si="94"/>
        <v>0</v>
      </c>
      <c r="BM219" s="21"/>
      <c r="BN219" s="21"/>
      <c r="BO219" s="21"/>
      <c r="BP219" s="21"/>
      <c r="BQ219" s="21"/>
      <c r="BR219" s="350" t="s">
        <v>480</v>
      </c>
      <c r="BS219" s="350" t="s">
        <v>928</v>
      </c>
      <c r="BT219" s="350" t="s">
        <v>929</v>
      </c>
      <c r="BU219" s="350" t="s">
        <v>905</v>
      </c>
      <c r="BV219" s="21"/>
      <c r="BW219" s="21"/>
      <c r="BX219" s="21"/>
      <c r="BY219" s="21"/>
      <c r="BZ219" s="21"/>
      <c r="CA219" s="21"/>
      <c r="CB219" s="21"/>
      <c r="CC219" s="21"/>
      <c r="CD219" s="21"/>
      <c r="CE219" s="21"/>
      <c r="CF219" s="21"/>
      <c r="CG219" s="21"/>
      <c r="CH219" s="21"/>
      <c r="CI219" s="21"/>
      <c r="CJ219" s="21"/>
      <c r="CK219" s="21"/>
      <c r="CL219" s="21"/>
      <c r="CM219" s="21"/>
      <c r="CN219" s="21"/>
      <c r="CO219" s="21"/>
      <c r="CP219" s="21"/>
      <c r="CQ219" s="21"/>
      <c r="CR219" s="21"/>
      <c r="CS219" s="21"/>
      <c r="CT219" s="21"/>
      <c r="CU219" s="21"/>
      <c r="CV219" s="21"/>
      <c r="CW219" s="21"/>
      <c r="CX219" s="21"/>
      <c r="CY219" s="21"/>
      <c r="CZ219" s="21"/>
      <c r="DA219" s="21"/>
      <c r="DB219" s="21"/>
      <c r="DC219" s="21"/>
      <c r="DD219" s="21"/>
      <c r="DE219" s="21"/>
      <c r="DF219" s="21"/>
      <c r="DG219" s="21"/>
      <c r="DH219" s="21"/>
      <c r="DI219" s="21"/>
      <c r="DJ219" s="21"/>
      <c r="DK219" s="21"/>
      <c r="DL219" s="21"/>
      <c r="DM219" s="21"/>
      <c r="DN219" s="21"/>
      <c r="DO219" s="21"/>
      <c r="DP219" s="21"/>
      <c r="DQ219" s="21"/>
      <c r="DR219" s="21"/>
      <c r="DS219" s="21"/>
      <c r="DT219" s="21"/>
      <c r="DU219" s="21"/>
      <c r="DV219" s="21"/>
      <c r="DW219" s="21"/>
      <c r="DX219" s="21"/>
      <c r="DY219" s="21"/>
      <c r="DZ219" s="87"/>
      <c r="EA219" s="87"/>
      <c r="EB219" s="87"/>
      <c r="EC219" s="21"/>
      <c r="ED219" s="21"/>
      <c r="EE219" s="21"/>
      <c r="EF219" s="21"/>
      <c r="EG219" s="21"/>
      <c r="EH219" s="21"/>
      <c r="EI219" s="21"/>
      <c r="EJ219" s="21"/>
      <c r="EK219" s="21"/>
      <c r="EL219" s="21"/>
      <c r="EM219" s="21"/>
      <c r="EN219" s="21"/>
      <c r="EO219" s="21"/>
      <c r="EP219" s="21"/>
      <c r="EQ219" s="21"/>
      <c r="ER219" s="21"/>
      <c r="ES219" s="21"/>
      <c r="ET219" s="21"/>
      <c r="EU219" s="21"/>
      <c r="EV219" s="21"/>
      <c r="EW219" s="21"/>
      <c r="EX219" s="21"/>
      <c r="EY219" s="21"/>
      <c r="EZ219" s="21"/>
      <c r="FA219" s="21"/>
      <c r="FB219" s="21"/>
      <c r="FC219" s="21"/>
      <c r="FD219" s="21"/>
      <c r="FE219" s="21"/>
      <c r="FF219" s="21"/>
      <c r="FG219" s="21"/>
      <c r="FH219" s="21"/>
      <c r="FI219" s="21"/>
      <c r="FJ219" s="21"/>
      <c r="FK219" s="21"/>
      <c r="FL219" s="21"/>
      <c r="FM219" s="21"/>
      <c r="FN219" s="21"/>
      <c r="FO219" s="21"/>
      <c r="FP219" s="21"/>
      <c r="FQ219" s="21"/>
      <c r="FR219" s="21"/>
      <c r="FS219" s="21"/>
      <c r="FT219" s="21"/>
      <c r="FU219" s="21"/>
      <c r="FV219" s="21"/>
      <c r="FW219" s="21"/>
      <c r="FX219" s="21"/>
      <c r="FY219" s="21"/>
      <c r="FZ219" s="21"/>
      <c r="GA219" s="347" t="s">
        <v>866</v>
      </c>
      <c r="GB219" s="21">
        <v>0</v>
      </c>
      <c r="GC219" s="21">
        <v>0</v>
      </c>
      <c r="GD219" s="21">
        <v>0</v>
      </c>
      <c r="GE219" s="21">
        <v>0</v>
      </c>
      <c r="GF219" s="21">
        <v>5</v>
      </c>
      <c r="GG219" s="21">
        <v>5</v>
      </c>
      <c r="GH219" s="21">
        <v>0</v>
      </c>
      <c r="GI219" s="21">
        <v>4</v>
      </c>
      <c r="GJ219" s="21">
        <v>4</v>
      </c>
      <c r="GK219" s="21">
        <v>4</v>
      </c>
      <c r="GL219" s="21">
        <v>4</v>
      </c>
      <c r="GM219" s="21">
        <v>4</v>
      </c>
      <c r="GN219" s="21">
        <v>4</v>
      </c>
      <c r="GO219" s="21">
        <v>4</v>
      </c>
      <c r="GP219" s="21">
        <v>3</v>
      </c>
      <c r="GQ219" s="21">
        <v>3</v>
      </c>
      <c r="GR219" s="21">
        <v>3</v>
      </c>
      <c r="GS219" s="21">
        <v>3</v>
      </c>
      <c r="GT219" s="21">
        <v>3</v>
      </c>
      <c r="GU219" s="21">
        <v>2</v>
      </c>
      <c r="GV219" s="21">
        <v>2</v>
      </c>
      <c r="GW219" s="21"/>
      <c r="GX219" s="21"/>
      <c r="GY219" s="21">
        <v>0</v>
      </c>
      <c r="GZ219" s="21">
        <v>1</v>
      </c>
      <c r="HA219" s="21">
        <v>2</v>
      </c>
      <c r="HB219" s="21">
        <v>3</v>
      </c>
      <c r="HC219" s="21">
        <v>4</v>
      </c>
      <c r="HD219" s="21">
        <v>5</v>
      </c>
      <c r="HE219" s="21">
        <v>6</v>
      </c>
      <c r="HF219" s="21">
        <v>7</v>
      </c>
      <c r="HG219" s="21">
        <v>8</v>
      </c>
      <c r="HH219" s="21">
        <v>9</v>
      </c>
      <c r="HI219" s="21">
        <v>10</v>
      </c>
      <c r="HJ219" s="21">
        <v>11</v>
      </c>
      <c r="HK219" s="21">
        <v>12</v>
      </c>
      <c r="HL219" s="21">
        <v>13</v>
      </c>
      <c r="HM219" s="21">
        <v>14</v>
      </c>
      <c r="HN219" s="21">
        <v>15</v>
      </c>
      <c r="HO219" s="21">
        <v>16</v>
      </c>
      <c r="HP219" s="21">
        <v>17</v>
      </c>
      <c r="HQ219" s="21">
        <v>18</v>
      </c>
      <c r="HR219" s="21">
        <v>19</v>
      </c>
      <c r="HS219" s="21">
        <v>20</v>
      </c>
      <c r="HT219" s="21"/>
      <c r="HU219" s="21"/>
      <c r="HV219" s="186"/>
      <c r="HW219" s="21"/>
      <c r="HX219" s="21"/>
      <c r="HY219" s="21"/>
      <c r="HZ219" s="21"/>
      <c r="IA219" s="21"/>
      <c r="IB219" s="21"/>
      <c r="IC219" s="21"/>
      <c r="ID219" s="21"/>
      <c r="IE219" s="21"/>
      <c r="IF219" s="21"/>
      <c r="IG219" s="21"/>
      <c r="IH219" s="21"/>
      <c r="II219" s="21"/>
      <c r="IJ219" s="21"/>
      <c r="IK219" s="21"/>
      <c r="IL219" s="21"/>
      <c r="IM219" s="21"/>
      <c r="IN219" s="21"/>
      <c r="IO219" s="21"/>
      <c r="IP219" s="21"/>
      <c r="IQ219" s="21"/>
      <c r="IR219" s="21"/>
      <c r="IS219" s="21"/>
      <c r="IT219" s="21"/>
      <c r="IU219" s="21"/>
      <c r="IV219" s="21"/>
      <c r="IW219" s="21"/>
      <c r="IX219" s="21"/>
      <c r="IY219" s="21"/>
      <c r="IZ219" s="21"/>
      <c r="JA219" s="21"/>
      <c r="JB219" s="21"/>
      <c r="JC219" s="21"/>
      <c r="JD219" s="21"/>
      <c r="JE219" s="21"/>
      <c r="JF219" s="21"/>
      <c r="JG219" s="21"/>
      <c r="JH219" s="21"/>
      <c r="JI219" s="21"/>
      <c r="JJ219" s="21"/>
      <c r="JK219" s="21"/>
      <c r="JL219" s="21"/>
      <c r="JM219" s="21"/>
      <c r="JN219" s="21"/>
      <c r="JO219" s="21"/>
      <c r="JP219" s="21"/>
      <c r="JQ219" s="21"/>
      <c r="JR219" s="21"/>
      <c r="JS219" s="21"/>
      <c r="JT219" s="21"/>
      <c r="JU219" s="21"/>
      <c r="JV219" s="21"/>
      <c r="JW219" s="21"/>
      <c r="JX219" s="21"/>
      <c r="JY219" s="21"/>
      <c r="JZ219" s="21"/>
      <c r="KA219" s="21"/>
      <c r="KB219" s="21"/>
      <c r="KC219" s="21"/>
      <c r="KD219" s="21"/>
      <c r="KE219" s="21"/>
      <c r="KF219" s="21"/>
      <c r="KG219" s="21"/>
      <c r="KH219" s="21"/>
    </row>
    <row r="220" spans="1:294" ht="18.75" x14ac:dyDescent="0.25">
      <c r="A220" s="8"/>
      <c r="B220" s="5" t="s">
        <v>116</v>
      </c>
      <c r="C220" s="8"/>
      <c r="D220" s="9"/>
      <c r="E220" s="9"/>
      <c r="F220" s="9"/>
      <c r="G220" s="9"/>
      <c r="H220" s="9"/>
      <c r="I220" s="9"/>
      <c r="J220" s="9"/>
      <c r="K220" s="9"/>
      <c r="L220" s="6" t="str">
        <f>IF(E207=$Z$104,"-------",IF(E207=$Z$105,"-------",IF(E207=$Z$106,"-------",IF(E207=$Z$107,"SMDP6,0X25E",0))))</f>
        <v>-------</v>
      </c>
      <c r="M220" s="11" t="str">
        <f>INDEX(cennik!$C$2:$L$529,MATCH($L220,cennik!$B$2:$B$522,0),MATCH(M$205,cennik!$C$1:$L$1,0))</f>
        <v>-------</v>
      </c>
      <c r="N220" s="11">
        <f>INDEX(cennik!$C$2:$L$529,MATCH($L220,cennik!$B$2:$B$522,0),MATCH(N$104,cennik!$C$1:$L$1,0))</f>
        <v>0</v>
      </c>
      <c r="O220" s="11">
        <f>IF(E207=$Z$107,O219*4,0)</f>
        <v>0</v>
      </c>
      <c r="P220" s="34">
        <f>INDEX(cennik!$C$2:$L$529,MATCH($L220,cennik!$B$2:$B$522,0),MATCH(P$104,cennik!$C$1:$L$1,0))</f>
        <v>0</v>
      </c>
      <c r="Q220" s="34">
        <f t="shared" si="92"/>
        <v>0</v>
      </c>
      <c r="R220" s="35">
        <f t="shared" si="90"/>
        <v>0</v>
      </c>
      <c r="S220" s="34">
        <f t="shared" si="91"/>
        <v>0</v>
      </c>
      <c r="T220" s="34">
        <f t="shared" si="93"/>
        <v>0</v>
      </c>
      <c r="U220" s="34">
        <f>INDEX(cennik!$C$2:$L$529,MATCH($L220,cennik!$B$2:$B$522,0),MATCH(U$104,cennik!$C$1:$L$1,0))*O220</f>
        <v>0</v>
      </c>
      <c r="V220" s="21"/>
      <c r="W220" s="21"/>
      <c r="X220" s="21"/>
      <c r="Y220" s="21"/>
      <c r="Z220" s="21"/>
      <c r="AA220" s="21"/>
      <c r="AB220" s="21"/>
      <c r="AC220" s="21"/>
      <c r="AD220" s="21"/>
      <c r="AE220" s="21"/>
      <c r="AF220" s="21"/>
      <c r="AG220" s="21"/>
      <c r="AH220" s="21">
        <v>2</v>
      </c>
      <c r="AI220" s="21" t="s">
        <v>719</v>
      </c>
      <c r="AJ220" s="21">
        <v>1400</v>
      </c>
      <c r="AK220" s="21">
        <v>1400</v>
      </c>
      <c r="AL220" s="21" t="s">
        <v>719</v>
      </c>
      <c r="AM220" s="21" t="s">
        <v>719</v>
      </c>
      <c r="AN220" s="21"/>
      <c r="AO220" s="21"/>
      <c r="AP220" s="21"/>
      <c r="AQ220" s="21"/>
      <c r="AR220" s="21"/>
      <c r="AS220" s="20"/>
      <c r="AT220" s="21"/>
      <c r="AU220" s="21"/>
      <c r="AV220" s="21"/>
      <c r="AW220" s="21"/>
      <c r="AX2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</f>
        <v>0</v>
      </c>
      <c r="AY2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</f>
        <v>0</v>
      </c>
      <c r="AZ220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</f>
        <v>0</v>
      </c>
      <c r="BA220" s="21"/>
      <c r="BB220" s="21"/>
      <c r="BC220" s="21"/>
      <c r="BD2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218,$GB$182:$GV$182,0),MATCH($E$206,$X$109:$X$126,0)))*$C218</f>
        <v>0</v>
      </c>
      <c r="BE2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218,$GB$182:$GV$182,0),MATCH($E$206,$X$109:$X$126,0)))*$C218</f>
        <v>0</v>
      </c>
      <c r="BF220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218,$GB$182:$GV$182,0),MATCH($E$206,$X$109:$X$126,0)))*$C218</f>
        <v>0</v>
      </c>
      <c r="BG220" s="21"/>
      <c r="BH220" s="21"/>
      <c r="BI220" s="21"/>
      <c r="BJ220" s="20">
        <f t="shared" si="96"/>
        <v>0</v>
      </c>
      <c r="BK220" s="20">
        <f t="shared" si="95"/>
        <v>0</v>
      </c>
      <c r="BL220" s="20">
        <f t="shared" si="94"/>
        <v>0</v>
      </c>
      <c r="BM220" s="21"/>
      <c r="BN220" s="21"/>
      <c r="BO220" s="21"/>
      <c r="BP220" s="21"/>
      <c r="BQ220" s="21"/>
      <c r="BR220" s="350" t="s">
        <v>713</v>
      </c>
      <c r="BS220" s="350" t="s">
        <v>903</v>
      </c>
      <c r="BT220" s="350" t="s">
        <v>905</v>
      </c>
      <c r="BU220" s="350" t="s">
        <v>907</v>
      </c>
      <c r="BV220" s="21"/>
      <c r="BW220" s="21"/>
      <c r="BX220" s="21"/>
      <c r="BY220" s="21"/>
      <c r="BZ220" s="21"/>
      <c r="CA220" s="21"/>
      <c r="CB220" s="21"/>
      <c r="CC220" s="21"/>
      <c r="CD220" s="21"/>
      <c r="CE220" s="21"/>
      <c r="CF220" s="21"/>
      <c r="CG220" s="21"/>
      <c r="CH220" s="21"/>
      <c r="CI220" s="21"/>
      <c r="CJ220" s="21"/>
      <c r="CK220" s="21"/>
      <c r="CL220" s="21"/>
      <c r="CM220" s="21"/>
      <c r="CN220" s="21"/>
      <c r="CO220" s="21"/>
      <c r="CP220" s="21"/>
      <c r="CQ220" s="21"/>
      <c r="CR220" s="21"/>
      <c r="CS220" s="21"/>
      <c r="CT220" s="21"/>
      <c r="CU220" s="21"/>
      <c r="CV220" s="21"/>
      <c r="CW220" s="21"/>
      <c r="CX220" s="21"/>
      <c r="CY220" s="21"/>
      <c r="CZ220" s="21"/>
      <c r="DA220" s="21"/>
      <c r="DB220" s="21"/>
      <c r="DC220" s="21"/>
      <c r="DD220" s="21"/>
      <c r="DE220" s="21"/>
      <c r="DF220" s="21"/>
      <c r="DG220" s="21"/>
      <c r="DH220" s="21"/>
      <c r="DI220" s="21"/>
      <c r="DJ220" s="21"/>
      <c r="DK220" s="21"/>
      <c r="DL220" s="21"/>
      <c r="DM220" s="21"/>
      <c r="DN220" s="21"/>
      <c r="DO220" s="21"/>
      <c r="DP220" s="21"/>
      <c r="DQ220" s="21"/>
      <c r="DR220" s="21"/>
      <c r="DS220" s="21"/>
      <c r="DT220" s="21"/>
      <c r="DU220" s="21"/>
      <c r="DV220" s="21"/>
      <c r="DW220" s="21"/>
      <c r="DX220" s="21"/>
      <c r="DY220" s="21"/>
      <c r="DZ220" s="87"/>
      <c r="EA220" s="87"/>
      <c r="EB220" s="87"/>
      <c r="EC220" s="21"/>
      <c r="ED220" s="21"/>
      <c r="EE220" s="21"/>
      <c r="EF220" s="21"/>
      <c r="EG220" s="21"/>
      <c r="EH220" s="21"/>
      <c r="EI220" s="21"/>
      <c r="EJ220" s="21"/>
      <c r="EK220" s="21"/>
      <c r="EL220" s="21"/>
      <c r="EM220" s="21"/>
      <c r="EN220" s="21"/>
      <c r="EO220" s="21"/>
      <c r="EP220" s="21"/>
      <c r="EQ220" s="21"/>
      <c r="ER220" s="21"/>
      <c r="ES220" s="21"/>
      <c r="ET220" s="21"/>
      <c r="EU220" s="21"/>
      <c r="EV220" s="21"/>
      <c r="EW220" s="21"/>
      <c r="EX220" s="21"/>
      <c r="EY220" s="21"/>
      <c r="EZ220" s="21"/>
      <c r="FA220" s="21"/>
      <c r="FB220" s="21"/>
      <c r="FC220" s="21"/>
      <c r="FD220" s="21"/>
      <c r="FE220" s="21"/>
      <c r="FF220" s="21"/>
      <c r="FG220" s="21"/>
      <c r="FH220" s="21"/>
      <c r="FI220" s="21"/>
      <c r="FJ220" s="21"/>
      <c r="FK220" s="21"/>
      <c r="FL220" s="21"/>
      <c r="FM220" s="21"/>
      <c r="FN220" s="21"/>
      <c r="FO220" s="21"/>
      <c r="FP220" s="21"/>
      <c r="FQ220" s="21"/>
      <c r="FR220" s="21"/>
      <c r="FS220" s="21"/>
      <c r="FT220" s="21"/>
      <c r="FU220" s="21"/>
      <c r="FV220" s="21"/>
      <c r="FW220" s="21"/>
      <c r="FX220" s="21"/>
      <c r="FY220" s="21"/>
      <c r="FZ220" s="21"/>
      <c r="GA220" s="347" t="s">
        <v>867</v>
      </c>
      <c r="GB220" s="21">
        <v>0</v>
      </c>
      <c r="GC220" s="21">
        <v>1</v>
      </c>
      <c r="GD220" s="21">
        <v>1</v>
      </c>
      <c r="GE220" s="21">
        <v>2</v>
      </c>
      <c r="GF220" s="21">
        <v>0</v>
      </c>
      <c r="GG220" s="21">
        <v>1</v>
      </c>
      <c r="GH220" s="21">
        <v>5</v>
      </c>
      <c r="GI220" s="21">
        <v>4</v>
      </c>
      <c r="GJ220" s="21">
        <v>5</v>
      </c>
      <c r="GK220" s="21">
        <v>6</v>
      </c>
      <c r="GL220" s="21">
        <v>7</v>
      </c>
      <c r="GM220" s="21">
        <v>8</v>
      </c>
      <c r="GN220" s="21">
        <v>9</v>
      </c>
      <c r="GO220" s="21">
        <v>10</v>
      </c>
      <c r="GP220" s="21">
        <v>12</v>
      </c>
      <c r="GQ220" s="21">
        <v>13</v>
      </c>
      <c r="GR220" s="21">
        <v>14</v>
      </c>
      <c r="GS220" s="21">
        <v>15</v>
      </c>
      <c r="GT220" s="21">
        <v>16</v>
      </c>
      <c r="GU220" s="21">
        <v>18</v>
      </c>
      <c r="GV220" s="21">
        <v>19</v>
      </c>
      <c r="GW220" s="21"/>
      <c r="GX220" s="347" t="s">
        <v>866</v>
      </c>
      <c r="GY220" s="21">
        <v>0</v>
      </c>
      <c r="GZ220" s="21">
        <v>2</v>
      </c>
      <c r="HA220" s="21">
        <v>2</v>
      </c>
      <c r="HB220" s="21">
        <v>0</v>
      </c>
      <c r="HC220" s="21">
        <v>4</v>
      </c>
      <c r="HD220" s="21">
        <v>2</v>
      </c>
      <c r="HE220" s="21">
        <v>0</v>
      </c>
      <c r="HF220" s="21">
        <v>4</v>
      </c>
      <c r="HG220" s="21">
        <v>3</v>
      </c>
      <c r="HH220" s="21">
        <v>1</v>
      </c>
      <c r="HI220" s="21">
        <v>5</v>
      </c>
      <c r="HJ220" s="21">
        <v>3</v>
      </c>
      <c r="HK220" s="21">
        <v>1</v>
      </c>
      <c r="HL220" s="21">
        <v>5</v>
      </c>
      <c r="HM220" s="21">
        <v>3</v>
      </c>
      <c r="HN220" s="21">
        <v>1</v>
      </c>
      <c r="HO220" s="21">
        <v>0</v>
      </c>
      <c r="HP220" s="21">
        <v>3</v>
      </c>
      <c r="HQ220" s="21">
        <v>1</v>
      </c>
      <c r="HR220" s="21">
        <v>0</v>
      </c>
      <c r="HS220" s="21">
        <v>3</v>
      </c>
      <c r="HT220" s="21"/>
      <c r="HU220" s="21"/>
      <c r="HV220" s="186"/>
      <c r="HW220" s="21"/>
      <c r="HX220" s="21"/>
      <c r="HY220" s="21"/>
      <c r="HZ220" s="21"/>
      <c r="IA220" s="21"/>
      <c r="IB220" s="21"/>
      <c r="IC220" s="21"/>
      <c r="ID220" s="21"/>
      <c r="IE220" s="21"/>
      <c r="IF220" s="21"/>
      <c r="IG220" s="21"/>
      <c r="IH220" s="21"/>
      <c r="II220" s="21"/>
      <c r="IJ220" s="21"/>
      <c r="IK220" s="21"/>
      <c r="IL220" s="21"/>
      <c r="IM220" s="21"/>
      <c r="IN220" s="21"/>
      <c r="IO220" s="21"/>
      <c r="IP220" s="21"/>
      <c r="IQ220" s="21"/>
      <c r="IR220" s="21"/>
      <c r="IS220" s="21"/>
      <c r="IT220" s="21"/>
      <c r="IU220" s="21"/>
      <c r="IV220" s="21"/>
      <c r="IW220" s="21"/>
      <c r="IX220" s="21"/>
      <c r="IY220" s="21"/>
      <c r="IZ220" s="21"/>
      <c r="JA220" s="21"/>
      <c r="JB220" s="21"/>
      <c r="JC220" s="21"/>
      <c r="JD220" s="21"/>
      <c r="JE220" s="21"/>
      <c r="JF220" s="21"/>
      <c r="JG220" s="21"/>
      <c r="JH220" s="21"/>
      <c r="JI220" s="21"/>
      <c r="JJ220" s="21"/>
      <c r="JK220" s="21"/>
      <c r="JL220" s="21"/>
      <c r="JM220" s="21"/>
      <c r="JN220" s="21"/>
      <c r="JO220" s="21"/>
      <c r="JP220" s="21"/>
      <c r="JQ220" s="21"/>
      <c r="JR220" s="21"/>
      <c r="JS220" s="21"/>
      <c r="JT220" s="21"/>
      <c r="JU220" s="21"/>
      <c r="JV220" s="21"/>
      <c r="JW220" s="21"/>
      <c r="JX220" s="21"/>
      <c r="JY220" s="21"/>
      <c r="JZ220" s="21"/>
      <c r="KA220" s="21"/>
      <c r="KB220" s="21"/>
      <c r="KC220" s="21"/>
      <c r="KD220" s="21"/>
      <c r="KE220" s="21"/>
      <c r="KF220" s="21"/>
      <c r="KG220" s="21"/>
      <c r="KH220" s="21"/>
    </row>
    <row r="221" spans="1:294" ht="18.75" x14ac:dyDescent="0.25">
      <c r="A221" s="9"/>
      <c r="B221" s="6"/>
      <c r="C221" s="9"/>
      <c r="D221" s="9"/>
      <c r="E221" s="9"/>
      <c r="F221" s="17" t="str">
        <f>IF(L221="PSRM10X90F","PROPOZYCJA KOTEW- DO WERFIKACJI","")</f>
        <v>PROPOZYCJA KOTEW- DO WERFIKACJI</v>
      </c>
      <c r="G221" s="9"/>
      <c r="H221" s="9"/>
      <c r="I221" s="9"/>
      <c r="J221" s="9"/>
      <c r="K221" s="9"/>
      <c r="L221" s="6" t="str">
        <f>IF(E207=$Z$104,"-------",IF(E207=$Z$105,"PSRM10X90F",IF(E207=$Z$106,"-------",IF(E207=$Z$107,"SSZ8X30E A2",0))))</f>
        <v>PSRM10X90F</v>
      </c>
      <c r="M221" s="11">
        <f>INDEX(cennik!$C$2:$L$529,MATCH($L221,cennik!$B$2:$B$522,0),MATCH(M$205,cennik!$C$1:$L$1,0))</f>
        <v>650093</v>
      </c>
      <c r="N221" s="11" t="str">
        <f>INDEX(cennik!$C$2:$L$529,MATCH($L221,cennik!$B$2:$B$522,0),MATCH(N$104,cennik!$C$1:$L$1,0))</f>
        <v>szt.</v>
      </c>
      <c r="O221" s="11">
        <f>IF(E207=$Z$104,0,IF(E207=$Z$105,O209*4,IF(E207=$Z$106,0,IF(E207=$Z$107,ROUNDUP((O209*3)/100,0),0))))</f>
        <v>0</v>
      </c>
      <c r="P221" s="34">
        <f>INDEX(cennik!$C$2:$L$529,MATCH($L221,cennik!$B$2:$B$522,0),MATCH(P$104,cennik!$C$1:$L$1,0))</f>
        <v>3.29</v>
      </c>
      <c r="Q221" s="34">
        <f t="shared" si="92"/>
        <v>0</v>
      </c>
      <c r="R221" s="35">
        <f t="shared" si="90"/>
        <v>0</v>
      </c>
      <c r="S221" s="34">
        <f t="shared" si="91"/>
        <v>3.29</v>
      </c>
      <c r="T221" s="34">
        <f t="shared" si="93"/>
        <v>0</v>
      </c>
      <c r="U221" s="34">
        <f>INDEX(cennik!$C$2:$L$529,MATCH($L221,cennik!$B$2:$B$522,0),MATCH(U$104,cennik!$C$1:$L$1,0))*O221</f>
        <v>0</v>
      </c>
      <c r="V221" s="21"/>
      <c r="W221" s="21"/>
      <c r="X221" s="21"/>
      <c r="Y221" s="21"/>
      <c r="Z221" s="21"/>
      <c r="AA221" s="21"/>
      <c r="AB221" s="21"/>
      <c r="AC221" s="21"/>
      <c r="AD221" s="21"/>
      <c r="AE221" s="21"/>
      <c r="AF221" s="21"/>
      <c r="AG221" s="21"/>
      <c r="AH221" s="21" t="s">
        <v>725</v>
      </c>
      <c r="AI221" s="21">
        <v>1600</v>
      </c>
      <c r="AJ221" s="21" t="s">
        <v>719</v>
      </c>
      <c r="AK221" s="21">
        <v>1300</v>
      </c>
      <c r="AL221" s="21" t="s">
        <v>719</v>
      </c>
      <c r="AM221" s="21">
        <v>1100</v>
      </c>
      <c r="AN221" s="21"/>
      <c r="AO221" s="21"/>
      <c r="AP221" s="21"/>
      <c r="AQ221" s="21"/>
      <c r="AR221" s="21"/>
      <c r="AS221" s="21"/>
      <c r="AT221" s="21"/>
      <c r="AU221" s="21"/>
      <c r="AV221" s="21"/>
      <c r="AW221" s="21"/>
      <c r="AX2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</f>
        <v>0</v>
      </c>
      <c r="AY2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</f>
        <v>0</v>
      </c>
      <c r="AZ221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</f>
        <v>0</v>
      </c>
      <c r="BA221" s="21"/>
      <c r="BB221" s="21"/>
      <c r="BC221" s="21"/>
      <c r="BD2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219,$GB$182:$GV$182,0),MATCH($E$206,$X$109:$X$126,0)))*$C219</f>
        <v>0</v>
      </c>
      <c r="BE2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219,$GB$182:$GV$182,0),MATCH($E$206,$X$109:$X$126,0)))*$C219</f>
        <v>0</v>
      </c>
      <c r="BF221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219,$GB$182:$GV$182,0),MATCH($E$206,$X$109:$X$126,0)))*$C219</f>
        <v>0</v>
      </c>
      <c r="BG221" s="21"/>
      <c r="BH221" s="21"/>
      <c r="BI221" s="21"/>
      <c r="BJ221" s="20">
        <f t="shared" si="96"/>
        <v>0</v>
      </c>
      <c r="BK221" s="20">
        <f t="shared" si="95"/>
        <v>0</v>
      </c>
      <c r="BL221" s="20">
        <f t="shared" si="94"/>
        <v>0</v>
      </c>
      <c r="BM221" s="21"/>
      <c r="BN221" s="21"/>
      <c r="BO221" s="21"/>
      <c r="BP221" s="21"/>
      <c r="BQ221" s="21"/>
      <c r="BR221" s="350" t="s">
        <v>714</v>
      </c>
      <c r="BS221" s="350" t="s">
        <v>903</v>
      </c>
      <c r="BT221" s="350" t="s">
        <v>905</v>
      </c>
      <c r="BU221" s="350" t="s">
        <v>907</v>
      </c>
      <c r="BV221" s="21"/>
      <c r="BW221" s="21"/>
      <c r="BX221" s="21"/>
      <c r="BY221" s="21"/>
      <c r="BZ221" s="21"/>
      <c r="CA221" s="21"/>
      <c r="CB221" s="21"/>
      <c r="CC221" s="21"/>
      <c r="CD221" s="21"/>
      <c r="CE221" s="21"/>
      <c r="CF221" s="21"/>
      <c r="CG221" s="21"/>
      <c r="CH221" s="21"/>
      <c r="CI221" s="21"/>
      <c r="CJ221" s="21"/>
      <c r="CK221" s="21"/>
      <c r="CL221" s="21"/>
      <c r="CM221" s="21"/>
      <c r="CN221" s="21"/>
      <c r="CO221" s="21"/>
      <c r="CP221" s="21"/>
      <c r="CQ221" s="21"/>
      <c r="CR221" s="21"/>
      <c r="CS221" s="21"/>
      <c r="CT221" s="21"/>
      <c r="CU221" s="21"/>
      <c r="CV221" s="21"/>
      <c r="CW221" s="21"/>
      <c r="CX221" s="21"/>
      <c r="CY221" s="21"/>
      <c r="CZ221" s="21"/>
      <c r="DA221" s="21"/>
      <c r="DB221" s="21"/>
      <c r="DC221" s="21"/>
      <c r="DD221" s="21"/>
      <c r="DE221" s="21"/>
      <c r="DF221" s="21"/>
      <c r="DG221" s="21"/>
      <c r="DH221" s="21"/>
      <c r="DI221" s="21"/>
      <c r="DJ221" s="21"/>
      <c r="DK221" s="21"/>
      <c r="DL221" s="21"/>
      <c r="DM221" s="21"/>
      <c r="DN221" s="21"/>
      <c r="DO221" s="21"/>
      <c r="DP221" s="21"/>
      <c r="DQ221" s="21"/>
      <c r="DR221" s="21"/>
      <c r="DS221" s="21"/>
      <c r="DT221" s="21"/>
      <c r="DU221" s="21"/>
      <c r="DV221" s="21"/>
      <c r="DW221" s="21"/>
      <c r="DX221" s="21"/>
      <c r="DY221" s="21"/>
      <c r="DZ221" s="87"/>
      <c r="EA221" s="87"/>
      <c r="EB221" s="87"/>
      <c r="EC221" s="21"/>
      <c r="ED221" s="21"/>
      <c r="EE221" s="21"/>
      <c r="EF221" s="21"/>
      <c r="EG221" s="21"/>
      <c r="EH221" s="21"/>
      <c r="EI221" s="21"/>
      <c r="EJ221" s="21"/>
      <c r="EK221" s="21"/>
      <c r="EL221" s="21"/>
      <c r="EM221" s="21"/>
      <c r="EN221" s="21"/>
      <c r="EO221" s="21"/>
      <c r="EP221" s="21"/>
      <c r="EQ221" s="21"/>
      <c r="ER221" s="21"/>
      <c r="ES221" s="21"/>
      <c r="ET221" s="21"/>
      <c r="EU221" s="21"/>
      <c r="EV221" s="21"/>
      <c r="EW221" s="21"/>
      <c r="EX221" s="21"/>
      <c r="EY221" s="21"/>
      <c r="EZ221" s="21"/>
      <c r="FA221" s="21"/>
      <c r="FB221" s="21"/>
      <c r="FC221" s="21"/>
      <c r="FD221" s="21"/>
      <c r="FE221" s="21"/>
      <c r="FF221" s="21"/>
      <c r="FG221" s="21"/>
      <c r="FH221" s="21"/>
      <c r="FI221" s="21"/>
      <c r="FJ221" s="21"/>
      <c r="FK221" s="21"/>
      <c r="FL221" s="21"/>
      <c r="FM221" s="21"/>
      <c r="FN221" s="21"/>
      <c r="FO221" s="21"/>
      <c r="FP221" s="21"/>
      <c r="FQ221" s="21"/>
      <c r="FR221" s="21"/>
      <c r="FS221" s="21"/>
      <c r="FT221" s="21"/>
      <c r="FU221" s="21"/>
      <c r="FV221" s="21"/>
      <c r="FW221" s="21"/>
      <c r="FX221" s="21"/>
      <c r="FY221" s="21"/>
      <c r="FZ221" s="21"/>
      <c r="GA221" s="347" t="s">
        <v>868</v>
      </c>
      <c r="GB221" s="21">
        <v>0</v>
      </c>
      <c r="GC221" s="21">
        <v>0</v>
      </c>
      <c r="GD221" s="21">
        <v>1</v>
      </c>
      <c r="GE221" s="21">
        <v>1</v>
      </c>
      <c r="GF221" s="21">
        <v>0</v>
      </c>
      <c r="GG221" s="21">
        <v>0</v>
      </c>
      <c r="GH221" s="21">
        <v>1</v>
      </c>
      <c r="GI221" s="21">
        <v>0</v>
      </c>
      <c r="GJ221" s="21">
        <v>0</v>
      </c>
      <c r="GK221" s="21">
        <v>0</v>
      </c>
      <c r="GL221" s="21">
        <v>0</v>
      </c>
      <c r="GM221" s="21">
        <v>0</v>
      </c>
      <c r="GN221" s="21">
        <v>0</v>
      </c>
      <c r="GO221" s="21">
        <v>0</v>
      </c>
      <c r="GP221" s="21">
        <v>0</v>
      </c>
      <c r="GQ221" s="21">
        <v>0</v>
      </c>
      <c r="GR221" s="21">
        <v>0</v>
      </c>
      <c r="GS221" s="21">
        <v>0</v>
      </c>
      <c r="GT221" s="21">
        <v>0</v>
      </c>
      <c r="GU221" s="21">
        <v>0</v>
      </c>
      <c r="GV221" s="21">
        <v>0</v>
      </c>
      <c r="GW221" s="21"/>
      <c r="GX221" s="347" t="s">
        <v>867</v>
      </c>
      <c r="GY221" s="21">
        <v>0</v>
      </c>
      <c r="GZ221" s="21">
        <v>0</v>
      </c>
      <c r="HA221" s="21">
        <v>1</v>
      </c>
      <c r="HB221" s="21">
        <v>4</v>
      </c>
      <c r="HC221" s="21">
        <v>2</v>
      </c>
      <c r="HD221" s="21">
        <v>5</v>
      </c>
      <c r="HE221" s="21">
        <v>8</v>
      </c>
      <c r="HF221" s="21">
        <v>6</v>
      </c>
      <c r="HG221" s="21">
        <v>8</v>
      </c>
      <c r="HH221" s="21">
        <v>11</v>
      </c>
      <c r="HI221" s="21">
        <v>9</v>
      </c>
      <c r="HJ221" s="21">
        <v>12</v>
      </c>
      <c r="HK221" s="21">
        <v>15</v>
      </c>
      <c r="HL221" s="21">
        <v>13</v>
      </c>
      <c r="HM221" s="21">
        <v>16</v>
      </c>
      <c r="HN221" s="21">
        <v>19</v>
      </c>
      <c r="HO221" s="21">
        <v>21</v>
      </c>
      <c r="HP221" s="21">
        <v>20</v>
      </c>
      <c r="HQ221" s="21">
        <v>23</v>
      </c>
      <c r="HR221" s="21">
        <v>25</v>
      </c>
      <c r="HS221" s="21">
        <v>24</v>
      </c>
      <c r="HT221" s="21"/>
      <c r="HU221" s="21"/>
      <c r="HV221" s="186"/>
      <c r="HW221" s="21"/>
      <c r="HX221" s="21"/>
      <c r="HY221" s="21"/>
      <c r="HZ221" s="21"/>
      <c r="IA221" s="21"/>
      <c r="IB221" s="21"/>
      <c r="IC221" s="21"/>
      <c r="ID221" s="21"/>
      <c r="IE221" s="21"/>
      <c r="IF221" s="21"/>
      <c r="IG221" s="21"/>
      <c r="IH221" s="21"/>
      <c r="II221" s="21"/>
      <c r="IJ221" s="21"/>
      <c r="IK221" s="21"/>
      <c r="IL221" s="21"/>
      <c r="IM221" s="21"/>
      <c r="IN221" s="21"/>
      <c r="IO221" s="21"/>
      <c r="IP221" s="21"/>
      <c r="IQ221" s="21"/>
      <c r="IR221" s="21"/>
      <c r="IS221" s="21"/>
      <c r="IT221" s="21"/>
      <c r="IU221" s="21"/>
      <c r="IV221" s="21"/>
      <c r="IW221" s="21"/>
      <c r="IX221" s="21"/>
      <c r="IY221" s="21"/>
      <c r="IZ221" s="21"/>
      <c r="JA221" s="21"/>
      <c r="JB221" s="21"/>
      <c r="JC221" s="21"/>
      <c r="JD221" s="21"/>
      <c r="JE221" s="21"/>
      <c r="JF221" s="21"/>
      <c r="JG221" s="21"/>
      <c r="JH221" s="21"/>
      <c r="JI221" s="21"/>
      <c r="JJ221" s="21"/>
      <c r="JK221" s="21"/>
      <c r="JL221" s="21"/>
      <c r="JM221" s="21"/>
      <c r="JN221" s="21"/>
      <c r="JO221" s="21"/>
      <c r="JP221" s="21"/>
      <c r="JQ221" s="21"/>
      <c r="JR221" s="21"/>
      <c r="JS221" s="21"/>
      <c r="JT221" s="21"/>
      <c r="JU221" s="21"/>
      <c r="JV221" s="21"/>
      <c r="JW221" s="21"/>
      <c r="JX221" s="21"/>
      <c r="JY221" s="21"/>
      <c r="JZ221" s="21"/>
      <c r="KA221" s="21"/>
      <c r="KB221" s="21"/>
      <c r="KC221" s="21"/>
      <c r="KD221" s="21"/>
      <c r="KE221" s="21"/>
      <c r="KF221" s="21"/>
      <c r="KG221" s="21"/>
      <c r="KH221" s="21"/>
    </row>
    <row r="222" spans="1:294" ht="18.75" x14ac:dyDescent="0.25">
      <c r="A222" s="9"/>
      <c r="B222" s="9"/>
      <c r="C222" s="9"/>
      <c r="D222" s="9"/>
      <c r="E222" s="9"/>
      <c r="F222" s="1"/>
      <c r="G222" s="9"/>
      <c r="H222" s="9"/>
      <c r="I222" s="9"/>
      <c r="J222" s="9"/>
      <c r="K222" s="9"/>
      <c r="L222" s="6" t="str">
        <f>IF(E207=$Z$104,"-------",IF(E207=$Z$105,"-------",IF(E207=$Z$106,"-------",IF(E207=$Z$107,"NKZM8E A2",0))))</f>
        <v>-------</v>
      </c>
      <c r="M222" s="11" t="str">
        <f>INDEX(cennik!$C$2:$L$529,MATCH($L222,cennik!$B$2:$B$522,0),MATCH(M$205,cennik!$C$1:$L$1,0))</f>
        <v>-------</v>
      </c>
      <c r="N222" s="11">
        <f>INDEX(cennik!$C$2:$L$529,MATCH($L222,cennik!$B$2:$B$522,0),MATCH(N$104,cennik!$C$1:$L$1,0))</f>
        <v>0</v>
      </c>
      <c r="O222" s="11">
        <f>ROUNDUP((IF(L222="NKZM8E A2",O209*3,0))/100,0)</f>
        <v>0</v>
      </c>
      <c r="P222" s="34">
        <f>INDEX(cennik!$C$2:$L$529,MATCH($L222,cennik!$B$2:$B$522,0),MATCH(P$104,cennik!$C$1:$L$1,0))</f>
        <v>0</v>
      </c>
      <c r="Q222" s="34">
        <f t="shared" si="92"/>
        <v>0</v>
      </c>
      <c r="R222" s="35">
        <f t="shared" si="90"/>
        <v>0</v>
      </c>
      <c r="S222" s="34">
        <f t="shared" si="91"/>
        <v>0</v>
      </c>
      <c r="T222" s="34">
        <f t="shared" si="93"/>
        <v>0</v>
      </c>
      <c r="U222" s="34">
        <f>INDEX(cennik!$C$2:$L$529,MATCH($L222,cennik!$B$2:$B$522,0),MATCH(U$104,cennik!$C$1:$L$1,0))*O222</f>
        <v>0</v>
      </c>
      <c r="V222" s="21"/>
      <c r="W222" s="21"/>
      <c r="X222" s="21"/>
      <c r="Y222" s="21"/>
      <c r="Z222" s="21"/>
      <c r="AA222" s="21"/>
      <c r="AB222" s="21"/>
      <c r="AC222" s="21"/>
      <c r="AD222" s="21"/>
      <c r="AE222" s="21"/>
      <c r="AF222" s="21"/>
      <c r="AG222" s="21"/>
      <c r="AH222" s="21"/>
      <c r="AI222" s="21"/>
      <c r="AJ222" s="21"/>
      <c r="AK222" s="21"/>
      <c r="AL222" s="21"/>
      <c r="AM222" s="21"/>
      <c r="AN222" s="21"/>
      <c r="AO222" s="21"/>
      <c r="AP222" s="21"/>
      <c r="AQ222" s="21"/>
      <c r="AR222" s="21"/>
      <c r="AS222" s="21"/>
      <c r="AT222" s="21"/>
      <c r="AU222" s="21"/>
      <c r="AV222" s="21"/>
      <c r="AW222" s="21"/>
      <c r="AX2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</f>
        <v>0</v>
      </c>
      <c r="AY2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</f>
        <v>0</v>
      </c>
      <c r="AZ222" s="21">
        <f>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</f>
        <v>0</v>
      </c>
      <c r="BA222" s="21"/>
      <c r="BB222" s="21"/>
      <c r="BC222" s="21"/>
      <c r="BD2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1,MATCH($A220,$GB$182:$GV$182,0),MATCH($E$206,$X$109:$X$126,0)))*$C220</f>
        <v>0</v>
      </c>
      <c r="BE2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2,MATCH($A220,$GB$182:$GV$182,0),MATCH($E$206,$X$109:$X$126,0)))*$C220</f>
        <v>0</v>
      </c>
      <c r="BF222" s="21">
        <f>(INDEX(($GB$183:$GV$185,$GB$189:$GV$191,$GB$195:$GV$197,$GB$201:$GV$203,$GB$207:$GV$209,$GB$213:$GV$215,$GB$219:$GV$221,$GB$225:$GV$227,$GB$231:$GV$233,$GB$237:$GV$239,$GB$243:$GV$245,$GY$184:$HS$186,$GY$190:$HS$192,$GY$196:$HS$198,$GY$202:$HS$204,$GY$208:$HS$210,$GY$214:$HS$216,$GY$220:$HS$222),3,MATCH($A220,$GB$182:$GV$182,0),MATCH($E$206,$X$109:$X$126,0)))*$C220</f>
        <v>0</v>
      </c>
      <c r="BG222" s="21"/>
      <c r="BH222" s="21"/>
      <c r="BI222" s="21"/>
      <c r="BJ222" s="20">
        <f t="shared" si="96"/>
        <v>0</v>
      </c>
      <c r="BK222" s="20">
        <f t="shared" si="95"/>
        <v>0</v>
      </c>
      <c r="BL222" s="20">
        <f t="shared" si="94"/>
        <v>0</v>
      </c>
      <c r="BM222" s="21"/>
      <c r="BN222" s="21"/>
      <c r="BO222" s="21"/>
      <c r="BP222" s="21"/>
      <c r="BQ222" s="21"/>
      <c r="BR222" s="350" t="s">
        <v>715</v>
      </c>
      <c r="BS222" s="350" t="s">
        <v>903</v>
      </c>
      <c r="BT222" s="350" t="s">
        <v>905</v>
      </c>
      <c r="BU222" s="350" t="s">
        <v>907</v>
      </c>
      <c r="BV222" s="21"/>
      <c r="BW222" s="21"/>
      <c r="BX222" s="21"/>
      <c r="BY222" s="21"/>
      <c r="BZ222" s="21"/>
      <c r="CA222" s="21"/>
      <c r="CB222" s="21"/>
      <c r="CC222" s="21"/>
      <c r="CD222" s="21"/>
      <c r="CE222" s="21"/>
      <c r="CF222" s="21"/>
      <c r="CG222" s="21"/>
      <c r="CH222" s="21"/>
      <c r="CI222" s="21"/>
      <c r="CJ222" s="21"/>
      <c r="CK222" s="21"/>
      <c r="CL222" s="21"/>
      <c r="CM222" s="21"/>
      <c r="CN222" s="21"/>
      <c r="CO222" s="21"/>
      <c r="CP222" s="21"/>
      <c r="CQ222" s="21"/>
      <c r="CR222" s="21"/>
      <c r="CS222" s="21"/>
      <c r="CT222" s="21"/>
      <c r="CU222" s="21"/>
      <c r="CV222" s="21"/>
      <c r="CW222" s="21"/>
      <c r="CX222" s="21"/>
      <c r="CY222" s="21"/>
      <c r="CZ222" s="21"/>
      <c r="DA222" s="21"/>
      <c r="DB222" s="21"/>
      <c r="DC222" s="21"/>
      <c r="DD222" s="21"/>
      <c r="DE222" s="21"/>
      <c r="DF222" s="21"/>
      <c r="DG222" s="21"/>
      <c r="DH222" s="21"/>
      <c r="DI222" s="21"/>
      <c r="DJ222" s="21"/>
      <c r="DK222" s="21"/>
      <c r="DL222" s="21"/>
      <c r="DM222" s="21"/>
      <c r="DN222" s="21"/>
      <c r="DO222" s="21"/>
      <c r="DP222" s="21"/>
      <c r="DQ222" s="21"/>
      <c r="DR222" s="21"/>
      <c r="DS222" s="21"/>
      <c r="DT222" s="21"/>
      <c r="DU222" s="21"/>
      <c r="DV222" s="21"/>
      <c r="DW222" s="21"/>
      <c r="DX222" s="21"/>
      <c r="DY222" s="21"/>
      <c r="DZ222" s="87"/>
      <c r="EA222" s="87"/>
      <c r="EB222" s="87"/>
      <c r="EC222" s="21"/>
      <c r="ED222" s="21"/>
      <c r="EE222" s="21"/>
      <c r="EF222" s="21"/>
      <c r="EG222" s="21"/>
      <c r="EH222" s="21"/>
      <c r="EI222" s="21"/>
      <c r="EJ222" s="21"/>
      <c r="EK222" s="21"/>
      <c r="EL222" s="21"/>
      <c r="EM222" s="21"/>
      <c r="EN222" s="21"/>
      <c r="EO222" s="21"/>
      <c r="EP222" s="21"/>
      <c r="EQ222" s="21"/>
      <c r="ER222" s="21"/>
      <c r="ES222" s="21"/>
      <c r="ET222" s="21"/>
      <c r="EU222" s="21"/>
      <c r="EV222" s="21"/>
      <c r="EW222" s="21"/>
      <c r="EX222" s="21"/>
      <c r="EY222" s="21"/>
      <c r="EZ222" s="21"/>
      <c r="FA222" s="21"/>
      <c r="FB222" s="21"/>
      <c r="FC222" s="21"/>
      <c r="FD222" s="21"/>
      <c r="FE222" s="21"/>
      <c r="FF222" s="21"/>
      <c r="FG222" s="21"/>
      <c r="FH222" s="21"/>
      <c r="FI222" s="21"/>
      <c r="FJ222" s="21"/>
      <c r="FK222" s="21"/>
      <c r="FL222" s="21"/>
      <c r="FM222" s="21"/>
      <c r="FN222" s="21"/>
      <c r="FO222" s="21"/>
      <c r="FP222" s="21"/>
      <c r="FQ222" s="21"/>
      <c r="FR222" s="21"/>
      <c r="FS222" s="21"/>
      <c r="FT222" s="21"/>
      <c r="FU222" s="21"/>
      <c r="FV222" s="21"/>
      <c r="FW222" s="21"/>
      <c r="FX222" s="21"/>
      <c r="FY222" s="21"/>
      <c r="FZ222" s="21"/>
      <c r="GA222" s="21"/>
      <c r="GB222" s="21"/>
      <c r="GC222" s="21"/>
      <c r="GD222" s="21"/>
      <c r="GE222" s="21"/>
      <c r="GF222" s="21"/>
      <c r="GG222" s="21"/>
      <c r="GH222" s="21"/>
      <c r="GI222" s="21"/>
      <c r="GJ222" s="21"/>
      <c r="GK222" s="21"/>
      <c r="GL222" s="21"/>
      <c r="GM222" s="21"/>
      <c r="GN222" s="21"/>
      <c r="GO222" s="21"/>
      <c r="GP222" s="21"/>
      <c r="GQ222" s="21"/>
      <c r="GR222" s="21"/>
      <c r="GS222" s="21"/>
      <c r="GT222" s="21"/>
      <c r="GU222" s="21"/>
      <c r="GV222" s="21"/>
      <c r="GW222" s="21"/>
      <c r="GX222" s="347" t="s">
        <v>868</v>
      </c>
      <c r="GY222" s="21">
        <v>0</v>
      </c>
      <c r="GZ222" s="21">
        <v>0</v>
      </c>
      <c r="HA222" s="21">
        <v>0</v>
      </c>
      <c r="HB222" s="21">
        <v>0</v>
      </c>
      <c r="HC222" s="21">
        <v>0</v>
      </c>
      <c r="HD222" s="21">
        <v>0</v>
      </c>
      <c r="HE222" s="21">
        <v>0</v>
      </c>
      <c r="HF222" s="21">
        <v>0</v>
      </c>
      <c r="HG222" s="21">
        <v>0</v>
      </c>
      <c r="HH222" s="21">
        <v>0</v>
      </c>
      <c r="HI222" s="21">
        <v>0</v>
      </c>
      <c r="HJ222" s="21">
        <v>0</v>
      </c>
      <c r="HK222" s="21">
        <v>0</v>
      </c>
      <c r="HL222" s="21">
        <v>0</v>
      </c>
      <c r="HM222" s="21">
        <v>0</v>
      </c>
      <c r="HN222" s="21">
        <v>0</v>
      </c>
      <c r="HO222" s="21">
        <v>0</v>
      </c>
      <c r="HP222" s="21">
        <v>0</v>
      </c>
      <c r="HQ222" s="21">
        <v>0</v>
      </c>
      <c r="HR222" s="21">
        <v>0</v>
      </c>
      <c r="HS222" s="21">
        <v>0</v>
      </c>
      <c r="HT222" s="21"/>
      <c r="HU222" s="21"/>
      <c r="HV222" s="186"/>
      <c r="HW222" s="21"/>
      <c r="HX222" s="21"/>
      <c r="HY222" s="21"/>
      <c r="HZ222" s="21"/>
      <c r="IA222" s="21"/>
      <c r="IB222" s="21"/>
      <c r="IC222" s="21"/>
      <c r="ID222" s="21"/>
      <c r="IE222" s="21"/>
      <c r="IF222" s="21"/>
      <c r="IG222" s="21"/>
      <c r="IH222" s="21"/>
      <c r="II222" s="21"/>
      <c r="IJ222" s="21"/>
      <c r="IK222" s="21"/>
      <c r="IL222" s="21"/>
      <c r="IM222" s="21"/>
      <c r="IN222" s="21"/>
      <c r="IO222" s="21"/>
      <c r="IP222" s="21"/>
      <c r="IQ222" s="21"/>
      <c r="IR222" s="21"/>
      <c r="IS222" s="21"/>
      <c r="IT222" s="21"/>
      <c r="IU222" s="21"/>
      <c r="IV222" s="21"/>
      <c r="IW222" s="21"/>
      <c r="IX222" s="21"/>
      <c r="IY222" s="21"/>
      <c r="IZ222" s="21"/>
      <c r="JA222" s="21"/>
      <c r="JB222" s="21"/>
      <c r="JC222" s="21"/>
      <c r="JD222" s="21"/>
      <c r="JE222" s="21"/>
      <c r="JF222" s="21"/>
      <c r="JG222" s="21"/>
      <c r="JH222" s="21"/>
      <c r="JI222" s="21"/>
      <c r="JJ222" s="21"/>
      <c r="JK222" s="21"/>
      <c r="JL222" s="21"/>
      <c r="JM222" s="21"/>
      <c r="JN222" s="21"/>
      <c r="JO222" s="21"/>
      <c r="JP222" s="21"/>
      <c r="JQ222" s="21"/>
      <c r="JR222" s="21"/>
      <c r="JS222" s="21"/>
      <c r="JT222" s="21"/>
      <c r="JU222" s="21"/>
      <c r="JV222" s="21"/>
      <c r="JW222" s="21"/>
      <c r="JX222" s="21"/>
      <c r="JY222" s="21"/>
      <c r="JZ222" s="21"/>
      <c r="KA222" s="21"/>
      <c r="KB222" s="21"/>
      <c r="KC222" s="21"/>
      <c r="KD222" s="21"/>
      <c r="KE222" s="21"/>
      <c r="KF222" s="21"/>
      <c r="KG222" s="21"/>
      <c r="KH222" s="21"/>
    </row>
    <row r="223" spans="1:294" ht="18.75" x14ac:dyDescent="0.25">
      <c r="A223" s="9"/>
      <c r="B223" s="9"/>
      <c r="C223" s="9"/>
      <c r="D223" s="9"/>
      <c r="E223" s="9"/>
      <c r="F223" s="9"/>
      <c r="G223" s="9"/>
      <c r="H223" s="9"/>
      <c r="I223" s="9"/>
      <c r="J223" s="9"/>
      <c r="K223" s="9"/>
      <c r="L223" s="6" t="str">
        <f>IF(E207=$Z$104,"PC100C",IF(E207=$Z$105,"PC100C",IF(E207=$Z$106,"PC100C",IF(E207=$Z$107,"-------",0))))</f>
        <v>PC100C</v>
      </c>
      <c r="M223" s="11">
        <f>INDEX(cennik!$C$2:$L$529,MATCH($L223,cennik!$B$2:$B$522,0),MATCH(M$205,cennik!$C$1:$L$1,0))</f>
        <v>858433</v>
      </c>
      <c r="N223" s="11" t="str">
        <f>INDEX(cennik!$C$2:$L$529,MATCH($L223,cennik!$B$2:$B$522,0),MATCH(N$104,cennik!$C$1:$L$1,0))</f>
        <v>szt.</v>
      </c>
      <c r="O223" s="11">
        <f>IF(L223="PC100C",O209*2,0)</f>
        <v>0</v>
      </c>
      <c r="P223" s="34">
        <f>INDEX(cennik!$C$2:$L$529,MATCH($L223,cennik!$B$2:$B$522,0),MATCH(P$104,cennik!$C$1:$L$1,0))</f>
        <v>6.8</v>
      </c>
      <c r="Q223" s="34">
        <f>O223*P223</f>
        <v>0</v>
      </c>
      <c r="R223" s="35">
        <f t="shared" si="90"/>
        <v>0</v>
      </c>
      <c r="S223" s="34">
        <f t="shared" si="91"/>
        <v>6.8</v>
      </c>
      <c r="T223" s="34">
        <f>O223*S223</f>
        <v>0</v>
      </c>
      <c r="U223" s="34">
        <f>INDEX(cennik!$C$2:$L$529,MATCH($L223,cennik!$B$2:$B$522,0),MATCH(U$104,cennik!$C$1:$L$1,0))*O223</f>
        <v>0</v>
      </c>
      <c r="V223" s="21"/>
      <c r="W223" s="21"/>
      <c r="X223" s="21"/>
      <c r="Y223" s="21"/>
      <c r="Z223" s="21"/>
      <c r="AA223" s="21"/>
      <c r="AB223" s="21"/>
      <c r="AC223" s="21"/>
      <c r="AD223" s="363" t="s">
        <v>839</v>
      </c>
      <c r="AE223" s="363"/>
      <c r="AF223" s="363"/>
      <c r="AG223" s="21"/>
      <c r="AH223" s="363" t="s">
        <v>840</v>
      </c>
      <c r="AI223" s="363"/>
      <c r="AJ223" s="363"/>
      <c r="AK223" s="21"/>
      <c r="AL223" s="21"/>
      <c r="AM223" s="21"/>
      <c r="AN223" s="21"/>
      <c r="AO223" s="21"/>
      <c r="AP223" s="21"/>
      <c r="AQ223" s="21"/>
      <c r="AR223" s="21"/>
      <c r="AS223" s="21"/>
      <c r="AT223" s="21"/>
      <c r="AU223" s="21"/>
      <c r="AV223" s="21"/>
      <c r="AW223" s="21"/>
      <c r="AX223" s="21"/>
      <c r="AY223" s="21"/>
      <c r="AZ223" s="21"/>
      <c r="BA223" s="21"/>
      <c r="BB223" s="21"/>
      <c r="BC223" s="21"/>
      <c r="BD223" s="21"/>
      <c r="BE223" s="21"/>
      <c r="BF223" s="21"/>
      <c r="BG223" s="21"/>
      <c r="BH223" s="21"/>
      <c r="BI223" s="21"/>
      <c r="BJ223" s="21"/>
      <c r="BK223" s="21"/>
      <c r="BL223" s="21"/>
      <c r="BM223" s="21"/>
      <c r="BN223" s="21"/>
      <c r="BO223" s="21"/>
      <c r="BP223" s="21"/>
      <c r="BQ223" s="21"/>
      <c r="BR223" s="350" t="s">
        <v>762</v>
      </c>
      <c r="BS223" s="350" t="s">
        <v>903</v>
      </c>
      <c r="BT223" s="350" t="s">
        <v>905</v>
      </c>
      <c r="BU223" s="350" t="s">
        <v>907</v>
      </c>
      <c r="BV223" s="21"/>
      <c r="BW223" s="21"/>
      <c r="BX223" s="21"/>
      <c r="BY223" s="21"/>
      <c r="BZ223" s="21"/>
      <c r="CA223" s="21"/>
      <c r="CB223" s="21"/>
      <c r="CC223" s="21"/>
      <c r="CD223" s="21"/>
      <c r="CE223" s="21"/>
      <c r="CF223" s="21"/>
      <c r="CG223" s="21"/>
      <c r="CH223" s="21"/>
      <c r="CI223" s="21"/>
      <c r="CJ223" s="21"/>
      <c r="CK223" s="21"/>
      <c r="CL223" s="21"/>
      <c r="CM223" s="21"/>
      <c r="CN223" s="21"/>
      <c r="CO223" s="21"/>
      <c r="CP223" s="21"/>
      <c r="CQ223" s="21"/>
      <c r="CR223" s="21"/>
      <c r="CS223" s="21"/>
      <c r="CT223" s="21"/>
      <c r="CU223" s="21"/>
      <c r="CV223" s="21"/>
      <c r="CW223" s="21"/>
      <c r="CX223" s="21"/>
      <c r="CY223" s="21"/>
      <c r="CZ223" s="21"/>
      <c r="DA223" s="21"/>
      <c r="DB223" s="21"/>
      <c r="DC223" s="21"/>
      <c r="DD223" s="21"/>
      <c r="DE223" s="21"/>
      <c r="DF223" s="21"/>
      <c r="DG223" s="21"/>
      <c r="DH223" s="21"/>
      <c r="DI223" s="21"/>
      <c r="DJ223" s="21"/>
      <c r="DK223" s="21"/>
      <c r="DL223" s="21"/>
      <c r="DM223" s="21"/>
      <c r="DN223" s="21"/>
      <c r="DO223" s="21"/>
      <c r="DP223" s="21"/>
      <c r="DQ223" s="21"/>
      <c r="DR223" s="21"/>
      <c r="DS223" s="21"/>
      <c r="DT223" s="21"/>
      <c r="DU223" s="21"/>
      <c r="DV223" s="21"/>
      <c r="DW223" s="21"/>
      <c r="DX223" s="21"/>
      <c r="DY223" s="21"/>
      <c r="DZ223" s="87"/>
      <c r="EA223" s="87"/>
      <c r="EB223" s="87"/>
      <c r="EC223" s="21"/>
      <c r="ED223" s="21"/>
      <c r="EE223" s="21"/>
      <c r="EF223" s="21"/>
      <c r="EG223" s="21"/>
      <c r="EH223" s="21"/>
      <c r="EI223" s="21"/>
      <c r="EJ223" s="21"/>
      <c r="EK223" s="21"/>
      <c r="EL223" s="21"/>
      <c r="EM223" s="21"/>
      <c r="EN223" s="21"/>
      <c r="EO223" s="21"/>
      <c r="EP223" s="21"/>
      <c r="EQ223" s="21"/>
      <c r="ER223" s="21"/>
      <c r="ES223" s="21"/>
      <c r="ET223" s="21"/>
      <c r="EU223" s="21"/>
      <c r="EV223" s="21"/>
      <c r="EW223" s="21"/>
      <c r="EX223" s="21"/>
      <c r="EY223" s="21"/>
      <c r="EZ223" s="21"/>
      <c r="FA223" s="21"/>
      <c r="FB223" s="21"/>
      <c r="FC223" s="21"/>
      <c r="FD223" s="21"/>
      <c r="FE223" s="21"/>
      <c r="FF223" s="21"/>
      <c r="FG223" s="21"/>
      <c r="FH223" s="21"/>
      <c r="FI223" s="21"/>
      <c r="FJ223" s="21"/>
      <c r="FK223" s="21"/>
      <c r="FL223" s="21"/>
      <c r="FM223" s="21"/>
      <c r="FN223" s="21"/>
      <c r="FO223" s="21"/>
      <c r="FP223" s="21"/>
      <c r="FQ223" s="21"/>
      <c r="FR223" s="21"/>
      <c r="FS223" s="21"/>
      <c r="FT223" s="21"/>
      <c r="FU223" s="21"/>
      <c r="FV223" s="21"/>
      <c r="FW223" s="21"/>
      <c r="FX223" s="21"/>
      <c r="FY223" s="21"/>
      <c r="FZ223" s="21"/>
      <c r="GA223" s="21" t="s">
        <v>113</v>
      </c>
      <c r="GB223" s="21"/>
      <c r="GC223" s="21"/>
      <c r="GD223" s="21"/>
      <c r="GE223" s="21"/>
      <c r="GF223" s="21"/>
      <c r="GG223" s="21"/>
      <c r="GH223" s="21"/>
      <c r="GI223" s="21"/>
      <c r="GJ223" s="21"/>
      <c r="GK223" s="21"/>
      <c r="GL223" s="21"/>
      <c r="GM223" s="21"/>
      <c r="GN223" s="21"/>
      <c r="GO223" s="21"/>
      <c r="GP223" s="21"/>
      <c r="GQ223" s="21"/>
      <c r="GR223" s="21"/>
      <c r="GS223" s="21"/>
      <c r="GT223" s="21"/>
      <c r="GU223" s="21"/>
      <c r="GV223" s="21"/>
      <c r="GW223" s="21"/>
      <c r="GX223" s="21"/>
      <c r="GY223" s="21"/>
      <c r="GZ223" s="21"/>
      <c r="HA223" s="21"/>
      <c r="HB223" s="21"/>
      <c r="HC223" s="21"/>
      <c r="HD223" s="21"/>
      <c r="HE223" s="21"/>
      <c r="HF223" s="21"/>
      <c r="HG223" s="21"/>
      <c r="HH223" s="21"/>
      <c r="HI223" s="21"/>
      <c r="HJ223" s="21"/>
      <c r="HK223" s="21"/>
      <c r="HL223" s="21"/>
      <c r="HM223" s="21"/>
      <c r="HN223" s="21"/>
      <c r="HO223" s="21"/>
      <c r="HP223" s="21"/>
      <c r="HQ223" s="21"/>
      <c r="HR223" s="21"/>
      <c r="HS223" s="21"/>
      <c r="HT223" s="21"/>
      <c r="HU223" s="21"/>
      <c r="HV223" s="186"/>
      <c r="HW223" s="21"/>
      <c r="HX223" s="21"/>
      <c r="HY223" s="21"/>
      <c r="HZ223" s="21"/>
      <c r="IA223" s="21"/>
      <c r="IB223" s="21"/>
      <c r="IC223" s="21"/>
      <c r="ID223" s="21"/>
      <c r="IE223" s="21"/>
      <c r="IF223" s="21"/>
      <c r="IG223" s="21"/>
      <c r="IH223" s="21"/>
      <c r="II223" s="21"/>
      <c r="IJ223" s="21"/>
      <c r="IK223" s="21"/>
      <c r="IL223" s="21"/>
      <c r="IM223" s="21"/>
      <c r="IN223" s="21"/>
      <c r="IO223" s="21"/>
      <c r="IP223" s="21"/>
      <c r="IQ223" s="21"/>
      <c r="IR223" s="21"/>
      <c r="IS223" s="21"/>
      <c r="IT223" s="21"/>
      <c r="IU223" s="21"/>
      <c r="IV223" s="21"/>
      <c r="IW223" s="21"/>
      <c r="IX223" s="21"/>
      <c r="IY223" s="21"/>
      <c r="IZ223" s="21"/>
      <c r="JA223" s="21"/>
      <c r="JB223" s="21"/>
      <c r="JC223" s="21"/>
      <c r="JD223" s="21"/>
      <c r="JE223" s="21"/>
      <c r="JF223" s="21"/>
      <c r="JG223" s="21"/>
      <c r="JH223" s="21"/>
      <c r="JI223" s="21"/>
      <c r="JJ223" s="21"/>
      <c r="JK223" s="21"/>
      <c r="JL223" s="21"/>
      <c r="JM223" s="21"/>
      <c r="JN223" s="21"/>
      <c r="JO223" s="21"/>
      <c r="JP223" s="21"/>
      <c r="JQ223" s="21"/>
      <c r="JR223" s="21"/>
      <c r="JS223" s="21"/>
      <c r="JT223" s="21"/>
      <c r="JU223" s="21"/>
      <c r="JV223" s="21"/>
      <c r="JW223" s="21"/>
      <c r="JX223" s="21"/>
      <c r="JY223" s="21"/>
      <c r="JZ223" s="21"/>
      <c r="KA223" s="21"/>
      <c r="KB223" s="21"/>
      <c r="KC223" s="21"/>
      <c r="KD223" s="21"/>
      <c r="KE223" s="21"/>
      <c r="KF223" s="21"/>
      <c r="KG223" s="21"/>
      <c r="KH223" s="21"/>
    </row>
    <row r="224" spans="1:294" x14ac:dyDescent="0.25">
      <c r="A224" s="9"/>
      <c r="B224" s="9"/>
      <c r="C224" s="9"/>
      <c r="D224" s="9"/>
      <c r="E224" s="9"/>
      <c r="F224" s="1"/>
      <c r="G224" s="9"/>
      <c r="H224" s="9"/>
      <c r="I224" s="9"/>
      <c r="J224" s="9"/>
      <c r="K224" s="9"/>
      <c r="L224" s="6" t="s">
        <v>407</v>
      </c>
      <c r="M224" s="11">
        <f>INDEX(cennik!$C$2:$L$529,MATCH($L224,cennik!$B$2:$B$522,0),MATCH(M$205,cennik!$C$1:$L$1,0))</f>
        <v>651643</v>
      </c>
      <c r="N224" s="11" t="str">
        <f>INDEX(cennik!$C$2:$L$529,MATCH($L224,cennik!$B$2:$B$522,0),MATCH(N$104,cennik!$C$1:$L$1,0))</f>
        <v>100 szt.</v>
      </c>
      <c r="O224" s="11">
        <f>ROUNDUP((O209*2+O208*8)/100,0)</f>
        <v>0</v>
      </c>
      <c r="P224" s="34">
        <f>INDEX(cennik!$C$2:$L$529,MATCH($L224,cennik!$B$2:$B$522,0),MATCH(P$104,cennik!$C$1:$L$1,0))</f>
        <v>144.19</v>
      </c>
      <c r="Q224" s="34">
        <f>O224*P224</f>
        <v>0</v>
      </c>
      <c r="R224" s="35">
        <f t="shared" si="90"/>
        <v>0</v>
      </c>
      <c r="S224" s="34">
        <f t="shared" si="91"/>
        <v>144.19</v>
      </c>
      <c r="T224" s="34">
        <f>O224*S224</f>
        <v>0</v>
      </c>
      <c r="U224" s="34">
        <f>INDEX(cennik!$C$2:$L$529,MATCH($L224,cennik!$B$2:$B$522,0),MATCH(U$104,cennik!$C$1:$L$1,0))*O224</f>
        <v>0</v>
      </c>
      <c r="V224" s="21"/>
      <c r="W224" s="21">
        <f>IF($E$233=$X$109,$Y$109,IF($E$233=$X$110,$Y$110,IF($E$233=$X$111,$Y$111,IF($E$233=$X$112,$Y$112,IF($E$233=$X$113,$Y$113,IF($E$233=$X$114,$Y$114,IF($E$233=$X$115,$Y$115,IF($E$233=$X$116,$Y$116,IF($E$233=$X$117,$Y$117,IF($E$233=$X$118,$Y$118,IF($E$233=$X$119,$Y$119,IF($E$233=$X$120,$Y$120,IF($E$233=$X$121,$Y$121,IF($E$233=$X$122,$Y$122,IF($E$233=$X$123,$Y$123,IF($E$233=$X$124,$Y$124,IF($E$233=$X$125,$Y$125,IF($E$233=$X$126,$Y$126,0))))))))))))))))))</f>
        <v>1900</v>
      </c>
      <c r="X224" s="21"/>
      <c r="Y224" s="20"/>
      <c r="Z224" s="20" t="s">
        <v>838</v>
      </c>
      <c r="AA224" s="20" t="s">
        <v>837</v>
      </c>
      <c r="AB224" s="20" t="s">
        <v>837</v>
      </c>
      <c r="AC224" s="21"/>
      <c r="AD224" s="21" t="s">
        <v>827</v>
      </c>
      <c r="AE224" s="21" t="s">
        <v>826</v>
      </c>
      <c r="AF224" s="21" t="s">
        <v>825</v>
      </c>
      <c r="AG224" s="21"/>
      <c r="AH224" s="21" t="s">
        <v>827</v>
      </c>
      <c r="AI224" s="21" t="s">
        <v>826</v>
      </c>
      <c r="AJ224" s="21" t="s">
        <v>825</v>
      </c>
      <c r="AK224" s="21"/>
      <c r="AL224" s="21"/>
      <c r="AM224" s="21"/>
      <c r="AN224" s="21"/>
      <c r="AO224" s="21"/>
      <c r="AP224" s="21"/>
      <c r="AQ224" s="21"/>
      <c r="AR224" s="21"/>
      <c r="AS224" s="21"/>
      <c r="AT224" s="21"/>
      <c r="AU224" s="21"/>
      <c r="AV224" s="21"/>
      <c r="AW224" s="21"/>
      <c r="AX224" s="21"/>
      <c r="AY224" s="21"/>
      <c r="AZ224" s="21"/>
      <c r="BA224" s="21"/>
      <c r="BB224" s="21"/>
      <c r="BC224" s="21"/>
      <c r="BD224" s="21"/>
      <c r="BE224" s="21"/>
      <c r="BF224" s="21"/>
      <c r="BG224" s="21"/>
      <c r="BH224" s="21"/>
      <c r="BI224" s="21"/>
      <c r="BJ224" s="21"/>
      <c r="BK224" s="21"/>
      <c r="BL224" s="21"/>
      <c r="BM224" s="21"/>
      <c r="BN224" s="21"/>
      <c r="BO224" s="21"/>
      <c r="BP224" s="21"/>
      <c r="BQ224" s="21"/>
      <c r="BR224" s="21"/>
      <c r="BS224" s="21"/>
      <c r="BT224" s="21"/>
      <c r="BU224" s="21"/>
      <c r="BV224" s="21"/>
      <c r="BW224" s="21"/>
      <c r="BX224" s="21"/>
      <c r="BY224" s="21"/>
      <c r="BZ224" s="21"/>
      <c r="CA224" s="21"/>
      <c r="CB224" s="21"/>
      <c r="CC224" s="21"/>
      <c r="CD224" s="21"/>
      <c r="CE224" s="21"/>
      <c r="CF224" s="21"/>
      <c r="CG224" s="21"/>
      <c r="CH224" s="21"/>
      <c r="CI224" s="21"/>
      <c r="CJ224" s="21"/>
      <c r="CK224" s="21"/>
      <c r="CL224" s="21"/>
      <c r="CM224" s="21"/>
      <c r="CN224" s="21"/>
      <c r="CO224" s="21"/>
      <c r="CP224" s="21"/>
      <c r="CQ224" s="21"/>
      <c r="CR224" s="21"/>
      <c r="CS224" s="21"/>
      <c r="CT224" s="21"/>
      <c r="CU224" s="21"/>
      <c r="CV224" s="21"/>
      <c r="CW224" s="21"/>
      <c r="CX224" s="21"/>
      <c r="CY224" s="21"/>
      <c r="CZ224" s="21"/>
      <c r="DA224" s="21"/>
      <c r="DB224" s="21"/>
      <c r="DC224" s="21"/>
      <c r="DD224" s="21"/>
      <c r="DE224" s="21"/>
      <c r="DF224" s="21"/>
      <c r="DG224" s="21"/>
      <c r="DH224" s="21"/>
      <c r="DI224" s="21"/>
      <c r="DJ224" s="21"/>
      <c r="DK224" s="21"/>
      <c r="DL224" s="21"/>
      <c r="DM224" s="21"/>
      <c r="DN224" s="21"/>
      <c r="DO224" s="21"/>
      <c r="DP224" s="21"/>
      <c r="DQ224" s="21"/>
      <c r="DR224" s="21"/>
      <c r="DS224" s="21"/>
      <c r="DT224" s="21"/>
      <c r="DU224" s="21"/>
      <c r="DV224" s="21"/>
      <c r="DW224" s="21"/>
      <c r="DX224" s="21"/>
      <c r="DY224" s="21"/>
      <c r="DZ224" s="87"/>
      <c r="EA224" s="87"/>
      <c r="EB224" s="87"/>
      <c r="EC224" s="21"/>
      <c r="ED224" s="21"/>
      <c r="EE224" s="21"/>
      <c r="EF224" s="21"/>
      <c r="EG224" s="21"/>
      <c r="EH224" s="21"/>
      <c r="EI224" s="21"/>
      <c r="EJ224" s="21"/>
      <c r="EK224" s="21"/>
      <c r="EL224" s="21"/>
      <c r="EM224" s="21"/>
      <c r="EN224" s="21"/>
      <c r="EO224" s="21"/>
      <c r="EP224" s="21"/>
      <c r="EQ224" s="21"/>
      <c r="ER224" s="21"/>
      <c r="ES224" s="21"/>
      <c r="ET224" s="21"/>
      <c r="EU224" s="21"/>
      <c r="EV224" s="21"/>
      <c r="EW224" s="21"/>
      <c r="EX224" s="21"/>
      <c r="EY224" s="21"/>
      <c r="EZ224" s="21"/>
      <c r="FA224" s="21"/>
      <c r="FB224" s="21"/>
      <c r="FC224" s="21"/>
      <c r="FD224" s="21"/>
      <c r="FE224" s="21"/>
      <c r="FF224" s="21"/>
      <c r="FG224" s="21"/>
      <c r="FH224" s="21"/>
      <c r="FI224" s="21"/>
      <c r="FJ224" s="21"/>
      <c r="FK224" s="21"/>
      <c r="FL224" s="21"/>
      <c r="FM224" s="21"/>
      <c r="FN224" s="21"/>
      <c r="FO224" s="21"/>
      <c r="FP224" s="21"/>
      <c r="FQ224" s="21"/>
      <c r="FR224" s="21"/>
      <c r="FS224" s="21"/>
      <c r="FT224" s="21"/>
      <c r="FU224" s="21"/>
      <c r="FV224" s="21"/>
      <c r="FW224" s="21"/>
      <c r="FX224" s="21"/>
      <c r="FY224" s="21"/>
      <c r="FZ224" s="21"/>
      <c r="GA224" s="21"/>
      <c r="GB224" s="21">
        <v>0</v>
      </c>
      <c r="GC224" s="21">
        <v>1</v>
      </c>
      <c r="GD224" s="21">
        <v>2</v>
      </c>
      <c r="GE224" s="21">
        <v>3</v>
      </c>
      <c r="GF224" s="21">
        <v>4</v>
      </c>
      <c r="GG224" s="21">
        <v>5</v>
      </c>
      <c r="GH224" s="21">
        <v>6</v>
      </c>
      <c r="GI224" s="21">
        <v>7</v>
      </c>
      <c r="GJ224" s="21">
        <v>8</v>
      </c>
      <c r="GK224" s="21">
        <v>9</v>
      </c>
      <c r="GL224" s="21">
        <v>10</v>
      </c>
      <c r="GM224" s="21">
        <v>11</v>
      </c>
      <c r="GN224" s="21">
        <v>12</v>
      </c>
      <c r="GO224" s="21">
        <v>13</v>
      </c>
      <c r="GP224" s="21">
        <v>14</v>
      </c>
      <c r="GQ224" s="21">
        <v>15</v>
      </c>
      <c r="GR224" s="21">
        <v>16</v>
      </c>
      <c r="GS224" s="21">
        <v>17</v>
      </c>
      <c r="GT224" s="21">
        <v>18</v>
      </c>
      <c r="GU224" s="21">
        <v>19</v>
      </c>
      <c r="GV224" s="21">
        <v>20</v>
      </c>
      <c r="GW224" s="21"/>
      <c r="GX224" s="21"/>
      <c r="GY224" s="21"/>
      <c r="GZ224" s="21"/>
      <c r="HA224" s="21"/>
      <c r="HB224" s="21"/>
      <c r="HC224" s="21"/>
      <c r="HD224" s="21"/>
      <c r="HE224" s="21"/>
      <c r="HF224" s="21"/>
      <c r="HG224" s="21"/>
      <c r="HH224" s="21"/>
      <c r="HI224" s="21"/>
      <c r="HJ224" s="21"/>
      <c r="HK224" s="21"/>
      <c r="HL224" s="21"/>
      <c r="HM224" s="21"/>
      <c r="HN224" s="21"/>
      <c r="HO224" s="21"/>
      <c r="HP224" s="21"/>
      <c r="HQ224" s="21"/>
      <c r="HR224" s="21"/>
      <c r="HS224" s="21"/>
      <c r="HT224" s="21"/>
      <c r="HU224" s="21"/>
      <c r="HV224" s="186"/>
      <c r="HW224" s="21"/>
      <c r="HX224" s="21"/>
      <c r="HY224" s="21"/>
      <c r="HZ224" s="21"/>
      <c r="IA224" s="21"/>
      <c r="IB224" s="21"/>
      <c r="IC224" s="21"/>
      <c r="ID224" s="21"/>
      <c r="IE224" s="21"/>
      <c r="IF224" s="21"/>
      <c r="IG224" s="21"/>
      <c r="IH224" s="21"/>
      <c r="II224" s="21"/>
      <c r="IJ224" s="21"/>
      <c r="IK224" s="21"/>
      <c r="IL224" s="21"/>
      <c r="IM224" s="21"/>
      <c r="IN224" s="21"/>
      <c r="IO224" s="21"/>
      <c r="IP224" s="21"/>
      <c r="IQ224" s="21"/>
      <c r="IR224" s="21"/>
      <c r="IS224" s="21"/>
      <c r="IT224" s="21"/>
      <c r="IU224" s="21"/>
      <c r="IV224" s="21"/>
      <c r="IW224" s="21"/>
      <c r="IX224" s="21"/>
      <c r="IY224" s="21"/>
      <c r="IZ224" s="21"/>
      <c r="JA224" s="21"/>
      <c r="JB224" s="21"/>
      <c r="JC224" s="21"/>
      <c r="JD224" s="21"/>
      <c r="JE224" s="21"/>
      <c r="JF224" s="21"/>
      <c r="JG224" s="21"/>
      <c r="JH224" s="21"/>
      <c r="JI224" s="21"/>
      <c r="JJ224" s="21"/>
      <c r="JK224" s="21"/>
      <c r="JL224" s="21"/>
      <c r="JM224" s="21"/>
      <c r="JN224" s="21"/>
      <c r="JO224" s="21"/>
      <c r="JP224" s="21"/>
      <c r="JQ224" s="21"/>
      <c r="JR224" s="21"/>
      <c r="JS224" s="21"/>
      <c r="JT224" s="21"/>
      <c r="JU224" s="21"/>
      <c r="JV224" s="21"/>
      <c r="JW224" s="21"/>
      <c r="JX224" s="21"/>
      <c r="JY224" s="21"/>
      <c r="JZ224" s="21"/>
      <c r="KA224" s="21"/>
      <c r="KB224" s="21"/>
      <c r="KC224" s="21"/>
      <c r="KD224" s="21"/>
      <c r="KE224" s="21"/>
      <c r="KF224" s="21"/>
      <c r="KG224" s="21"/>
      <c r="KH224" s="21"/>
    </row>
    <row r="225" spans="1:294" x14ac:dyDescent="0.25">
      <c r="A225" s="9"/>
      <c r="B225" s="9"/>
      <c r="C225" s="9"/>
      <c r="D225" s="9"/>
      <c r="E225" s="9"/>
      <c r="F225" s="9"/>
      <c r="G225" s="9"/>
      <c r="H225" s="9"/>
      <c r="I225" s="9"/>
      <c r="J225" s="9"/>
      <c r="K225" s="9"/>
      <c r="L225" s="6" t="s">
        <v>850</v>
      </c>
      <c r="M225" s="11">
        <f>INDEX(cennik!$C$2:$L$529,MATCH($L225,cennik!$B$2:$B$522,0),MATCH(M$205,cennik!$C$1:$L$1,0))</f>
        <v>65114197</v>
      </c>
      <c r="N225" s="11" t="str">
        <f>INDEX(cennik!$C$2:$L$529,MATCH($L225,cennik!$B$2:$B$522,0),MATCH(N$104,cennik!$C$1:$L$1,0))</f>
        <v>100 szt.</v>
      </c>
      <c r="O225" s="11">
        <f>ROUNDUP((O209*3)/100,0)</f>
        <v>0</v>
      </c>
      <c r="P225" s="34">
        <f>INDEX(cennik!$C$2:$L$529,MATCH($L225,cennik!$B$2:$B$522,0),MATCH(P$104,cennik!$C$1:$L$1,0))</f>
        <v>184.49</v>
      </c>
      <c r="Q225" s="34">
        <f t="shared" ref="Q225:Q227" si="99">O225*P225</f>
        <v>0</v>
      </c>
      <c r="R225" s="35">
        <f t="shared" si="90"/>
        <v>0</v>
      </c>
      <c r="S225" s="34">
        <f t="shared" si="91"/>
        <v>184.49</v>
      </c>
      <c r="T225" s="34">
        <f t="shared" ref="T225:T227" si="100">O225*S225</f>
        <v>0</v>
      </c>
      <c r="U225" s="34">
        <f>INDEX(cennik!$C$2:$L$529,MATCH($L225,cennik!$B$2:$B$522,0),MATCH(U$104,cennik!$C$1:$L$1,0))*O225</f>
        <v>0</v>
      </c>
      <c r="V225" s="21"/>
      <c r="W225" s="21"/>
      <c r="X225" s="21"/>
      <c r="Y225" s="20"/>
      <c r="Z225" s="20">
        <f t="shared" ref="Z225:Z240" si="101">ROUNDUP((((IF(((INT((((A232*$W$224)+((A232-1)*20))/900))*900)+200)&gt;=(((A232*$W$224)+((A232-1)*20))),(INT((((A232*$W$224)+((A232-1)*20))/900))),IF(((INT((((A232*$W$224)+((A232-1)*20))/900))*900)+200)&lt;(((A232*$W$224)+((A232-1)*20))),(INT((((A232*$W$224)+((A232-1)*20))/900))+1),0)))*C232)/2),0)</f>
        <v>0</v>
      </c>
      <c r="AA225" s="20">
        <f t="shared" ref="AA225:AA240" si="102">(IF(((INT(((((A232/2)*$W$224)+(((A232/2)-1)*20))/$E$239))*$E$239)+600)&gt;=((((A232/2)*$W$224)+(((A232/2)-1)*20))),(INT(((((A232/2)*$W$224)+(((A232/2)-1)*20))/$E$239))+1),IF(((INT(((((A232/2)*$W$224)+(((A232/2)-1)*20))/$E$239))*$E$239)+600)&lt;((((A232/2)*$W$224)+(((A232/2)-1)*20))),(INT(((((A232/2)*$W$224)+(((A232/2)-1)*20))/$E$239))+2),0)))*C232</f>
        <v>0</v>
      </c>
      <c r="AB225" s="20">
        <f t="shared" ref="AB225:AB240" si="103">IF(A232&gt;0,AA225,0)</f>
        <v>0</v>
      </c>
      <c r="AC225" s="21"/>
      <c r="AD22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205,$HW$106:$IQ$106,0),MATCH($E$206,$X$109:$X$126,0)))*C205</f>
        <v>0</v>
      </c>
      <c r="AE22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205,$HW$106:$IQ$106,0),MATCH($E$206,$X$109:$X$126,0)))*C205</f>
        <v>0</v>
      </c>
      <c r="AF22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205,$HW$106:$IQ$106,0),MATCH($E$206,$X$109:$X$126,0)))*C205</f>
        <v>0</v>
      </c>
      <c r="AG225" s="21"/>
      <c r="AH22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232,$IT$106:$JN$106,0),MATCH($E$233,$X$109:$X$126,0))*C232</f>
        <v>0</v>
      </c>
      <c r="AI22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232,$IT$106:$JN$106,0),MATCH($E$233,$X$109:$X$126,0))*C232</f>
        <v>0</v>
      </c>
      <c r="AJ22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232,$IT$106:$JN$106,0),MATCH($E$233,$X$109:$X$126,0))*C232</f>
        <v>0</v>
      </c>
      <c r="AK225" s="21"/>
      <c r="AL225" s="21"/>
      <c r="AM225" s="21"/>
      <c r="AN225" s="21"/>
      <c r="AO225" s="21"/>
      <c r="AP225" s="21"/>
      <c r="AQ225" s="21"/>
      <c r="AR225" s="21"/>
      <c r="AS225" s="21"/>
      <c r="AT225" s="21"/>
      <c r="AU225" s="21"/>
      <c r="AV225" s="21"/>
      <c r="AW225" s="21"/>
      <c r="AX225" s="21"/>
      <c r="AY225" s="21"/>
      <c r="AZ225" s="21"/>
      <c r="BA225" s="21"/>
      <c r="BB225" s="21"/>
      <c r="BC225" s="21"/>
      <c r="BD225" s="21"/>
      <c r="BE225" s="21"/>
      <c r="BF225" s="21"/>
      <c r="BG225" s="21"/>
      <c r="BH225" s="21"/>
      <c r="BI225" s="21"/>
      <c r="BJ225" s="21"/>
      <c r="BK225" s="21"/>
      <c r="BL225" s="21"/>
      <c r="BM225" s="21"/>
      <c r="BN225" s="21"/>
      <c r="BO225" s="21"/>
      <c r="BP225" s="21"/>
      <c r="BQ225" s="21"/>
      <c r="BR225" s="21"/>
      <c r="BS225" s="21"/>
      <c r="BT225" s="21"/>
      <c r="BU225" s="21"/>
      <c r="BV225" s="21"/>
      <c r="BW225" s="21"/>
      <c r="BX225" s="21"/>
      <c r="BY225" s="21"/>
      <c r="BZ225" s="21"/>
      <c r="CA225" s="21"/>
      <c r="CB225" s="21"/>
      <c r="CC225" s="21"/>
      <c r="CD225" s="21"/>
      <c r="CE225" s="21"/>
      <c r="CF225" s="21"/>
      <c r="CG225" s="21"/>
      <c r="CH225" s="21"/>
      <c r="CI225" s="21"/>
      <c r="CJ225" s="21"/>
      <c r="CK225" s="21"/>
      <c r="CL225" s="21"/>
      <c r="CM225" s="21"/>
      <c r="CN225" s="21"/>
      <c r="CO225" s="21"/>
      <c r="CP225" s="21"/>
      <c r="CQ225" s="21"/>
      <c r="CR225" s="21"/>
      <c r="CS225" s="21"/>
      <c r="CT225" s="21"/>
      <c r="CU225" s="21"/>
      <c r="CV225" s="21"/>
      <c r="CW225" s="21"/>
      <c r="CX225" s="21"/>
      <c r="CY225" s="21"/>
      <c r="CZ225" s="21"/>
      <c r="DA225" s="21"/>
      <c r="DB225" s="21"/>
      <c r="DC225" s="21"/>
      <c r="DD225" s="21"/>
      <c r="DE225" s="21"/>
      <c r="DF225" s="21"/>
      <c r="DG225" s="21"/>
      <c r="DH225" s="21"/>
      <c r="DI225" s="21"/>
      <c r="DJ225" s="21"/>
      <c r="DK225" s="21"/>
      <c r="DL225" s="21"/>
      <c r="DM225" s="21"/>
      <c r="DN225" s="21"/>
      <c r="DO225" s="21"/>
      <c r="DP225" s="21"/>
      <c r="DQ225" s="21"/>
      <c r="DR225" s="21"/>
      <c r="DS225" s="21"/>
      <c r="DT225" s="21"/>
      <c r="DU225" s="21"/>
      <c r="DV225" s="21"/>
      <c r="DW225" s="21"/>
      <c r="DX225" s="21"/>
      <c r="DY225" s="21"/>
      <c r="DZ225" s="87"/>
      <c r="EA225" s="87"/>
      <c r="EB225" s="87"/>
      <c r="EC225" s="21"/>
      <c r="ED225" s="21"/>
      <c r="EE225" s="21"/>
      <c r="EF225" s="21"/>
      <c r="EG225" s="21"/>
      <c r="EH225" s="21"/>
      <c r="EI225" s="21"/>
      <c r="EJ225" s="21"/>
      <c r="EK225" s="21"/>
      <c r="EL225" s="21"/>
      <c r="EM225" s="21"/>
      <c r="EN225" s="21"/>
      <c r="EO225" s="21"/>
      <c r="EP225" s="21"/>
      <c r="EQ225" s="21"/>
      <c r="ER225" s="21"/>
      <c r="ES225" s="21"/>
      <c r="ET225" s="21"/>
      <c r="EU225" s="21"/>
      <c r="EV225" s="21"/>
      <c r="EW225" s="21"/>
      <c r="EX225" s="21"/>
      <c r="EY225" s="21"/>
      <c r="EZ225" s="21"/>
      <c r="FA225" s="21"/>
      <c r="FB225" s="21"/>
      <c r="FC225" s="21"/>
      <c r="FD225" s="21"/>
      <c r="FE225" s="21"/>
      <c r="FF225" s="21"/>
      <c r="FG225" s="21"/>
      <c r="FH225" s="21"/>
      <c r="FI225" s="21"/>
      <c r="FJ225" s="21"/>
      <c r="FK225" s="21"/>
      <c r="FL225" s="21"/>
      <c r="FM225" s="21"/>
      <c r="FN225" s="21"/>
      <c r="FO225" s="21"/>
      <c r="FP225" s="21"/>
      <c r="FQ225" s="21"/>
      <c r="FR225" s="21"/>
      <c r="FS225" s="21"/>
      <c r="FT225" s="21"/>
      <c r="FU225" s="21"/>
      <c r="FV225" s="21"/>
      <c r="FW225" s="21"/>
      <c r="FX225" s="21"/>
      <c r="FY225" s="21"/>
      <c r="FZ225" s="21"/>
      <c r="GA225" s="347" t="s">
        <v>866</v>
      </c>
      <c r="GB225" s="21">
        <v>0</v>
      </c>
      <c r="GC225" s="21">
        <v>0</v>
      </c>
      <c r="GD225" s="21">
        <v>0</v>
      </c>
      <c r="GE225" s="21">
        <v>0</v>
      </c>
      <c r="GF225" s="21">
        <v>4</v>
      </c>
      <c r="GG225" s="21">
        <v>4</v>
      </c>
      <c r="GH225" s="21">
        <v>4</v>
      </c>
      <c r="GI225" s="21">
        <v>3</v>
      </c>
      <c r="GJ225" s="21">
        <v>3</v>
      </c>
      <c r="GK225" s="21">
        <v>3</v>
      </c>
      <c r="GL225" s="21">
        <v>2</v>
      </c>
      <c r="GM225" s="21">
        <v>2</v>
      </c>
      <c r="GN225" s="21">
        <v>2</v>
      </c>
      <c r="GO225" s="21">
        <v>2</v>
      </c>
      <c r="GP225" s="21">
        <v>1</v>
      </c>
      <c r="GQ225" s="21">
        <v>1</v>
      </c>
      <c r="GR225" s="21">
        <v>0</v>
      </c>
      <c r="GS225" s="21">
        <v>0</v>
      </c>
      <c r="GT225" s="21">
        <v>0</v>
      </c>
      <c r="GU225" s="21">
        <v>0</v>
      </c>
      <c r="GV225" s="21">
        <v>5</v>
      </c>
      <c r="GW225" s="21"/>
      <c r="GX225" s="21"/>
      <c r="GY225" s="21"/>
      <c r="GZ225" s="21"/>
      <c r="HA225" s="21"/>
      <c r="HB225" s="21"/>
      <c r="HC225" s="21"/>
      <c r="HD225" s="21"/>
      <c r="HE225" s="21"/>
      <c r="HF225" s="21"/>
      <c r="HG225" s="21"/>
      <c r="HH225" s="21"/>
      <c r="HI225" s="21"/>
      <c r="HJ225" s="21"/>
      <c r="HK225" s="21"/>
      <c r="HL225" s="21"/>
      <c r="HM225" s="21"/>
      <c r="HN225" s="21"/>
      <c r="HO225" s="21"/>
      <c r="HP225" s="21"/>
      <c r="HQ225" s="21"/>
      <c r="HR225" s="21"/>
      <c r="HS225" s="21"/>
      <c r="HT225" s="21"/>
      <c r="HU225" s="21"/>
      <c r="HV225" s="186"/>
      <c r="HW225" s="21"/>
      <c r="HX225" s="21"/>
      <c r="HY225" s="21"/>
      <c r="HZ225" s="21"/>
      <c r="IA225" s="21"/>
      <c r="IB225" s="21"/>
      <c r="IC225" s="21"/>
      <c r="ID225" s="21"/>
      <c r="IE225" s="21"/>
      <c r="IF225" s="21"/>
      <c r="IG225" s="21"/>
      <c r="IH225" s="21"/>
      <c r="II225" s="21"/>
      <c r="IJ225" s="21"/>
      <c r="IK225" s="21"/>
      <c r="IL225" s="21"/>
      <c r="IM225" s="21"/>
      <c r="IN225" s="21"/>
      <c r="IO225" s="21"/>
      <c r="IP225" s="21"/>
      <c r="IQ225" s="21"/>
      <c r="IR225" s="21"/>
      <c r="IS225" s="21"/>
      <c r="IT225" s="21"/>
      <c r="IU225" s="21"/>
      <c r="IV225" s="21"/>
      <c r="IW225" s="21"/>
      <c r="IX225" s="21"/>
      <c r="IY225" s="21"/>
      <c r="IZ225" s="21"/>
      <c r="JA225" s="21"/>
      <c r="JB225" s="21"/>
      <c r="JC225" s="21"/>
      <c r="JD225" s="21"/>
      <c r="JE225" s="21"/>
      <c r="JF225" s="21"/>
      <c r="JG225" s="21"/>
      <c r="JH225" s="21"/>
      <c r="JI225" s="21"/>
      <c r="JJ225" s="21"/>
      <c r="JK225" s="21"/>
      <c r="JL225" s="21"/>
      <c r="JM225" s="21"/>
      <c r="JN225" s="21"/>
      <c r="JO225" s="21"/>
      <c r="JP225" s="21"/>
      <c r="JQ225" s="21"/>
      <c r="JR225" s="21"/>
      <c r="JS225" s="21"/>
      <c r="JT225" s="21"/>
      <c r="JU225" s="21"/>
      <c r="JV225" s="21"/>
      <c r="JW225" s="21"/>
      <c r="JX225" s="21"/>
      <c r="JY225" s="21"/>
      <c r="JZ225" s="21"/>
      <c r="KA225" s="21"/>
      <c r="KB225" s="21"/>
      <c r="KC225" s="21"/>
      <c r="KD225" s="21"/>
      <c r="KE225" s="21"/>
      <c r="KF225" s="21"/>
      <c r="KG225" s="21"/>
      <c r="KH225" s="21"/>
    </row>
    <row r="226" spans="1:294" x14ac:dyDescent="0.25">
      <c r="A226" s="9"/>
      <c r="B226" s="9"/>
      <c r="C226" s="9"/>
      <c r="D226" s="9"/>
      <c r="E226" s="9"/>
      <c r="F226" s="17" t="str">
        <f>IF(L218="PSRM10X90F","PROPOZYCJA KOTEW- DO WERFIKACJI",IF(L218="-------","",""))</f>
        <v/>
      </c>
      <c r="G226" s="9"/>
      <c r="H226" s="9"/>
      <c r="I226" s="9"/>
      <c r="J226" s="9"/>
      <c r="K226" s="9"/>
      <c r="L226" s="6" t="s">
        <v>851</v>
      </c>
      <c r="M226" s="11">
        <f>INDEX(cennik!$C$2:$L$529,MATCH($L226,cennik!$B$2:$B$522,0),MATCH(M$205,cennik!$C$1:$L$1,0))</f>
        <v>6505443</v>
      </c>
      <c r="N226" s="11" t="str">
        <f>INDEX(cennik!$C$2:$L$529,MATCH($L226,cennik!$B$2:$B$522,0),MATCH(N$104,cennik!$C$1:$L$1,0))</f>
        <v>100 szt.</v>
      </c>
      <c r="O226" s="11">
        <f>O225</f>
        <v>0</v>
      </c>
      <c r="P226" s="34">
        <f>INDEX(cennik!$C$2:$L$529,MATCH($L226,cennik!$B$2:$B$522,0),MATCH(P$104,cennik!$C$1:$L$1,0))</f>
        <v>12.95</v>
      </c>
      <c r="Q226" s="34">
        <f t="shared" si="99"/>
        <v>0</v>
      </c>
      <c r="R226" s="35">
        <f t="shared" si="90"/>
        <v>0</v>
      </c>
      <c r="S226" s="34">
        <f t="shared" si="91"/>
        <v>12.95</v>
      </c>
      <c r="T226" s="34">
        <f t="shared" si="100"/>
        <v>0</v>
      </c>
      <c r="U226" s="34">
        <f>INDEX(cennik!$C$2:$L$529,MATCH($L226,cennik!$B$2:$B$522,0),MATCH(U$104,cennik!$C$1:$L$1,0))*O226</f>
        <v>0</v>
      </c>
      <c r="V226" s="21"/>
      <c r="W226" s="21"/>
      <c r="X226" s="21"/>
      <c r="Y226" s="20"/>
      <c r="Z226" s="20">
        <f t="shared" si="101"/>
        <v>0</v>
      </c>
      <c r="AA226" s="20">
        <f t="shared" si="102"/>
        <v>0</v>
      </c>
      <c r="AB226" s="20">
        <f t="shared" si="103"/>
        <v>0</v>
      </c>
      <c r="AC226" s="21"/>
      <c r="AD22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206,$HW$106:$IQ$106,0),MATCH($E$206,$X$109:$X$126,0)))*C206</f>
        <v>0</v>
      </c>
      <c r="AE22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206,$HW$106:$IQ$106,0),MATCH($E$206,$X$109:$X$126,0)))*C206</f>
        <v>0</v>
      </c>
      <c r="AF22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206,$HW$106:$IQ$106,0),MATCH($E$206,$X$109:$X$126,0)))*C206</f>
        <v>0</v>
      </c>
      <c r="AG226" s="21"/>
      <c r="AH22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233,$IT$106:$JN$106,0),MATCH($E$233,$X$109:$X$126,0))*C233</f>
        <v>0</v>
      </c>
      <c r="AI22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233,$IT$106:$JN$106,0),MATCH($E$233,$X$109:$X$126,0))*C233</f>
        <v>0</v>
      </c>
      <c r="AJ22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233,$IT$106:$JN$106,0),MATCH($E$233,$X$109:$X$126,0))*C233</f>
        <v>0</v>
      </c>
      <c r="AK226" s="21"/>
      <c r="AL226" s="21"/>
      <c r="AM226" s="21"/>
      <c r="AN226" s="21"/>
      <c r="AO226" s="21"/>
      <c r="AP226" s="21"/>
      <c r="AQ226" s="21"/>
      <c r="AR226" s="21"/>
      <c r="AS226" s="21"/>
      <c r="AT226" s="21"/>
      <c r="AU226" s="21"/>
      <c r="AV226" s="21"/>
      <c r="AW226" s="21"/>
      <c r="AX226" s="21"/>
      <c r="AY226" s="21"/>
      <c r="AZ226" s="21"/>
      <c r="BA226" s="21"/>
      <c r="BB226" s="21"/>
      <c r="BC226" s="21"/>
      <c r="BD226" s="21"/>
      <c r="BE226" s="21"/>
      <c r="BF226" s="21"/>
      <c r="BG226" s="21"/>
      <c r="BH226" s="21"/>
      <c r="BI226" s="21"/>
      <c r="BJ226" s="21"/>
      <c r="BK226" s="21"/>
      <c r="BL226" s="21"/>
      <c r="BM226" s="21"/>
      <c r="BN226" s="21"/>
      <c r="BO226" s="21"/>
      <c r="BP226" s="21"/>
      <c r="BQ226" s="21"/>
      <c r="BR226" s="21"/>
      <c r="BS226" s="21"/>
      <c r="BT226" s="21"/>
      <c r="BU226" s="21"/>
      <c r="BV226" s="21"/>
      <c r="BW226" s="21"/>
      <c r="BX226" s="21"/>
      <c r="BY226" s="21"/>
      <c r="BZ226" s="21"/>
      <c r="CA226" s="21"/>
      <c r="CB226" s="21"/>
      <c r="CC226" s="21"/>
      <c r="CD226" s="21"/>
      <c r="CE226" s="21"/>
      <c r="CF226" s="21"/>
      <c r="CG226" s="21"/>
      <c r="CH226" s="21"/>
      <c r="CI226" s="21"/>
      <c r="CJ226" s="21"/>
      <c r="CK226" s="21"/>
      <c r="CL226" s="21"/>
      <c r="CM226" s="21"/>
      <c r="CN226" s="21"/>
      <c r="CO226" s="21"/>
      <c r="CP226" s="21"/>
      <c r="CQ226" s="21"/>
      <c r="CR226" s="21"/>
      <c r="CS226" s="21"/>
      <c r="CT226" s="21"/>
      <c r="CU226" s="21"/>
      <c r="CV226" s="21"/>
      <c r="CW226" s="21"/>
      <c r="CX226" s="21"/>
      <c r="CY226" s="21"/>
      <c r="CZ226" s="21"/>
      <c r="DA226" s="21"/>
      <c r="DB226" s="21"/>
      <c r="DC226" s="21"/>
      <c r="DD226" s="21"/>
      <c r="DE226" s="21"/>
      <c r="DF226" s="21"/>
      <c r="DG226" s="21"/>
      <c r="DH226" s="21"/>
      <c r="DI226" s="21"/>
      <c r="DJ226" s="21"/>
      <c r="DK226" s="21"/>
      <c r="DL226" s="21"/>
      <c r="DM226" s="21"/>
      <c r="DN226" s="21"/>
      <c r="DO226" s="21"/>
      <c r="DP226" s="21"/>
      <c r="DQ226" s="21"/>
      <c r="DR226" s="21"/>
      <c r="DS226" s="21"/>
      <c r="DT226" s="21"/>
      <c r="DU226" s="21"/>
      <c r="DV226" s="21"/>
      <c r="DW226" s="21"/>
      <c r="DX226" s="21"/>
      <c r="DY226" s="21"/>
      <c r="DZ226" s="87"/>
      <c r="EA226" s="87"/>
      <c r="EB226" s="87"/>
      <c r="EC226" s="21"/>
      <c r="ED226" s="21"/>
      <c r="EE226" s="21"/>
      <c r="EF226" s="21"/>
      <c r="EG226" s="21"/>
      <c r="EH226" s="21"/>
      <c r="EI226" s="21"/>
      <c r="EJ226" s="21"/>
      <c r="EK226" s="21"/>
      <c r="EL226" s="21"/>
      <c r="EM226" s="21"/>
      <c r="EN226" s="21"/>
      <c r="EO226" s="21"/>
      <c r="EP226" s="21"/>
      <c r="EQ226" s="21"/>
      <c r="ER226" s="21"/>
      <c r="ES226" s="21"/>
      <c r="ET226" s="21"/>
      <c r="EU226" s="21"/>
      <c r="EV226" s="21"/>
      <c r="EW226" s="21"/>
      <c r="EX226" s="21"/>
      <c r="EY226" s="21"/>
      <c r="EZ226" s="21"/>
      <c r="FA226" s="21"/>
      <c r="FB226" s="21"/>
      <c r="FC226" s="21"/>
      <c r="FD226" s="21"/>
      <c r="FE226" s="21"/>
      <c r="FF226" s="21"/>
      <c r="FG226" s="21"/>
      <c r="FH226" s="21"/>
      <c r="FI226" s="21"/>
      <c r="FJ226" s="21"/>
      <c r="FK226" s="21"/>
      <c r="FL226" s="21"/>
      <c r="FM226" s="21"/>
      <c r="FN226" s="21"/>
      <c r="FO226" s="21"/>
      <c r="FP226" s="21"/>
      <c r="FQ226" s="21"/>
      <c r="FR226" s="21"/>
      <c r="FS226" s="21"/>
      <c r="FT226" s="21"/>
      <c r="FU226" s="21"/>
      <c r="FV226" s="21"/>
      <c r="FW226" s="21"/>
      <c r="FX226" s="21"/>
      <c r="FY226" s="21"/>
      <c r="FZ226" s="21"/>
      <c r="GA226" s="347" t="s">
        <v>867</v>
      </c>
      <c r="GB226" s="21">
        <v>0</v>
      </c>
      <c r="GC226" s="21">
        <v>1</v>
      </c>
      <c r="GD226" s="21">
        <v>1</v>
      </c>
      <c r="GE226" s="21">
        <v>2</v>
      </c>
      <c r="GF226" s="21">
        <v>1</v>
      </c>
      <c r="GG226" s="21">
        <v>2</v>
      </c>
      <c r="GH226" s="21">
        <v>3</v>
      </c>
      <c r="GI226" s="21">
        <v>5</v>
      </c>
      <c r="GJ226" s="21">
        <v>6</v>
      </c>
      <c r="GK226" s="21">
        <v>7</v>
      </c>
      <c r="GL226" s="21">
        <v>9</v>
      </c>
      <c r="GM226" s="21">
        <v>10</v>
      </c>
      <c r="GN226" s="21">
        <v>11</v>
      </c>
      <c r="GO226" s="21">
        <v>12</v>
      </c>
      <c r="GP226" s="21">
        <v>14</v>
      </c>
      <c r="GQ226" s="21">
        <v>15</v>
      </c>
      <c r="GR226" s="21">
        <v>17</v>
      </c>
      <c r="GS226" s="21">
        <v>18</v>
      </c>
      <c r="GT226" s="21">
        <v>19</v>
      </c>
      <c r="GU226" s="21">
        <v>20</v>
      </c>
      <c r="GV226" s="21">
        <v>17</v>
      </c>
      <c r="GW226" s="21"/>
      <c r="GX226" s="21"/>
      <c r="GY226" s="21"/>
      <c r="GZ226" s="21"/>
      <c r="HA226" s="21"/>
      <c r="HB226" s="21"/>
      <c r="HC226" s="21"/>
      <c r="HD226" s="21"/>
      <c r="HE226" s="21"/>
      <c r="HF226" s="21"/>
      <c r="HG226" s="21"/>
      <c r="HH226" s="21"/>
      <c r="HI226" s="21"/>
      <c r="HJ226" s="21"/>
      <c r="HK226" s="21"/>
      <c r="HL226" s="21"/>
      <c r="HM226" s="21"/>
      <c r="HN226" s="21"/>
      <c r="HO226" s="21"/>
      <c r="HP226" s="21"/>
      <c r="HQ226" s="21"/>
      <c r="HR226" s="21"/>
      <c r="HS226" s="21"/>
      <c r="HT226" s="21"/>
      <c r="HU226" s="21"/>
      <c r="HV226" s="186"/>
      <c r="HW226" s="21"/>
      <c r="HX226" s="21"/>
      <c r="HY226" s="21"/>
      <c r="HZ226" s="21"/>
      <c r="IA226" s="21"/>
      <c r="IB226" s="21"/>
      <c r="IC226" s="21"/>
      <c r="ID226" s="21"/>
      <c r="IE226" s="21"/>
      <c r="IF226" s="21"/>
      <c r="IG226" s="21"/>
      <c r="IH226" s="21"/>
      <c r="II226" s="21"/>
      <c r="IJ226" s="21"/>
      <c r="IK226" s="21"/>
      <c r="IL226" s="21"/>
      <c r="IM226" s="21"/>
      <c r="IN226" s="21"/>
      <c r="IO226" s="21"/>
      <c r="IP226" s="21"/>
      <c r="IQ226" s="21"/>
      <c r="IR226" s="21"/>
      <c r="IS226" s="21"/>
      <c r="IT226" s="21"/>
      <c r="IU226" s="21"/>
      <c r="IV226" s="21"/>
      <c r="IW226" s="21"/>
      <c r="IX226" s="21"/>
      <c r="IY226" s="21"/>
      <c r="IZ226" s="21"/>
      <c r="JA226" s="21"/>
      <c r="JB226" s="21"/>
      <c r="JC226" s="21"/>
      <c r="JD226" s="21"/>
      <c r="JE226" s="21"/>
      <c r="JF226" s="21"/>
      <c r="JG226" s="21"/>
      <c r="JH226" s="21"/>
      <c r="JI226" s="21"/>
      <c r="JJ226" s="21"/>
      <c r="JK226" s="21"/>
      <c r="JL226" s="21"/>
      <c r="JM226" s="21"/>
      <c r="JN226" s="21"/>
      <c r="JO226" s="21"/>
      <c r="JP226" s="21"/>
      <c r="JQ226" s="21"/>
      <c r="JR226" s="21"/>
      <c r="JS226" s="21"/>
      <c r="JT226" s="21"/>
      <c r="JU226" s="21"/>
      <c r="JV226" s="21"/>
      <c r="JW226" s="21"/>
      <c r="JX226" s="21"/>
      <c r="JY226" s="21"/>
      <c r="JZ226" s="21"/>
      <c r="KA226" s="21"/>
      <c r="KB226" s="21"/>
      <c r="KC226" s="21"/>
      <c r="KD226" s="21"/>
      <c r="KE226" s="21"/>
      <c r="KF226" s="21"/>
      <c r="KG226" s="21"/>
      <c r="KH226" s="21"/>
    </row>
    <row r="227" spans="1:294" x14ac:dyDescent="0.25">
      <c r="A227" s="9"/>
      <c r="B227" s="9"/>
      <c r="C227" s="9"/>
      <c r="D227" s="9"/>
      <c r="E227" s="9"/>
      <c r="F227" s="17"/>
      <c r="G227" s="9"/>
      <c r="H227" s="9"/>
      <c r="I227" s="9"/>
      <c r="J227" s="9"/>
      <c r="K227" s="9"/>
      <c r="L227" s="6" t="s">
        <v>883</v>
      </c>
      <c r="M227" s="11">
        <f>INDEX(cennik!$C$2:$L$529,MATCH($L227,cennik!$B$2:$B$522,0),MATCH(M$205,cennik!$C$1:$L$1,0))</f>
        <v>6505414</v>
      </c>
      <c r="N227" s="11" t="str">
        <f>INDEX(cennik!$C$2:$L$529,MATCH($L227,cennik!$B$2:$B$522,0),MATCH(N$104,cennik!$C$1:$L$1,0))</f>
        <v>100 szt.</v>
      </c>
      <c r="O227" s="11">
        <f>ROUNDUP((SUM(AT203:AT218))/100,0)</f>
        <v>0</v>
      </c>
      <c r="P227" s="34">
        <f>INDEX(cennik!$C$2:$L$529,MATCH($L227,cennik!$B$2:$B$522,0),MATCH(P$104,cennik!$C$1:$L$1,0))</f>
        <v>60.87</v>
      </c>
      <c r="Q227" s="34">
        <f t="shared" si="99"/>
        <v>0</v>
      </c>
      <c r="R227" s="35">
        <f t="shared" si="90"/>
        <v>0</v>
      </c>
      <c r="S227" s="34">
        <f t="shared" si="91"/>
        <v>60.87</v>
      </c>
      <c r="T227" s="34">
        <f t="shared" si="100"/>
        <v>0</v>
      </c>
      <c r="U227" s="34">
        <f>INDEX(cennik!$C$2:$L$529,MATCH($L227,cennik!$B$2:$B$522,0),MATCH(U$104,cennik!$C$1:$L$1,0))*O227</f>
        <v>0</v>
      </c>
      <c r="V227" s="21"/>
      <c r="W227" s="21"/>
      <c r="X227" s="21"/>
      <c r="Y227" s="20"/>
      <c r="Z227" s="20">
        <f t="shared" si="101"/>
        <v>0</v>
      </c>
      <c r="AA227" s="20">
        <f t="shared" si="102"/>
        <v>0</v>
      </c>
      <c r="AB227" s="20">
        <f t="shared" si="103"/>
        <v>0</v>
      </c>
      <c r="AC227" s="21"/>
      <c r="AD22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207,$HW$106:$IQ$106,0),MATCH($E$206,$X$109:$X$126,0)))*C207</f>
        <v>0</v>
      </c>
      <c r="AE22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207,$HW$106:$IQ$106,0),MATCH($E$206,$X$109:$X$126,0)))*C207</f>
        <v>0</v>
      </c>
      <c r="AF22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207,$HW$106:$IQ$106,0),MATCH($E$206,$X$109:$X$126,0)))*C207</f>
        <v>0</v>
      </c>
      <c r="AG227" s="21"/>
      <c r="AH22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234,$IT$106:$JN$106,0),MATCH($E$233,$X$109:$X$126,0))*C234</f>
        <v>0</v>
      </c>
      <c r="AI22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234,$IT$106:$JN$106,0),MATCH($E$233,$X$109:$X$126,0))*C234</f>
        <v>0</v>
      </c>
      <c r="AJ22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234,$IT$106:$JN$106,0),MATCH($E$233,$X$109:$X$126,0))*C234</f>
        <v>0</v>
      </c>
      <c r="AK227" s="21"/>
      <c r="AL227" s="21"/>
      <c r="AM227" s="21"/>
      <c r="AN227" s="21"/>
      <c r="AO227" s="21"/>
      <c r="AP227" s="21"/>
      <c r="AQ227" s="21"/>
      <c r="AR227" s="21"/>
      <c r="AS227" s="21"/>
      <c r="AT227" s="21"/>
      <c r="AU227" s="21"/>
      <c r="AV227" s="21"/>
      <c r="AW227" s="21"/>
      <c r="AX227" s="21"/>
      <c r="AY227" s="21"/>
      <c r="AZ227" s="21"/>
      <c r="BA227" s="21"/>
      <c r="BB227" s="21"/>
      <c r="BC227" s="21"/>
      <c r="BD227" s="21"/>
      <c r="BE227" s="21"/>
      <c r="BF227" s="21"/>
      <c r="BG227" s="21"/>
      <c r="BH227" s="21"/>
      <c r="BI227" s="21"/>
      <c r="BJ227" s="21"/>
      <c r="BK227" s="21"/>
      <c r="BL227" s="21"/>
      <c r="BM227" s="21"/>
      <c r="BN227" s="21"/>
      <c r="BO227" s="21"/>
      <c r="BP227" s="21"/>
      <c r="BQ227" s="21"/>
      <c r="BR227" s="21"/>
      <c r="BS227" s="21"/>
      <c r="BT227" s="21"/>
      <c r="BU227" s="21"/>
      <c r="BV227" s="21"/>
      <c r="BW227" s="21"/>
      <c r="BX227" s="21"/>
      <c r="BY227" s="21"/>
      <c r="BZ227" s="21"/>
      <c r="CA227" s="21"/>
      <c r="CB227" s="21"/>
      <c r="CC227" s="21"/>
      <c r="CD227" s="21"/>
      <c r="CE227" s="21"/>
      <c r="CF227" s="21"/>
      <c r="CG227" s="21"/>
      <c r="CH227" s="21"/>
      <c r="CI227" s="21"/>
      <c r="CJ227" s="21"/>
      <c r="CK227" s="21"/>
      <c r="CL227" s="21"/>
      <c r="CM227" s="21"/>
      <c r="CN227" s="21"/>
      <c r="CO227" s="21"/>
      <c r="CP227" s="21"/>
      <c r="CQ227" s="21"/>
      <c r="CR227" s="21"/>
      <c r="CS227" s="21"/>
      <c r="CT227" s="21"/>
      <c r="CU227" s="21"/>
      <c r="CV227" s="21"/>
      <c r="CW227" s="21"/>
      <c r="CX227" s="21"/>
      <c r="CY227" s="21"/>
      <c r="CZ227" s="21"/>
      <c r="DA227" s="21"/>
      <c r="DB227" s="21"/>
      <c r="DC227" s="21"/>
      <c r="DD227" s="21"/>
      <c r="DE227" s="21"/>
      <c r="DF227" s="21"/>
      <c r="DG227" s="21"/>
      <c r="DH227" s="21"/>
      <c r="DI227" s="21"/>
      <c r="DJ227" s="21"/>
      <c r="DK227" s="21"/>
      <c r="DL227" s="21"/>
      <c r="DM227" s="21"/>
      <c r="DN227" s="21"/>
      <c r="DO227" s="21"/>
      <c r="DP227" s="21"/>
      <c r="DQ227" s="21"/>
      <c r="DR227" s="21"/>
      <c r="DS227" s="21"/>
      <c r="DT227" s="21"/>
      <c r="DU227" s="21"/>
      <c r="DV227" s="21"/>
      <c r="DW227" s="21"/>
      <c r="DX227" s="21"/>
      <c r="DY227" s="21"/>
      <c r="DZ227" s="87"/>
      <c r="EA227" s="87"/>
      <c r="EB227" s="87"/>
      <c r="EC227" s="21"/>
      <c r="ED227" s="21"/>
      <c r="EE227" s="21"/>
      <c r="EF227" s="21"/>
      <c r="EG227" s="21"/>
      <c r="EH227" s="21"/>
      <c r="EI227" s="21"/>
      <c r="EJ227" s="21"/>
      <c r="EK227" s="21"/>
      <c r="EL227" s="21"/>
      <c r="EM227" s="21"/>
      <c r="EN227" s="21"/>
      <c r="EO227" s="21"/>
      <c r="EP227" s="21"/>
      <c r="EQ227" s="21"/>
      <c r="ER227" s="21"/>
      <c r="ES227" s="21"/>
      <c r="ET227" s="21"/>
      <c r="EU227" s="21"/>
      <c r="EV227" s="21"/>
      <c r="EW227" s="21"/>
      <c r="EX227" s="21"/>
      <c r="EY227" s="21"/>
      <c r="EZ227" s="21"/>
      <c r="FA227" s="21"/>
      <c r="FB227" s="21"/>
      <c r="FC227" s="21"/>
      <c r="FD227" s="21"/>
      <c r="FE227" s="21"/>
      <c r="FF227" s="21"/>
      <c r="FG227" s="21"/>
      <c r="FH227" s="21"/>
      <c r="FI227" s="21"/>
      <c r="FJ227" s="21"/>
      <c r="FK227" s="21"/>
      <c r="FL227" s="21"/>
      <c r="FM227" s="21"/>
      <c r="FN227" s="21"/>
      <c r="FO227" s="21"/>
      <c r="FP227" s="21"/>
      <c r="FQ227" s="21"/>
      <c r="FR227" s="21"/>
      <c r="FS227" s="21"/>
      <c r="FT227" s="21"/>
      <c r="FU227" s="21"/>
      <c r="FV227" s="21"/>
      <c r="FW227" s="21"/>
      <c r="FX227" s="21"/>
      <c r="FY227" s="21"/>
      <c r="FZ227" s="21"/>
      <c r="GA227" s="347" t="s">
        <v>868</v>
      </c>
      <c r="GB227" s="21">
        <v>0</v>
      </c>
      <c r="GC227" s="21">
        <v>0</v>
      </c>
      <c r="GD227" s="21">
        <v>1</v>
      </c>
      <c r="GE227" s="21">
        <v>1</v>
      </c>
      <c r="GF227" s="21">
        <v>0</v>
      </c>
      <c r="GG227" s="21">
        <v>0</v>
      </c>
      <c r="GH227" s="21">
        <v>0</v>
      </c>
      <c r="GI227" s="21">
        <v>0</v>
      </c>
      <c r="GJ227" s="21">
        <v>0</v>
      </c>
      <c r="GK227" s="21">
        <v>0</v>
      </c>
      <c r="GL227" s="21">
        <v>0</v>
      </c>
      <c r="GM227" s="21">
        <v>0</v>
      </c>
      <c r="GN227" s="21">
        <v>0</v>
      </c>
      <c r="GO227" s="21">
        <v>0</v>
      </c>
      <c r="GP227" s="21">
        <v>0</v>
      </c>
      <c r="GQ227" s="21">
        <v>0</v>
      </c>
      <c r="GR227" s="21">
        <v>0</v>
      </c>
      <c r="GS227" s="21">
        <v>0</v>
      </c>
      <c r="GT227" s="21">
        <v>0</v>
      </c>
      <c r="GU227" s="21">
        <v>0</v>
      </c>
      <c r="GV227" s="21">
        <v>0</v>
      </c>
      <c r="GW227" s="21"/>
      <c r="GX227" s="21"/>
      <c r="GY227" s="21"/>
      <c r="GZ227" s="21"/>
      <c r="HA227" s="21"/>
      <c r="HB227" s="21"/>
      <c r="HC227" s="21"/>
      <c r="HD227" s="21"/>
      <c r="HE227" s="21"/>
      <c r="HF227" s="21"/>
      <c r="HG227" s="21"/>
      <c r="HH227" s="21"/>
      <c r="HI227" s="21"/>
      <c r="HJ227" s="21"/>
      <c r="HK227" s="21"/>
      <c r="HL227" s="21"/>
      <c r="HM227" s="21"/>
      <c r="HN227" s="21"/>
      <c r="HO227" s="21"/>
      <c r="HP227" s="21"/>
      <c r="HQ227" s="21"/>
      <c r="HR227" s="21"/>
      <c r="HS227" s="21"/>
      <c r="HT227" s="21"/>
      <c r="HU227" s="21"/>
      <c r="HV227" s="186"/>
      <c r="HW227" s="21"/>
      <c r="HX227" s="21"/>
      <c r="HY227" s="21"/>
      <c r="HZ227" s="21"/>
      <c r="IA227" s="21"/>
      <c r="IB227" s="21"/>
      <c r="IC227" s="21"/>
      <c r="ID227" s="21"/>
      <c r="IE227" s="21"/>
      <c r="IF227" s="21"/>
      <c r="IG227" s="21"/>
      <c r="IH227" s="21"/>
      <c r="II227" s="21"/>
      <c r="IJ227" s="21"/>
      <c r="IK227" s="21"/>
      <c r="IL227" s="21"/>
      <c r="IM227" s="21"/>
      <c r="IN227" s="21"/>
      <c r="IO227" s="21"/>
      <c r="IP227" s="21"/>
      <c r="IQ227" s="21"/>
      <c r="IR227" s="21"/>
      <c r="IS227" s="21"/>
      <c r="IT227" s="21"/>
      <c r="IU227" s="21"/>
      <c r="IV227" s="21"/>
      <c r="IW227" s="21"/>
      <c r="IX227" s="21"/>
      <c r="IY227" s="21"/>
      <c r="IZ227" s="21"/>
      <c r="JA227" s="21"/>
      <c r="JB227" s="21"/>
      <c r="JC227" s="21"/>
      <c r="JD227" s="21"/>
      <c r="JE227" s="21"/>
      <c r="JF227" s="21"/>
      <c r="JG227" s="21"/>
      <c r="JH227" s="21"/>
      <c r="JI227" s="21"/>
      <c r="JJ227" s="21"/>
      <c r="JK227" s="21"/>
      <c r="JL227" s="21"/>
      <c r="JM227" s="21"/>
      <c r="JN227" s="21"/>
      <c r="JO227" s="21"/>
      <c r="JP227" s="21"/>
      <c r="JQ227" s="21"/>
      <c r="JR227" s="21"/>
      <c r="JS227" s="21"/>
      <c r="JT227" s="21"/>
      <c r="JU227" s="21"/>
      <c r="JV227" s="21"/>
      <c r="JW227" s="21"/>
      <c r="JX227" s="21"/>
      <c r="JY227" s="21"/>
      <c r="JZ227" s="21"/>
      <c r="KA227" s="21"/>
      <c r="KB227" s="21"/>
      <c r="KC227" s="21"/>
      <c r="KD227" s="21"/>
      <c r="KE227" s="21"/>
      <c r="KF227" s="21"/>
      <c r="KG227" s="21"/>
      <c r="KH227" s="21"/>
    </row>
    <row r="228" spans="1:294" x14ac:dyDescent="0.25">
      <c r="A228" s="9"/>
      <c r="B228" s="9"/>
      <c r="C228" s="9"/>
      <c r="D228" s="9"/>
      <c r="E228" s="9"/>
      <c r="F228" s="17"/>
      <c r="G228" s="9"/>
      <c r="H228" s="9"/>
      <c r="I228" s="9"/>
      <c r="J228" s="9"/>
      <c r="K228" s="9"/>
      <c r="L228" s="6"/>
      <c r="M228" s="11"/>
      <c r="N228" s="11"/>
      <c r="O228" s="11"/>
      <c r="P228" s="34"/>
      <c r="Q228" s="34"/>
      <c r="R228" s="35"/>
      <c r="S228" s="34"/>
      <c r="T228" s="34">
        <f>SUM(T206:T227)</f>
        <v>0</v>
      </c>
      <c r="U228" s="34">
        <f>SUM(U206:U227)</f>
        <v>0</v>
      </c>
      <c r="V228" s="21"/>
      <c r="W228" s="21"/>
      <c r="X228" s="21"/>
      <c r="Y228" s="20"/>
      <c r="Z228" s="20">
        <f t="shared" si="101"/>
        <v>0</v>
      </c>
      <c r="AA228" s="20">
        <f t="shared" si="102"/>
        <v>0</v>
      </c>
      <c r="AB228" s="20">
        <f t="shared" si="103"/>
        <v>0</v>
      </c>
      <c r="AC228" s="21"/>
      <c r="AD22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208,$HW$106:$IQ$106,0),MATCH($E$206,$X$109:$X$126,0)))*C208</f>
        <v>0</v>
      </c>
      <c r="AE22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208,$HW$106:$IQ$106,0),MATCH($E$206,$X$109:$X$126,0)))*C208</f>
        <v>0</v>
      </c>
      <c r="AF22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208,$HW$106:$IQ$106,0),MATCH($E$206,$X$109:$X$126,0)))*C208</f>
        <v>0</v>
      </c>
      <c r="AG228" s="21"/>
      <c r="AH22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235,$IT$106:$JN$106,0),MATCH($E$233,$X$109:$X$126,0))*C235</f>
        <v>0</v>
      </c>
      <c r="AI22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235,$IT$106:$JN$106,0),MATCH($E$233,$X$109:$X$126,0))*C235</f>
        <v>0</v>
      </c>
      <c r="AJ22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235,$IT$106:$JN$106,0),MATCH($E$233,$X$109:$X$126,0))*C235</f>
        <v>0</v>
      </c>
      <c r="AK228" s="21"/>
      <c r="AL228" s="21"/>
      <c r="AM228" s="21"/>
      <c r="AN228" s="21"/>
      <c r="AO228" s="21"/>
      <c r="AP228" s="21"/>
      <c r="AQ228" s="21"/>
      <c r="AR228" s="21"/>
      <c r="AS228" s="21"/>
      <c r="AT228" s="21"/>
      <c r="AU228" s="21"/>
      <c r="AV228" s="21"/>
      <c r="AW228" s="21"/>
      <c r="AX228" s="21"/>
      <c r="AY228" s="21"/>
      <c r="AZ228" s="21"/>
      <c r="BA228" s="21"/>
      <c r="BB228" s="21"/>
      <c r="BC228" s="21"/>
      <c r="BD228" s="21"/>
      <c r="BE228" s="21"/>
      <c r="BF228" s="21"/>
      <c r="BG228" s="21"/>
      <c r="BH228" s="21"/>
      <c r="BI228" s="21"/>
      <c r="BJ228" s="21"/>
      <c r="BK228" s="21"/>
      <c r="BL228" s="21"/>
      <c r="BM228" s="21"/>
      <c r="BN228" s="21"/>
      <c r="BO228" s="21"/>
      <c r="BP228" s="21"/>
      <c r="BQ228" s="21"/>
      <c r="BR228" s="21"/>
      <c r="BS228" s="21"/>
      <c r="BT228" s="21"/>
      <c r="BU228" s="21"/>
      <c r="BV228" s="21"/>
      <c r="BW228" s="21"/>
      <c r="BX228" s="21"/>
      <c r="BY228" s="21"/>
      <c r="BZ228" s="21"/>
      <c r="CA228" s="21"/>
      <c r="CB228" s="21"/>
      <c r="CC228" s="21"/>
      <c r="CD228" s="21"/>
      <c r="CE228" s="21"/>
      <c r="CF228" s="21"/>
      <c r="CG228" s="21"/>
      <c r="CH228" s="21"/>
      <c r="CI228" s="21"/>
      <c r="CJ228" s="21"/>
      <c r="CK228" s="21"/>
      <c r="CL228" s="21"/>
      <c r="CM228" s="21"/>
      <c r="CN228" s="21"/>
      <c r="CO228" s="21"/>
      <c r="CP228" s="21"/>
      <c r="CQ228" s="21"/>
      <c r="CR228" s="21"/>
      <c r="CS228" s="21"/>
      <c r="CT228" s="21"/>
      <c r="CU228" s="21"/>
      <c r="CV228" s="21"/>
      <c r="CW228" s="21"/>
      <c r="CX228" s="21"/>
      <c r="CY228" s="21"/>
      <c r="CZ228" s="21"/>
      <c r="DA228" s="21"/>
      <c r="DB228" s="21"/>
      <c r="DC228" s="21"/>
      <c r="DD228" s="21"/>
      <c r="DE228" s="21"/>
      <c r="DF228" s="21"/>
      <c r="DG228" s="21"/>
      <c r="DH228" s="21"/>
      <c r="DI228" s="21"/>
      <c r="DJ228" s="21"/>
      <c r="DK228" s="21"/>
      <c r="DL228" s="21"/>
      <c r="DM228" s="21"/>
      <c r="DN228" s="21"/>
      <c r="DO228" s="21"/>
      <c r="DP228" s="21"/>
      <c r="DQ228" s="21"/>
      <c r="DR228" s="21"/>
      <c r="DS228" s="21"/>
      <c r="DT228" s="21"/>
      <c r="DU228" s="21"/>
      <c r="DV228" s="21"/>
      <c r="DW228" s="21"/>
      <c r="DX228" s="21"/>
      <c r="DY228" s="21"/>
      <c r="DZ228" s="87"/>
      <c r="EA228" s="87"/>
      <c r="EB228" s="87"/>
      <c r="EC228" s="21"/>
      <c r="ED228" s="21"/>
      <c r="EE228" s="21"/>
      <c r="EF228" s="21"/>
      <c r="EG228" s="21"/>
      <c r="EH228" s="21"/>
      <c r="EI228" s="21"/>
      <c r="EJ228" s="21"/>
      <c r="EK228" s="21"/>
      <c r="EL228" s="21"/>
      <c r="EM228" s="21"/>
      <c r="EN228" s="21"/>
      <c r="EO228" s="21"/>
      <c r="EP228" s="21"/>
      <c r="EQ228" s="21"/>
      <c r="ER228" s="21"/>
      <c r="ES228" s="21"/>
      <c r="ET228" s="21"/>
      <c r="EU228" s="21"/>
      <c r="EV228" s="21"/>
      <c r="EW228" s="21"/>
      <c r="EX228" s="21"/>
      <c r="EY228" s="21"/>
      <c r="EZ228" s="21"/>
      <c r="FA228" s="21"/>
      <c r="FB228" s="21"/>
      <c r="FC228" s="21"/>
      <c r="FD228" s="21"/>
      <c r="FE228" s="21"/>
      <c r="FF228" s="21"/>
      <c r="FG228" s="21"/>
      <c r="FH228" s="21"/>
      <c r="FI228" s="21"/>
      <c r="FJ228" s="21"/>
      <c r="FK228" s="21"/>
      <c r="FL228" s="21"/>
      <c r="FM228" s="21"/>
      <c r="FN228" s="21"/>
      <c r="FO228" s="21"/>
      <c r="FP228" s="21"/>
      <c r="FQ228" s="21"/>
      <c r="FR228" s="21"/>
      <c r="FS228" s="21"/>
      <c r="FT228" s="21"/>
      <c r="FU228" s="21"/>
      <c r="FV228" s="21"/>
      <c r="FW228" s="21"/>
      <c r="FX228" s="21"/>
      <c r="FY228" s="21"/>
      <c r="FZ228" s="21"/>
      <c r="GA228" s="21"/>
      <c r="GB228" s="21"/>
      <c r="GC228" s="21"/>
      <c r="GD228" s="21"/>
      <c r="GE228" s="21"/>
      <c r="GF228" s="21"/>
      <c r="GG228" s="21"/>
      <c r="GH228" s="21"/>
      <c r="GI228" s="21"/>
      <c r="GJ228" s="21"/>
      <c r="GK228" s="21"/>
      <c r="GL228" s="21"/>
      <c r="GM228" s="21"/>
      <c r="GN228" s="21"/>
      <c r="GO228" s="21"/>
      <c r="GP228" s="21"/>
      <c r="GQ228" s="21"/>
      <c r="GR228" s="21"/>
      <c r="GS228" s="21"/>
      <c r="GT228" s="21"/>
      <c r="GU228" s="21"/>
      <c r="GV228" s="21"/>
      <c r="GW228" s="21"/>
      <c r="GX228" s="21"/>
      <c r="GY228" s="21"/>
      <c r="GZ228" s="21"/>
      <c r="HA228" s="21"/>
      <c r="HB228" s="21"/>
      <c r="HC228" s="21"/>
      <c r="HD228" s="21"/>
      <c r="HE228" s="21"/>
      <c r="HF228" s="21"/>
      <c r="HG228" s="21"/>
      <c r="HH228" s="21"/>
      <c r="HI228" s="21"/>
      <c r="HJ228" s="21"/>
      <c r="HK228" s="21"/>
      <c r="HL228" s="21"/>
      <c r="HM228" s="21"/>
      <c r="HN228" s="21"/>
      <c r="HO228" s="21"/>
      <c r="HP228" s="21"/>
      <c r="HQ228" s="21"/>
      <c r="HR228" s="21"/>
      <c r="HS228" s="21"/>
      <c r="HT228" s="21"/>
      <c r="HU228" s="21"/>
      <c r="HV228" s="186"/>
      <c r="HW228" s="21"/>
      <c r="HX228" s="21"/>
      <c r="HY228" s="21"/>
      <c r="HZ228" s="21"/>
      <c r="IA228" s="21"/>
      <c r="IB228" s="21"/>
      <c r="IC228" s="21"/>
      <c r="ID228" s="21"/>
      <c r="IE228" s="21"/>
      <c r="IF228" s="21"/>
      <c r="IG228" s="21"/>
      <c r="IH228" s="21"/>
      <c r="II228" s="21"/>
      <c r="IJ228" s="21"/>
      <c r="IK228" s="21"/>
      <c r="IL228" s="21"/>
      <c r="IM228" s="21"/>
      <c r="IN228" s="21"/>
      <c r="IO228" s="21"/>
      <c r="IP228" s="21"/>
      <c r="IQ228" s="21"/>
      <c r="IR228" s="21"/>
      <c r="IS228" s="21"/>
      <c r="IT228" s="21"/>
      <c r="IU228" s="21"/>
      <c r="IV228" s="21"/>
      <c r="IW228" s="21"/>
      <c r="IX228" s="21"/>
      <c r="IY228" s="21"/>
      <c r="IZ228" s="21"/>
      <c r="JA228" s="21"/>
      <c r="JB228" s="21"/>
      <c r="JC228" s="21"/>
      <c r="JD228" s="21"/>
      <c r="JE228" s="21"/>
      <c r="JF228" s="21"/>
      <c r="JG228" s="21"/>
      <c r="JH228" s="21"/>
      <c r="JI228" s="21"/>
      <c r="JJ228" s="21"/>
      <c r="JK228" s="21"/>
      <c r="JL228" s="21"/>
      <c r="JM228" s="21"/>
      <c r="JN228" s="21"/>
      <c r="JO228" s="21"/>
      <c r="JP228" s="21"/>
      <c r="JQ228" s="21"/>
      <c r="JR228" s="21"/>
      <c r="JS228" s="21"/>
      <c r="JT228" s="21"/>
      <c r="JU228" s="21"/>
      <c r="JV228" s="21"/>
      <c r="JW228" s="21"/>
      <c r="JX228" s="21"/>
      <c r="JY228" s="21"/>
      <c r="JZ228" s="21"/>
      <c r="KA228" s="21"/>
      <c r="KB228" s="21"/>
      <c r="KC228" s="21"/>
      <c r="KD228" s="21"/>
      <c r="KE228" s="21"/>
      <c r="KF228" s="21"/>
      <c r="KG228" s="21"/>
      <c r="KH228" s="21"/>
    </row>
    <row r="229" spans="1:294" x14ac:dyDescent="0.25">
      <c r="A229" s="9"/>
      <c r="B229" s="9"/>
      <c r="C229" s="9"/>
      <c r="D229" s="9"/>
      <c r="E229" s="9"/>
      <c r="F229" s="17"/>
      <c r="G229" s="68"/>
      <c r="H229" s="9"/>
      <c r="I229" s="9"/>
      <c r="J229" s="9"/>
      <c r="K229" s="9"/>
      <c r="L229" s="6"/>
      <c r="M229" s="11"/>
      <c r="N229" s="11"/>
      <c r="O229" s="11"/>
      <c r="P229" s="34"/>
      <c r="Q229" s="34"/>
      <c r="R229" s="35"/>
      <c r="S229" s="34"/>
      <c r="T229" s="34"/>
      <c r="U229" s="34"/>
      <c r="V229" s="21"/>
      <c r="W229" s="21"/>
      <c r="X229" s="21"/>
      <c r="Y229" s="20"/>
      <c r="Z229" s="20">
        <f t="shared" si="101"/>
        <v>0</v>
      </c>
      <c r="AA229" s="20">
        <f t="shared" si="102"/>
        <v>0</v>
      </c>
      <c r="AB229" s="20">
        <f t="shared" si="103"/>
        <v>0</v>
      </c>
      <c r="AC229" s="21"/>
      <c r="AD22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209,$HW$106:$IQ$106,0),MATCH($E$206,$X$109:$X$126,0)))*C209</f>
        <v>0</v>
      </c>
      <c r="AE22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209,$HW$106:$IQ$106,0),MATCH($E$206,$X$109:$X$126,0)))*C209</f>
        <v>0</v>
      </c>
      <c r="AF22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209,$HW$106:$IQ$106,0),MATCH($E$206,$X$109:$X$126,0)))*C209</f>
        <v>0</v>
      </c>
      <c r="AG229" s="21"/>
      <c r="AH22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236,$IT$106:$JN$106,0),MATCH($E$233,$X$109:$X$126,0))*C236</f>
        <v>0</v>
      </c>
      <c r="AI22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236,$IT$106:$JN$106,0),MATCH($E$233,$X$109:$X$126,0))*C236</f>
        <v>0</v>
      </c>
      <c r="AJ22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236,$IT$106:$JN$106,0),MATCH($E$233,$X$109:$X$126,0))*C236</f>
        <v>0</v>
      </c>
      <c r="AK229" s="21"/>
      <c r="AL229" s="21"/>
      <c r="AM229" s="21"/>
      <c r="AN229" s="21"/>
      <c r="AO229" s="21"/>
      <c r="AP229" s="21"/>
      <c r="AQ229" s="21"/>
      <c r="AR229" s="21"/>
      <c r="AS229" s="21"/>
      <c r="AT229" s="21"/>
      <c r="AU229" s="21"/>
      <c r="AV229" s="21"/>
      <c r="AW229" s="21"/>
      <c r="AX229" s="21"/>
      <c r="AY229" s="21"/>
      <c r="AZ229" s="21"/>
      <c r="BA229" s="21"/>
      <c r="BB229" s="21"/>
      <c r="BC229" s="21"/>
      <c r="BD229" s="21"/>
      <c r="BE229" s="21"/>
      <c r="BF229" s="21"/>
      <c r="BG229" s="21"/>
      <c r="BH229" s="21"/>
      <c r="BI229" s="21"/>
      <c r="BJ229" s="21"/>
      <c r="BK229" s="21"/>
      <c r="BL229" s="21"/>
      <c r="BM229" s="21"/>
      <c r="BN229" s="21"/>
      <c r="BO229" s="21"/>
      <c r="BP229" s="21"/>
      <c r="BQ229" s="21"/>
      <c r="BR229" s="21"/>
      <c r="BS229" s="21"/>
      <c r="BT229" s="21"/>
      <c r="BU229" s="21"/>
      <c r="BV229" s="21"/>
      <c r="BW229" s="21"/>
      <c r="BX229" s="21"/>
      <c r="BY229" s="21"/>
      <c r="BZ229" s="21"/>
      <c r="CA229" s="21"/>
      <c r="CB229" s="21"/>
      <c r="CC229" s="21"/>
      <c r="CD229" s="21"/>
      <c r="CE229" s="21"/>
      <c r="CF229" s="21"/>
      <c r="CG229" s="21"/>
      <c r="CH229" s="21"/>
      <c r="CI229" s="21"/>
      <c r="CJ229" s="21"/>
      <c r="CK229" s="21"/>
      <c r="CL229" s="21"/>
      <c r="CM229" s="21"/>
      <c r="CN229" s="21"/>
      <c r="CO229" s="21"/>
      <c r="CP229" s="21"/>
      <c r="CQ229" s="21"/>
      <c r="CR229" s="21"/>
      <c r="CS229" s="21"/>
      <c r="CT229" s="21"/>
      <c r="CU229" s="21"/>
      <c r="CV229" s="21"/>
      <c r="CW229" s="21"/>
      <c r="CX229" s="21"/>
      <c r="CY229" s="21"/>
      <c r="CZ229" s="21"/>
      <c r="DA229" s="21"/>
      <c r="DB229" s="21"/>
      <c r="DC229" s="21"/>
      <c r="DD229" s="21"/>
      <c r="DE229" s="21"/>
      <c r="DF229" s="21"/>
      <c r="DG229" s="21"/>
      <c r="DH229" s="21"/>
      <c r="DI229" s="21"/>
      <c r="DJ229" s="21"/>
      <c r="DK229" s="21"/>
      <c r="DL229" s="21"/>
      <c r="DM229" s="21"/>
      <c r="DN229" s="21"/>
      <c r="DO229" s="21"/>
      <c r="DP229" s="21"/>
      <c r="DQ229" s="21"/>
      <c r="DR229" s="21"/>
      <c r="DS229" s="21"/>
      <c r="DT229" s="21"/>
      <c r="DU229" s="21"/>
      <c r="DV229" s="21"/>
      <c r="DW229" s="21"/>
      <c r="DX229" s="21"/>
      <c r="DY229" s="21"/>
      <c r="DZ229" s="87"/>
      <c r="EA229" s="87"/>
      <c r="EB229" s="87"/>
      <c r="EC229" s="21"/>
      <c r="ED229" s="21"/>
      <c r="EE229" s="21"/>
      <c r="EF229" s="21"/>
      <c r="EG229" s="21"/>
      <c r="EH229" s="21"/>
      <c r="EI229" s="21"/>
      <c r="EJ229" s="21"/>
      <c r="EK229" s="21"/>
      <c r="EL229" s="21"/>
      <c r="EM229" s="21"/>
      <c r="EN229" s="21"/>
      <c r="EO229" s="21"/>
      <c r="EP229" s="21"/>
      <c r="EQ229" s="21"/>
      <c r="ER229" s="21"/>
      <c r="ES229" s="21"/>
      <c r="ET229" s="21"/>
      <c r="EU229" s="21"/>
      <c r="EV229" s="21"/>
      <c r="EW229" s="21"/>
      <c r="EX229" s="21"/>
      <c r="EY229" s="21"/>
      <c r="EZ229" s="21"/>
      <c r="FA229" s="21"/>
      <c r="FB229" s="21"/>
      <c r="FC229" s="21"/>
      <c r="FD229" s="21"/>
      <c r="FE229" s="21"/>
      <c r="FF229" s="21"/>
      <c r="FG229" s="21"/>
      <c r="FH229" s="21"/>
      <c r="FI229" s="21"/>
      <c r="FJ229" s="21"/>
      <c r="FK229" s="21"/>
      <c r="FL229" s="21"/>
      <c r="FM229" s="21"/>
      <c r="FN229" s="21"/>
      <c r="FO229" s="21"/>
      <c r="FP229" s="21"/>
      <c r="FQ229" s="21"/>
      <c r="FR229" s="21"/>
      <c r="FS229" s="21"/>
      <c r="FT229" s="21"/>
      <c r="FU229" s="21"/>
      <c r="FV229" s="21"/>
      <c r="FW229" s="21"/>
      <c r="FX229" s="21"/>
      <c r="FY229" s="21"/>
      <c r="FZ229" s="21"/>
      <c r="GA229" s="21" t="s">
        <v>137</v>
      </c>
      <c r="GB229" s="20"/>
      <c r="GC229" s="20"/>
      <c r="GD229" s="20"/>
      <c r="GE229" s="20"/>
      <c r="GF229" s="20"/>
      <c r="GG229" s="20"/>
      <c r="GH229" s="20"/>
      <c r="GI229" s="20"/>
      <c r="GJ229" s="20"/>
      <c r="GK229" s="20"/>
      <c r="GL229" s="20"/>
      <c r="GM229" s="20"/>
      <c r="GN229" s="20"/>
      <c r="GO229" s="20"/>
      <c r="GP229" s="20"/>
      <c r="GQ229" s="20"/>
      <c r="GR229" s="20"/>
      <c r="GS229" s="20"/>
      <c r="GT229" s="20"/>
      <c r="GU229" s="20"/>
      <c r="GV229" s="20"/>
      <c r="GW229" s="21"/>
      <c r="GX229" s="21"/>
      <c r="GY229" s="21"/>
      <c r="GZ229" s="21"/>
      <c r="HA229" s="21"/>
      <c r="HB229" s="21"/>
      <c r="HC229" s="21"/>
      <c r="HD229" s="21"/>
      <c r="HE229" s="21"/>
      <c r="HF229" s="21"/>
      <c r="HG229" s="21"/>
      <c r="HH229" s="21"/>
      <c r="HI229" s="21"/>
      <c r="HJ229" s="21"/>
      <c r="HK229" s="21"/>
      <c r="HL229" s="21"/>
      <c r="HM229" s="21"/>
      <c r="HN229" s="21"/>
      <c r="HO229" s="21"/>
      <c r="HP229" s="21"/>
      <c r="HQ229" s="21"/>
      <c r="HR229" s="21"/>
      <c r="HS229" s="21"/>
      <c r="HT229" s="21"/>
      <c r="HU229" s="21"/>
      <c r="HV229" s="186"/>
      <c r="HW229" s="21"/>
      <c r="HX229" s="21"/>
      <c r="HY229" s="21"/>
      <c r="HZ229" s="21"/>
      <c r="IA229" s="21"/>
      <c r="IB229" s="21"/>
      <c r="IC229" s="21"/>
      <c r="ID229" s="21"/>
      <c r="IE229" s="21"/>
      <c r="IF229" s="21"/>
      <c r="IG229" s="21"/>
      <c r="IH229" s="21"/>
      <c r="II229" s="21"/>
      <c r="IJ229" s="21"/>
      <c r="IK229" s="21"/>
      <c r="IL229" s="21"/>
      <c r="IM229" s="21"/>
      <c r="IN229" s="21"/>
      <c r="IO229" s="21"/>
      <c r="IP229" s="21"/>
      <c r="IQ229" s="21"/>
      <c r="IR229" s="21"/>
      <c r="IS229" s="21"/>
      <c r="IT229" s="21"/>
      <c r="IU229" s="21"/>
      <c r="IV229" s="21"/>
      <c r="IW229" s="21"/>
      <c r="IX229" s="21"/>
      <c r="IY229" s="21"/>
      <c r="IZ229" s="21"/>
      <c r="JA229" s="21"/>
      <c r="JB229" s="21"/>
      <c r="JC229" s="21"/>
      <c r="JD229" s="21"/>
      <c r="JE229" s="21"/>
      <c r="JF229" s="21"/>
      <c r="JG229" s="21"/>
      <c r="JH229" s="21"/>
      <c r="JI229" s="21"/>
      <c r="JJ229" s="21"/>
      <c r="JK229" s="21"/>
      <c r="JL229" s="21"/>
      <c r="JM229" s="21"/>
      <c r="JN229" s="21"/>
      <c r="JO229" s="21"/>
      <c r="JP229" s="21"/>
      <c r="JQ229" s="21"/>
      <c r="JR229" s="21"/>
      <c r="JS229" s="21"/>
      <c r="JT229" s="21"/>
      <c r="JU229" s="21"/>
      <c r="JV229" s="21"/>
      <c r="JW229" s="21"/>
      <c r="JX229" s="21"/>
      <c r="JY229" s="21"/>
      <c r="JZ229" s="21"/>
      <c r="KA229" s="21"/>
      <c r="KB229" s="21"/>
      <c r="KC229" s="21"/>
      <c r="KD229" s="21"/>
      <c r="KE229" s="21"/>
      <c r="KF229" s="21"/>
      <c r="KG229" s="21"/>
      <c r="KH229" s="21"/>
    </row>
    <row r="230" spans="1:294" x14ac:dyDescent="0.25">
      <c r="A230" s="9"/>
      <c r="B230" s="9"/>
      <c r="C230" s="9"/>
      <c r="D230" s="9"/>
      <c r="E230" s="9"/>
      <c r="F230" s="17"/>
      <c r="G230" s="9"/>
      <c r="H230" s="9"/>
      <c r="I230" s="9"/>
      <c r="J230" s="9"/>
      <c r="K230" s="9"/>
      <c r="L230" s="9"/>
      <c r="M230" s="9"/>
      <c r="N230" s="9"/>
      <c r="O230" s="9"/>
      <c r="P230" s="9"/>
      <c r="Q230" s="9"/>
      <c r="R230" s="9"/>
      <c r="S230" s="9"/>
      <c r="T230" s="1"/>
      <c r="U230" s="34"/>
      <c r="V230" s="21"/>
      <c r="W230" s="21"/>
      <c r="X230" s="21"/>
      <c r="Y230" s="20"/>
      <c r="Z230" s="20">
        <f t="shared" si="101"/>
        <v>0</v>
      </c>
      <c r="AA230" s="20">
        <f t="shared" si="102"/>
        <v>0</v>
      </c>
      <c r="AB230" s="20">
        <f t="shared" si="103"/>
        <v>0</v>
      </c>
      <c r="AC230" s="21"/>
      <c r="AD23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210,$HW$106:$IQ$106,0),MATCH($E$206,$X$109:$X$126,0)))*C210</f>
        <v>0</v>
      </c>
      <c r="AE23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210,$HW$106:$IQ$106,0),MATCH($E$206,$X$109:$X$126,0)))*C210</f>
        <v>0</v>
      </c>
      <c r="AF23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210,$HW$106:$IQ$106,0),MATCH($E$206,$X$109:$X$126,0)))*C210</f>
        <v>0</v>
      </c>
      <c r="AG230" s="21"/>
      <c r="AH23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237,$IT$106:$JN$106,0),MATCH($E$233,$X$109:$X$126,0))*C237</f>
        <v>0</v>
      </c>
      <c r="AI23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237,$IT$106:$JN$106,0),MATCH($E$233,$X$109:$X$126,0))*C237</f>
        <v>0</v>
      </c>
      <c r="AJ23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237,$IT$106:$JN$106,0),MATCH($E$233,$X$109:$X$126,0))*C237</f>
        <v>0</v>
      </c>
      <c r="AK230" s="21"/>
      <c r="AL230" s="21"/>
      <c r="AM230" s="21"/>
      <c r="AN230" s="21"/>
      <c r="AO230" s="21"/>
      <c r="AP230" s="21"/>
      <c r="AQ230" s="21"/>
      <c r="AR230" s="21"/>
      <c r="AS230" s="21"/>
      <c r="AT230" s="21"/>
      <c r="AU230" s="21"/>
      <c r="AV230" s="21"/>
      <c r="AW230" s="21"/>
      <c r="AX230" s="21"/>
      <c r="AY230" s="21"/>
      <c r="AZ230" s="21"/>
      <c r="BA230" s="21"/>
      <c r="BB230" s="21"/>
      <c r="BC230" s="21"/>
      <c r="BD230" s="21"/>
      <c r="BE230" s="21"/>
      <c r="BF230" s="21"/>
      <c r="BG230" s="21"/>
      <c r="BH230" s="21"/>
      <c r="BI230" s="21"/>
      <c r="BJ230" s="21"/>
      <c r="BK230" s="21"/>
      <c r="BL230" s="21"/>
      <c r="BM230" s="21"/>
      <c r="BN230" s="21"/>
      <c r="BO230" s="21"/>
      <c r="BP230" s="21"/>
      <c r="BQ230" s="21"/>
      <c r="BR230" s="21"/>
      <c r="BS230" s="21"/>
      <c r="BT230" s="21"/>
      <c r="BU230" s="21"/>
      <c r="BV230" s="21"/>
      <c r="BW230" s="21"/>
      <c r="BX230" s="21"/>
      <c r="BY230" s="21"/>
      <c r="BZ230" s="21"/>
      <c r="CA230" s="21"/>
      <c r="CB230" s="21"/>
      <c r="CC230" s="21"/>
      <c r="CD230" s="21"/>
      <c r="CE230" s="21"/>
      <c r="CF230" s="21"/>
      <c r="CG230" s="21"/>
      <c r="CH230" s="21"/>
      <c r="CI230" s="21"/>
      <c r="CJ230" s="21"/>
      <c r="CK230" s="21"/>
      <c r="CL230" s="21"/>
      <c r="CM230" s="21"/>
      <c r="CN230" s="21"/>
      <c r="CO230" s="21"/>
      <c r="CP230" s="21"/>
      <c r="CQ230" s="21"/>
      <c r="CR230" s="21"/>
      <c r="CS230" s="21"/>
      <c r="CT230" s="21"/>
      <c r="CU230" s="21"/>
      <c r="CV230" s="21"/>
      <c r="CW230" s="21"/>
      <c r="CX230" s="21"/>
      <c r="CY230" s="21"/>
      <c r="CZ230" s="21"/>
      <c r="DA230" s="21"/>
      <c r="DB230" s="21"/>
      <c r="DC230" s="21"/>
      <c r="DD230" s="21"/>
      <c r="DE230" s="21"/>
      <c r="DF230" s="21"/>
      <c r="DG230" s="21"/>
      <c r="DH230" s="21"/>
      <c r="DI230" s="21"/>
      <c r="DJ230" s="21"/>
      <c r="DK230" s="21"/>
      <c r="DL230" s="21"/>
      <c r="DM230" s="21"/>
      <c r="DN230" s="21"/>
      <c r="DO230" s="21"/>
      <c r="DP230" s="21"/>
      <c r="DQ230" s="21"/>
      <c r="DR230" s="21"/>
      <c r="DS230" s="21"/>
      <c r="DT230" s="21"/>
      <c r="DU230" s="21"/>
      <c r="DV230" s="21"/>
      <c r="DW230" s="21"/>
      <c r="DX230" s="21"/>
      <c r="DY230" s="21"/>
      <c r="DZ230" s="87"/>
      <c r="EA230" s="87"/>
      <c r="EB230" s="87"/>
      <c r="EC230" s="21"/>
      <c r="ED230" s="21"/>
      <c r="EE230" s="21"/>
      <c r="EF230" s="21"/>
      <c r="EG230" s="21"/>
      <c r="EH230" s="21"/>
      <c r="EI230" s="21"/>
      <c r="EJ230" s="21"/>
      <c r="EK230" s="21"/>
      <c r="EL230" s="21"/>
      <c r="EM230" s="21"/>
      <c r="EN230" s="21"/>
      <c r="EO230" s="21"/>
      <c r="EP230" s="21"/>
      <c r="EQ230" s="21"/>
      <c r="ER230" s="21"/>
      <c r="ES230" s="21"/>
      <c r="ET230" s="21"/>
      <c r="EU230" s="21"/>
      <c r="EV230" s="21"/>
      <c r="EW230" s="21"/>
      <c r="EX230" s="21"/>
      <c r="EY230" s="21"/>
      <c r="EZ230" s="21"/>
      <c r="FA230" s="21"/>
      <c r="FB230" s="21"/>
      <c r="FC230" s="21"/>
      <c r="FD230" s="21"/>
      <c r="FE230" s="21"/>
      <c r="FF230" s="21"/>
      <c r="FG230" s="21"/>
      <c r="FH230" s="21"/>
      <c r="FI230" s="21"/>
      <c r="FJ230" s="21"/>
      <c r="FK230" s="21"/>
      <c r="FL230" s="21"/>
      <c r="FM230" s="21"/>
      <c r="FN230" s="21"/>
      <c r="FO230" s="21"/>
      <c r="FP230" s="21"/>
      <c r="FQ230" s="21"/>
      <c r="FR230" s="21"/>
      <c r="FS230" s="21"/>
      <c r="FT230" s="21"/>
      <c r="FU230" s="21"/>
      <c r="FV230" s="21"/>
      <c r="FW230" s="21"/>
      <c r="FX230" s="21"/>
      <c r="FY230" s="21"/>
      <c r="FZ230" s="21"/>
      <c r="GA230" s="21"/>
      <c r="GB230" s="21">
        <v>0</v>
      </c>
      <c r="GC230" s="21">
        <v>1</v>
      </c>
      <c r="GD230" s="21">
        <v>2</v>
      </c>
      <c r="GE230" s="21">
        <v>3</v>
      </c>
      <c r="GF230" s="21">
        <v>4</v>
      </c>
      <c r="GG230" s="21">
        <v>5</v>
      </c>
      <c r="GH230" s="21">
        <v>6</v>
      </c>
      <c r="GI230" s="21">
        <v>7</v>
      </c>
      <c r="GJ230" s="21">
        <v>8</v>
      </c>
      <c r="GK230" s="21">
        <v>9</v>
      </c>
      <c r="GL230" s="21">
        <v>10</v>
      </c>
      <c r="GM230" s="21">
        <v>11</v>
      </c>
      <c r="GN230" s="21">
        <v>12</v>
      </c>
      <c r="GO230" s="21">
        <v>13</v>
      </c>
      <c r="GP230" s="21">
        <v>14</v>
      </c>
      <c r="GQ230" s="21">
        <v>15</v>
      </c>
      <c r="GR230" s="21">
        <v>16</v>
      </c>
      <c r="GS230" s="21">
        <v>17</v>
      </c>
      <c r="GT230" s="21">
        <v>18</v>
      </c>
      <c r="GU230" s="21">
        <v>19</v>
      </c>
      <c r="GV230" s="21">
        <v>20</v>
      </c>
      <c r="GW230" s="21"/>
      <c r="GX230" s="21"/>
      <c r="GY230" s="21"/>
      <c r="GZ230" s="21"/>
      <c r="HA230" s="21"/>
      <c r="HB230" s="21"/>
      <c r="HC230" s="21"/>
      <c r="HD230" s="21"/>
      <c r="HE230" s="21"/>
      <c r="HF230" s="21"/>
      <c r="HG230" s="21"/>
      <c r="HH230" s="21"/>
      <c r="HI230" s="21"/>
      <c r="HJ230" s="21"/>
      <c r="HK230" s="21"/>
      <c r="HL230" s="21"/>
      <c r="HM230" s="21"/>
      <c r="HN230" s="21"/>
      <c r="HO230" s="21"/>
      <c r="HP230" s="21"/>
      <c r="HQ230" s="21"/>
      <c r="HR230" s="21"/>
      <c r="HS230" s="21"/>
      <c r="HT230" s="21"/>
      <c r="HU230" s="21"/>
      <c r="HV230" s="186"/>
      <c r="HW230" s="21"/>
      <c r="HX230" s="21"/>
      <c r="HY230" s="21"/>
      <c r="HZ230" s="21"/>
      <c r="IA230" s="21"/>
      <c r="IB230" s="21"/>
      <c r="IC230" s="21"/>
      <c r="ID230" s="21"/>
      <c r="IE230" s="21"/>
      <c r="IF230" s="21"/>
      <c r="IG230" s="21"/>
      <c r="IH230" s="21"/>
      <c r="II230" s="21"/>
      <c r="IJ230" s="21"/>
      <c r="IK230" s="21"/>
      <c r="IL230" s="21"/>
      <c r="IM230" s="21"/>
      <c r="IN230" s="21"/>
      <c r="IO230" s="21"/>
      <c r="IP230" s="21"/>
      <c r="IQ230" s="21"/>
      <c r="IR230" s="21"/>
      <c r="IS230" s="21"/>
      <c r="IT230" s="21"/>
      <c r="IU230" s="21"/>
      <c r="IV230" s="21"/>
      <c r="IW230" s="21"/>
      <c r="IX230" s="21"/>
      <c r="IY230" s="21"/>
      <c r="IZ230" s="21"/>
      <c r="JA230" s="21"/>
      <c r="JB230" s="21"/>
      <c r="JC230" s="21"/>
      <c r="JD230" s="21"/>
      <c r="JE230" s="21"/>
      <c r="JF230" s="21"/>
      <c r="JG230" s="21"/>
      <c r="JH230" s="21"/>
      <c r="JI230" s="21"/>
      <c r="JJ230" s="21"/>
      <c r="JK230" s="21"/>
      <c r="JL230" s="21"/>
      <c r="JM230" s="21"/>
      <c r="JN230" s="21"/>
      <c r="JO230" s="21"/>
      <c r="JP230" s="21"/>
      <c r="JQ230" s="21"/>
      <c r="JR230" s="21"/>
      <c r="JS230" s="21"/>
      <c r="JT230" s="21"/>
      <c r="JU230" s="21"/>
      <c r="JV230" s="21"/>
      <c r="JW230" s="21"/>
      <c r="JX230" s="21"/>
      <c r="JY230" s="21"/>
      <c r="JZ230" s="21"/>
      <c r="KA230" s="21"/>
      <c r="KB230" s="21"/>
      <c r="KC230" s="21"/>
      <c r="KD230" s="21"/>
      <c r="KE230" s="21"/>
      <c r="KF230" s="21"/>
      <c r="KG230" s="21"/>
      <c r="KH230" s="21"/>
    </row>
    <row r="231" spans="1:294" ht="64.5" x14ac:dyDescent="0.25">
      <c r="A231" s="3" t="s">
        <v>410</v>
      </c>
      <c r="B231" s="3"/>
      <c r="C231" s="3" t="s">
        <v>121</v>
      </c>
      <c r="D231" s="9"/>
      <c r="E231" s="9"/>
      <c r="F231" s="9"/>
      <c r="G231" s="9"/>
      <c r="H231" s="9"/>
      <c r="I231" s="9"/>
      <c r="J231" s="9"/>
      <c r="K231" s="9"/>
      <c r="L231" s="360" t="str">
        <f>IF(E234=$Z$104,"KONSTRUKCJA DP-DTHBN-WSCHÓD/ZACHÓD",IF(E234=$Z$105,"KONSTRUKCJA DP-DTHKN-WSCHÓD/ZACHÓD",IF(E234=$Z$106,"KONSTRUKCJA DP-DTHWN-WSCHÓD/ZACHÓD",IF(E234=$Z$107,"KONSTRUKCJA DP-DTHKSN-WSCHÓD/ZACHÓD"))))</f>
        <v>KONSTRUKCJA DP-DTHBN-WSCHÓD/ZACHÓD</v>
      </c>
      <c r="M231" s="360"/>
      <c r="N231" s="360"/>
      <c r="O231" s="360"/>
      <c r="P231" s="360"/>
      <c r="Q231" s="360"/>
      <c r="R231" s="360"/>
      <c r="S231" s="360"/>
      <c r="T231" s="360"/>
      <c r="U231" s="360"/>
      <c r="V231" s="21"/>
      <c r="W231" s="21"/>
      <c r="X231" s="21"/>
      <c r="Y231" s="20"/>
      <c r="Z231" s="20">
        <f t="shared" si="101"/>
        <v>0</v>
      </c>
      <c r="AA231" s="20">
        <f t="shared" si="102"/>
        <v>0</v>
      </c>
      <c r="AB231" s="20">
        <f t="shared" si="103"/>
        <v>0</v>
      </c>
      <c r="AC231" s="21"/>
      <c r="AD231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211,$HW$106:$IQ$106,0),MATCH($E$206,$X$109:$X$126,0)))*C211</f>
        <v>0</v>
      </c>
      <c r="AE231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211,$HW$106:$IQ$106,0),MATCH($E$206,$X$109:$X$126,0)))*C211</f>
        <v>0</v>
      </c>
      <c r="AF231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211,$HW$106:$IQ$106,0),MATCH($E$206,$X$109:$X$126,0)))*C211</f>
        <v>0</v>
      </c>
      <c r="AG231" s="21"/>
      <c r="AH231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238,$IT$106:$JN$106,0),MATCH($E$233,$X$109:$X$126,0))*C238</f>
        <v>0</v>
      </c>
      <c r="AI231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238,$IT$106:$JN$106,0),MATCH($E$233,$X$109:$X$126,0))*C238</f>
        <v>0</v>
      </c>
      <c r="AJ231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238,$IT$106:$JN$106,0),MATCH($E$233,$X$109:$X$126,0))*C238</f>
        <v>0</v>
      </c>
      <c r="AK231" s="21"/>
      <c r="AL231" s="21"/>
      <c r="AM231" s="21"/>
      <c r="AN231" s="21"/>
      <c r="AO231" s="21"/>
      <c r="AP231" s="21"/>
      <c r="AQ231" s="21"/>
      <c r="AR231" s="21"/>
      <c r="AS231" s="21"/>
      <c r="AT231" s="21"/>
      <c r="AU231" s="21"/>
      <c r="AV231" s="21"/>
      <c r="AW231" s="21"/>
      <c r="AX231" s="21"/>
      <c r="AY231" s="21"/>
      <c r="AZ231" s="21"/>
      <c r="BA231" s="21"/>
      <c r="BB231" s="21"/>
      <c r="BC231" s="21"/>
      <c r="BD231" s="21"/>
      <c r="BE231" s="21"/>
      <c r="BF231" s="21"/>
      <c r="BG231" s="21"/>
      <c r="BH231" s="21"/>
      <c r="BI231" s="21"/>
      <c r="BJ231" s="21"/>
      <c r="BK231" s="21"/>
      <c r="BL231" s="21"/>
      <c r="BM231" s="21"/>
      <c r="BN231" s="21"/>
      <c r="BO231" s="21"/>
      <c r="BP231" s="21"/>
      <c r="BQ231" s="21"/>
      <c r="BR231" s="21"/>
      <c r="BS231" s="21"/>
      <c r="BT231" s="21"/>
      <c r="BU231" s="21"/>
      <c r="BV231" s="21"/>
      <c r="BW231" s="21"/>
      <c r="BX231" s="21"/>
      <c r="BY231" s="21"/>
      <c r="BZ231" s="21"/>
      <c r="CA231" s="21"/>
      <c r="CB231" s="21"/>
      <c r="CC231" s="21"/>
      <c r="CD231" s="21"/>
      <c r="CE231" s="21"/>
      <c r="CF231" s="21"/>
      <c r="CG231" s="21"/>
      <c r="CH231" s="21"/>
      <c r="CI231" s="21"/>
      <c r="CJ231" s="21"/>
      <c r="CK231" s="21"/>
      <c r="CL231" s="21"/>
      <c r="CM231" s="21"/>
      <c r="CN231" s="21"/>
      <c r="CO231" s="21"/>
      <c r="CP231" s="21"/>
      <c r="CQ231" s="21"/>
      <c r="CR231" s="21"/>
      <c r="CS231" s="21"/>
      <c r="CT231" s="21"/>
      <c r="CU231" s="21"/>
      <c r="CV231" s="21"/>
      <c r="CW231" s="21"/>
      <c r="CX231" s="21"/>
      <c r="CY231" s="21"/>
      <c r="CZ231" s="21"/>
      <c r="DA231" s="21"/>
      <c r="DB231" s="21"/>
      <c r="DC231" s="21"/>
      <c r="DD231" s="21"/>
      <c r="DE231" s="21"/>
      <c r="DF231" s="21"/>
      <c r="DG231" s="21"/>
      <c r="DH231" s="21"/>
      <c r="DI231" s="21"/>
      <c r="DJ231" s="21"/>
      <c r="DK231" s="21"/>
      <c r="DL231" s="21"/>
      <c r="DM231" s="21"/>
      <c r="DN231" s="21"/>
      <c r="DO231" s="21"/>
      <c r="DP231" s="21"/>
      <c r="DQ231" s="21"/>
      <c r="DR231" s="21"/>
      <c r="DS231" s="21"/>
      <c r="DT231" s="21"/>
      <c r="DU231" s="21"/>
      <c r="DV231" s="21"/>
      <c r="DW231" s="21"/>
      <c r="DX231" s="21"/>
      <c r="DY231" s="21"/>
      <c r="DZ231" s="87"/>
      <c r="EA231" s="87"/>
      <c r="EB231" s="87"/>
      <c r="EC231" s="21"/>
      <c r="ED231" s="21"/>
      <c r="EE231" s="21"/>
      <c r="EF231" s="21"/>
      <c r="EG231" s="21"/>
      <c r="EH231" s="21"/>
      <c r="EI231" s="21"/>
      <c r="EJ231" s="21"/>
      <c r="EK231" s="21"/>
      <c r="EL231" s="21"/>
      <c r="EM231" s="21"/>
      <c r="EN231" s="21"/>
      <c r="EO231" s="21"/>
      <c r="EP231" s="21"/>
      <c r="EQ231" s="21"/>
      <c r="ER231" s="21"/>
      <c r="ES231" s="21"/>
      <c r="ET231" s="21"/>
      <c r="EU231" s="21"/>
      <c r="EV231" s="21"/>
      <c r="EW231" s="21"/>
      <c r="EX231" s="21"/>
      <c r="EY231" s="21"/>
      <c r="EZ231" s="21"/>
      <c r="FA231" s="21"/>
      <c r="FB231" s="21"/>
      <c r="FC231" s="21"/>
      <c r="FD231" s="21"/>
      <c r="FE231" s="21"/>
      <c r="FF231" s="21"/>
      <c r="FG231" s="21"/>
      <c r="FH231" s="21"/>
      <c r="FI231" s="21"/>
      <c r="FJ231" s="21"/>
      <c r="FK231" s="21"/>
      <c r="FL231" s="21"/>
      <c r="FM231" s="21"/>
      <c r="FN231" s="21"/>
      <c r="FO231" s="21"/>
      <c r="FP231" s="21"/>
      <c r="FQ231" s="21"/>
      <c r="FR231" s="21"/>
      <c r="FS231" s="21"/>
      <c r="FT231" s="21"/>
      <c r="FU231" s="21"/>
      <c r="FV231" s="21"/>
      <c r="FW231" s="21"/>
      <c r="FX231" s="21"/>
      <c r="FY231" s="21"/>
      <c r="FZ231" s="21"/>
      <c r="GA231" s="347" t="s">
        <v>866</v>
      </c>
      <c r="GB231" s="21">
        <v>0</v>
      </c>
      <c r="GC231" s="20">
        <v>0</v>
      </c>
      <c r="GD231" s="21">
        <v>0</v>
      </c>
      <c r="GE231" s="21">
        <v>4</v>
      </c>
      <c r="GF231" s="21">
        <v>4</v>
      </c>
      <c r="GG231" s="21">
        <v>3</v>
      </c>
      <c r="GH231" s="21">
        <v>3</v>
      </c>
      <c r="GI231" s="21">
        <v>2</v>
      </c>
      <c r="GJ231" s="21">
        <v>2</v>
      </c>
      <c r="GK231" s="21">
        <v>1</v>
      </c>
      <c r="GL231" s="21">
        <v>1</v>
      </c>
      <c r="GM231" s="21">
        <v>0</v>
      </c>
      <c r="GN231" s="21">
        <v>0</v>
      </c>
      <c r="GO231" s="21">
        <v>5</v>
      </c>
      <c r="GP231" s="21">
        <v>5</v>
      </c>
      <c r="GQ231" s="21">
        <v>4</v>
      </c>
      <c r="GR231" s="21">
        <v>4</v>
      </c>
      <c r="GS231" s="21">
        <v>3</v>
      </c>
      <c r="GT231" s="21">
        <v>3</v>
      </c>
      <c r="GU231" s="21">
        <v>2</v>
      </c>
      <c r="GV231" s="21">
        <v>2</v>
      </c>
      <c r="GW231" s="21"/>
      <c r="GX231" s="21"/>
      <c r="GY231" s="21"/>
      <c r="GZ231" s="21"/>
      <c r="HA231" s="21"/>
      <c r="HB231" s="21"/>
      <c r="HC231" s="21"/>
      <c r="HD231" s="21"/>
      <c r="HE231" s="21"/>
      <c r="HF231" s="21"/>
      <c r="HG231" s="21"/>
      <c r="HH231" s="21"/>
      <c r="HI231" s="21"/>
      <c r="HJ231" s="21"/>
      <c r="HK231" s="21"/>
      <c r="HL231" s="21"/>
      <c r="HM231" s="21"/>
      <c r="HN231" s="21"/>
      <c r="HO231" s="21"/>
      <c r="HP231" s="21"/>
      <c r="HQ231" s="21"/>
      <c r="HR231" s="21"/>
      <c r="HS231" s="21"/>
      <c r="HT231" s="21"/>
      <c r="HU231" s="21"/>
      <c r="HV231" s="186"/>
      <c r="HW231" s="21"/>
      <c r="HX231" s="21"/>
      <c r="HY231" s="21"/>
      <c r="HZ231" s="21"/>
      <c r="IA231" s="21"/>
      <c r="IB231" s="21"/>
      <c r="IC231" s="21"/>
      <c r="ID231" s="21"/>
      <c r="IE231" s="21"/>
      <c r="IF231" s="21"/>
      <c r="IG231" s="21"/>
      <c r="IH231" s="21"/>
      <c r="II231" s="21"/>
      <c r="IJ231" s="21"/>
      <c r="IK231" s="21"/>
      <c r="IL231" s="21"/>
      <c r="IM231" s="21"/>
      <c r="IN231" s="21"/>
      <c r="IO231" s="21"/>
      <c r="IP231" s="21"/>
      <c r="IQ231" s="21"/>
      <c r="IR231" s="21"/>
      <c r="IS231" s="21"/>
      <c r="IT231" s="21"/>
      <c r="IU231" s="21"/>
      <c r="IV231" s="21"/>
      <c r="IW231" s="21"/>
      <c r="IX231" s="21"/>
      <c r="IY231" s="21"/>
      <c r="IZ231" s="21"/>
      <c r="JA231" s="21"/>
      <c r="JB231" s="21"/>
      <c r="JC231" s="21"/>
      <c r="JD231" s="21"/>
      <c r="JE231" s="21"/>
      <c r="JF231" s="21"/>
      <c r="JG231" s="21"/>
      <c r="JH231" s="21"/>
      <c r="JI231" s="21"/>
      <c r="JJ231" s="21"/>
      <c r="JK231" s="21"/>
      <c r="JL231" s="21"/>
      <c r="JM231" s="21"/>
      <c r="JN231" s="21"/>
      <c r="JO231" s="21"/>
      <c r="JP231" s="21"/>
      <c r="JQ231" s="21"/>
      <c r="JR231" s="21"/>
      <c r="JS231" s="21"/>
      <c r="JT231" s="21"/>
      <c r="JU231" s="21"/>
      <c r="JV231" s="21"/>
      <c r="JW231" s="21"/>
      <c r="JX231" s="21"/>
      <c r="JY231" s="21"/>
      <c r="JZ231" s="21"/>
      <c r="KA231" s="21"/>
      <c r="KB231" s="21"/>
      <c r="KC231" s="21"/>
      <c r="KD231" s="21"/>
      <c r="KE231" s="21"/>
      <c r="KF231" s="21"/>
      <c r="KG231" s="21"/>
      <c r="KH231" s="21"/>
    </row>
    <row r="232" spans="1:294" x14ac:dyDescent="0.25">
      <c r="A232" s="8"/>
      <c r="B232" s="5" t="s">
        <v>116</v>
      </c>
      <c r="C232" s="8"/>
      <c r="D232" s="9"/>
      <c r="E232" s="9"/>
      <c r="F232" s="9"/>
      <c r="G232" s="1"/>
      <c r="H232" s="9"/>
      <c r="I232" s="9"/>
      <c r="J232" s="9"/>
      <c r="K232" s="9"/>
      <c r="L232" s="5" t="s">
        <v>103</v>
      </c>
      <c r="M232" s="5" t="s">
        <v>104</v>
      </c>
      <c r="N232" s="5" t="s">
        <v>107</v>
      </c>
      <c r="O232" s="5" t="s">
        <v>290</v>
      </c>
      <c r="P232" s="5" t="s">
        <v>446</v>
      </c>
      <c r="Q232" s="5" t="s">
        <v>448</v>
      </c>
      <c r="R232" s="5" t="s">
        <v>409</v>
      </c>
      <c r="S232" s="5" t="s">
        <v>447</v>
      </c>
      <c r="T232" s="5" t="s">
        <v>449</v>
      </c>
      <c r="U232" s="5" t="s">
        <v>106</v>
      </c>
      <c r="V232" s="21"/>
      <c r="W232" s="21"/>
      <c r="X232" s="21"/>
      <c r="Y232" s="20"/>
      <c r="Z232" s="20">
        <f t="shared" si="101"/>
        <v>0</v>
      </c>
      <c r="AA232" s="20">
        <f t="shared" si="102"/>
        <v>0</v>
      </c>
      <c r="AB232" s="20">
        <f t="shared" si="103"/>
        <v>0</v>
      </c>
      <c r="AC232" s="21"/>
      <c r="AD232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212,$HW$106:$IQ$106,0),MATCH($E$206,$X$109:$X$126,0)))*C212</f>
        <v>0</v>
      </c>
      <c r="AE232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212,$HW$106:$IQ$106,0),MATCH($E$206,$X$109:$X$126,0)))*C212</f>
        <v>0</v>
      </c>
      <c r="AF232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212,$HW$106:$IQ$106,0),MATCH($E$206,$X$109:$X$126,0)))*C212</f>
        <v>0</v>
      </c>
      <c r="AG232" s="21"/>
      <c r="AH232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239,$IT$106:$JN$106,0),MATCH($E$233,$X$109:$X$126,0))*C239</f>
        <v>0</v>
      </c>
      <c r="AI232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239,$IT$106:$JN$106,0),MATCH($E$233,$X$109:$X$126,0))*C239</f>
        <v>0</v>
      </c>
      <c r="AJ232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239,$IT$106:$JN$106,0),MATCH($E$233,$X$109:$X$126,0))*C239</f>
        <v>0</v>
      </c>
      <c r="AK232" s="21"/>
      <c r="AL232" s="21"/>
      <c r="AM232" s="21"/>
      <c r="AN232" s="21"/>
      <c r="AO232" s="21"/>
      <c r="AP232" s="21"/>
      <c r="AQ232" s="21"/>
      <c r="AR232" s="21"/>
      <c r="AS232" s="21"/>
      <c r="AT232" s="21"/>
      <c r="AU232" s="21"/>
      <c r="AV232" s="21"/>
      <c r="AW232" s="21"/>
      <c r="AX232" s="21"/>
      <c r="AY232" s="21"/>
      <c r="AZ232" s="21"/>
      <c r="BA232" s="21"/>
      <c r="BB232" s="21"/>
      <c r="BC232" s="21"/>
      <c r="BD232" s="21"/>
      <c r="BE232" s="21"/>
      <c r="BF232" s="21"/>
      <c r="BG232" s="21"/>
      <c r="BH232" s="21"/>
      <c r="BI232" s="21"/>
      <c r="BJ232" s="21"/>
      <c r="BK232" s="21"/>
      <c r="BL232" s="21"/>
      <c r="BM232" s="21"/>
      <c r="BN232" s="21"/>
      <c r="BO232" s="21"/>
      <c r="BP232" s="21"/>
      <c r="BQ232" s="21"/>
      <c r="BR232" s="21"/>
      <c r="BS232" s="21"/>
      <c r="BT232" s="21"/>
      <c r="BU232" s="21"/>
      <c r="BV232" s="21"/>
      <c r="BW232" s="21"/>
      <c r="BX232" s="21"/>
      <c r="BY232" s="21"/>
      <c r="BZ232" s="21"/>
      <c r="CA232" s="21"/>
      <c r="CB232" s="21"/>
      <c r="CC232" s="21"/>
      <c r="CD232" s="21"/>
      <c r="CE232" s="21"/>
      <c r="CF232" s="21"/>
      <c r="CG232" s="21"/>
      <c r="CH232" s="21"/>
      <c r="CI232" s="21"/>
      <c r="CJ232" s="21"/>
      <c r="CK232" s="21"/>
      <c r="CL232" s="21"/>
      <c r="CM232" s="21"/>
      <c r="CN232" s="21"/>
      <c r="CO232" s="21"/>
      <c r="CP232" s="21"/>
      <c r="CQ232" s="21"/>
      <c r="CR232" s="21"/>
      <c r="CS232" s="21"/>
      <c r="CT232" s="21"/>
      <c r="CU232" s="21"/>
      <c r="CV232" s="21"/>
      <c r="CW232" s="21"/>
      <c r="CX232" s="21"/>
      <c r="CY232" s="21"/>
      <c r="CZ232" s="21"/>
      <c r="DA232" s="21"/>
      <c r="DB232" s="21"/>
      <c r="DC232" s="21"/>
      <c r="DD232" s="21"/>
      <c r="DE232" s="21"/>
      <c r="DF232" s="21"/>
      <c r="DG232" s="21"/>
      <c r="DH232" s="21"/>
      <c r="DI232" s="21"/>
      <c r="DJ232" s="21"/>
      <c r="DK232" s="21"/>
      <c r="DL232" s="21"/>
      <c r="DM232" s="21"/>
      <c r="DN232" s="21"/>
      <c r="DO232" s="21"/>
      <c r="DP232" s="21"/>
      <c r="DQ232" s="21"/>
      <c r="DR232" s="21"/>
      <c r="DS232" s="21"/>
      <c r="DT232" s="21"/>
      <c r="DU232" s="21"/>
      <c r="DV232" s="21"/>
      <c r="DW232" s="21"/>
      <c r="DX232" s="21"/>
      <c r="DY232" s="21"/>
      <c r="DZ232" s="87"/>
      <c r="EA232" s="87"/>
      <c r="EB232" s="87"/>
      <c r="EC232" s="21"/>
      <c r="ED232" s="21"/>
      <c r="EE232" s="21"/>
      <c r="EF232" s="21"/>
      <c r="EG232" s="21"/>
      <c r="EH232" s="21"/>
      <c r="EI232" s="21"/>
      <c r="EJ232" s="21"/>
      <c r="EK232" s="21"/>
      <c r="EL232" s="21"/>
      <c r="EM232" s="21"/>
      <c r="EN232" s="21"/>
      <c r="EO232" s="21"/>
      <c r="EP232" s="21"/>
      <c r="EQ232" s="21"/>
      <c r="ER232" s="21"/>
      <c r="ES232" s="21"/>
      <c r="ET232" s="21"/>
      <c r="EU232" s="21"/>
      <c r="EV232" s="21"/>
      <c r="EW232" s="21"/>
      <c r="EX232" s="21"/>
      <c r="EY232" s="21"/>
      <c r="EZ232" s="21"/>
      <c r="FA232" s="21"/>
      <c r="FB232" s="21"/>
      <c r="FC232" s="21"/>
      <c r="FD232" s="21"/>
      <c r="FE232" s="21"/>
      <c r="FF232" s="21"/>
      <c r="FG232" s="21"/>
      <c r="FH232" s="21"/>
      <c r="FI232" s="21"/>
      <c r="FJ232" s="21"/>
      <c r="FK232" s="21"/>
      <c r="FL232" s="21"/>
      <c r="FM232" s="21"/>
      <c r="FN232" s="21"/>
      <c r="FO232" s="21"/>
      <c r="FP232" s="21"/>
      <c r="FQ232" s="21"/>
      <c r="FR232" s="21"/>
      <c r="FS232" s="21"/>
      <c r="FT232" s="21"/>
      <c r="FU232" s="21"/>
      <c r="FV232" s="21"/>
      <c r="FW232" s="21"/>
      <c r="FX232" s="21"/>
      <c r="FY232" s="21"/>
      <c r="FZ232" s="21"/>
      <c r="GA232" s="347" t="s">
        <v>867</v>
      </c>
      <c r="GB232" s="21">
        <v>0</v>
      </c>
      <c r="GC232" s="20">
        <v>1</v>
      </c>
      <c r="GD232" s="21">
        <v>1</v>
      </c>
      <c r="GE232" s="21">
        <v>0</v>
      </c>
      <c r="GF232" s="21">
        <v>1</v>
      </c>
      <c r="GG232" s="21">
        <v>3</v>
      </c>
      <c r="GH232" s="21">
        <v>4</v>
      </c>
      <c r="GI232" s="21">
        <v>6</v>
      </c>
      <c r="GJ232" s="21">
        <v>7</v>
      </c>
      <c r="GK232" s="21">
        <v>9</v>
      </c>
      <c r="GL232" s="21">
        <v>10</v>
      </c>
      <c r="GM232" s="21">
        <v>12</v>
      </c>
      <c r="GN232" s="21">
        <v>13</v>
      </c>
      <c r="GO232" s="21">
        <v>10</v>
      </c>
      <c r="GP232" s="21">
        <v>11</v>
      </c>
      <c r="GQ232" s="21">
        <v>13</v>
      </c>
      <c r="GR232" s="21">
        <v>14</v>
      </c>
      <c r="GS232" s="21">
        <v>16</v>
      </c>
      <c r="GT232" s="21">
        <v>17</v>
      </c>
      <c r="GU232" s="21">
        <v>19</v>
      </c>
      <c r="GV232" s="21">
        <v>20</v>
      </c>
      <c r="GW232" s="21"/>
      <c r="GX232" s="21"/>
      <c r="GY232" s="21"/>
      <c r="GZ232" s="21"/>
      <c r="HA232" s="21"/>
      <c r="HB232" s="21"/>
      <c r="HC232" s="21"/>
      <c r="HD232" s="21"/>
      <c r="HE232" s="21"/>
      <c r="HF232" s="21"/>
      <c r="HG232" s="21"/>
      <c r="HH232" s="21"/>
      <c r="HI232" s="21"/>
      <c r="HJ232" s="21"/>
      <c r="HK232" s="21"/>
      <c r="HL232" s="21"/>
      <c r="HM232" s="21"/>
      <c r="HN232" s="21"/>
      <c r="HO232" s="21"/>
      <c r="HP232" s="21"/>
      <c r="HQ232" s="21"/>
      <c r="HR232" s="21"/>
      <c r="HS232" s="21"/>
      <c r="HT232" s="21"/>
      <c r="HU232" s="21"/>
      <c r="HV232" s="186"/>
      <c r="HW232" s="21"/>
      <c r="HX232" s="21"/>
      <c r="HY232" s="21"/>
      <c r="HZ232" s="21"/>
      <c r="IA232" s="21"/>
      <c r="IB232" s="21"/>
      <c r="IC232" s="21"/>
      <c r="ID232" s="21"/>
      <c r="IE232" s="21"/>
      <c r="IF232" s="21"/>
      <c r="IG232" s="21"/>
      <c r="IH232" s="21"/>
      <c r="II232" s="21"/>
      <c r="IJ232" s="21"/>
      <c r="IK232" s="21"/>
      <c r="IL232" s="21"/>
      <c r="IM232" s="21"/>
      <c r="IN232" s="21"/>
      <c r="IO232" s="21"/>
      <c r="IP232" s="21"/>
      <c r="IQ232" s="21"/>
      <c r="IR232" s="21"/>
      <c r="IS232" s="21"/>
      <c r="IT232" s="21"/>
      <c r="IU232" s="21"/>
      <c r="IV232" s="21"/>
      <c r="IW232" s="21"/>
      <c r="IX232" s="21"/>
      <c r="IY232" s="21"/>
      <c r="IZ232" s="21"/>
      <c r="JA232" s="21"/>
      <c r="JB232" s="21"/>
      <c r="JC232" s="21"/>
      <c r="JD232" s="21"/>
      <c r="JE232" s="21"/>
      <c r="JF232" s="21"/>
      <c r="JG232" s="21"/>
      <c r="JH232" s="21"/>
      <c r="JI232" s="21"/>
      <c r="JJ232" s="21"/>
      <c r="JK232" s="21"/>
      <c r="JL232" s="21"/>
      <c r="JM232" s="21"/>
      <c r="JN232" s="21"/>
      <c r="JO232" s="21"/>
      <c r="JP232" s="21"/>
      <c r="JQ232" s="21"/>
      <c r="JR232" s="21"/>
      <c r="JS232" s="21"/>
      <c r="JT232" s="21"/>
      <c r="JU232" s="21"/>
      <c r="JV232" s="21"/>
      <c r="JW232" s="21"/>
      <c r="JX232" s="21"/>
      <c r="JY232" s="21"/>
      <c r="JZ232" s="21"/>
      <c r="KA232" s="21"/>
      <c r="KB232" s="21"/>
      <c r="KC232" s="21"/>
      <c r="KD232" s="21"/>
      <c r="KE232" s="21"/>
      <c r="KF232" s="21"/>
      <c r="KG232" s="21"/>
      <c r="KH232" s="21"/>
    </row>
    <row r="233" spans="1:294" x14ac:dyDescent="0.25">
      <c r="A233" s="8"/>
      <c r="B233" s="5" t="s">
        <v>116</v>
      </c>
      <c r="C233" s="8"/>
      <c r="D233" s="6" t="s">
        <v>118</v>
      </c>
      <c r="E233" s="8" t="s">
        <v>471</v>
      </c>
      <c r="F233" s="5" t="s">
        <v>116</v>
      </c>
      <c r="G233" s="8" t="s">
        <v>480</v>
      </c>
      <c r="H233" s="5" t="s">
        <v>116</v>
      </c>
      <c r="I233" s="8">
        <v>30</v>
      </c>
      <c r="J233" s="5" t="s">
        <v>119</v>
      </c>
      <c r="K233" s="9"/>
      <c r="L233" s="6" t="s">
        <v>825</v>
      </c>
      <c r="M233" s="11">
        <f>INDEX(cennik!$C$2:$L$529,MATCH($L233,cennik!$B$2:$B$522,0),MATCH(M$205,cennik!$C$1:$L$1,0))</f>
        <v>895333</v>
      </c>
      <c r="N233" s="11" t="str">
        <f>INDEX(cennik!$C$2:$L$529,MATCH($L233,cennik!$B$2:$B$522,0),MATCH(N$104,cennik!$C$1:$L$1,0))</f>
        <v>szt.</v>
      </c>
      <c r="O233" s="11">
        <f>SUM(AJ225:AJ240)</f>
        <v>0</v>
      </c>
      <c r="P233" s="34">
        <f>INDEX(cennik!$C$2:$L$529,MATCH($L233,cennik!$B$2:$B$522,0),MATCH(P$104,cennik!$C$1:$L$1,0))</f>
        <v>85.5</v>
      </c>
      <c r="Q233" s="34">
        <f>O233*P233</f>
        <v>0</v>
      </c>
      <c r="R233" s="35">
        <f t="shared" ref="R233:R251" si="104">$E$236</f>
        <v>0</v>
      </c>
      <c r="S233" s="34">
        <f>P233*((100-$E$236)/100)</f>
        <v>85.5</v>
      </c>
      <c r="T233" s="34">
        <f>O233*S233</f>
        <v>0</v>
      </c>
      <c r="U233" s="34">
        <f>INDEX(cennik!$C$2:$L$529,MATCH($L233,cennik!$B$2:$B$522,0),MATCH(U$104,cennik!$C$1:$L$1,0))*O233</f>
        <v>0</v>
      </c>
      <c r="V233" s="21"/>
      <c r="W233" s="21"/>
      <c r="X233" s="21"/>
      <c r="Y233" s="20"/>
      <c r="Z233" s="20">
        <f t="shared" si="101"/>
        <v>0</v>
      </c>
      <c r="AA233" s="20">
        <f t="shared" si="102"/>
        <v>0</v>
      </c>
      <c r="AB233" s="20">
        <f t="shared" si="103"/>
        <v>0</v>
      </c>
      <c r="AC233" s="21"/>
      <c r="AD233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213,$HW$106:$IQ$106,0),MATCH($E$206,$X$109:$X$126,0)))*C213</f>
        <v>0</v>
      </c>
      <c r="AE233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213,$HW$106:$IQ$106,0),MATCH($E$206,$X$109:$X$126,0)))*C213</f>
        <v>0</v>
      </c>
      <c r="AF233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213,$HW$106:$IQ$106,0),MATCH($E$206,$X$109:$X$126,0)))*C213</f>
        <v>0</v>
      </c>
      <c r="AG233" s="21"/>
      <c r="AH233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240,$IT$106:$JN$106,0),MATCH($E$233,$X$109:$X$126,0))*C240</f>
        <v>0</v>
      </c>
      <c r="AI233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240,$IT$106:$JN$106,0),MATCH($E$233,$X$109:$X$126,0))*C240</f>
        <v>0</v>
      </c>
      <c r="AJ233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240,$IT$106:$JN$106,0),MATCH($E$233,$X$109:$X$126,0))*C240</f>
        <v>0</v>
      </c>
      <c r="AK233" s="21"/>
      <c r="AL233" s="21"/>
      <c r="AM233" s="21"/>
      <c r="AN233" s="21"/>
      <c r="AO233" s="21"/>
      <c r="AP233" s="21"/>
      <c r="AQ233" s="21"/>
      <c r="AR233" s="21"/>
      <c r="AS233" s="21"/>
      <c r="AT233" s="21"/>
      <c r="AU233" s="21"/>
      <c r="AV233" s="21"/>
      <c r="AW233" s="21"/>
      <c r="AX233" s="21"/>
      <c r="AY233" s="21"/>
      <c r="AZ233" s="21"/>
      <c r="BA233" s="21"/>
      <c r="BB233" s="21"/>
      <c r="BC233" s="21"/>
      <c r="BD233" s="21"/>
      <c r="BE233" s="21"/>
      <c r="BF233" s="21"/>
      <c r="BG233" s="21"/>
      <c r="BH233" s="21"/>
      <c r="BI233" s="21"/>
      <c r="BJ233" s="21"/>
      <c r="BK233" s="21"/>
      <c r="BL233" s="21"/>
      <c r="BM233" s="21"/>
      <c r="BN233" s="21"/>
      <c r="BO233" s="21"/>
      <c r="BP233" s="21"/>
      <c r="BQ233" s="21"/>
      <c r="BR233" s="21"/>
      <c r="BS233" s="21"/>
      <c r="BT233" s="21"/>
      <c r="BU233" s="21"/>
      <c r="BV233" s="21"/>
      <c r="BW233" s="21"/>
      <c r="BX233" s="21"/>
      <c r="BY233" s="21"/>
      <c r="BZ233" s="21"/>
      <c r="CA233" s="21"/>
      <c r="CB233" s="21"/>
      <c r="CC233" s="21"/>
      <c r="CD233" s="21"/>
      <c r="CE233" s="21"/>
      <c r="CF233" s="21"/>
      <c r="CG233" s="21"/>
      <c r="CH233" s="21"/>
      <c r="CI233" s="21"/>
      <c r="CJ233" s="21"/>
      <c r="CK233" s="21"/>
      <c r="CL233" s="21"/>
      <c r="CM233" s="21"/>
      <c r="CN233" s="21"/>
      <c r="CO233" s="21"/>
      <c r="CP233" s="21"/>
      <c r="CQ233" s="21"/>
      <c r="CR233" s="21"/>
      <c r="CS233" s="21"/>
      <c r="CT233" s="21"/>
      <c r="CU233" s="21"/>
      <c r="CV233" s="21"/>
      <c r="CW233" s="21"/>
      <c r="CX233" s="21"/>
      <c r="CY233" s="21"/>
      <c r="CZ233" s="21"/>
      <c r="DA233" s="21"/>
      <c r="DB233" s="21"/>
      <c r="DC233" s="21"/>
      <c r="DD233" s="21"/>
      <c r="DE233" s="21"/>
      <c r="DF233" s="21"/>
      <c r="DG233" s="21"/>
      <c r="DH233" s="21"/>
      <c r="DI233" s="21"/>
      <c r="DJ233" s="21"/>
      <c r="DK233" s="21"/>
      <c r="DL233" s="21"/>
      <c r="DM233" s="21"/>
      <c r="DN233" s="21"/>
      <c r="DO233" s="21"/>
      <c r="DP233" s="21"/>
      <c r="DQ233" s="21"/>
      <c r="DR233" s="21"/>
      <c r="DS233" s="21"/>
      <c r="DT233" s="21"/>
      <c r="DU233" s="21"/>
      <c r="DV233" s="21"/>
      <c r="DW233" s="21"/>
      <c r="DX233" s="21"/>
      <c r="DY233" s="21"/>
      <c r="DZ233" s="87"/>
      <c r="EA233" s="87"/>
      <c r="EB233" s="87"/>
      <c r="EC233" s="21"/>
      <c r="ED233" s="21"/>
      <c r="EE233" s="21"/>
      <c r="EF233" s="21"/>
      <c r="EG233" s="21"/>
      <c r="EH233" s="21"/>
      <c r="EI233" s="21"/>
      <c r="EJ233" s="21"/>
      <c r="EK233" s="21"/>
      <c r="EL233" s="21"/>
      <c r="EM233" s="21"/>
      <c r="EN233" s="21"/>
      <c r="EO233" s="21"/>
      <c r="EP233" s="21"/>
      <c r="EQ233" s="21"/>
      <c r="ER233" s="21"/>
      <c r="ES233" s="21"/>
      <c r="ET233" s="21"/>
      <c r="EU233" s="21"/>
      <c r="EV233" s="21"/>
      <c r="EW233" s="21"/>
      <c r="EX233" s="21"/>
      <c r="EY233" s="21"/>
      <c r="EZ233" s="21"/>
      <c r="FA233" s="21"/>
      <c r="FB233" s="21"/>
      <c r="FC233" s="21"/>
      <c r="FD233" s="21"/>
      <c r="FE233" s="21"/>
      <c r="FF233" s="21"/>
      <c r="FG233" s="21"/>
      <c r="FH233" s="21"/>
      <c r="FI233" s="21"/>
      <c r="FJ233" s="21"/>
      <c r="FK233" s="21"/>
      <c r="FL233" s="21"/>
      <c r="FM233" s="21"/>
      <c r="FN233" s="21"/>
      <c r="FO233" s="21"/>
      <c r="FP233" s="21"/>
      <c r="FQ233" s="21"/>
      <c r="FR233" s="21"/>
      <c r="FS233" s="21"/>
      <c r="FT233" s="21"/>
      <c r="FU233" s="21"/>
      <c r="FV233" s="21"/>
      <c r="FW233" s="21"/>
      <c r="FX233" s="21"/>
      <c r="FY233" s="21"/>
      <c r="FZ233" s="21"/>
      <c r="GA233" s="347" t="s">
        <v>868</v>
      </c>
      <c r="GB233" s="21">
        <v>0</v>
      </c>
      <c r="GC233" s="20">
        <v>0</v>
      </c>
      <c r="GD233" s="21">
        <v>1</v>
      </c>
      <c r="GE233" s="21">
        <v>0</v>
      </c>
      <c r="GF233" s="21">
        <v>0</v>
      </c>
      <c r="GG233" s="21">
        <v>0</v>
      </c>
      <c r="GH233" s="21">
        <v>0</v>
      </c>
      <c r="GI233" s="21">
        <v>0</v>
      </c>
      <c r="GJ233" s="21">
        <v>0</v>
      </c>
      <c r="GK233" s="21">
        <v>0</v>
      </c>
      <c r="GL233" s="21">
        <v>0</v>
      </c>
      <c r="GM233" s="21">
        <v>0</v>
      </c>
      <c r="GN233" s="21">
        <v>0</v>
      </c>
      <c r="GO233" s="21">
        <v>0</v>
      </c>
      <c r="GP233" s="21">
        <v>0</v>
      </c>
      <c r="GQ233" s="21">
        <v>0</v>
      </c>
      <c r="GR233" s="21">
        <v>0</v>
      </c>
      <c r="GS233" s="21">
        <v>0</v>
      </c>
      <c r="GT233" s="21">
        <v>0</v>
      </c>
      <c r="GU233" s="21">
        <v>0</v>
      </c>
      <c r="GV233" s="21">
        <v>0</v>
      </c>
      <c r="GW233" s="21"/>
      <c r="GX233" s="21"/>
      <c r="GY233" s="21"/>
      <c r="GZ233" s="21"/>
      <c r="HA233" s="21"/>
      <c r="HB233" s="21"/>
      <c r="HC233" s="21"/>
      <c r="HD233" s="21"/>
      <c r="HE233" s="21"/>
      <c r="HF233" s="21"/>
      <c r="HG233" s="21"/>
      <c r="HH233" s="21"/>
      <c r="HI233" s="21"/>
      <c r="HJ233" s="21"/>
      <c r="HK233" s="21"/>
      <c r="HL233" s="21"/>
      <c r="HM233" s="21"/>
      <c r="HN233" s="21"/>
      <c r="HO233" s="21"/>
      <c r="HP233" s="21"/>
      <c r="HQ233" s="21"/>
      <c r="HR233" s="21"/>
      <c r="HS233" s="21"/>
      <c r="HT233" s="21"/>
      <c r="HU233" s="21"/>
      <c r="HV233" s="186"/>
      <c r="HW233" s="21"/>
      <c r="HX233" s="21"/>
      <c r="HY233" s="21"/>
      <c r="HZ233" s="21"/>
      <c r="IA233" s="21"/>
      <c r="IB233" s="21"/>
      <c r="IC233" s="21"/>
      <c r="ID233" s="21"/>
      <c r="IE233" s="21"/>
      <c r="IF233" s="21"/>
      <c r="IG233" s="21"/>
      <c r="IH233" s="21"/>
      <c r="II233" s="21"/>
      <c r="IJ233" s="21"/>
      <c r="IK233" s="21"/>
      <c r="IL233" s="21"/>
      <c r="IM233" s="21"/>
      <c r="IN233" s="21"/>
      <c r="IO233" s="21"/>
      <c r="IP233" s="21"/>
      <c r="IQ233" s="21"/>
      <c r="IR233" s="21"/>
      <c r="IS233" s="21"/>
      <c r="IT233" s="21"/>
      <c r="IU233" s="21"/>
      <c r="IV233" s="21"/>
      <c r="IW233" s="21"/>
      <c r="IX233" s="21"/>
      <c r="IY233" s="21"/>
      <c r="IZ233" s="21"/>
      <c r="JA233" s="21"/>
      <c r="JB233" s="21"/>
      <c r="JC233" s="21"/>
      <c r="JD233" s="21"/>
      <c r="JE233" s="21"/>
      <c r="JF233" s="21"/>
      <c r="JG233" s="21"/>
      <c r="JH233" s="21"/>
      <c r="JI233" s="21"/>
      <c r="JJ233" s="21"/>
      <c r="JK233" s="21"/>
      <c r="JL233" s="21"/>
      <c r="JM233" s="21"/>
      <c r="JN233" s="21"/>
      <c r="JO233" s="21"/>
      <c r="JP233" s="21"/>
      <c r="JQ233" s="21"/>
      <c r="JR233" s="21"/>
      <c r="JS233" s="21"/>
      <c r="JT233" s="21"/>
      <c r="JU233" s="21"/>
      <c r="JV233" s="21"/>
      <c r="JW233" s="21"/>
      <c r="JX233" s="21"/>
      <c r="JY233" s="21"/>
      <c r="JZ233" s="21"/>
      <c r="KA233" s="21"/>
      <c r="KB233" s="21"/>
      <c r="KC233" s="21"/>
      <c r="KD233" s="21"/>
      <c r="KE233" s="21"/>
      <c r="KF233" s="21"/>
      <c r="KG233" s="21"/>
      <c r="KH233" s="21"/>
    </row>
    <row r="234" spans="1:294" x14ac:dyDescent="0.25">
      <c r="A234" s="8"/>
      <c r="B234" s="5" t="s">
        <v>116</v>
      </c>
      <c r="C234" s="8"/>
      <c r="D234" s="6" t="s">
        <v>307</v>
      </c>
      <c r="E234" s="8" t="s">
        <v>308</v>
      </c>
      <c r="F234" s="362" t="str">
        <f>IF(E234=$Z$104,"wartość balastu określa konstruktor","")</f>
        <v>wartość balastu określa konstruktor</v>
      </c>
      <c r="G234" s="362"/>
      <c r="H234" s="362"/>
      <c r="I234" s="362"/>
      <c r="J234" s="5" t="s">
        <v>119</v>
      </c>
      <c r="K234" s="9"/>
      <c r="L234" s="6" t="s">
        <v>826</v>
      </c>
      <c r="M234" s="11">
        <f>INDEX(cennik!$C$2:$L$529,MATCH($L234,cennik!$B$2:$B$522,0),MATCH(M$205,cennik!$C$1:$L$1,0))</f>
        <v>895322</v>
      </c>
      <c r="N234" s="11" t="str">
        <f>INDEX(cennik!$C$2:$L$529,MATCH($L234,cennik!$B$2:$B$522,0),MATCH(N$104,cennik!$C$1:$L$1,0))</f>
        <v>szt.</v>
      </c>
      <c r="O234" s="11">
        <f>SUM(AI225:AI240)</f>
        <v>0</v>
      </c>
      <c r="P234" s="34">
        <f>INDEX(cennik!$C$2:$L$529,MATCH($L234,cennik!$B$2:$B$522,0),MATCH(P$104,cennik!$C$1:$L$1,0))</f>
        <v>57</v>
      </c>
      <c r="Q234" s="34">
        <f t="shared" ref="Q234:Q244" si="105">O234*P234</f>
        <v>0</v>
      </c>
      <c r="R234" s="35">
        <f t="shared" si="104"/>
        <v>0</v>
      </c>
      <c r="S234" s="34">
        <f t="shared" ref="S234:S255" si="106">P234*((100-$E$236)/100)</f>
        <v>57</v>
      </c>
      <c r="T234" s="34">
        <f>O234*S234</f>
        <v>0</v>
      </c>
      <c r="U234" s="34">
        <f>INDEX(cennik!$C$2:$L$529,MATCH($L234,cennik!$B$2:$B$522,0),MATCH(U$104,cennik!$C$1:$L$1,0))*O234</f>
        <v>0</v>
      </c>
      <c r="V234" s="21"/>
      <c r="W234" s="21"/>
      <c r="X234" s="21"/>
      <c r="Y234" s="20"/>
      <c r="Z234" s="20">
        <f t="shared" si="101"/>
        <v>0</v>
      </c>
      <c r="AA234" s="20">
        <f t="shared" si="102"/>
        <v>0</v>
      </c>
      <c r="AB234" s="20">
        <f t="shared" si="103"/>
        <v>0</v>
      </c>
      <c r="AC234" s="21"/>
      <c r="AD234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214,$HW$106:$IQ$106,0),MATCH($E$206,$X$109:$X$126,0)))*C214</f>
        <v>0</v>
      </c>
      <c r="AE234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214,$HW$106:$IQ$106,0),MATCH($E$206,$X$109:$X$126,0)))*C214</f>
        <v>0</v>
      </c>
      <c r="AF234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214,$HW$106:$IQ$106,0),MATCH($E$206,$X$109:$X$126,0)))*C214</f>
        <v>0</v>
      </c>
      <c r="AG234" s="21"/>
      <c r="AH234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241,$IT$106:$JN$106,0),MATCH($E$233,$X$109:$X$126,0))*C241</f>
        <v>0</v>
      </c>
      <c r="AI234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241,$IT$106:$JN$106,0),MATCH($E$233,$X$109:$X$126,0))*C241</f>
        <v>0</v>
      </c>
      <c r="AJ234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241,$IT$106:$JN$106,0),MATCH($E$233,$X$109:$X$126,0))*C241</f>
        <v>0</v>
      </c>
      <c r="AK234" s="21"/>
      <c r="AL234" s="21"/>
      <c r="AM234" s="21"/>
      <c r="AN234" s="21"/>
      <c r="AO234" s="21"/>
      <c r="AP234" s="21"/>
      <c r="AQ234" s="21"/>
      <c r="AR234" s="21"/>
      <c r="AS234" s="21"/>
      <c r="AT234" s="21"/>
      <c r="AU234" s="21"/>
      <c r="AV234" s="21"/>
      <c r="AW234" s="21"/>
      <c r="AX234" s="21"/>
      <c r="AY234" s="21"/>
      <c r="AZ234" s="21"/>
      <c r="BA234" s="21"/>
      <c r="BB234" s="21"/>
      <c r="BC234" s="21"/>
      <c r="BD234" s="21"/>
      <c r="BE234" s="21"/>
      <c r="BF234" s="21"/>
      <c r="BG234" s="21"/>
      <c r="BH234" s="21"/>
      <c r="BI234" s="21"/>
      <c r="BJ234" s="21"/>
      <c r="BK234" s="21"/>
      <c r="BL234" s="21"/>
      <c r="BM234" s="21"/>
      <c r="BN234" s="21"/>
      <c r="BO234" s="21"/>
      <c r="BP234" s="21"/>
      <c r="BQ234" s="21"/>
      <c r="BR234" s="21"/>
      <c r="BS234" s="21"/>
      <c r="BT234" s="21"/>
      <c r="BU234" s="21"/>
      <c r="BV234" s="21"/>
      <c r="BW234" s="21"/>
      <c r="BX234" s="21"/>
      <c r="BY234" s="21"/>
      <c r="BZ234" s="21"/>
      <c r="CA234" s="21"/>
      <c r="CB234" s="21"/>
      <c r="CC234" s="21"/>
      <c r="CD234" s="21"/>
      <c r="CE234" s="21"/>
      <c r="CF234" s="21"/>
      <c r="CG234" s="21"/>
      <c r="CH234" s="21"/>
      <c r="CI234" s="21"/>
      <c r="CJ234" s="21"/>
      <c r="CK234" s="21"/>
      <c r="CL234" s="21"/>
      <c r="CM234" s="21"/>
      <c r="CN234" s="21"/>
      <c r="CO234" s="21"/>
      <c r="CP234" s="21"/>
      <c r="CQ234" s="21"/>
      <c r="CR234" s="21"/>
      <c r="CS234" s="21"/>
      <c r="CT234" s="21"/>
      <c r="CU234" s="21"/>
      <c r="CV234" s="21"/>
      <c r="CW234" s="21"/>
      <c r="CX234" s="21"/>
      <c r="CY234" s="21"/>
      <c r="CZ234" s="21"/>
      <c r="DA234" s="21"/>
      <c r="DB234" s="21"/>
      <c r="DC234" s="21"/>
      <c r="DD234" s="21"/>
      <c r="DE234" s="21"/>
      <c r="DF234" s="21"/>
      <c r="DG234" s="21"/>
      <c r="DH234" s="21"/>
      <c r="DI234" s="21"/>
      <c r="DJ234" s="21"/>
      <c r="DK234" s="21"/>
      <c r="DL234" s="21"/>
      <c r="DM234" s="21"/>
      <c r="DN234" s="21"/>
      <c r="DO234" s="21"/>
      <c r="DP234" s="21"/>
      <c r="DQ234" s="21"/>
      <c r="DR234" s="21"/>
      <c r="DS234" s="21"/>
      <c r="DT234" s="21"/>
      <c r="DU234" s="21"/>
      <c r="DV234" s="21"/>
      <c r="DW234" s="21"/>
      <c r="DX234" s="21"/>
      <c r="DY234" s="21"/>
      <c r="DZ234" s="87"/>
      <c r="EA234" s="87"/>
      <c r="EB234" s="87"/>
      <c r="EC234" s="21"/>
      <c r="ED234" s="21"/>
      <c r="EE234" s="21"/>
      <c r="EF234" s="21"/>
      <c r="EG234" s="21"/>
      <c r="EH234" s="21"/>
      <c r="EI234" s="21"/>
      <c r="EJ234" s="21"/>
      <c r="EK234" s="21"/>
      <c r="EL234" s="21"/>
      <c r="EM234" s="21"/>
      <c r="EN234" s="21"/>
      <c r="EO234" s="21"/>
      <c r="EP234" s="21"/>
      <c r="EQ234" s="21"/>
      <c r="ER234" s="21"/>
      <c r="ES234" s="21"/>
      <c r="ET234" s="21"/>
      <c r="EU234" s="21"/>
      <c r="EV234" s="21"/>
      <c r="EW234" s="21"/>
      <c r="EX234" s="21"/>
      <c r="EY234" s="21"/>
      <c r="EZ234" s="21"/>
      <c r="FA234" s="21"/>
      <c r="FB234" s="21"/>
      <c r="FC234" s="21"/>
      <c r="FD234" s="21"/>
      <c r="FE234" s="21"/>
      <c r="FF234" s="21"/>
      <c r="FG234" s="21"/>
      <c r="FH234" s="21"/>
      <c r="FI234" s="21"/>
      <c r="FJ234" s="21"/>
      <c r="FK234" s="21"/>
      <c r="FL234" s="21"/>
      <c r="FM234" s="21"/>
      <c r="FN234" s="21"/>
      <c r="FO234" s="21"/>
      <c r="FP234" s="21"/>
      <c r="FQ234" s="21"/>
      <c r="FR234" s="21"/>
      <c r="FS234" s="21"/>
      <c r="FT234" s="21"/>
      <c r="FU234" s="21"/>
      <c r="FV234" s="21"/>
      <c r="FW234" s="21"/>
      <c r="FX234" s="21"/>
      <c r="FY234" s="21"/>
      <c r="FZ234" s="21"/>
      <c r="GA234" s="21"/>
      <c r="GB234" s="21"/>
      <c r="GC234" s="21"/>
      <c r="GD234" s="21"/>
      <c r="GE234" s="21"/>
      <c r="GF234" s="21"/>
      <c r="GG234" s="21"/>
      <c r="GH234" s="21"/>
      <c r="GI234" s="21"/>
      <c r="GJ234" s="21"/>
      <c r="GK234" s="21"/>
      <c r="GL234" s="21"/>
      <c r="GM234" s="21"/>
      <c r="GN234" s="21"/>
      <c r="GO234" s="21"/>
      <c r="GP234" s="21"/>
      <c r="GQ234" s="21"/>
      <c r="GR234" s="21"/>
      <c r="GS234" s="21"/>
      <c r="GT234" s="21"/>
      <c r="GU234" s="21"/>
      <c r="GV234" s="21"/>
      <c r="GW234" s="21"/>
      <c r="GX234" s="21"/>
      <c r="GY234" s="21"/>
      <c r="GZ234" s="21"/>
      <c r="HA234" s="21"/>
      <c r="HB234" s="21"/>
      <c r="HC234" s="21"/>
      <c r="HD234" s="21"/>
      <c r="HE234" s="21"/>
      <c r="HF234" s="21"/>
      <c r="HG234" s="21"/>
      <c r="HH234" s="21"/>
      <c r="HI234" s="21"/>
      <c r="HJ234" s="21"/>
      <c r="HK234" s="21"/>
      <c r="HL234" s="21"/>
      <c r="HM234" s="21"/>
      <c r="HN234" s="21"/>
      <c r="HO234" s="21"/>
      <c r="HP234" s="21"/>
      <c r="HQ234" s="21"/>
      <c r="HR234" s="21"/>
      <c r="HS234" s="21"/>
      <c r="HT234" s="21"/>
      <c r="HU234" s="21"/>
      <c r="HV234" s="186"/>
      <c r="HW234" s="21"/>
      <c r="HX234" s="21"/>
      <c r="HY234" s="21"/>
      <c r="HZ234" s="21"/>
      <c r="IA234" s="21"/>
      <c r="IB234" s="21"/>
      <c r="IC234" s="21"/>
      <c r="ID234" s="21"/>
      <c r="IE234" s="21"/>
      <c r="IF234" s="21"/>
      <c r="IG234" s="21"/>
      <c r="IH234" s="21"/>
      <c r="II234" s="21"/>
      <c r="IJ234" s="21"/>
      <c r="IK234" s="21"/>
      <c r="IL234" s="21"/>
      <c r="IM234" s="21"/>
      <c r="IN234" s="21"/>
      <c r="IO234" s="21"/>
      <c r="IP234" s="21"/>
      <c r="IQ234" s="21"/>
      <c r="IR234" s="21"/>
      <c r="IS234" s="21"/>
      <c r="IT234" s="21"/>
      <c r="IU234" s="21"/>
      <c r="IV234" s="21"/>
      <c r="IW234" s="21"/>
      <c r="IX234" s="21"/>
      <c r="IY234" s="21"/>
      <c r="IZ234" s="21"/>
      <c r="JA234" s="21"/>
      <c r="JB234" s="21"/>
      <c r="JC234" s="21"/>
      <c r="JD234" s="21"/>
      <c r="JE234" s="21"/>
      <c r="JF234" s="21"/>
      <c r="JG234" s="21"/>
      <c r="JH234" s="21"/>
      <c r="JI234" s="21"/>
      <c r="JJ234" s="21"/>
      <c r="JK234" s="21"/>
      <c r="JL234" s="21"/>
      <c r="JM234" s="21"/>
      <c r="JN234" s="21"/>
      <c r="JO234" s="21"/>
      <c r="JP234" s="21"/>
      <c r="JQ234" s="21"/>
      <c r="JR234" s="21"/>
      <c r="JS234" s="21"/>
      <c r="JT234" s="21"/>
      <c r="JU234" s="21"/>
      <c r="JV234" s="21"/>
      <c r="JW234" s="21"/>
      <c r="JX234" s="21"/>
      <c r="JY234" s="21"/>
      <c r="JZ234" s="21"/>
      <c r="KA234" s="21"/>
      <c r="KB234" s="21"/>
      <c r="KC234" s="21"/>
      <c r="KD234" s="21"/>
      <c r="KE234" s="21"/>
      <c r="KF234" s="21"/>
      <c r="KG234" s="21"/>
      <c r="KH234" s="21"/>
    </row>
    <row r="235" spans="1:294" x14ac:dyDescent="0.25">
      <c r="A235" s="8"/>
      <c r="B235" s="5" t="s">
        <v>116</v>
      </c>
      <c r="C235" s="8"/>
      <c r="D235" s="6" t="s">
        <v>310</v>
      </c>
      <c r="E235" s="8">
        <v>10</v>
      </c>
      <c r="F235" s="362"/>
      <c r="G235" s="362"/>
      <c r="H235" s="362"/>
      <c r="I235" s="362"/>
      <c r="J235" s="5" t="s">
        <v>411</v>
      </c>
      <c r="K235" s="9"/>
      <c r="L235" s="6" t="s">
        <v>853</v>
      </c>
      <c r="M235" s="11">
        <f>INDEX(cennik!$C$2:$L$529,MATCH($L235,cennik!$B$2:$B$522,0),MATCH(M$205,cennik!$C$1:$L$1,0))</f>
        <v>620415</v>
      </c>
      <c r="N235" s="11" t="str">
        <f>INDEX(cennik!$C$2:$L$529,MATCH($L235,cennik!$B$2:$B$522,0),MATCH(N$104,cennik!$C$1:$L$1,0))</f>
        <v>szt.</v>
      </c>
      <c r="O235" s="11">
        <f>SUM(AH225:AH240)</f>
        <v>0</v>
      </c>
      <c r="P235" s="34">
        <f>INDEX(cennik!$C$2:$L$529,MATCH($L235,cennik!$B$2:$B$522,0),MATCH(P$104,cennik!$C$1:$L$1,0))</f>
        <v>8.33</v>
      </c>
      <c r="Q235" s="34">
        <f t="shared" si="105"/>
        <v>0</v>
      </c>
      <c r="R235" s="35">
        <f t="shared" si="104"/>
        <v>0</v>
      </c>
      <c r="S235" s="34">
        <f t="shared" si="106"/>
        <v>8.33</v>
      </c>
      <c r="T235" s="34">
        <f t="shared" ref="T235:T244" si="107">O235*S235</f>
        <v>0</v>
      </c>
      <c r="U235" s="34">
        <f>INDEX(cennik!$C$2:$L$529,MATCH($L235,cennik!$B$2:$B$522,0),MATCH(U$104,cennik!$C$1:$L$1,0))*O235</f>
        <v>0</v>
      </c>
      <c r="V235" s="21"/>
      <c r="W235" s="21"/>
      <c r="X235" s="21"/>
      <c r="Y235" s="20"/>
      <c r="Z235" s="20">
        <f t="shared" si="101"/>
        <v>0</v>
      </c>
      <c r="AA235" s="20">
        <f t="shared" si="102"/>
        <v>0</v>
      </c>
      <c r="AB235" s="20">
        <f t="shared" si="103"/>
        <v>0</v>
      </c>
      <c r="AC235" s="21"/>
      <c r="AD23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215,$HW$106:$IQ$106,0),MATCH($E$206,$X$109:$X$126,0)))*C215</f>
        <v>0</v>
      </c>
      <c r="AE23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215,$HW$106:$IQ$106,0),MATCH($E$206,$X$109:$X$126,0)))*C215</f>
        <v>0</v>
      </c>
      <c r="AF235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215,$HW$106:$IQ$106,0),MATCH($E$206,$X$109:$X$126,0)))*C215</f>
        <v>0</v>
      </c>
      <c r="AG235" s="21"/>
      <c r="AH23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242,$IT$106:$JN$106,0),MATCH($E$233,$X$109:$X$126,0))*C242</f>
        <v>0</v>
      </c>
      <c r="AI23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242,$IT$106:$JN$106,0),MATCH($E$233,$X$109:$X$126,0))*C242</f>
        <v>0</v>
      </c>
      <c r="AJ235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242,$IT$106:$JN$106,0),MATCH($E$233,$X$109:$X$126,0))*C242</f>
        <v>0</v>
      </c>
      <c r="AK235" s="21"/>
      <c r="AL235" s="21"/>
      <c r="AM235" s="21"/>
      <c r="AN235" s="21"/>
      <c r="AO235" s="21"/>
      <c r="AP235" s="21"/>
      <c r="AQ235" s="21"/>
      <c r="AR235" s="21"/>
      <c r="AS235" s="21"/>
      <c r="AT235" s="21"/>
      <c r="AU235" s="21"/>
      <c r="AV235" s="21"/>
      <c r="AW235" s="21"/>
      <c r="AX235" s="21"/>
      <c r="AY235" s="21"/>
      <c r="AZ235" s="21"/>
      <c r="BA235" s="21"/>
      <c r="BB235" s="21"/>
      <c r="BC235" s="21"/>
      <c r="BD235" s="21"/>
      <c r="BE235" s="21"/>
      <c r="BF235" s="21"/>
      <c r="BG235" s="21"/>
      <c r="BH235" s="21"/>
      <c r="BI235" s="21"/>
      <c r="BJ235" s="21"/>
      <c r="BK235" s="21"/>
      <c r="BL235" s="21"/>
      <c r="BM235" s="21"/>
      <c r="BN235" s="21"/>
      <c r="BO235" s="21"/>
      <c r="BP235" s="21"/>
      <c r="BQ235" s="21"/>
      <c r="BR235" s="21"/>
      <c r="BS235" s="21"/>
      <c r="BT235" s="21"/>
      <c r="BU235" s="21"/>
      <c r="BV235" s="21"/>
      <c r="BW235" s="21"/>
      <c r="BX235" s="21"/>
      <c r="BY235" s="21"/>
      <c r="BZ235" s="21"/>
      <c r="CA235" s="21"/>
      <c r="CB235" s="21"/>
      <c r="CC235" s="21"/>
      <c r="CD235" s="21"/>
      <c r="CE235" s="21"/>
      <c r="CF235" s="21"/>
      <c r="CG235" s="21"/>
      <c r="CH235" s="21"/>
      <c r="CI235" s="21"/>
      <c r="CJ235" s="21"/>
      <c r="CK235" s="21"/>
      <c r="CL235" s="21"/>
      <c r="CM235" s="21"/>
      <c r="CN235" s="21"/>
      <c r="CO235" s="21"/>
      <c r="CP235" s="21"/>
      <c r="CQ235" s="21"/>
      <c r="CR235" s="21"/>
      <c r="CS235" s="21"/>
      <c r="CT235" s="21"/>
      <c r="CU235" s="21"/>
      <c r="CV235" s="21"/>
      <c r="CW235" s="21"/>
      <c r="CX235" s="21"/>
      <c r="CY235" s="21"/>
      <c r="CZ235" s="21"/>
      <c r="DA235" s="21"/>
      <c r="DB235" s="21"/>
      <c r="DC235" s="21"/>
      <c r="DD235" s="21"/>
      <c r="DE235" s="21"/>
      <c r="DF235" s="21"/>
      <c r="DG235" s="21"/>
      <c r="DH235" s="21"/>
      <c r="DI235" s="21"/>
      <c r="DJ235" s="21"/>
      <c r="DK235" s="21"/>
      <c r="DL235" s="21"/>
      <c r="DM235" s="21"/>
      <c r="DN235" s="21"/>
      <c r="DO235" s="21"/>
      <c r="DP235" s="21"/>
      <c r="DQ235" s="21"/>
      <c r="DR235" s="21"/>
      <c r="DS235" s="21"/>
      <c r="DT235" s="21"/>
      <c r="DU235" s="21"/>
      <c r="DV235" s="21"/>
      <c r="DW235" s="21"/>
      <c r="DX235" s="21"/>
      <c r="DY235" s="21"/>
      <c r="DZ235" s="87"/>
      <c r="EA235" s="87"/>
      <c r="EB235" s="87"/>
      <c r="EC235" s="21"/>
      <c r="ED235" s="21"/>
      <c r="EE235" s="21"/>
      <c r="EF235" s="21"/>
      <c r="EG235" s="21"/>
      <c r="EH235" s="21"/>
      <c r="EI235" s="21"/>
      <c r="EJ235" s="21"/>
      <c r="EK235" s="21"/>
      <c r="EL235" s="21"/>
      <c r="EM235" s="21"/>
      <c r="EN235" s="21"/>
      <c r="EO235" s="21"/>
      <c r="EP235" s="21"/>
      <c r="EQ235" s="21"/>
      <c r="ER235" s="21"/>
      <c r="ES235" s="21"/>
      <c r="ET235" s="21"/>
      <c r="EU235" s="21"/>
      <c r="EV235" s="21"/>
      <c r="EW235" s="21"/>
      <c r="EX235" s="21"/>
      <c r="EY235" s="21"/>
      <c r="EZ235" s="21"/>
      <c r="FA235" s="21"/>
      <c r="FB235" s="21"/>
      <c r="FC235" s="21"/>
      <c r="FD235" s="21"/>
      <c r="FE235" s="21"/>
      <c r="FF235" s="21"/>
      <c r="FG235" s="21"/>
      <c r="FH235" s="21"/>
      <c r="FI235" s="21"/>
      <c r="FJ235" s="21"/>
      <c r="FK235" s="21"/>
      <c r="FL235" s="21"/>
      <c r="FM235" s="21"/>
      <c r="FN235" s="21"/>
      <c r="FO235" s="21"/>
      <c r="FP235" s="21"/>
      <c r="FQ235" s="21"/>
      <c r="FR235" s="21"/>
      <c r="FS235" s="21"/>
      <c r="FT235" s="21"/>
      <c r="FU235" s="21"/>
      <c r="FV235" s="21"/>
      <c r="FW235" s="21"/>
      <c r="FX235" s="21"/>
      <c r="FY235" s="21"/>
      <c r="FZ235" s="21"/>
      <c r="GA235" s="21" t="s">
        <v>138</v>
      </c>
      <c r="GB235" s="21"/>
      <c r="GC235" s="21"/>
      <c r="GD235" s="21"/>
      <c r="GE235" s="21"/>
      <c r="GF235" s="21"/>
      <c r="GG235" s="21"/>
      <c r="GH235" s="21"/>
      <c r="GI235" s="21"/>
      <c r="GJ235" s="21"/>
      <c r="GK235" s="21"/>
      <c r="GL235" s="21"/>
      <c r="GM235" s="21"/>
      <c r="GN235" s="21"/>
      <c r="GO235" s="21"/>
      <c r="GP235" s="21"/>
      <c r="GQ235" s="21"/>
      <c r="GR235" s="21"/>
      <c r="GS235" s="21"/>
      <c r="GT235" s="21"/>
      <c r="GU235" s="21"/>
      <c r="GV235" s="21"/>
      <c r="GW235" s="21"/>
      <c r="GX235" s="21"/>
      <c r="GY235" s="21"/>
      <c r="GZ235" s="21"/>
      <c r="HA235" s="21"/>
      <c r="HB235" s="21"/>
      <c r="HC235" s="21"/>
      <c r="HD235" s="21"/>
      <c r="HE235" s="21"/>
      <c r="HF235" s="21"/>
      <c r="HG235" s="21"/>
      <c r="HH235" s="21"/>
      <c r="HI235" s="21"/>
      <c r="HJ235" s="21"/>
      <c r="HK235" s="21"/>
      <c r="HL235" s="21"/>
      <c r="HM235" s="21"/>
      <c r="HN235" s="21"/>
      <c r="HO235" s="21"/>
      <c r="HP235" s="21"/>
      <c r="HQ235" s="21"/>
      <c r="HR235" s="21"/>
      <c r="HS235" s="21"/>
      <c r="HT235" s="21"/>
      <c r="HU235" s="21"/>
      <c r="HV235" s="186"/>
      <c r="HW235" s="21"/>
      <c r="HX235" s="21"/>
      <c r="HY235" s="21"/>
      <c r="HZ235" s="21"/>
      <c r="IA235" s="21"/>
      <c r="IB235" s="21"/>
      <c r="IC235" s="21"/>
      <c r="ID235" s="21"/>
      <c r="IE235" s="21"/>
      <c r="IF235" s="21"/>
      <c r="IG235" s="21"/>
      <c r="IH235" s="21"/>
      <c r="II235" s="21"/>
      <c r="IJ235" s="21"/>
      <c r="IK235" s="21"/>
      <c r="IL235" s="21"/>
      <c r="IM235" s="21"/>
      <c r="IN235" s="21"/>
      <c r="IO235" s="21"/>
      <c r="IP235" s="21"/>
      <c r="IQ235" s="21"/>
      <c r="IR235" s="21"/>
      <c r="IS235" s="21"/>
      <c r="IT235" s="21"/>
      <c r="IU235" s="21"/>
      <c r="IV235" s="21"/>
      <c r="IW235" s="21"/>
      <c r="IX235" s="21"/>
      <c r="IY235" s="21"/>
      <c r="IZ235" s="21"/>
      <c r="JA235" s="21"/>
      <c r="JB235" s="21"/>
      <c r="JC235" s="21"/>
      <c r="JD235" s="21"/>
      <c r="JE235" s="21"/>
      <c r="JF235" s="21"/>
      <c r="JG235" s="21"/>
      <c r="JH235" s="21"/>
      <c r="JI235" s="21"/>
      <c r="JJ235" s="21"/>
      <c r="JK235" s="21"/>
      <c r="JL235" s="21"/>
      <c r="JM235" s="21"/>
      <c r="JN235" s="21"/>
      <c r="JO235" s="21"/>
      <c r="JP235" s="21"/>
      <c r="JQ235" s="21"/>
      <c r="JR235" s="21"/>
      <c r="JS235" s="21"/>
      <c r="JT235" s="21"/>
      <c r="JU235" s="21"/>
      <c r="JV235" s="21"/>
      <c r="JW235" s="21"/>
      <c r="JX235" s="21"/>
      <c r="JY235" s="21"/>
      <c r="JZ235" s="21"/>
      <c r="KA235" s="21"/>
      <c r="KB235" s="21"/>
      <c r="KC235" s="21"/>
      <c r="KD235" s="21"/>
      <c r="KE235" s="21"/>
      <c r="KF235" s="21"/>
      <c r="KG235" s="21"/>
      <c r="KH235" s="21"/>
    </row>
    <row r="236" spans="1:294" x14ac:dyDescent="0.25">
      <c r="A236" s="8"/>
      <c r="B236" s="5" t="s">
        <v>116</v>
      </c>
      <c r="C236" s="8"/>
      <c r="D236" s="6" t="s">
        <v>162</v>
      </c>
      <c r="E236" s="8">
        <v>0</v>
      </c>
      <c r="F236" s="5"/>
      <c r="G236" s="5"/>
      <c r="H236" s="5"/>
      <c r="I236" s="5"/>
      <c r="J236" s="5" t="s">
        <v>163</v>
      </c>
      <c r="K236" s="9"/>
      <c r="L236" s="6" t="str">
        <f>IF($G$233=$X$128,"CC55H50/2,6MC",IF($G$233=$X$129,"CC55H50/2,6MC",IF($G$233=$X$130,"CC55H50/2,6MC",IF($G$233=$X$131,"CC55H50/2,6MC",IF($G$233=$X$132,"CC55H50/3MC",IF($G$233=$X$133,"CC55H50/3MC",IF($G$233=$X$134,"CC55H50/3MC",IF($G$233=$X$135,"CC55H50/3MC",0))))))))</f>
        <v>CC55H50/2,6MC</v>
      </c>
      <c r="M236" s="11">
        <f>INDEX(cennik!$C$2:$L$529,MATCH($L236,cennik!$B$2:$B$522,0),MATCH(M$205,cennik!$C$1:$L$1,0))</f>
        <v>895327</v>
      </c>
      <c r="N236" s="11" t="str">
        <f>INDEX(cennik!$C$2:$L$529,MATCH($L236,cennik!$B$2:$B$522,0),MATCH(N$104,cennik!$C$1:$L$1,0))</f>
        <v>szt.</v>
      </c>
      <c r="O236" s="11">
        <f>SUM(AB225:AB240)</f>
        <v>0</v>
      </c>
      <c r="P236" s="34">
        <f>INDEX(cennik!$C$2:$L$529,MATCH($L236,cennik!$B$2:$B$522,0),MATCH(P$104,cennik!$C$1:$L$1,0))</f>
        <v>81.400000000000006</v>
      </c>
      <c r="Q236" s="34">
        <f t="shared" si="105"/>
        <v>0</v>
      </c>
      <c r="R236" s="35">
        <f t="shared" si="104"/>
        <v>0</v>
      </c>
      <c r="S236" s="34">
        <f t="shared" si="106"/>
        <v>81.400000000000006</v>
      </c>
      <c r="T236" s="34">
        <f t="shared" si="107"/>
        <v>0</v>
      </c>
      <c r="U236" s="34">
        <f>INDEX(cennik!$C$2:$L$529,MATCH($L236,cennik!$B$2:$B$522,0),MATCH(U$104,cennik!$C$1:$L$1,0))*O236</f>
        <v>0</v>
      </c>
      <c r="V236" s="21"/>
      <c r="W236" s="21"/>
      <c r="X236" s="21"/>
      <c r="Y236" s="20"/>
      <c r="Z236" s="20">
        <f t="shared" si="101"/>
        <v>0</v>
      </c>
      <c r="AA236" s="20">
        <f t="shared" si="102"/>
        <v>0</v>
      </c>
      <c r="AB236" s="20">
        <f t="shared" si="103"/>
        <v>0</v>
      </c>
      <c r="AC236" s="21"/>
      <c r="AD23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216,$HW$106:$IQ$106,0),MATCH($E$206,$X$109:$X$126,0)))*C216</f>
        <v>0</v>
      </c>
      <c r="AE23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216,$HW$106:$IQ$106,0),MATCH($E$206,$X$109:$X$126,0)))*C216</f>
        <v>0</v>
      </c>
      <c r="AF236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216,$HW$106:$IQ$106,0),MATCH($E$206,$X$109:$X$126,0)))*C216</f>
        <v>0</v>
      </c>
      <c r="AG236" s="21"/>
      <c r="AH23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243,$IT$106:$JN$106,0),MATCH($E$233,$X$109:$X$126,0))*C243</f>
        <v>0</v>
      </c>
      <c r="AI23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243,$IT$106:$JN$106,0),MATCH($E$233,$X$109:$X$126,0))*C243</f>
        <v>0</v>
      </c>
      <c r="AJ236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243,$IT$106:$JN$106,0),MATCH($E$233,$X$109:$X$126,0))*C243</f>
        <v>0</v>
      </c>
      <c r="AK236" s="21"/>
      <c r="AL236" s="21"/>
      <c r="AM236" s="21"/>
      <c r="AN236" s="21"/>
      <c r="AO236" s="21"/>
      <c r="AP236" s="21"/>
      <c r="AQ236" s="21"/>
      <c r="AR236" s="21"/>
      <c r="AS236" s="21"/>
      <c r="AT236" s="21"/>
      <c r="AU236" s="21"/>
      <c r="AV236" s="21"/>
      <c r="AW236" s="21"/>
      <c r="AX236" s="21"/>
      <c r="AY236" s="21"/>
      <c r="AZ236" s="21"/>
      <c r="BA236" s="21"/>
      <c r="BB236" s="21"/>
      <c r="BC236" s="21"/>
      <c r="BD236" s="21"/>
      <c r="BE236" s="21"/>
      <c r="BF236" s="21"/>
      <c r="BG236" s="21"/>
      <c r="BH236" s="21"/>
      <c r="BI236" s="21"/>
      <c r="BJ236" s="21"/>
      <c r="BK236" s="21"/>
      <c r="BL236" s="21"/>
      <c r="BM236" s="21"/>
      <c r="BN236" s="21"/>
      <c r="BO236" s="21"/>
      <c r="BP236" s="21"/>
      <c r="BQ236" s="21"/>
      <c r="BR236" s="21"/>
      <c r="BS236" s="21"/>
      <c r="BT236" s="21"/>
      <c r="BU236" s="21"/>
      <c r="BV236" s="21"/>
      <c r="BW236" s="21"/>
      <c r="BX236" s="21"/>
      <c r="BY236" s="21"/>
      <c r="BZ236" s="21"/>
      <c r="CA236" s="21"/>
      <c r="CB236" s="21"/>
      <c r="CC236" s="21"/>
      <c r="CD236" s="21"/>
      <c r="CE236" s="21"/>
      <c r="CF236" s="21"/>
      <c r="CG236" s="21"/>
      <c r="CH236" s="21"/>
      <c r="CI236" s="21"/>
      <c r="CJ236" s="21"/>
      <c r="CK236" s="21"/>
      <c r="CL236" s="21"/>
      <c r="CM236" s="21"/>
      <c r="CN236" s="21"/>
      <c r="CO236" s="21"/>
      <c r="CP236" s="21"/>
      <c r="CQ236" s="21"/>
      <c r="CR236" s="21"/>
      <c r="CS236" s="21"/>
      <c r="CT236" s="21"/>
      <c r="CU236" s="21"/>
      <c r="CV236" s="21"/>
      <c r="CW236" s="21"/>
      <c r="CX236" s="21"/>
      <c r="CY236" s="21"/>
      <c r="CZ236" s="21"/>
      <c r="DA236" s="21"/>
      <c r="DB236" s="21"/>
      <c r="DC236" s="21"/>
      <c r="DD236" s="21"/>
      <c r="DE236" s="21"/>
      <c r="DF236" s="21"/>
      <c r="DG236" s="21"/>
      <c r="DH236" s="21"/>
      <c r="DI236" s="21"/>
      <c r="DJ236" s="21"/>
      <c r="DK236" s="21"/>
      <c r="DL236" s="21"/>
      <c r="DM236" s="21"/>
      <c r="DN236" s="21"/>
      <c r="DO236" s="21"/>
      <c r="DP236" s="21"/>
      <c r="DQ236" s="21"/>
      <c r="DR236" s="21"/>
      <c r="DS236" s="21"/>
      <c r="DT236" s="21"/>
      <c r="DU236" s="21"/>
      <c r="DV236" s="21"/>
      <c r="DW236" s="21"/>
      <c r="DX236" s="21"/>
      <c r="DY236" s="21"/>
      <c r="DZ236" s="87"/>
      <c r="EA236" s="87"/>
      <c r="EB236" s="87"/>
      <c r="EC236" s="21"/>
      <c r="ED236" s="21"/>
      <c r="EE236" s="21"/>
      <c r="EF236" s="21"/>
      <c r="EG236" s="21"/>
      <c r="EH236" s="21"/>
      <c r="EI236" s="21"/>
      <c r="EJ236" s="21"/>
      <c r="EK236" s="21"/>
      <c r="EL236" s="21"/>
      <c r="EM236" s="21"/>
      <c r="EN236" s="21"/>
      <c r="EO236" s="21"/>
      <c r="EP236" s="21"/>
      <c r="EQ236" s="21"/>
      <c r="ER236" s="21"/>
      <c r="ES236" s="21"/>
      <c r="ET236" s="21"/>
      <c r="EU236" s="21"/>
      <c r="EV236" s="21"/>
      <c r="EW236" s="21"/>
      <c r="EX236" s="21"/>
      <c r="EY236" s="21"/>
      <c r="EZ236" s="21"/>
      <c r="FA236" s="21"/>
      <c r="FB236" s="21"/>
      <c r="FC236" s="21"/>
      <c r="FD236" s="21"/>
      <c r="FE236" s="21"/>
      <c r="FF236" s="21"/>
      <c r="FG236" s="21"/>
      <c r="FH236" s="21"/>
      <c r="FI236" s="21"/>
      <c r="FJ236" s="21"/>
      <c r="FK236" s="21"/>
      <c r="FL236" s="21"/>
      <c r="FM236" s="21"/>
      <c r="FN236" s="21"/>
      <c r="FO236" s="21"/>
      <c r="FP236" s="21"/>
      <c r="FQ236" s="21"/>
      <c r="FR236" s="21"/>
      <c r="FS236" s="21"/>
      <c r="FT236" s="21"/>
      <c r="FU236" s="21"/>
      <c r="FV236" s="21"/>
      <c r="FW236" s="21"/>
      <c r="FX236" s="21"/>
      <c r="FY236" s="21"/>
      <c r="FZ236" s="21"/>
      <c r="GA236" s="21"/>
      <c r="GB236" s="21">
        <v>0</v>
      </c>
      <c r="GC236" s="21">
        <v>1</v>
      </c>
      <c r="GD236" s="21">
        <v>2</v>
      </c>
      <c r="GE236" s="21">
        <v>3</v>
      </c>
      <c r="GF236" s="21">
        <v>4</v>
      </c>
      <c r="GG236" s="21">
        <v>5</v>
      </c>
      <c r="GH236" s="21">
        <v>6</v>
      </c>
      <c r="GI236" s="21">
        <v>7</v>
      </c>
      <c r="GJ236" s="21">
        <v>8</v>
      </c>
      <c r="GK236" s="21">
        <v>9</v>
      </c>
      <c r="GL236" s="21">
        <v>10</v>
      </c>
      <c r="GM236" s="21">
        <v>11</v>
      </c>
      <c r="GN236" s="21">
        <v>12</v>
      </c>
      <c r="GO236" s="21">
        <v>13</v>
      </c>
      <c r="GP236" s="21">
        <v>14</v>
      </c>
      <c r="GQ236" s="21">
        <v>15</v>
      </c>
      <c r="GR236" s="21">
        <v>16</v>
      </c>
      <c r="GS236" s="21">
        <v>17</v>
      </c>
      <c r="GT236" s="21">
        <v>18</v>
      </c>
      <c r="GU236" s="21">
        <v>19</v>
      </c>
      <c r="GV236" s="21">
        <v>20</v>
      </c>
      <c r="GW236" s="21"/>
      <c r="GX236" s="21"/>
      <c r="GY236" s="21"/>
      <c r="GZ236" s="21"/>
      <c r="HA236" s="21"/>
      <c r="HB236" s="21"/>
      <c r="HC236" s="21"/>
      <c r="HD236" s="21"/>
      <c r="HE236" s="21"/>
      <c r="HF236" s="21"/>
      <c r="HG236" s="21"/>
      <c r="HH236" s="21"/>
      <c r="HI236" s="21"/>
      <c r="HJ236" s="21"/>
      <c r="HK236" s="21"/>
      <c r="HL236" s="21"/>
      <c r="HM236" s="21"/>
      <c r="HN236" s="21"/>
      <c r="HO236" s="21"/>
      <c r="HP236" s="21"/>
      <c r="HQ236" s="21"/>
      <c r="HR236" s="21"/>
      <c r="HS236" s="21"/>
      <c r="HT236" s="21"/>
      <c r="HU236" s="21"/>
      <c r="HV236" s="186"/>
      <c r="HW236" s="21"/>
      <c r="HX236" s="21"/>
      <c r="HY236" s="21"/>
      <c r="HZ236" s="21"/>
      <c r="IA236" s="21"/>
      <c r="IB236" s="21"/>
      <c r="IC236" s="21"/>
      <c r="ID236" s="21"/>
      <c r="IE236" s="21"/>
      <c r="IF236" s="21"/>
      <c r="IG236" s="21"/>
      <c r="IH236" s="21"/>
      <c r="II236" s="21"/>
      <c r="IJ236" s="21"/>
      <c r="IK236" s="21"/>
      <c r="IL236" s="21"/>
      <c r="IM236" s="21"/>
      <c r="IN236" s="21"/>
      <c r="IO236" s="21"/>
      <c r="IP236" s="21"/>
      <c r="IQ236" s="21"/>
      <c r="IR236" s="21"/>
      <c r="IS236" s="21"/>
      <c r="IT236" s="21"/>
      <c r="IU236" s="21"/>
      <c r="IV236" s="21"/>
      <c r="IW236" s="21"/>
      <c r="IX236" s="21"/>
      <c r="IY236" s="21"/>
      <c r="IZ236" s="21"/>
      <c r="JA236" s="21"/>
      <c r="JB236" s="21"/>
      <c r="JC236" s="21"/>
      <c r="JD236" s="21"/>
      <c r="JE236" s="21"/>
      <c r="JF236" s="21"/>
      <c r="JG236" s="21"/>
      <c r="JH236" s="21"/>
      <c r="JI236" s="21"/>
      <c r="JJ236" s="21"/>
      <c r="JK236" s="21"/>
      <c r="JL236" s="21"/>
      <c r="JM236" s="21"/>
      <c r="JN236" s="21"/>
      <c r="JO236" s="21"/>
      <c r="JP236" s="21"/>
      <c r="JQ236" s="21"/>
      <c r="JR236" s="21"/>
      <c r="JS236" s="21"/>
      <c r="JT236" s="21"/>
      <c r="JU236" s="21"/>
      <c r="JV236" s="21"/>
      <c r="JW236" s="21"/>
      <c r="JX236" s="21"/>
      <c r="JY236" s="21"/>
      <c r="JZ236" s="21"/>
      <c r="KA236" s="21"/>
      <c r="KB236" s="21"/>
      <c r="KC236" s="21"/>
      <c r="KD236" s="21"/>
      <c r="KE236" s="21"/>
      <c r="KF236" s="21"/>
      <c r="KG236" s="21"/>
      <c r="KH236" s="21"/>
    </row>
    <row r="237" spans="1:294" x14ac:dyDescent="0.25">
      <c r="A237" s="8"/>
      <c r="B237" s="5" t="s">
        <v>116</v>
      </c>
      <c r="C237" s="8"/>
      <c r="D237" s="6" t="s">
        <v>515</v>
      </c>
      <c r="E237" s="8">
        <v>0</v>
      </c>
      <c r="F237" s="5"/>
      <c r="G237" s="5"/>
      <c r="H237" s="5"/>
      <c r="I237" s="5"/>
      <c r="J237" s="5" t="s">
        <v>412</v>
      </c>
      <c r="K237" s="9"/>
      <c r="L237" s="6" t="str">
        <f>IF($G$233=$X$128,"CP50H35/1,3MC",IF($G$233=$X$129,"CP50H35/1,3MC",IF($G$233=$X$130,"CP50H35/1,3MC",IF($G$233=$X$131,"CP50H35/1,3MC",IF($G$233=$X$132,"CP50H35/1,5MC",IF($G$233=$X$133,"CP50H35/1,5MC",IF($G$233=$X$134,"CP50H35/1,5MC",IF($G$233=$X$135,"CP50H35/1,5MC",0))))))))</f>
        <v>CP50H35/1,3MC</v>
      </c>
      <c r="M237" s="11">
        <f>INDEX(cennik!$C$2:$L$529,MATCH($L237,cennik!$B$2:$B$522,0),MATCH(M$205,cennik!$C$1:$L$1,0))</f>
        <v>895613</v>
      </c>
      <c r="N237" s="11" t="str">
        <f>INDEX(cennik!$C$2:$L$529,MATCH($L237,cennik!$B$2:$B$522,0),MATCH(N$104,cennik!$C$1:$L$1,0))</f>
        <v>szt.</v>
      </c>
      <c r="O237" s="10">
        <f>O236*2</f>
        <v>0</v>
      </c>
      <c r="P237" s="34">
        <f>INDEX(cennik!$C$2:$L$529,MATCH($L237,cennik!$B$2:$B$522,0),MATCH(P$104,cennik!$C$1:$L$1,0))</f>
        <v>29.56</v>
      </c>
      <c r="Q237" s="34">
        <f t="shared" si="105"/>
        <v>0</v>
      </c>
      <c r="R237" s="35">
        <f>$E$236</f>
        <v>0</v>
      </c>
      <c r="S237" s="34">
        <f t="shared" si="106"/>
        <v>29.56</v>
      </c>
      <c r="T237" s="34">
        <f t="shared" si="107"/>
        <v>0</v>
      </c>
      <c r="U237" s="34">
        <f>INDEX(cennik!$C$2:$L$529,MATCH($L237,cennik!$B$2:$B$522,0),MATCH(U$104,cennik!$C$1:$L$1,0))*O237</f>
        <v>0</v>
      </c>
      <c r="V237" s="21"/>
      <c r="W237" s="21"/>
      <c r="X237" s="21"/>
      <c r="Y237" s="20"/>
      <c r="Z237" s="20">
        <f t="shared" si="101"/>
        <v>0</v>
      </c>
      <c r="AA237" s="20">
        <f t="shared" si="102"/>
        <v>0</v>
      </c>
      <c r="AB237" s="20">
        <f t="shared" si="103"/>
        <v>0</v>
      </c>
      <c r="AC237" s="21"/>
      <c r="AD23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217,$HW$106:$IQ$106,0),MATCH($E$206,$X$109:$X$126,0)))*C217</f>
        <v>0</v>
      </c>
      <c r="AE23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217,$HW$106:$IQ$106,0),MATCH($E$206,$X$109:$X$126,0)))*C217</f>
        <v>0</v>
      </c>
      <c r="AF237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217,$HW$106:$IQ$106,0),MATCH($E$206,$X$109:$X$126,0)))*C217</f>
        <v>0</v>
      </c>
      <c r="AG237" s="21"/>
      <c r="AH23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244,$IT$106:$JN$106,0),MATCH($E$233,$X$109:$X$126,0))*C244</f>
        <v>0</v>
      </c>
      <c r="AI23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244,$IT$106:$JN$106,0),MATCH($E$233,$X$109:$X$126,0))*C244</f>
        <v>0</v>
      </c>
      <c r="AJ237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244,$IT$106:$JN$106,0),MATCH($E$233,$X$109:$X$126,0))*C244</f>
        <v>0</v>
      </c>
      <c r="AK237" s="21"/>
      <c r="AL237" s="21"/>
      <c r="AM237" s="21"/>
      <c r="AN237" s="21"/>
      <c r="AO237" s="21"/>
      <c r="AP237" s="21"/>
      <c r="AQ237" s="21"/>
      <c r="AR237" s="21"/>
      <c r="AS237" s="21"/>
      <c r="AT237" s="21"/>
      <c r="AU237" s="21"/>
      <c r="AV237" s="21"/>
      <c r="AW237" s="21"/>
      <c r="AX237" s="21"/>
      <c r="AY237" s="21"/>
      <c r="AZ237" s="21"/>
      <c r="BA237" s="21"/>
      <c r="BB237" s="21"/>
      <c r="BC237" s="21"/>
      <c r="BD237" s="21"/>
      <c r="BE237" s="21"/>
      <c r="BF237" s="21"/>
      <c r="BG237" s="21"/>
      <c r="BH237" s="21"/>
      <c r="BI237" s="21"/>
      <c r="BJ237" s="21"/>
      <c r="BK237" s="21"/>
      <c r="BL237" s="21"/>
      <c r="BM237" s="21"/>
      <c r="BN237" s="21"/>
      <c r="BO237" s="21"/>
      <c r="BP237" s="21"/>
      <c r="BQ237" s="21"/>
      <c r="BR237" s="21"/>
      <c r="BS237" s="21"/>
      <c r="BT237" s="21"/>
      <c r="BU237" s="21"/>
      <c r="BV237" s="21"/>
      <c r="BW237" s="21"/>
      <c r="BX237" s="21"/>
      <c r="BY237" s="21"/>
      <c r="BZ237" s="21"/>
      <c r="CA237" s="21"/>
      <c r="CB237" s="21"/>
      <c r="CC237" s="21"/>
      <c r="CD237" s="21"/>
      <c r="CE237" s="21"/>
      <c r="CF237" s="21"/>
      <c r="CG237" s="21"/>
      <c r="CH237" s="21"/>
      <c r="CI237" s="21"/>
      <c r="CJ237" s="21"/>
      <c r="CK237" s="21"/>
      <c r="CL237" s="21"/>
      <c r="CM237" s="21"/>
      <c r="CN237" s="21"/>
      <c r="CO237" s="21"/>
      <c r="CP237" s="21"/>
      <c r="CQ237" s="21"/>
      <c r="CR237" s="21"/>
      <c r="CS237" s="21"/>
      <c r="CT237" s="21"/>
      <c r="CU237" s="21"/>
      <c r="CV237" s="21"/>
      <c r="CW237" s="21"/>
      <c r="CX237" s="21"/>
      <c r="CY237" s="21"/>
      <c r="CZ237" s="21"/>
      <c r="DA237" s="21"/>
      <c r="DB237" s="21"/>
      <c r="DC237" s="21"/>
      <c r="DD237" s="21"/>
      <c r="DE237" s="21"/>
      <c r="DF237" s="21"/>
      <c r="DG237" s="21"/>
      <c r="DH237" s="21"/>
      <c r="DI237" s="21"/>
      <c r="DJ237" s="21"/>
      <c r="DK237" s="21"/>
      <c r="DL237" s="21"/>
      <c r="DM237" s="21"/>
      <c r="DN237" s="21"/>
      <c r="DO237" s="21"/>
      <c r="DP237" s="21"/>
      <c r="DQ237" s="21"/>
      <c r="DR237" s="21"/>
      <c r="DS237" s="21"/>
      <c r="DT237" s="21"/>
      <c r="DU237" s="21"/>
      <c r="DV237" s="21"/>
      <c r="DW237" s="21"/>
      <c r="DX237" s="21"/>
      <c r="DY237" s="21"/>
      <c r="DZ237" s="87"/>
      <c r="EA237" s="87"/>
      <c r="EB237" s="87"/>
      <c r="EC237" s="21"/>
      <c r="ED237" s="21"/>
      <c r="EE237" s="21"/>
      <c r="EF237" s="21"/>
      <c r="EG237" s="21"/>
      <c r="EH237" s="21"/>
      <c r="EI237" s="21"/>
      <c r="EJ237" s="21"/>
      <c r="EK237" s="21"/>
      <c r="EL237" s="21"/>
      <c r="EM237" s="21"/>
      <c r="EN237" s="21"/>
      <c r="EO237" s="21"/>
      <c r="EP237" s="21"/>
      <c r="EQ237" s="21"/>
      <c r="ER237" s="21"/>
      <c r="ES237" s="21"/>
      <c r="ET237" s="21"/>
      <c r="EU237" s="21"/>
      <c r="EV237" s="21"/>
      <c r="EW237" s="21"/>
      <c r="EX237" s="21"/>
      <c r="EY237" s="21"/>
      <c r="EZ237" s="21"/>
      <c r="FA237" s="21"/>
      <c r="FB237" s="21"/>
      <c r="FC237" s="21"/>
      <c r="FD237" s="21"/>
      <c r="FE237" s="21"/>
      <c r="FF237" s="21"/>
      <c r="FG237" s="21"/>
      <c r="FH237" s="21"/>
      <c r="FI237" s="21"/>
      <c r="FJ237" s="21"/>
      <c r="FK237" s="21"/>
      <c r="FL237" s="21"/>
      <c r="FM237" s="21"/>
      <c r="FN237" s="21"/>
      <c r="FO237" s="21"/>
      <c r="FP237" s="21"/>
      <c r="FQ237" s="21"/>
      <c r="FR237" s="21"/>
      <c r="FS237" s="21"/>
      <c r="FT237" s="21"/>
      <c r="FU237" s="21"/>
      <c r="FV237" s="21"/>
      <c r="FW237" s="21"/>
      <c r="FX237" s="21"/>
      <c r="FY237" s="21"/>
      <c r="FZ237" s="21"/>
      <c r="GA237" s="347" t="s">
        <v>866</v>
      </c>
      <c r="GB237" s="21">
        <v>0</v>
      </c>
      <c r="GC237" s="21">
        <v>0</v>
      </c>
      <c r="GD237" s="21">
        <v>0</v>
      </c>
      <c r="GE237" s="21">
        <v>4</v>
      </c>
      <c r="GF237" s="21">
        <v>3</v>
      </c>
      <c r="GG237" s="21">
        <v>2</v>
      </c>
      <c r="GH237" s="21">
        <v>2</v>
      </c>
      <c r="GI237" s="21">
        <v>1</v>
      </c>
      <c r="GJ237" s="21">
        <v>1</v>
      </c>
      <c r="GK237" s="21">
        <v>0</v>
      </c>
      <c r="GL237" s="21">
        <v>5</v>
      </c>
      <c r="GM237" s="21">
        <v>5</v>
      </c>
      <c r="GN237" s="21">
        <v>4</v>
      </c>
      <c r="GO237" s="21">
        <v>3</v>
      </c>
      <c r="GP237" s="21">
        <v>3</v>
      </c>
      <c r="GQ237" s="21">
        <v>2</v>
      </c>
      <c r="GR237" s="21">
        <v>1</v>
      </c>
      <c r="GS237" s="21">
        <v>1</v>
      </c>
      <c r="GT237" s="21">
        <v>0</v>
      </c>
      <c r="GU237" s="21">
        <v>0</v>
      </c>
      <c r="GV237" s="21">
        <v>5</v>
      </c>
      <c r="GW237" s="21"/>
      <c r="GX237" s="21"/>
      <c r="GY237" s="21"/>
      <c r="GZ237" s="21"/>
      <c r="HA237" s="21"/>
      <c r="HB237" s="21"/>
      <c r="HC237" s="21"/>
      <c r="HD237" s="21"/>
      <c r="HE237" s="21"/>
      <c r="HF237" s="21"/>
      <c r="HG237" s="21"/>
      <c r="HH237" s="21"/>
      <c r="HI237" s="21"/>
      <c r="HJ237" s="21"/>
      <c r="HK237" s="21"/>
      <c r="HL237" s="21"/>
      <c r="HM237" s="21"/>
      <c r="HN237" s="21"/>
      <c r="HO237" s="21"/>
      <c r="HP237" s="21"/>
      <c r="HQ237" s="21"/>
      <c r="HR237" s="21"/>
      <c r="HS237" s="21"/>
      <c r="HT237" s="21"/>
      <c r="HU237" s="21"/>
      <c r="HV237" s="186"/>
      <c r="HW237" s="21"/>
      <c r="HX237" s="21"/>
      <c r="HY237" s="21"/>
      <c r="HZ237" s="21"/>
      <c r="IA237" s="21"/>
      <c r="IB237" s="21"/>
      <c r="IC237" s="21"/>
      <c r="ID237" s="21"/>
      <c r="IE237" s="21"/>
      <c r="IF237" s="21"/>
      <c r="IG237" s="21"/>
      <c r="IH237" s="21"/>
      <c r="II237" s="21"/>
      <c r="IJ237" s="21"/>
      <c r="IK237" s="21"/>
      <c r="IL237" s="21"/>
      <c r="IM237" s="21"/>
      <c r="IN237" s="21"/>
      <c r="IO237" s="21"/>
      <c r="IP237" s="21"/>
      <c r="IQ237" s="21"/>
      <c r="IR237" s="21"/>
      <c r="IS237" s="21"/>
      <c r="IT237" s="21"/>
      <c r="IU237" s="21"/>
      <c r="IV237" s="21"/>
      <c r="IW237" s="21"/>
      <c r="IX237" s="21"/>
      <c r="IY237" s="21"/>
      <c r="IZ237" s="21"/>
      <c r="JA237" s="21"/>
      <c r="JB237" s="21"/>
      <c r="JC237" s="21"/>
      <c r="JD237" s="21"/>
      <c r="JE237" s="21"/>
      <c r="JF237" s="21"/>
      <c r="JG237" s="21"/>
      <c r="JH237" s="21"/>
      <c r="JI237" s="21"/>
      <c r="JJ237" s="21"/>
      <c r="JK237" s="21"/>
      <c r="JL237" s="21"/>
      <c r="JM237" s="21"/>
      <c r="JN237" s="21"/>
      <c r="JO237" s="21"/>
      <c r="JP237" s="21"/>
      <c r="JQ237" s="21"/>
      <c r="JR237" s="21"/>
      <c r="JS237" s="21"/>
      <c r="JT237" s="21"/>
      <c r="JU237" s="21"/>
      <c r="JV237" s="21"/>
      <c r="JW237" s="21"/>
      <c r="JX237" s="21"/>
      <c r="JY237" s="21"/>
      <c r="JZ237" s="21"/>
      <c r="KA237" s="21"/>
      <c r="KB237" s="21"/>
      <c r="KC237" s="21"/>
      <c r="KD237" s="21"/>
      <c r="KE237" s="21"/>
      <c r="KF237" s="21"/>
      <c r="KG237" s="21"/>
      <c r="KH237" s="21"/>
    </row>
    <row r="238" spans="1:294" x14ac:dyDescent="0.25">
      <c r="A238" s="8"/>
      <c r="B238" s="5" t="s">
        <v>116</v>
      </c>
      <c r="C238" s="8"/>
      <c r="D238" s="6" t="s">
        <v>511</v>
      </c>
      <c r="E238" s="4"/>
      <c r="F238" s="5"/>
      <c r="G238" s="5"/>
      <c r="H238" s="5"/>
      <c r="I238" s="5"/>
      <c r="J238" s="1"/>
      <c r="K238" s="9"/>
      <c r="L238" s="6" t="str">
        <f>INDEX(($BS$216:$BU$223),MATCH(G233,$BR$216:$BR$223,0),MATCH(E235,$BS$215:$BU$215,0),1)</f>
        <v>CP50H35/0,25MC</v>
      </c>
      <c r="M238" s="11">
        <f>INDEX(cennik!$C$2:$L$529,MATCH($L238,cennik!$B$2:$B$522,0),MATCH(M$205,cennik!$C$1:$L$1,0))</f>
        <v>895625</v>
      </c>
      <c r="N238" s="11" t="str">
        <f>INDEX(cennik!$C$2:$L$529,MATCH($L238,cennik!$B$2:$B$522,0),MATCH(N$104,cennik!$C$1:$L$1,0))</f>
        <v>szt.</v>
      </c>
      <c r="O238" s="11">
        <f>O236</f>
        <v>0</v>
      </c>
      <c r="P238" s="34">
        <f>INDEX(cennik!$C$2:$L$529,MATCH($L238,cennik!$B$2:$B$522,0),MATCH(P$104,cennik!$C$1:$L$1,0))</f>
        <v>5.99</v>
      </c>
      <c r="Q238" s="34">
        <f t="shared" si="105"/>
        <v>0</v>
      </c>
      <c r="R238" s="35">
        <f>$E$236</f>
        <v>0</v>
      </c>
      <c r="S238" s="34">
        <f t="shared" si="106"/>
        <v>5.99</v>
      </c>
      <c r="T238" s="34">
        <f t="shared" si="107"/>
        <v>0</v>
      </c>
      <c r="U238" s="34">
        <f>INDEX(cennik!$C$2:$L$529,MATCH($L238,cennik!$B$2:$B$522,0),MATCH(U$104,cennik!$C$1:$L$1,0))*O238</f>
        <v>0</v>
      </c>
      <c r="V238" s="21"/>
      <c r="W238" s="21"/>
      <c r="X238" s="21"/>
      <c r="Y238" s="20"/>
      <c r="Z238" s="20">
        <f t="shared" si="101"/>
        <v>0</v>
      </c>
      <c r="AA238" s="20">
        <f t="shared" si="102"/>
        <v>0</v>
      </c>
      <c r="AB238" s="20">
        <f t="shared" si="103"/>
        <v>0</v>
      </c>
      <c r="AC238" s="21"/>
      <c r="AD23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218,$HW$106:$IQ$106,0),MATCH($E$206,$X$109:$X$126,0)))*C218</f>
        <v>0</v>
      </c>
      <c r="AE23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218,$HW$106:$IQ$106,0),MATCH($E$206,$X$109:$X$126,0)))*C218</f>
        <v>0</v>
      </c>
      <c r="AF238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218,$HW$106:$IQ$106,0),MATCH($E$206,$X$109:$X$126,0)))*C218</f>
        <v>0</v>
      </c>
      <c r="AG238" s="21"/>
      <c r="AH23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245,$IT$106:$JN$106,0),MATCH($E$233,$X$109:$X$126,0))*C245</f>
        <v>0</v>
      </c>
      <c r="AI23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245,$IT$106:$JN$106,0),MATCH($E$233,$X$109:$X$126,0))*C245</f>
        <v>0</v>
      </c>
      <c r="AJ238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245,$IT$106:$JN$106,0),MATCH($E$233,$X$109:$X$126,0))*C245</f>
        <v>0</v>
      </c>
      <c r="AK238" s="21"/>
      <c r="AL238" s="21"/>
      <c r="AM238" s="21"/>
      <c r="AN238" s="21"/>
      <c r="AO238" s="21"/>
      <c r="AP238" s="21"/>
      <c r="AQ238" s="21"/>
      <c r="AR238" s="21"/>
      <c r="AS238" s="21"/>
      <c r="AT238" s="21"/>
      <c r="AU238" s="21"/>
      <c r="AV238" s="21"/>
      <c r="AW238" s="21"/>
      <c r="AX238" s="21"/>
      <c r="AY238" s="21"/>
      <c r="AZ238" s="21"/>
      <c r="BA238" s="21"/>
      <c r="BB238" s="21"/>
      <c r="BC238" s="21"/>
      <c r="BD238" s="21"/>
      <c r="BE238" s="21"/>
      <c r="BF238" s="21"/>
      <c r="BG238" s="21"/>
      <c r="BH238" s="21"/>
      <c r="BI238" s="21"/>
      <c r="BJ238" s="21"/>
      <c r="BK238" s="21"/>
      <c r="BL238" s="21"/>
      <c r="BM238" s="21"/>
      <c r="BN238" s="21"/>
      <c r="BO238" s="21"/>
      <c r="BP238" s="21"/>
      <c r="BQ238" s="21"/>
      <c r="BR238" s="21"/>
      <c r="BS238" s="21"/>
      <c r="BT238" s="21"/>
      <c r="BU238" s="21"/>
      <c r="BV238" s="21"/>
      <c r="BW238" s="21"/>
      <c r="BX238" s="21"/>
      <c r="BY238" s="21"/>
      <c r="BZ238" s="21"/>
      <c r="CA238" s="21"/>
      <c r="CB238" s="21"/>
      <c r="CC238" s="21"/>
      <c r="CD238" s="21"/>
      <c r="CE238" s="21"/>
      <c r="CF238" s="21"/>
      <c r="CG238" s="21"/>
      <c r="CH238" s="21"/>
      <c r="CI238" s="21"/>
      <c r="CJ238" s="21"/>
      <c r="CK238" s="21"/>
      <c r="CL238" s="21"/>
      <c r="CM238" s="21"/>
      <c r="CN238" s="21"/>
      <c r="CO238" s="21"/>
      <c r="CP238" s="21"/>
      <c r="CQ238" s="21"/>
      <c r="CR238" s="21"/>
      <c r="CS238" s="21"/>
      <c r="CT238" s="21"/>
      <c r="CU238" s="21"/>
      <c r="CV238" s="21"/>
      <c r="CW238" s="21"/>
      <c r="CX238" s="21"/>
      <c r="CY238" s="21"/>
      <c r="CZ238" s="21"/>
      <c r="DA238" s="21"/>
      <c r="DB238" s="21"/>
      <c r="DC238" s="21"/>
      <c r="DD238" s="21"/>
      <c r="DE238" s="21"/>
      <c r="DF238" s="21"/>
      <c r="DG238" s="21"/>
      <c r="DH238" s="21"/>
      <c r="DI238" s="21"/>
      <c r="DJ238" s="21"/>
      <c r="DK238" s="21"/>
      <c r="DL238" s="21"/>
      <c r="DM238" s="21"/>
      <c r="DN238" s="21"/>
      <c r="DO238" s="21"/>
      <c r="DP238" s="21"/>
      <c r="DQ238" s="21"/>
      <c r="DR238" s="21"/>
      <c r="DS238" s="21"/>
      <c r="DT238" s="21"/>
      <c r="DU238" s="21"/>
      <c r="DV238" s="21"/>
      <c r="DW238" s="21"/>
      <c r="DX238" s="21"/>
      <c r="DY238" s="21"/>
      <c r="DZ238" s="87"/>
      <c r="EA238" s="87"/>
      <c r="EB238" s="87"/>
      <c r="EC238" s="21"/>
      <c r="ED238" s="21"/>
      <c r="EE238" s="21"/>
      <c r="EF238" s="21"/>
      <c r="EG238" s="21"/>
      <c r="EH238" s="21"/>
      <c r="EI238" s="21"/>
      <c r="EJ238" s="21"/>
      <c r="EK238" s="21"/>
      <c r="EL238" s="21"/>
      <c r="EM238" s="21"/>
      <c r="EN238" s="21"/>
      <c r="EO238" s="21"/>
      <c r="EP238" s="21"/>
      <c r="EQ238" s="21"/>
      <c r="ER238" s="21"/>
      <c r="ES238" s="21"/>
      <c r="ET238" s="21"/>
      <c r="EU238" s="21"/>
      <c r="EV238" s="21"/>
      <c r="EW238" s="21"/>
      <c r="EX238" s="21"/>
      <c r="EY238" s="21"/>
      <c r="EZ238" s="21"/>
      <c r="FA238" s="21"/>
      <c r="FB238" s="21"/>
      <c r="FC238" s="21"/>
      <c r="FD238" s="21"/>
      <c r="FE238" s="21"/>
      <c r="FF238" s="21"/>
      <c r="FG238" s="21"/>
      <c r="FH238" s="21"/>
      <c r="FI238" s="21"/>
      <c r="FJ238" s="21"/>
      <c r="FK238" s="21"/>
      <c r="FL238" s="21"/>
      <c r="FM238" s="21"/>
      <c r="FN238" s="21"/>
      <c r="FO238" s="21"/>
      <c r="FP238" s="21"/>
      <c r="FQ238" s="21"/>
      <c r="FR238" s="21"/>
      <c r="FS238" s="21"/>
      <c r="FT238" s="21"/>
      <c r="FU238" s="21"/>
      <c r="FV238" s="21"/>
      <c r="FW238" s="21"/>
      <c r="FX238" s="21"/>
      <c r="FY238" s="21"/>
      <c r="FZ238" s="21"/>
      <c r="GA238" s="347" t="s">
        <v>867</v>
      </c>
      <c r="GB238" s="21">
        <v>0</v>
      </c>
      <c r="GC238" s="21">
        <v>1</v>
      </c>
      <c r="GD238" s="21">
        <v>0</v>
      </c>
      <c r="GE238" s="21">
        <v>0</v>
      </c>
      <c r="GF238" s="21">
        <v>2</v>
      </c>
      <c r="GG238" s="21">
        <v>4</v>
      </c>
      <c r="GH238" s="21">
        <v>5</v>
      </c>
      <c r="GI238" s="21">
        <v>7</v>
      </c>
      <c r="GJ238" s="21">
        <v>8</v>
      </c>
      <c r="GK238" s="21">
        <v>10</v>
      </c>
      <c r="GL238" s="21">
        <v>7</v>
      </c>
      <c r="GM238" s="21">
        <v>8</v>
      </c>
      <c r="GN238" s="21">
        <v>10</v>
      </c>
      <c r="GO238" s="21">
        <v>12</v>
      </c>
      <c r="GP238" s="21">
        <v>13</v>
      </c>
      <c r="GQ238" s="21">
        <v>15</v>
      </c>
      <c r="GR238" s="21">
        <v>17</v>
      </c>
      <c r="GS238" s="21">
        <v>18</v>
      </c>
      <c r="GT238" s="21">
        <v>20</v>
      </c>
      <c r="GU238" s="21">
        <v>21</v>
      </c>
      <c r="GV238" s="21">
        <v>18</v>
      </c>
      <c r="GW238" s="21"/>
      <c r="GX238" s="21"/>
      <c r="GY238" s="21"/>
      <c r="GZ238" s="21"/>
      <c r="HA238" s="21"/>
      <c r="HB238" s="21"/>
      <c r="HC238" s="21"/>
      <c r="HD238" s="21"/>
      <c r="HE238" s="21"/>
      <c r="HF238" s="21"/>
      <c r="HG238" s="21"/>
      <c r="HH238" s="21"/>
      <c r="HI238" s="21"/>
      <c r="HJ238" s="21"/>
      <c r="HK238" s="21"/>
      <c r="HL238" s="21"/>
      <c r="HM238" s="21"/>
      <c r="HN238" s="21"/>
      <c r="HO238" s="21"/>
      <c r="HP238" s="21"/>
      <c r="HQ238" s="21"/>
      <c r="HR238" s="21"/>
      <c r="HS238" s="21"/>
      <c r="HT238" s="21"/>
      <c r="HU238" s="21"/>
      <c r="HV238" s="186"/>
      <c r="HW238" s="21"/>
      <c r="HX238" s="21"/>
      <c r="HY238" s="21"/>
      <c r="HZ238" s="21"/>
      <c r="IA238" s="21"/>
      <c r="IB238" s="21"/>
      <c r="IC238" s="21"/>
      <c r="ID238" s="21"/>
      <c r="IE238" s="21"/>
      <c r="IF238" s="21"/>
      <c r="IG238" s="21"/>
      <c r="IH238" s="21"/>
      <c r="II238" s="21"/>
      <c r="IJ238" s="21"/>
      <c r="IK238" s="21"/>
      <c r="IL238" s="21"/>
      <c r="IM238" s="21"/>
      <c r="IN238" s="21"/>
      <c r="IO238" s="21"/>
      <c r="IP238" s="21"/>
      <c r="IQ238" s="21"/>
      <c r="IR238" s="21"/>
      <c r="IS238" s="21"/>
      <c r="IT238" s="21"/>
      <c r="IU238" s="21"/>
      <c r="IV238" s="21"/>
      <c r="IW238" s="21"/>
      <c r="IX238" s="21"/>
      <c r="IY238" s="21"/>
      <c r="IZ238" s="21"/>
      <c r="JA238" s="21"/>
      <c r="JB238" s="21"/>
      <c r="JC238" s="21"/>
      <c r="JD238" s="21"/>
      <c r="JE238" s="21"/>
      <c r="JF238" s="21"/>
      <c r="JG238" s="21"/>
      <c r="JH238" s="21"/>
      <c r="JI238" s="21"/>
      <c r="JJ238" s="21"/>
      <c r="JK238" s="21"/>
      <c r="JL238" s="21"/>
      <c r="JM238" s="21"/>
      <c r="JN238" s="21"/>
      <c r="JO238" s="21"/>
      <c r="JP238" s="21"/>
      <c r="JQ238" s="21"/>
      <c r="JR238" s="21"/>
      <c r="JS238" s="21"/>
      <c r="JT238" s="21"/>
      <c r="JU238" s="21"/>
      <c r="JV238" s="21"/>
      <c r="JW238" s="21"/>
      <c r="JX238" s="21"/>
      <c r="JY238" s="21"/>
      <c r="JZ238" s="21"/>
      <c r="KA238" s="21"/>
      <c r="KB238" s="21"/>
      <c r="KC238" s="21"/>
      <c r="KD238" s="21"/>
      <c r="KE238" s="21"/>
      <c r="KF238" s="21"/>
      <c r="KG238" s="21"/>
      <c r="KH238" s="21"/>
    </row>
    <row r="239" spans="1:294" x14ac:dyDescent="0.25">
      <c r="A239" s="8"/>
      <c r="B239" s="5" t="s">
        <v>116</v>
      </c>
      <c r="C239" s="8"/>
      <c r="D239" s="6" t="s">
        <v>774</v>
      </c>
      <c r="E239" s="52">
        <f>INDEX((AI219:AM221),MATCH(E240,AH219:AH221,0),MATCH(E241,AI218:AM218,0))</f>
        <v>2000</v>
      </c>
      <c r="F239" s="6"/>
      <c r="G239" s="6"/>
      <c r="H239" s="6"/>
      <c r="I239" s="6"/>
      <c r="J239" s="5" t="s">
        <v>119</v>
      </c>
      <c r="K239" s="9"/>
      <c r="L239" s="6" t="s">
        <v>864</v>
      </c>
      <c r="M239" s="11">
        <v>878000</v>
      </c>
      <c r="N239" s="11" t="str">
        <f>INDEX(cennik!$C$2:$L$529,MATCH($L239,cennik!$B$2:$B$522,0),MATCH(N$104,cennik!$C$1:$L$1,0))</f>
        <v>szt.</v>
      </c>
      <c r="O239" s="11">
        <f>O236</f>
        <v>0</v>
      </c>
      <c r="P239" s="34">
        <f>INDEX(cennik!$C$2:$L$529,MATCH($L239,cennik!$B$2:$B$522,0),MATCH(P$104,cennik!$C$1:$L$1,0))</f>
        <v>15.64</v>
      </c>
      <c r="Q239" s="34">
        <f t="shared" si="105"/>
        <v>0</v>
      </c>
      <c r="R239" s="35">
        <f>$E$236</f>
        <v>0</v>
      </c>
      <c r="S239" s="34">
        <f t="shared" si="106"/>
        <v>15.64</v>
      </c>
      <c r="T239" s="34">
        <f t="shared" si="107"/>
        <v>0</v>
      </c>
      <c r="U239" s="34">
        <f>INDEX(cennik!$C$2:$L$529,MATCH($L239,cennik!$B$2:$B$522,0),MATCH(U$104,cennik!$C$1:$L$1,0))*O239</f>
        <v>0</v>
      </c>
      <c r="V239" s="21"/>
      <c r="W239" s="21"/>
      <c r="X239" s="21"/>
      <c r="Y239" s="20"/>
      <c r="Z239" s="20">
        <f t="shared" si="101"/>
        <v>0</v>
      </c>
      <c r="AA239" s="20">
        <f t="shared" si="102"/>
        <v>0</v>
      </c>
      <c r="AB239" s="20">
        <f t="shared" si="103"/>
        <v>0</v>
      </c>
      <c r="AC239" s="21"/>
      <c r="AD23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219,$HW$106:$IQ$106,0),MATCH($E$206,$X$109:$X$126,0)))*C219</f>
        <v>0</v>
      </c>
      <c r="AE23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219,$HW$106:$IQ$106,0),MATCH($E$206,$X$109:$X$126,0)))*C219</f>
        <v>0</v>
      </c>
      <c r="AF239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219,$HW$106:$IQ$106,0),MATCH($E$206,$X$109:$X$126,0)))*C219</f>
        <v>0</v>
      </c>
      <c r="AG239" s="21"/>
      <c r="AH23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246,$IT$106:$JN$106,0),MATCH($E$233,$X$109:$X$126,0))*C246</f>
        <v>0</v>
      </c>
      <c r="AI23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246,$IT$106:$JN$106,0),MATCH($E$233,$X$109:$X$126,0))*C246</f>
        <v>0</v>
      </c>
      <c r="AJ239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246,$IT$106:$JN$106,0),MATCH($E$233,$X$109:$X$126,0))*C246</f>
        <v>0</v>
      </c>
      <c r="AK239" s="21"/>
      <c r="AL239" s="21"/>
      <c r="AM239" s="21"/>
      <c r="AN239" s="21"/>
      <c r="AO239" s="21"/>
      <c r="AP239" s="21"/>
      <c r="AQ239" s="21"/>
      <c r="AR239" s="21"/>
      <c r="AS239" s="21"/>
      <c r="AT239" s="21"/>
      <c r="AU239" s="21"/>
      <c r="AV239" s="21"/>
      <c r="AW239" s="21"/>
      <c r="AX239" s="21"/>
      <c r="AY239" s="21"/>
      <c r="AZ239" s="21"/>
      <c r="BA239" s="21"/>
      <c r="BB239" s="21"/>
      <c r="BC239" s="21"/>
      <c r="BD239" s="21"/>
      <c r="BE239" s="21"/>
      <c r="BF239" s="21"/>
      <c r="BG239" s="21"/>
      <c r="BH239" s="21"/>
      <c r="BI239" s="21"/>
      <c r="BJ239" s="21"/>
      <c r="BK239" s="21"/>
      <c r="BL239" s="21"/>
      <c r="BM239" s="21"/>
      <c r="BN239" s="21"/>
      <c r="BO239" s="21"/>
      <c r="BP239" s="21"/>
      <c r="BQ239" s="21"/>
      <c r="BR239" s="21"/>
      <c r="BS239" s="21"/>
      <c r="BT239" s="21"/>
      <c r="BU239" s="21"/>
      <c r="BV239" s="21"/>
      <c r="BW239" s="21"/>
      <c r="BX239" s="21"/>
      <c r="BY239" s="21"/>
      <c r="BZ239" s="21"/>
      <c r="CA239" s="21"/>
      <c r="CB239" s="21"/>
      <c r="CC239" s="21"/>
      <c r="CD239" s="21"/>
      <c r="CE239" s="21"/>
      <c r="CF239" s="21"/>
      <c r="CG239" s="21"/>
      <c r="CH239" s="21"/>
      <c r="CI239" s="21"/>
      <c r="CJ239" s="21"/>
      <c r="CK239" s="21"/>
      <c r="CL239" s="21"/>
      <c r="CM239" s="21"/>
      <c r="CN239" s="21"/>
      <c r="CO239" s="21"/>
      <c r="CP239" s="21"/>
      <c r="CQ239" s="21"/>
      <c r="CR239" s="21"/>
      <c r="CS239" s="21"/>
      <c r="CT239" s="21"/>
      <c r="CU239" s="21"/>
      <c r="CV239" s="21"/>
      <c r="CW239" s="21"/>
      <c r="CX239" s="21"/>
      <c r="CY239" s="21"/>
      <c r="CZ239" s="21"/>
      <c r="DA239" s="21"/>
      <c r="DB239" s="21"/>
      <c r="DC239" s="21"/>
      <c r="DD239" s="21"/>
      <c r="DE239" s="21"/>
      <c r="DF239" s="21"/>
      <c r="DG239" s="21"/>
      <c r="DH239" s="21"/>
      <c r="DI239" s="21"/>
      <c r="DJ239" s="21"/>
      <c r="DK239" s="21"/>
      <c r="DL239" s="21"/>
      <c r="DM239" s="21"/>
      <c r="DN239" s="21"/>
      <c r="DO239" s="21"/>
      <c r="DP239" s="21"/>
      <c r="DQ239" s="21"/>
      <c r="DR239" s="21"/>
      <c r="DS239" s="21"/>
      <c r="DT239" s="21"/>
      <c r="DU239" s="21"/>
      <c r="DV239" s="21"/>
      <c r="DW239" s="21"/>
      <c r="DX239" s="21"/>
      <c r="DY239" s="21"/>
      <c r="DZ239" s="87"/>
      <c r="EA239" s="87"/>
      <c r="EB239" s="87"/>
      <c r="EC239" s="21"/>
      <c r="ED239" s="21"/>
      <c r="EE239" s="21"/>
      <c r="EF239" s="21"/>
      <c r="EG239" s="21"/>
      <c r="EH239" s="21"/>
      <c r="EI239" s="21"/>
      <c r="EJ239" s="21"/>
      <c r="EK239" s="21"/>
      <c r="EL239" s="21"/>
      <c r="EM239" s="21"/>
      <c r="EN239" s="21"/>
      <c r="EO239" s="21"/>
      <c r="EP239" s="21"/>
      <c r="EQ239" s="21"/>
      <c r="ER239" s="21"/>
      <c r="ES239" s="21"/>
      <c r="ET239" s="21"/>
      <c r="EU239" s="21"/>
      <c r="EV239" s="21"/>
      <c r="EW239" s="21"/>
      <c r="EX239" s="21"/>
      <c r="EY239" s="21"/>
      <c r="EZ239" s="21"/>
      <c r="FA239" s="21"/>
      <c r="FB239" s="21"/>
      <c r="FC239" s="21"/>
      <c r="FD239" s="21"/>
      <c r="FE239" s="21"/>
      <c r="FF239" s="21"/>
      <c r="FG239" s="21"/>
      <c r="FH239" s="21"/>
      <c r="FI239" s="21"/>
      <c r="FJ239" s="21"/>
      <c r="FK239" s="21"/>
      <c r="FL239" s="21"/>
      <c r="FM239" s="21"/>
      <c r="FN239" s="21"/>
      <c r="FO239" s="21"/>
      <c r="FP239" s="21"/>
      <c r="FQ239" s="21"/>
      <c r="FR239" s="21"/>
      <c r="FS239" s="21"/>
      <c r="FT239" s="21"/>
      <c r="FU239" s="21"/>
      <c r="FV239" s="21"/>
      <c r="FW239" s="21"/>
      <c r="FX239" s="21"/>
      <c r="FY239" s="21"/>
      <c r="FZ239" s="21"/>
      <c r="GA239" s="347" t="s">
        <v>868</v>
      </c>
      <c r="GB239" s="21">
        <v>0</v>
      </c>
      <c r="GC239" s="21">
        <v>0</v>
      </c>
      <c r="GD239" s="21">
        <v>2</v>
      </c>
      <c r="GE239" s="21">
        <v>0</v>
      </c>
      <c r="GF239" s="21">
        <v>0</v>
      </c>
      <c r="GG239" s="21">
        <v>0</v>
      </c>
      <c r="GH239" s="21">
        <v>0</v>
      </c>
      <c r="GI239" s="21">
        <v>0</v>
      </c>
      <c r="GJ239" s="21">
        <v>0</v>
      </c>
      <c r="GK239" s="21">
        <v>0</v>
      </c>
      <c r="GL239" s="21">
        <v>0</v>
      </c>
      <c r="GM239" s="21">
        <v>0</v>
      </c>
      <c r="GN239" s="21">
        <v>0</v>
      </c>
      <c r="GO239" s="21">
        <v>0</v>
      </c>
      <c r="GP239" s="21">
        <v>0</v>
      </c>
      <c r="GQ239" s="21">
        <v>0</v>
      </c>
      <c r="GR239" s="21">
        <v>0</v>
      </c>
      <c r="GS239" s="21">
        <v>0</v>
      </c>
      <c r="GT239" s="21">
        <v>0</v>
      </c>
      <c r="GU239" s="21">
        <v>0</v>
      </c>
      <c r="GV239" s="21">
        <v>0</v>
      </c>
      <c r="GW239" s="21"/>
      <c r="GX239" s="21"/>
      <c r="GY239" s="21"/>
      <c r="GZ239" s="21"/>
      <c r="HA239" s="21"/>
      <c r="HB239" s="21"/>
      <c r="HC239" s="21"/>
      <c r="HD239" s="21"/>
      <c r="HE239" s="21"/>
      <c r="HF239" s="21"/>
      <c r="HG239" s="21"/>
      <c r="HH239" s="21"/>
      <c r="HI239" s="21"/>
      <c r="HJ239" s="21"/>
      <c r="HK239" s="21"/>
      <c r="HL239" s="21"/>
      <c r="HM239" s="21"/>
      <c r="HN239" s="21"/>
      <c r="HO239" s="21"/>
      <c r="HP239" s="21"/>
      <c r="HQ239" s="21"/>
      <c r="HR239" s="21"/>
      <c r="HS239" s="21"/>
      <c r="HT239" s="21"/>
      <c r="HU239" s="21"/>
      <c r="HV239" s="186"/>
      <c r="HW239" s="21"/>
      <c r="HX239" s="21"/>
      <c r="HY239" s="21"/>
      <c r="HZ239" s="21"/>
      <c r="IA239" s="21"/>
      <c r="IB239" s="21"/>
      <c r="IC239" s="21"/>
      <c r="ID239" s="21"/>
      <c r="IE239" s="21"/>
      <c r="IF239" s="21"/>
      <c r="IG239" s="21"/>
      <c r="IH239" s="21"/>
      <c r="II239" s="21"/>
      <c r="IJ239" s="21"/>
      <c r="IK239" s="21"/>
      <c r="IL239" s="21"/>
      <c r="IM239" s="21"/>
      <c r="IN239" s="21"/>
      <c r="IO239" s="21"/>
      <c r="IP239" s="21"/>
      <c r="IQ239" s="21"/>
      <c r="IR239" s="21"/>
      <c r="IS239" s="21"/>
      <c r="IT239" s="21"/>
      <c r="IU239" s="21"/>
      <c r="IV239" s="21"/>
      <c r="IW239" s="21"/>
      <c r="IX239" s="21"/>
      <c r="IY239" s="21"/>
      <c r="IZ239" s="21"/>
      <c r="JA239" s="21"/>
      <c r="JB239" s="21"/>
      <c r="JC239" s="21"/>
      <c r="JD239" s="21"/>
      <c r="JE239" s="21"/>
      <c r="JF239" s="21"/>
      <c r="JG239" s="21"/>
      <c r="JH239" s="21"/>
      <c r="JI239" s="21"/>
      <c r="JJ239" s="21"/>
      <c r="JK239" s="21"/>
      <c r="JL239" s="21"/>
      <c r="JM239" s="21"/>
      <c r="JN239" s="21"/>
      <c r="JO239" s="21"/>
      <c r="JP239" s="21"/>
      <c r="JQ239" s="21"/>
      <c r="JR239" s="21"/>
      <c r="JS239" s="21"/>
      <c r="JT239" s="21"/>
      <c r="JU239" s="21"/>
      <c r="JV239" s="21"/>
      <c r="JW239" s="21"/>
      <c r="JX239" s="21"/>
      <c r="JY239" s="21"/>
      <c r="JZ239" s="21"/>
      <c r="KA239" s="21"/>
      <c r="KB239" s="21"/>
      <c r="KC239" s="21"/>
      <c r="KD239" s="21"/>
      <c r="KE239" s="21"/>
      <c r="KF239" s="21"/>
      <c r="KG239" s="21"/>
      <c r="KH239" s="21"/>
    </row>
    <row r="240" spans="1:294" x14ac:dyDescent="0.25">
      <c r="A240" s="8"/>
      <c r="B240" s="5" t="s">
        <v>116</v>
      </c>
      <c r="C240" s="8"/>
      <c r="D240" s="6" t="s">
        <v>787</v>
      </c>
      <c r="E240" s="8">
        <v>1</v>
      </c>
      <c r="F240" s="39" t="s">
        <v>789</v>
      </c>
      <c r="G240" s="17"/>
      <c r="H240" s="9"/>
      <c r="I240" s="9"/>
      <c r="J240" s="30"/>
      <c r="K240" s="9"/>
      <c r="L240" s="6" t="s">
        <v>859</v>
      </c>
      <c r="M240" s="11">
        <f>INDEX(cennik!$C$2:$L$529,MATCH($L240,cennik!$B$2:$B$522,0),MATCH(M$205,cennik!$C$1:$L$1,0))</f>
        <v>897334</v>
      </c>
      <c r="N240" s="11" t="str">
        <f>INDEX(cennik!$C$2:$L$529,MATCH($L240,cennik!$B$2:$B$522,0),MATCH(N$104,cennik!$C$1:$L$1,0))</f>
        <v>szt.</v>
      </c>
      <c r="O240" s="11">
        <f>SUM(A232*4*C232,A233*4*C233,A234*4*C234,A235*4*C235,A236*4*C236,A237*4*C237,A238*4*C238,A239*4*C239,A240*4*C240,A241*4*C241,A242*4*C242,A243*4*C243,A244*4*C244,A245*4*C245,A246*4*C246,A247*4*C247)</f>
        <v>0</v>
      </c>
      <c r="P240" s="34">
        <f>INDEX(cennik!$C$2:$L$529,MATCH($L240,cennik!$B$2:$B$522,0),MATCH(P$104,cennik!$C$1:$L$1,0))</f>
        <v>5.18</v>
      </c>
      <c r="Q240" s="34">
        <f t="shared" si="105"/>
        <v>0</v>
      </c>
      <c r="R240" s="35">
        <f t="shared" si="104"/>
        <v>0</v>
      </c>
      <c r="S240" s="34">
        <f t="shared" si="106"/>
        <v>5.18</v>
      </c>
      <c r="T240" s="34">
        <f t="shared" si="107"/>
        <v>0</v>
      </c>
      <c r="U240" s="34">
        <f>INDEX(cennik!$C$2:$L$529,MATCH($L240,cennik!$B$2:$B$522,0),MATCH(U$104,cennik!$C$1:$L$1,0))*O240</f>
        <v>0</v>
      </c>
      <c r="V240" s="21"/>
      <c r="W240" s="21"/>
      <c r="X240" s="21"/>
      <c r="Y240" s="20"/>
      <c r="Z240" s="20">
        <f t="shared" si="101"/>
        <v>0</v>
      </c>
      <c r="AA240" s="20">
        <f t="shared" si="102"/>
        <v>0</v>
      </c>
      <c r="AB240" s="20">
        <f t="shared" si="103"/>
        <v>0</v>
      </c>
      <c r="AC240" s="21"/>
      <c r="AD24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$208,$HV$107:$HV$109,0),MATCH(A220,$HW$106:$IQ$106,0),MATCH($E$206,$X$109:$X$126,0)))*C220</f>
        <v>0</v>
      </c>
      <c r="AE24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$207,$HV$107:$HV$109,0),MATCH(A220,$HW$106:$IQ$106,0),MATCH($E$206,$X$109:$X$126,0)))*C220</f>
        <v>0</v>
      </c>
      <c r="AF240" s="21">
        <f>(INDEX(($HW$107:$IQ$109,$HW$113:$IQ$115,$HW$119:$IQ$121,$HW$125:$IQ$127,$HW$131:$IQ$133,$HW$137:$IQ$139,$HW$143:$IQ$145,$HW$149:$IQ$151,$HW$155:$IQ$157,$HW$161:$IQ$163,$HW$167:$IQ$169,$HW$173:$IQ$175,$HW$179:$IQ$181,$HW$185:$IQ$187,$HW$191:$IQ$193,$HW$197:$IQ$199,$HW$203:$IQ$205,$HW$209:$IQ$211),MATCH($L$206,$HV$107:$HV$109,0),MATCH(A220,$HW$106:$IQ$106,0),MATCH($E$206,$X$109:$X$126,0)))*C220</f>
        <v>0</v>
      </c>
      <c r="AG240" s="21"/>
      <c r="AH24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$235,$IS$107:$IS$109,0),MATCH(A247,$IT$106:$JN$106,0),MATCH($E$233,$X$109:$X$126,0))*C247</f>
        <v>0</v>
      </c>
      <c r="AI24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$234,$IS$107:$IS$109,0),MATCH(A247,$IT$106:$JN$106,0),MATCH($E$233,$X$109:$X$126,0))*C247</f>
        <v>0</v>
      </c>
      <c r="AJ240" s="21">
        <f>INDEX(($IT$107:$JN$109,$IT$113:$JN$115,$IT$119:$JN$121,$IT$125:$JN$127,$IT$131:$JN$133,$IT$137:$JN$139,$IT$143:$JN$145,$IT$149:$JN$151,$IT$155:$JN$157,$IT$161:$JN$163,$IT$167:$JN$169,$IT$173:$JN$175,$IT$179:$JN$181,$IT$185:$JN$187,$IT$191:$JN$193,$IT$197:$JN$199,$IT$203:$JN$205,$IT$209:$JN$211),MATCH($L$233,$IS$107:$IS$109,0),MATCH(A247,$IT$106:$JN$106,0),MATCH($E$233,$X$109:$X$126,0))*C247</f>
        <v>0</v>
      </c>
      <c r="AK240" s="21"/>
      <c r="AL240" s="21"/>
      <c r="AM240" s="21"/>
      <c r="AN240" s="21"/>
      <c r="AO240" s="21"/>
      <c r="AP240" s="21"/>
      <c r="AQ240" s="21"/>
      <c r="AR240" s="21"/>
      <c r="AS240" s="21"/>
      <c r="AT240" s="21"/>
      <c r="AU240" s="21"/>
      <c r="AV240" s="21"/>
      <c r="AW240" s="21"/>
      <c r="AX240" s="21"/>
      <c r="AY240" s="21"/>
      <c r="AZ240" s="21"/>
      <c r="BA240" s="21"/>
      <c r="BB240" s="21"/>
      <c r="BC240" s="21"/>
      <c r="BD240" s="21"/>
      <c r="BE240" s="21"/>
      <c r="BF240" s="21"/>
      <c r="BG240" s="21"/>
      <c r="BH240" s="21"/>
      <c r="BI240" s="21"/>
      <c r="BJ240" s="21"/>
      <c r="BK240" s="21"/>
      <c r="BL240" s="21"/>
      <c r="BM240" s="21"/>
      <c r="BN240" s="21"/>
      <c r="BO240" s="21"/>
      <c r="BP240" s="21"/>
      <c r="BQ240" s="21"/>
      <c r="BR240" s="21"/>
      <c r="BS240" s="21"/>
      <c r="BT240" s="21"/>
      <c r="BU240" s="21"/>
      <c r="BV240" s="21"/>
      <c r="BW240" s="21"/>
      <c r="BX240" s="21"/>
      <c r="BY240" s="21"/>
      <c r="BZ240" s="21"/>
      <c r="CA240" s="21"/>
      <c r="CB240" s="21"/>
      <c r="CC240" s="21"/>
      <c r="CD240" s="21"/>
      <c r="CE240" s="21"/>
      <c r="CF240" s="21"/>
      <c r="CG240" s="21"/>
      <c r="CH240" s="21"/>
      <c r="CI240" s="21"/>
      <c r="CJ240" s="21"/>
      <c r="CK240" s="21"/>
      <c r="CL240" s="21"/>
      <c r="CM240" s="21"/>
      <c r="CN240" s="21"/>
      <c r="CO240" s="21"/>
      <c r="CP240" s="21"/>
      <c r="CQ240" s="21"/>
      <c r="CR240" s="21"/>
      <c r="CS240" s="21"/>
      <c r="CT240" s="21"/>
      <c r="CU240" s="21"/>
      <c r="CV240" s="21"/>
      <c r="CW240" s="21"/>
      <c r="CX240" s="21"/>
      <c r="CY240" s="21"/>
      <c r="CZ240" s="21"/>
      <c r="DA240" s="21"/>
      <c r="DB240" s="21"/>
      <c r="DC240" s="21"/>
      <c r="DD240" s="21"/>
      <c r="DE240" s="21"/>
      <c r="DF240" s="21"/>
      <c r="DG240" s="21"/>
      <c r="DH240" s="21"/>
      <c r="DI240" s="21"/>
      <c r="DJ240" s="21"/>
      <c r="DK240" s="21"/>
      <c r="DL240" s="21"/>
      <c r="DM240" s="21"/>
      <c r="DN240" s="21"/>
      <c r="DO240" s="21"/>
      <c r="DP240" s="21"/>
      <c r="DQ240" s="21"/>
      <c r="DR240" s="21"/>
      <c r="DS240" s="21"/>
      <c r="DT240" s="21"/>
      <c r="DU240" s="21"/>
      <c r="DV240" s="21"/>
      <c r="DW240" s="21"/>
      <c r="DX240" s="21"/>
      <c r="DY240" s="21"/>
      <c r="DZ240" s="87"/>
      <c r="EA240" s="87"/>
      <c r="EB240" s="87"/>
      <c r="EC240" s="21"/>
      <c r="ED240" s="21"/>
      <c r="EE240" s="21"/>
      <c r="EF240" s="21"/>
      <c r="EG240" s="21"/>
      <c r="EH240" s="21"/>
      <c r="EI240" s="21"/>
      <c r="EJ240" s="21"/>
      <c r="EK240" s="21"/>
      <c r="EL240" s="21"/>
      <c r="EM240" s="21"/>
      <c r="EN240" s="21"/>
      <c r="EO240" s="21"/>
      <c r="EP240" s="21"/>
      <c r="EQ240" s="21"/>
      <c r="ER240" s="21"/>
      <c r="ES240" s="21"/>
      <c r="ET240" s="21"/>
      <c r="EU240" s="21"/>
      <c r="EV240" s="21"/>
      <c r="EW240" s="21"/>
      <c r="EX240" s="21"/>
      <c r="EY240" s="21"/>
      <c r="EZ240" s="21"/>
      <c r="FA240" s="21"/>
      <c r="FB240" s="21"/>
      <c r="FC240" s="21"/>
      <c r="FD240" s="21"/>
      <c r="FE240" s="21"/>
      <c r="FF240" s="21"/>
      <c r="FG240" s="21"/>
      <c r="FH240" s="21"/>
      <c r="FI240" s="21"/>
      <c r="FJ240" s="21"/>
      <c r="FK240" s="21"/>
      <c r="FL240" s="21"/>
      <c r="FM240" s="21"/>
      <c r="FN240" s="21"/>
      <c r="FO240" s="21"/>
      <c r="FP240" s="21"/>
      <c r="FQ240" s="21"/>
      <c r="FR240" s="21"/>
      <c r="FS240" s="21"/>
      <c r="FT240" s="21"/>
      <c r="FU240" s="21"/>
      <c r="FV240" s="21"/>
      <c r="FW240" s="21"/>
      <c r="FX240" s="21"/>
      <c r="FY240" s="21"/>
      <c r="FZ240" s="21"/>
      <c r="GA240" s="21"/>
      <c r="GB240" s="21"/>
      <c r="GC240" s="21"/>
      <c r="GD240" s="21"/>
      <c r="GE240" s="21"/>
      <c r="GF240" s="21"/>
      <c r="GG240" s="21"/>
      <c r="GH240" s="21"/>
      <c r="GI240" s="21"/>
      <c r="GJ240" s="21"/>
      <c r="GK240" s="21"/>
      <c r="GL240" s="21"/>
      <c r="GM240" s="21"/>
      <c r="GN240" s="21"/>
      <c r="GO240" s="21"/>
      <c r="GP240" s="21"/>
      <c r="GQ240" s="21"/>
      <c r="GR240" s="21"/>
      <c r="GS240" s="21"/>
      <c r="GT240" s="21"/>
      <c r="GU240" s="21"/>
      <c r="GV240" s="21"/>
      <c r="GW240" s="21"/>
      <c r="GX240" s="21"/>
      <c r="GY240" s="21"/>
      <c r="GZ240" s="21"/>
      <c r="HA240" s="21"/>
      <c r="HB240" s="21"/>
      <c r="HC240" s="21"/>
      <c r="HD240" s="21"/>
      <c r="HE240" s="21"/>
      <c r="HF240" s="21"/>
      <c r="HG240" s="21"/>
      <c r="HH240" s="21"/>
      <c r="HI240" s="21"/>
      <c r="HJ240" s="21"/>
      <c r="HK240" s="21"/>
      <c r="HL240" s="21"/>
      <c r="HM240" s="21"/>
      <c r="HN240" s="21"/>
      <c r="HO240" s="21"/>
      <c r="HP240" s="21"/>
      <c r="HQ240" s="21"/>
      <c r="HR240" s="21"/>
      <c r="HS240" s="21"/>
      <c r="HT240" s="21"/>
      <c r="HU240" s="21"/>
      <c r="HV240" s="186"/>
      <c r="HW240" s="21"/>
      <c r="HX240" s="21"/>
      <c r="HY240" s="21"/>
      <c r="HZ240" s="21"/>
      <c r="IA240" s="21"/>
      <c r="IB240" s="21"/>
      <c r="IC240" s="21"/>
      <c r="ID240" s="21"/>
      <c r="IE240" s="21"/>
      <c r="IF240" s="21"/>
      <c r="IG240" s="21"/>
      <c r="IH240" s="21"/>
      <c r="II240" s="21"/>
      <c r="IJ240" s="21"/>
      <c r="IK240" s="21"/>
      <c r="IL240" s="21"/>
      <c r="IM240" s="21"/>
      <c r="IN240" s="21"/>
      <c r="IO240" s="21"/>
      <c r="IP240" s="21"/>
      <c r="IQ240" s="21"/>
      <c r="IR240" s="21"/>
      <c r="IS240" s="21"/>
      <c r="IT240" s="21"/>
      <c r="IU240" s="21"/>
      <c r="IV240" s="21"/>
      <c r="IW240" s="21"/>
      <c r="IX240" s="21"/>
      <c r="IY240" s="21"/>
      <c r="IZ240" s="21"/>
      <c r="JA240" s="21"/>
      <c r="JB240" s="21"/>
      <c r="JC240" s="21"/>
      <c r="JD240" s="21"/>
      <c r="JE240" s="21"/>
      <c r="JF240" s="21"/>
      <c r="JG240" s="21"/>
      <c r="JH240" s="21"/>
      <c r="JI240" s="21"/>
      <c r="JJ240" s="21"/>
      <c r="JK240" s="21"/>
      <c r="JL240" s="21"/>
      <c r="JM240" s="21"/>
      <c r="JN240" s="21"/>
      <c r="JO240" s="21"/>
      <c r="JP240" s="21"/>
      <c r="JQ240" s="21"/>
      <c r="JR240" s="21"/>
      <c r="JS240" s="21"/>
      <c r="JT240" s="21"/>
      <c r="JU240" s="21"/>
      <c r="JV240" s="21"/>
      <c r="JW240" s="21"/>
      <c r="JX240" s="21"/>
      <c r="JY240" s="21"/>
      <c r="JZ240" s="21"/>
      <c r="KA240" s="21"/>
      <c r="KB240" s="21"/>
      <c r="KC240" s="21"/>
      <c r="KD240" s="21"/>
      <c r="KE240" s="21"/>
      <c r="KF240" s="21"/>
      <c r="KG240" s="21"/>
      <c r="KH240" s="21"/>
    </row>
    <row r="241" spans="1:294" x14ac:dyDescent="0.25">
      <c r="A241" s="8"/>
      <c r="B241" s="5" t="s">
        <v>116</v>
      </c>
      <c r="C241" s="8"/>
      <c r="D241" s="6" t="s">
        <v>788</v>
      </c>
      <c r="E241" s="8">
        <v>1</v>
      </c>
      <c r="F241" s="39" t="s">
        <v>790</v>
      </c>
      <c r="G241" s="9"/>
      <c r="H241" s="9"/>
      <c r="I241" s="9"/>
      <c r="J241" s="9"/>
      <c r="K241" s="9"/>
      <c r="L241" s="6" t="s">
        <v>477</v>
      </c>
      <c r="M241" s="11">
        <f>INDEX(cennik!$C$2:$L$529,MATCH($L241,cennik!$B$2:$B$522,0),MATCH(M$205,cennik!$C$1:$L$1,0))</f>
        <v>898525</v>
      </c>
      <c r="N241" s="11" t="str">
        <f>INDEX(cennik!$C$2:$L$529,MATCH($L241,cennik!$B$2:$B$522,0),MATCH(N$104,cennik!$C$1:$L$1,0))</f>
        <v>szt.</v>
      </c>
      <c r="O241" s="11">
        <f>O240</f>
        <v>0</v>
      </c>
      <c r="P241" s="34">
        <f>INDEX(cennik!$C$2:$L$529,MATCH($L241,cennik!$B$2:$B$522,0),MATCH(P$104,cennik!$C$1:$L$1,0))</f>
        <v>0.45</v>
      </c>
      <c r="Q241" s="34">
        <f t="shared" si="105"/>
        <v>0</v>
      </c>
      <c r="R241" s="35">
        <f t="shared" si="104"/>
        <v>0</v>
      </c>
      <c r="S241" s="34">
        <f>P241*((100-$E$236)/100)</f>
        <v>0.45</v>
      </c>
      <c r="T241" s="34">
        <f t="shared" si="107"/>
        <v>0</v>
      </c>
      <c r="U241" s="34">
        <f>INDEX(cennik!$C$2:$L$529,MATCH($L241,cennik!$B$2:$B$522,0),MATCH(U$104,cennik!$C$1:$L$1,0))*O241</f>
        <v>0</v>
      </c>
      <c r="V241" s="21"/>
      <c r="W241" s="21"/>
      <c r="X241" s="21"/>
      <c r="Y241" s="21"/>
      <c r="Z241" s="21"/>
      <c r="AA241" s="21"/>
      <c r="AB241" s="21"/>
      <c r="AC241" s="21"/>
      <c r="AD241" s="21"/>
      <c r="AE241" s="21"/>
      <c r="AF241" s="21"/>
      <c r="AG241" s="21"/>
      <c r="AH241" s="21"/>
      <c r="AI241" s="21"/>
      <c r="AJ241" s="21"/>
      <c r="AK241" s="21"/>
      <c r="AL241" s="21"/>
      <c r="AM241" s="21"/>
      <c r="AN241" s="21"/>
      <c r="AO241" s="21"/>
      <c r="AP241" s="21"/>
      <c r="AQ241" s="21"/>
      <c r="AR241" s="21"/>
      <c r="AS241" s="21"/>
      <c r="AT241" s="21"/>
      <c r="AU241" s="21"/>
      <c r="AV241" s="21"/>
      <c r="AW241" s="21"/>
      <c r="AX241" s="21"/>
      <c r="AY241" s="21"/>
      <c r="AZ241" s="21"/>
      <c r="BA241" s="21"/>
      <c r="BB241" s="21"/>
      <c r="BC241" s="21"/>
      <c r="BD241" s="21"/>
      <c r="BE241" s="21"/>
      <c r="BF241" s="21"/>
      <c r="BG241" s="21"/>
      <c r="BH241" s="21"/>
      <c r="BI241" s="21"/>
      <c r="BJ241" s="21"/>
      <c r="BK241" s="21"/>
      <c r="BL241" s="21"/>
      <c r="BM241" s="21"/>
      <c r="BN241" s="21"/>
      <c r="BO241" s="21"/>
      <c r="BP241" s="21"/>
      <c r="BQ241" s="21"/>
      <c r="BR241" s="21"/>
      <c r="BS241" s="21"/>
      <c r="BT241" s="21"/>
      <c r="BU241" s="21"/>
      <c r="BV241" s="21"/>
      <c r="BW241" s="21"/>
      <c r="BX241" s="21"/>
      <c r="BY241" s="21"/>
      <c r="BZ241" s="21"/>
      <c r="CA241" s="21"/>
      <c r="CB241" s="21"/>
      <c r="CC241" s="21"/>
      <c r="CD241" s="21"/>
      <c r="CE241" s="21"/>
      <c r="CF241" s="21"/>
      <c r="CG241" s="21"/>
      <c r="CH241" s="21"/>
      <c r="CI241" s="21"/>
      <c r="CJ241" s="21"/>
      <c r="CK241" s="21"/>
      <c r="CL241" s="21"/>
      <c r="CM241" s="21"/>
      <c r="CN241" s="21"/>
      <c r="CO241" s="21"/>
      <c r="CP241" s="21"/>
      <c r="CQ241" s="21"/>
      <c r="CR241" s="21"/>
      <c r="CS241" s="21"/>
      <c r="CT241" s="21"/>
      <c r="CU241" s="21"/>
      <c r="CV241" s="21"/>
      <c r="CW241" s="21"/>
      <c r="CX241" s="21"/>
      <c r="CY241" s="21"/>
      <c r="CZ241" s="21"/>
      <c r="DA241" s="21"/>
      <c r="DB241" s="21"/>
      <c r="DC241" s="21"/>
      <c r="DD241" s="21"/>
      <c r="DE241" s="21"/>
      <c r="DF241" s="21"/>
      <c r="DG241" s="21"/>
      <c r="DH241" s="21"/>
      <c r="DI241" s="21"/>
      <c r="DJ241" s="21"/>
      <c r="DK241" s="21"/>
      <c r="DL241" s="21"/>
      <c r="DM241" s="21"/>
      <c r="DN241" s="21"/>
      <c r="DO241" s="21"/>
      <c r="DP241" s="21"/>
      <c r="DQ241" s="21"/>
      <c r="DR241" s="21"/>
      <c r="DS241" s="21"/>
      <c r="DT241" s="21"/>
      <c r="DU241" s="21"/>
      <c r="DV241" s="21"/>
      <c r="DW241" s="21"/>
      <c r="DX241" s="21"/>
      <c r="DY241" s="21"/>
      <c r="DZ241" s="87"/>
      <c r="EA241" s="87"/>
      <c r="EB241" s="87"/>
      <c r="EC241" s="21"/>
      <c r="ED241" s="21"/>
      <c r="EE241" s="21"/>
      <c r="EF241" s="21"/>
      <c r="EG241" s="21"/>
      <c r="EH241" s="21"/>
      <c r="EI241" s="21"/>
      <c r="EJ241" s="21"/>
      <c r="EK241" s="21"/>
      <c r="EL241" s="21"/>
      <c r="EM241" s="21"/>
      <c r="EN241" s="21"/>
      <c r="EO241" s="21"/>
      <c r="EP241" s="21"/>
      <c r="EQ241" s="21"/>
      <c r="ER241" s="21"/>
      <c r="ES241" s="21"/>
      <c r="ET241" s="21"/>
      <c r="EU241" s="21"/>
      <c r="EV241" s="21"/>
      <c r="EW241" s="21"/>
      <c r="EX241" s="21"/>
      <c r="EY241" s="21"/>
      <c r="EZ241" s="21"/>
      <c r="FA241" s="21"/>
      <c r="FB241" s="21"/>
      <c r="FC241" s="21"/>
      <c r="FD241" s="21"/>
      <c r="FE241" s="21"/>
      <c r="FF241" s="21"/>
      <c r="FG241" s="21"/>
      <c r="FH241" s="21"/>
      <c r="FI241" s="21"/>
      <c r="FJ241" s="21"/>
      <c r="FK241" s="21"/>
      <c r="FL241" s="21"/>
      <c r="FM241" s="21"/>
      <c r="FN241" s="21"/>
      <c r="FO241" s="21"/>
      <c r="FP241" s="21"/>
      <c r="FQ241" s="21"/>
      <c r="FR241" s="21"/>
      <c r="FS241" s="21"/>
      <c r="FT241" s="21"/>
      <c r="FU241" s="21"/>
      <c r="FV241" s="21"/>
      <c r="FW241" s="21"/>
      <c r="FX241" s="21"/>
      <c r="FY241" s="21"/>
      <c r="FZ241" s="21"/>
      <c r="GA241" s="21" t="s">
        <v>478</v>
      </c>
      <c r="GB241" s="21"/>
      <c r="GC241" s="21"/>
      <c r="GD241" s="21"/>
      <c r="GE241" s="21"/>
      <c r="GF241" s="21"/>
      <c r="GG241" s="21"/>
      <c r="GH241" s="21"/>
      <c r="GI241" s="21"/>
      <c r="GJ241" s="21"/>
      <c r="GK241" s="21"/>
      <c r="GL241" s="21"/>
      <c r="GM241" s="21"/>
      <c r="GN241" s="21"/>
      <c r="GO241" s="21"/>
      <c r="GP241" s="21"/>
      <c r="GQ241" s="21"/>
      <c r="GR241" s="21"/>
      <c r="GS241" s="21"/>
      <c r="GT241" s="21"/>
      <c r="GU241" s="21"/>
      <c r="GV241" s="21"/>
      <c r="GW241" s="21"/>
      <c r="GX241" s="21"/>
      <c r="GY241" s="21"/>
      <c r="GZ241" s="21"/>
      <c r="HA241" s="21"/>
      <c r="HB241" s="21"/>
      <c r="HC241" s="21"/>
      <c r="HD241" s="21"/>
      <c r="HE241" s="21"/>
      <c r="HF241" s="21"/>
      <c r="HG241" s="21"/>
      <c r="HH241" s="21"/>
      <c r="HI241" s="21"/>
      <c r="HJ241" s="21"/>
      <c r="HK241" s="21"/>
      <c r="HL241" s="21"/>
      <c r="HM241" s="21"/>
      <c r="HN241" s="21"/>
      <c r="HO241" s="21"/>
      <c r="HP241" s="21"/>
      <c r="HQ241" s="21"/>
      <c r="HR241" s="21"/>
      <c r="HS241" s="21"/>
      <c r="HT241" s="21"/>
      <c r="HU241" s="21"/>
      <c r="HV241" s="186"/>
      <c r="HW241" s="21"/>
      <c r="HX241" s="21"/>
      <c r="HY241" s="21"/>
      <c r="HZ241" s="21"/>
      <c r="IA241" s="21"/>
      <c r="IB241" s="21"/>
      <c r="IC241" s="21"/>
      <c r="ID241" s="21"/>
      <c r="IE241" s="21"/>
      <c r="IF241" s="21"/>
      <c r="IG241" s="21"/>
      <c r="IH241" s="21"/>
      <c r="II241" s="21"/>
      <c r="IJ241" s="21"/>
      <c r="IK241" s="21"/>
      <c r="IL241" s="21"/>
      <c r="IM241" s="21"/>
      <c r="IN241" s="21"/>
      <c r="IO241" s="21"/>
      <c r="IP241" s="21"/>
      <c r="IQ241" s="21"/>
      <c r="IR241" s="21"/>
      <c r="IS241" s="21"/>
      <c r="IT241" s="21"/>
      <c r="IU241" s="21"/>
      <c r="IV241" s="21"/>
      <c r="IW241" s="21"/>
      <c r="IX241" s="21"/>
      <c r="IY241" s="21"/>
      <c r="IZ241" s="21"/>
      <c r="JA241" s="21"/>
      <c r="JB241" s="21"/>
      <c r="JC241" s="21"/>
      <c r="JD241" s="21"/>
      <c r="JE241" s="21"/>
      <c r="JF241" s="21"/>
      <c r="JG241" s="21"/>
      <c r="JH241" s="21"/>
      <c r="JI241" s="21"/>
      <c r="JJ241" s="21"/>
      <c r="JK241" s="21"/>
      <c r="JL241" s="21"/>
      <c r="JM241" s="21"/>
      <c r="JN241" s="21"/>
      <c r="JO241" s="21"/>
      <c r="JP241" s="21"/>
      <c r="JQ241" s="21"/>
      <c r="JR241" s="21"/>
      <c r="JS241" s="21"/>
      <c r="JT241" s="21"/>
      <c r="JU241" s="21"/>
      <c r="JV241" s="21"/>
      <c r="JW241" s="21"/>
      <c r="JX241" s="21"/>
      <c r="JY241" s="21"/>
      <c r="JZ241" s="21"/>
      <c r="KA241" s="21"/>
      <c r="KB241" s="21"/>
      <c r="KC241" s="21"/>
      <c r="KD241" s="21"/>
      <c r="KE241" s="21"/>
      <c r="KF241" s="21"/>
      <c r="KG241" s="21"/>
      <c r="KH241" s="21"/>
    </row>
    <row r="242" spans="1:294" x14ac:dyDescent="0.25">
      <c r="A242" s="8"/>
      <c r="B242" s="5" t="s">
        <v>116</v>
      </c>
      <c r="C242" s="8"/>
      <c r="D242" s="40" t="s">
        <v>941</v>
      </c>
      <c r="E242" s="32"/>
      <c r="F242" s="31"/>
      <c r="G242" s="31"/>
      <c r="H242" s="9"/>
      <c r="I242" s="9"/>
      <c r="J242" s="9"/>
      <c r="K242" s="9"/>
      <c r="L242" s="6" t="s">
        <v>849</v>
      </c>
      <c r="M242" s="11">
        <f>INDEX(cennik!$C$2:$L$529,MATCH($L242,cennik!$B$2:$B$522,0),MATCH(M$205,cennik!$C$1:$L$1,0))</f>
        <v>660246</v>
      </c>
      <c r="N242" s="11" t="str">
        <f>INDEX(cennik!$C$2:$L$529,MATCH($L242,cennik!$B$2:$B$522,0),MATCH(N$104,cennik!$C$1:$L$1,0))</f>
        <v>szt.</v>
      </c>
      <c r="O242" s="11">
        <f>O240</f>
        <v>0</v>
      </c>
      <c r="P242" s="34">
        <f>INDEX(cennik!$C$2:$L$529,MATCH($L242,cennik!$B$2:$B$522,0),MATCH(P$104,cennik!$C$1:$L$1,0))</f>
        <v>1.56</v>
      </c>
      <c r="Q242" s="34">
        <f t="shared" si="105"/>
        <v>0</v>
      </c>
      <c r="R242" s="35">
        <f t="shared" si="104"/>
        <v>0</v>
      </c>
      <c r="S242" s="34">
        <f t="shared" si="106"/>
        <v>1.56</v>
      </c>
      <c r="T242" s="34">
        <f t="shared" si="107"/>
        <v>0</v>
      </c>
      <c r="U242" s="34">
        <f>INDEX(cennik!$C$2:$L$529,MATCH($L242,cennik!$B$2:$B$522,0),MATCH(U$104,cennik!$C$1:$L$1,0))*O242</f>
        <v>0</v>
      </c>
      <c r="V242" s="21"/>
      <c r="W242" s="21"/>
      <c r="X242" s="21"/>
      <c r="Y242" s="21"/>
      <c r="Z242" s="21"/>
      <c r="AA242" s="21"/>
      <c r="AB242" s="21"/>
      <c r="AC242" s="21"/>
      <c r="AD242" s="21"/>
      <c r="AE242" s="21"/>
      <c r="AF242" s="21"/>
      <c r="AG242" s="21"/>
      <c r="AH242" s="21"/>
      <c r="AI242" s="21"/>
      <c r="AJ242" s="21"/>
      <c r="AK242" s="21"/>
      <c r="AL242" s="21"/>
      <c r="AM242" s="21"/>
      <c r="AN242" s="21"/>
      <c r="AO242" s="21"/>
      <c r="AP242" s="21"/>
      <c r="AQ242" s="21"/>
      <c r="AR242" s="21"/>
      <c r="AS242" s="21"/>
      <c r="AT242" s="21"/>
      <c r="AU242" s="21"/>
      <c r="AV242" s="21"/>
      <c r="AW242" s="21"/>
      <c r="AX242" s="21"/>
      <c r="AY242" s="21"/>
      <c r="AZ242" s="21"/>
      <c r="BA242" s="21"/>
      <c r="BB242" s="21"/>
      <c r="BC242" s="21"/>
      <c r="BD242" s="21"/>
      <c r="BE242" s="21"/>
      <c r="BF242" s="21"/>
      <c r="BG242" s="21"/>
      <c r="BH242" s="21"/>
      <c r="BI242" s="21"/>
      <c r="BJ242" s="21"/>
      <c r="BK242" s="21"/>
      <c r="BL242" s="21"/>
      <c r="BM242" s="21"/>
      <c r="BN242" s="21"/>
      <c r="BO242" s="21"/>
      <c r="BP242" s="21"/>
      <c r="BQ242" s="21"/>
      <c r="BR242" s="21"/>
      <c r="BS242" s="21"/>
      <c r="BT242" s="21"/>
      <c r="BU242" s="21"/>
      <c r="BV242" s="21"/>
      <c r="BW242" s="21"/>
      <c r="BX242" s="21"/>
      <c r="BY242" s="21"/>
      <c r="BZ242" s="21"/>
      <c r="CA242" s="21"/>
      <c r="CB242" s="21"/>
      <c r="CC242" s="21"/>
      <c r="CD242" s="21"/>
      <c r="CE242" s="21"/>
      <c r="CF242" s="21"/>
      <c r="CG242" s="21"/>
      <c r="CH242" s="21"/>
      <c r="CI242" s="21"/>
      <c r="CJ242" s="21"/>
      <c r="CK242" s="21"/>
      <c r="CL242" s="21"/>
      <c r="CM242" s="21"/>
      <c r="CN242" s="21"/>
      <c r="CO242" s="21"/>
      <c r="CP242" s="21"/>
      <c r="CQ242" s="21"/>
      <c r="CR242" s="21"/>
      <c r="CS242" s="21"/>
      <c r="CT242" s="21"/>
      <c r="CU242" s="21"/>
      <c r="CV242" s="21"/>
      <c r="CW242" s="21"/>
      <c r="CX242" s="21"/>
      <c r="CY242" s="21"/>
      <c r="CZ242" s="21"/>
      <c r="DA242" s="21"/>
      <c r="DB242" s="21"/>
      <c r="DC242" s="21"/>
      <c r="DD242" s="21"/>
      <c r="DE242" s="21"/>
      <c r="DF242" s="21"/>
      <c r="DG242" s="21"/>
      <c r="DH242" s="21"/>
      <c r="DI242" s="21"/>
      <c r="DJ242" s="21"/>
      <c r="DK242" s="21"/>
      <c r="DL242" s="21"/>
      <c r="DM242" s="21"/>
      <c r="DN242" s="21"/>
      <c r="DO242" s="21"/>
      <c r="DP242" s="21"/>
      <c r="DQ242" s="21"/>
      <c r="DR242" s="21"/>
      <c r="DS242" s="21"/>
      <c r="DT242" s="21"/>
      <c r="DU242" s="21"/>
      <c r="DV242" s="21"/>
      <c r="DW242" s="21"/>
      <c r="DX242" s="21"/>
      <c r="DY242" s="21"/>
      <c r="DZ242" s="87"/>
      <c r="EA242" s="87"/>
      <c r="EB242" s="87"/>
      <c r="EC242" s="21"/>
      <c r="ED242" s="21"/>
      <c r="EE242" s="21"/>
      <c r="EF242" s="21"/>
      <c r="EG242" s="21"/>
      <c r="EH242" s="21"/>
      <c r="EI242" s="21"/>
      <c r="EJ242" s="21"/>
      <c r="EK242" s="21"/>
      <c r="EL242" s="21"/>
      <c r="EM242" s="21"/>
      <c r="EN242" s="21"/>
      <c r="EO242" s="21"/>
      <c r="EP242" s="21"/>
      <c r="EQ242" s="21"/>
      <c r="ER242" s="21"/>
      <c r="ES242" s="21"/>
      <c r="ET242" s="21"/>
      <c r="EU242" s="21"/>
      <c r="EV242" s="21"/>
      <c r="EW242" s="21"/>
      <c r="EX242" s="21"/>
      <c r="EY242" s="21"/>
      <c r="EZ242" s="21"/>
      <c r="FA242" s="21"/>
      <c r="FB242" s="21"/>
      <c r="FC242" s="21"/>
      <c r="FD242" s="21"/>
      <c r="FE242" s="21"/>
      <c r="FF242" s="21"/>
      <c r="FG242" s="21"/>
      <c r="FH242" s="21"/>
      <c r="FI242" s="21"/>
      <c r="FJ242" s="21"/>
      <c r="FK242" s="21"/>
      <c r="FL242" s="21"/>
      <c r="FM242" s="21"/>
      <c r="FN242" s="21"/>
      <c r="FO242" s="21"/>
      <c r="FP242" s="21"/>
      <c r="FQ242" s="21"/>
      <c r="FR242" s="21"/>
      <c r="FS242" s="21"/>
      <c r="FT242" s="21"/>
      <c r="FU242" s="21"/>
      <c r="FV242" s="21"/>
      <c r="FW242" s="21"/>
      <c r="FX242" s="21"/>
      <c r="FY242" s="21"/>
      <c r="FZ242" s="21"/>
      <c r="GA242" s="21"/>
      <c r="GB242" s="21">
        <v>0</v>
      </c>
      <c r="GC242" s="21">
        <v>1</v>
      </c>
      <c r="GD242" s="21">
        <v>2</v>
      </c>
      <c r="GE242" s="21">
        <v>3</v>
      </c>
      <c r="GF242" s="21">
        <v>4</v>
      </c>
      <c r="GG242" s="21">
        <v>5</v>
      </c>
      <c r="GH242" s="21">
        <v>6</v>
      </c>
      <c r="GI242" s="21">
        <v>7</v>
      </c>
      <c r="GJ242" s="21">
        <v>8</v>
      </c>
      <c r="GK242" s="21">
        <v>9</v>
      </c>
      <c r="GL242" s="21">
        <v>10</v>
      </c>
      <c r="GM242" s="21">
        <v>11</v>
      </c>
      <c r="GN242" s="21">
        <v>12</v>
      </c>
      <c r="GO242" s="21">
        <v>13</v>
      </c>
      <c r="GP242" s="21">
        <v>14</v>
      </c>
      <c r="GQ242" s="21">
        <v>15</v>
      </c>
      <c r="GR242" s="21">
        <v>16</v>
      </c>
      <c r="GS242" s="21">
        <v>17</v>
      </c>
      <c r="GT242" s="21">
        <v>18</v>
      </c>
      <c r="GU242" s="21">
        <v>19</v>
      </c>
      <c r="GV242" s="21">
        <v>20</v>
      </c>
      <c r="GW242" s="21"/>
      <c r="GX242" s="21"/>
      <c r="GY242" s="21"/>
      <c r="GZ242" s="21"/>
      <c r="HA242" s="21"/>
      <c r="HB242" s="21"/>
      <c r="HC242" s="21"/>
      <c r="HD242" s="21"/>
      <c r="HE242" s="21"/>
      <c r="HF242" s="21"/>
      <c r="HG242" s="21"/>
      <c r="HH242" s="21"/>
      <c r="HI242" s="21"/>
      <c r="HJ242" s="21"/>
      <c r="HK242" s="21"/>
      <c r="HL242" s="21"/>
      <c r="HM242" s="21"/>
      <c r="HN242" s="21"/>
      <c r="HO242" s="21"/>
      <c r="HP242" s="21"/>
      <c r="HQ242" s="21"/>
      <c r="HR242" s="21"/>
      <c r="HS242" s="21"/>
      <c r="HT242" s="21"/>
      <c r="HU242" s="21"/>
      <c r="HV242" s="186"/>
      <c r="HW242" s="21"/>
      <c r="HX242" s="21"/>
      <c r="HY242" s="21"/>
      <c r="HZ242" s="21"/>
      <c r="IA242" s="21"/>
      <c r="IB242" s="21"/>
      <c r="IC242" s="21"/>
      <c r="ID242" s="21"/>
      <c r="IE242" s="21"/>
      <c r="IF242" s="21"/>
      <c r="IG242" s="21"/>
      <c r="IH242" s="21"/>
      <c r="II242" s="21"/>
      <c r="IJ242" s="21"/>
      <c r="IK242" s="21"/>
      <c r="IL242" s="21"/>
      <c r="IM242" s="21"/>
      <c r="IN242" s="21"/>
      <c r="IO242" s="21"/>
      <c r="IP242" s="21"/>
      <c r="IQ242" s="21"/>
      <c r="IR242" s="21"/>
      <c r="IS242" s="21"/>
      <c r="IT242" s="21"/>
      <c r="IU242" s="21"/>
      <c r="IV242" s="21"/>
      <c r="IW242" s="21"/>
      <c r="IX242" s="21"/>
      <c r="IY242" s="21"/>
      <c r="IZ242" s="21"/>
      <c r="JA242" s="21"/>
      <c r="JB242" s="21"/>
      <c r="JC242" s="21"/>
      <c r="JD242" s="21"/>
      <c r="JE242" s="21"/>
      <c r="JF242" s="21"/>
      <c r="JG242" s="21"/>
      <c r="JH242" s="21"/>
      <c r="JI242" s="21"/>
      <c r="JJ242" s="21"/>
      <c r="JK242" s="21"/>
      <c r="JL242" s="21"/>
      <c r="JM242" s="21"/>
      <c r="JN242" s="21"/>
      <c r="JO242" s="21"/>
      <c r="JP242" s="21"/>
      <c r="JQ242" s="21"/>
      <c r="JR242" s="21"/>
      <c r="JS242" s="21"/>
      <c r="JT242" s="21"/>
      <c r="JU242" s="21"/>
      <c r="JV242" s="21"/>
      <c r="JW242" s="21"/>
      <c r="JX242" s="21"/>
      <c r="JY242" s="21"/>
      <c r="JZ242" s="21"/>
      <c r="KA242" s="21"/>
      <c r="KB242" s="21"/>
      <c r="KC242" s="21"/>
      <c r="KD242" s="21"/>
      <c r="KE242" s="21"/>
      <c r="KF242" s="21"/>
      <c r="KG242" s="21"/>
      <c r="KH242" s="21"/>
    </row>
    <row r="243" spans="1:294" x14ac:dyDescent="0.25">
      <c r="A243" s="8"/>
      <c r="B243" s="5" t="s">
        <v>116</v>
      </c>
      <c r="C243" s="8"/>
      <c r="D243" s="40" t="s">
        <v>797</v>
      </c>
      <c r="E243" s="9"/>
      <c r="F243" s="1"/>
      <c r="G243" s="9"/>
      <c r="H243" s="9"/>
      <c r="I243" s="9"/>
      <c r="J243" s="9"/>
      <c r="K243" s="9"/>
      <c r="L243" s="6" t="s">
        <v>1019</v>
      </c>
      <c r="M243" s="11">
        <f>INDEX(cennik!$C$2:$L$529,MATCH($L243,cennik!$B$2:$B$522,0),MATCH(M$205,cennik!$C$1:$L$1,0))</f>
        <v>166794</v>
      </c>
      <c r="N243" s="11" t="str">
        <f>INDEX(cennik!$C$2:$L$529,MATCH($L243,cennik!$B$2:$B$522,0),MATCH(N$104,cennik!$C$1:$L$1,0))</f>
        <v>100 szt.</v>
      </c>
      <c r="O243" s="11">
        <f>ROUNDUP(O240/100,0)</f>
        <v>0</v>
      </c>
      <c r="P243" s="34">
        <f>INDEX(cennik!$C$2:$L$529,MATCH($L243,cennik!$B$2:$B$522,0),MATCH(P$104,cennik!$C$1:$L$1,0))</f>
        <v>3.95</v>
      </c>
      <c r="Q243" s="34">
        <f t="shared" si="105"/>
        <v>0</v>
      </c>
      <c r="R243" s="35">
        <f t="shared" si="104"/>
        <v>0</v>
      </c>
      <c r="S243" s="34">
        <f t="shared" si="106"/>
        <v>3.95</v>
      </c>
      <c r="T243" s="34">
        <f t="shared" si="107"/>
        <v>0</v>
      </c>
      <c r="U243" s="34">
        <f>INDEX(cennik!$C$2:$L$529,MATCH($L243,cennik!$B$2:$B$522,0),MATCH(U$104,cennik!$C$1:$L$1,0))*O243</f>
        <v>0</v>
      </c>
      <c r="V243" s="21"/>
      <c r="W243" s="21"/>
      <c r="X243" s="21"/>
      <c r="Y243" s="21"/>
      <c r="Z243" s="21"/>
      <c r="AA243" s="21"/>
      <c r="AB243" s="21"/>
      <c r="AC243" s="21"/>
      <c r="AD243" s="21"/>
      <c r="AE243" s="21"/>
      <c r="AF243" s="21"/>
      <c r="AG243" s="21"/>
      <c r="AH243" s="21"/>
      <c r="AI243" s="21"/>
      <c r="AJ243" s="21"/>
      <c r="AK243" s="21"/>
      <c r="AL243" s="21"/>
      <c r="AM243" s="21"/>
      <c r="AN243" s="21"/>
      <c r="AO243" s="21"/>
      <c r="AP243" s="21"/>
      <c r="AQ243" s="21"/>
      <c r="AR243" s="21"/>
      <c r="AS243" s="21"/>
      <c r="AT243" s="21"/>
      <c r="AU243" s="21"/>
      <c r="AV243" s="21"/>
      <c r="AW243" s="21"/>
      <c r="AX243" s="21"/>
      <c r="AY243" s="21"/>
      <c r="AZ243" s="21"/>
      <c r="BA243" s="21"/>
      <c r="BB243" s="21"/>
      <c r="BC243" s="21"/>
      <c r="BD243" s="21"/>
      <c r="BE243" s="21"/>
      <c r="BF243" s="21"/>
      <c r="BG243" s="21"/>
      <c r="BH243" s="21"/>
      <c r="BI243" s="21"/>
      <c r="BJ243" s="21"/>
      <c r="BK243" s="21"/>
      <c r="BL243" s="21"/>
      <c r="BM243" s="21"/>
      <c r="BN243" s="21"/>
      <c r="BO243" s="21"/>
      <c r="BP243" s="21"/>
      <c r="BQ243" s="21"/>
      <c r="BR243" s="21"/>
      <c r="BS243" s="21"/>
      <c r="BT243" s="21"/>
      <c r="BU243" s="21"/>
      <c r="BV243" s="21"/>
      <c r="BW243" s="21"/>
      <c r="BX243" s="21"/>
      <c r="BY243" s="21"/>
      <c r="BZ243" s="21"/>
      <c r="CA243" s="21"/>
      <c r="CB243" s="21"/>
      <c r="CC243" s="21"/>
      <c r="CD243" s="21"/>
      <c r="CE243" s="21"/>
      <c r="CF243" s="21"/>
      <c r="CG243" s="21"/>
      <c r="CH243" s="21"/>
      <c r="CI243" s="21"/>
      <c r="CJ243" s="21"/>
      <c r="CK243" s="21"/>
      <c r="CL243" s="21"/>
      <c r="CM243" s="21"/>
      <c r="CN243" s="21"/>
      <c r="CO243" s="21"/>
      <c r="CP243" s="21"/>
      <c r="CQ243" s="21"/>
      <c r="CR243" s="21"/>
      <c r="CS243" s="21"/>
      <c r="CT243" s="21"/>
      <c r="CU243" s="21"/>
      <c r="CV243" s="21"/>
      <c r="CW243" s="21"/>
      <c r="CX243" s="21"/>
      <c r="CY243" s="21"/>
      <c r="CZ243" s="21"/>
      <c r="DA243" s="21"/>
      <c r="DB243" s="21"/>
      <c r="DC243" s="21"/>
      <c r="DD243" s="21"/>
      <c r="DE243" s="21"/>
      <c r="DF243" s="21"/>
      <c r="DG243" s="21"/>
      <c r="DH243" s="21"/>
      <c r="DI243" s="21"/>
      <c r="DJ243" s="21"/>
      <c r="DK243" s="21"/>
      <c r="DL243" s="21"/>
      <c r="DM243" s="21"/>
      <c r="DN243" s="21"/>
      <c r="DO243" s="21"/>
      <c r="DP243" s="21"/>
      <c r="DQ243" s="21"/>
      <c r="DR243" s="21"/>
      <c r="DS243" s="21"/>
      <c r="DT243" s="21"/>
      <c r="DU243" s="21"/>
      <c r="DV243" s="21"/>
      <c r="DW243" s="21"/>
      <c r="DX243" s="21"/>
      <c r="DY243" s="21"/>
      <c r="DZ243" s="87"/>
      <c r="EA243" s="87"/>
      <c r="EB243" s="87"/>
      <c r="EC243" s="21"/>
      <c r="ED243" s="21"/>
      <c r="EE243" s="21"/>
      <c r="EF243" s="21"/>
      <c r="EG243" s="21"/>
      <c r="EH243" s="21"/>
      <c r="EI243" s="21"/>
      <c r="EJ243" s="21"/>
      <c r="EK243" s="21"/>
      <c r="EL243" s="21"/>
      <c r="EM243" s="21"/>
      <c r="EN243" s="21"/>
      <c r="EO243" s="21"/>
      <c r="EP243" s="21"/>
      <c r="EQ243" s="21"/>
      <c r="ER243" s="21"/>
      <c r="ES243" s="21"/>
      <c r="ET243" s="21"/>
      <c r="EU243" s="21"/>
      <c r="EV243" s="21"/>
      <c r="EW243" s="21"/>
      <c r="EX243" s="21"/>
      <c r="EY243" s="21"/>
      <c r="EZ243" s="21"/>
      <c r="FA243" s="21"/>
      <c r="FB243" s="21"/>
      <c r="FC243" s="21"/>
      <c r="FD243" s="21"/>
      <c r="FE243" s="21"/>
      <c r="FF243" s="21"/>
      <c r="FG243" s="21"/>
      <c r="FH243" s="21"/>
      <c r="FI243" s="21"/>
      <c r="FJ243" s="21"/>
      <c r="FK243" s="21"/>
      <c r="FL243" s="21"/>
      <c r="FM243" s="21"/>
      <c r="FN243" s="21"/>
      <c r="FO243" s="21"/>
      <c r="FP243" s="21"/>
      <c r="FQ243" s="21"/>
      <c r="FR243" s="21"/>
      <c r="FS243" s="21"/>
      <c r="FT243" s="21"/>
      <c r="FU243" s="21"/>
      <c r="FV243" s="21"/>
      <c r="FW243" s="21"/>
      <c r="FX243" s="21"/>
      <c r="FY243" s="21"/>
      <c r="FZ243" s="21"/>
      <c r="GA243" s="347" t="s">
        <v>866</v>
      </c>
      <c r="GB243" s="21">
        <v>0</v>
      </c>
      <c r="GC243" s="21">
        <v>0</v>
      </c>
      <c r="GD243" s="21">
        <v>0</v>
      </c>
      <c r="GE243" s="21">
        <v>3</v>
      </c>
      <c r="GF243" s="21">
        <v>2</v>
      </c>
      <c r="GG243" s="21">
        <v>2</v>
      </c>
      <c r="GH243" s="21">
        <v>1</v>
      </c>
      <c r="GI243" s="21">
        <v>0</v>
      </c>
      <c r="GJ243" s="21">
        <v>5</v>
      </c>
      <c r="GK243" s="21">
        <v>5</v>
      </c>
      <c r="GL243" s="21">
        <v>4</v>
      </c>
      <c r="GM243" s="21">
        <v>3</v>
      </c>
      <c r="GN243" s="21">
        <v>2</v>
      </c>
      <c r="GO243" s="21">
        <v>1</v>
      </c>
      <c r="GP243" s="21">
        <v>1</v>
      </c>
      <c r="GQ243" s="21">
        <v>0</v>
      </c>
      <c r="GR243" s="21">
        <v>5</v>
      </c>
      <c r="GS243" s="21">
        <v>4</v>
      </c>
      <c r="GT243" s="21">
        <v>4</v>
      </c>
      <c r="GU243" s="21">
        <v>2</v>
      </c>
      <c r="GV243" s="21">
        <v>2</v>
      </c>
      <c r="GW243" s="21"/>
      <c r="GX243" s="21"/>
      <c r="GY243" s="21"/>
      <c r="GZ243" s="21"/>
      <c r="HA243" s="21"/>
      <c r="HB243" s="21"/>
      <c r="HC243" s="21"/>
      <c r="HD243" s="21"/>
      <c r="HE243" s="21"/>
      <c r="HF243" s="21"/>
      <c r="HG243" s="21"/>
      <c r="HH243" s="21"/>
      <c r="HI243" s="21"/>
      <c r="HJ243" s="21"/>
      <c r="HK243" s="21"/>
      <c r="HL243" s="21"/>
      <c r="HM243" s="21"/>
      <c r="HN243" s="21"/>
      <c r="HO243" s="21"/>
      <c r="HP243" s="21"/>
      <c r="HQ243" s="21"/>
      <c r="HR243" s="21"/>
      <c r="HS243" s="21"/>
      <c r="HT243" s="21"/>
      <c r="HU243" s="21"/>
      <c r="HV243" s="186"/>
      <c r="HW243" s="21"/>
      <c r="HX243" s="21"/>
      <c r="HY243" s="21"/>
      <c r="HZ243" s="21"/>
      <c r="IA243" s="21"/>
      <c r="IB243" s="21"/>
      <c r="IC243" s="21"/>
      <c r="ID243" s="21"/>
      <c r="IE243" s="21"/>
      <c r="IF243" s="21"/>
      <c r="IG243" s="21"/>
      <c r="IH243" s="21"/>
      <c r="II243" s="21"/>
      <c r="IJ243" s="21"/>
      <c r="IK243" s="21"/>
      <c r="IL243" s="21"/>
      <c r="IM243" s="21"/>
      <c r="IN243" s="21"/>
      <c r="IO243" s="21"/>
      <c r="IP243" s="21"/>
      <c r="IQ243" s="21"/>
      <c r="IR243" s="21"/>
      <c r="IS243" s="21"/>
      <c r="IT243" s="21"/>
      <c r="IU243" s="21"/>
      <c r="IV243" s="21"/>
      <c r="IW243" s="21"/>
      <c r="IX243" s="21"/>
      <c r="IY243" s="21"/>
      <c r="IZ243" s="21"/>
      <c r="JA243" s="21"/>
      <c r="JB243" s="21"/>
      <c r="JC243" s="21"/>
      <c r="JD243" s="21"/>
      <c r="JE243" s="21"/>
      <c r="JF243" s="21"/>
      <c r="JG243" s="21"/>
      <c r="JH243" s="21"/>
      <c r="JI243" s="21"/>
      <c r="JJ243" s="21"/>
      <c r="JK243" s="21"/>
      <c r="JL243" s="21"/>
      <c r="JM243" s="21"/>
      <c r="JN243" s="21"/>
      <c r="JO243" s="21"/>
      <c r="JP243" s="21"/>
      <c r="JQ243" s="21"/>
      <c r="JR243" s="21"/>
      <c r="JS243" s="21"/>
      <c r="JT243" s="21"/>
      <c r="JU243" s="21"/>
      <c r="JV243" s="21"/>
      <c r="JW243" s="21"/>
      <c r="JX243" s="21"/>
      <c r="JY243" s="21"/>
      <c r="JZ243" s="21"/>
      <c r="KA243" s="21"/>
      <c r="KB243" s="21"/>
      <c r="KC243" s="21"/>
      <c r="KD243" s="21"/>
      <c r="KE243" s="21"/>
      <c r="KF243" s="21"/>
      <c r="KG243" s="21"/>
      <c r="KH243" s="21"/>
    </row>
    <row r="244" spans="1:294" x14ac:dyDescent="0.25">
      <c r="A244" s="8"/>
      <c r="B244" s="5" t="s">
        <v>116</v>
      </c>
      <c r="C244" s="8"/>
      <c r="D244" s="40" t="s">
        <v>942</v>
      </c>
      <c r="E244" s="9"/>
      <c r="F244" s="9"/>
      <c r="G244" s="9"/>
      <c r="H244" s="9"/>
      <c r="I244" s="9"/>
      <c r="J244" s="9"/>
      <c r="K244" s="9"/>
      <c r="L244" s="6" t="s">
        <v>623</v>
      </c>
      <c r="M244" s="11">
        <f>INDEX(cennik!$C$2:$L$529,MATCH($L244,cennik!$B$2:$B$522,0),MATCH(M$205,cennik!$C$1:$L$1,0))</f>
        <v>660944</v>
      </c>
      <c r="N244" s="11" t="str">
        <f>INDEX(cennik!$C$2:$L$529,MATCH($L244,cennik!$B$2:$B$522,0),MATCH(N$104,cennik!$C$1:$L$1,0))</f>
        <v>100 szt.</v>
      </c>
      <c r="O244" s="11">
        <f>ROUNDUP(O240/100,0)</f>
        <v>0</v>
      </c>
      <c r="P244" s="34">
        <f>INDEX(cennik!$C$2:$L$529,MATCH($L244,cennik!$B$2:$B$522,0),MATCH(P$104,cennik!$C$1:$L$1,0))</f>
        <v>21.26</v>
      </c>
      <c r="Q244" s="34">
        <f t="shared" si="105"/>
        <v>0</v>
      </c>
      <c r="R244" s="35">
        <f t="shared" si="104"/>
        <v>0</v>
      </c>
      <c r="S244" s="34">
        <f t="shared" si="106"/>
        <v>21.26</v>
      </c>
      <c r="T244" s="34">
        <f t="shared" si="107"/>
        <v>0</v>
      </c>
      <c r="U244" s="34">
        <f>INDEX(cennik!$C$2:$L$529,MATCH($L244,cennik!$B$2:$B$522,0),MATCH(U$104,cennik!$C$1:$L$1,0))*O244</f>
        <v>0</v>
      </c>
      <c r="V244" s="21"/>
      <c r="W244" s="21"/>
      <c r="X244" s="21"/>
      <c r="Y244" s="21"/>
      <c r="Z244" s="21"/>
      <c r="AA244" s="21"/>
      <c r="AB244" s="21"/>
      <c r="AC244" s="21"/>
      <c r="AD244" s="21"/>
      <c r="AE244" s="21"/>
      <c r="AF244" s="21"/>
      <c r="AG244" s="21"/>
      <c r="AH244" s="21"/>
      <c r="AI244" s="21"/>
      <c r="AJ244" s="21"/>
      <c r="AK244" s="21"/>
      <c r="AL244" s="21"/>
      <c r="AM244" s="21"/>
      <c r="AN244" s="21"/>
      <c r="AO244" s="21"/>
      <c r="AP244" s="21"/>
      <c r="AQ244" s="21"/>
      <c r="AR244" s="21"/>
      <c r="AS244" s="21"/>
      <c r="AT244" s="21"/>
      <c r="AU244" s="21"/>
      <c r="AV244" s="21"/>
      <c r="AW244" s="21"/>
      <c r="AX244" s="21"/>
      <c r="AY244" s="21"/>
      <c r="AZ244" s="21"/>
      <c r="BA244" s="21"/>
      <c r="BB244" s="21"/>
      <c r="BC244" s="21"/>
      <c r="BD244" s="21"/>
      <c r="BE244" s="21"/>
      <c r="BF244" s="21"/>
      <c r="BG244" s="21"/>
      <c r="BH244" s="21"/>
      <c r="BI244" s="21"/>
      <c r="BJ244" s="21"/>
      <c r="BK244" s="21"/>
      <c r="BL244" s="21"/>
      <c r="BM244" s="21"/>
      <c r="BN244" s="21"/>
      <c r="BO244" s="21"/>
      <c r="BP244" s="21"/>
      <c r="BQ244" s="21"/>
      <c r="BR244" s="21"/>
      <c r="BS244" s="21"/>
      <c r="BT244" s="21"/>
      <c r="BU244" s="21"/>
      <c r="BV244" s="21"/>
      <c r="BW244" s="21"/>
      <c r="BX244" s="21"/>
      <c r="BY244" s="21"/>
      <c r="BZ244" s="21"/>
      <c r="CA244" s="21"/>
      <c r="CB244" s="21"/>
      <c r="CC244" s="21"/>
      <c r="CD244" s="21"/>
      <c r="CE244" s="21"/>
      <c r="CF244" s="21"/>
      <c r="CG244" s="21"/>
      <c r="CH244" s="21"/>
      <c r="CI244" s="21"/>
      <c r="CJ244" s="21"/>
      <c r="CK244" s="21"/>
      <c r="CL244" s="21"/>
      <c r="CM244" s="21"/>
      <c r="CN244" s="21"/>
      <c r="CO244" s="21"/>
      <c r="CP244" s="21"/>
      <c r="CQ244" s="21"/>
      <c r="CR244" s="21"/>
      <c r="CS244" s="21"/>
      <c r="CT244" s="21"/>
      <c r="CU244" s="21"/>
      <c r="CV244" s="21"/>
      <c r="CW244" s="21"/>
      <c r="CX244" s="21"/>
      <c r="CY244" s="21"/>
      <c r="CZ244" s="21"/>
      <c r="DA244" s="21"/>
      <c r="DB244" s="21"/>
      <c r="DC244" s="21"/>
      <c r="DD244" s="21"/>
      <c r="DE244" s="21"/>
      <c r="DF244" s="21"/>
      <c r="DG244" s="21"/>
      <c r="DH244" s="21"/>
      <c r="DI244" s="21"/>
      <c r="DJ244" s="21"/>
      <c r="DK244" s="21"/>
      <c r="DL244" s="21"/>
      <c r="DM244" s="21"/>
      <c r="DN244" s="21"/>
      <c r="DO244" s="21"/>
      <c r="DP244" s="21"/>
      <c r="DQ244" s="21"/>
      <c r="DR244" s="21"/>
      <c r="DS244" s="21"/>
      <c r="DT244" s="21"/>
      <c r="DU244" s="21"/>
      <c r="DV244" s="21"/>
      <c r="DW244" s="21"/>
      <c r="DX244" s="21"/>
      <c r="DY244" s="21"/>
      <c r="DZ244" s="87"/>
      <c r="EA244" s="87"/>
      <c r="EB244" s="87"/>
      <c r="EC244" s="21"/>
      <c r="ED244" s="21"/>
      <c r="EE244" s="21"/>
      <c r="EF244" s="21"/>
      <c r="EG244" s="21"/>
      <c r="EH244" s="21"/>
      <c r="EI244" s="21"/>
      <c r="EJ244" s="21"/>
      <c r="EK244" s="21"/>
      <c r="EL244" s="21"/>
      <c r="EM244" s="21"/>
      <c r="EN244" s="21"/>
      <c r="EO244" s="21"/>
      <c r="EP244" s="21"/>
      <c r="EQ244" s="21"/>
      <c r="ER244" s="21"/>
      <c r="ES244" s="21"/>
      <c r="ET244" s="21"/>
      <c r="EU244" s="21"/>
      <c r="EV244" s="21"/>
      <c r="EW244" s="21"/>
      <c r="EX244" s="21"/>
      <c r="EY244" s="21"/>
      <c r="EZ244" s="21"/>
      <c r="FA244" s="21"/>
      <c r="FB244" s="21"/>
      <c r="FC244" s="21"/>
      <c r="FD244" s="21"/>
      <c r="FE244" s="21"/>
      <c r="FF244" s="21"/>
      <c r="FG244" s="21"/>
      <c r="FH244" s="21"/>
      <c r="FI244" s="21"/>
      <c r="FJ244" s="21"/>
      <c r="FK244" s="21"/>
      <c r="FL244" s="21"/>
      <c r="FM244" s="21"/>
      <c r="FN244" s="21"/>
      <c r="FO244" s="21"/>
      <c r="FP244" s="21"/>
      <c r="FQ244" s="21"/>
      <c r="FR244" s="21"/>
      <c r="FS244" s="21"/>
      <c r="FT244" s="21"/>
      <c r="FU244" s="21"/>
      <c r="FV244" s="21"/>
      <c r="FW244" s="21"/>
      <c r="FX244" s="21"/>
      <c r="FY244" s="21"/>
      <c r="FZ244" s="21"/>
      <c r="GA244" s="347" t="s">
        <v>867</v>
      </c>
      <c r="GB244" s="21">
        <v>0</v>
      </c>
      <c r="GC244" s="21">
        <v>0</v>
      </c>
      <c r="GD244" s="21">
        <v>0</v>
      </c>
      <c r="GE244" s="21">
        <v>1</v>
      </c>
      <c r="GF244" s="21">
        <v>3</v>
      </c>
      <c r="GG244" s="21">
        <v>4</v>
      </c>
      <c r="GH244" s="21">
        <v>6</v>
      </c>
      <c r="GI244" s="21">
        <v>8</v>
      </c>
      <c r="GJ244" s="21">
        <v>5</v>
      </c>
      <c r="GK244" s="21">
        <v>6</v>
      </c>
      <c r="GL244" s="21">
        <v>8</v>
      </c>
      <c r="GM244" s="21">
        <v>10</v>
      </c>
      <c r="GN244" s="21">
        <v>12</v>
      </c>
      <c r="GO244" s="21">
        <v>14</v>
      </c>
      <c r="GP244" s="21">
        <v>15</v>
      </c>
      <c r="GQ244" s="21">
        <v>17</v>
      </c>
      <c r="GR244" s="21">
        <v>14</v>
      </c>
      <c r="GS244" s="21">
        <v>16</v>
      </c>
      <c r="GT244" s="21">
        <v>17</v>
      </c>
      <c r="GU244" s="21">
        <v>20</v>
      </c>
      <c r="GV244" s="21">
        <v>21</v>
      </c>
      <c r="GW244" s="21"/>
      <c r="GX244" s="21"/>
      <c r="GY244" s="21"/>
      <c r="GZ244" s="21"/>
      <c r="HA244" s="21"/>
      <c r="HB244" s="21"/>
      <c r="HC244" s="21"/>
      <c r="HD244" s="21"/>
      <c r="HE244" s="21"/>
      <c r="HF244" s="21"/>
      <c r="HG244" s="21"/>
      <c r="HH244" s="21"/>
      <c r="HI244" s="21"/>
      <c r="HJ244" s="21"/>
      <c r="HK244" s="21"/>
      <c r="HL244" s="21"/>
      <c r="HM244" s="21"/>
      <c r="HN244" s="21"/>
      <c r="HO244" s="21"/>
      <c r="HP244" s="21"/>
      <c r="HQ244" s="21"/>
      <c r="HR244" s="21"/>
      <c r="HS244" s="21"/>
      <c r="HT244" s="21"/>
      <c r="HU244" s="21"/>
      <c r="HV244" s="186"/>
      <c r="HW244" s="21"/>
      <c r="HX244" s="21"/>
      <c r="HY244" s="21"/>
      <c r="HZ244" s="21"/>
      <c r="IA244" s="21"/>
      <c r="IB244" s="21"/>
      <c r="IC244" s="21"/>
      <c r="ID244" s="21"/>
      <c r="IE244" s="21"/>
      <c r="IF244" s="21"/>
      <c r="IG244" s="21"/>
      <c r="IH244" s="21"/>
      <c r="II244" s="21"/>
      <c r="IJ244" s="21"/>
      <c r="IK244" s="21"/>
      <c r="IL244" s="21"/>
      <c r="IM244" s="21"/>
      <c r="IN244" s="21"/>
      <c r="IO244" s="21"/>
      <c r="IP244" s="21"/>
      <c r="IQ244" s="21"/>
      <c r="IR244" s="21"/>
      <c r="IS244" s="21"/>
      <c r="IT244" s="21"/>
      <c r="IU244" s="21"/>
      <c r="IV244" s="21"/>
      <c r="IW244" s="21"/>
      <c r="IX244" s="21"/>
      <c r="IY244" s="21"/>
      <c r="IZ244" s="21"/>
      <c r="JA244" s="21"/>
      <c r="JB244" s="21"/>
      <c r="JC244" s="21"/>
      <c r="JD244" s="21"/>
      <c r="JE244" s="21"/>
      <c r="JF244" s="21"/>
      <c r="JG244" s="21"/>
      <c r="JH244" s="21"/>
      <c r="JI244" s="21"/>
      <c r="JJ244" s="21"/>
      <c r="JK244" s="21"/>
      <c r="JL244" s="21"/>
      <c r="JM244" s="21"/>
      <c r="JN244" s="21"/>
      <c r="JO244" s="21"/>
      <c r="JP244" s="21"/>
      <c r="JQ244" s="21"/>
      <c r="JR244" s="21"/>
      <c r="JS244" s="21"/>
      <c r="JT244" s="21"/>
      <c r="JU244" s="21"/>
      <c r="JV244" s="21"/>
      <c r="JW244" s="21"/>
      <c r="JX244" s="21"/>
      <c r="JY244" s="21"/>
      <c r="JZ244" s="21"/>
      <c r="KA244" s="21"/>
      <c r="KB244" s="21"/>
      <c r="KC244" s="21"/>
      <c r="KD244" s="21"/>
      <c r="KE244" s="21"/>
      <c r="KF244" s="21"/>
      <c r="KG244" s="21"/>
      <c r="KH244" s="21"/>
    </row>
    <row r="245" spans="1:294" x14ac:dyDescent="0.25">
      <c r="A245" s="8"/>
      <c r="B245" s="5" t="s">
        <v>116</v>
      </c>
      <c r="C245" s="8"/>
      <c r="D245" s="40" t="s">
        <v>943</v>
      </c>
      <c r="E245" s="9"/>
      <c r="F245" s="9"/>
      <c r="G245" s="9"/>
      <c r="H245" s="9"/>
      <c r="I245" s="9"/>
      <c r="J245" s="9"/>
      <c r="K245" s="9"/>
      <c r="L245" s="6" t="str">
        <f>IF(E234=$Z$104,"SBV250X350",IF(E234=$Z$105,"SBV50X500",IF(E234=$Z$106,"-------",IF(E234=$Z$107,"-------",0))))</f>
        <v>SBV250X350</v>
      </c>
      <c r="M245" s="11">
        <f>INDEX(cennik!$C$2:$L$529,MATCH($L245,cennik!$B$2:$B$522,0),MATCH(M$205,cennik!$C$1:$L$1,0))</f>
        <v>895507</v>
      </c>
      <c r="N245" s="11" t="str">
        <f>INDEX(cennik!$C$2:$L$529,MATCH($L245,cennik!$B$2:$B$522,0),MATCH(N$104,cennik!$C$1:$L$1,0))</f>
        <v>szt.</v>
      </c>
      <c r="O245" s="11">
        <f>IF(E234=$Z$104,O236*2,IF(E234=$Z$105,O236*2,IF(E234=$Z$106,0,IF(E234=$Z$107,0,0))))</f>
        <v>0</v>
      </c>
      <c r="P245" s="34">
        <f>INDEX(cennik!$C$2:$L$529,MATCH($L245,cennik!$B$2:$B$522,0),MATCH(P$104,cennik!$C$1:$L$1,0))</f>
        <v>4.08</v>
      </c>
      <c r="Q245" s="34">
        <f>O245*P245</f>
        <v>0</v>
      </c>
      <c r="R245" s="35">
        <f t="shared" si="104"/>
        <v>0</v>
      </c>
      <c r="S245" s="34">
        <f t="shared" si="106"/>
        <v>4.08</v>
      </c>
      <c r="T245" s="34">
        <f>O245*S245</f>
        <v>0</v>
      </c>
      <c r="U245" s="34">
        <f>INDEX(cennik!$C$2:$L$529,MATCH($L245,cennik!$B$2:$B$522,0),MATCH(U$104,cennik!$C$1:$L$1,0))*O245</f>
        <v>0</v>
      </c>
      <c r="V245" s="21"/>
      <c r="W245" s="21"/>
      <c r="X245" s="21"/>
      <c r="Y245" s="21"/>
      <c r="Z245" s="21"/>
      <c r="AA245" s="21"/>
      <c r="AB245" s="21"/>
      <c r="AC245" s="21"/>
      <c r="AD245" s="21"/>
      <c r="AE245" s="21"/>
      <c r="AF245" s="21"/>
      <c r="AG245" s="21"/>
      <c r="AH245" s="21"/>
      <c r="AI245" s="21"/>
      <c r="AJ245" s="21"/>
      <c r="AK245" s="21"/>
      <c r="AL245" s="21"/>
      <c r="AM245" s="21"/>
      <c r="AN245" s="21"/>
      <c r="AO245" s="21"/>
      <c r="AP245" s="21"/>
      <c r="AQ245" s="21"/>
      <c r="AR245" s="21"/>
      <c r="AS245" s="21"/>
      <c r="AT245" s="21"/>
      <c r="AU245" s="21"/>
      <c r="AV245" s="21"/>
      <c r="AW245" s="21"/>
      <c r="AX245" s="21"/>
      <c r="AY245" s="21"/>
      <c r="AZ245" s="21"/>
      <c r="BA245" s="21"/>
      <c r="BB245" s="21"/>
      <c r="BC245" s="21"/>
      <c r="BD245" s="21"/>
      <c r="BE245" s="21"/>
      <c r="BF245" s="21"/>
      <c r="BG245" s="21"/>
      <c r="BH245" s="21"/>
      <c r="BI245" s="21"/>
      <c r="BJ245" s="21"/>
      <c r="BK245" s="21"/>
      <c r="BL245" s="21"/>
      <c r="BM245" s="21"/>
      <c r="BN245" s="21"/>
      <c r="BO245" s="21"/>
      <c r="BP245" s="21"/>
      <c r="BQ245" s="21"/>
      <c r="BR245" s="21"/>
      <c r="BS245" s="21"/>
      <c r="BT245" s="21"/>
      <c r="BU245" s="21"/>
      <c r="BV245" s="21"/>
      <c r="BW245" s="21"/>
      <c r="BX245" s="21"/>
      <c r="BY245" s="21"/>
      <c r="BZ245" s="21"/>
      <c r="CA245" s="21"/>
      <c r="CB245" s="21"/>
      <c r="CC245" s="21"/>
      <c r="CD245" s="21"/>
      <c r="CE245" s="21"/>
      <c r="CF245" s="21"/>
      <c r="CG245" s="21"/>
      <c r="CH245" s="21"/>
      <c r="CI245" s="21"/>
      <c r="CJ245" s="21"/>
      <c r="CK245" s="21"/>
      <c r="CL245" s="21"/>
      <c r="CM245" s="21"/>
      <c r="CN245" s="21"/>
      <c r="CO245" s="21"/>
      <c r="CP245" s="21"/>
      <c r="CQ245" s="21"/>
      <c r="CR245" s="21"/>
      <c r="CS245" s="21"/>
      <c r="CT245" s="21"/>
      <c r="CU245" s="21"/>
      <c r="CV245" s="21"/>
      <c r="CW245" s="21"/>
      <c r="CX245" s="21"/>
      <c r="CY245" s="21"/>
      <c r="CZ245" s="21"/>
      <c r="DA245" s="21"/>
      <c r="DB245" s="21"/>
      <c r="DC245" s="21"/>
      <c r="DD245" s="21"/>
      <c r="DE245" s="21"/>
      <c r="DF245" s="21"/>
      <c r="DG245" s="21"/>
      <c r="DH245" s="21"/>
      <c r="DI245" s="21"/>
      <c r="DJ245" s="21"/>
      <c r="DK245" s="21"/>
      <c r="DL245" s="21"/>
      <c r="DM245" s="21"/>
      <c r="DN245" s="21"/>
      <c r="DO245" s="21"/>
      <c r="DP245" s="21"/>
      <c r="DQ245" s="21"/>
      <c r="DR245" s="21"/>
      <c r="DS245" s="21"/>
      <c r="DT245" s="21"/>
      <c r="DU245" s="21"/>
      <c r="DV245" s="21"/>
      <c r="DW245" s="21"/>
      <c r="DX245" s="21"/>
      <c r="DY245" s="21"/>
      <c r="DZ245" s="87"/>
      <c r="EA245" s="87"/>
      <c r="EB245" s="87"/>
      <c r="EC245" s="21"/>
      <c r="ED245" s="21"/>
      <c r="EE245" s="21"/>
      <c r="EF245" s="21"/>
      <c r="EG245" s="21"/>
      <c r="EH245" s="21"/>
      <c r="EI245" s="21"/>
      <c r="EJ245" s="21"/>
      <c r="EK245" s="21"/>
      <c r="EL245" s="21"/>
      <c r="EM245" s="21"/>
      <c r="EN245" s="21"/>
      <c r="EO245" s="21"/>
      <c r="EP245" s="21"/>
      <c r="EQ245" s="21"/>
      <c r="ER245" s="21"/>
      <c r="ES245" s="21"/>
      <c r="ET245" s="21"/>
      <c r="EU245" s="21"/>
      <c r="EV245" s="21"/>
      <c r="EW245" s="21"/>
      <c r="EX245" s="21"/>
      <c r="EY245" s="21"/>
      <c r="EZ245" s="21"/>
      <c r="FA245" s="21"/>
      <c r="FB245" s="21"/>
      <c r="FC245" s="21"/>
      <c r="FD245" s="21"/>
      <c r="FE245" s="21"/>
      <c r="FF245" s="21"/>
      <c r="FG245" s="21"/>
      <c r="FH245" s="21"/>
      <c r="FI245" s="21"/>
      <c r="FJ245" s="21"/>
      <c r="FK245" s="21"/>
      <c r="FL245" s="21"/>
      <c r="FM245" s="21"/>
      <c r="FN245" s="21"/>
      <c r="FO245" s="21"/>
      <c r="FP245" s="21"/>
      <c r="FQ245" s="21"/>
      <c r="FR245" s="21"/>
      <c r="FS245" s="21"/>
      <c r="FT245" s="21"/>
      <c r="FU245" s="21"/>
      <c r="FV245" s="21"/>
      <c r="FW245" s="21"/>
      <c r="FX245" s="21"/>
      <c r="FY245" s="21"/>
      <c r="FZ245" s="21"/>
      <c r="GA245" s="347" t="s">
        <v>868</v>
      </c>
      <c r="GB245" s="21">
        <v>0</v>
      </c>
      <c r="GC245" s="21">
        <v>1</v>
      </c>
      <c r="GD245" s="21">
        <v>2</v>
      </c>
      <c r="GE245" s="21">
        <v>0</v>
      </c>
      <c r="GF245" s="21">
        <v>0</v>
      </c>
      <c r="GG245" s="21">
        <v>0</v>
      </c>
      <c r="GH245" s="21">
        <v>0</v>
      </c>
      <c r="GI245" s="21">
        <v>0</v>
      </c>
      <c r="GJ245" s="21">
        <v>0</v>
      </c>
      <c r="GK245" s="21">
        <v>0</v>
      </c>
      <c r="GL245" s="21">
        <v>0</v>
      </c>
      <c r="GM245" s="21">
        <v>0</v>
      </c>
      <c r="GN245" s="21">
        <v>0</v>
      </c>
      <c r="GO245" s="21">
        <v>0</v>
      </c>
      <c r="GP245" s="21">
        <v>0</v>
      </c>
      <c r="GQ245" s="21">
        <v>0</v>
      </c>
      <c r="GR245" s="21">
        <v>0</v>
      </c>
      <c r="GS245" s="21">
        <v>0</v>
      </c>
      <c r="GT245" s="21">
        <v>0</v>
      </c>
      <c r="GU245" s="21">
        <v>0</v>
      </c>
      <c r="GV245" s="21">
        <v>0</v>
      </c>
      <c r="GW245" s="21"/>
      <c r="GX245" s="21"/>
      <c r="GY245" s="21"/>
      <c r="GZ245" s="21"/>
      <c r="HA245" s="21"/>
      <c r="HB245" s="21"/>
      <c r="HC245" s="21"/>
      <c r="HD245" s="21"/>
      <c r="HE245" s="21"/>
      <c r="HF245" s="21"/>
      <c r="HG245" s="21"/>
      <c r="HH245" s="21"/>
      <c r="HI245" s="21"/>
      <c r="HJ245" s="21"/>
      <c r="HK245" s="21"/>
      <c r="HL245" s="21"/>
      <c r="HM245" s="21"/>
      <c r="HN245" s="21"/>
      <c r="HO245" s="21"/>
      <c r="HP245" s="21"/>
      <c r="HQ245" s="21"/>
      <c r="HR245" s="21"/>
      <c r="HS245" s="21"/>
      <c r="HT245" s="21"/>
      <c r="HU245" s="21"/>
      <c r="HV245" s="186"/>
      <c r="HW245" s="21"/>
      <c r="HX245" s="21"/>
      <c r="HY245" s="21"/>
      <c r="HZ245" s="21"/>
      <c r="IA245" s="21"/>
      <c r="IB245" s="21"/>
      <c r="IC245" s="21"/>
      <c r="ID245" s="21"/>
      <c r="IE245" s="21"/>
      <c r="IF245" s="21"/>
      <c r="IG245" s="21"/>
      <c r="IH245" s="21"/>
      <c r="II245" s="21"/>
      <c r="IJ245" s="21"/>
      <c r="IK245" s="21"/>
      <c r="IL245" s="21"/>
      <c r="IM245" s="21"/>
      <c r="IN245" s="21"/>
      <c r="IO245" s="21"/>
      <c r="IP245" s="21"/>
      <c r="IQ245" s="21"/>
      <c r="IR245" s="21"/>
      <c r="IS245" s="21"/>
      <c r="IT245" s="21"/>
      <c r="IU245" s="21"/>
      <c r="IV245" s="21"/>
      <c r="IW245" s="21"/>
      <c r="IX245" s="21"/>
      <c r="IY245" s="21"/>
      <c r="IZ245" s="21"/>
      <c r="JA245" s="21"/>
      <c r="JB245" s="21"/>
      <c r="JC245" s="21"/>
      <c r="JD245" s="21"/>
      <c r="JE245" s="21"/>
      <c r="JF245" s="21"/>
      <c r="JG245" s="21"/>
      <c r="JH245" s="21"/>
      <c r="JI245" s="21"/>
      <c r="JJ245" s="21"/>
      <c r="JK245" s="21"/>
      <c r="JL245" s="21"/>
      <c r="JM245" s="21"/>
      <c r="JN245" s="21"/>
      <c r="JO245" s="21"/>
      <c r="JP245" s="21"/>
      <c r="JQ245" s="21"/>
      <c r="JR245" s="21"/>
      <c r="JS245" s="21"/>
      <c r="JT245" s="21"/>
      <c r="JU245" s="21"/>
      <c r="JV245" s="21"/>
      <c r="JW245" s="21"/>
      <c r="JX245" s="21"/>
      <c r="JY245" s="21"/>
      <c r="JZ245" s="21"/>
      <c r="KA245" s="21"/>
      <c r="KB245" s="21"/>
      <c r="KC245" s="21"/>
      <c r="KD245" s="21"/>
      <c r="KE245" s="21"/>
      <c r="KF245" s="21"/>
      <c r="KG245" s="21"/>
      <c r="KH245" s="21"/>
    </row>
    <row r="246" spans="1:294" x14ac:dyDescent="0.25">
      <c r="A246" s="8"/>
      <c r="B246" s="5" t="s">
        <v>116</v>
      </c>
      <c r="C246" s="8"/>
      <c r="D246" s="9"/>
      <c r="E246" s="9"/>
      <c r="F246" s="9"/>
      <c r="G246" s="9"/>
      <c r="H246" s="9"/>
      <c r="I246" s="9"/>
      <c r="J246" s="9"/>
      <c r="K246" s="9"/>
      <c r="L246" s="6" t="str">
        <f>IF(E234=$Z$104,"PBK50MC",IF(E234=$Z$105,"-------",IF(E234=$Z$106,"SPM1",IF(E234=$Z$107,"SMA40/033",0))))</f>
        <v>PBK50MC</v>
      </c>
      <c r="M246" s="11">
        <f>INDEX(cennik!$C$2:$L$529,MATCH($L246,cennik!$B$2:$B$522,0),MATCH(M$205,cennik!$C$1:$L$1,0))</f>
        <v>858450</v>
      </c>
      <c r="N246" s="11" t="str">
        <f>INDEX(cennik!$C$2:$L$529,MATCH($L246,cennik!$B$2:$B$522,0),MATCH(N$104,cennik!$C$1:$L$1,0))</f>
        <v>szt.</v>
      </c>
      <c r="O246" s="11">
        <f>IF(E234=$Z$104,$O$236*2,IF(E234=$Z$105,0,IF(E234=$Z$106,O236*2,IF(E234=$Z$107,O236*4,0))))</f>
        <v>0</v>
      </c>
      <c r="P246" s="34">
        <f>INDEX(cennik!$C$2:$L$529,MATCH($L246,cennik!$B$2:$B$522,0),MATCH(P$104,cennik!$C$1:$L$1,0))</f>
        <v>17.18</v>
      </c>
      <c r="Q246" s="34">
        <f>O246*P246</f>
        <v>0</v>
      </c>
      <c r="R246" s="35">
        <f t="shared" si="104"/>
        <v>0</v>
      </c>
      <c r="S246" s="34">
        <f t="shared" si="106"/>
        <v>17.18</v>
      </c>
      <c r="T246" s="34">
        <f>O246*S246</f>
        <v>0</v>
      </c>
      <c r="U246" s="34">
        <f>INDEX(cennik!$C$2:$L$529,MATCH($L246,cennik!$B$2:$B$522,0),MATCH(U$104,cennik!$C$1:$L$1,0))*O246</f>
        <v>0</v>
      </c>
      <c r="V246" s="21"/>
      <c r="W246" s="21"/>
      <c r="X246" s="21"/>
      <c r="Y246" s="21"/>
      <c r="Z246" s="21"/>
      <c r="AA246" s="21"/>
      <c r="AB246" s="21"/>
      <c r="AC246" s="21"/>
      <c r="AD246" s="21"/>
      <c r="AE246" s="21"/>
      <c r="AF246" s="21"/>
      <c r="AG246" s="21"/>
      <c r="AH246" s="21"/>
      <c r="AI246" s="21"/>
      <c r="AJ246" s="21"/>
      <c r="AK246" s="21"/>
      <c r="AL246" s="21"/>
      <c r="AM246" s="21"/>
      <c r="AN246" s="21"/>
      <c r="AO246" s="21"/>
      <c r="AP246" s="21"/>
      <c r="AQ246" s="21"/>
      <c r="AR246" s="21"/>
      <c r="AS246" s="21"/>
      <c r="AT246" s="21"/>
      <c r="AU246" s="21"/>
      <c r="AV246" s="21"/>
      <c r="AW246" s="21"/>
      <c r="AX246" s="21"/>
      <c r="AY246" s="21"/>
      <c r="AZ246" s="21"/>
      <c r="BA246" s="21"/>
      <c r="BB246" s="21"/>
      <c r="BC246" s="21"/>
      <c r="BD246" s="21"/>
      <c r="BE246" s="21"/>
      <c r="BF246" s="21"/>
      <c r="BG246" s="21"/>
      <c r="BH246" s="21"/>
      <c r="BI246" s="21"/>
      <c r="BJ246" s="21"/>
      <c r="BK246" s="21"/>
      <c r="BL246" s="21"/>
      <c r="BM246" s="21"/>
      <c r="BN246" s="21"/>
      <c r="BO246" s="21"/>
      <c r="BP246" s="21"/>
      <c r="BQ246" s="21"/>
      <c r="BR246" s="21"/>
      <c r="BS246" s="21"/>
      <c r="BT246" s="21"/>
      <c r="BU246" s="21"/>
      <c r="BV246" s="21"/>
      <c r="BW246" s="21"/>
      <c r="BX246" s="21"/>
      <c r="BY246" s="21"/>
      <c r="BZ246" s="21"/>
      <c r="CA246" s="21"/>
      <c r="CB246" s="21"/>
      <c r="CC246" s="21"/>
      <c r="CD246" s="21"/>
      <c r="CE246" s="21"/>
      <c r="CF246" s="21"/>
      <c r="CG246" s="21"/>
      <c r="CH246" s="21"/>
      <c r="CI246" s="21"/>
      <c r="CJ246" s="21"/>
      <c r="CK246" s="21"/>
      <c r="CL246" s="21"/>
      <c r="CM246" s="21"/>
      <c r="CN246" s="21"/>
      <c r="CO246" s="21"/>
      <c r="CP246" s="21"/>
      <c r="CQ246" s="21"/>
      <c r="CR246" s="21"/>
      <c r="CS246" s="21"/>
      <c r="CT246" s="21"/>
      <c r="CU246" s="21"/>
      <c r="CV246" s="21"/>
      <c r="CW246" s="21"/>
      <c r="CX246" s="21"/>
      <c r="CY246" s="21"/>
      <c r="CZ246" s="21"/>
      <c r="DA246" s="21"/>
      <c r="DB246" s="21"/>
      <c r="DC246" s="21"/>
      <c r="DD246" s="21"/>
      <c r="DE246" s="21"/>
      <c r="DF246" s="21"/>
      <c r="DG246" s="21"/>
      <c r="DH246" s="21"/>
      <c r="DI246" s="21"/>
      <c r="DJ246" s="21"/>
      <c r="DK246" s="21"/>
      <c r="DL246" s="21"/>
      <c r="DM246" s="21"/>
      <c r="DN246" s="21"/>
      <c r="DO246" s="21"/>
      <c r="DP246" s="21"/>
      <c r="DQ246" s="21"/>
      <c r="DR246" s="21"/>
      <c r="DS246" s="21"/>
      <c r="DT246" s="21"/>
      <c r="DU246" s="21"/>
      <c r="DV246" s="21"/>
      <c r="DW246" s="21"/>
      <c r="DX246" s="21"/>
      <c r="DY246" s="21"/>
      <c r="DZ246" s="87"/>
      <c r="EA246" s="87"/>
      <c r="EB246" s="87"/>
      <c r="EC246" s="21"/>
      <c r="ED246" s="21"/>
      <c r="EE246" s="21"/>
      <c r="EF246" s="21"/>
      <c r="EG246" s="21"/>
      <c r="EH246" s="21"/>
      <c r="EI246" s="21"/>
      <c r="EJ246" s="21"/>
      <c r="EK246" s="21"/>
      <c r="EL246" s="21"/>
      <c r="EM246" s="21"/>
      <c r="EN246" s="21"/>
      <c r="EO246" s="21"/>
      <c r="EP246" s="21"/>
      <c r="EQ246" s="21"/>
      <c r="ER246" s="21"/>
      <c r="ES246" s="21"/>
      <c r="ET246" s="21"/>
      <c r="EU246" s="21"/>
      <c r="EV246" s="21"/>
      <c r="EW246" s="21"/>
      <c r="EX246" s="21"/>
      <c r="EY246" s="21"/>
      <c r="EZ246" s="21"/>
      <c r="FA246" s="21"/>
      <c r="FB246" s="21"/>
      <c r="FC246" s="21"/>
      <c r="FD246" s="21"/>
      <c r="FE246" s="21"/>
      <c r="FF246" s="21"/>
      <c r="FG246" s="21"/>
      <c r="FH246" s="21"/>
      <c r="FI246" s="21"/>
      <c r="FJ246" s="21"/>
      <c r="FK246" s="21"/>
      <c r="FL246" s="21"/>
      <c r="FM246" s="21"/>
      <c r="FN246" s="21"/>
      <c r="FO246" s="21"/>
      <c r="FP246" s="21"/>
      <c r="FQ246" s="21"/>
      <c r="FR246" s="21"/>
      <c r="FS246" s="21"/>
      <c r="FT246" s="21"/>
      <c r="FU246" s="21"/>
      <c r="FV246" s="21"/>
      <c r="FW246" s="21"/>
      <c r="FX246" s="21"/>
      <c r="FY246" s="21"/>
      <c r="FZ246" s="21"/>
      <c r="GA246" s="21"/>
      <c r="GB246" s="21"/>
      <c r="GC246" s="21"/>
      <c r="GD246" s="21"/>
      <c r="GE246" s="21"/>
      <c r="GF246" s="21"/>
      <c r="GG246" s="21"/>
      <c r="GH246" s="21"/>
      <c r="GI246" s="21"/>
      <c r="GJ246" s="21"/>
      <c r="GK246" s="21"/>
      <c r="GL246" s="21"/>
      <c r="GM246" s="21"/>
      <c r="GN246" s="21"/>
      <c r="GO246" s="21"/>
      <c r="GP246" s="21"/>
      <c r="GQ246" s="21"/>
      <c r="GR246" s="21"/>
      <c r="GS246" s="21"/>
      <c r="GT246" s="21"/>
      <c r="GU246" s="21"/>
      <c r="GV246" s="21"/>
      <c r="GW246" s="21"/>
      <c r="GX246" s="21"/>
      <c r="GY246" s="21"/>
      <c r="GZ246" s="21"/>
      <c r="HA246" s="21"/>
      <c r="HB246" s="21"/>
      <c r="HC246" s="21"/>
      <c r="HD246" s="21"/>
      <c r="HE246" s="21"/>
      <c r="HF246" s="21"/>
      <c r="HG246" s="21"/>
      <c r="HH246" s="21"/>
      <c r="HI246" s="21"/>
      <c r="HJ246" s="21"/>
      <c r="HK246" s="21"/>
      <c r="HL246" s="21"/>
      <c r="HM246" s="21"/>
      <c r="HN246" s="21"/>
      <c r="HO246" s="21"/>
      <c r="HP246" s="21"/>
      <c r="HQ246" s="21"/>
      <c r="HR246" s="21"/>
      <c r="HS246" s="21"/>
      <c r="HT246" s="21"/>
      <c r="HU246" s="21"/>
      <c r="HV246" s="186"/>
      <c r="HW246" s="21"/>
      <c r="HX246" s="21"/>
      <c r="HY246" s="21"/>
      <c r="HZ246" s="21"/>
      <c r="IA246" s="21"/>
      <c r="IB246" s="21"/>
      <c r="IC246" s="21"/>
      <c r="ID246" s="21"/>
      <c r="IE246" s="21"/>
      <c r="IF246" s="21"/>
      <c r="IG246" s="21"/>
      <c r="IH246" s="21"/>
      <c r="II246" s="21"/>
      <c r="IJ246" s="21"/>
      <c r="IK246" s="21"/>
      <c r="IL246" s="21"/>
      <c r="IM246" s="21"/>
      <c r="IN246" s="21"/>
      <c r="IO246" s="21"/>
      <c r="IP246" s="21"/>
      <c r="IQ246" s="21"/>
      <c r="IR246" s="21"/>
      <c r="IS246" s="21"/>
      <c r="IT246" s="21"/>
      <c r="IU246" s="21"/>
      <c r="IV246" s="21"/>
      <c r="IW246" s="21"/>
      <c r="IX246" s="21"/>
      <c r="IY246" s="21"/>
      <c r="IZ246" s="21"/>
      <c r="JA246" s="21"/>
      <c r="JB246" s="21"/>
      <c r="JC246" s="21"/>
      <c r="JD246" s="21"/>
      <c r="JE246" s="21"/>
      <c r="JF246" s="21"/>
      <c r="JG246" s="21"/>
      <c r="JH246" s="21"/>
      <c r="JI246" s="21"/>
      <c r="JJ246" s="21"/>
      <c r="JK246" s="21"/>
      <c r="JL246" s="21"/>
      <c r="JM246" s="21"/>
      <c r="JN246" s="21"/>
      <c r="JO246" s="21"/>
      <c r="JP246" s="21"/>
      <c r="JQ246" s="21"/>
      <c r="JR246" s="21"/>
      <c r="JS246" s="21"/>
      <c r="JT246" s="21"/>
      <c r="JU246" s="21"/>
      <c r="JV246" s="21"/>
      <c r="JW246" s="21"/>
      <c r="JX246" s="21"/>
      <c r="JY246" s="21"/>
      <c r="JZ246" s="21"/>
      <c r="KA246" s="21"/>
      <c r="KB246" s="21"/>
      <c r="KC246" s="21"/>
      <c r="KD246" s="21"/>
      <c r="KE246" s="21"/>
      <c r="KF246" s="21"/>
      <c r="KG246" s="21"/>
      <c r="KH246" s="21"/>
    </row>
    <row r="247" spans="1:294" x14ac:dyDescent="0.25">
      <c r="A247" s="8"/>
      <c r="B247" s="5" t="s">
        <v>116</v>
      </c>
      <c r="C247" s="8"/>
      <c r="D247" s="9"/>
      <c r="E247" s="9"/>
      <c r="F247" s="9"/>
      <c r="G247" s="9"/>
      <c r="H247" s="9"/>
      <c r="I247" s="9"/>
      <c r="J247" s="9"/>
      <c r="K247" s="9"/>
      <c r="L247" s="6" t="str">
        <f>IF(E234=$Z$104,"-------",IF(E234=$Z$105,"-------",IF(E234=$Z$106,"-------",IF(E234=$Z$107,"SMDP6,0X25E",0))))</f>
        <v>-------</v>
      </c>
      <c r="M247" s="11" t="str">
        <f>INDEX(cennik!$C$2:$L$529,MATCH($L247,cennik!$B$2:$B$522,0),MATCH(M$205,cennik!$C$1:$L$1,0))</f>
        <v>-------</v>
      </c>
      <c r="N247" s="11">
        <f>INDEX(cennik!$C$2:$L$529,MATCH($L247,cennik!$B$2:$B$522,0),MATCH(N$104,cennik!$C$1:$L$1,0))</f>
        <v>0</v>
      </c>
      <c r="O247" s="11">
        <f>IF(E234=$Z$107,O246*4,0)</f>
        <v>0</v>
      </c>
      <c r="P247" s="34">
        <f>INDEX(cennik!$C$2:$L$529,MATCH($L247,cennik!$B$2:$B$522,0),MATCH(P$104,cennik!$C$1:$L$1,0))</f>
        <v>0</v>
      </c>
      <c r="Q247" s="34">
        <f>O247*P247</f>
        <v>0</v>
      </c>
      <c r="R247" s="35">
        <f t="shared" si="104"/>
        <v>0</v>
      </c>
      <c r="S247" s="34">
        <f t="shared" si="106"/>
        <v>0</v>
      </c>
      <c r="T247" s="34">
        <f>O247*S247</f>
        <v>0</v>
      </c>
      <c r="U247" s="34">
        <f>INDEX(cennik!$C$2:$L$529,MATCH($L247,cennik!$B$2:$B$522,0),MATCH(U$104,cennik!$C$1:$L$1,0))*O247</f>
        <v>0</v>
      </c>
      <c r="V247" s="21"/>
      <c r="W247" s="21"/>
      <c r="X247" s="21"/>
      <c r="Y247" s="21"/>
      <c r="Z247" s="21"/>
      <c r="AA247" s="21"/>
      <c r="AB247" s="21"/>
      <c r="AC247" s="21"/>
      <c r="AD247" s="21"/>
      <c r="AE247" s="21"/>
      <c r="AF247" s="21"/>
      <c r="AG247" s="21"/>
      <c r="AH247" s="21"/>
      <c r="AI247" s="21"/>
      <c r="AJ247" s="21"/>
      <c r="AK247" s="21"/>
      <c r="AL247" s="21"/>
      <c r="AM247" s="21"/>
      <c r="AN247" s="21"/>
      <c r="AO247" s="21"/>
      <c r="AP247" s="21"/>
      <c r="AQ247" s="21"/>
      <c r="AR247" s="21"/>
      <c r="AS247" s="21"/>
      <c r="AT247" s="21"/>
      <c r="AU247" s="21"/>
      <c r="AV247" s="21"/>
      <c r="AW247" s="21"/>
      <c r="AX247" s="21"/>
      <c r="AY247" s="21"/>
      <c r="AZ247" s="21"/>
      <c r="BA247" s="21"/>
      <c r="BB247" s="21"/>
      <c r="BC247" s="21"/>
      <c r="BD247" s="21"/>
      <c r="BE247" s="21"/>
      <c r="BF247" s="21"/>
      <c r="BG247" s="21"/>
      <c r="BH247" s="21"/>
      <c r="BI247" s="21"/>
      <c r="BJ247" s="21"/>
      <c r="BK247" s="21"/>
      <c r="BL247" s="21"/>
      <c r="BM247" s="21"/>
      <c r="BN247" s="21"/>
      <c r="BO247" s="21"/>
      <c r="BP247" s="21"/>
      <c r="BQ247" s="21"/>
      <c r="BR247" s="21"/>
      <c r="BS247" s="21"/>
      <c r="BT247" s="21"/>
      <c r="BU247" s="21"/>
      <c r="BV247" s="21"/>
      <c r="BW247" s="21"/>
      <c r="BX247" s="21"/>
      <c r="BY247" s="21"/>
      <c r="BZ247" s="21"/>
      <c r="CA247" s="21"/>
      <c r="CB247" s="21"/>
      <c r="CC247" s="21"/>
      <c r="CD247" s="21"/>
      <c r="CE247" s="21"/>
      <c r="CF247" s="21"/>
      <c r="CG247" s="21"/>
      <c r="CH247" s="21"/>
      <c r="CI247" s="21"/>
      <c r="CJ247" s="21"/>
      <c r="CK247" s="21"/>
      <c r="CL247" s="21"/>
      <c r="CM247" s="21"/>
      <c r="CN247" s="21"/>
      <c r="CO247" s="21"/>
      <c r="CP247" s="21"/>
      <c r="CQ247" s="21"/>
      <c r="CR247" s="21"/>
      <c r="CS247" s="21"/>
      <c r="CT247" s="21"/>
      <c r="CU247" s="21"/>
      <c r="CV247" s="21"/>
      <c r="CW247" s="21"/>
      <c r="CX247" s="21"/>
      <c r="CY247" s="21"/>
      <c r="CZ247" s="21"/>
      <c r="DA247" s="21"/>
      <c r="DB247" s="21"/>
      <c r="DC247" s="21"/>
      <c r="DD247" s="21"/>
      <c r="DE247" s="21"/>
      <c r="DF247" s="21"/>
      <c r="DG247" s="21"/>
      <c r="DH247" s="21"/>
      <c r="DI247" s="21"/>
      <c r="DJ247" s="21"/>
      <c r="DK247" s="21"/>
      <c r="DL247" s="21"/>
      <c r="DM247" s="21"/>
      <c r="DN247" s="21"/>
      <c r="DO247" s="21"/>
      <c r="DP247" s="21"/>
      <c r="DQ247" s="21"/>
      <c r="DR247" s="21"/>
      <c r="DS247" s="21"/>
      <c r="DT247" s="21"/>
      <c r="DU247" s="21"/>
      <c r="DV247" s="21"/>
      <c r="DW247" s="21"/>
      <c r="DX247" s="21"/>
      <c r="DY247" s="21"/>
      <c r="DZ247" s="87"/>
      <c r="EA247" s="87"/>
      <c r="EB247" s="87"/>
      <c r="EC247" s="21"/>
      <c r="ED247" s="21"/>
      <c r="EE247" s="21"/>
      <c r="EF247" s="21"/>
      <c r="EG247" s="21"/>
      <c r="EH247" s="21"/>
      <c r="EI247" s="21"/>
      <c r="EJ247" s="21"/>
      <c r="EK247" s="21"/>
      <c r="EL247" s="21"/>
      <c r="EM247" s="21"/>
      <c r="EN247" s="21"/>
      <c r="EO247" s="21"/>
      <c r="EP247" s="21"/>
      <c r="EQ247" s="21"/>
      <c r="ER247" s="21"/>
      <c r="ES247" s="21"/>
      <c r="ET247" s="21"/>
      <c r="EU247" s="21"/>
      <c r="EV247" s="21"/>
      <c r="EW247" s="21"/>
      <c r="EX247" s="21"/>
      <c r="EY247" s="21"/>
      <c r="EZ247" s="21"/>
      <c r="FA247" s="21"/>
      <c r="FB247" s="21"/>
      <c r="FC247" s="21"/>
      <c r="FD247" s="21"/>
      <c r="FE247" s="21"/>
      <c r="FF247" s="21"/>
      <c r="FG247" s="21"/>
      <c r="FH247" s="21"/>
      <c r="FI247" s="21"/>
      <c r="FJ247" s="21"/>
      <c r="FK247" s="21"/>
      <c r="FL247" s="21"/>
      <c r="FM247" s="21"/>
      <c r="FN247" s="21"/>
      <c r="FO247" s="21"/>
      <c r="FP247" s="21"/>
      <c r="FQ247" s="21"/>
      <c r="FR247" s="21"/>
      <c r="FS247" s="21"/>
      <c r="FT247" s="21"/>
      <c r="FU247" s="21"/>
      <c r="FV247" s="21"/>
      <c r="FW247" s="21"/>
      <c r="FX247" s="21"/>
      <c r="FY247" s="21"/>
      <c r="FZ247" s="21"/>
      <c r="GA247" s="21"/>
      <c r="GB247" s="21"/>
      <c r="GC247" s="21"/>
      <c r="GD247" s="21"/>
      <c r="GE247" s="21"/>
      <c r="GF247" s="21"/>
      <c r="GG247" s="21"/>
      <c r="GH247" s="21"/>
      <c r="GI247" s="21"/>
      <c r="GJ247" s="21"/>
      <c r="GK247" s="21"/>
      <c r="GL247" s="21"/>
      <c r="GM247" s="21"/>
      <c r="GN247" s="21"/>
      <c r="GO247" s="21"/>
      <c r="GP247" s="21"/>
      <c r="GQ247" s="21"/>
      <c r="GR247" s="21"/>
      <c r="GS247" s="21"/>
      <c r="GT247" s="21"/>
      <c r="GU247" s="21"/>
      <c r="GV247" s="21"/>
      <c r="GW247" s="21"/>
      <c r="GX247" s="21"/>
      <c r="GY247" s="21"/>
      <c r="GZ247" s="21"/>
      <c r="HA247" s="21"/>
      <c r="HB247" s="21"/>
      <c r="HC247" s="21"/>
      <c r="HD247" s="21"/>
      <c r="HE247" s="21"/>
      <c r="HF247" s="21"/>
      <c r="HG247" s="21"/>
      <c r="HH247" s="21"/>
      <c r="HI247" s="21"/>
      <c r="HJ247" s="21"/>
      <c r="HK247" s="21"/>
      <c r="HL247" s="21"/>
      <c r="HM247" s="21"/>
      <c r="HN247" s="21"/>
      <c r="HO247" s="21"/>
      <c r="HP247" s="21"/>
      <c r="HQ247" s="21"/>
      <c r="HR247" s="21"/>
      <c r="HS247" s="21"/>
      <c r="HT247" s="21"/>
      <c r="HU247" s="21"/>
      <c r="HV247" s="186"/>
      <c r="HW247" s="21"/>
      <c r="HX247" s="21"/>
      <c r="HY247" s="21"/>
      <c r="HZ247" s="21"/>
      <c r="IA247" s="21"/>
      <c r="IB247" s="21"/>
      <c r="IC247" s="21"/>
      <c r="ID247" s="21"/>
      <c r="IE247" s="21"/>
      <c r="IF247" s="21"/>
      <c r="IG247" s="21"/>
      <c r="IH247" s="21"/>
      <c r="II247" s="21"/>
      <c r="IJ247" s="21"/>
      <c r="IK247" s="21"/>
      <c r="IL247" s="21"/>
      <c r="IM247" s="21"/>
      <c r="IN247" s="21"/>
      <c r="IO247" s="21"/>
      <c r="IP247" s="21"/>
      <c r="IQ247" s="21"/>
      <c r="IR247" s="21"/>
      <c r="IS247" s="21"/>
      <c r="IT247" s="21"/>
      <c r="IU247" s="21"/>
      <c r="IV247" s="21"/>
      <c r="IW247" s="21"/>
      <c r="IX247" s="21"/>
      <c r="IY247" s="21"/>
      <c r="IZ247" s="21"/>
      <c r="JA247" s="21"/>
      <c r="JB247" s="21"/>
      <c r="JC247" s="21"/>
      <c r="JD247" s="21"/>
      <c r="JE247" s="21"/>
      <c r="JF247" s="21"/>
      <c r="JG247" s="21"/>
      <c r="JH247" s="21"/>
      <c r="JI247" s="21"/>
      <c r="JJ247" s="21"/>
      <c r="JK247" s="21"/>
      <c r="JL247" s="21"/>
      <c r="JM247" s="21"/>
      <c r="JN247" s="21"/>
      <c r="JO247" s="21"/>
      <c r="JP247" s="21"/>
      <c r="JQ247" s="21"/>
      <c r="JR247" s="21"/>
      <c r="JS247" s="21"/>
      <c r="JT247" s="21"/>
      <c r="JU247" s="21"/>
      <c r="JV247" s="21"/>
      <c r="JW247" s="21"/>
      <c r="JX247" s="21"/>
      <c r="JY247" s="21"/>
      <c r="JZ247" s="21"/>
      <c r="KA247" s="21"/>
      <c r="KB247" s="21"/>
      <c r="KC247" s="21"/>
      <c r="KD247" s="21"/>
      <c r="KE247" s="21"/>
      <c r="KF247" s="21"/>
      <c r="KG247" s="21"/>
      <c r="KH247" s="21"/>
    </row>
    <row r="248" spans="1:294" x14ac:dyDescent="0.25">
      <c r="A248" s="9"/>
      <c r="B248" s="6"/>
      <c r="C248" s="9"/>
      <c r="D248" s="9"/>
      <c r="E248" s="9"/>
      <c r="F248" s="17" t="str">
        <f>IF(L248="PSRM10X90F","PROPOZYCJA KOTEW- DO WERFIKACJI","")</f>
        <v/>
      </c>
      <c r="G248" s="9"/>
      <c r="H248" s="9"/>
      <c r="I248" s="9"/>
      <c r="J248" s="9"/>
      <c r="K248" s="9"/>
      <c r="L248" s="6" t="str">
        <f>IF(E234=$Z$104,"-------",IF(E234=$Z$105,"PSRM10X90F",IF(E234=$Z$106,"-------",IF(E234=$Z$107,"SSZ8X30E A2",0))))</f>
        <v>-------</v>
      </c>
      <c r="M248" s="11" t="str">
        <f>INDEX(cennik!$C$2:$L$529,MATCH($L248,cennik!$B$2:$B$522,0),MATCH(M$205,cennik!$C$1:$L$1,0))</f>
        <v>-------</v>
      </c>
      <c r="N248" s="11">
        <f>INDEX(cennik!$C$2:$L$529,MATCH($L248,cennik!$B$2:$B$522,0),MATCH(N$104,cennik!$C$1:$L$1,0))</f>
        <v>0</v>
      </c>
      <c r="O248" s="11">
        <f>IF(E234=$Z$104,0,IF(E234=$Z$105,O236*6,IF(E234=$Z$106,0,IF(E234=$Z$107,ROUNDUP((O236*4)/100,0),0))))</f>
        <v>0</v>
      </c>
      <c r="P248" s="34">
        <f>INDEX(cennik!$C$2:$L$529,MATCH($L248,cennik!$B$2:$B$522,0),MATCH(P$104,cennik!$C$1:$L$1,0))</f>
        <v>0</v>
      </c>
      <c r="Q248" s="34">
        <f t="shared" ref="Q248" si="108">O248*P248</f>
        <v>0</v>
      </c>
      <c r="R248" s="35">
        <f t="shared" si="104"/>
        <v>0</v>
      </c>
      <c r="S248" s="34">
        <f t="shared" si="106"/>
        <v>0</v>
      </c>
      <c r="T248" s="34">
        <f t="shared" ref="T248:T250" si="109">O248*S248</f>
        <v>0</v>
      </c>
      <c r="U248" s="34">
        <f>INDEX(cennik!$C$2:$L$529,MATCH($L248,cennik!$B$2:$B$522,0),MATCH(U$104,cennik!$C$1:$L$1,0))*O248</f>
        <v>0</v>
      </c>
      <c r="V248" s="21"/>
      <c r="W248" s="21"/>
      <c r="X248" s="21"/>
      <c r="Y248" s="21"/>
      <c r="Z248" s="21"/>
      <c r="AA248" s="21"/>
      <c r="AB248" s="21"/>
      <c r="AC248" s="21"/>
      <c r="AD248" s="21"/>
      <c r="AE248" s="21"/>
      <c r="AF248" s="21"/>
      <c r="AG248" s="21"/>
      <c r="AH248" s="21"/>
      <c r="AI248" s="21"/>
      <c r="AJ248" s="21"/>
      <c r="AK248" s="21"/>
      <c r="AL248" s="21"/>
      <c r="AM248" s="21"/>
      <c r="AN248" s="21"/>
      <c r="AO248" s="21"/>
      <c r="AP248" s="21"/>
      <c r="AQ248" s="21"/>
      <c r="AR248" s="21"/>
      <c r="AS248" s="21"/>
      <c r="AT248" s="21"/>
      <c r="AU248" s="21"/>
      <c r="AV248" s="21"/>
      <c r="AW248" s="21"/>
      <c r="AX248" s="21"/>
      <c r="AY248" s="21"/>
      <c r="AZ248" s="21"/>
      <c r="BA248" s="21"/>
      <c r="BB248" s="21"/>
      <c r="BC248" s="21"/>
      <c r="BD248" s="21"/>
      <c r="BE248" s="21"/>
      <c r="BF248" s="21"/>
      <c r="BG248" s="21"/>
      <c r="BH248" s="21"/>
      <c r="BI248" s="21"/>
      <c r="BJ248" s="21"/>
      <c r="BK248" s="21"/>
      <c r="BL248" s="21"/>
      <c r="BM248" s="21"/>
      <c r="BN248" s="21"/>
      <c r="BO248" s="21"/>
      <c r="BP248" s="21"/>
      <c r="BQ248" s="21"/>
      <c r="BR248" s="21"/>
      <c r="BS248" s="21"/>
      <c r="BT248" s="21"/>
      <c r="BU248" s="21"/>
      <c r="BV248" s="21"/>
      <c r="BW248" s="21"/>
      <c r="BX248" s="21"/>
      <c r="BY248" s="21"/>
      <c r="BZ248" s="21"/>
      <c r="CA248" s="21"/>
      <c r="CB248" s="21"/>
      <c r="CC248" s="21"/>
      <c r="CD248" s="21"/>
      <c r="CE248" s="21"/>
      <c r="CF248" s="21"/>
      <c r="CG248" s="21"/>
      <c r="CH248" s="21"/>
      <c r="CI248" s="21"/>
      <c r="CJ248" s="21"/>
      <c r="CK248" s="21"/>
      <c r="CL248" s="21"/>
      <c r="CM248" s="21"/>
      <c r="CN248" s="21"/>
      <c r="CO248" s="21"/>
      <c r="CP248" s="21"/>
      <c r="CQ248" s="21"/>
      <c r="CR248" s="21"/>
      <c r="CS248" s="21"/>
      <c r="CT248" s="21"/>
      <c r="CU248" s="21"/>
      <c r="CV248" s="21"/>
      <c r="CW248" s="21"/>
      <c r="CX248" s="21"/>
      <c r="CY248" s="21"/>
      <c r="CZ248" s="21"/>
      <c r="DA248" s="21"/>
      <c r="DB248" s="21"/>
      <c r="DC248" s="21"/>
      <c r="DD248" s="21"/>
      <c r="DE248" s="21"/>
      <c r="DF248" s="21"/>
      <c r="DG248" s="21"/>
      <c r="DH248" s="21"/>
      <c r="DI248" s="21"/>
      <c r="DJ248" s="21"/>
      <c r="DK248" s="21"/>
      <c r="DL248" s="21"/>
      <c r="DM248" s="21"/>
      <c r="DN248" s="21"/>
      <c r="DO248" s="21"/>
      <c r="DP248" s="21"/>
      <c r="DQ248" s="21"/>
      <c r="DR248" s="21"/>
      <c r="DS248" s="21"/>
      <c r="DT248" s="21"/>
      <c r="DU248" s="21"/>
      <c r="DV248" s="21"/>
      <c r="DW248" s="21"/>
      <c r="DX248" s="21"/>
      <c r="DY248" s="21"/>
      <c r="DZ248" s="87"/>
      <c r="EA248" s="87"/>
      <c r="EB248" s="87"/>
      <c r="EC248" s="21"/>
      <c r="ED248" s="21"/>
      <c r="EE248" s="21"/>
      <c r="EF248" s="21"/>
      <c r="EG248" s="21"/>
      <c r="EH248" s="21"/>
      <c r="EI248" s="21"/>
      <c r="EJ248" s="21"/>
      <c r="EK248" s="21"/>
      <c r="EL248" s="21"/>
      <c r="EM248" s="21"/>
      <c r="EN248" s="21"/>
      <c r="EO248" s="21"/>
      <c r="EP248" s="21"/>
      <c r="EQ248" s="21"/>
      <c r="ER248" s="21"/>
      <c r="ES248" s="21"/>
      <c r="ET248" s="21"/>
      <c r="EU248" s="21"/>
      <c r="EV248" s="21"/>
      <c r="EW248" s="21"/>
      <c r="EX248" s="21"/>
      <c r="EY248" s="21"/>
      <c r="EZ248" s="21"/>
      <c r="FA248" s="21"/>
      <c r="FB248" s="21"/>
      <c r="FC248" s="21"/>
      <c r="FD248" s="21"/>
      <c r="FE248" s="21"/>
      <c r="FF248" s="21"/>
      <c r="FG248" s="21"/>
      <c r="FH248" s="21"/>
      <c r="FI248" s="21"/>
      <c r="FJ248" s="21"/>
      <c r="FK248" s="21"/>
      <c r="FL248" s="21"/>
      <c r="FM248" s="21"/>
      <c r="FN248" s="21"/>
      <c r="FO248" s="21"/>
      <c r="FP248" s="21"/>
      <c r="FQ248" s="21"/>
      <c r="FR248" s="21"/>
      <c r="FS248" s="21"/>
      <c r="FT248" s="21"/>
      <c r="FU248" s="21"/>
      <c r="FV248" s="21"/>
      <c r="FW248" s="21"/>
      <c r="FX248" s="21"/>
      <c r="FY248" s="21"/>
      <c r="FZ248" s="21"/>
      <c r="GA248" s="21"/>
      <c r="GB248" s="21"/>
      <c r="GC248" s="21"/>
      <c r="GD248" s="21"/>
      <c r="GE248" s="21"/>
      <c r="GF248" s="21"/>
      <c r="GG248" s="21"/>
      <c r="GH248" s="21"/>
      <c r="GI248" s="21"/>
      <c r="GJ248" s="21"/>
      <c r="GK248" s="21"/>
      <c r="GL248" s="21"/>
      <c r="GM248" s="21"/>
      <c r="GN248" s="21"/>
      <c r="GO248" s="21"/>
      <c r="GP248" s="21"/>
      <c r="GQ248" s="21"/>
      <c r="GR248" s="21"/>
      <c r="GS248" s="21"/>
      <c r="GT248" s="21"/>
      <c r="GU248" s="21"/>
      <c r="GV248" s="21"/>
      <c r="GW248" s="21"/>
      <c r="GX248" s="21"/>
      <c r="GY248" s="21"/>
      <c r="GZ248" s="21"/>
      <c r="HA248" s="21"/>
      <c r="HB248" s="21"/>
      <c r="HC248" s="21"/>
      <c r="HD248" s="21"/>
      <c r="HE248" s="21"/>
      <c r="HF248" s="21"/>
      <c r="HG248" s="21"/>
      <c r="HH248" s="21"/>
      <c r="HI248" s="21"/>
      <c r="HJ248" s="21"/>
      <c r="HK248" s="21"/>
      <c r="HL248" s="21"/>
      <c r="HM248" s="21"/>
      <c r="HN248" s="21"/>
      <c r="HO248" s="21"/>
      <c r="HP248" s="21"/>
      <c r="HQ248" s="21"/>
      <c r="HR248" s="21"/>
      <c r="HS248" s="21"/>
      <c r="HT248" s="21"/>
      <c r="HU248" s="21"/>
      <c r="HV248" s="186"/>
      <c r="HW248" s="21"/>
      <c r="HX248" s="21"/>
      <c r="HY248" s="21"/>
      <c r="HZ248" s="21"/>
      <c r="IA248" s="21"/>
      <c r="IB248" s="21"/>
      <c r="IC248" s="21"/>
      <c r="ID248" s="21"/>
      <c r="IE248" s="21"/>
      <c r="IF248" s="21"/>
      <c r="IG248" s="21"/>
      <c r="IH248" s="21"/>
      <c r="II248" s="21"/>
      <c r="IJ248" s="21"/>
      <c r="IK248" s="21"/>
      <c r="IL248" s="21"/>
      <c r="IM248" s="21"/>
      <c r="IN248" s="21"/>
      <c r="IO248" s="21"/>
      <c r="IP248" s="21"/>
      <c r="IQ248" s="21"/>
      <c r="IR248" s="21"/>
      <c r="IS248" s="21"/>
      <c r="IT248" s="21"/>
      <c r="IU248" s="21"/>
      <c r="IV248" s="21"/>
      <c r="IW248" s="21"/>
      <c r="IX248" s="21"/>
      <c r="IY248" s="21"/>
      <c r="IZ248" s="21"/>
      <c r="JA248" s="21"/>
      <c r="JB248" s="21"/>
      <c r="JC248" s="21"/>
      <c r="JD248" s="21"/>
      <c r="JE248" s="21"/>
      <c r="JF248" s="21"/>
      <c r="JG248" s="21"/>
      <c r="JH248" s="21"/>
      <c r="JI248" s="21"/>
      <c r="JJ248" s="21"/>
      <c r="JK248" s="21"/>
      <c r="JL248" s="21"/>
      <c r="JM248" s="21"/>
      <c r="JN248" s="21"/>
      <c r="JO248" s="21"/>
      <c r="JP248" s="21"/>
      <c r="JQ248" s="21"/>
      <c r="JR248" s="21"/>
      <c r="JS248" s="21"/>
      <c r="JT248" s="21"/>
      <c r="JU248" s="21"/>
      <c r="JV248" s="21"/>
      <c r="JW248" s="21"/>
      <c r="JX248" s="21"/>
      <c r="JY248" s="21"/>
      <c r="JZ248" s="21"/>
      <c r="KA248" s="21"/>
      <c r="KB248" s="21"/>
      <c r="KC248" s="21"/>
      <c r="KD248" s="21"/>
      <c r="KE248" s="21"/>
      <c r="KF248" s="21"/>
      <c r="KG248" s="21"/>
      <c r="KH248" s="21"/>
    </row>
    <row r="249" spans="1:294" x14ac:dyDescent="0.25">
      <c r="A249" s="9"/>
      <c r="B249" s="9"/>
      <c r="C249" s="9"/>
      <c r="D249" s="9"/>
      <c r="E249" s="9"/>
      <c r="F249" s="1"/>
      <c r="G249" s="9"/>
      <c r="H249" s="9"/>
      <c r="I249" s="9"/>
      <c r="J249" s="9"/>
      <c r="K249" s="9"/>
      <c r="L249" s="6" t="str">
        <f>IF(E234=$Z$104,"-------",IF(E234=$Z$105,"-------",IF(E234=$Z$106,"-------",IF(E234=$Z$107,"PW8E A2",0))))</f>
        <v>-------</v>
      </c>
      <c r="M249" s="11" t="str">
        <f>INDEX(cennik!$C$2:$L$529,MATCH($L249,cennik!$B$2:$B$522,0),MATCH(M$205,cennik!$C$1:$L$1,0))</f>
        <v>-------</v>
      </c>
      <c r="N249" s="11">
        <f>INDEX(cennik!$C$2:$L$529,MATCH($L249,cennik!$B$2:$B$522,0),MATCH(N$104,cennik!$C$1:$L$1,0))</f>
        <v>0</v>
      </c>
      <c r="O249" s="11">
        <f>IF(E234=$Z$104,0,IF(E234=$Z$105,0,IF(E234=$Z$106,0,IF(E234=$Z$107,ROUNDUP((O236*4)/100,0),0))))</f>
        <v>0</v>
      </c>
      <c r="P249" s="34">
        <f>INDEX(cennik!$C$2:$L$529,MATCH($L249,cennik!$B$2:$B$522,0),MATCH(P$104,cennik!$C$1:$L$1,0))</f>
        <v>0</v>
      </c>
      <c r="Q249" s="34">
        <f>O249*P249</f>
        <v>0</v>
      </c>
      <c r="R249" s="35">
        <f t="shared" si="104"/>
        <v>0</v>
      </c>
      <c r="S249" s="34">
        <f t="shared" si="106"/>
        <v>0</v>
      </c>
      <c r="T249" s="34">
        <f t="shared" si="109"/>
        <v>0</v>
      </c>
      <c r="U249" s="34">
        <f>INDEX(cennik!$C$2:$L$529,MATCH($L249,cennik!$B$2:$B$522,0),MATCH(U$104,cennik!$C$1:$L$1,0))*O249</f>
        <v>0</v>
      </c>
      <c r="V249" s="21"/>
      <c r="W249" s="21"/>
      <c r="X249" s="21"/>
      <c r="Y249" s="21"/>
      <c r="Z249" s="21"/>
      <c r="AA249" s="21"/>
      <c r="AB249" s="21"/>
      <c r="AC249" s="21"/>
      <c r="AD249" s="21"/>
      <c r="AE249" s="21"/>
      <c r="AF249" s="21"/>
      <c r="AG249" s="21"/>
      <c r="AH249" s="21"/>
      <c r="AI249" s="21"/>
      <c r="AJ249" s="21"/>
      <c r="AK249" s="21"/>
      <c r="AL249" s="21"/>
      <c r="AM249" s="21"/>
      <c r="AN249" s="21"/>
      <c r="AO249" s="21"/>
      <c r="AP249" s="21"/>
      <c r="AQ249" s="21"/>
      <c r="AR249" s="21"/>
      <c r="AS249" s="21"/>
      <c r="AT249" s="21"/>
      <c r="AU249" s="21"/>
      <c r="AV249" s="21"/>
      <c r="AW249" s="21"/>
      <c r="AX249" s="21"/>
      <c r="AY249" s="21"/>
      <c r="AZ249" s="21"/>
      <c r="BA249" s="21"/>
      <c r="BB249" s="21"/>
      <c r="BC249" s="21"/>
      <c r="BD249" s="21"/>
      <c r="BE249" s="21"/>
      <c r="BF249" s="21"/>
      <c r="BG249" s="21"/>
      <c r="BH249" s="21"/>
      <c r="BI249" s="21"/>
      <c r="BJ249" s="21"/>
      <c r="BK249" s="21"/>
      <c r="BL249" s="21"/>
      <c r="BM249" s="21"/>
      <c r="BN249" s="21"/>
      <c r="BO249" s="21"/>
      <c r="BP249" s="21"/>
      <c r="BQ249" s="21"/>
      <c r="BR249" s="21"/>
      <c r="BS249" s="21"/>
      <c r="BT249" s="21"/>
      <c r="BU249" s="21"/>
      <c r="BV249" s="21"/>
      <c r="BW249" s="21"/>
      <c r="BX249" s="21"/>
      <c r="BY249" s="21"/>
      <c r="BZ249" s="21"/>
      <c r="CA249" s="21"/>
      <c r="CB249" s="21"/>
      <c r="CC249" s="21"/>
      <c r="CD249" s="21"/>
      <c r="CE249" s="21"/>
      <c r="CF249" s="21"/>
      <c r="CG249" s="21"/>
      <c r="CH249" s="21"/>
      <c r="CI249" s="21"/>
      <c r="CJ249" s="21"/>
      <c r="CK249" s="21"/>
      <c r="CL249" s="21"/>
      <c r="CM249" s="21"/>
      <c r="CN249" s="21"/>
      <c r="CO249" s="21"/>
      <c r="CP249" s="21"/>
      <c r="CQ249" s="21"/>
      <c r="CR249" s="21"/>
      <c r="CS249" s="21"/>
      <c r="CT249" s="21"/>
      <c r="CU249" s="21"/>
      <c r="CV249" s="21"/>
      <c r="CW249" s="21"/>
      <c r="CX249" s="21"/>
      <c r="CY249" s="21"/>
      <c r="CZ249" s="21"/>
      <c r="DA249" s="21"/>
      <c r="DB249" s="21"/>
      <c r="DC249" s="21"/>
      <c r="DD249" s="21"/>
      <c r="DE249" s="21"/>
      <c r="DF249" s="21"/>
      <c r="DG249" s="21"/>
      <c r="DH249" s="21"/>
      <c r="DI249" s="21"/>
      <c r="DJ249" s="21"/>
      <c r="DK249" s="21"/>
      <c r="DL249" s="21"/>
      <c r="DM249" s="21"/>
      <c r="DN249" s="21"/>
      <c r="DO249" s="21"/>
      <c r="DP249" s="21"/>
      <c r="DQ249" s="21"/>
      <c r="DR249" s="21"/>
      <c r="DS249" s="21"/>
      <c r="DT249" s="21"/>
      <c r="DU249" s="21"/>
      <c r="DV249" s="21"/>
      <c r="DW249" s="21"/>
      <c r="DX249" s="21"/>
      <c r="DY249" s="21"/>
      <c r="DZ249" s="87"/>
      <c r="EA249" s="87"/>
      <c r="EB249" s="87"/>
      <c r="EC249" s="21"/>
      <c r="ED249" s="21"/>
      <c r="EE249" s="21"/>
      <c r="EF249" s="21"/>
      <c r="EG249" s="21"/>
      <c r="EH249" s="21"/>
      <c r="EI249" s="21"/>
      <c r="EJ249" s="21"/>
      <c r="EK249" s="21"/>
      <c r="EL249" s="21"/>
      <c r="EM249" s="21"/>
      <c r="EN249" s="21"/>
      <c r="EO249" s="21"/>
      <c r="EP249" s="21"/>
      <c r="EQ249" s="21"/>
      <c r="ER249" s="21"/>
      <c r="ES249" s="21"/>
      <c r="ET249" s="21"/>
      <c r="EU249" s="21"/>
      <c r="EV249" s="21"/>
      <c r="EW249" s="21"/>
      <c r="EX249" s="21"/>
      <c r="EY249" s="21"/>
      <c r="EZ249" s="21"/>
      <c r="FA249" s="21"/>
      <c r="FB249" s="21"/>
      <c r="FC249" s="21"/>
      <c r="FD249" s="21"/>
      <c r="FE249" s="21"/>
      <c r="FF249" s="21"/>
      <c r="FG249" s="21"/>
      <c r="FH249" s="21"/>
      <c r="FI249" s="21"/>
      <c r="FJ249" s="21"/>
      <c r="FK249" s="21"/>
      <c r="FL249" s="21"/>
      <c r="FM249" s="21"/>
      <c r="FN249" s="21"/>
      <c r="FO249" s="21"/>
      <c r="FP249" s="21"/>
      <c r="FQ249" s="21"/>
      <c r="FR249" s="21"/>
      <c r="FS249" s="21"/>
      <c r="FT249" s="21"/>
      <c r="FU249" s="21"/>
      <c r="FV249" s="21"/>
      <c r="FW249" s="21"/>
      <c r="FX249" s="21"/>
      <c r="FY249" s="21"/>
      <c r="FZ249" s="21"/>
      <c r="GA249" s="21"/>
      <c r="GB249" s="21"/>
      <c r="GC249" s="21"/>
      <c r="GD249" s="21"/>
      <c r="GE249" s="21"/>
      <c r="GF249" s="21"/>
      <c r="GG249" s="21"/>
      <c r="GH249" s="21"/>
      <c r="GI249" s="21"/>
      <c r="GJ249" s="21"/>
      <c r="GK249" s="21"/>
      <c r="GL249" s="21"/>
      <c r="GM249" s="21"/>
      <c r="GN249" s="21"/>
      <c r="GO249" s="21"/>
      <c r="GP249" s="21"/>
      <c r="GQ249" s="21"/>
      <c r="GR249" s="21"/>
      <c r="GS249" s="21"/>
      <c r="GT249" s="21"/>
      <c r="GU249" s="21"/>
      <c r="GV249" s="21"/>
      <c r="GW249" s="21"/>
      <c r="GX249" s="21"/>
      <c r="GY249" s="21"/>
      <c r="GZ249" s="21"/>
      <c r="HA249" s="21"/>
      <c r="HB249" s="21"/>
      <c r="HC249" s="21"/>
      <c r="HD249" s="21"/>
      <c r="HE249" s="21"/>
      <c r="HF249" s="21"/>
      <c r="HG249" s="21"/>
      <c r="HH249" s="21"/>
      <c r="HI249" s="21"/>
      <c r="HJ249" s="21"/>
      <c r="HK249" s="21"/>
      <c r="HL249" s="21"/>
      <c r="HM249" s="21"/>
      <c r="HN249" s="21"/>
      <c r="HO249" s="21"/>
      <c r="HP249" s="21"/>
      <c r="HQ249" s="21"/>
      <c r="HR249" s="21"/>
      <c r="HS249" s="21"/>
      <c r="HT249" s="21"/>
      <c r="HU249" s="21"/>
      <c r="HV249" s="186"/>
      <c r="HW249" s="21"/>
      <c r="HX249" s="21"/>
      <c r="HY249" s="21"/>
      <c r="HZ249" s="21"/>
      <c r="IA249" s="21"/>
      <c r="IB249" s="21"/>
      <c r="IC249" s="21"/>
      <c r="ID249" s="21"/>
      <c r="IE249" s="21"/>
      <c r="IF249" s="21"/>
      <c r="IG249" s="21"/>
      <c r="IH249" s="21"/>
      <c r="II249" s="21"/>
      <c r="IJ249" s="21"/>
      <c r="IK249" s="21"/>
      <c r="IL249" s="21"/>
      <c r="IM249" s="21"/>
      <c r="IN249" s="21"/>
      <c r="IO249" s="21"/>
      <c r="IP249" s="21"/>
      <c r="IQ249" s="21"/>
      <c r="IR249" s="21"/>
      <c r="IS249" s="21"/>
      <c r="IT249" s="21"/>
      <c r="IU249" s="21"/>
      <c r="IV249" s="21"/>
      <c r="IW249" s="21"/>
      <c r="IX249" s="21"/>
      <c r="IY249" s="21"/>
      <c r="IZ249" s="21"/>
      <c r="JA249" s="21"/>
      <c r="JB249" s="21"/>
      <c r="JC249" s="21"/>
      <c r="JD249" s="21"/>
      <c r="JE249" s="21"/>
      <c r="JF249" s="21"/>
      <c r="JG249" s="21"/>
      <c r="JH249" s="21"/>
      <c r="JI249" s="21"/>
      <c r="JJ249" s="21"/>
      <c r="JK249" s="21"/>
      <c r="JL249" s="21"/>
      <c r="JM249" s="21"/>
      <c r="JN249" s="21"/>
      <c r="JO249" s="21"/>
      <c r="JP249" s="21"/>
      <c r="JQ249" s="21"/>
      <c r="JR249" s="21"/>
      <c r="JS249" s="21"/>
      <c r="JT249" s="21"/>
      <c r="JU249" s="21"/>
      <c r="JV249" s="21"/>
      <c r="JW249" s="21"/>
      <c r="JX249" s="21"/>
      <c r="JY249" s="21"/>
      <c r="JZ249" s="21"/>
      <c r="KA249" s="21"/>
      <c r="KB249" s="21"/>
      <c r="KC249" s="21"/>
      <c r="KD249" s="21"/>
      <c r="KE249" s="21"/>
      <c r="KF249" s="21"/>
      <c r="KG249" s="21"/>
      <c r="KH249" s="21"/>
    </row>
    <row r="250" spans="1:294" x14ac:dyDescent="0.25">
      <c r="A250" s="9"/>
      <c r="B250" s="9"/>
      <c r="C250" s="9"/>
      <c r="D250" s="9"/>
      <c r="E250" s="9"/>
      <c r="F250" s="9"/>
      <c r="G250" s="9"/>
      <c r="H250" s="9"/>
      <c r="I250" s="9"/>
      <c r="J250" s="9"/>
      <c r="K250" s="9"/>
      <c r="L250" s="6" t="str">
        <f>IF(E234=$Z$104,"-------",IF(E234=$Z$105,"-------",IF(E234=$Z$106,"-------",IF(E234=$Z$107,"NKZM8E A2",0))))</f>
        <v>-------</v>
      </c>
      <c r="M250" s="11" t="str">
        <f>INDEX(cennik!$C$2:$L$529,MATCH($L250,cennik!$B$2:$B$522,0),MATCH(M$205,cennik!$C$1:$L$1,0))</f>
        <v>-------</v>
      </c>
      <c r="N250" s="11">
        <f>INDEX(cennik!$C$2:$L$529,MATCH($L250,cennik!$B$2:$B$522,0),MATCH(N$104,cennik!$C$1:$L$1,0))</f>
        <v>0</v>
      </c>
      <c r="O250" s="11">
        <f>ROUNDUP((IF(L250="NKZM8E A2",O236*4,0)/100),0)</f>
        <v>0</v>
      </c>
      <c r="P250" s="34">
        <f>INDEX(cennik!$C$2:$L$529,MATCH($L250,cennik!$B$2:$B$522,0),MATCH(P$104,cennik!$C$1:$L$1,0))</f>
        <v>0</v>
      </c>
      <c r="Q250" s="34">
        <f t="shared" ref="Q250" si="110">O250*P250</f>
        <v>0</v>
      </c>
      <c r="R250" s="35">
        <f t="shared" si="104"/>
        <v>0</v>
      </c>
      <c r="S250" s="34">
        <f t="shared" si="106"/>
        <v>0</v>
      </c>
      <c r="T250" s="34">
        <f t="shared" si="109"/>
        <v>0</v>
      </c>
      <c r="U250" s="34">
        <f>INDEX(cennik!$C$2:$L$529,MATCH($L250,cennik!$B$2:$B$522,0),MATCH(U$104,cennik!$C$1:$L$1,0))*O250</f>
        <v>0</v>
      </c>
      <c r="V250" s="21"/>
      <c r="W250" s="21"/>
      <c r="X250" s="21"/>
      <c r="Y250" s="21"/>
      <c r="Z250" s="21"/>
      <c r="AA250" s="21"/>
      <c r="AB250" s="21"/>
      <c r="AC250" s="21"/>
      <c r="AD250" s="21"/>
      <c r="AE250" s="21"/>
      <c r="AF250" s="21"/>
      <c r="AG250" s="21"/>
      <c r="AH250" s="21"/>
      <c r="AI250" s="21"/>
      <c r="AJ250" s="21"/>
      <c r="AK250" s="21"/>
      <c r="AL250" s="21"/>
      <c r="AM250" s="21"/>
      <c r="AN250" s="21"/>
      <c r="AO250" s="21"/>
      <c r="AP250" s="21"/>
      <c r="AQ250" s="21"/>
      <c r="AR250" s="21"/>
      <c r="AS250" s="21"/>
      <c r="AT250" s="21"/>
      <c r="AU250" s="21"/>
      <c r="AV250" s="21"/>
      <c r="AW250" s="21"/>
      <c r="AX250" s="21"/>
      <c r="AY250" s="21"/>
      <c r="AZ250" s="21"/>
      <c r="BA250" s="21"/>
      <c r="BB250" s="21"/>
      <c r="BC250" s="21"/>
      <c r="BD250" s="21"/>
      <c r="BE250" s="21"/>
      <c r="BF250" s="21"/>
      <c r="BG250" s="21"/>
      <c r="BH250" s="21"/>
      <c r="BI250" s="21"/>
      <c r="BJ250" s="21"/>
      <c r="BK250" s="21"/>
      <c r="BL250" s="21"/>
      <c r="BM250" s="21"/>
      <c r="BN250" s="21"/>
      <c r="BO250" s="21"/>
      <c r="BP250" s="21"/>
      <c r="BQ250" s="21"/>
      <c r="BR250" s="21"/>
      <c r="BS250" s="21"/>
      <c r="BT250" s="21"/>
      <c r="BU250" s="21"/>
      <c r="BV250" s="21"/>
      <c r="BW250" s="21"/>
      <c r="BX250" s="21"/>
      <c r="BY250" s="21"/>
      <c r="BZ250" s="21"/>
      <c r="CA250" s="21"/>
      <c r="CB250" s="21"/>
      <c r="CC250" s="21"/>
      <c r="CD250" s="21"/>
      <c r="CE250" s="21"/>
      <c r="CF250" s="21"/>
      <c r="CG250" s="21"/>
      <c r="CH250" s="21"/>
      <c r="CI250" s="21"/>
      <c r="CJ250" s="21"/>
      <c r="CK250" s="21"/>
      <c r="CL250" s="21"/>
      <c r="CM250" s="21"/>
      <c r="CN250" s="21"/>
      <c r="CO250" s="21"/>
      <c r="CP250" s="21"/>
      <c r="CQ250" s="21"/>
      <c r="CR250" s="21"/>
      <c r="CS250" s="21"/>
      <c r="CT250" s="21"/>
      <c r="CU250" s="21"/>
      <c r="CV250" s="21"/>
      <c r="CW250" s="21"/>
      <c r="CX250" s="21"/>
      <c r="CY250" s="21"/>
      <c r="CZ250" s="21"/>
      <c r="DA250" s="21"/>
      <c r="DB250" s="21"/>
      <c r="DC250" s="21"/>
      <c r="DD250" s="21"/>
      <c r="DE250" s="21"/>
      <c r="DF250" s="21"/>
      <c r="DG250" s="21"/>
      <c r="DH250" s="21"/>
      <c r="DI250" s="21"/>
      <c r="DJ250" s="21"/>
      <c r="DK250" s="21"/>
      <c r="DL250" s="21"/>
      <c r="DM250" s="21"/>
      <c r="DN250" s="21"/>
      <c r="DO250" s="21"/>
      <c r="DP250" s="21"/>
      <c r="DQ250" s="21"/>
      <c r="DR250" s="21"/>
      <c r="DS250" s="21"/>
      <c r="DT250" s="21"/>
      <c r="DU250" s="21"/>
      <c r="DV250" s="21"/>
      <c r="DW250" s="21"/>
      <c r="DX250" s="21"/>
      <c r="DY250" s="21"/>
      <c r="DZ250" s="87"/>
      <c r="EA250" s="87"/>
      <c r="EB250" s="87"/>
      <c r="EC250" s="21"/>
      <c r="ED250" s="21"/>
      <c r="EE250" s="21"/>
      <c r="EF250" s="21"/>
      <c r="EG250" s="21"/>
      <c r="EH250" s="21"/>
      <c r="EI250" s="21"/>
      <c r="EJ250" s="21"/>
      <c r="EK250" s="21"/>
      <c r="EL250" s="21"/>
      <c r="EM250" s="21"/>
      <c r="EN250" s="21"/>
      <c r="EO250" s="21"/>
      <c r="EP250" s="21"/>
      <c r="EQ250" s="21"/>
      <c r="ER250" s="21"/>
      <c r="ES250" s="21"/>
      <c r="ET250" s="21"/>
      <c r="EU250" s="21"/>
      <c r="EV250" s="21"/>
      <c r="EW250" s="21"/>
      <c r="EX250" s="21"/>
      <c r="EY250" s="21"/>
      <c r="EZ250" s="21"/>
      <c r="FA250" s="21"/>
      <c r="FB250" s="21"/>
      <c r="FC250" s="21"/>
      <c r="FD250" s="21"/>
      <c r="FE250" s="21"/>
      <c r="FF250" s="21"/>
      <c r="FG250" s="21"/>
      <c r="FH250" s="21"/>
      <c r="FI250" s="21"/>
      <c r="FJ250" s="21"/>
      <c r="FK250" s="21"/>
      <c r="FL250" s="21"/>
      <c r="FM250" s="21"/>
      <c r="FN250" s="21"/>
      <c r="FO250" s="21"/>
      <c r="FP250" s="21"/>
      <c r="FQ250" s="21"/>
      <c r="FR250" s="21"/>
      <c r="FS250" s="21"/>
      <c r="FT250" s="21"/>
      <c r="FU250" s="21"/>
      <c r="FV250" s="21"/>
      <c r="FW250" s="21"/>
      <c r="FX250" s="21"/>
      <c r="FY250" s="21"/>
      <c r="FZ250" s="21"/>
      <c r="GA250" s="21"/>
      <c r="GB250" s="21"/>
      <c r="GC250" s="21"/>
      <c r="GD250" s="21"/>
      <c r="GE250" s="21"/>
      <c r="GF250" s="21"/>
      <c r="GG250" s="21"/>
      <c r="GH250" s="21"/>
      <c r="GI250" s="21"/>
      <c r="GJ250" s="21"/>
      <c r="GK250" s="21"/>
      <c r="GL250" s="21"/>
      <c r="GM250" s="21"/>
      <c r="GN250" s="21"/>
      <c r="GO250" s="21"/>
      <c r="GP250" s="21"/>
      <c r="GQ250" s="21"/>
      <c r="GR250" s="21"/>
      <c r="GS250" s="21"/>
      <c r="GT250" s="21"/>
      <c r="GU250" s="21"/>
      <c r="GV250" s="21"/>
      <c r="GW250" s="21"/>
      <c r="GX250" s="21"/>
      <c r="GY250" s="21"/>
      <c r="GZ250" s="21"/>
      <c r="HA250" s="21"/>
      <c r="HB250" s="21"/>
      <c r="HC250" s="21"/>
      <c r="HD250" s="21"/>
      <c r="HE250" s="21"/>
      <c r="HF250" s="21"/>
      <c r="HG250" s="21"/>
      <c r="HH250" s="21"/>
      <c r="HI250" s="21"/>
      <c r="HJ250" s="21"/>
      <c r="HK250" s="21"/>
      <c r="HL250" s="21"/>
      <c r="HM250" s="21"/>
      <c r="HN250" s="21"/>
      <c r="HO250" s="21"/>
      <c r="HP250" s="21"/>
      <c r="HQ250" s="21"/>
      <c r="HR250" s="21"/>
      <c r="HS250" s="21"/>
      <c r="HT250" s="21"/>
      <c r="HU250" s="21"/>
      <c r="HV250" s="186"/>
      <c r="HW250" s="21"/>
      <c r="HX250" s="21"/>
      <c r="HY250" s="21"/>
      <c r="HZ250" s="21"/>
      <c r="IA250" s="21"/>
      <c r="IB250" s="21"/>
      <c r="IC250" s="21"/>
      <c r="ID250" s="21"/>
      <c r="IE250" s="21"/>
      <c r="IF250" s="21"/>
      <c r="IG250" s="21"/>
      <c r="IH250" s="21"/>
      <c r="II250" s="21"/>
      <c r="IJ250" s="21"/>
      <c r="IK250" s="21"/>
      <c r="IL250" s="21"/>
      <c r="IM250" s="21"/>
      <c r="IN250" s="21"/>
      <c r="IO250" s="21"/>
      <c r="IP250" s="21"/>
      <c r="IQ250" s="21"/>
      <c r="IR250" s="21"/>
      <c r="IS250" s="21"/>
      <c r="IT250" s="21"/>
      <c r="IU250" s="21"/>
      <c r="IV250" s="21"/>
      <c r="IW250" s="21"/>
      <c r="IX250" s="21"/>
      <c r="IY250" s="21"/>
      <c r="IZ250" s="21"/>
      <c r="JA250" s="21"/>
      <c r="JB250" s="21"/>
      <c r="JC250" s="21"/>
      <c r="JD250" s="21"/>
      <c r="JE250" s="21"/>
      <c r="JF250" s="21"/>
      <c r="JG250" s="21"/>
      <c r="JH250" s="21"/>
      <c r="JI250" s="21"/>
      <c r="JJ250" s="21"/>
      <c r="JK250" s="21"/>
      <c r="JL250" s="21"/>
      <c r="JM250" s="21"/>
      <c r="JN250" s="21"/>
      <c r="JO250" s="21"/>
      <c r="JP250" s="21"/>
      <c r="JQ250" s="21"/>
      <c r="JR250" s="21"/>
      <c r="JS250" s="21"/>
      <c r="JT250" s="21"/>
      <c r="JU250" s="21"/>
      <c r="JV250" s="21"/>
      <c r="JW250" s="21"/>
      <c r="JX250" s="21"/>
      <c r="JY250" s="21"/>
      <c r="JZ250" s="21"/>
      <c r="KA250" s="21"/>
      <c r="KB250" s="21"/>
      <c r="KC250" s="21"/>
      <c r="KD250" s="21"/>
      <c r="KE250" s="21"/>
      <c r="KF250" s="21"/>
      <c r="KG250" s="21"/>
      <c r="KH250" s="21"/>
    </row>
    <row r="251" spans="1:294" x14ac:dyDescent="0.25">
      <c r="A251" s="9"/>
      <c r="B251" s="9"/>
      <c r="C251" s="9"/>
      <c r="D251" s="9"/>
      <c r="E251" s="9"/>
      <c r="F251" s="9"/>
      <c r="G251" s="9"/>
      <c r="H251" s="9"/>
      <c r="I251" s="9"/>
      <c r="J251" s="9"/>
      <c r="K251" s="9"/>
      <c r="L251" s="6" t="str">
        <f>IF(E234=$Z$104,"PC100C",IF(E234=$Z$105,"PC100C",IF(E234=$Z$106,"PC100C",IF(E234=$Z$107,"-------",0))))</f>
        <v>PC100C</v>
      </c>
      <c r="M251" s="11">
        <f>INDEX(cennik!$C$2:$L$529,MATCH($L251,cennik!$B$2:$B$522,0),MATCH(M$205,cennik!$C$1:$L$1,0))</f>
        <v>858433</v>
      </c>
      <c r="N251" s="11" t="str">
        <f>INDEX(cennik!$C$2:$L$529,MATCH($L251,cennik!$B$2:$B$522,0),MATCH(N$104,cennik!$C$1:$L$1,0))</f>
        <v>szt.</v>
      </c>
      <c r="O251" s="11">
        <f>IF(E234=$Z$104,O236*3,IF(E234=$Z$105,O236*3,IF(E234=$Z$106,O236*3,0)))</f>
        <v>0</v>
      </c>
      <c r="P251" s="34">
        <f>INDEX(cennik!$C$2:$L$529,MATCH($L251,cennik!$B$2:$B$522,0),MATCH(P$104,cennik!$C$1:$L$1,0))</f>
        <v>6.8</v>
      </c>
      <c r="Q251" s="34">
        <f>O251*P251</f>
        <v>0</v>
      </c>
      <c r="R251" s="35">
        <f t="shared" si="104"/>
        <v>0</v>
      </c>
      <c r="S251" s="34">
        <f t="shared" si="106"/>
        <v>6.8</v>
      </c>
      <c r="T251" s="34">
        <f>O251*S251</f>
        <v>0</v>
      </c>
      <c r="U251" s="34">
        <f>INDEX(cennik!$C$2:$L$529,MATCH($L251,cennik!$B$2:$B$522,0),MATCH(U$104,cennik!$C$1:$L$1,0))*O251</f>
        <v>0</v>
      </c>
      <c r="V251" s="21"/>
      <c r="W251" s="21"/>
      <c r="X251" s="21"/>
      <c r="Y251" s="21"/>
      <c r="Z251" s="21"/>
      <c r="AA251" s="21"/>
      <c r="AB251" s="21"/>
      <c r="AC251" s="21"/>
      <c r="AD251" s="21"/>
      <c r="AE251" s="21"/>
      <c r="AF251" s="21"/>
      <c r="AG251" s="21"/>
      <c r="AH251" s="21"/>
      <c r="AI251" s="21"/>
      <c r="AJ251" s="21"/>
      <c r="AK251" s="21"/>
      <c r="AL251" s="21"/>
      <c r="AM251" s="21"/>
      <c r="AN251" s="21"/>
      <c r="AO251" s="21"/>
      <c r="AP251" s="21"/>
      <c r="AQ251" s="21"/>
      <c r="AR251" s="21"/>
      <c r="AS251" s="21"/>
      <c r="AT251" s="21"/>
      <c r="AU251" s="21"/>
      <c r="AV251" s="21"/>
      <c r="AW251" s="21"/>
      <c r="AX251" s="21"/>
      <c r="AY251" s="21"/>
      <c r="AZ251" s="21"/>
      <c r="BA251" s="21"/>
      <c r="BB251" s="21"/>
      <c r="BC251" s="21"/>
      <c r="BD251" s="21"/>
      <c r="BE251" s="21"/>
      <c r="BF251" s="21"/>
      <c r="BG251" s="21"/>
      <c r="BH251" s="21"/>
      <c r="BI251" s="21"/>
      <c r="BJ251" s="21"/>
      <c r="BK251" s="21"/>
      <c r="BL251" s="21"/>
      <c r="BM251" s="21"/>
      <c r="BN251" s="21"/>
      <c r="BO251" s="21"/>
      <c r="BP251" s="21"/>
      <c r="BQ251" s="21"/>
      <c r="BR251" s="21"/>
      <c r="BS251" s="21"/>
      <c r="BT251" s="21"/>
      <c r="BU251" s="21"/>
      <c r="BV251" s="21"/>
      <c r="BW251" s="21"/>
      <c r="BX251" s="21"/>
      <c r="BY251" s="21"/>
      <c r="BZ251" s="21"/>
      <c r="CA251" s="21"/>
      <c r="CB251" s="21"/>
      <c r="CC251" s="21"/>
      <c r="CD251" s="21"/>
      <c r="CE251" s="21"/>
      <c r="CF251" s="21"/>
      <c r="CG251" s="21"/>
      <c r="CH251" s="21"/>
      <c r="CI251" s="21"/>
      <c r="CJ251" s="21"/>
      <c r="CK251" s="21"/>
      <c r="CL251" s="21"/>
      <c r="CM251" s="21"/>
      <c r="CN251" s="21"/>
      <c r="CO251" s="21"/>
      <c r="CP251" s="21"/>
      <c r="CQ251" s="21"/>
      <c r="CR251" s="21"/>
      <c r="CS251" s="21"/>
      <c r="CT251" s="21"/>
      <c r="CU251" s="21"/>
      <c r="CV251" s="21"/>
      <c r="CW251" s="21"/>
      <c r="CX251" s="21"/>
      <c r="CY251" s="21"/>
      <c r="CZ251" s="21"/>
      <c r="DA251" s="21"/>
      <c r="DB251" s="21"/>
      <c r="DC251" s="21"/>
      <c r="DD251" s="21"/>
      <c r="DE251" s="21"/>
      <c r="DF251" s="21"/>
      <c r="DG251" s="21"/>
      <c r="DH251" s="21"/>
      <c r="DI251" s="21"/>
      <c r="DJ251" s="21"/>
      <c r="DK251" s="21"/>
      <c r="DL251" s="21"/>
      <c r="DM251" s="21"/>
      <c r="DN251" s="21"/>
      <c r="DO251" s="21"/>
      <c r="DP251" s="21"/>
      <c r="DQ251" s="21"/>
      <c r="DR251" s="21"/>
      <c r="DS251" s="21"/>
      <c r="DT251" s="21"/>
      <c r="DU251" s="21"/>
      <c r="DV251" s="21"/>
      <c r="DW251" s="21"/>
      <c r="DX251" s="21"/>
      <c r="DY251" s="21"/>
      <c r="DZ251" s="87"/>
      <c r="EA251" s="87"/>
      <c r="EB251" s="87"/>
      <c r="EC251" s="21"/>
      <c r="ED251" s="21"/>
      <c r="EE251" s="21"/>
      <c r="EF251" s="21"/>
      <c r="EG251" s="21"/>
      <c r="EH251" s="21"/>
      <c r="EI251" s="21"/>
      <c r="EJ251" s="21"/>
      <c r="EK251" s="21"/>
      <c r="EL251" s="21"/>
      <c r="EM251" s="21"/>
      <c r="EN251" s="21"/>
      <c r="EO251" s="21"/>
      <c r="EP251" s="21"/>
      <c r="EQ251" s="21"/>
      <c r="ER251" s="21"/>
      <c r="ES251" s="21"/>
      <c r="ET251" s="21"/>
      <c r="EU251" s="21"/>
      <c r="EV251" s="21"/>
      <c r="EW251" s="21"/>
      <c r="EX251" s="21"/>
      <c r="EY251" s="21"/>
      <c r="EZ251" s="21"/>
      <c r="FA251" s="21"/>
      <c r="FB251" s="21"/>
      <c r="FC251" s="21"/>
      <c r="FD251" s="21"/>
      <c r="FE251" s="21"/>
      <c r="FF251" s="21"/>
      <c r="FG251" s="21"/>
      <c r="FH251" s="21"/>
      <c r="FI251" s="21"/>
      <c r="FJ251" s="21"/>
      <c r="FK251" s="21"/>
      <c r="FL251" s="21"/>
      <c r="FM251" s="21"/>
      <c r="FN251" s="21"/>
      <c r="FO251" s="21"/>
      <c r="FP251" s="21"/>
      <c r="FQ251" s="21"/>
      <c r="FR251" s="21"/>
      <c r="FS251" s="21"/>
      <c r="FT251" s="21"/>
      <c r="FU251" s="21"/>
      <c r="FV251" s="21"/>
      <c r="FW251" s="21"/>
      <c r="FX251" s="21"/>
      <c r="FY251" s="21"/>
      <c r="FZ251" s="21"/>
      <c r="GA251" s="21"/>
      <c r="GB251" s="21"/>
      <c r="GC251" s="21"/>
      <c r="GD251" s="21"/>
      <c r="GE251" s="21"/>
      <c r="GF251" s="21"/>
      <c r="GG251" s="21"/>
      <c r="GH251" s="21"/>
      <c r="GI251" s="21"/>
      <c r="GJ251" s="21"/>
      <c r="GK251" s="21"/>
      <c r="GL251" s="21"/>
      <c r="GM251" s="21"/>
      <c r="GN251" s="21"/>
      <c r="GO251" s="21"/>
      <c r="GP251" s="21"/>
      <c r="GQ251" s="21"/>
      <c r="GR251" s="21"/>
      <c r="GS251" s="21"/>
      <c r="GT251" s="21"/>
      <c r="GU251" s="21"/>
      <c r="GV251" s="21"/>
      <c r="GW251" s="21"/>
      <c r="GX251" s="21"/>
      <c r="GY251" s="21"/>
      <c r="GZ251" s="21"/>
      <c r="HA251" s="21"/>
      <c r="HB251" s="21"/>
      <c r="HC251" s="21"/>
      <c r="HD251" s="21"/>
      <c r="HE251" s="21"/>
      <c r="HF251" s="21"/>
      <c r="HG251" s="21"/>
      <c r="HH251" s="21"/>
      <c r="HI251" s="21"/>
      <c r="HJ251" s="21"/>
      <c r="HK251" s="21"/>
      <c r="HL251" s="21"/>
      <c r="HM251" s="21"/>
      <c r="HN251" s="21"/>
      <c r="HO251" s="21"/>
      <c r="HP251" s="21"/>
      <c r="HQ251" s="21"/>
      <c r="HR251" s="21"/>
      <c r="HS251" s="21"/>
      <c r="HT251" s="21"/>
      <c r="HU251" s="21"/>
      <c r="HV251" s="186"/>
      <c r="HW251" s="21"/>
      <c r="HX251" s="21"/>
      <c r="HY251" s="21"/>
      <c r="HZ251" s="21"/>
      <c r="IA251" s="21"/>
      <c r="IB251" s="21"/>
      <c r="IC251" s="21"/>
      <c r="ID251" s="21"/>
      <c r="IE251" s="21"/>
      <c r="IF251" s="21"/>
      <c r="IG251" s="21"/>
      <c r="IH251" s="21"/>
      <c r="II251" s="21"/>
      <c r="IJ251" s="21"/>
      <c r="IK251" s="21"/>
      <c r="IL251" s="21"/>
      <c r="IM251" s="21"/>
      <c r="IN251" s="21"/>
      <c r="IO251" s="21"/>
      <c r="IP251" s="21"/>
      <c r="IQ251" s="21"/>
      <c r="IR251" s="21"/>
      <c r="IS251" s="21"/>
      <c r="IT251" s="21"/>
      <c r="IU251" s="21"/>
      <c r="IV251" s="21"/>
      <c r="IW251" s="21"/>
      <c r="IX251" s="21"/>
      <c r="IY251" s="21"/>
      <c r="IZ251" s="21"/>
      <c r="JA251" s="21"/>
      <c r="JB251" s="21"/>
      <c r="JC251" s="21"/>
      <c r="JD251" s="21"/>
      <c r="JE251" s="21"/>
      <c r="JF251" s="21"/>
      <c r="JG251" s="21"/>
      <c r="JH251" s="21"/>
      <c r="JI251" s="21"/>
      <c r="JJ251" s="21"/>
      <c r="JK251" s="21"/>
      <c r="JL251" s="21"/>
      <c r="JM251" s="21"/>
      <c r="JN251" s="21"/>
      <c r="JO251" s="21"/>
      <c r="JP251" s="21"/>
      <c r="JQ251" s="21"/>
      <c r="JR251" s="21"/>
      <c r="JS251" s="21"/>
      <c r="JT251" s="21"/>
      <c r="JU251" s="21"/>
      <c r="JV251" s="21"/>
      <c r="JW251" s="21"/>
      <c r="JX251" s="21"/>
      <c r="JY251" s="21"/>
      <c r="JZ251" s="21"/>
      <c r="KA251" s="21"/>
      <c r="KB251" s="21"/>
      <c r="KC251" s="21"/>
      <c r="KD251" s="21"/>
      <c r="KE251" s="21"/>
      <c r="KF251" s="21"/>
      <c r="KG251" s="21"/>
      <c r="KH251" s="21"/>
    </row>
    <row r="252" spans="1:294" x14ac:dyDescent="0.25">
      <c r="A252" s="9"/>
      <c r="B252" s="9"/>
      <c r="C252" s="9"/>
      <c r="D252" s="9"/>
      <c r="E252" s="9"/>
      <c r="F252" s="9"/>
      <c r="G252" s="9"/>
      <c r="H252" s="9"/>
      <c r="I252" s="9"/>
      <c r="J252" s="9"/>
      <c r="K252" s="9"/>
      <c r="L252" s="6" t="s">
        <v>407</v>
      </c>
      <c r="M252" s="11">
        <f>INDEX(cennik!$C$2:$L$529,MATCH($L252,cennik!$B$2:$B$522,0),MATCH(M$205,cennik!$C$1:$L$1,0))</f>
        <v>651643</v>
      </c>
      <c r="N252" s="11" t="str">
        <f>INDEX(cennik!$C$2:$L$529,MATCH($L252,cennik!$B$2:$B$522,0),MATCH(N$104,cennik!$C$1:$L$1,0))</f>
        <v>100 szt.</v>
      </c>
      <c r="O252" s="11">
        <f>ROUNDUP((O236*6+O235*8+IF(E234=$Z$104,O246*0,0)+E237)/100,0)</f>
        <v>0</v>
      </c>
      <c r="P252" s="34">
        <f>INDEX(cennik!$C$2:$L$529,MATCH($L252,cennik!$B$2:$B$522,0),MATCH(P$104,cennik!$C$1:$L$1,0))</f>
        <v>144.19</v>
      </c>
      <c r="Q252" s="34">
        <f>O252*P252</f>
        <v>0</v>
      </c>
      <c r="R252" s="35">
        <f t="shared" ref="R252:R255" si="111">$E$209</f>
        <v>0</v>
      </c>
      <c r="S252" s="34">
        <f t="shared" si="106"/>
        <v>144.19</v>
      </c>
      <c r="T252" s="34">
        <f>O252*S252</f>
        <v>0</v>
      </c>
      <c r="U252" s="34">
        <f>INDEX(cennik!$C$2:$L$529,MATCH($L252,cennik!$B$2:$B$522,0),MATCH(U$104,cennik!$C$1:$L$1,0))*O252</f>
        <v>0</v>
      </c>
      <c r="V252" s="21"/>
      <c r="W252" s="21"/>
      <c r="X252" s="21"/>
      <c r="Y252" s="21"/>
      <c r="Z252" s="21"/>
      <c r="AA252" s="21"/>
      <c r="AB252" s="21"/>
      <c r="AC252" s="21"/>
      <c r="AD252" s="21"/>
      <c r="AE252" s="21"/>
      <c r="AF252" s="21"/>
      <c r="AG252" s="21"/>
      <c r="AH252" s="21"/>
      <c r="AI252" s="21"/>
      <c r="AJ252" s="21"/>
      <c r="AK252" s="21"/>
      <c r="AL252" s="21"/>
      <c r="AM252" s="21"/>
      <c r="AN252" s="21"/>
      <c r="AO252" s="21"/>
      <c r="AP252" s="21"/>
      <c r="AQ252" s="21"/>
      <c r="AR252" s="21"/>
      <c r="AS252" s="21"/>
      <c r="AT252" s="21"/>
      <c r="AU252" s="21"/>
      <c r="AV252" s="21"/>
      <c r="AW252" s="21"/>
      <c r="AX252" s="21"/>
      <c r="AY252" s="21"/>
      <c r="AZ252" s="21"/>
      <c r="BA252" s="21"/>
      <c r="BB252" s="21"/>
      <c r="BC252" s="21"/>
      <c r="BD252" s="21"/>
      <c r="BE252" s="21"/>
      <c r="BF252" s="21"/>
      <c r="BG252" s="21"/>
      <c r="BH252" s="21"/>
      <c r="BI252" s="21"/>
      <c r="BJ252" s="21"/>
      <c r="BK252" s="21"/>
      <c r="BL252" s="21"/>
      <c r="BM252" s="21"/>
      <c r="BN252" s="21"/>
      <c r="BO252" s="21"/>
      <c r="BP252" s="21"/>
      <c r="BQ252" s="21"/>
      <c r="BR252" s="21"/>
      <c r="BS252" s="21"/>
      <c r="BT252" s="21"/>
      <c r="BU252" s="21"/>
      <c r="BV252" s="21"/>
      <c r="BW252" s="21"/>
      <c r="BX252" s="21"/>
      <c r="BY252" s="21"/>
      <c r="BZ252" s="21"/>
      <c r="CA252" s="21"/>
      <c r="CB252" s="21"/>
      <c r="CC252" s="21"/>
      <c r="CD252" s="21"/>
      <c r="CE252" s="21"/>
      <c r="CF252" s="21"/>
      <c r="CG252" s="21"/>
      <c r="CH252" s="21"/>
      <c r="CI252" s="21"/>
      <c r="CJ252" s="21"/>
      <c r="CK252" s="21"/>
      <c r="CL252" s="21"/>
      <c r="CM252" s="21"/>
      <c r="CN252" s="21"/>
      <c r="CO252" s="21"/>
      <c r="CP252" s="21"/>
      <c r="CQ252" s="21"/>
      <c r="CR252" s="21"/>
      <c r="CS252" s="21"/>
      <c r="CT252" s="21"/>
      <c r="CU252" s="21"/>
      <c r="CV252" s="21"/>
      <c r="CW252" s="21"/>
      <c r="CX252" s="21"/>
      <c r="CY252" s="21"/>
      <c r="CZ252" s="21"/>
      <c r="DA252" s="21"/>
      <c r="DB252" s="21"/>
      <c r="DC252" s="21"/>
      <c r="DD252" s="21"/>
      <c r="DE252" s="21"/>
      <c r="DF252" s="21"/>
      <c r="DG252" s="21"/>
      <c r="DH252" s="21"/>
      <c r="DI252" s="21"/>
      <c r="DJ252" s="21"/>
      <c r="DK252" s="21"/>
      <c r="DL252" s="21"/>
      <c r="DM252" s="21"/>
      <c r="DN252" s="21"/>
      <c r="DO252" s="21"/>
      <c r="DP252" s="21"/>
      <c r="DQ252" s="21"/>
      <c r="DR252" s="21"/>
      <c r="DS252" s="21"/>
      <c r="DT252" s="21"/>
      <c r="DU252" s="21"/>
      <c r="DV252" s="21"/>
      <c r="DW252" s="21"/>
      <c r="DX252" s="21"/>
      <c r="DY252" s="21"/>
      <c r="DZ252" s="87"/>
      <c r="EA252" s="87"/>
      <c r="EB252" s="87"/>
      <c r="EC252" s="21"/>
      <c r="ED252" s="21"/>
      <c r="EE252" s="21"/>
      <c r="EF252" s="21"/>
      <c r="EG252" s="21"/>
      <c r="EH252" s="21"/>
      <c r="EI252" s="21"/>
      <c r="EJ252" s="21"/>
      <c r="EK252" s="21"/>
      <c r="EL252" s="21"/>
      <c r="EM252" s="21"/>
      <c r="EN252" s="21"/>
      <c r="EO252" s="21"/>
      <c r="EP252" s="21"/>
      <c r="EQ252" s="21"/>
      <c r="ER252" s="21"/>
      <c r="ES252" s="21"/>
      <c r="ET252" s="21"/>
      <c r="EU252" s="21"/>
      <c r="EV252" s="21"/>
      <c r="EW252" s="21"/>
      <c r="EX252" s="21"/>
      <c r="EY252" s="21"/>
      <c r="EZ252" s="21"/>
      <c r="FA252" s="21"/>
      <c r="FB252" s="21"/>
      <c r="FC252" s="21"/>
      <c r="FD252" s="21"/>
      <c r="FE252" s="21"/>
      <c r="FF252" s="21"/>
      <c r="FG252" s="21"/>
      <c r="FH252" s="21"/>
      <c r="FI252" s="21"/>
      <c r="FJ252" s="21"/>
      <c r="FK252" s="21"/>
      <c r="FL252" s="21"/>
      <c r="FM252" s="21"/>
      <c r="FN252" s="21"/>
      <c r="FO252" s="21"/>
      <c r="FP252" s="21"/>
      <c r="FQ252" s="21"/>
      <c r="FR252" s="21"/>
      <c r="FS252" s="21"/>
      <c r="FT252" s="21"/>
      <c r="FU252" s="21"/>
      <c r="FV252" s="21"/>
      <c r="FW252" s="21"/>
      <c r="FX252" s="21"/>
      <c r="FY252" s="21"/>
      <c r="FZ252" s="21"/>
      <c r="GA252" s="21"/>
      <c r="GB252" s="21"/>
      <c r="GC252" s="21"/>
      <c r="GD252" s="21"/>
      <c r="GE252" s="21"/>
      <c r="GF252" s="21"/>
      <c r="GG252" s="21"/>
      <c r="GH252" s="21"/>
      <c r="GI252" s="21"/>
      <c r="GJ252" s="21"/>
      <c r="GK252" s="21"/>
      <c r="GL252" s="21"/>
      <c r="GM252" s="21"/>
      <c r="GN252" s="21"/>
      <c r="GO252" s="21"/>
      <c r="GP252" s="21"/>
      <c r="GQ252" s="21"/>
      <c r="GR252" s="21"/>
      <c r="GS252" s="21"/>
      <c r="GT252" s="21"/>
      <c r="GU252" s="21"/>
      <c r="GV252" s="21"/>
      <c r="GW252" s="21"/>
      <c r="GX252" s="21"/>
      <c r="GY252" s="21"/>
      <c r="GZ252" s="21"/>
      <c r="HA252" s="21"/>
      <c r="HB252" s="21"/>
      <c r="HC252" s="21"/>
      <c r="HD252" s="21"/>
      <c r="HE252" s="21"/>
      <c r="HF252" s="21"/>
      <c r="HG252" s="21"/>
      <c r="HH252" s="21"/>
      <c r="HI252" s="21"/>
      <c r="HJ252" s="21"/>
      <c r="HK252" s="21"/>
      <c r="HL252" s="21"/>
      <c r="HM252" s="21"/>
      <c r="HN252" s="21"/>
      <c r="HO252" s="21"/>
      <c r="HP252" s="21"/>
      <c r="HQ252" s="21"/>
      <c r="HR252" s="21"/>
      <c r="HS252" s="21"/>
      <c r="HT252" s="21"/>
      <c r="HU252" s="21"/>
      <c r="HV252" s="186"/>
      <c r="HW252" s="21"/>
      <c r="HX252" s="21"/>
      <c r="HY252" s="21"/>
      <c r="HZ252" s="21"/>
      <c r="IA252" s="21"/>
      <c r="IB252" s="21"/>
      <c r="IC252" s="21"/>
      <c r="ID252" s="21"/>
      <c r="IE252" s="21"/>
      <c r="IF252" s="21"/>
      <c r="IG252" s="21"/>
      <c r="IH252" s="21"/>
      <c r="II252" s="21"/>
      <c r="IJ252" s="21"/>
      <c r="IK252" s="21"/>
      <c r="IL252" s="21"/>
      <c r="IM252" s="21"/>
      <c r="IN252" s="21"/>
      <c r="IO252" s="21"/>
      <c r="IP252" s="21"/>
      <c r="IQ252" s="21"/>
      <c r="IR252" s="21"/>
      <c r="IS252" s="21"/>
      <c r="IT252" s="21"/>
      <c r="IU252" s="21"/>
      <c r="IV252" s="21"/>
      <c r="IW252" s="21"/>
      <c r="IX252" s="21"/>
      <c r="IY252" s="21"/>
      <c r="IZ252" s="21"/>
      <c r="JA252" s="21"/>
      <c r="JB252" s="21"/>
      <c r="JC252" s="21"/>
      <c r="JD252" s="21"/>
      <c r="JE252" s="21"/>
      <c r="JF252" s="21"/>
      <c r="JG252" s="21"/>
      <c r="JH252" s="21"/>
      <c r="JI252" s="21"/>
      <c r="JJ252" s="21"/>
      <c r="JK252" s="21"/>
      <c r="JL252" s="21"/>
      <c r="JM252" s="21"/>
      <c r="JN252" s="21"/>
      <c r="JO252" s="21"/>
      <c r="JP252" s="21"/>
      <c r="JQ252" s="21"/>
      <c r="JR252" s="21"/>
      <c r="JS252" s="21"/>
      <c r="JT252" s="21"/>
      <c r="JU252" s="21"/>
      <c r="JV252" s="21"/>
      <c r="JW252" s="21"/>
      <c r="JX252" s="21"/>
      <c r="JY252" s="21"/>
      <c r="JZ252" s="21"/>
      <c r="KA252" s="21"/>
      <c r="KB252" s="21"/>
      <c r="KC252" s="21"/>
      <c r="KD252" s="21"/>
      <c r="KE252" s="21"/>
      <c r="KF252" s="21"/>
      <c r="KG252" s="21"/>
      <c r="KH252" s="21"/>
    </row>
    <row r="253" spans="1:294" x14ac:dyDescent="0.25">
      <c r="A253" s="9"/>
      <c r="B253" s="9"/>
      <c r="C253" s="9"/>
      <c r="D253" s="9"/>
      <c r="E253" s="9"/>
      <c r="F253" s="9"/>
      <c r="G253" s="9"/>
      <c r="H253" s="9"/>
      <c r="I253" s="9"/>
      <c r="J253" s="9"/>
      <c r="K253" s="9"/>
      <c r="L253" s="6" t="s">
        <v>850</v>
      </c>
      <c r="M253" s="11">
        <f>INDEX(cennik!$C$2:$L$529,MATCH($L253,cennik!$B$2:$B$522,0),MATCH(M$205,cennik!$C$1:$L$1,0))</f>
        <v>65114197</v>
      </c>
      <c r="N253" s="11" t="str">
        <f>INDEX(cennik!$C$2:$L$529,MATCH($L253,cennik!$B$2:$B$522,0),MATCH(N$104,cennik!$C$1:$L$1,0))</f>
        <v>100 szt.</v>
      </c>
      <c r="O253" s="11">
        <f>ROUNDUP((O236*4)/100,0)</f>
        <v>0</v>
      </c>
      <c r="P253" s="34">
        <f>INDEX(cennik!$C$2:$L$529,MATCH($L253,cennik!$B$2:$B$522,0),MATCH(P$104,cennik!$C$1:$L$1,0))</f>
        <v>184.49</v>
      </c>
      <c r="Q253" s="34">
        <f t="shared" ref="Q253:Q255" si="112">O253*P253</f>
        <v>0</v>
      </c>
      <c r="R253" s="35">
        <f t="shared" si="111"/>
        <v>0</v>
      </c>
      <c r="S253" s="34">
        <f t="shared" si="106"/>
        <v>184.49</v>
      </c>
      <c r="T253" s="34">
        <f t="shared" ref="T253:T255" si="113">O253*S253</f>
        <v>0</v>
      </c>
      <c r="U253" s="34">
        <f>INDEX(cennik!$C$2:$L$529,MATCH($L253,cennik!$B$2:$B$522,0),MATCH(U$104,cennik!$C$1:$L$1,0))*O253</f>
        <v>0</v>
      </c>
      <c r="V253" s="21"/>
      <c r="W253" s="21"/>
      <c r="X253" s="21"/>
      <c r="Y253" s="21"/>
      <c r="Z253" s="21"/>
      <c r="AA253" s="21"/>
      <c r="AB253" s="21"/>
      <c r="AC253" s="21"/>
      <c r="AD253" s="21"/>
      <c r="AE253" s="21"/>
      <c r="AF253" s="21"/>
      <c r="AG253" s="21"/>
      <c r="AH253" s="21"/>
      <c r="AI253" s="21"/>
      <c r="AJ253" s="21"/>
      <c r="AK253" s="21"/>
      <c r="AL253" s="21"/>
      <c r="AM253" s="21"/>
      <c r="AN253" s="21"/>
      <c r="AO253" s="21"/>
      <c r="AP253" s="21"/>
      <c r="AQ253" s="21"/>
      <c r="AR253" s="21"/>
      <c r="AS253" s="21"/>
      <c r="AT253" s="21"/>
      <c r="AU253" s="21"/>
      <c r="AV253" s="21"/>
      <c r="AW253" s="21"/>
      <c r="AX253" s="21"/>
      <c r="AY253" s="21"/>
      <c r="AZ253" s="21"/>
      <c r="BA253" s="21"/>
      <c r="BB253" s="21"/>
      <c r="BC253" s="21"/>
      <c r="BD253" s="21"/>
      <c r="BE253" s="21"/>
      <c r="BF253" s="21"/>
      <c r="BG253" s="21"/>
      <c r="BH253" s="21"/>
      <c r="BI253" s="21"/>
      <c r="BJ253" s="21"/>
      <c r="BK253" s="21"/>
      <c r="BL253" s="21"/>
      <c r="BM253" s="21"/>
      <c r="BN253" s="21"/>
      <c r="BO253" s="21"/>
      <c r="BP253" s="21"/>
      <c r="BQ253" s="21"/>
      <c r="BR253" s="21"/>
      <c r="BS253" s="21"/>
      <c r="BT253" s="21"/>
      <c r="BU253" s="21"/>
      <c r="BV253" s="21"/>
      <c r="BW253" s="21"/>
      <c r="BX253" s="21"/>
      <c r="BY253" s="21"/>
      <c r="BZ253" s="21"/>
      <c r="CA253" s="21"/>
      <c r="CB253" s="21"/>
      <c r="CC253" s="21"/>
      <c r="CD253" s="21"/>
      <c r="CE253" s="21"/>
      <c r="CF253" s="21"/>
      <c r="CG253" s="21"/>
      <c r="CH253" s="21"/>
      <c r="CI253" s="21"/>
      <c r="CJ253" s="21"/>
      <c r="CK253" s="21"/>
      <c r="CL253" s="21"/>
      <c r="CM253" s="21"/>
      <c r="CN253" s="21"/>
      <c r="CO253" s="21"/>
      <c r="CP253" s="21"/>
      <c r="CQ253" s="21"/>
      <c r="CR253" s="21"/>
      <c r="CS253" s="21"/>
      <c r="CT253" s="21"/>
      <c r="CU253" s="21"/>
      <c r="CV253" s="21"/>
      <c r="CW253" s="21"/>
      <c r="CX253" s="21"/>
      <c r="CY253" s="21"/>
      <c r="CZ253" s="21"/>
      <c r="DA253" s="21"/>
      <c r="DB253" s="21"/>
      <c r="DC253" s="21"/>
      <c r="DD253" s="21"/>
      <c r="DE253" s="21"/>
      <c r="DF253" s="21"/>
      <c r="DG253" s="21"/>
      <c r="DH253" s="21"/>
      <c r="DI253" s="21"/>
      <c r="DJ253" s="21"/>
      <c r="DK253" s="21"/>
      <c r="DL253" s="21"/>
      <c r="DM253" s="21"/>
      <c r="DN253" s="21"/>
      <c r="DO253" s="21"/>
      <c r="DP253" s="21"/>
      <c r="DQ253" s="21"/>
      <c r="DR253" s="21"/>
      <c r="DS253" s="21"/>
      <c r="DT253" s="21"/>
      <c r="DU253" s="21"/>
      <c r="DV253" s="21"/>
      <c r="DW253" s="21"/>
      <c r="DX253" s="21"/>
      <c r="DY253" s="21"/>
      <c r="DZ253" s="87"/>
      <c r="EA253" s="87"/>
      <c r="EB253" s="87"/>
      <c r="EC253" s="21"/>
      <c r="ED253" s="21"/>
      <c r="EE253" s="21"/>
      <c r="EF253" s="21"/>
      <c r="EG253" s="21"/>
      <c r="EH253" s="21"/>
      <c r="EI253" s="21"/>
      <c r="EJ253" s="21"/>
      <c r="EK253" s="21"/>
      <c r="EL253" s="21"/>
      <c r="EM253" s="21"/>
      <c r="EN253" s="21"/>
      <c r="EO253" s="21"/>
      <c r="EP253" s="21"/>
      <c r="EQ253" s="21"/>
      <c r="ER253" s="21"/>
      <c r="ES253" s="21"/>
      <c r="ET253" s="21"/>
      <c r="EU253" s="21"/>
      <c r="EV253" s="21"/>
      <c r="EW253" s="21"/>
      <c r="EX253" s="21"/>
      <c r="EY253" s="21"/>
      <c r="EZ253" s="21"/>
      <c r="FA253" s="21"/>
      <c r="FB253" s="21"/>
      <c r="FC253" s="21"/>
      <c r="FD253" s="21"/>
      <c r="FE253" s="21"/>
      <c r="FF253" s="21"/>
      <c r="FG253" s="21"/>
      <c r="FH253" s="21"/>
      <c r="FI253" s="21"/>
      <c r="FJ253" s="21"/>
      <c r="FK253" s="21"/>
      <c r="FL253" s="21"/>
      <c r="FM253" s="21"/>
      <c r="FN253" s="21"/>
      <c r="FO253" s="21"/>
      <c r="FP253" s="21"/>
      <c r="FQ253" s="21"/>
      <c r="FR253" s="21"/>
      <c r="FS253" s="21"/>
      <c r="FT253" s="21"/>
      <c r="FU253" s="21"/>
      <c r="FV253" s="21"/>
      <c r="FW253" s="21"/>
      <c r="FX253" s="21"/>
      <c r="FY253" s="21"/>
      <c r="FZ253" s="21"/>
      <c r="GA253" s="21"/>
      <c r="GB253" s="21"/>
      <c r="GC253" s="21"/>
      <c r="GD253" s="21"/>
      <c r="GE253" s="21"/>
      <c r="GF253" s="21"/>
      <c r="GG253" s="21"/>
      <c r="GH253" s="21"/>
      <c r="GI253" s="21"/>
      <c r="GJ253" s="21"/>
      <c r="GK253" s="21"/>
      <c r="GL253" s="21"/>
      <c r="GM253" s="21"/>
      <c r="GN253" s="21"/>
      <c r="GO253" s="21"/>
      <c r="GP253" s="21"/>
      <c r="GQ253" s="21"/>
      <c r="GR253" s="21"/>
      <c r="GS253" s="21"/>
      <c r="GT253" s="21"/>
      <c r="GU253" s="21"/>
      <c r="GV253" s="21"/>
      <c r="GW253" s="21"/>
      <c r="GX253" s="21"/>
      <c r="GY253" s="21"/>
      <c r="GZ253" s="21"/>
      <c r="HA253" s="21"/>
      <c r="HB253" s="21"/>
      <c r="HC253" s="21"/>
      <c r="HD253" s="21"/>
      <c r="HE253" s="21"/>
      <c r="HF253" s="21"/>
      <c r="HG253" s="21"/>
      <c r="HH253" s="21"/>
      <c r="HI253" s="21"/>
      <c r="HJ253" s="21"/>
      <c r="HK253" s="21"/>
      <c r="HL253" s="21"/>
      <c r="HM253" s="21"/>
      <c r="HN253" s="21"/>
      <c r="HO253" s="21"/>
      <c r="HP253" s="21"/>
      <c r="HQ253" s="21"/>
      <c r="HR253" s="21"/>
      <c r="HS253" s="21"/>
      <c r="HT253" s="21"/>
      <c r="HU253" s="21"/>
      <c r="HV253" s="186"/>
      <c r="HW253" s="21"/>
      <c r="HX253" s="21"/>
      <c r="HY253" s="21"/>
      <c r="HZ253" s="21"/>
      <c r="IA253" s="21"/>
      <c r="IB253" s="21"/>
      <c r="IC253" s="21"/>
      <c r="ID253" s="21"/>
      <c r="IE253" s="21"/>
      <c r="IF253" s="21"/>
      <c r="IG253" s="21"/>
      <c r="IH253" s="21"/>
      <c r="II253" s="21"/>
      <c r="IJ253" s="21"/>
      <c r="IK253" s="21"/>
      <c r="IL253" s="21"/>
      <c r="IM253" s="21"/>
      <c r="IN253" s="21"/>
      <c r="IO253" s="21"/>
      <c r="IP253" s="21"/>
      <c r="IQ253" s="21"/>
      <c r="IR253" s="21"/>
      <c r="IS253" s="21"/>
      <c r="IT253" s="21"/>
      <c r="IU253" s="21"/>
      <c r="IV253" s="21"/>
      <c r="IW253" s="21"/>
      <c r="IX253" s="21"/>
      <c r="IY253" s="21"/>
      <c r="IZ253" s="21"/>
      <c r="JA253" s="21"/>
      <c r="JB253" s="21"/>
      <c r="JC253" s="21"/>
      <c r="JD253" s="21"/>
      <c r="JE253" s="21"/>
      <c r="JF253" s="21"/>
      <c r="JG253" s="21"/>
      <c r="JH253" s="21"/>
      <c r="JI253" s="21"/>
      <c r="JJ253" s="21"/>
      <c r="JK253" s="21"/>
      <c r="JL253" s="21"/>
      <c r="JM253" s="21"/>
      <c r="JN253" s="21"/>
      <c r="JO253" s="21"/>
      <c r="JP253" s="21"/>
      <c r="JQ253" s="21"/>
      <c r="JR253" s="21"/>
      <c r="JS253" s="21"/>
      <c r="JT253" s="21"/>
      <c r="JU253" s="21"/>
      <c r="JV253" s="21"/>
      <c r="JW253" s="21"/>
      <c r="JX253" s="21"/>
      <c r="JY253" s="21"/>
      <c r="JZ253" s="21"/>
      <c r="KA253" s="21"/>
      <c r="KB253" s="21"/>
      <c r="KC253" s="21"/>
      <c r="KD253" s="21"/>
      <c r="KE253" s="21"/>
      <c r="KF253" s="21"/>
      <c r="KG253" s="21"/>
      <c r="KH253" s="21"/>
    </row>
    <row r="254" spans="1:294" x14ac:dyDescent="0.25">
      <c r="A254" s="9"/>
      <c r="B254" s="9"/>
      <c r="C254" s="9"/>
      <c r="D254" s="9"/>
      <c r="E254" s="9"/>
      <c r="F254" s="17" t="str">
        <f>IF(L245="PSRM10X90F","PROPOZYCJA KOTEW- DO WERFIKACJI",IF(L245="-------","",""))</f>
        <v/>
      </c>
      <c r="G254" s="9"/>
      <c r="H254" s="9"/>
      <c r="I254" s="9"/>
      <c r="J254" s="9"/>
      <c r="K254" s="9"/>
      <c r="L254" s="6" t="s">
        <v>851</v>
      </c>
      <c r="M254" s="11">
        <f>INDEX(cennik!$C$2:$L$529,MATCH($L254,cennik!$B$2:$B$522,0),MATCH(M$205,cennik!$C$1:$L$1,0))</f>
        <v>6505443</v>
      </c>
      <c r="N254" s="11" t="str">
        <f>INDEX(cennik!$C$2:$L$529,MATCH($L254,cennik!$B$2:$B$522,0),MATCH(N$104,cennik!$C$1:$L$1,0))</f>
        <v>100 szt.</v>
      </c>
      <c r="O254" s="11">
        <f>O253</f>
        <v>0</v>
      </c>
      <c r="P254" s="34">
        <f>INDEX(cennik!$C$2:$L$529,MATCH($L254,cennik!$B$2:$B$522,0),MATCH(P$104,cennik!$C$1:$L$1,0))</f>
        <v>12.95</v>
      </c>
      <c r="Q254" s="34">
        <f t="shared" si="112"/>
        <v>0</v>
      </c>
      <c r="R254" s="35">
        <f t="shared" si="111"/>
        <v>0</v>
      </c>
      <c r="S254" s="34">
        <f t="shared" si="106"/>
        <v>12.95</v>
      </c>
      <c r="T254" s="34">
        <f t="shared" si="113"/>
        <v>0</v>
      </c>
      <c r="U254" s="34">
        <f>INDEX(cennik!$C$2:$L$529,MATCH($L254,cennik!$B$2:$B$522,0),MATCH(U$104,cennik!$C$1:$L$1,0))*O254</f>
        <v>0</v>
      </c>
      <c r="V254" s="21"/>
      <c r="W254" s="21"/>
      <c r="X254" s="21"/>
      <c r="Y254" s="21"/>
      <c r="Z254" s="21"/>
      <c r="AA254" s="21"/>
      <c r="AB254" s="21"/>
      <c r="AC254" s="21"/>
      <c r="AD254" s="21"/>
      <c r="AE254" s="21"/>
      <c r="AF254" s="21"/>
      <c r="AG254" s="21"/>
      <c r="AH254" s="21"/>
      <c r="AI254" s="21"/>
      <c r="AJ254" s="21"/>
      <c r="AK254" s="21"/>
      <c r="AL254" s="21"/>
      <c r="AM254" s="21"/>
      <c r="AN254" s="21"/>
      <c r="AO254" s="21"/>
      <c r="AP254" s="21"/>
      <c r="AQ254" s="21"/>
      <c r="AR254" s="21"/>
      <c r="AS254" s="21"/>
      <c r="AT254" s="21"/>
      <c r="AU254" s="21"/>
      <c r="AV254" s="21"/>
      <c r="AW254" s="21"/>
      <c r="AX254" s="21"/>
      <c r="AY254" s="21"/>
      <c r="AZ254" s="21"/>
      <c r="BA254" s="21"/>
      <c r="BB254" s="21"/>
      <c r="BC254" s="21"/>
      <c r="BD254" s="21"/>
      <c r="BE254" s="21"/>
      <c r="BF254" s="21"/>
      <c r="BG254" s="21"/>
      <c r="BH254" s="21"/>
      <c r="BI254" s="21"/>
      <c r="BJ254" s="21"/>
      <c r="BK254" s="21"/>
      <c r="BL254" s="21"/>
      <c r="BM254" s="21"/>
      <c r="BN254" s="21"/>
      <c r="BO254" s="21"/>
      <c r="BP254" s="21"/>
      <c r="BQ254" s="21"/>
      <c r="BR254" s="21"/>
      <c r="BS254" s="21"/>
      <c r="BT254" s="21"/>
      <c r="BU254" s="21"/>
      <c r="BV254" s="21"/>
      <c r="BW254" s="21"/>
      <c r="BX254" s="21"/>
      <c r="BY254" s="21"/>
      <c r="BZ254" s="21"/>
      <c r="CA254" s="21"/>
      <c r="CB254" s="21"/>
      <c r="CC254" s="21"/>
      <c r="CD254" s="21"/>
      <c r="CE254" s="21"/>
      <c r="CF254" s="21"/>
      <c r="CG254" s="21"/>
      <c r="CH254" s="21"/>
      <c r="CI254" s="21"/>
      <c r="CJ254" s="21"/>
      <c r="CK254" s="21"/>
      <c r="CL254" s="21"/>
      <c r="CM254" s="21"/>
      <c r="CN254" s="21"/>
      <c r="CO254" s="21"/>
      <c r="CP254" s="21"/>
      <c r="CQ254" s="21"/>
      <c r="CR254" s="21"/>
      <c r="CS254" s="21"/>
      <c r="CT254" s="21"/>
      <c r="CU254" s="21"/>
      <c r="CV254" s="21"/>
      <c r="CW254" s="21"/>
      <c r="CX254" s="21"/>
      <c r="CY254" s="21"/>
      <c r="CZ254" s="21"/>
      <c r="DA254" s="21"/>
      <c r="DB254" s="21"/>
      <c r="DC254" s="21"/>
      <c r="DD254" s="21"/>
      <c r="DE254" s="21"/>
      <c r="DF254" s="21"/>
      <c r="DG254" s="21"/>
      <c r="DH254" s="21"/>
      <c r="DI254" s="21"/>
      <c r="DJ254" s="21"/>
      <c r="DK254" s="21"/>
      <c r="DL254" s="21"/>
      <c r="DM254" s="21"/>
      <c r="DN254" s="21"/>
      <c r="DO254" s="21"/>
      <c r="DP254" s="21"/>
      <c r="DQ254" s="21"/>
      <c r="DR254" s="21"/>
      <c r="DS254" s="21"/>
      <c r="DT254" s="21"/>
      <c r="DU254" s="21"/>
      <c r="DV254" s="21"/>
      <c r="DW254" s="21"/>
      <c r="DX254" s="21"/>
      <c r="DY254" s="21"/>
      <c r="DZ254" s="87"/>
      <c r="EA254" s="87"/>
      <c r="EB254" s="87"/>
      <c r="EC254" s="21"/>
      <c r="ED254" s="21"/>
      <c r="EE254" s="21"/>
      <c r="EF254" s="21"/>
      <c r="EG254" s="21"/>
      <c r="EH254" s="21"/>
      <c r="EI254" s="21"/>
      <c r="EJ254" s="21"/>
      <c r="EK254" s="21"/>
      <c r="EL254" s="21"/>
      <c r="EM254" s="21"/>
      <c r="EN254" s="21"/>
      <c r="EO254" s="21"/>
      <c r="EP254" s="21"/>
      <c r="EQ254" s="21"/>
      <c r="ER254" s="21"/>
      <c r="ES254" s="21"/>
      <c r="ET254" s="21"/>
      <c r="EU254" s="21"/>
      <c r="EV254" s="21"/>
      <c r="EW254" s="21"/>
      <c r="EX254" s="21"/>
      <c r="EY254" s="21"/>
      <c r="EZ254" s="21"/>
      <c r="FA254" s="21"/>
      <c r="FB254" s="21"/>
      <c r="FC254" s="21"/>
      <c r="FD254" s="21"/>
      <c r="FE254" s="21"/>
      <c r="FF254" s="21"/>
      <c r="FG254" s="21"/>
      <c r="FH254" s="21"/>
      <c r="FI254" s="21"/>
      <c r="FJ254" s="21"/>
      <c r="FK254" s="21"/>
      <c r="FL254" s="21"/>
      <c r="FM254" s="21"/>
      <c r="FN254" s="21"/>
      <c r="FO254" s="21"/>
      <c r="FP254" s="21"/>
      <c r="FQ254" s="21"/>
      <c r="FR254" s="21"/>
      <c r="FS254" s="21"/>
      <c r="FT254" s="21"/>
      <c r="FU254" s="21"/>
      <c r="FV254" s="21"/>
      <c r="FW254" s="21"/>
      <c r="FX254" s="21"/>
      <c r="FY254" s="21"/>
      <c r="FZ254" s="21"/>
      <c r="GA254" s="21"/>
      <c r="GB254" s="21"/>
      <c r="GC254" s="21"/>
      <c r="GD254" s="21"/>
      <c r="GE254" s="21"/>
      <c r="GF254" s="21"/>
      <c r="GG254" s="21"/>
      <c r="GH254" s="21"/>
      <c r="GI254" s="21"/>
      <c r="GJ254" s="21"/>
      <c r="GK254" s="21"/>
      <c r="GL254" s="21"/>
      <c r="GM254" s="21"/>
      <c r="GN254" s="21"/>
      <c r="GO254" s="21"/>
      <c r="GP254" s="21"/>
      <c r="GQ254" s="21"/>
      <c r="GR254" s="21"/>
      <c r="GS254" s="21"/>
      <c r="GT254" s="21"/>
      <c r="GU254" s="21"/>
      <c r="GV254" s="21"/>
      <c r="GW254" s="21"/>
      <c r="GX254" s="21"/>
      <c r="GY254" s="21"/>
      <c r="GZ254" s="21"/>
      <c r="HA254" s="21"/>
      <c r="HB254" s="21"/>
      <c r="HC254" s="21"/>
      <c r="HD254" s="21"/>
      <c r="HE254" s="21"/>
      <c r="HF254" s="21"/>
      <c r="HG254" s="21"/>
      <c r="HH254" s="21"/>
      <c r="HI254" s="21"/>
      <c r="HJ254" s="21"/>
      <c r="HK254" s="21"/>
      <c r="HL254" s="21"/>
      <c r="HM254" s="21"/>
      <c r="HN254" s="21"/>
      <c r="HO254" s="21"/>
      <c r="HP254" s="21"/>
      <c r="HQ254" s="21"/>
      <c r="HR254" s="21"/>
      <c r="HS254" s="21"/>
      <c r="HT254" s="21"/>
      <c r="HU254" s="21"/>
      <c r="HV254" s="186"/>
      <c r="HW254" s="21"/>
      <c r="HX254" s="21"/>
      <c r="HY254" s="21"/>
      <c r="HZ254" s="21"/>
      <c r="IA254" s="21"/>
      <c r="IB254" s="21"/>
      <c r="IC254" s="21"/>
      <c r="ID254" s="21"/>
      <c r="IE254" s="21"/>
      <c r="IF254" s="21"/>
      <c r="IG254" s="21"/>
      <c r="IH254" s="21"/>
      <c r="II254" s="21"/>
      <c r="IJ254" s="21"/>
      <c r="IK254" s="21"/>
      <c r="IL254" s="21"/>
      <c r="IM254" s="21"/>
      <c r="IN254" s="21"/>
      <c r="IO254" s="21"/>
      <c r="IP254" s="21"/>
      <c r="IQ254" s="21"/>
      <c r="IR254" s="21"/>
      <c r="IS254" s="21"/>
      <c r="IT254" s="21"/>
      <c r="IU254" s="21"/>
      <c r="IV254" s="21"/>
      <c r="IW254" s="21"/>
      <c r="IX254" s="21"/>
      <c r="IY254" s="21"/>
      <c r="IZ254" s="21"/>
      <c r="JA254" s="21"/>
      <c r="JB254" s="21"/>
      <c r="JC254" s="21"/>
      <c r="JD254" s="21"/>
      <c r="JE254" s="21"/>
      <c r="JF254" s="21"/>
      <c r="JG254" s="21"/>
      <c r="JH254" s="21"/>
      <c r="JI254" s="21"/>
      <c r="JJ254" s="21"/>
      <c r="JK254" s="21"/>
      <c r="JL254" s="21"/>
      <c r="JM254" s="21"/>
      <c r="JN254" s="21"/>
      <c r="JO254" s="21"/>
      <c r="JP254" s="21"/>
      <c r="JQ254" s="21"/>
      <c r="JR254" s="21"/>
      <c r="JS254" s="21"/>
      <c r="JT254" s="21"/>
      <c r="JU254" s="21"/>
      <c r="JV254" s="21"/>
      <c r="JW254" s="21"/>
      <c r="JX254" s="21"/>
      <c r="JY254" s="21"/>
      <c r="JZ254" s="21"/>
      <c r="KA254" s="21"/>
      <c r="KB254" s="21"/>
      <c r="KC254" s="21"/>
      <c r="KD254" s="21"/>
      <c r="KE254" s="21"/>
      <c r="KF254" s="21"/>
      <c r="KG254" s="21"/>
      <c r="KH254" s="21"/>
    </row>
    <row r="255" spans="1:294" x14ac:dyDescent="0.25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6" t="s">
        <v>865</v>
      </c>
      <c r="M255" s="11" t="e">
        <f>INDEX(cennik!$C$2:$L$529,MATCH($L255,cennik!$B$2:$B$522,0),MATCH(M$205,cennik!$C$1:$L$1,0))</f>
        <v>#N/A</v>
      </c>
      <c r="N255" s="11" t="e">
        <f>INDEX(cennik!$C$2:$L$529,MATCH($L255,cennik!$B$2:$B$522,0),MATCH(N$104,cennik!$C$1:$L$1,0))</f>
        <v>#N/A</v>
      </c>
      <c r="O255" s="14">
        <f>O239</f>
        <v>0</v>
      </c>
      <c r="P255" s="34" t="e">
        <f>INDEX(cennik!$C$2:$L$529,MATCH($L255,cennik!$B$2:$B$522,0),MATCH(P$104,cennik!$C$1:$L$1,0))</f>
        <v>#N/A</v>
      </c>
      <c r="Q255" s="34" t="e">
        <f t="shared" si="112"/>
        <v>#N/A</v>
      </c>
      <c r="R255" s="35">
        <f t="shared" si="111"/>
        <v>0</v>
      </c>
      <c r="S255" s="34" t="e">
        <f t="shared" si="106"/>
        <v>#N/A</v>
      </c>
      <c r="T255" s="34" t="e">
        <f t="shared" si="113"/>
        <v>#N/A</v>
      </c>
      <c r="U255" s="34" t="e">
        <f>INDEX(cennik!$C$2:$L$529,MATCH($L255,cennik!$B$2:$B$522,0),MATCH(U$104,cennik!$C$1:$L$1,0))*O255</f>
        <v>#N/A</v>
      </c>
      <c r="V255" s="21"/>
      <c r="W255" s="21"/>
      <c r="X255" s="21"/>
      <c r="Y255" s="21"/>
      <c r="Z255" s="21"/>
      <c r="AA255" s="21"/>
      <c r="AB255" s="21"/>
      <c r="AC255" s="21"/>
      <c r="AD255" s="21"/>
      <c r="AE255" s="21"/>
      <c r="AF255" s="21"/>
      <c r="AG255" s="21"/>
      <c r="AH255" s="21"/>
      <c r="AI255" s="21"/>
      <c r="AJ255" s="21"/>
      <c r="AK255" s="21"/>
      <c r="AL255" s="21"/>
      <c r="AM255" s="21"/>
      <c r="AN255" s="21"/>
      <c r="AO255" s="21"/>
      <c r="AP255" s="21"/>
      <c r="AQ255" s="21"/>
      <c r="AR255" s="21"/>
      <c r="AS255" s="21"/>
      <c r="AT255" s="21"/>
      <c r="AU255" s="21"/>
      <c r="AV255" s="21"/>
      <c r="AW255" s="21"/>
      <c r="AX255" s="21"/>
      <c r="AY255" s="21"/>
      <c r="AZ255" s="21"/>
      <c r="BA255" s="21"/>
      <c r="BB255" s="21"/>
      <c r="BC255" s="21"/>
      <c r="BD255" s="21"/>
      <c r="BE255" s="21"/>
      <c r="BF255" s="21"/>
      <c r="BG255" s="21"/>
      <c r="BH255" s="21"/>
      <c r="BI255" s="21"/>
      <c r="BJ255" s="21"/>
      <c r="BK255" s="21"/>
      <c r="BL255" s="21"/>
      <c r="BM255" s="21"/>
      <c r="BN255" s="21"/>
      <c r="BO255" s="21"/>
      <c r="BP255" s="21"/>
      <c r="BQ255" s="21"/>
      <c r="BR255" s="21"/>
      <c r="BS255" s="21"/>
      <c r="BT255" s="21"/>
      <c r="BU255" s="21"/>
      <c r="BV255" s="21"/>
      <c r="BW255" s="21"/>
      <c r="BX255" s="21"/>
      <c r="BY255" s="21"/>
      <c r="BZ255" s="21"/>
      <c r="CA255" s="21"/>
      <c r="CB255" s="21"/>
      <c r="CC255" s="21"/>
      <c r="CD255" s="21"/>
      <c r="CE255" s="21"/>
      <c r="CF255" s="21"/>
      <c r="CG255" s="21"/>
      <c r="CH255" s="21"/>
      <c r="CI255" s="21"/>
      <c r="CJ255" s="21"/>
      <c r="CK255" s="21"/>
      <c r="CL255" s="21"/>
      <c r="CM255" s="21"/>
      <c r="CN255" s="21"/>
      <c r="CO255" s="21"/>
      <c r="CP255" s="21"/>
      <c r="CQ255" s="21"/>
      <c r="CR255" s="21"/>
      <c r="CS255" s="21"/>
      <c r="CT255" s="21"/>
      <c r="CU255" s="21"/>
      <c r="CV255" s="21"/>
      <c r="CW255" s="21"/>
      <c r="CX255" s="21"/>
      <c r="CY255" s="21"/>
      <c r="CZ255" s="21"/>
      <c r="DA255" s="21"/>
      <c r="DB255" s="21"/>
      <c r="DC255" s="21"/>
      <c r="DD255" s="21"/>
      <c r="DE255" s="21"/>
      <c r="DF255" s="21"/>
      <c r="DG255" s="21"/>
      <c r="DH255" s="21"/>
      <c r="DI255" s="21"/>
      <c r="DJ255" s="21"/>
      <c r="DK255" s="21"/>
      <c r="DL255" s="21"/>
      <c r="DM255" s="21"/>
      <c r="DN255" s="21"/>
      <c r="DO255" s="21"/>
      <c r="DP255" s="21"/>
      <c r="DQ255" s="21"/>
      <c r="DR255" s="21"/>
      <c r="DS255" s="21"/>
      <c r="DT255" s="21"/>
      <c r="DU255" s="21"/>
      <c r="DV255" s="21"/>
      <c r="DW255" s="21"/>
      <c r="DX255" s="21"/>
      <c r="DY255" s="21"/>
      <c r="DZ255" s="87"/>
      <c r="EA255" s="87"/>
      <c r="EB255" s="87"/>
      <c r="EC255" s="21"/>
      <c r="ED255" s="21"/>
      <c r="EE255" s="21"/>
      <c r="EF255" s="21"/>
      <c r="EG255" s="21"/>
      <c r="EH255" s="21"/>
      <c r="EI255" s="21"/>
      <c r="EJ255" s="21"/>
      <c r="EK255" s="21"/>
      <c r="EL255" s="21"/>
      <c r="EM255" s="21"/>
      <c r="EN255" s="21"/>
      <c r="EO255" s="21"/>
      <c r="EP255" s="21"/>
      <c r="EQ255" s="21"/>
      <c r="ER255" s="21"/>
      <c r="ES255" s="21"/>
      <c r="ET255" s="21"/>
      <c r="EU255" s="21"/>
      <c r="EV255" s="21"/>
      <c r="EW255" s="21"/>
      <c r="EX255" s="21"/>
      <c r="EY255" s="21"/>
      <c r="EZ255" s="21"/>
      <c r="FA255" s="21"/>
      <c r="FB255" s="21"/>
      <c r="FC255" s="21"/>
      <c r="FD255" s="21"/>
      <c r="FE255" s="21"/>
      <c r="FF255" s="21"/>
      <c r="FG255" s="21"/>
      <c r="FH255" s="21"/>
      <c r="FI255" s="21"/>
      <c r="FJ255" s="21"/>
      <c r="FK255" s="21"/>
      <c r="FL255" s="21"/>
      <c r="FM255" s="21"/>
      <c r="FN255" s="21"/>
      <c r="FO255" s="21"/>
      <c r="FP255" s="21"/>
      <c r="FQ255" s="21"/>
      <c r="FR255" s="21"/>
      <c r="FS255" s="21"/>
      <c r="FT255" s="21"/>
      <c r="FU255" s="21"/>
      <c r="FV255" s="21"/>
      <c r="FW255" s="21"/>
      <c r="FX255" s="21"/>
      <c r="FY255" s="21"/>
      <c r="FZ255" s="21"/>
      <c r="GA255" s="21"/>
      <c r="GB255" s="21"/>
      <c r="GC255" s="21"/>
      <c r="GD255" s="21"/>
      <c r="GE255" s="21"/>
      <c r="GF255" s="21"/>
      <c r="GG255" s="21"/>
      <c r="GH255" s="21"/>
      <c r="GI255" s="21"/>
      <c r="GJ255" s="21"/>
      <c r="GK255" s="21"/>
      <c r="GL255" s="21"/>
      <c r="GM255" s="21"/>
      <c r="GN255" s="21"/>
      <c r="GO255" s="21"/>
      <c r="GP255" s="21"/>
      <c r="GQ255" s="21"/>
      <c r="GR255" s="21"/>
      <c r="GS255" s="21"/>
      <c r="GT255" s="21"/>
      <c r="GU255" s="21"/>
      <c r="GV255" s="21"/>
      <c r="GW255" s="21"/>
      <c r="GX255" s="21"/>
      <c r="GY255" s="21"/>
      <c r="GZ255" s="21"/>
      <c r="HA255" s="21"/>
      <c r="HB255" s="21"/>
      <c r="HC255" s="21"/>
      <c r="HD255" s="21"/>
      <c r="HE255" s="21"/>
      <c r="HF255" s="21"/>
      <c r="HG255" s="21"/>
      <c r="HH255" s="21"/>
      <c r="HI255" s="21"/>
      <c r="HJ255" s="21"/>
      <c r="HK255" s="21"/>
      <c r="HL255" s="21"/>
      <c r="HM255" s="21"/>
      <c r="HN255" s="21"/>
      <c r="HO255" s="21"/>
      <c r="HP255" s="21"/>
      <c r="HQ255" s="21"/>
      <c r="HR255" s="21"/>
      <c r="HS255" s="21"/>
      <c r="HT255" s="21"/>
      <c r="HU255" s="21"/>
      <c r="HV255" s="186"/>
      <c r="HW255" s="21"/>
      <c r="HX255" s="21"/>
      <c r="HY255" s="21"/>
      <c r="HZ255" s="21"/>
      <c r="IA255" s="21"/>
      <c r="IB255" s="21"/>
      <c r="IC255" s="21"/>
      <c r="ID255" s="21"/>
      <c r="IE255" s="21"/>
      <c r="IF255" s="21"/>
      <c r="IG255" s="21"/>
      <c r="IH255" s="21"/>
      <c r="II255" s="21"/>
      <c r="IJ255" s="21"/>
      <c r="IK255" s="21"/>
      <c r="IL255" s="21"/>
      <c r="IM255" s="21"/>
      <c r="IN255" s="21"/>
      <c r="IO255" s="21"/>
      <c r="IP255" s="21"/>
      <c r="IQ255" s="21"/>
      <c r="IR255" s="21"/>
      <c r="IS255" s="21"/>
      <c r="IT255" s="21"/>
      <c r="IU255" s="21"/>
      <c r="IV255" s="21"/>
      <c r="IW255" s="21"/>
      <c r="IX255" s="21"/>
      <c r="IY255" s="21"/>
      <c r="IZ255" s="21"/>
      <c r="JA255" s="21"/>
      <c r="JB255" s="21"/>
      <c r="JC255" s="21"/>
      <c r="JD255" s="21"/>
      <c r="JE255" s="21"/>
      <c r="JF255" s="21"/>
      <c r="JG255" s="21"/>
      <c r="JH255" s="21"/>
      <c r="JI255" s="21"/>
      <c r="JJ255" s="21"/>
      <c r="JK255" s="21"/>
      <c r="JL255" s="21"/>
      <c r="JM255" s="21"/>
      <c r="JN255" s="21"/>
      <c r="JO255" s="21"/>
      <c r="JP255" s="21"/>
      <c r="JQ255" s="21"/>
      <c r="JR255" s="21"/>
      <c r="JS255" s="21"/>
      <c r="JT255" s="21"/>
      <c r="JU255" s="21"/>
      <c r="JV255" s="21"/>
      <c r="JW255" s="21"/>
      <c r="JX255" s="21"/>
      <c r="JY255" s="21"/>
      <c r="JZ255" s="21"/>
      <c r="KA255" s="21"/>
      <c r="KB255" s="21"/>
      <c r="KC255" s="21"/>
      <c r="KD255" s="21"/>
      <c r="KE255" s="21"/>
      <c r="KF255" s="21"/>
      <c r="KG255" s="21"/>
      <c r="KH255" s="21"/>
    </row>
    <row r="256" spans="1:294" x14ac:dyDescent="0.25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34" t="e">
        <f>SUM(T233:T255)</f>
        <v>#N/A</v>
      </c>
      <c r="U256" s="34" t="e">
        <f>SUM(U233:U255)</f>
        <v>#N/A</v>
      </c>
      <c r="V256" s="21"/>
      <c r="W256" s="21"/>
      <c r="X256" s="21"/>
      <c r="Y256" s="21"/>
      <c r="Z256" s="21"/>
      <c r="AA256" s="21"/>
      <c r="AB256" s="21"/>
      <c r="AC256" s="21"/>
      <c r="AD256" s="21"/>
      <c r="AE256" s="21"/>
      <c r="AF256" s="21"/>
      <c r="AG256" s="21"/>
      <c r="AH256" s="21"/>
      <c r="AI256" s="21"/>
      <c r="AJ256" s="21"/>
      <c r="AK256" s="21"/>
      <c r="AL256" s="21"/>
      <c r="AM256" s="21"/>
      <c r="AN256" s="21"/>
      <c r="AO256" s="21"/>
      <c r="AP256" s="21"/>
      <c r="AQ256" s="21"/>
      <c r="AR256" s="21"/>
      <c r="AS256" s="21"/>
      <c r="AT256" s="21"/>
      <c r="AU256" s="21"/>
      <c r="AV256" s="21"/>
      <c r="AW256" s="21"/>
      <c r="AX256" s="21"/>
      <c r="AY256" s="21"/>
      <c r="AZ256" s="21"/>
      <c r="BA256" s="21"/>
      <c r="BB256" s="21"/>
      <c r="BC256" s="21"/>
      <c r="BD256" s="21"/>
      <c r="BE256" s="21"/>
      <c r="BF256" s="21"/>
      <c r="BG256" s="21"/>
      <c r="BH256" s="21"/>
      <c r="BI256" s="21"/>
      <c r="BJ256" s="21"/>
      <c r="BK256" s="21"/>
      <c r="BL256" s="21"/>
      <c r="BM256" s="21"/>
      <c r="BN256" s="21"/>
      <c r="BO256" s="21"/>
      <c r="BP256" s="21"/>
      <c r="BQ256" s="21"/>
      <c r="BR256" s="21"/>
      <c r="BS256" s="21"/>
      <c r="BT256" s="21"/>
      <c r="BU256" s="21"/>
      <c r="BV256" s="21"/>
      <c r="BW256" s="21"/>
      <c r="BX256" s="21"/>
      <c r="BY256" s="21"/>
      <c r="BZ256" s="21"/>
      <c r="CA256" s="21"/>
      <c r="CB256" s="21"/>
      <c r="CC256" s="21"/>
      <c r="CD256" s="21"/>
      <c r="CE256" s="21"/>
      <c r="CF256" s="21"/>
      <c r="CG256" s="21"/>
      <c r="CH256" s="21"/>
      <c r="CI256" s="21"/>
      <c r="CJ256" s="21"/>
      <c r="CK256" s="21"/>
      <c r="CL256" s="21"/>
      <c r="CM256" s="21"/>
      <c r="CN256" s="21"/>
      <c r="CO256" s="21"/>
      <c r="CP256" s="21"/>
      <c r="CQ256" s="21"/>
      <c r="CR256" s="21"/>
      <c r="CS256" s="21"/>
      <c r="CT256" s="21"/>
      <c r="CU256" s="21"/>
      <c r="CV256" s="21"/>
      <c r="CW256" s="21"/>
      <c r="CX256" s="21"/>
      <c r="CY256" s="21"/>
      <c r="CZ256" s="21"/>
      <c r="DA256" s="21"/>
      <c r="DB256" s="21"/>
      <c r="DC256" s="21"/>
      <c r="DD256" s="21"/>
      <c r="DE256" s="21"/>
      <c r="DF256" s="21"/>
      <c r="DG256" s="21"/>
      <c r="DH256" s="21"/>
      <c r="DI256" s="21"/>
      <c r="DJ256" s="21"/>
      <c r="DK256" s="21"/>
      <c r="DL256" s="21"/>
      <c r="DM256" s="21"/>
      <c r="DN256" s="21"/>
      <c r="DO256" s="21"/>
      <c r="DP256" s="21"/>
      <c r="DQ256" s="21"/>
      <c r="DR256" s="21"/>
      <c r="DS256" s="21"/>
      <c r="DT256" s="21"/>
      <c r="DU256" s="21"/>
      <c r="DV256" s="21"/>
      <c r="DW256" s="21"/>
      <c r="DX256" s="21"/>
      <c r="DY256" s="21"/>
      <c r="DZ256" s="87"/>
      <c r="EA256" s="87"/>
      <c r="EB256" s="87"/>
      <c r="EC256" s="21"/>
      <c r="ED256" s="21"/>
      <c r="EE256" s="21"/>
      <c r="EF256" s="21"/>
      <c r="EG256" s="21"/>
      <c r="EH256" s="21"/>
      <c r="EI256" s="21"/>
      <c r="EJ256" s="21"/>
      <c r="EK256" s="21"/>
      <c r="EL256" s="21"/>
      <c r="EM256" s="21"/>
      <c r="EN256" s="21"/>
      <c r="EO256" s="21"/>
      <c r="EP256" s="21"/>
      <c r="EQ256" s="21"/>
      <c r="ER256" s="21"/>
      <c r="ES256" s="21"/>
      <c r="ET256" s="21"/>
      <c r="EU256" s="21"/>
      <c r="EV256" s="21"/>
      <c r="EW256" s="21"/>
      <c r="EX256" s="21"/>
      <c r="EY256" s="21"/>
      <c r="EZ256" s="21"/>
      <c r="FA256" s="21"/>
      <c r="FB256" s="21"/>
      <c r="FC256" s="21"/>
      <c r="FD256" s="21"/>
      <c r="FE256" s="21"/>
      <c r="FF256" s="21"/>
      <c r="FG256" s="21"/>
      <c r="FH256" s="21"/>
      <c r="FI256" s="21"/>
      <c r="FJ256" s="21"/>
      <c r="FK256" s="21"/>
      <c r="FL256" s="21"/>
      <c r="FM256" s="21"/>
      <c r="FN256" s="21"/>
      <c r="FO256" s="21"/>
      <c r="FP256" s="21"/>
      <c r="FQ256" s="21"/>
      <c r="FR256" s="21"/>
      <c r="FS256" s="21"/>
      <c r="FT256" s="21"/>
      <c r="FU256" s="21"/>
      <c r="FV256" s="21"/>
      <c r="FW256" s="21"/>
      <c r="FX256" s="21"/>
      <c r="FY256" s="21"/>
      <c r="FZ256" s="21"/>
      <c r="GA256" s="21"/>
      <c r="GB256" s="21"/>
      <c r="GC256" s="21"/>
      <c r="GD256" s="21"/>
      <c r="GE256" s="21"/>
      <c r="GF256" s="21"/>
      <c r="GG256" s="21"/>
      <c r="GH256" s="21"/>
      <c r="GI256" s="21"/>
      <c r="GJ256" s="21"/>
      <c r="GK256" s="21"/>
      <c r="GL256" s="21"/>
      <c r="GM256" s="21"/>
      <c r="GN256" s="21"/>
      <c r="GO256" s="21"/>
      <c r="GP256" s="21"/>
      <c r="GQ256" s="21"/>
      <c r="GR256" s="21"/>
      <c r="GS256" s="21"/>
      <c r="GT256" s="21"/>
      <c r="GU256" s="21"/>
      <c r="GV256" s="21"/>
      <c r="GW256" s="21"/>
      <c r="GX256" s="21"/>
      <c r="GY256" s="21"/>
      <c r="GZ256" s="21"/>
      <c r="HA256" s="21"/>
      <c r="HB256" s="21"/>
      <c r="HC256" s="21"/>
      <c r="HD256" s="21"/>
      <c r="HE256" s="21"/>
      <c r="HF256" s="21"/>
      <c r="HG256" s="21"/>
      <c r="HH256" s="21"/>
      <c r="HI256" s="21"/>
      <c r="HJ256" s="21"/>
      <c r="HK256" s="21"/>
      <c r="HL256" s="21"/>
      <c r="HM256" s="21"/>
      <c r="HN256" s="21"/>
      <c r="HO256" s="21"/>
      <c r="HP256" s="21"/>
      <c r="HQ256" s="21"/>
      <c r="HR256" s="21"/>
      <c r="HS256" s="21"/>
      <c r="HT256" s="21"/>
      <c r="HU256" s="21"/>
      <c r="HV256" s="186"/>
      <c r="HW256" s="21"/>
      <c r="HX256" s="21"/>
      <c r="HY256" s="21"/>
      <c r="HZ256" s="21"/>
      <c r="IA256" s="21"/>
      <c r="IB256" s="21"/>
      <c r="IC256" s="21"/>
      <c r="ID256" s="21"/>
      <c r="IE256" s="21"/>
      <c r="IF256" s="21"/>
      <c r="IG256" s="21"/>
      <c r="IH256" s="21"/>
      <c r="II256" s="21"/>
      <c r="IJ256" s="21"/>
      <c r="IK256" s="21"/>
      <c r="IL256" s="21"/>
      <c r="IM256" s="21"/>
      <c r="IN256" s="21"/>
      <c r="IO256" s="21"/>
      <c r="IP256" s="21"/>
      <c r="IQ256" s="21"/>
      <c r="IR256" s="21"/>
      <c r="IS256" s="21"/>
      <c r="IT256" s="21"/>
      <c r="IU256" s="21"/>
      <c r="IV256" s="21"/>
      <c r="IW256" s="21"/>
      <c r="IX256" s="21"/>
      <c r="IY256" s="21"/>
      <c r="IZ256" s="21"/>
      <c r="JA256" s="21"/>
      <c r="JB256" s="21"/>
      <c r="JC256" s="21"/>
      <c r="JD256" s="21"/>
      <c r="JE256" s="21"/>
      <c r="JF256" s="21"/>
      <c r="JG256" s="21"/>
      <c r="JH256" s="21"/>
      <c r="JI256" s="21"/>
      <c r="JJ256" s="21"/>
      <c r="JK256" s="21"/>
      <c r="JL256" s="21"/>
      <c r="JM256" s="21"/>
      <c r="JN256" s="21"/>
      <c r="JO256" s="21"/>
      <c r="JP256" s="21"/>
      <c r="JQ256" s="21"/>
      <c r="JR256" s="21"/>
      <c r="JS256" s="21"/>
      <c r="JT256" s="21"/>
      <c r="JU256" s="21"/>
      <c r="JV256" s="21"/>
      <c r="JW256" s="21"/>
      <c r="JX256" s="21"/>
      <c r="JY256" s="21"/>
      <c r="JZ256" s="21"/>
      <c r="KA256" s="21"/>
      <c r="KB256" s="21"/>
      <c r="KC256" s="21"/>
      <c r="KD256" s="21"/>
      <c r="KE256" s="21"/>
      <c r="KF256" s="21"/>
      <c r="KG256" s="21"/>
      <c r="KH256" s="21"/>
    </row>
    <row r="257" spans="1:294" x14ac:dyDescent="0.25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21"/>
      <c r="W257" s="21"/>
      <c r="X257" s="21"/>
      <c r="Y257" s="21"/>
      <c r="Z257" s="21"/>
      <c r="AA257" s="21"/>
      <c r="AB257" s="21"/>
      <c r="AC257" s="21"/>
      <c r="AD257" s="21"/>
      <c r="AE257" s="21"/>
      <c r="AF257" s="21"/>
      <c r="AG257" s="21"/>
      <c r="AH257" s="21"/>
      <c r="AI257" s="21"/>
      <c r="AJ257" s="21"/>
      <c r="AK257" s="21"/>
      <c r="AL257" s="21"/>
      <c r="AM257" s="21"/>
      <c r="AN257" s="21"/>
      <c r="AO257" s="21"/>
      <c r="AP257" s="21"/>
      <c r="AQ257" s="21"/>
      <c r="AR257" s="21"/>
      <c r="AS257" s="21"/>
      <c r="AT257" s="21"/>
      <c r="AU257" s="21"/>
      <c r="AV257" s="21"/>
      <c r="AW257" s="21"/>
      <c r="AX257" s="21"/>
      <c r="AY257" s="21"/>
      <c r="AZ257" s="21"/>
      <c r="BA257" s="21"/>
      <c r="BB257" s="21"/>
      <c r="BC257" s="21"/>
      <c r="BD257" s="21"/>
      <c r="BE257" s="21"/>
      <c r="BF257" s="21"/>
      <c r="BG257" s="21"/>
      <c r="BH257" s="21"/>
      <c r="BI257" s="21"/>
      <c r="BJ257" s="21"/>
      <c r="BK257" s="21"/>
      <c r="BL257" s="21"/>
      <c r="BM257" s="21"/>
      <c r="BN257" s="21"/>
      <c r="BO257" s="21"/>
      <c r="BP257" s="21"/>
      <c r="BQ257" s="21"/>
      <c r="BR257" s="21"/>
      <c r="BS257" s="21"/>
      <c r="BT257" s="21"/>
      <c r="BU257" s="21"/>
      <c r="BV257" s="21"/>
      <c r="BW257" s="21"/>
      <c r="BX257" s="21"/>
      <c r="BY257" s="21"/>
      <c r="BZ257" s="21"/>
      <c r="CA257" s="21"/>
      <c r="CB257" s="21"/>
      <c r="CC257" s="21"/>
      <c r="CD257" s="21"/>
      <c r="CE257" s="21"/>
      <c r="CF257" s="21"/>
      <c r="CG257" s="21"/>
      <c r="CH257" s="21"/>
      <c r="CI257" s="21"/>
      <c r="CJ257" s="21"/>
      <c r="CK257" s="21"/>
      <c r="CL257" s="21"/>
      <c r="CM257" s="21"/>
      <c r="CN257" s="21"/>
      <c r="CO257" s="21"/>
      <c r="CP257" s="21"/>
      <c r="CQ257" s="21"/>
      <c r="CR257" s="21"/>
      <c r="CS257" s="21"/>
      <c r="CT257" s="21"/>
      <c r="CU257" s="21"/>
      <c r="CV257" s="21"/>
      <c r="CW257" s="21"/>
      <c r="CX257" s="21"/>
      <c r="CY257" s="21"/>
      <c r="CZ257" s="21"/>
      <c r="DA257" s="21"/>
      <c r="DB257" s="21"/>
      <c r="DC257" s="21"/>
      <c r="DD257" s="21"/>
      <c r="DE257" s="21"/>
      <c r="DF257" s="21"/>
      <c r="DG257" s="21"/>
      <c r="DH257" s="21"/>
      <c r="DI257" s="21"/>
      <c r="DJ257" s="21"/>
      <c r="DK257" s="21"/>
      <c r="DL257" s="21"/>
      <c r="DM257" s="21"/>
      <c r="DN257" s="21"/>
      <c r="DO257" s="21"/>
      <c r="DP257" s="21"/>
      <c r="DQ257" s="21"/>
      <c r="DR257" s="21"/>
      <c r="DS257" s="21"/>
      <c r="DT257" s="21"/>
      <c r="DU257" s="21"/>
      <c r="DV257" s="21"/>
      <c r="DW257" s="21"/>
      <c r="DX257" s="21"/>
      <c r="DY257" s="21"/>
      <c r="DZ257" s="87"/>
      <c r="EA257" s="87"/>
      <c r="EB257" s="87"/>
      <c r="EC257" s="21"/>
      <c r="ED257" s="21"/>
      <c r="EE257" s="21"/>
      <c r="EF257" s="21"/>
      <c r="EG257" s="21"/>
      <c r="EH257" s="21"/>
      <c r="EI257" s="21"/>
      <c r="EJ257" s="21"/>
      <c r="EK257" s="21"/>
      <c r="EL257" s="21"/>
      <c r="EM257" s="21"/>
      <c r="EN257" s="21"/>
      <c r="EO257" s="21"/>
      <c r="EP257" s="21"/>
      <c r="EQ257" s="21"/>
      <c r="ER257" s="21"/>
      <c r="ES257" s="21"/>
      <c r="ET257" s="21"/>
      <c r="EU257" s="21"/>
      <c r="EV257" s="21"/>
      <c r="EW257" s="21"/>
      <c r="EX257" s="21"/>
      <c r="EY257" s="21"/>
      <c r="EZ257" s="21"/>
      <c r="FA257" s="21"/>
      <c r="FB257" s="21"/>
      <c r="FC257" s="21"/>
      <c r="FD257" s="21"/>
      <c r="FE257" s="21"/>
      <c r="FF257" s="21"/>
      <c r="FG257" s="21"/>
      <c r="FH257" s="21"/>
      <c r="FI257" s="21"/>
      <c r="FJ257" s="21"/>
      <c r="FK257" s="21"/>
      <c r="FL257" s="21"/>
      <c r="FM257" s="21"/>
      <c r="FN257" s="21"/>
      <c r="FO257" s="21"/>
      <c r="FP257" s="21"/>
      <c r="FQ257" s="21"/>
      <c r="FR257" s="21"/>
      <c r="FS257" s="21"/>
      <c r="FT257" s="21"/>
      <c r="FU257" s="21"/>
      <c r="FV257" s="21"/>
      <c r="FW257" s="21"/>
      <c r="FX257" s="21"/>
      <c r="FY257" s="21"/>
      <c r="FZ257" s="21"/>
      <c r="GA257" s="21"/>
      <c r="GB257" s="21"/>
      <c r="GC257" s="21"/>
      <c r="GD257" s="21"/>
      <c r="GE257" s="21"/>
      <c r="GF257" s="21"/>
      <c r="GG257" s="21"/>
      <c r="GH257" s="21"/>
      <c r="GI257" s="21"/>
      <c r="GJ257" s="21"/>
      <c r="GK257" s="21"/>
      <c r="GL257" s="21"/>
      <c r="GM257" s="21"/>
      <c r="GN257" s="21"/>
      <c r="GO257" s="21"/>
      <c r="GP257" s="21"/>
      <c r="GQ257" s="21"/>
      <c r="GR257" s="21"/>
      <c r="GS257" s="21"/>
      <c r="GT257" s="21"/>
      <c r="GU257" s="21"/>
      <c r="GV257" s="21"/>
      <c r="GW257" s="21"/>
      <c r="GX257" s="21"/>
      <c r="GY257" s="21"/>
      <c r="GZ257" s="21"/>
      <c r="HA257" s="21"/>
      <c r="HB257" s="21"/>
      <c r="HC257" s="21"/>
      <c r="HD257" s="21"/>
      <c r="HE257" s="21"/>
      <c r="HF257" s="21"/>
      <c r="HG257" s="21"/>
      <c r="HH257" s="21"/>
      <c r="HI257" s="21"/>
      <c r="HJ257" s="21"/>
      <c r="HK257" s="21"/>
      <c r="HL257" s="21"/>
      <c r="HM257" s="21"/>
      <c r="HN257" s="21"/>
      <c r="HO257" s="21"/>
      <c r="HP257" s="21"/>
      <c r="HQ257" s="21"/>
      <c r="HR257" s="21"/>
      <c r="HS257" s="21"/>
      <c r="HT257" s="21"/>
      <c r="HU257" s="21"/>
      <c r="HV257" s="186"/>
      <c r="HW257" s="21"/>
      <c r="HX257" s="21"/>
      <c r="HY257" s="21"/>
      <c r="HZ257" s="21"/>
      <c r="IA257" s="21"/>
      <c r="IB257" s="21"/>
      <c r="IC257" s="21"/>
      <c r="ID257" s="21"/>
      <c r="IE257" s="21"/>
      <c r="IF257" s="21"/>
      <c r="IG257" s="21"/>
      <c r="IH257" s="21"/>
      <c r="II257" s="21"/>
      <c r="IJ257" s="21"/>
      <c r="IK257" s="21"/>
      <c r="IL257" s="21"/>
      <c r="IM257" s="21"/>
      <c r="IN257" s="21"/>
      <c r="IO257" s="21"/>
      <c r="IP257" s="21"/>
      <c r="IQ257" s="21"/>
      <c r="IR257" s="21"/>
      <c r="IS257" s="21"/>
      <c r="IT257" s="21"/>
      <c r="IU257" s="21"/>
      <c r="IV257" s="21"/>
      <c r="IW257" s="21"/>
      <c r="IX257" s="21"/>
      <c r="IY257" s="21"/>
      <c r="IZ257" s="21"/>
      <c r="JA257" s="21"/>
      <c r="JB257" s="21"/>
      <c r="JC257" s="21"/>
      <c r="JD257" s="21"/>
      <c r="JE257" s="21"/>
      <c r="JF257" s="21"/>
      <c r="JG257" s="21"/>
      <c r="JH257" s="21"/>
      <c r="JI257" s="21"/>
      <c r="JJ257" s="21"/>
      <c r="JK257" s="21"/>
      <c r="JL257" s="21"/>
      <c r="JM257" s="21"/>
      <c r="JN257" s="21"/>
      <c r="JO257" s="21"/>
      <c r="JP257" s="21"/>
      <c r="JQ257" s="21"/>
      <c r="JR257" s="21"/>
      <c r="JS257" s="21"/>
      <c r="JT257" s="21"/>
      <c r="JU257" s="21"/>
      <c r="JV257" s="21"/>
      <c r="JW257" s="21"/>
      <c r="JX257" s="21"/>
      <c r="JY257" s="21"/>
      <c r="JZ257" s="21"/>
      <c r="KA257" s="21"/>
      <c r="KB257" s="21"/>
      <c r="KC257" s="21"/>
      <c r="KD257" s="21"/>
      <c r="KE257" s="21"/>
      <c r="KF257" s="21"/>
      <c r="KG257" s="21"/>
      <c r="KH257" s="21"/>
    </row>
    <row r="258" spans="1:294" x14ac:dyDescent="0.25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21"/>
      <c r="W258" s="21"/>
      <c r="X258" s="21"/>
      <c r="Y258" s="21"/>
      <c r="Z258" s="21"/>
      <c r="AA258" s="21"/>
      <c r="AB258" s="21"/>
      <c r="AC258" s="21"/>
      <c r="AD258" s="21"/>
      <c r="AE258" s="21"/>
      <c r="AF258" s="21"/>
      <c r="AG258" s="21"/>
      <c r="AH258" s="21"/>
      <c r="AI258" s="21"/>
      <c r="AJ258" s="21"/>
      <c r="AK258" s="21"/>
      <c r="AL258" s="21"/>
      <c r="AM258" s="21"/>
      <c r="AN258" s="21"/>
      <c r="AO258" s="21"/>
      <c r="AP258" s="21"/>
      <c r="AQ258" s="21"/>
      <c r="AR258" s="21"/>
      <c r="AS258" s="21"/>
      <c r="AT258" s="21"/>
      <c r="AU258" s="21"/>
      <c r="AV258" s="21"/>
      <c r="AW258" s="21"/>
      <c r="AX258" s="21"/>
      <c r="AY258" s="21"/>
      <c r="AZ258" s="21"/>
      <c r="BA258" s="21"/>
      <c r="BB258" s="21"/>
      <c r="BC258" s="21"/>
      <c r="BD258" s="21"/>
      <c r="BE258" s="21"/>
      <c r="BF258" s="21"/>
      <c r="BG258" s="21"/>
      <c r="BH258" s="21"/>
      <c r="BI258" s="21"/>
      <c r="BJ258" s="21"/>
      <c r="BK258" s="21"/>
      <c r="BL258" s="21"/>
      <c r="BM258" s="21"/>
      <c r="BN258" s="21"/>
      <c r="BO258" s="21"/>
      <c r="BP258" s="21"/>
      <c r="BQ258" s="21"/>
      <c r="BR258" s="21"/>
      <c r="BS258" s="21"/>
      <c r="BT258" s="21"/>
      <c r="BU258" s="21"/>
      <c r="BV258" s="21"/>
      <c r="BW258" s="21"/>
      <c r="BX258" s="21"/>
      <c r="BY258" s="21"/>
      <c r="BZ258" s="21"/>
      <c r="CA258" s="21"/>
      <c r="CB258" s="21"/>
      <c r="CC258" s="21"/>
      <c r="CD258" s="21"/>
      <c r="CE258" s="21"/>
      <c r="CF258" s="21"/>
      <c r="CG258" s="21"/>
      <c r="CH258" s="21"/>
      <c r="CI258" s="21"/>
      <c r="CJ258" s="21"/>
      <c r="CK258" s="21"/>
      <c r="CL258" s="21"/>
      <c r="CM258" s="21"/>
      <c r="CN258" s="21"/>
      <c r="CO258" s="21"/>
      <c r="CP258" s="21"/>
      <c r="CQ258" s="21"/>
      <c r="CR258" s="21"/>
      <c r="CS258" s="21"/>
      <c r="CT258" s="21"/>
      <c r="CU258" s="21"/>
      <c r="CV258" s="21"/>
      <c r="CW258" s="21"/>
      <c r="CX258" s="21"/>
      <c r="CY258" s="21"/>
      <c r="CZ258" s="21"/>
      <c r="DA258" s="21"/>
      <c r="DB258" s="21"/>
      <c r="DC258" s="21"/>
      <c r="DD258" s="21"/>
      <c r="DE258" s="21"/>
      <c r="DF258" s="21"/>
      <c r="DG258" s="21"/>
      <c r="DH258" s="21"/>
      <c r="DI258" s="21"/>
      <c r="DJ258" s="21"/>
      <c r="DK258" s="21"/>
      <c r="DL258" s="21"/>
      <c r="DM258" s="21"/>
      <c r="DN258" s="21"/>
      <c r="DO258" s="21"/>
      <c r="DP258" s="21"/>
      <c r="DQ258" s="21"/>
      <c r="DR258" s="21"/>
      <c r="DS258" s="21"/>
      <c r="DT258" s="21"/>
      <c r="DU258" s="21"/>
      <c r="DV258" s="21"/>
      <c r="DW258" s="21"/>
      <c r="DX258" s="21"/>
      <c r="DY258" s="21"/>
      <c r="DZ258" s="87"/>
      <c r="EA258" s="87"/>
      <c r="EB258" s="87"/>
      <c r="EC258" s="21"/>
      <c r="ED258" s="21"/>
      <c r="EE258" s="21"/>
      <c r="EF258" s="21"/>
      <c r="EG258" s="21"/>
      <c r="EH258" s="21"/>
      <c r="EI258" s="21"/>
      <c r="EJ258" s="21"/>
      <c r="EK258" s="21"/>
      <c r="EL258" s="21"/>
      <c r="EM258" s="21"/>
      <c r="EN258" s="21"/>
      <c r="EO258" s="21"/>
      <c r="EP258" s="21"/>
      <c r="EQ258" s="21"/>
      <c r="ER258" s="21"/>
      <c r="ES258" s="21"/>
      <c r="ET258" s="21"/>
      <c r="EU258" s="21"/>
      <c r="EV258" s="21"/>
      <c r="EW258" s="21"/>
      <c r="EX258" s="21"/>
      <c r="EY258" s="21"/>
      <c r="EZ258" s="21"/>
      <c r="FA258" s="21"/>
      <c r="FB258" s="21"/>
      <c r="FC258" s="21"/>
      <c r="FD258" s="21"/>
      <c r="FE258" s="21"/>
      <c r="FF258" s="21"/>
      <c r="FG258" s="21"/>
      <c r="FH258" s="21"/>
      <c r="FI258" s="21"/>
      <c r="FJ258" s="21"/>
      <c r="FK258" s="21"/>
      <c r="FL258" s="21"/>
      <c r="FM258" s="21"/>
      <c r="FN258" s="21"/>
      <c r="FO258" s="21"/>
      <c r="FP258" s="21"/>
      <c r="FQ258" s="21"/>
      <c r="FR258" s="21"/>
      <c r="FS258" s="21"/>
      <c r="FT258" s="21"/>
      <c r="FU258" s="21"/>
      <c r="FV258" s="21"/>
      <c r="FW258" s="21"/>
      <c r="FX258" s="21"/>
      <c r="FY258" s="21"/>
      <c r="FZ258" s="21"/>
      <c r="GA258" s="21"/>
      <c r="GB258" s="21"/>
      <c r="GC258" s="21"/>
      <c r="GD258" s="21"/>
      <c r="GE258" s="21"/>
      <c r="GF258" s="21"/>
      <c r="GG258" s="21"/>
      <c r="GH258" s="21"/>
      <c r="GI258" s="21"/>
      <c r="GJ258" s="21"/>
      <c r="GK258" s="21"/>
      <c r="GL258" s="21"/>
      <c r="GM258" s="21"/>
      <c r="GN258" s="21"/>
      <c r="GO258" s="21"/>
      <c r="GP258" s="21"/>
      <c r="GQ258" s="21"/>
      <c r="GR258" s="21"/>
      <c r="GS258" s="21"/>
      <c r="GT258" s="21"/>
      <c r="GU258" s="21"/>
      <c r="GV258" s="21"/>
      <c r="GW258" s="21"/>
      <c r="GX258" s="21"/>
      <c r="GY258" s="21"/>
      <c r="GZ258" s="21"/>
      <c r="HA258" s="21"/>
      <c r="HB258" s="21"/>
      <c r="HC258" s="21"/>
      <c r="HD258" s="21"/>
      <c r="HE258" s="21"/>
      <c r="HF258" s="21"/>
      <c r="HG258" s="21"/>
      <c r="HH258" s="21"/>
      <c r="HI258" s="21"/>
      <c r="HJ258" s="21"/>
      <c r="HK258" s="21"/>
      <c r="HL258" s="21"/>
      <c r="HM258" s="21"/>
      <c r="HN258" s="21"/>
      <c r="HO258" s="21"/>
      <c r="HP258" s="21"/>
      <c r="HQ258" s="21"/>
      <c r="HR258" s="21"/>
      <c r="HS258" s="21"/>
      <c r="HT258" s="21"/>
      <c r="HU258" s="21"/>
      <c r="HV258" s="186"/>
      <c r="HW258" s="21"/>
      <c r="HX258" s="21"/>
      <c r="HY258" s="21"/>
      <c r="HZ258" s="21"/>
      <c r="IA258" s="21"/>
      <c r="IB258" s="21"/>
      <c r="IC258" s="21"/>
      <c r="ID258" s="21"/>
      <c r="IE258" s="21"/>
      <c r="IF258" s="21"/>
      <c r="IG258" s="21"/>
      <c r="IH258" s="21"/>
      <c r="II258" s="21"/>
      <c r="IJ258" s="21"/>
      <c r="IK258" s="21"/>
      <c r="IL258" s="21"/>
      <c r="IM258" s="21"/>
      <c r="IN258" s="21"/>
      <c r="IO258" s="21"/>
      <c r="IP258" s="21"/>
      <c r="IQ258" s="21"/>
      <c r="IR258" s="21"/>
      <c r="IS258" s="21"/>
      <c r="IT258" s="21"/>
      <c r="IU258" s="21"/>
      <c r="IV258" s="21"/>
      <c r="IW258" s="21"/>
      <c r="IX258" s="21"/>
      <c r="IY258" s="21"/>
      <c r="IZ258" s="21"/>
      <c r="JA258" s="21"/>
      <c r="JB258" s="21"/>
      <c r="JC258" s="21"/>
      <c r="JD258" s="21"/>
      <c r="JE258" s="21"/>
      <c r="JF258" s="21"/>
      <c r="JG258" s="21"/>
      <c r="JH258" s="21"/>
      <c r="JI258" s="21"/>
      <c r="JJ258" s="21"/>
      <c r="JK258" s="21"/>
      <c r="JL258" s="21"/>
      <c r="JM258" s="21"/>
      <c r="JN258" s="21"/>
      <c r="JO258" s="21"/>
      <c r="JP258" s="21"/>
      <c r="JQ258" s="21"/>
      <c r="JR258" s="21"/>
      <c r="JS258" s="21"/>
      <c r="JT258" s="21"/>
      <c r="JU258" s="21"/>
      <c r="JV258" s="21"/>
      <c r="JW258" s="21"/>
      <c r="JX258" s="21"/>
      <c r="JY258" s="21"/>
      <c r="JZ258" s="21"/>
      <c r="KA258" s="21"/>
      <c r="KB258" s="21"/>
      <c r="KC258" s="21"/>
      <c r="KD258" s="21"/>
      <c r="KE258" s="21"/>
      <c r="KF258" s="21"/>
      <c r="KG258" s="21"/>
      <c r="KH258" s="21"/>
    </row>
    <row r="259" spans="1:294" x14ac:dyDescent="0.25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21"/>
      <c r="W259" s="21"/>
      <c r="X259" s="21"/>
      <c r="Y259" s="21"/>
      <c r="Z259" s="21"/>
      <c r="AA259" s="21"/>
      <c r="AB259" s="21"/>
      <c r="AC259" s="21"/>
      <c r="AD259" s="21"/>
      <c r="AE259" s="21"/>
      <c r="AF259" s="21"/>
      <c r="AG259" s="21"/>
      <c r="AH259" s="21"/>
      <c r="AI259" s="21"/>
      <c r="AJ259" s="21"/>
      <c r="AK259" s="21"/>
      <c r="AL259" s="21"/>
      <c r="AM259" s="21"/>
      <c r="AN259" s="21"/>
      <c r="AO259" s="21"/>
      <c r="AP259" s="21"/>
      <c r="AQ259" s="21"/>
      <c r="AR259" s="21"/>
      <c r="AS259" s="21"/>
      <c r="AT259" s="21"/>
      <c r="AU259" s="21"/>
      <c r="AV259" s="21"/>
      <c r="AW259" s="21"/>
      <c r="AX259" s="21"/>
      <c r="AY259" s="21"/>
      <c r="AZ259" s="21"/>
      <c r="BA259" s="21"/>
      <c r="BB259" s="21"/>
      <c r="BC259" s="21"/>
      <c r="BD259" s="21"/>
      <c r="BE259" s="21"/>
      <c r="BF259" s="21"/>
      <c r="BG259" s="21"/>
      <c r="BH259" s="21"/>
      <c r="BI259" s="21"/>
      <c r="BJ259" s="21"/>
      <c r="BK259" s="21"/>
      <c r="BL259" s="21"/>
      <c r="BM259" s="21"/>
      <c r="BN259" s="21"/>
      <c r="BO259" s="21"/>
      <c r="BP259" s="21"/>
      <c r="BQ259" s="21"/>
      <c r="BR259" s="21"/>
      <c r="BS259" s="21"/>
      <c r="BT259" s="21"/>
      <c r="BU259" s="21"/>
      <c r="BV259" s="21"/>
      <c r="BW259" s="21"/>
      <c r="BX259" s="21"/>
      <c r="BY259" s="21"/>
      <c r="BZ259" s="21"/>
      <c r="CA259" s="21"/>
      <c r="CB259" s="21"/>
      <c r="CC259" s="21"/>
      <c r="CD259" s="21"/>
      <c r="CE259" s="21"/>
      <c r="CF259" s="21"/>
      <c r="CG259" s="21"/>
      <c r="CH259" s="21"/>
      <c r="CI259" s="21"/>
      <c r="CJ259" s="21"/>
      <c r="CK259" s="21"/>
      <c r="CL259" s="21"/>
      <c r="CM259" s="21"/>
      <c r="CN259" s="21"/>
      <c r="CO259" s="21"/>
      <c r="CP259" s="21"/>
      <c r="CQ259" s="21"/>
      <c r="CR259" s="21"/>
      <c r="CS259" s="21"/>
      <c r="CT259" s="21"/>
      <c r="CU259" s="21"/>
      <c r="CV259" s="21"/>
      <c r="CW259" s="21"/>
      <c r="CX259" s="21"/>
      <c r="CY259" s="21"/>
      <c r="CZ259" s="21"/>
      <c r="DA259" s="21"/>
      <c r="DB259" s="21"/>
      <c r="DC259" s="21"/>
      <c r="DD259" s="21"/>
      <c r="DE259" s="21"/>
      <c r="DF259" s="21"/>
      <c r="DG259" s="21"/>
      <c r="DH259" s="21"/>
      <c r="DI259" s="21"/>
      <c r="DJ259" s="21"/>
      <c r="DK259" s="21"/>
      <c r="DL259" s="21"/>
      <c r="DM259" s="21"/>
      <c r="DN259" s="21"/>
      <c r="DO259" s="21"/>
      <c r="DP259" s="21"/>
      <c r="DQ259" s="21"/>
      <c r="DR259" s="21"/>
      <c r="DS259" s="21"/>
      <c r="DT259" s="21"/>
      <c r="DU259" s="21"/>
      <c r="DV259" s="21"/>
      <c r="DW259" s="21"/>
      <c r="DX259" s="21"/>
      <c r="DY259" s="21"/>
      <c r="DZ259" s="87"/>
      <c r="EA259" s="87"/>
      <c r="EB259" s="87"/>
      <c r="EC259" s="21"/>
      <c r="ED259" s="21"/>
      <c r="EE259" s="21"/>
      <c r="EF259" s="21"/>
      <c r="EG259" s="21"/>
      <c r="EH259" s="21"/>
      <c r="EI259" s="21"/>
      <c r="EJ259" s="21"/>
      <c r="EK259" s="21"/>
      <c r="EL259" s="21"/>
      <c r="EM259" s="21"/>
      <c r="EN259" s="21"/>
      <c r="EO259" s="21"/>
      <c r="EP259" s="21"/>
      <c r="EQ259" s="21"/>
      <c r="ER259" s="21"/>
      <c r="ES259" s="21"/>
      <c r="ET259" s="21"/>
      <c r="EU259" s="21"/>
      <c r="EV259" s="21"/>
      <c r="EW259" s="21"/>
      <c r="EX259" s="21"/>
      <c r="EY259" s="21"/>
      <c r="EZ259" s="21"/>
      <c r="FA259" s="21"/>
      <c r="FB259" s="21"/>
      <c r="FC259" s="21"/>
      <c r="FD259" s="21"/>
      <c r="FE259" s="21"/>
      <c r="FF259" s="21"/>
      <c r="FG259" s="21"/>
      <c r="FH259" s="21"/>
      <c r="FI259" s="21"/>
      <c r="FJ259" s="21"/>
      <c r="FK259" s="21"/>
      <c r="FL259" s="21"/>
      <c r="FM259" s="21"/>
      <c r="FN259" s="21"/>
      <c r="FO259" s="21"/>
      <c r="FP259" s="21"/>
      <c r="FQ259" s="21"/>
      <c r="FR259" s="21"/>
      <c r="FS259" s="21"/>
      <c r="FT259" s="21"/>
      <c r="FU259" s="21"/>
      <c r="FV259" s="21"/>
      <c r="FW259" s="21"/>
      <c r="FX259" s="21"/>
      <c r="FY259" s="21"/>
      <c r="FZ259" s="21"/>
      <c r="GA259" s="21"/>
      <c r="GB259" s="21"/>
      <c r="GC259" s="21"/>
      <c r="GD259" s="21"/>
      <c r="GE259" s="21"/>
      <c r="GF259" s="21"/>
      <c r="GG259" s="21"/>
      <c r="GH259" s="21"/>
      <c r="GI259" s="21"/>
      <c r="GJ259" s="21"/>
      <c r="GK259" s="21"/>
      <c r="GL259" s="21"/>
      <c r="GM259" s="21"/>
      <c r="GN259" s="21"/>
      <c r="GO259" s="21"/>
      <c r="GP259" s="21"/>
      <c r="GQ259" s="21"/>
      <c r="GR259" s="21"/>
      <c r="GS259" s="21"/>
      <c r="GT259" s="21"/>
      <c r="GU259" s="21"/>
      <c r="GV259" s="21"/>
      <c r="GW259" s="21"/>
      <c r="GX259" s="21"/>
      <c r="GY259" s="21"/>
      <c r="GZ259" s="21"/>
      <c r="HA259" s="21"/>
      <c r="HB259" s="21"/>
      <c r="HC259" s="21"/>
      <c r="HD259" s="21"/>
      <c r="HE259" s="21"/>
      <c r="HF259" s="21"/>
      <c r="HG259" s="21"/>
      <c r="HH259" s="21"/>
      <c r="HI259" s="21"/>
      <c r="HJ259" s="21"/>
      <c r="HK259" s="21"/>
      <c r="HL259" s="21"/>
      <c r="HM259" s="21"/>
      <c r="HN259" s="21"/>
      <c r="HO259" s="21"/>
      <c r="HP259" s="21"/>
      <c r="HQ259" s="21"/>
      <c r="HR259" s="21"/>
      <c r="HS259" s="21"/>
      <c r="HT259" s="21"/>
      <c r="HU259" s="21"/>
      <c r="HV259" s="186"/>
      <c r="HW259" s="21"/>
      <c r="HX259" s="21"/>
      <c r="HY259" s="21"/>
      <c r="HZ259" s="21"/>
      <c r="IA259" s="21"/>
      <c r="IB259" s="21"/>
      <c r="IC259" s="21"/>
      <c r="ID259" s="21"/>
      <c r="IE259" s="21"/>
      <c r="IF259" s="21"/>
      <c r="IG259" s="21"/>
      <c r="IH259" s="21"/>
      <c r="II259" s="21"/>
      <c r="IJ259" s="21"/>
      <c r="IK259" s="21"/>
      <c r="IL259" s="21"/>
      <c r="IM259" s="21"/>
      <c r="IN259" s="21"/>
      <c r="IO259" s="21"/>
      <c r="IP259" s="21"/>
      <c r="IQ259" s="21"/>
      <c r="IR259" s="21"/>
      <c r="IS259" s="21"/>
      <c r="IT259" s="21"/>
      <c r="IU259" s="21"/>
      <c r="IV259" s="21"/>
      <c r="IW259" s="21"/>
      <c r="IX259" s="21"/>
      <c r="IY259" s="21"/>
      <c r="IZ259" s="21"/>
      <c r="JA259" s="21"/>
      <c r="JB259" s="21"/>
      <c r="JC259" s="21"/>
      <c r="JD259" s="21"/>
      <c r="JE259" s="21"/>
      <c r="JF259" s="21"/>
      <c r="JG259" s="21"/>
      <c r="JH259" s="21"/>
      <c r="JI259" s="21"/>
      <c r="JJ259" s="21"/>
      <c r="JK259" s="21"/>
      <c r="JL259" s="21"/>
      <c r="JM259" s="21"/>
      <c r="JN259" s="21"/>
      <c r="JO259" s="21"/>
      <c r="JP259" s="21"/>
      <c r="JQ259" s="21"/>
      <c r="JR259" s="21"/>
      <c r="JS259" s="21"/>
      <c r="JT259" s="21"/>
      <c r="JU259" s="21"/>
      <c r="JV259" s="21"/>
      <c r="JW259" s="21"/>
      <c r="JX259" s="21"/>
      <c r="JY259" s="21"/>
      <c r="JZ259" s="21"/>
      <c r="KA259" s="21"/>
      <c r="KB259" s="21"/>
      <c r="KC259" s="21"/>
      <c r="KD259" s="21"/>
      <c r="KE259" s="21"/>
      <c r="KF259" s="21"/>
      <c r="KG259" s="21"/>
      <c r="KH259" s="21"/>
    </row>
    <row r="260" spans="1:294" x14ac:dyDescent="0.25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21"/>
      <c r="W260" s="21"/>
      <c r="X260" s="21"/>
      <c r="Y260" s="21"/>
      <c r="Z260" s="21"/>
      <c r="AA260" s="21"/>
      <c r="AB260" s="21"/>
      <c r="AC260" s="21"/>
      <c r="AD260" s="21"/>
      <c r="AE260" s="21"/>
      <c r="AF260" s="21"/>
      <c r="AG260" s="21"/>
      <c r="AH260" s="21"/>
      <c r="AI260" s="21"/>
      <c r="AJ260" s="21"/>
      <c r="AK260" s="21"/>
      <c r="AL260" s="21"/>
      <c r="AM260" s="21"/>
      <c r="AN260" s="21"/>
      <c r="AO260" s="21"/>
      <c r="AP260" s="21"/>
      <c r="AQ260" s="21"/>
      <c r="AR260" s="21"/>
      <c r="AS260" s="21"/>
      <c r="AT260" s="21"/>
      <c r="AU260" s="21"/>
      <c r="AV260" s="21"/>
      <c r="AW260" s="21"/>
      <c r="AX260" s="21"/>
      <c r="AY260" s="21"/>
      <c r="AZ260" s="21"/>
      <c r="BA260" s="21"/>
      <c r="BB260" s="21"/>
      <c r="BC260" s="21"/>
      <c r="BD260" s="21"/>
      <c r="BE260" s="21"/>
      <c r="BF260" s="21"/>
      <c r="BG260" s="21"/>
      <c r="BH260" s="21"/>
      <c r="BI260" s="21"/>
      <c r="BJ260" s="21"/>
      <c r="BK260" s="21"/>
      <c r="BL260" s="21"/>
      <c r="BM260" s="21"/>
      <c r="BN260" s="21"/>
      <c r="BO260" s="21"/>
      <c r="BP260" s="21"/>
      <c r="BQ260" s="21"/>
      <c r="BR260" s="21"/>
      <c r="BS260" s="21"/>
      <c r="BT260" s="21"/>
      <c r="BU260" s="21"/>
      <c r="BV260" s="21"/>
      <c r="BW260" s="21"/>
      <c r="BX260" s="21"/>
      <c r="BY260" s="21"/>
      <c r="BZ260" s="21"/>
      <c r="CA260" s="21"/>
      <c r="CB260" s="21"/>
      <c r="CC260" s="21"/>
      <c r="CD260" s="21"/>
      <c r="CE260" s="21"/>
      <c r="CF260" s="21"/>
      <c r="CG260" s="21"/>
      <c r="CH260" s="21"/>
      <c r="CI260" s="21"/>
      <c r="CJ260" s="21"/>
      <c r="CK260" s="21"/>
      <c r="CL260" s="21"/>
      <c r="CM260" s="21"/>
      <c r="CN260" s="21"/>
      <c r="CO260" s="21"/>
      <c r="CP260" s="21"/>
      <c r="CQ260" s="21"/>
      <c r="CR260" s="21"/>
      <c r="CS260" s="21"/>
      <c r="CT260" s="21"/>
      <c r="CU260" s="21"/>
      <c r="CV260" s="21"/>
      <c r="CW260" s="21"/>
      <c r="CX260" s="21"/>
      <c r="CY260" s="21"/>
      <c r="CZ260" s="21"/>
      <c r="DA260" s="21"/>
      <c r="DB260" s="21"/>
      <c r="DC260" s="21"/>
      <c r="DD260" s="21"/>
      <c r="DE260" s="21"/>
      <c r="DF260" s="21"/>
      <c r="DG260" s="21"/>
      <c r="DH260" s="21"/>
      <c r="DI260" s="21"/>
      <c r="DJ260" s="21"/>
      <c r="DK260" s="21"/>
      <c r="DL260" s="21"/>
      <c r="DM260" s="21"/>
      <c r="DN260" s="21"/>
      <c r="DO260" s="21"/>
      <c r="DP260" s="21"/>
      <c r="DQ260" s="21"/>
      <c r="DR260" s="21"/>
      <c r="DS260" s="21"/>
      <c r="DT260" s="21"/>
      <c r="DU260" s="21"/>
      <c r="DV260" s="21"/>
      <c r="DW260" s="21"/>
      <c r="DX260" s="21"/>
      <c r="DY260" s="21"/>
      <c r="DZ260" s="87"/>
      <c r="EA260" s="87"/>
      <c r="EB260" s="87"/>
      <c r="EC260" s="21"/>
      <c r="ED260" s="21"/>
      <c r="EE260" s="21"/>
      <c r="EF260" s="21"/>
      <c r="EG260" s="21"/>
      <c r="EH260" s="21"/>
      <c r="EI260" s="21"/>
      <c r="EJ260" s="21"/>
      <c r="EK260" s="21"/>
      <c r="EL260" s="21"/>
      <c r="EM260" s="21"/>
      <c r="EN260" s="21"/>
      <c r="EO260" s="21"/>
      <c r="EP260" s="21"/>
      <c r="EQ260" s="21"/>
      <c r="ER260" s="21"/>
      <c r="ES260" s="21"/>
      <c r="ET260" s="21"/>
      <c r="EU260" s="21"/>
      <c r="EV260" s="21"/>
      <c r="EW260" s="21"/>
      <c r="EX260" s="21"/>
      <c r="EY260" s="21"/>
      <c r="EZ260" s="21"/>
      <c r="FA260" s="21"/>
      <c r="FB260" s="21"/>
      <c r="FC260" s="21"/>
      <c r="FD260" s="21"/>
      <c r="FE260" s="21"/>
      <c r="FF260" s="21"/>
      <c r="FG260" s="21"/>
      <c r="FH260" s="21"/>
      <c r="FI260" s="21"/>
      <c r="FJ260" s="21"/>
      <c r="FK260" s="21"/>
      <c r="FL260" s="21"/>
      <c r="FM260" s="21"/>
      <c r="FN260" s="21"/>
      <c r="FO260" s="21"/>
      <c r="FP260" s="21"/>
      <c r="FQ260" s="21"/>
      <c r="FR260" s="21"/>
      <c r="FS260" s="21"/>
      <c r="FT260" s="21"/>
      <c r="FU260" s="21"/>
      <c r="FV260" s="21"/>
      <c r="FW260" s="21"/>
      <c r="FX260" s="21"/>
      <c r="FY260" s="21"/>
      <c r="FZ260" s="21"/>
      <c r="GA260" s="21"/>
      <c r="GB260" s="21"/>
      <c r="GC260" s="21"/>
      <c r="GD260" s="21"/>
      <c r="GE260" s="21"/>
      <c r="GF260" s="21"/>
      <c r="GG260" s="21"/>
      <c r="GH260" s="21"/>
      <c r="GI260" s="21"/>
      <c r="GJ260" s="21"/>
      <c r="GK260" s="21"/>
      <c r="GL260" s="21"/>
      <c r="GM260" s="21"/>
      <c r="GN260" s="21"/>
      <c r="GO260" s="21"/>
      <c r="GP260" s="21"/>
      <c r="GQ260" s="21"/>
      <c r="GR260" s="21"/>
      <c r="GS260" s="21"/>
      <c r="GT260" s="21"/>
      <c r="GU260" s="21"/>
      <c r="GV260" s="21"/>
      <c r="GW260" s="21"/>
      <c r="GX260" s="21"/>
      <c r="GY260" s="21"/>
      <c r="GZ260" s="21"/>
      <c r="HA260" s="21"/>
      <c r="HB260" s="21"/>
      <c r="HC260" s="21"/>
      <c r="HD260" s="21"/>
      <c r="HE260" s="21"/>
      <c r="HF260" s="21"/>
      <c r="HG260" s="21"/>
      <c r="HH260" s="21"/>
      <c r="HI260" s="21"/>
      <c r="HJ260" s="21"/>
      <c r="HK260" s="21"/>
      <c r="HL260" s="21"/>
      <c r="HM260" s="21"/>
      <c r="HN260" s="21"/>
      <c r="HO260" s="21"/>
      <c r="HP260" s="21"/>
      <c r="HQ260" s="21"/>
      <c r="HR260" s="21"/>
      <c r="HS260" s="21"/>
      <c r="HT260" s="21"/>
      <c r="HU260" s="21"/>
      <c r="HV260" s="186"/>
      <c r="HW260" s="21"/>
      <c r="HX260" s="21"/>
      <c r="HY260" s="21"/>
      <c r="HZ260" s="21"/>
      <c r="IA260" s="21"/>
      <c r="IB260" s="21"/>
      <c r="IC260" s="21"/>
      <c r="ID260" s="21"/>
      <c r="IE260" s="21"/>
      <c r="IF260" s="21"/>
      <c r="IG260" s="21"/>
      <c r="IH260" s="21"/>
      <c r="II260" s="21"/>
      <c r="IJ260" s="21"/>
      <c r="IK260" s="21"/>
      <c r="IL260" s="21"/>
      <c r="IM260" s="21"/>
      <c r="IN260" s="21"/>
      <c r="IO260" s="21"/>
      <c r="IP260" s="21"/>
      <c r="IQ260" s="21"/>
      <c r="IR260" s="21"/>
      <c r="IS260" s="21"/>
      <c r="IT260" s="21"/>
      <c r="IU260" s="21"/>
      <c r="IV260" s="21"/>
      <c r="IW260" s="21"/>
      <c r="IX260" s="21"/>
      <c r="IY260" s="21"/>
      <c r="IZ260" s="21"/>
      <c r="JA260" s="21"/>
      <c r="JB260" s="21"/>
      <c r="JC260" s="21"/>
      <c r="JD260" s="21"/>
      <c r="JE260" s="21"/>
      <c r="JF260" s="21"/>
      <c r="JG260" s="21"/>
      <c r="JH260" s="21"/>
      <c r="JI260" s="21"/>
      <c r="JJ260" s="21"/>
      <c r="JK260" s="21"/>
      <c r="JL260" s="21"/>
      <c r="JM260" s="21"/>
      <c r="JN260" s="21"/>
      <c r="JO260" s="21"/>
      <c r="JP260" s="21"/>
      <c r="JQ260" s="21"/>
      <c r="JR260" s="21"/>
      <c r="JS260" s="21"/>
      <c r="JT260" s="21"/>
      <c r="JU260" s="21"/>
      <c r="JV260" s="21"/>
      <c r="JW260" s="21"/>
      <c r="JX260" s="21"/>
      <c r="JY260" s="21"/>
      <c r="JZ260" s="21"/>
      <c r="KA260" s="21"/>
      <c r="KB260" s="21"/>
      <c r="KC260" s="21"/>
      <c r="KD260" s="21"/>
      <c r="KE260" s="21"/>
      <c r="KF260" s="21"/>
      <c r="KG260" s="21"/>
      <c r="KH260" s="21"/>
    </row>
    <row r="261" spans="1:294" x14ac:dyDescent="0.25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21"/>
      <c r="W261" s="21"/>
      <c r="X261" s="21"/>
      <c r="Y261" s="21"/>
      <c r="Z261" s="21"/>
      <c r="AA261" s="21"/>
      <c r="AB261" s="21"/>
      <c r="AC261" s="21"/>
      <c r="AD261" s="21"/>
      <c r="AE261" s="21"/>
      <c r="AF261" s="21"/>
      <c r="AG261" s="21"/>
      <c r="AH261" s="21"/>
      <c r="AI261" s="21"/>
      <c r="AJ261" s="21"/>
      <c r="AK261" s="21"/>
      <c r="AL261" s="21"/>
      <c r="AM261" s="21"/>
      <c r="AN261" s="21"/>
      <c r="AO261" s="21"/>
      <c r="AP261" s="21"/>
      <c r="AQ261" s="21"/>
      <c r="AR261" s="21"/>
      <c r="AS261" s="21"/>
      <c r="AT261" s="21"/>
      <c r="AU261" s="21"/>
      <c r="AV261" s="21"/>
      <c r="AW261" s="21"/>
      <c r="AX261" s="21"/>
      <c r="AY261" s="21"/>
      <c r="AZ261" s="21"/>
      <c r="BA261" s="21"/>
      <c r="BB261" s="21"/>
      <c r="BC261" s="21"/>
      <c r="BD261" s="21"/>
      <c r="BE261" s="21"/>
      <c r="BF261" s="21"/>
      <c r="BG261" s="21"/>
      <c r="BH261" s="21"/>
      <c r="BI261" s="21"/>
      <c r="BJ261" s="21"/>
      <c r="BK261" s="21"/>
      <c r="BL261" s="21"/>
      <c r="BM261" s="21"/>
      <c r="BN261" s="21"/>
      <c r="BO261" s="21"/>
      <c r="BP261" s="21"/>
      <c r="BQ261" s="21"/>
      <c r="BR261" s="21"/>
      <c r="BS261" s="21"/>
      <c r="BT261" s="21"/>
      <c r="BU261" s="21"/>
      <c r="BV261" s="21"/>
      <c r="BW261" s="21"/>
      <c r="BX261" s="21"/>
      <c r="BY261" s="21"/>
      <c r="BZ261" s="21"/>
      <c r="CA261" s="21"/>
      <c r="CB261" s="21"/>
      <c r="CC261" s="21"/>
      <c r="CD261" s="21"/>
      <c r="CE261" s="21"/>
      <c r="CF261" s="21"/>
      <c r="CG261" s="21"/>
      <c r="CH261" s="21"/>
      <c r="CI261" s="21"/>
      <c r="CJ261" s="21"/>
      <c r="CK261" s="21"/>
      <c r="CL261" s="21"/>
      <c r="CM261" s="21"/>
      <c r="CN261" s="21"/>
      <c r="CO261" s="21"/>
      <c r="CP261" s="21"/>
      <c r="CQ261" s="21"/>
      <c r="CR261" s="21"/>
      <c r="CS261" s="21"/>
      <c r="CT261" s="21"/>
      <c r="CU261" s="21"/>
      <c r="CV261" s="21"/>
      <c r="CW261" s="21"/>
      <c r="CX261" s="21"/>
      <c r="CY261" s="21"/>
      <c r="CZ261" s="21"/>
      <c r="DA261" s="21"/>
      <c r="DB261" s="21"/>
      <c r="DC261" s="21"/>
      <c r="DD261" s="21"/>
      <c r="DE261" s="21"/>
      <c r="DF261" s="21"/>
      <c r="DG261" s="21"/>
      <c r="DH261" s="21"/>
      <c r="DI261" s="21"/>
      <c r="DJ261" s="21"/>
      <c r="DK261" s="21"/>
      <c r="DL261" s="21"/>
      <c r="DM261" s="21"/>
      <c r="DN261" s="21"/>
      <c r="DO261" s="21"/>
      <c r="DP261" s="21"/>
      <c r="DQ261" s="21"/>
      <c r="DR261" s="21"/>
      <c r="DS261" s="21"/>
      <c r="DT261" s="21"/>
      <c r="DU261" s="21"/>
      <c r="DV261" s="21"/>
      <c r="DW261" s="21"/>
      <c r="DX261" s="21"/>
      <c r="DY261" s="21"/>
      <c r="DZ261" s="87"/>
      <c r="EA261" s="87"/>
      <c r="EB261" s="87"/>
      <c r="EC261" s="21"/>
      <c r="ED261" s="21"/>
      <c r="EE261" s="21"/>
      <c r="EF261" s="21"/>
      <c r="EG261" s="21"/>
      <c r="EH261" s="21"/>
      <c r="EI261" s="21"/>
      <c r="EJ261" s="21"/>
      <c r="EK261" s="21"/>
      <c r="EL261" s="21"/>
      <c r="EM261" s="21"/>
      <c r="EN261" s="21"/>
      <c r="EO261" s="21"/>
      <c r="EP261" s="21"/>
      <c r="EQ261" s="21"/>
      <c r="ER261" s="21"/>
      <c r="ES261" s="21"/>
      <c r="ET261" s="21"/>
      <c r="EU261" s="21"/>
      <c r="EV261" s="21"/>
      <c r="EW261" s="21"/>
      <c r="EX261" s="21"/>
      <c r="EY261" s="21"/>
      <c r="EZ261" s="21"/>
      <c r="FA261" s="21"/>
      <c r="FB261" s="21"/>
      <c r="FC261" s="21"/>
      <c r="FD261" s="21"/>
      <c r="FE261" s="21"/>
      <c r="FF261" s="21"/>
      <c r="FG261" s="21"/>
      <c r="FH261" s="21"/>
      <c r="FI261" s="21"/>
      <c r="FJ261" s="21"/>
      <c r="FK261" s="21"/>
      <c r="FL261" s="21"/>
      <c r="FM261" s="21"/>
      <c r="FN261" s="21"/>
      <c r="FO261" s="21"/>
      <c r="FP261" s="21"/>
      <c r="FQ261" s="21"/>
      <c r="FR261" s="21"/>
      <c r="FS261" s="21"/>
      <c r="FT261" s="21"/>
      <c r="FU261" s="21"/>
      <c r="FV261" s="21"/>
      <c r="FW261" s="21"/>
      <c r="FX261" s="21"/>
      <c r="FY261" s="21"/>
      <c r="FZ261" s="21"/>
      <c r="GA261" s="21"/>
      <c r="GB261" s="21"/>
      <c r="GC261" s="21"/>
      <c r="GD261" s="21"/>
      <c r="GE261" s="21"/>
      <c r="GF261" s="21"/>
      <c r="GG261" s="21"/>
      <c r="GH261" s="21"/>
      <c r="GI261" s="21"/>
      <c r="GJ261" s="21"/>
      <c r="GK261" s="21"/>
      <c r="GL261" s="21"/>
      <c r="GM261" s="21"/>
      <c r="GN261" s="21"/>
      <c r="GO261" s="21"/>
      <c r="GP261" s="21"/>
      <c r="GQ261" s="21"/>
      <c r="GR261" s="21"/>
      <c r="GS261" s="21"/>
      <c r="GT261" s="21"/>
      <c r="GU261" s="21"/>
      <c r="GV261" s="21"/>
      <c r="GW261" s="21"/>
      <c r="GX261" s="21"/>
      <c r="GY261" s="21"/>
      <c r="GZ261" s="21"/>
      <c r="HA261" s="21"/>
      <c r="HB261" s="21"/>
      <c r="HC261" s="21"/>
      <c r="HD261" s="21"/>
      <c r="HE261" s="21"/>
      <c r="HF261" s="21"/>
      <c r="HG261" s="21"/>
      <c r="HH261" s="21"/>
      <c r="HI261" s="21"/>
      <c r="HJ261" s="21"/>
      <c r="HK261" s="21"/>
      <c r="HL261" s="21"/>
      <c r="HM261" s="21"/>
      <c r="HN261" s="21"/>
      <c r="HO261" s="21"/>
      <c r="HP261" s="21"/>
      <c r="HQ261" s="21"/>
      <c r="HR261" s="21"/>
      <c r="HS261" s="21"/>
      <c r="HT261" s="21"/>
      <c r="HU261" s="21"/>
      <c r="HV261" s="186"/>
      <c r="HW261" s="21"/>
      <c r="HX261" s="21"/>
      <c r="HY261" s="21"/>
      <c r="HZ261" s="21"/>
      <c r="IA261" s="21"/>
      <c r="IB261" s="21"/>
      <c r="IC261" s="21"/>
      <c r="ID261" s="21"/>
      <c r="IE261" s="21"/>
      <c r="IF261" s="21"/>
      <c r="IG261" s="21"/>
      <c r="IH261" s="21"/>
      <c r="II261" s="21"/>
      <c r="IJ261" s="21"/>
      <c r="IK261" s="21"/>
      <c r="IL261" s="21"/>
      <c r="IM261" s="21"/>
      <c r="IN261" s="21"/>
      <c r="IO261" s="21"/>
      <c r="IP261" s="21"/>
      <c r="IQ261" s="21"/>
      <c r="IR261" s="21"/>
      <c r="IS261" s="21"/>
      <c r="IT261" s="21"/>
      <c r="IU261" s="21"/>
      <c r="IV261" s="21"/>
      <c r="IW261" s="21"/>
      <c r="IX261" s="21"/>
      <c r="IY261" s="21"/>
      <c r="IZ261" s="21"/>
      <c r="JA261" s="21"/>
      <c r="JB261" s="21"/>
      <c r="JC261" s="21"/>
      <c r="JD261" s="21"/>
      <c r="JE261" s="21"/>
      <c r="JF261" s="21"/>
      <c r="JG261" s="21"/>
      <c r="JH261" s="21"/>
      <c r="JI261" s="21"/>
      <c r="JJ261" s="21"/>
      <c r="JK261" s="21"/>
      <c r="JL261" s="21"/>
      <c r="JM261" s="21"/>
      <c r="JN261" s="21"/>
      <c r="JO261" s="21"/>
      <c r="JP261" s="21"/>
      <c r="JQ261" s="21"/>
      <c r="JR261" s="21"/>
      <c r="JS261" s="21"/>
      <c r="JT261" s="21"/>
      <c r="JU261" s="21"/>
      <c r="JV261" s="21"/>
      <c r="JW261" s="21"/>
      <c r="JX261" s="21"/>
      <c r="JY261" s="21"/>
      <c r="JZ261" s="21"/>
      <c r="KA261" s="21"/>
      <c r="KB261" s="21"/>
      <c r="KC261" s="21"/>
      <c r="KD261" s="21"/>
      <c r="KE261" s="21"/>
      <c r="KF261" s="21"/>
      <c r="KG261" s="21"/>
      <c r="KH261" s="21"/>
    </row>
    <row r="262" spans="1:294" x14ac:dyDescent="0.25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21"/>
      <c r="W262" s="21"/>
      <c r="X262" s="21"/>
      <c r="Y262" s="21"/>
      <c r="Z262" s="21"/>
      <c r="AA262" s="21"/>
      <c r="AB262" s="21"/>
      <c r="AC262" s="21"/>
      <c r="AD262" s="21"/>
      <c r="AE262" s="21"/>
      <c r="AF262" s="21"/>
      <c r="AG262" s="21"/>
      <c r="AH262" s="21"/>
      <c r="AI262" s="21"/>
      <c r="AJ262" s="21"/>
      <c r="AK262" s="21"/>
      <c r="AL262" s="21"/>
      <c r="AM262" s="21"/>
      <c r="AN262" s="21"/>
      <c r="AO262" s="21"/>
      <c r="AP262" s="21"/>
      <c r="AQ262" s="21"/>
      <c r="AR262" s="21"/>
      <c r="AS262" s="21"/>
      <c r="AT262" s="21"/>
      <c r="AU262" s="21"/>
      <c r="AV262" s="21"/>
      <c r="AW262" s="21"/>
      <c r="AX262" s="21"/>
      <c r="AY262" s="21"/>
      <c r="AZ262" s="21"/>
      <c r="BA262" s="21"/>
      <c r="BB262" s="21"/>
      <c r="BC262" s="21"/>
      <c r="BD262" s="21"/>
      <c r="BE262" s="21"/>
      <c r="BF262" s="21"/>
      <c r="BG262" s="21"/>
      <c r="BH262" s="21"/>
      <c r="BI262" s="21"/>
      <c r="BJ262" s="21"/>
      <c r="BK262" s="21"/>
      <c r="BL262" s="21"/>
      <c r="BM262" s="21"/>
      <c r="BN262" s="21"/>
      <c r="BO262" s="21"/>
      <c r="BP262" s="21"/>
      <c r="BQ262" s="21"/>
      <c r="BR262" s="21"/>
      <c r="BS262" s="21"/>
      <c r="BT262" s="21"/>
      <c r="BU262" s="21"/>
      <c r="BV262" s="21"/>
      <c r="BW262" s="21"/>
      <c r="BX262" s="21"/>
      <c r="BY262" s="21"/>
      <c r="BZ262" s="21"/>
      <c r="CA262" s="21"/>
      <c r="CB262" s="21"/>
      <c r="CC262" s="21"/>
      <c r="CD262" s="21"/>
      <c r="CE262" s="21"/>
      <c r="CF262" s="21"/>
      <c r="CG262" s="21"/>
      <c r="CH262" s="21"/>
      <c r="CI262" s="21"/>
      <c r="CJ262" s="21"/>
      <c r="CK262" s="21"/>
      <c r="CL262" s="21"/>
      <c r="CM262" s="21"/>
      <c r="CN262" s="21"/>
      <c r="CO262" s="21"/>
      <c r="CP262" s="21"/>
      <c r="CQ262" s="21"/>
      <c r="CR262" s="21"/>
      <c r="CS262" s="21"/>
      <c r="CT262" s="21"/>
      <c r="CU262" s="21"/>
      <c r="CV262" s="21"/>
      <c r="CW262" s="21"/>
      <c r="CX262" s="21"/>
      <c r="CY262" s="21"/>
      <c r="CZ262" s="21"/>
      <c r="DA262" s="21"/>
      <c r="DB262" s="21"/>
      <c r="DC262" s="21"/>
      <c r="DD262" s="21"/>
      <c r="DE262" s="21"/>
      <c r="DF262" s="21"/>
      <c r="DG262" s="21"/>
      <c r="DH262" s="21"/>
      <c r="DI262" s="21"/>
      <c r="DJ262" s="21"/>
      <c r="DK262" s="21"/>
      <c r="DL262" s="21"/>
      <c r="DM262" s="21"/>
      <c r="DN262" s="21"/>
      <c r="DO262" s="21"/>
      <c r="DP262" s="21"/>
      <c r="DQ262" s="21"/>
      <c r="DR262" s="21"/>
      <c r="DS262" s="21"/>
      <c r="DT262" s="21"/>
      <c r="DU262" s="21"/>
      <c r="DV262" s="21"/>
      <c r="DW262" s="21"/>
      <c r="DX262" s="21"/>
      <c r="DY262" s="21"/>
      <c r="DZ262" s="87"/>
      <c r="EA262" s="87"/>
      <c r="EB262" s="87"/>
      <c r="EC262" s="21"/>
      <c r="ED262" s="21"/>
      <c r="EE262" s="21"/>
      <c r="EF262" s="21"/>
      <c r="EG262" s="21"/>
      <c r="EH262" s="21"/>
      <c r="EI262" s="21"/>
      <c r="EJ262" s="21"/>
      <c r="EK262" s="21"/>
      <c r="EL262" s="21"/>
      <c r="EM262" s="21"/>
      <c r="EN262" s="21"/>
      <c r="EO262" s="21"/>
      <c r="EP262" s="21"/>
      <c r="EQ262" s="21"/>
      <c r="ER262" s="21"/>
      <c r="ES262" s="21"/>
      <c r="ET262" s="21"/>
      <c r="EU262" s="21"/>
      <c r="EV262" s="21"/>
      <c r="EW262" s="21"/>
      <c r="EX262" s="21"/>
      <c r="EY262" s="21"/>
      <c r="EZ262" s="21"/>
      <c r="FA262" s="21"/>
      <c r="FB262" s="21"/>
      <c r="FC262" s="21"/>
      <c r="FD262" s="21"/>
      <c r="FE262" s="21"/>
      <c r="FF262" s="21"/>
      <c r="FG262" s="21"/>
      <c r="FH262" s="21"/>
      <c r="FI262" s="21"/>
      <c r="FJ262" s="21"/>
      <c r="FK262" s="21"/>
      <c r="FL262" s="21"/>
      <c r="FM262" s="21"/>
      <c r="FN262" s="21"/>
      <c r="FO262" s="21"/>
      <c r="FP262" s="21"/>
      <c r="FQ262" s="21"/>
      <c r="FR262" s="21"/>
      <c r="FS262" s="21"/>
      <c r="FT262" s="21"/>
      <c r="FU262" s="21"/>
      <c r="FV262" s="21"/>
      <c r="FW262" s="21"/>
      <c r="FX262" s="21"/>
      <c r="FY262" s="21"/>
      <c r="FZ262" s="21"/>
      <c r="GA262" s="21"/>
      <c r="GB262" s="21"/>
      <c r="GC262" s="21"/>
      <c r="GD262" s="21"/>
      <c r="GE262" s="21"/>
      <c r="GF262" s="21"/>
      <c r="GG262" s="21"/>
      <c r="GH262" s="21"/>
      <c r="GI262" s="21"/>
      <c r="GJ262" s="21"/>
      <c r="GK262" s="21"/>
      <c r="GL262" s="21"/>
      <c r="GM262" s="21"/>
      <c r="GN262" s="21"/>
      <c r="GO262" s="21"/>
      <c r="GP262" s="21"/>
      <c r="GQ262" s="21"/>
      <c r="GR262" s="21"/>
      <c r="GS262" s="21"/>
      <c r="GT262" s="21"/>
      <c r="GU262" s="21"/>
      <c r="GV262" s="21"/>
      <c r="GW262" s="20"/>
      <c r="GX262" s="20"/>
      <c r="GY262" s="21"/>
      <c r="GZ262" s="21"/>
      <c r="HA262" s="21"/>
      <c r="HB262" s="21"/>
      <c r="HC262" s="21"/>
      <c r="HD262" s="21"/>
      <c r="HE262" s="21"/>
      <c r="HF262" s="21"/>
      <c r="HG262" s="21"/>
      <c r="HH262" s="21"/>
      <c r="HI262" s="21"/>
      <c r="HJ262" s="21"/>
      <c r="HK262" s="21"/>
      <c r="HL262" s="21"/>
      <c r="HM262" s="21"/>
      <c r="HN262" s="21"/>
      <c r="HO262" s="21"/>
      <c r="HP262" s="21"/>
      <c r="HQ262" s="21"/>
      <c r="HR262" s="21"/>
      <c r="HS262" s="21"/>
      <c r="HT262" s="21"/>
      <c r="HU262" s="21"/>
      <c r="HV262" s="186"/>
      <c r="HW262" s="21"/>
      <c r="HX262" s="21"/>
      <c r="HY262" s="21"/>
      <c r="HZ262" s="21"/>
      <c r="IA262" s="21"/>
      <c r="IB262" s="21"/>
      <c r="IC262" s="21"/>
      <c r="ID262" s="21"/>
      <c r="IE262" s="21"/>
      <c r="IF262" s="21"/>
      <c r="IG262" s="21"/>
      <c r="IH262" s="21"/>
      <c r="II262" s="21"/>
      <c r="IJ262" s="21"/>
      <c r="IK262" s="21"/>
      <c r="IL262" s="21"/>
      <c r="IM262" s="21"/>
      <c r="IN262" s="21"/>
      <c r="IO262" s="21"/>
      <c r="IP262" s="21"/>
      <c r="IQ262" s="21"/>
      <c r="IR262" s="21"/>
      <c r="IS262" s="21"/>
      <c r="IT262" s="21"/>
      <c r="IU262" s="21"/>
      <c r="IV262" s="21"/>
      <c r="IW262" s="21"/>
      <c r="IX262" s="21"/>
      <c r="IY262" s="21"/>
      <c r="IZ262" s="21"/>
      <c r="JA262" s="21"/>
      <c r="JB262" s="21"/>
      <c r="JC262" s="21"/>
      <c r="JD262" s="21"/>
      <c r="JE262" s="21"/>
      <c r="JF262" s="21"/>
      <c r="JG262" s="21"/>
      <c r="JH262" s="21"/>
      <c r="JI262" s="21"/>
      <c r="JJ262" s="21"/>
      <c r="JK262" s="21"/>
      <c r="JL262" s="21"/>
      <c r="JM262" s="21"/>
      <c r="JN262" s="21"/>
      <c r="JO262" s="21"/>
      <c r="JP262" s="21"/>
      <c r="JQ262" s="21"/>
      <c r="JR262" s="21"/>
      <c r="JS262" s="21"/>
      <c r="JT262" s="21"/>
      <c r="JU262" s="21"/>
      <c r="JV262" s="21"/>
      <c r="JW262" s="21"/>
      <c r="JX262" s="21"/>
      <c r="JY262" s="21"/>
      <c r="JZ262" s="21"/>
      <c r="KA262" s="21"/>
      <c r="KB262" s="21"/>
      <c r="KC262" s="21"/>
      <c r="KD262" s="21"/>
      <c r="KE262" s="21"/>
      <c r="KF262" s="21"/>
      <c r="KG262" s="21"/>
      <c r="KH262" s="21"/>
    </row>
    <row r="263" spans="1:294" x14ac:dyDescent="0.25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21"/>
      <c r="W263" s="21"/>
      <c r="X263" s="21"/>
      <c r="Y263" s="21"/>
      <c r="Z263" s="21"/>
      <c r="AA263" s="21"/>
      <c r="AB263" s="21"/>
      <c r="AC263" s="21"/>
      <c r="AD263" s="21"/>
      <c r="AE263" s="21"/>
      <c r="AF263" s="21"/>
      <c r="AG263" s="21"/>
      <c r="AH263" s="21"/>
      <c r="AI263" s="21"/>
      <c r="AJ263" s="21"/>
      <c r="AK263" s="21"/>
      <c r="AL263" s="21"/>
      <c r="AM263" s="21"/>
      <c r="AN263" s="21"/>
      <c r="AO263" s="21"/>
      <c r="AP263" s="21"/>
      <c r="AQ263" s="21"/>
      <c r="AR263" s="21"/>
      <c r="AS263" s="21"/>
      <c r="AT263" s="21"/>
      <c r="AU263" s="21"/>
      <c r="AV263" s="21"/>
      <c r="AW263" s="21"/>
      <c r="AX263" s="21"/>
      <c r="AY263" s="21"/>
      <c r="AZ263" s="21"/>
      <c r="BA263" s="21"/>
      <c r="BB263" s="21"/>
      <c r="BC263" s="21"/>
      <c r="BD263" s="21"/>
      <c r="BE263" s="21"/>
      <c r="BF263" s="21"/>
      <c r="BG263" s="21"/>
      <c r="BH263" s="21"/>
      <c r="BI263" s="21"/>
      <c r="BJ263" s="21"/>
      <c r="BK263" s="21"/>
      <c r="BL263" s="21"/>
      <c r="BM263" s="21"/>
      <c r="BN263" s="21"/>
      <c r="BO263" s="21"/>
      <c r="BP263" s="21"/>
      <c r="BQ263" s="21"/>
      <c r="BR263" s="21"/>
      <c r="BS263" s="21"/>
      <c r="BT263" s="21"/>
      <c r="BU263" s="21"/>
      <c r="BV263" s="21"/>
      <c r="BW263" s="21"/>
      <c r="BX263" s="21"/>
      <c r="BY263" s="21"/>
      <c r="BZ263" s="21"/>
      <c r="CA263" s="21"/>
      <c r="CB263" s="21"/>
      <c r="CC263" s="21"/>
      <c r="CD263" s="21"/>
      <c r="CE263" s="21"/>
      <c r="CF263" s="21"/>
      <c r="CG263" s="21"/>
      <c r="CH263" s="21"/>
      <c r="CI263" s="21"/>
      <c r="CJ263" s="21"/>
      <c r="CK263" s="21"/>
      <c r="CL263" s="21"/>
      <c r="CM263" s="21"/>
      <c r="CN263" s="21"/>
      <c r="CO263" s="21"/>
      <c r="CP263" s="21"/>
      <c r="CQ263" s="21"/>
      <c r="CR263" s="21"/>
      <c r="CS263" s="21"/>
      <c r="CT263" s="21"/>
      <c r="CU263" s="21"/>
      <c r="CV263" s="21"/>
      <c r="CW263" s="21"/>
      <c r="CX263" s="21"/>
      <c r="CY263" s="21"/>
      <c r="CZ263" s="21"/>
      <c r="DA263" s="21"/>
      <c r="DB263" s="21"/>
      <c r="DC263" s="21"/>
      <c r="DD263" s="21"/>
      <c r="DE263" s="21"/>
      <c r="DF263" s="21"/>
      <c r="DG263" s="21"/>
      <c r="DH263" s="21"/>
      <c r="DI263" s="21"/>
      <c r="DJ263" s="21"/>
      <c r="DK263" s="21"/>
      <c r="DL263" s="21"/>
      <c r="DM263" s="21"/>
      <c r="DN263" s="21"/>
      <c r="DO263" s="21"/>
      <c r="DP263" s="21"/>
      <c r="DQ263" s="21"/>
      <c r="DR263" s="21"/>
      <c r="DS263" s="21"/>
      <c r="DT263" s="21"/>
      <c r="DU263" s="21"/>
      <c r="DV263" s="21"/>
      <c r="DW263" s="21"/>
      <c r="DX263" s="21"/>
      <c r="DY263" s="21"/>
      <c r="DZ263" s="87"/>
      <c r="EA263" s="87"/>
      <c r="EB263" s="87"/>
      <c r="EC263" s="21"/>
      <c r="ED263" s="21"/>
      <c r="EE263" s="21"/>
      <c r="EF263" s="21"/>
      <c r="EG263" s="21"/>
      <c r="EH263" s="21"/>
      <c r="EI263" s="21"/>
      <c r="EJ263" s="21"/>
      <c r="EK263" s="21"/>
      <c r="EL263" s="21"/>
      <c r="EM263" s="21"/>
      <c r="EN263" s="21"/>
      <c r="EO263" s="21"/>
      <c r="EP263" s="21"/>
      <c r="EQ263" s="21"/>
      <c r="ER263" s="21"/>
      <c r="ES263" s="21"/>
      <c r="ET263" s="21"/>
      <c r="EU263" s="21"/>
      <c r="EV263" s="21"/>
      <c r="EW263" s="21"/>
      <c r="EX263" s="21"/>
      <c r="EY263" s="21"/>
      <c r="EZ263" s="21"/>
      <c r="FA263" s="21"/>
      <c r="FB263" s="21"/>
      <c r="FC263" s="21"/>
      <c r="FD263" s="21"/>
      <c r="FE263" s="21"/>
      <c r="FF263" s="21"/>
      <c r="FG263" s="21"/>
      <c r="FH263" s="21"/>
      <c r="FI263" s="21"/>
      <c r="FJ263" s="21"/>
      <c r="FK263" s="21"/>
      <c r="FL263" s="21"/>
      <c r="FM263" s="21"/>
      <c r="FN263" s="21"/>
      <c r="FO263" s="21"/>
      <c r="FP263" s="21"/>
      <c r="FQ263" s="21"/>
      <c r="FR263" s="21"/>
      <c r="FS263" s="21"/>
      <c r="FT263" s="21"/>
      <c r="FU263" s="21"/>
      <c r="FV263" s="21"/>
      <c r="FW263" s="21"/>
      <c r="FX263" s="21"/>
      <c r="FY263" s="21"/>
      <c r="FZ263" s="21"/>
      <c r="GA263" s="21"/>
      <c r="GB263" s="21"/>
      <c r="GC263" s="21"/>
      <c r="GD263" s="21"/>
      <c r="GE263" s="21"/>
      <c r="GF263" s="21"/>
      <c r="GG263" s="21"/>
      <c r="GH263" s="21"/>
      <c r="GI263" s="21"/>
      <c r="GJ263" s="21"/>
      <c r="GK263" s="21"/>
      <c r="GL263" s="21"/>
      <c r="GM263" s="21"/>
      <c r="GN263" s="21"/>
      <c r="GO263" s="21"/>
      <c r="GP263" s="21"/>
      <c r="GQ263" s="21"/>
      <c r="GR263" s="21"/>
      <c r="GS263" s="21"/>
      <c r="GT263" s="21"/>
      <c r="GU263" s="21"/>
      <c r="GV263" s="21"/>
      <c r="GW263" s="21"/>
      <c r="GX263" s="21"/>
      <c r="GY263" s="21"/>
      <c r="GZ263" s="21"/>
      <c r="HA263" s="21"/>
      <c r="HB263" s="21"/>
      <c r="HC263" s="21"/>
      <c r="HD263" s="21"/>
      <c r="HE263" s="21"/>
      <c r="HF263" s="21"/>
      <c r="HG263" s="21"/>
      <c r="HH263" s="21"/>
      <c r="HI263" s="21"/>
      <c r="HJ263" s="21"/>
      <c r="HK263" s="21"/>
      <c r="HL263" s="21"/>
      <c r="HM263" s="21"/>
      <c r="HN263" s="21"/>
      <c r="HO263" s="21"/>
      <c r="HP263" s="21"/>
      <c r="HQ263" s="21"/>
      <c r="HR263" s="21"/>
      <c r="HS263" s="21"/>
      <c r="HT263" s="21"/>
      <c r="HU263" s="21"/>
      <c r="HV263" s="186"/>
      <c r="HW263" s="21"/>
      <c r="HX263" s="21"/>
      <c r="HY263" s="21"/>
      <c r="HZ263" s="21"/>
      <c r="IA263" s="21"/>
      <c r="IB263" s="21"/>
      <c r="IC263" s="21"/>
      <c r="ID263" s="21"/>
      <c r="IE263" s="21"/>
      <c r="IF263" s="21"/>
      <c r="IG263" s="21"/>
      <c r="IH263" s="21"/>
      <c r="II263" s="21"/>
      <c r="IJ263" s="21"/>
      <c r="IK263" s="21"/>
      <c r="IL263" s="21"/>
      <c r="IM263" s="21"/>
      <c r="IN263" s="21"/>
      <c r="IO263" s="21"/>
      <c r="IP263" s="21"/>
      <c r="IQ263" s="21"/>
      <c r="IR263" s="21"/>
      <c r="IS263" s="21"/>
      <c r="IT263" s="21"/>
      <c r="IU263" s="21"/>
      <c r="IV263" s="21"/>
      <c r="IW263" s="21"/>
      <c r="IX263" s="21"/>
      <c r="IY263" s="21"/>
      <c r="IZ263" s="21"/>
      <c r="JA263" s="21"/>
      <c r="JB263" s="21"/>
      <c r="JC263" s="21"/>
      <c r="JD263" s="21"/>
      <c r="JE263" s="21"/>
      <c r="JF263" s="21"/>
      <c r="JG263" s="21"/>
      <c r="JH263" s="21"/>
      <c r="JI263" s="21"/>
      <c r="JJ263" s="21"/>
      <c r="JK263" s="21"/>
      <c r="JL263" s="21"/>
      <c r="JM263" s="21"/>
      <c r="JN263" s="21"/>
      <c r="JO263" s="21"/>
      <c r="JP263" s="21"/>
      <c r="JQ263" s="21"/>
      <c r="JR263" s="21"/>
      <c r="JS263" s="21"/>
      <c r="JT263" s="21"/>
      <c r="JU263" s="21"/>
      <c r="JV263" s="21"/>
      <c r="JW263" s="21"/>
      <c r="JX263" s="21"/>
      <c r="JY263" s="21"/>
      <c r="JZ263" s="21"/>
      <c r="KA263" s="21"/>
      <c r="KB263" s="21"/>
      <c r="KC263" s="21"/>
      <c r="KD263" s="21"/>
      <c r="KE263" s="21"/>
      <c r="KF263" s="21"/>
      <c r="KG263" s="21"/>
      <c r="KH263" s="21"/>
    </row>
    <row r="264" spans="1:294" x14ac:dyDescent="0.25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21"/>
      <c r="W264" s="21"/>
      <c r="X264" s="21"/>
      <c r="Y264" s="21"/>
      <c r="Z264" s="21"/>
      <c r="AA264" s="21"/>
      <c r="AB264" s="21"/>
      <c r="AC264" s="21"/>
      <c r="AD264" s="21"/>
      <c r="AE264" s="21"/>
      <c r="AF264" s="21"/>
      <c r="AG264" s="21"/>
      <c r="AH264" s="21"/>
      <c r="AI264" s="21"/>
      <c r="AJ264" s="21"/>
      <c r="AK264" s="21"/>
      <c r="AL264" s="21"/>
      <c r="AM264" s="21"/>
      <c r="AN264" s="21"/>
      <c r="AO264" s="21"/>
      <c r="AP264" s="21"/>
      <c r="AQ264" s="21"/>
      <c r="AR264" s="21"/>
      <c r="AS264" s="21"/>
      <c r="AT264" s="21"/>
      <c r="AU264" s="21"/>
      <c r="AV264" s="21"/>
      <c r="AW264" s="21"/>
      <c r="AX264" s="21"/>
      <c r="AY264" s="21"/>
      <c r="AZ264" s="21"/>
      <c r="BA264" s="21"/>
      <c r="BB264" s="21"/>
      <c r="BC264" s="21"/>
      <c r="BD264" s="21"/>
      <c r="BE264" s="21"/>
      <c r="BF264" s="21"/>
      <c r="BG264" s="21"/>
      <c r="BH264" s="21"/>
      <c r="BI264" s="21"/>
      <c r="BJ264" s="21"/>
      <c r="BK264" s="21"/>
      <c r="BL264" s="21"/>
      <c r="BM264" s="21"/>
      <c r="BN264" s="21"/>
      <c r="BO264" s="21"/>
      <c r="BP264" s="21"/>
      <c r="BQ264" s="21"/>
      <c r="BR264" s="21"/>
      <c r="BS264" s="21"/>
      <c r="BT264" s="21"/>
      <c r="BU264" s="21"/>
      <c r="BV264" s="21"/>
      <c r="BW264" s="21"/>
      <c r="BX264" s="21"/>
      <c r="BY264" s="21"/>
      <c r="BZ264" s="21"/>
      <c r="CA264" s="21"/>
      <c r="CB264" s="21"/>
      <c r="CC264" s="21"/>
      <c r="CD264" s="21"/>
      <c r="CE264" s="21"/>
      <c r="CF264" s="21"/>
      <c r="CG264" s="21"/>
      <c r="CH264" s="21"/>
      <c r="CI264" s="21"/>
      <c r="CJ264" s="21"/>
      <c r="CK264" s="21"/>
      <c r="CL264" s="21"/>
      <c r="CM264" s="21"/>
      <c r="CN264" s="21"/>
      <c r="CO264" s="21"/>
      <c r="CP264" s="21"/>
      <c r="CQ264" s="21"/>
      <c r="CR264" s="21"/>
      <c r="CS264" s="21"/>
      <c r="CT264" s="21"/>
      <c r="CU264" s="21"/>
      <c r="CV264" s="21"/>
      <c r="CW264" s="21"/>
      <c r="CX264" s="21"/>
      <c r="CY264" s="21"/>
      <c r="CZ264" s="21"/>
      <c r="DA264" s="21"/>
      <c r="DB264" s="21"/>
      <c r="DC264" s="21"/>
      <c r="DD264" s="21"/>
      <c r="DE264" s="21"/>
      <c r="DF264" s="21"/>
      <c r="DG264" s="21"/>
      <c r="DH264" s="21"/>
      <c r="DI264" s="21"/>
      <c r="DJ264" s="21"/>
      <c r="DK264" s="21"/>
      <c r="DL264" s="21"/>
      <c r="DM264" s="21"/>
      <c r="DN264" s="21"/>
      <c r="DO264" s="21"/>
      <c r="DP264" s="21"/>
      <c r="DQ264" s="21"/>
      <c r="DR264" s="21"/>
      <c r="DS264" s="21"/>
      <c r="DT264" s="21"/>
      <c r="DU264" s="21"/>
      <c r="DV264" s="21"/>
      <c r="DW264" s="21"/>
      <c r="DX264" s="21"/>
      <c r="DY264" s="21"/>
      <c r="DZ264" s="87"/>
      <c r="EA264" s="87"/>
      <c r="EB264" s="87"/>
      <c r="EC264" s="21"/>
      <c r="ED264" s="21"/>
      <c r="EE264" s="21"/>
      <c r="EF264" s="21"/>
      <c r="EG264" s="21"/>
      <c r="EH264" s="21"/>
      <c r="EI264" s="21"/>
      <c r="EJ264" s="21"/>
      <c r="EK264" s="21"/>
      <c r="EL264" s="21"/>
      <c r="EM264" s="21"/>
      <c r="EN264" s="21"/>
      <c r="EO264" s="21"/>
      <c r="EP264" s="21"/>
      <c r="EQ264" s="21"/>
      <c r="ER264" s="21"/>
      <c r="ES264" s="21"/>
      <c r="ET264" s="21"/>
      <c r="EU264" s="21"/>
      <c r="EV264" s="21"/>
      <c r="EW264" s="21"/>
      <c r="EX264" s="21"/>
      <c r="EY264" s="21"/>
      <c r="EZ264" s="21"/>
      <c r="FA264" s="21"/>
      <c r="FB264" s="21"/>
      <c r="FC264" s="21"/>
      <c r="FD264" s="21"/>
      <c r="FE264" s="21"/>
      <c r="FF264" s="21"/>
      <c r="FG264" s="21"/>
      <c r="FH264" s="21"/>
      <c r="FI264" s="21"/>
      <c r="FJ264" s="21"/>
      <c r="FK264" s="21"/>
      <c r="FL264" s="21"/>
      <c r="FM264" s="21"/>
      <c r="FN264" s="21"/>
      <c r="FO264" s="21"/>
      <c r="FP264" s="21"/>
      <c r="FQ264" s="21"/>
      <c r="FR264" s="21"/>
      <c r="FS264" s="21"/>
      <c r="FT264" s="21"/>
      <c r="FU264" s="21"/>
      <c r="FV264" s="21"/>
      <c r="FW264" s="21"/>
      <c r="FX264" s="21"/>
      <c r="FY264" s="21"/>
      <c r="FZ264" s="21"/>
      <c r="GA264" s="21"/>
      <c r="GB264" s="21"/>
      <c r="GC264" s="21"/>
      <c r="GD264" s="21"/>
      <c r="GE264" s="21"/>
      <c r="GF264" s="21"/>
      <c r="GG264" s="21"/>
      <c r="GH264" s="21"/>
      <c r="GI264" s="21"/>
      <c r="GJ264" s="21"/>
      <c r="GK264" s="21"/>
      <c r="GL264" s="21"/>
      <c r="GM264" s="21"/>
      <c r="GN264" s="21"/>
      <c r="GO264" s="21"/>
      <c r="GP264" s="21"/>
      <c r="GQ264" s="21"/>
      <c r="GR264" s="21"/>
      <c r="GS264" s="21"/>
      <c r="GT264" s="21"/>
      <c r="GU264" s="21"/>
      <c r="GV264" s="21"/>
      <c r="GW264" s="21"/>
      <c r="GX264" s="21"/>
      <c r="GY264" s="21"/>
      <c r="GZ264" s="21"/>
      <c r="HA264" s="21"/>
      <c r="HB264" s="21"/>
      <c r="HC264" s="21"/>
      <c r="HD264" s="21"/>
      <c r="HE264" s="21"/>
      <c r="HF264" s="21"/>
      <c r="HG264" s="21"/>
      <c r="HH264" s="21"/>
      <c r="HI264" s="21"/>
      <c r="HJ264" s="21"/>
      <c r="HK264" s="21"/>
      <c r="HL264" s="21"/>
      <c r="HM264" s="21"/>
      <c r="HN264" s="21"/>
      <c r="HO264" s="21"/>
      <c r="HP264" s="21"/>
      <c r="HQ264" s="21"/>
      <c r="HR264" s="21"/>
      <c r="HS264" s="21"/>
      <c r="HT264" s="21"/>
      <c r="HU264" s="21"/>
      <c r="HV264" s="186"/>
      <c r="HW264" s="21"/>
      <c r="HX264" s="21"/>
      <c r="HY264" s="21"/>
      <c r="HZ264" s="21"/>
      <c r="IA264" s="21"/>
      <c r="IB264" s="21"/>
      <c r="IC264" s="21"/>
      <c r="ID264" s="21"/>
      <c r="IE264" s="21"/>
      <c r="IF264" s="21"/>
      <c r="IG264" s="21"/>
      <c r="IH264" s="21"/>
      <c r="II264" s="21"/>
      <c r="IJ264" s="21"/>
      <c r="IK264" s="21"/>
      <c r="IL264" s="21"/>
      <c r="IM264" s="21"/>
      <c r="IN264" s="21"/>
      <c r="IO264" s="21"/>
      <c r="IP264" s="21"/>
      <c r="IQ264" s="21"/>
      <c r="IR264" s="21"/>
      <c r="IS264" s="21"/>
      <c r="IT264" s="21"/>
      <c r="IU264" s="21"/>
      <c r="IV264" s="21"/>
      <c r="IW264" s="21"/>
      <c r="IX264" s="21"/>
      <c r="IY264" s="21"/>
      <c r="IZ264" s="21"/>
      <c r="JA264" s="21"/>
      <c r="JB264" s="21"/>
      <c r="JC264" s="21"/>
      <c r="JD264" s="21"/>
      <c r="JE264" s="21"/>
      <c r="JF264" s="21"/>
      <c r="JG264" s="21"/>
      <c r="JH264" s="21"/>
      <c r="JI264" s="21"/>
      <c r="JJ264" s="21"/>
      <c r="JK264" s="21"/>
      <c r="JL264" s="21"/>
      <c r="JM264" s="21"/>
      <c r="JN264" s="21"/>
      <c r="JO264" s="21"/>
      <c r="JP264" s="21"/>
      <c r="JQ264" s="21"/>
      <c r="JR264" s="21"/>
      <c r="JS264" s="21"/>
      <c r="JT264" s="21"/>
      <c r="JU264" s="21"/>
      <c r="JV264" s="21"/>
      <c r="JW264" s="21"/>
      <c r="JX264" s="21"/>
      <c r="JY264" s="21"/>
      <c r="JZ264" s="21"/>
      <c r="KA264" s="21"/>
      <c r="KB264" s="21"/>
      <c r="KC264" s="21"/>
      <c r="KD264" s="21"/>
      <c r="KE264" s="21"/>
      <c r="KF264" s="21"/>
      <c r="KG264" s="21"/>
      <c r="KH264" s="21"/>
    </row>
    <row r="265" spans="1:294" x14ac:dyDescent="0.25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21"/>
      <c r="W265" s="21"/>
      <c r="X265" s="21"/>
      <c r="Y265" s="21"/>
      <c r="Z265" s="21"/>
      <c r="AA265" s="21"/>
      <c r="AB265" s="21"/>
      <c r="AC265" s="21"/>
      <c r="AD265" s="21"/>
      <c r="AE265" s="21"/>
      <c r="AF265" s="21"/>
      <c r="AG265" s="21"/>
      <c r="AH265" s="21"/>
      <c r="AI265" s="21"/>
      <c r="AJ265" s="21"/>
      <c r="AK265" s="21"/>
      <c r="AL265" s="21"/>
      <c r="AM265" s="21"/>
      <c r="AN265" s="21"/>
      <c r="AO265" s="21"/>
      <c r="AP265" s="21"/>
      <c r="AQ265" s="21"/>
      <c r="AR265" s="21"/>
      <c r="AS265" s="21"/>
      <c r="AT265" s="21"/>
      <c r="AU265" s="21"/>
      <c r="AV265" s="21"/>
      <c r="AW265" s="21"/>
      <c r="AX265" s="21"/>
      <c r="AY265" s="21"/>
      <c r="AZ265" s="21"/>
      <c r="BA265" s="21"/>
      <c r="BB265" s="21"/>
      <c r="BC265" s="21"/>
      <c r="BD265" s="21"/>
      <c r="BE265" s="21"/>
      <c r="BF265" s="21"/>
      <c r="BG265" s="21"/>
      <c r="BH265" s="21"/>
      <c r="BI265" s="21"/>
      <c r="BJ265" s="21"/>
      <c r="BK265" s="21"/>
      <c r="BL265" s="21"/>
      <c r="BM265" s="21"/>
      <c r="BN265" s="21"/>
      <c r="BO265" s="21"/>
      <c r="BP265" s="21"/>
      <c r="BQ265" s="21"/>
      <c r="BR265" s="21"/>
      <c r="BS265" s="21"/>
      <c r="BT265" s="21"/>
      <c r="BU265" s="21"/>
      <c r="BV265" s="21"/>
      <c r="BW265" s="21"/>
      <c r="BX265" s="21"/>
      <c r="BY265" s="21"/>
      <c r="BZ265" s="21"/>
      <c r="CA265" s="21"/>
      <c r="CB265" s="21"/>
      <c r="CC265" s="21"/>
      <c r="CD265" s="21"/>
      <c r="CE265" s="21"/>
      <c r="CF265" s="21"/>
      <c r="CG265" s="21"/>
      <c r="CH265" s="21"/>
      <c r="CI265" s="21"/>
      <c r="CJ265" s="21"/>
      <c r="CK265" s="21"/>
      <c r="CL265" s="21"/>
      <c r="CM265" s="21"/>
      <c r="CN265" s="21"/>
      <c r="CO265" s="21"/>
      <c r="CP265" s="21"/>
      <c r="CQ265" s="21"/>
      <c r="CR265" s="21"/>
      <c r="CS265" s="21"/>
      <c r="CT265" s="21"/>
      <c r="CU265" s="21"/>
      <c r="CV265" s="21"/>
      <c r="CW265" s="21"/>
      <c r="CX265" s="21"/>
      <c r="CY265" s="21"/>
      <c r="CZ265" s="21"/>
      <c r="DA265" s="21"/>
      <c r="DB265" s="21"/>
      <c r="DC265" s="21"/>
      <c r="DD265" s="21"/>
      <c r="DE265" s="21"/>
      <c r="DF265" s="21"/>
      <c r="DG265" s="21"/>
      <c r="DH265" s="21"/>
      <c r="DI265" s="21"/>
      <c r="DJ265" s="21"/>
      <c r="DK265" s="21"/>
      <c r="DL265" s="21"/>
      <c r="DM265" s="21"/>
      <c r="DN265" s="21"/>
      <c r="DO265" s="21"/>
      <c r="DP265" s="21"/>
      <c r="DQ265" s="21"/>
      <c r="DR265" s="21"/>
      <c r="DS265" s="21"/>
      <c r="DT265" s="21"/>
      <c r="DU265" s="21"/>
      <c r="DV265" s="21"/>
      <c r="DW265" s="21"/>
      <c r="DX265" s="21"/>
      <c r="DY265" s="21"/>
      <c r="DZ265" s="87"/>
      <c r="EA265" s="87"/>
      <c r="EB265" s="87"/>
      <c r="EC265" s="21"/>
      <c r="ED265" s="21"/>
      <c r="EE265" s="21"/>
      <c r="EF265" s="21"/>
      <c r="EG265" s="21"/>
      <c r="EH265" s="21"/>
      <c r="EI265" s="21"/>
      <c r="EJ265" s="21"/>
      <c r="EK265" s="21"/>
      <c r="EL265" s="21"/>
      <c r="EM265" s="21"/>
      <c r="EN265" s="21"/>
      <c r="EO265" s="21"/>
      <c r="EP265" s="21"/>
      <c r="EQ265" s="21"/>
      <c r="ER265" s="21"/>
      <c r="ES265" s="21"/>
      <c r="ET265" s="21"/>
      <c r="EU265" s="21"/>
      <c r="EV265" s="21"/>
      <c r="EW265" s="21"/>
      <c r="EX265" s="21"/>
      <c r="EY265" s="21"/>
      <c r="EZ265" s="21"/>
      <c r="FA265" s="21"/>
      <c r="FB265" s="21"/>
      <c r="FC265" s="21"/>
      <c r="FD265" s="21"/>
      <c r="FE265" s="21"/>
      <c r="FF265" s="21"/>
      <c r="FG265" s="21"/>
      <c r="FH265" s="21"/>
      <c r="FI265" s="21"/>
      <c r="FJ265" s="21"/>
      <c r="FK265" s="21"/>
      <c r="FL265" s="21"/>
      <c r="FM265" s="21"/>
      <c r="FN265" s="21"/>
      <c r="FO265" s="21"/>
      <c r="FP265" s="21"/>
      <c r="FQ265" s="21"/>
      <c r="FR265" s="21"/>
      <c r="FS265" s="21"/>
      <c r="FT265" s="21"/>
      <c r="FU265" s="21"/>
      <c r="FV265" s="21"/>
      <c r="FW265" s="21"/>
      <c r="FX265" s="21"/>
      <c r="FY265" s="21"/>
      <c r="FZ265" s="21"/>
      <c r="GA265" s="21"/>
      <c r="GB265" s="21"/>
      <c r="GC265" s="21"/>
      <c r="GD265" s="21"/>
      <c r="GE265" s="21"/>
      <c r="GF265" s="21"/>
      <c r="GG265" s="21"/>
      <c r="GH265" s="21"/>
      <c r="GI265" s="21"/>
      <c r="GJ265" s="21"/>
      <c r="GK265" s="21"/>
      <c r="GL265" s="21"/>
      <c r="GM265" s="21"/>
      <c r="GN265" s="21"/>
      <c r="GO265" s="21"/>
      <c r="GP265" s="21"/>
      <c r="GQ265" s="21"/>
      <c r="GR265" s="21"/>
      <c r="GS265" s="21"/>
      <c r="GT265" s="21"/>
      <c r="GU265" s="21"/>
      <c r="GV265" s="21"/>
      <c r="GW265" s="21"/>
      <c r="GX265" s="21"/>
      <c r="GY265" s="21"/>
      <c r="GZ265" s="21"/>
      <c r="HA265" s="21"/>
      <c r="HB265" s="21"/>
      <c r="HC265" s="21"/>
      <c r="HD265" s="21"/>
      <c r="HE265" s="21"/>
      <c r="HF265" s="21"/>
      <c r="HG265" s="21"/>
      <c r="HH265" s="21"/>
      <c r="HI265" s="21"/>
      <c r="HJ265" s="21"/>
      <c r="HK265" s="21"/>
      <c r="HL265" s="21"/>
      <c r="HM265" s="21"/>
      <c r="HN265" s="21"/>
      <c r="HO265" s="21"/>
      <c r="HP265" s="21"/>
      <c r="HQ265" s="21"/>
      <c r="HR265" s="21"/>
      <c r="HS265" s="21"/>
      <c r="HT265" s="21"/>
      <c r="HU265" s="21"/>
      <c r="HV265" s="186"/>
      <c r="HW265" s="21"/>
      <c r="HX265" s="21"/>
      <c r="HY265" s="21"/>
      <c r="HZ265" s="21"/>
      <c r="IA265" s="21"/>
      <c r="IB265" s="21"/>
      <c r="IC265" s="21"/>
      <c r="ID265" s="21"/>
      <c r="IE265" s="21"/>
      <c r="IF265" s="21"/>
      <c r="IG265" s="21"/>
      <c r="IH265" s="21"/>
      <c r="II265" s="21"/>
      <c r="IJ265" s="21"/>
      <c r="IK265" s="21"/>
      <c r="IL265" s="21"/>
      <c r="IM265" s="21"/>
      <c r="IN265" s="21"/>
      <c r="IO265" s="21"/>
      <c r="IP265" s="21"/>
      <c r="IQ265" s="21"/>
      <c r="IR265" s="21"/>
      <c r="IS265" s="21"/>
      <c r="IT265" s="21"/>
      <c r="IU265" s="21"/>
      <c r="IV265" s="21"/>
      <c r="IW265" s="21"/>
      <c r="IX265" s="21"/>
      <c r="IY265" s="21"/>
      <c r="IZ265" s="21"/>
      <c r="JA265" s="21"/>
      <c r="JB265" s="21"/>
      <c r="JC265" s="21"/>
      <c r="JD265" s="21"/>
      <c r="JE265" s="21"/>
      <c r="JF265" s="21"/>
      <c r="JG265" s="21"/>
      <c r="JH265" s="21"/>
      <c r="JI265" s="21"/>
      <c r="JJ265" s="21"/>
      <c r="JK265" s="21"/>
      <c r="JL265" s="21"/>
      <c r="JM265" s="21"/>
      <c r="JN265" s="21"/>
      <c r="JO265" s="21"/>
      <c r="JP265" s="21"/>
      <c r="JQ265" s="21"/>
      <c r="JR265" s="21"/>
      <c r="JS265" s="21"/>
      <c r="JT265" s="21"/>
      <c r="JU265" s="21"/>
      <c r="JV265" s="21"/>
      <c r="JW265" s="21"/>
      <c r="JX265" s="21"/>
      <c r="JY265" s="21"/>
      <c r="JZ265" s="21"/>
      <c r="KA265" s="21"/>
      <c r="KB265" s="21"/>
      <c r="KC265" s="21"/>
      <c r="KD265" s="21"/>
      <c r="KE265" s="21"/>
      <c r="KF265" s="21"/>
      <c r="KG265" s="21"/>
      <c r="KH265" s="21"/>
    </row>
    <row r="266" spans="1:294" x14ac:dyDescent="0.25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21"/>
      <c r="W266" s="21"/>
      <c r="X266" s="21"/>
      <c r="Y266" s="21"/>
      <c r="Z266" s="21"/>
      <c r="AA266" s="21"/>
      <c r="AB266" s="21"/>
      <c r="AC266" s="21"/>
      <c r="AD266" s="21"/>
      <c r="AE266" s="21"/>
      <c r="AF266" s="21"/>
      <c r="AG266" s="21"/>
      <c r="AH266" s="21"/>
      <c r="AI266" s="21"/>
      <c r="AJ266" s="21"/>
      <c r="AK266" s="21"/>
      <c r="AL266" s="21"/>
      <c r="AM266" s="21"/>
      <c r="AN266" s="21"/>
      <c r="AO266" s="21"/>
      <c r="AP266" s="21"/>
      <c r="AQ266" s="21"/>
      <c r="AR266" s="21"/>
      <c r="AS266" s="21"/>
      <c r="AT266" s="21"/>
      <c r="AU266" s="21"/>
      <c r="AV266" s="21"/>
      <c r="AW266" s="21"/>
      <c r="AX266" s="21"/>
      <c r="AY266" s="21"/>
      <c r="AZ266" s="21"/>
      <c r="BA266" s="21"/>
      <c r="BB266" s="21"/>
      <c r="BC266" s="21"/>
      <c r="BD266" s="21"/>
      <c r="BE266" s="21"/>
      <c r="BF266" s="21"/>
      <c r="BG266" s="21"/>
      <c r="BH266" s="21"/>
      <c r="BI266" s="21"/>
      <c r="BJ266" s="21"/>
      <c r="BK266" s="21"/>
      <c r="BL266" s="21"/>
      <c r="BM266" s="21"/>
      <c r="BN266" s="21"/>
      <c r="BO266" s="21"/>
      <c r="BP266" s="21"/>
      <c r="BQ266" s="21"/>
      <c r="BR266" s="21"/>
      <c r="BS266" s="21"/>
      <c r="BT266" s="21"/>
      <c r="BU266" s="21"/>
      <c r="BV266" s="21"/>
      <c r="BW266" s="21"/>
      <c r="BX266" s="21"/>
      <c r="BY266" s="21"/>
      <c r="BZ266" s="21"/>
      <c r="CA266" s="21"/>
      <c r="CB266" s="21"/>
      <c r="CC266" s="21"/>
      <c r="CD266" s="21"/>
      <c r="CE266" s="21"/>
      <c r="CF266" s="21"/>
      <c r="CG266" s="21"/>
      <c r="CH266" s="21"/>
      <c r="CI266" s="21"/>
      <c r="CJ266" s="21"/>
      <c r="CK266" s="21"/>
      <c r="CL266" s="21"/>
      <c r="CM266" s="21"/>
      <c r="CN266" s="21"/>
      <c r="CO266" s="21"/>
      <c r="CP266" s="21"/>
      <c r="CQ266" s="21"/>
      <c r="CR266" s="21"/>
      <c r="CS266" s="21"/>
      <c r="CT266" s="21"/>
      <c r="CU266" s="21"/>
      <c r="CV266" s="21"/>
      <c r="CW266" s="21"/>
      <c r="CX266" s="21"/>
      <c r="CY266" s="21"/>
      <c r="CZ266" s="21"/>
      <c r="DA266" s="21"/>
      <c r="DB266" s="21"/>
      <c r="DC266" s="21"/>
      <c r="DD266" s="21"/>
      <c r="DE266" s="21"/>
      <c r="DF266" s="21"/>
      <c r="DG266" s="21"/>
      <c r="DH266" s="21"/>
      <c r="DI266" s="21"/>
      <c r="DJ266" s="21"/>
      <c r="DK266" s="21"/>
      <c r="DL266" s="21"/>
      <c r="DM266" s="21"/>
      <c r="DN266" s="21"/>
      <c r="DO266" s="21"/>
      <c r="DP266" s="21"/>
      <c r="DQ266" s="21"/>
      <c r="DR266" s="21"/>
      <c r="DS266" s="21"/>
      <c r="DT266" s="21"/>
      <c r="DU266" s="21"/>
      <c r="DV266" s="21"/>
      <c r="DW266" s="21"/>
      <c r="DX266" s="21"/>
      <c r="DY266" s="21"/>
      <c r="DZ266" s="87"/>
      <c r="EA266" s="87"/>
      <c r="EB266" s="87"/>
      <c r="EC266" s="21"/>
      <c r="ED266" s="21"/>
      <c r="EE266" s="21"/>
      <c r="EF266" s="21"/>
      <c r="EG266" s="21"/>
      <c r="EH266" s="21"/>
      <c r="EI266" s="21"/>
      <c r="EJ266" s="21"/>
      <c r="EK266" s="21"/>
      <c r="EL266" s="21"/>
      <c r="EM266" s="21"/>
      <c r="EN266" s="21"/>
      <c r="EO266" s="21"/>
      <c r="EP266" s="21"/>
      <c r="EQ266" s="21"/>
      <c r="ER266" s="21"/>
      <c r="ES266" s="21"/>
      <c r="ET266" s="21"/>
      <c r="EU266" s="21"/>
      <c r="EV266" s="21"/>
      <c r="EW266" s="21"/>
      <c r="EX266" s="21"/>
      <c r="EY266" s="21"/>
      <c r="EZ266" s="21"/>
      <c r="FA266" s="21"/>
      <c r="FB266" s="21"/>
      <c r="FC266" s="21"/>
      <c r="FD266" s="21"/>
      <c r="FE266" s="21"/>
      <c r="FF266" s="21"/>
      <c r="FG266" s="21"/>
      <c r="FH266" s="21"/>
      <c r="FI266" s="21"/>
      <c r="FJ266" s="21"/>
      <c r="FK266" s="21"/>
      <c r="FL266" s="21"/>
      <c r="FM266" s="21"/>
      <c r="FN266" s="21"/>
      <c r="FO266" s="21"/>
      <c r="FP266" s="21"/>
      <c r="FQ266" s="21"/>
      <c r="FR266" s="21"/>
      <c r="FS266" s="21"/>
      <c r="FT266" s="21"/>
      <c r="FU266" s="21"/>
      <c r="FV266" s="21"/>
      <c r="FW266" s="21"/>
      <c r="FX266" s="21"/>
      <c r="FY266" s="21"/>
      <c r="FZ266" s="21"/>
      <c r="GA266" s="21"/>
      <c r="GB266" s="21"/>
      <c r="GC266" s="21"/>
      <c r="GD266" s="21"/>
      <c r="GE266" s="21"/>
      <c r="GF266" s="21"/>
      <c r="GG266" s="21"/>
      <c r="GH266" s="21"/>
      <c r="GI266" s="21"/>
      <c r="GJ266" s="21"/>
      <c r="GK266" s="21"/>
      <c r="GL266" s="21"/>
      <c r="GM266" s="21"/>
      <c r="GN266" s="21"/>
      <c r="GO266" s="21"/>
      <c r="GP266" s="21"/>
      <c r="GQ266" s="21"/>
      <c r="GR266" s="21"/>
      <c r="GS266" s="21"/>
      <c r="GT266" s="21"/>
      <c r="GU266" s="21"/>
      <c r="GV266" s="21"/>
      <c r="GW266" s="21"/>
      <c r="GX266" s="21"/>
      <c r="GY266" s="21"/>
      <c r="GZ266" s="21"/>
      <c r="HA266" s="21"/>
      <c r="HB266" s="21"/>
      <c r="HC266" s="21"/>
      <c r="HD266" s="21"/>
      <c r="HE266" s="21"/>
      <c r="HF266" s="21"/>
      <c r="HG266" s="21"/>
      <c r="HH266" s="21"/>
      <c r="HI266" s="21"/>
      <c r="HJ266" s="21"/>
      <c r="HK266" s="21"/>
      <c r="HL266" s="21"/>
      <c r="HM266" s="21"/>
      <c r="HN266" s="21"/>
      <c r="HO266" s="21"/>
      <c r="HP266" s="21"/>
      <c r="HQ266" s="21"/>
      <c r="HR266" s="21"/>
      <c r="HS266" s="21"/>
      <c r="HT266" s="21"/>
      <c r="HU266" s="21"/>
      <c r="HV266" s="186"/>
      <c r="HW266" s="21"/>
      <c r="HX266" s="21"/>
      <c r="HY266" s="21"/>
      <c r="HZ266" s="21"/>
      <c r="IA266" s="21"/>
      <c r="IB266" s="21"/>
      <c r="IC266" s="21"/>
      <c r="ID266" s="21"/>
      <c r="IE266" s="21"/>
      <c r="IF266" s="21"/>
      <c r="IG266" s="21"/>
      <c r="IH266" s="21"/>
      <c r="II266" s="21"/>
      <c r="IJ266" s="21"/>
      <c r="IK266" s="21"/>
      <c r="IL266" s="21"/>
      <c r="IM266" s="21"/>
      <c r="IN266" s="21"/>
      <c r="IO266" s="21"/>
      <c r="IP266" s="21"/>
      <c r="IQ266" s="21"/>
      <c r="IR266" s="21"/>
      <c r="IS266" s="21"/>
      <c r="IT266" s="21"/>
      <c r="IU266" s="21"/>
      <c r="IV266" s="21"/>
      <c r="IW266" s="21"/>
      <c r="IX266" s="21"/>
      <c r="IY266" s="21"/>
      <c r="IZ266" s="21"/>
      <c r="JA266" s="21"/>
      <c r="JB266" s="21"/>
      <c r="JC266" s="21"/>
      <c r="JD266" s="21"/>
      <c r="JE266" s="21"/>
      <c r="JF266" s="21"/>
      <c r="JG266" s="21"/>
      <c r="JH266" s="21"/>
      <c r="JI266" s="21"/>
      <c r="JJ266" s="21"/>
      <c r="JK266" s="21"/>
      <c r="JL266" s="21"/>
      <c r="JM266" s="21"/>
      <c r="JN266" s="21"/>
      <c r="JO266" s="21"/>
      <c r="JP266" s="21"/>
      <c r="JQ266" s="21"/>
      <c r="JR266" s="21"/>
      <c r="JS266" s="21"/>
      <c r="JT266" s="21"/>
      <c r="JU266" s="21"/>
      <c r="JV266" s="21"/>
      <c r="JW266" s="21"/>
      <c r="JX266" s="21"/>
      <c r="JY266" s="21"/>
      <c r="JZ266" s="21"/>
      <c r="KA266" s="21"/>
      <c r="KB266" s="21"/>
      <c r="KC266" s="21"/>
      <c r="KD266" s="21"/>
      <c r="KE266" s="21"/>
      <c r="KF266" s="21"/>
      <c r="KG266" s="21"/>
      <c r="KH266" s="21"/>
    </row>
    <row r="267" spans="1:294" x14ac:dyDescent="0.25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21"/>
      <c r="W267" s="21"/>
      <c r="X267" s="21"/>
      <c r="Y267" s="21"/>
      <c r="Z267" s="21"/>
      <c r="AA267" s="21"/>
      <c r="AB267" s="21"/>
      <c r="AC267" s="21"/>
      <c r="AD267" s="21"/>
      <c r="AE267" s="21"/>
      <c r="AF267" s="21"/>
      <c r="AG267" s="21"/>
      <c r="AH267" s="21"/>
      <c r="AI267" s="21"/>
      <c r="AJ267" s="21"/>
      <c r="AK267" s="21"/>
      <c r="AL267" s="21"/>
      <c r="AM267" s="21"/>
      <c r="AN267" s="21"/>
      <c r="AO267" s="21"/>
      <c r="AP267" s="21"/>
      <c r="AQ267" s="21"/>
      <c r="AR267" s="21"/>
      <c r="AS267" s="21"/>
      <c r="AT267" s="21"/>
      <c r="AU267" s="21"/>
      <c r="AV267" s="21"/>
      <c r="AW267" s="21"/>
      <c r="AX267" s="21"/>
      <c r="AY267" s="21"/>
      <c r="AZ267" s="21"/>
      <c r="BA267" s="21"/>
      <c r="BB267" s="21"/>
      <c r="BC267" s="21"/>
      <c r="BD267" s="21"/>
      <c r="BE267" s="21"/>
      <c r="BF267" s="21"/>
      <c r="BG267" s="21"/>
      <c r="BH267" s="21"/>
      <c r="BI267" s="21"/>
      <c r="BJ267" s="21"/>
      <c r="BK267" s="21"/>
      <c r="BL267" s="21"/>
      <c r="BM267" s="21"/>
      <c r="BN267" s="21"/>
      <c r="BO267" s="21"/>
      <c r="BP267" s="21"/>
      <c r="BQ267" s="21"/>
      <c r="BR267" s="21"/>
      <c r="BS267" s="21"/>
      <c r="BT267" s="21"/>
      <c r="BU267" s="21"/>
      <c r="BV267" s="21"/>
      <c r="BW267" s="21"/>
      <c r="BX267" s="21"/>
      <c r="BY267" s="21"/>
      <c r="BZ267" s="21"/>
      <c r="CA267" s="21"/>
      <c r="CB267" s="21"/>
      <c r="CC267" s="21"/>
      <c r="CD267" s="21"/>
      <c r="CE267" s="21"/>
      <c r="CF267" s="21"/>
      <c r="CG267" s="21"/>
      <c r="CH267" s="21"/>
      <c r="CI267" s="21"/>
      <c r="CJ267" s="21"/>
      <c r="CK267" s="21"/>
      <c r="CL267" s="21"/>
      <c r="CM267" s="21"/>
      <c r="CN267" s="21"/>
      <c r="CO267" s="21"/>
      <c r="CP267" s="21"/>
      <c r="CQ267" s="21"/>
      <c r="CR267" s="21"/>
      <c r="CS267" s="21"/>
      <c r="CT267" s="21"/>
      <c r="CU267" s="21"/>
      <c r="CV267" s="21"/>
      <c r="CW267" s="21"/>
      <c r="CX267" s="21"/>
      <c r="CY267" s="21"/>
      <c r="CZ267" s="21"/>
      <c r="DA267" s="21"/>
      <c r="DB267" s="21"/>
      <c r="DC267" s="21"/>
      <c r="DD267" s="21"/>
      <c r="DE267" s="21"/>
      <c r="DF267" s="21"/>
      <c r="DG267" s="21"/>
      <c r="DH267" s="21"/>
      <c r="DI267" s="21"/>
      <c r="DJ267" s="21"/>
      <c r="DK267" s="21"/>
      <c r="DL267" s="21"/>
      <c r="DM267" s="21"/>
      <c r="DN267" s="21"/>
      <c r="DO267" s="21"/>
      <c r="DP267" s="21"/>
      <c r="DQ267" s="21"/>
      <c r="DR267" s="21"/>
      <c r="DS267" s="21"/>
      <c r="DT267" s="21"/>
      <c r="DU267" s="21"/>
      <c r="DV267" s="21"/>
      <c r="DW267" s="21"/>
      <c r="DX267" s="21"/>
      <c r="DY267" s="21"/>
      <c r="DZ267" s="87"/>
      <c r="EA267" s="87"/>
      <c r="EB267" s="87"/>
      <c r="EC267" s="21"/>
      <c r="ED267" s="21"/>
      <c r="EE267" s="21"/>
      <c r="EF267" s="21"/>
      <c r="EG267" s="21"/>
      <c r="EH267" s="21"/>
      <c r="EI267" s="21"/>
      <c r="EJ267" s="21"/>
      <c r="EK267" s="21"/>
      <c r="EL267" s="21"/>
      <c r="EM267" s="21"/>
      <c r="EN267" s="21"/>
      <c r="EO267" s="21"/>
      <c r="EP267" s="21"/>
      <c r="EQ267" s="21"/>
      <c r="ER267" s="21"/>
      <c r="ES267" s="21"/>
      <c r="ET267" s="21"/>
      <c r="EU267" s="21"/>
      <c r="EV267" s="21"/>
      <c r="EW267" s="21"/>
      <c r="EX267" s="21"/>
      <c r="EY267" s="21"/>
      <c r="EZ267" s="21"/>
      <c r="FA267" s="21"/>
      <c r="FB267" s="21"/>
      <c r="FC267" s="21"/>
      <c r="FD267" s="21"/>
      <c r="FE267" s="21"/>
      <c r="FF267" s="21"/>
      <c r="FG267" s="21"/>
      <c r="FH267" s="21"/>
      <c r="FI267" s="21"/>
      <c r="FJ267" s="21"/>
      <c r="FK267" s="21"/>
      <c r="FL267" s="21"/>
      <c r="FM267" s="21"/>
      <c r="FN267" s="21"/>
      <c r="FO267" s="21"/>
      <c r="FP267" s="21"/>
      <c r="FQ267" s="21"/>
      <c r="FR267" s="21"/>
      <c r="FS267" s="21"/>
      <c r="FT267" s="21"/>
      <c r="FU267" s="21"/>
      <c r="FV267" s="21"/>
      <c r="FW267" s="21"/>
      <c r="FX267" s="21"/>
      <c r="FY267" s="21"/>
      <c r="FZ267" s="21"/>
      <c r="GA267" s="21"/>
      <c r="GB267" s="21"/>
      <c r="GC267" s="21"/>
      <c r="GD267" s="21"/>
      <c r="GE267" s="21"/>
      <c r="GF267" s="21"/>
      <c r="GG267" s="21"/>
      <c r="GH267" s="21"/>
      <c r="GI267" s="21"/>
      <c r="GJ267" s="21"/>
      <c r="GK267" s="21"/>
      <c r="GL267" s="21"/>
      <c r="GM267" s="21"/>
      <c r="GN267" s="21"/>
      <c r="GO267" s="21"/>
      <c r="GP267" s="21"/>
      <c r="GQ267" s="21"/>
      <c r="GR267" s="21"/>
      <c r="GS267" s="21"/>
      <c r="GT267" s="21"/>
      <c r="GU267" s="21"/>
      <c r="GV267" s="21"/>
      <c r="GW267" s="21"/>
      <c r="GX267" s="21"/>
      <c r="GY267" s="21"/>
      <c r="GZ267" s="21"/>
      <c r="HA267" s="21"/>
      <c r="HB267" s="21"/>
      <c r="HC267" s="21"/>
      <c r="HD267" s="21"/>
      <c r="HE267" s="21"/>
      <c r="HF267" s="21"/>
      <c r="HG267" s="21"/>
      <c r="HH267" s="21"/>
      <c r="HI267" s="21"/>
      <c r="HJ267" s="21"/>
      <c r="HK267" s="21"/>
      <c r="HL267" s="21"/>
      <c r="HM267" s="21"/>
      <c r="HN267" s="21"/>
      <c r="HO267" s="21"/>
      <c r="HP267" s="21"/>
      <c r="HQ267" s="21"/>
      <c r="HR267" s="21"/>
      <c r="HS267" s="21"/>
      <c r="HT267" s="21"/>
      <c r="HU267" s="21"/>
      <c r="HV267" s="186"/>
      <c r="HW267" s="21"/>
      <c r="HX267" s="21"/>
      <c r="HY267" s="21"/>
      <c r="HZ267" s="21"/>
      <c r="IA267" s="21"/>
      <c r="IB267" s="21"/>
      <c r="IC267" s="21"/>
      <c r="ID267" s="21"/>
      <c r="IE267" s="21"/>
      <c r="IF267" s="21"/>
      <c r="IG267" s="21"/>
      <c r="IH267" s="21"/>
      <c r="II267" s="21"/>
      <c r="IJ267" s="21"/>
      <c r="IK267" s="21"/>
      <c r="IL267" s="21"/>
      <c r="IM267" s="21"/>
      <c r="IN267" s="21"/>
      <c r="IO267" s="21"/>
      <c r="IP267" s="21"/>
      <c r="IQ267" s="21"/>
      <c r="IR267" s="21"/>
      <c r="IS267" s="21"/>
      <c r="IT267" s="21"/>
      <c r="IU267" s="21"/>
      <c r="IV267" s="21"/>
      <c r="IW267" s="21"/>
      <c r="IX267" s="21"/>
      <c r="IY267" s="21"/>
      <c r="IZ267" s="21"/>
      <c r="JA267" s="21"/>
      <c r="JB267" s="21"/>
      <c r="JC267" s="21"/>
      <c r="JD267" s="21"/>
      <c r="JE267" s="21"/>
      <c r="JF267" s="21"/>
      <c r="JG267" s="21"/>
      <c r="JH267" s="21"/>
      <c r="JI267" s="21"/>
      <c r="JJ267" s="21"/>
      <c r="JK267" s="21"/>
      <c r="JL267" s="21"/>
      <c r="JM267" s="21"/>
      <c r="JN267" s="21"/>
      <c r="JO267" s="21"/>
      <c r="JP267" s="21"/>
      <c r="JQ267" s="21"/>
      <c r="JR267" s="21"/>
      <c r="JS267" s="21"/>
      <c r="JT267" s="21"/>
      <c r="JU267" s="21"/>
      <c r="JV267" s="21"/>
      <c r="JW267" s="21"/>
      <c r="JX267" s="21"/>
      <c r="JY267" s="21"/>
      <c r="JZ267" s="21"/>
      <c r="KA267" s="21"/>
      <c r="KB267" s="21"/>
      <c r="KC267" s="21"/>
      <c r="KD267" s="21"/>
      <c r="KE267" s="21"/>
      <c r="KF267" s="21"/>
      <c r="KG267" s="21"/>
      <c r="KH267" s="21"/>
    </row>
    <row r="268" spans="1:294" x14ac:dyDescent="0.25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21"/>
      <c r="W268" s="21"/>
      <c r="X268" s="21"/>
      <c r="Y268" s="21"/>
      <c r="Z268" s="21"/>
      <c r="AA268" s="21"/>
      <c r="AB268" s="21"/>
      <c r="AC268" s="21"/>
      <c r="AD268" s="21"/>
      <c r="AE268" s="21"/>
      <c r="AF268" s="21"/>
      <c r="AG268" s="21"/>
      <c r="AH268" s="21"/>
      <c r="AI268" s="21"/>
      <c r="AJ268" s="21"/>
      <c r="AK268" s="21"/>
      <c r="AL268" s="21"/>
      <c r="AM268" s="21"/>
      <c r="AN268" s="21"/>
      <c r="AO268" s="21"/>
      <c r="AP268" s="21"/>
      <c r="AQ268" s="21"/>
      <c r="AR268" s="21"/>
      <c r="AS268" s="21"/>
      <c r="AT268" s="21"/>
      <c r="AU268" s="21"/>
      <c r="AV268" s="21"/>
      <c r="AW268" s="21"/>
      <c r="AX268" s="21"/>
      <c r="AY268" s="21"/>
      <c r="AZ268" s="21"/>
      <c r="BA268" s="21"/>
      <c r="BB268" s="21"/>
      <c r="BC268" s="21"/>
      <c r="BD268" s="21"/>
      <c r="BE268" s="21"/>
      <c r="BF268" s="21"/>
      <c r="BG268" s="21"/>
      <c r="BH268" s="21"/>
      <c r="BI268" s="21"/>
      <c r="BJ268" s="21"/>
      <c r="BK268" s="21"/>
      <c r="BL268" s="21"/>
      <c r="BM268" s="21"/>
      <c r="BN268" s="21"/>
      <c r="BO268" s="21"/>
      <c r="BP268" s="21"/>
      <c r="BQ268" s="21"/>
      <c r="BR268" s="21"/>
      <c r="BS268" s="21"/>
      <c r="BT268" s="21"/>
      <c r="BU268" s="21"/>
      <c r="BV268" s="21"/>
      <c r="BW268" s="21"/>
      <c r="BX268" s="21"/>
      <c r="BY268" s="21"/>
      <c r="BZ268" s="21"/>
      <c r="CA268" s="21"/>
      <c r="CB268" s="21"/>
      <c r="CC268" s="21"/>
      <c r="CD268" s="21"/>
      <c r="CE268" s="21"/>
      <c r="CF268" s="21"/>
      <c r="CG268" s="21"/>
      <c r="CH268" s="21"/>
      <c r="CI268" s="21"/>
      <c r="CJ268" s="21"/>
      <c r="CK268" s="21"/>
      <c r="CL268" s="21"/>
      <c r="CM268" s="21"/>
      <c r="CN268" s="21"/>
      <c r="CO268" s="21"/>
      <c r="CP268" s="21"/>
      <c r="CQ268" s="21"/>
      <c r="CR268" s="21"/>
      <c r="CS268" s="21"/>
      <c r="CT268" s="21"/>
      <c r="CU268" s="21"/>
      <c r="CV268" s="21"/>
      <c r="CW268" s="21"/>
      <c r="CX268" s="21"/>
      <c r="CY268" s="21"/>
      <c r="CZ268" s="21"/>
      <c r="DA268" s="21"/>
      <c r="DB268" s="21"/>
      <c r="DC268" s="21"/>
      <c r="DD268" s="21"/>
      <c r="DE268" s="21"/>
      <c r="DF268" s="21"/>
      <c r="DG268" s="21"/>
      <c r="DH268" s="21"/>
      <c r="DI268" s="21"/>
      <c r="DJ268" s="21"/>
      <c r="DK268" s="21"/>
      <c r="DL268" s="21"/>
      <c r="DM268" s="21"/>
      <c r="DN268" s="21"/>
      <c r="DO268" s="21"/>
      <c r="DP268" s="21"/>
      <c r="DQ268" s="21"/>
      <c r="DR268" s="21"/>
      <c r="DS268" s="21"/>
      <c r="DT268" s="21"/>
      <c r="DU268" s="21"/>
      <c r="DV268" s="21"/>
      <c r="DW268" s="21"/>
      <c r="DX268" s="21"/>
      <c r="DY268" s="21"/>
      <c r="DZ268" s="87"/>
      <c r="EA268" s="87"/>
      <c r="EB268" s="87"/>
      <c r="EC268" s="21"/>
      <c r="ED268" s="21"/>
      <c r="EE268" s="21"/>
      <c r="EF268" s="21"/>
      <c r="EG268" s="21"/>
      <c r="EH268" s="21"/>
      <c r="EI268" s="21"/>
      <c r="EJ268" s="21"/>
      <c r="EK268" s="21"/>
      <c r="EL268" s="21"/>
      <c r="EM268" s="21"/>
      <c r="EN268" s="21"/>
      <c r="EO268" s="21"/>
      <c r="EP268" s="21"/>
      <c r="EQ268" s="21"/>
      <c r="ER268" s="21"/>
      <c r="ES268" s="21"/>
      <c r="ET268" s="21"/>
      <c r="EU268" s="21"/>
      <c r="EV268" s="21"/>
      <c r="EW268" s="21"/>
      <c r="EX268" s="21"/>
      <c r="EY268" s="21"/>
      <c r="EZ268" s="21"/>
      <c r="FA268" s="21"/>
      <c r="FB268" s="21"/>
      <c r="FC268" s="21"/>
      <c r="FD268" s="21"/>
      <c r="FE268" s="21"/>
      <c r="FF268" s="21"/>
      <c r="FG268" s="21"/>
      <c r="FH268" s="21"/>
      <c r="FI268" s="21"/>
      <c r="FJ268" s="21"/>
      <c r="FK268" s="21"/>
      <c r="FL268" s="21"/>
      <c r="FM268" s="21"/>
      <c r="FN268" s="21"/>
      <c r="FO268" s="21"/>
      <c r="FP268" s="21"/>
      <c r="FQ268" s="21"/>
      <c r="FR268" s="21"/>
      <c r="FS268" s="21"/>
      <c r="FT268" s="21"/>
      <c r="FU268" s="21"/>
      <c r="FV268" s="21"/>
      <c r="FW268" s="21"/>
      <c r="FX268" s="21"/>
      <c r="FY268" s="21"/>
      <c r="FZ268" s="21"/>
      <c r="GA268" s="21"/>
      <c r="GB268" s="21"/>
      <c r="GC268" s="21"/>
      <c r="GD268" s="21"/>
      <c r="GE268" s="21"/>
      <c r="GF268" s="21"/>
      <c r="GG268" s="21"/>
      <c r="GH268" s="21"/>
      <c r="GI268" s="21"/>
      <c r="GJ268" s="21"/>
      <c r="GK268" s="21"/>
      <c r="GL268" s="21"/>
      <c r="GM268" s="21"/>
      <c r="GN268" s="21"/>
      <c r="GO268" s="21"/>
      <c r="GP268" s="21"/>
      <c r="GQ268" s="21"/>
      <c r="GR268" s="21"/>
      <c r="GS268" s="21"/>
      <c r="GT268" s="21"/>
      <c r="GU268" s="21"/>
      <c r="GV268" s="21"/>
      <c r="GW268" s="21"/>
      <c r="GX268" s="21"/>
      <c r="GY268" s="21"/>
      <c r="GZ268" s="21"/>
      <c r="HA268" s="21"/>
      <c r="HB268" s="21"/>
      <c r="HC268" s="21"/>
      <c r="HD268" s="21"/>
      <c r="HE268" s="21"/>
      <c r="HF268" s="21"/>
      <c r="HG268" s="21"/>
      <c r="HH268" s="21"/>
      <c r="HI268" s="21"/>
      <c r="HJ268" s="21"/>
      <c r="HK268" s="21"/>
      <c r="HL268" s="21"/>
      <c r="HM268" s="21"/>
      <c r="HN268" s="21"/>
      <c r="HO268" s="21"/>
      <c r="HP268" s="21"/>
      <c r="HQ268" s="21"/>
      <c r="HR268" s="21"/>
      <c r="HS268" s="21"/>
      <c r="HT268" s="21"/>
      <c r="HU268" s="21"/>
      <c r="HV268" s="186"/>
      <c r="HW268" s="21"/>
      <c r="HX268" s="21"/>
      <c r="HY268" s="21"/>
      <c r="HZ268" s="21"/>
      <c r="IA268" s="21"/>
      <c r="IB268" s="21"/>
      <c r="IC268" s="21"/>
      <c r="ID268" s="21"/>
      <c r="IE268" s="21"/>
      <c r="IF268" s="21"/>
      <c r="IG268" s="21"/>
      <c r="IH268" s="21"/>
      <c r="II268" s="21"/>
      <c r="IJ268" s="21"/>
      <c r="IK268" s="21"/>
      <c r="IL268" s="21"/>
      <c r="IM268" s="21"/>
      <c r="IN268" s="21"/>
      <c r="IO268" s="21"/>
      <c r="IP268" s="21"/>
      <c r="IQ268" s="21"/>
      <c r="IR268" s="21"/>
      <c r="IS268" s="21"/>
      <c r="IT268" s="21"/>
      <c r="IU268" s="21"/>
      <c r="IV268" s="21"/>
      <c r="IW268" s="21"/>
      <c r="IX268" s="21"/>
      <c r="IY268" s="21"/>
      <c r="IZ268" s="21"/>
      <c r="JA268" s="21"/>
      <c r="JB268" s="21"/>
      <c r="JC268" s="21"/>
      <c r="JD268" s="21"/>
      <c r="JE268" s="21"/>
      <c r="JF268" s="21"/>
      <c r="JG268" s="21"/>
      <c r="JH268" s="21"/>
      <c r="JI268" s="21"/>
      <c r="JJ268" s="21"/>
      <c r="JK268" s="21"/>
      <c r="JL268" s="21"/>
      <c r="JM268" s="21"/>
      <c r="JN268" s="21"/>
      <c r="JO268" s="21"/>
      <c r="JP268" s="21"/>
      <c r="JQ268" s="21"/>
      <c r="JR268" s="21"/>
      <c r="JS268" s="21"/>
      <c r="JT268" s="21"/>
      <c r="JU268" s="21"/>
      <c r="JV268" s="21"/>
      <c r="JW268" s="21"/>
      <c r="JX268" s="21"/>
      <c r="JY268" s="21"/>
      <c r="JZ268" s="21"/>
      <c r="KA268" s="21"/>
      <c r="KB268" s="21"/>
      <c r="KC268" s="21"/>
      <c r="KD268" s="21"/>
      <c r="KE268" s="21"/>
      <c r="KF268" s="21"/>
      <c r="KG268" s="21"/>
      <c r="KH268" s="21"/>
    </row>
    <row r="269" spans="1:294" x14ac:dyDescent="0.25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21"/>
      <c r="W269" s="21"/>
      <c r="X269" s="21"/>
      <c r="Y269" s="21"/>
      <c r="Z269" s="21"/>
      <c r="AA269" s="21"/>
      <c r="AB269" s="21"/>
      <c r="AC269" s="21"/>
      <c r="AD269" s="21"/>
      <c r="AE269" s="21"/>
      <c r="AF269" s="21"/>
      <c r="AG269" s="21"/>
      <c r="AH269" s="21"/>
      <c r="AI269" s="21"/>
      <c r="AJ269" s="21"/>
      <c r="AK269" s="21"/>
      <c r="AL269" s="21"/>
      <c r="AM269" s="21"/>
      <c r="AN269" s="21"/>
      <c r="AO269" s="21"/>
      <c r="AP269" s="21"/>
      <c r="AQ269" s="21"/>
      <c r="AR269" s="21"/>
      <c r="AS269" s="21"/>
      <c r="AT269" s="21"/>
      <c r="AU269" s="21"/>
      <c r="AV269" s="21"/>
      <c r="AW269" s="21"/>
      <c r="AX269" s="21"/>
      <c r="AY269" s="21"/>
      <c r="AZ269" s="21"/>
      <c r="BA269" s="21"/>
      <c r="BB269" s="21"/>
      <c r="BC269" s="21"/>
      <c r="BD269" s="21"/>
      <c r="BE269" s="21"/>
      <c r="BF269" s="21"/>
      <c r="BG269" s="21"/>
      <c r="BH269" s="21"/>
      <c r="BI269" s="21"/>
      <c r="BJ269" s="21"/>
      <c r="BK269" s="21"/>
      <c r="BL269" s="21"/>
      <c r="BM269" s="21"/>
      <c r="BN269" s="21"/>
      <c r="BO269" s="21"/>
      <c r="BP269" s="21"/>
      <c r="BQ269" s="21"/>
      <c r="BR269" s="21"/>
      <c r="BS269" s="21"/>
      <c r="BT269" s="21"/>
      <c r="BU269" s="21"/>
      <c r="BV269" s="21"/>
      <c r="BW269" s="21"/>
      <c r="BX269" s="21"/>
      <c r="BY269" s="21"/>
      <c r="BZ269" s="21"/>
      <c r="CA269" s="21"/>
      <c r="CB269" s="21"/>
      <c r="CC269" s="21"/>
      <c r="CD269" s="21"/>
      <c r="CE269" s="21"/>
      <c r="CF269" s="21"/>
      <c r="CG269" s="21"/>
      <c r="CH269" s="21"/>
      <c r="CI269" s="21"/>
      <c r="CJ269" s="21"/>
      <c r="CK269" s="21"/>
      <c r="CL269" s="21"/>
      <c r="CM269" s="21"/>
      <c r="CN269" s="21"/>
      <c r="CO269" s="21"/>
      <c r="CP269" s="21"/>
      <c r="CQ269" s="21"/>
      <c r="CR269" s="21"/>
      <c r="CS269" s="21"/>
      <c r="CT269" s="21"/>
      <c r="CU269" s="21"/>
      <c r="CV269" s="21"/>
      <c r="CW269" s="21"/>
      <c r="CX269" s="21"/>
      <c r="CY269" s="21"/>
      <c r="CZ269" s="21"/>
      <c r="DA269" s="21"/>
      <c r="DB269" s="21"/>
      <c r="DC269" s="21"/>
      <c r="DD269" s="21"/>
      <c r="DE269" s="21"/>
      <c r="DF269" s="21"/>
      <c r="DG269" s="21"/>
      <c r="DH269" s="21"/>
      <c r="DI269" s="21"/>
      <c r="DJ269" s="21"/>
      <c r="DK269" s="21"/>
      <c r="DL269" s="21"/>
      <c r="DM269" s="21"/>
      <c r="DN269" s="21"/>
      <c r="DO269" s="21"/>
      <c r="DP269" s="21"/>
      <c r="DQ269" s="21"/>
      <c r="DR269" s="21"/>
      <c r="DS269" s="21"/>
      <c r="DT269" s="21"/>
      <c r="DU269" s="21"/>
      <c r="DV269" s="21"/>
      <c r="DW269" s="21"/>
      <c r="DX269" s="21"/>
      <c r="DY269" s="21"/>
      <c r="DZ269" s="87"/>
      <c r="EA269" s="87"/>
      <c r="EB269" s="87"/>
      <c r="EC269" s="21"/>
      <c r="ED269" s="21"/>
      <c r="EE269" s="21"/>
      <c r="EF269" s="21"/>
      <c r="EG269" s="21"/>
      <c r="EH269" s="21"/>
      <c r="EI269" s="21"/>
      <c r="EJ269" s="21"/>
      <c r="EK269" s="21"/>
      <c r="EL269" s="21"/>
      <c r="EM269" s="21"/>
      <c r="EN269" s="21"/>
      <c r="EO269" s="21"/>
      <c r="EP269" s="21"/>
      <c r="EQ269" s="21"/>
      <c r="ER269" s="21"/>
      <c r="ES269" s="21"/>
      <c r="ET269" s="21"/>
      <c r="EU269" s="21"/>
      <c r="EV269" s="21"/>
      <c r="EW269" s="21"/>
      <c r="EX269" s="21"/>
      <c r="EY269" s="21"/>
      <c r="EZ269" s="21"/>
      <c r="FA269" s="21"/>
      <c r="FB269" s="21"/>
      <c r="FC269" s="21"/>
      <c r="FD269" s="21"/>
      <c r="FE269" s="21"/>
      <c r="FF269" s="21"/>
      <c r="FG269" s="21"/>
      <c r="FH269" s="21"/>
      <c r="FI269" s="21"/>
      <c r="FJ269" s="21"/>
      <c r="FK269" s="21"/>
      <c r="FL269" s="21"/>
      <c r="FM269" s="21"/>
      <c r="FN269" s="21"/>
      <c r="FO269" s="21"/>
      <c r="FP269" s="21"/>
      <c r="FQ269" s="21"/>
      <c r="FR269" s="21"/>
      <c r="FS269" s="21"/>
      <c r="FT269" s="21"/>
      <c r="FU269" s="21"/>
      <c r="FV269" s="21"/>
      <c r="FW269" s="21"/>
      <c r="FX269" s="21"/>
      <c r="FY269" s="21"/>
      <c r="FZ269" s="21"/>
      <c r="GA269" s="21"/>
      <c r="GB269" s="21"/>
      <c r="GC269" s="21"/>
      <c r="GD269" s="21"/>
      <c r="GE269" s="21"/>
      <c r="GF269" s="21"/>
      <c r="GG269" s="21"/>
      <c r="GH269" s="21"/>
      <c r="GI269" s="21"/>
      <c r="GJ269" s="21"/>
      <c r="GK269" s="21"/>
      <c r="GL269" s="21"/>
      <c r="GM269" s="21"/>
      <c r="GN269" s="21"/>
      <c r="GO269" s="21"/>
      <c r="GP269" s="21"/>
      <c r="GQ269" s="21"/>
      <c r="GR269" s="21"/>
      <c r="GS269" s="21"/>
      <c r="GT269" s="21"/>
      <c r="GU269" s="21"/>
      <c r="GV269" s="21"/>
      <c r="GW269" s="21"/>
      <c r="GX269" s="21"/>
      <c r="GY269" s="21"/>
      <c r="GZ269" s="21"/>
      <c r="HA269" s="21"/>
      <c r="HB269" s="21"/>
      <c r="HC269" s="21"/>
      <c r="HD269" s="21"/>
      <c r="HE269" s="21"/>
      <c r="HF269" s="21"/>
      <c r="HG269" s="21"/>
      <c r="HH269" s="21"/>
      <c r="HI269" s="21"/>
      <c r="HJ269" s="21"/>
      <c r="HK269" s="21"/>
      <c r="HL269" s="21"/>
      <c r="HM269" s="21"/>
      <c r="HN269" s="21"/>
      <c r="HO269" s="21"/>
      <c r="HP269" s="21"/>
      <c r="HQ269" s="21"/>
      <c r="HR269" s="21"/>
      <c r="HS269" s="21"/>
      <c r="HT269" s="21"/>
      <c r="HU269" s="21"/>
      <c r="HV269" s="186"/>
      <c r="HW269" s="21"/>
      <c r="HX269" s="21"/>
      <c r="HY269" s="21"/>
      <c r="HZ269" s="21"/>
      <c r="IA269" s="21"/>
      <c r="IB269" s="21"/>
      <c r="IC269" s="21"/>
      <c r="ID269" s="21"/>
      <c r="IE269" s="21"/>
      <c r="IF269" s="21"/>
      <c r="IG269" s="21"/>
      <c r="IH269" s="21"/>
      <c r="II269" s="21"/>
      <c r="IJ269" s="21"/>
      <c r="IK269" s="21"/>
      <c r="IL269" s="21"/>
      <c r="IM269" s="21"/>
      <c r="IN269" s="21"/>
      <c r="IO269" s="21"/>
      <c r="IP269" s="21"/>
      <c r="IQ269" s="21"/>
      <c r="IR269" s="21"/>
      <c r="IS269" s="21"/>
      <c r="IT269" s="21"/>
      <c r="IU269" s="21"/>
      <c r="IV269" s="21"/>
      <c r="IW269" s="21"/>
      <c r="IX269" s="21"/>
      <c r="IY269" s="21"/>
      <c r="IZ269" s="21"/>
      <c r="JA269" s="21"/>
      <c r="JB269" s="21"/>
      <c r="JC269" s="21"/>
      <c r="JD269" s="21"/>
      <c r="JE269" s="21"/>
      <c r="JF269" s="21"/>
      <c r="JG269" s="21"/>
      <c r="JH269" s="21"/>
      <c r="JI269" s="21"/>
      <c r="JJ269" s="21"/>
      <c r="JK269" s="21"/>
      <c r="JL269" s="21"/>
      <c r="JM269" s="21"/>
      <c r="JN269" s="21"/>
      <c r="JO269" s="21"/>
      <c r="JP269" s="21"/>
      <c r="JQ269" s="21"/>
      <c r="JR269" s="21"/>
      <c r="JS269" s="21"/>
      <c r="JT269" s="21"/>
      <c r="JU269" s="21"/>
      <c r="JV269" s="21"/>
      <c r="JW269" s="21"/>
      <c r="JX269" s="21"/>
      <c r="JY269" s="21"/>
      <c r="JZ269" s="21"/>
      <c r="KA269" s="21"/>
      <c r="KB269" s="21"/>
      <c r="KC269" s="21"/>
      <c r="KD269" s="21"/>
      <c r="KE269" s="21"/>
      <c r="KF269" s="21"/>
      <c r="KG269" s="21"/>
      <c r="KH269" s="21"/>
    </row>
    <row r="270" spans="1:294" x14ac:dyDescent="0.25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21"/>
      <c r="W270" s="21"/>
      <c r="X270" s="21"/>
      <c r="Y270" s="21"/>
      <c r="Z270" s="21"/>
      <c r="AA270" s="21"/>
      <c r="AB270" s="21"/>
      <c r="AC270" s="21"/>
      <c r="AD270" s="21"/>
      <c r="AE270" s="21"/>
      <c r="AF270" s="21"/>
      <c r="AG270" s="21"/>
      <c r="AH270" s="21"/>
      <c r="AI270" s="21"/>
      <c r="AJ270" s="21"/>
      <c r="AK270" s="21"/>
      <c r="AL270" s="21"/>
      <c r="AM270" s="21"/>
      <c r="AN270" s="21"/>
      <c r="AO270" s="21"/>
      <c r="AP270" s="21"/>
      <c r="AQ270" s="21"/>
      <c r="AR270" s="21"/>
      <c r="AS270" s="21"/>
      <c r="AT270" s="21"/>
      <c r="AU270" s="21"/>
      <c r="AV270" s="21"/>
      <c r="AW270" s="21"/>
      <c r="AX270" s="21"/>
      <c r="AY270" s="21"/>
      <c r="AZ270" s="21"/>
      <c r="BA270" s="21"/>
      <c r="BB270" s="21"/>
      <c r="BC270" s="21"/>
      <c r="BD270" s="21"/>
      <c r="BE270" s="21"/>
      <c r="BF270" s="21"/>
      <c r="BG270" s="21"/>
      <c r="BH270" s="21"/>
      <c r="BI270" s="21"/>
      <c r="BJ270" s="21"/>
      <c r="BK270" s="21"/>
      <c r="BL270" s="21"/>
      <c r="BM270" s="21"/>
      <c r="BN270" s="21"/>
      <c r="BO270" s="21"/>
      <c r="BP270" s="21"/>
      <c r="BQ270" s="21"/>
      <c r="BR270" s="21"/>
      <c r="BS270" s="21"/>
      <c r="BT270" s="21"/>
      <c r="BU270" s="21"/>
      <c r="BV270" s="21"/>
      <c r="BW270" s="21"/>
      <c r="BX270" s="21"/>
      <c r="BY270" s="21"/>
      <c r="BZ270" s="21"/>
      <c r="CA270" s="21"/>
      <c r="CB270" s="21"/>
      <c r="CC270" s="21"/>
      <c r="CD270" s="21"/>
      <c r="CE270" s="21"/>
      <c r="CF270" s="21"/>
      <c r="CG270" s="21"/>
      <c r="CH270" s="21"/>
      <c r="CI270" s="21"/>
      <c r="CJ270" s="21"/>
      <c r="CK270" s="21"/>
      <c r="CL270" s="21"/>
      <c r="CM270" s="21"/>
      <c r="CN270" s="21"/>
      <c r="CO270" s="21"/>
      <c r="CP270" s="21"/>
      <c r="CQ270" s="21"/>
      <c r="CR270" s="21"/>
      <c r="CS270" s="21"/>
      <c r="CT270" s="21"/>
      <c r="CU270" s="21"/>
      <c r="CV270" s="21"/>
      <c r="CW270" s="21"/>
      <c r="CX270" s="21"/>
      <c r="CY270" s="21"/>
      <c r="CZ270" s="21"/>
      <c r="DA270" s="21"/>
      <c r="DB270" s="21"/>
      <c r="DC270" s="21"/>
      <c r="DD270" s="21"/>
      <c r="DE270" s="21"/>
      <c r="DF270" s="21"/>
      <c r="DG270" s="21"/>
      <c r="DH270" s="21"/>
      <c r="DI270" s="21"/>
      <c r="DJ270" s="21"/>
      <c r="DK270" s="21"/>
      <c r="DL270" s="21"/>
      <c r="DM270" s="21"/>
      <c r="DN270" s="21"/>
      <c r="DO270" s="21"/>
      <c r="DP270" s="21"/>
      <c r="DQ270" s="21"/>
      <c r="DR270" s="21"/>
      <c r="DS270" s="21"/>
      <c r="DT270" s="21"/>
      <c r="DU270" s="21"/>
      <c r="DV270" s="21"/>
      <c r="DW270" s="21"/>
      <c r="DX270" s="21"/>
      <c r="DY270" s="21"/>
      <c r="DZ270" s="87"/>
      <c r="EA270" s="87"/>
      <c r="EB270" s="87"/>
      <c r="EC270" s="21"/>
      <c r="ED270" s="21"/>
      <c r="EE270" s="21"/>
      <c r="EF270" s="21"/>
      <c r="EG270" s="21"/>
      <c r="EH270" s="21"/>
      <c r="EI270" s="21"/>
      <c r="EJ270" s="21"/>
      <c r="EK270" s="21"/>
      <c r="EL270" s="21"/>
      <c r="EM270" s="21"/>
      <c r="EN270" s="21"/>
      <c r="EO270" s="21"/>
      <c r="EP270" s="21"/>
      <c r="EQ270" s="21"/>
      <c r="ER270" s="21"/>
      <c r="ES270" s="21"/>
      <c r="ET270" s="21"/>
      <c r="EU270" s="21"/>
      <c r="EV270" s="21"/>
      <c r="EW270" s="21"/>
      <c r="EX270" s="21"/>
      <c r="EY270" s="21"/>
      <c r="EZ270" s="21"/>
      <c r="FA270" s="21"/>
      <c r="FB270" s="21"/>
      <c r="FC270" s="21"/>
      <c r="FD270" s="21"/>
      <c r="FE270" s="21"/>
      <c r="FF270" s="21"/>
      <c r="FG270" s="21"/>
      <c r="FH270" s="21"/>
      <c r="FI270" s="21"/>
      <c r="FJ270" s="21"/>
      <c r="FK270" s="21"/>
      <c r="FL270" s="21"/>
      <c r="FM270" s="21"/>
      <c r="FN270" s="21"/>
      <c r="FO270" s="21"/>
      <c r="FP270" s="21"/>
      <c r="FQ270" s="21"/>
      <c r="FR270" s="21"/>
      <c r="FS270" s="21"/>
      <c r="FT270" s="21"/>
      <c r="FU270" s="21"/>
      <c r="FV270" s="21"/>
      <c r="FW270" s="21"/>
      <c r="FX270" s="21"/>
      <c r="FY270" s="21"/>
      <c r="FZ270" s="21"/>
      <c r="GA270" s="21"/>
      <c r="GB270" s="21"/>
      <c r="GC270" s="21"/>
      <c r="GD270" s="21"/>
      <c r="GE270" s="21"/>
      <c r="GF270" s="21"/>
      <c r="GG270" s="21"/>
      <c r="GH270" s="21"/>
      <c r="GI270" s="21"/>
      <c r="GJ270" s="21"/>
      <c r="GK270" s="21"/>
      <c r="GL270" s="21"/>
      <c r="GM270" s="21"/>
      <c r="GN270" s="21"/>
      <c r="GO270" s="21"/>
      <c r="GP270" s="21"/>
      <c r="GQ270" s="21"/>
      <c r="GR270" s="21"/>
      <c r="GS270" s="21"/>
      <c r="GT270" s="21"/>
      <c r="GU270" s="21"/>
      <c r="GV270" s="21"/>
      <c r="GW270" s="21"/>
      <c r="GX270" s="21"/>
      <c r="GY270" s="21"/>
      <c r="GZ270" s="21"/>
      <c r="HA270" s="21"/>
      <c r="HB270" s="21"/>
      <c r="HC270" s="21"/>
      <c r="HD270" s="21"/>
      <c r="HE270" s="21"/>
      <c r="HF270" s="21"/>
      <c r="HG270" s="21"/>
      <c r="HH270" s="21"/>
      <c r="HI270" s="21"/>
      <c r="HJ270" s="21"/>
      <c r="HK270" s="21"/>
      <c r="HL270" s="21"/>
      <c r="HM270" s="21"/>
      <c r="HN270" s="21"/>
      <c r="HO270" s="21"/>
      <c r="HP270" s="21"/>
      <c r="HQ270" s="21"/>
      <c r="HR270" s="21"/>
      <c r="HS270" s="21"/>
      <c r="HT270" s="21"/>
      <c r="HU270" s="21"/>
      <c r="HV270" s="186"/>
      <c r="HW270" s="21"/>
      <c r="HX270" s="21"/>
      <c r="HY270" s="21"/>
      <c r="HZ270" s="21"/>
      <c r="IA270" s="21"/>
      <c r="IB270" s="21"/>
      <c r="IC270" s="21"/>
      <c r="ID270" s="21"/>
      <c r="IE270" s="21"/>
      <c r="IF270" s="21"/>
      <c r="IG270" s="21"/>
      <c r="IH270" s="21"/>
      <c r="II270" s="21"/>
      <c r="IJ270" s="21"/>
      <c r="IK270" s="21"/>
      <c r="IL270" s="21"/>
      <c r="IM270" s="21"/>
      <c r="IN270" s="21"/>
      <c r="IO270" s="21"/>
      <c r="IP270" s="21"/>
      <c r="IQ270" s="21"/>
      <c r="IR270" s="21"/>
      <c r="IS270" s="21"/>
      <c r="IT270" s="21"/>
      <c r="IU270" s="21"/>
      <c r="IV270" s="21"/>
      <c r="IW270" s="21"/>
      <c r="IX270" s="21"/>
      <c r="IY270" s="21"/>
      <c r="IZ270" s="21"/>
      <c r="JA270" s="21"/>
      <c r="JB270" s="21"/>
      <c r="JC270" s="21"/>
      <c r="JD270" s="21"/>
      <c r="JE270" s="21"/>
      <c r="JF270" s="21"/>
      <c r="JG270" s="21"/>
      <c r="JH270" s="21"/>
      <c r="JI270" s="21"/>
      <c r="JJ270" s="21"/>
      <c r="JK270" s="21"/>
      <c r="JL270" s="21"/>
      <c r="JM270" s="21"/>
      <c r="JN270" s="21"/>
      <c r="JO270" s="21"/>
      <c r="JP270" s="21"/>
      <c r="JQ270" s="21"/>
      <c r="JR270" s="21"/>
      <c r="JS270" s="21"/>
      <c r="JT270" s="21"/>
      <c r="JU270" s="21"/>
      <c r="JV270" s="21"/>
      <c r="JW270" s="21"/>
      <c r="JX270" s="21"/>
      <c r="JY270" s="21"/>
      <c r="JZ270" s="21"/>
      <c r="KA270" s="21"/>
      <c r="KB270" s="21"/>
      <c r="KC270" s="21"/>
      <c r="KD270" s="21"/>
      <c r="KE270" s="21"/>
      <c r="KF270" s="21"/>
      <c r="KG270" s="21"/>
      <c r="KH270" s="21"/>
    </row>
    <row r="271" spans="1:294" x14ac:dyDescent="0.2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21"/>
      <c r="W271" s="21"/>
      <c r="X271" s="21"/>
      <c r="Y271" s="21"/>
      <c r="Z271" s="21"/>
      <c r="AA271" s="21"/>
      <c r="AB271" s="21"/>
      <c r="AC271" s="21"/>
      <c r="AD271" s="21"/>
      <c r="AE271" s="21"/>
      <c r="AF271" s="21"/>
      <c r="AG271" s="21"/>
      <c r="AH271" s="21"/>
      <c r="AI271" s="21"/>
      <c r="AJ271" s="21"/>
      <c r="AK271" s="21"/>
      <c r="AL271" s="21"/>
      <c r="AM271" s="21"/>
      <c r="AN271" s="21"/>
      <c r="AO271" s="21"/>
      <c r="AP271" s="21"/>
      <c r="AQ271" s="21"/>
      <c r="AR271" s="21"/>
      <c r="AS271" s="21"/>
      <c r="AT271" s="21"/>
      <c r="AU271" s="21"/>
      <c r="AV271" s="21"/>
      <c r="AW271" s="21"/>
      <c r="AX271" s="21"/>
      <c r="AY271" s="21"/>
      <c r="AZ271" s="21"/>
      <c r="BA271" s="21"/>
      <c r="BB271" s="21"/>
      <c r="BC271" s="21"/>
      <c r="BD271" s="21"/>
      <c r="BE271" s="21"/>
      <c r="BF271" s="21"/>
      <c r="BG271" s="21"/>
      <c r="BH271" s="21"/>
      <c r="BI271" s="21"/>
      <c r="BJ271" s="21"/>
      <c r="BK271" s="21"/>
      <c r="BL271" s="21"/>
      <c r="BM271" s="21"/>
      <c r="BN271" s="21"/>
      <c r="BO271" s="21"/>
      <c r="BP271" s="21"/>
      <c r="BQ271" s="21"/>
      <c r="BR271" s="21"/>
      <c r="BS271" s="21"/>
      <c r="BT271" s="21"/>
      <c r="BU271" s="21"/>
      <c r="BV271" s="21"/>
      <c r="BW271" s="21"/>
      <c r="BX271" s="21"/>
      <c r="BY271" s="21"/>
      <c r="BZ271" s="21"/>
      <c r="CA271" s="21"/>
      <c r="CB271" s="21"/>
      <c r="CC271" s="21"/>
      <c r="CD271" s="21"/>
      <c r="CE271" s="21"/>
      <c r="CF271" s="21"/>
      <c r="CG271" s="21"/>
      <c r="CH271" s="21"/>
      <c r="CI271" s="21"/>
      <c r="CJ271" s="21"/>
      <c r="CK271" s="21"/>
      <c r="CL271" s="21"/>
      <c r="CM271" s="21"/>
      <c r="CN271" s="21"/>
      <c r="CO271" s="21"/>
      <c r="CP271" s="21"/>
      <c r="CQ271" s="21"/>
      <c r="CR271" s="21"/>
      <c r="CS271" s="21"/>
      <c r="CT271" s="21"/>
      <c r="CU271" s="21"/>
      <c r="CV271" s="21"/>
      <c r="CW271" s="21"/>
      <c r="CX271" s="21"/>
      <c r="CY271" s="21"/>
      <c r="CZ271" s="21"/>
      <c r="DA271" s="21"/>
      <c r="DB271" s="21"/>
      <c r="DC271" s="21"/>
      <c r="DD271" s="21"/>
      <c r="DE271" s="21"/>
      <c r="DF271" s="21"/>
      <c r="DG271" s="21"/>
      <c r="DH271" s="21"/>
      <c r="DI271" s="21"/>
      <c r="DJ271" s="21"/>
      <c r="DK271" s="21"/>
      <c r="DL271" s="21"/>
      <c r="DM271" s="21"/>
      <c r="DN271" s="21"/>
      <c r="DO271" s="21"/>
      <c r="DP271" s="21"/>
      <c r="DQ271" s="21"/>
      <c r="DR271" s="21"/>
      <c r="DS271" s="21"/>
      <c r="DT271" s="21"/>
      <c r="DU271" s="21"/>
      <c r="DV271" s="21"/>
      <c r="DW271" s="21"/>
      <c r="DX271" s="21"/>
      <c r="DY271" s="21"/>
      <c r="DZ271" s="87"/>
      <c r="EA271" s="87"/>
      <c r="EB271" s="87"/>
      <c r="EC271" s="21"/>
      <c r="ED271" s="21"/>
      <c r="EE271" s="21"/>
      <c r="EF271" s="21"/>
      <c r="EG271" s="21"/>
      <c r="EH271" s="21"/>
      <c r="EI271" s="21"/>
      <c r="EJ271" s="21"/>
      <c r="EK271" s="21"/>
      <c r="EL271" s="21"/>
      <c r="EM271" s="21"/>
      <c r="EN271" s="21"/>
      <c r="EO271" s="21"/>
      <c r="EP271" s="21"/>
      <c r="EQ271" s="21"/>
      <c r="ER271" s="21"/>
      <c r="ES271" s="21"/>
      <c r="ET271" s="21"/>
      <c r="EU271" s="21"/>
      <c r="EV271" s="21"/>
      <c r="EW271" s="21"/>
      <c r="EX271" s="21"/>
      <c r="EY271" s="21"/>
      <c r="EZ271" s="21"/>
      <c r="FA271" s="21"/>
      <c r="FB271" s="21"/>
      <c r="FC271" s="21"/>
      <c r="FD271" s="21"/>
      <c r="FE271" s="21"/>
      <c r="FF271" s="21"/>
      <c r="FG271" s="21"/>
      <c r="FH271" s="21"/>
      <c r="FI271" s="21"/>
      <c r="FJ271" s="21"/>
      <c r="FK271" s="21"/>
      <c r="FL271" s="21"/>
      <c r="FM271" s="21"/>
      <c r="FN271" s="21"/>
      <c r="FO271" s="21"/>
      <c r="FP271" s="21"/>
      <c r="FQ271" s="21"/>
      <c r="FR271" s="21"/>
      <c r="FS271" s="21"/>
      <c r="FT271" s="21"/>
      <c r="FU271" s="21"/>
      <c r="FV271" s="21"/>
      <c r="FW271" s="21"/>
      <c r="FX271" s="21"/>
      <c r="FY271" s="21"/>
      <c r="FZ271" s="21"/>
      <c r="GA271" s="21"/>
      <c r="GB271" s="21"/>
      <c r="GC271" s="21"/>
      <c r="GD271" s="21"/>
      <c r="GE271" s="21"/>
      <c r="GF271" s="21"/>
      <c r="GG271" s="21"/>
      <c r="GH271" s="21"/>
      <c r="GI271" s="21"/>
      <c r="GJ271" s="21"/>
      <c r="GK271" s="21"/>
      <c r="GL271" s="21"/>
      <c r="GM271" s="21"/>
      <c r="GN271" s="21"/>
      <c r="GO271" s="21"/>
      <c r="GP271" s="21"/>
      <c r="GQ271" s="21"/>
      <c r="GR271" s="21"/>
      <c r="GS271" s="21"/>
      <c r="GT271" s="21"/>
      <c r="GU271" s="21"/>
      <c r="GV271" s="21"/>
      <c r="GW271" s="21"/>
      <c r="GX271" s="21"/>
      <c r="GY271" s="21"/>
      <c r="GZ271" s="21"/>
      <c r="HA271" s="21"/>
      <c r="HB271" s="21"/>
      <c r="HC271" s="21"/>
      <c r="HD271" s="21"/>
      <c r="HE271" s="21"/>
      <c r="HF271" s="21"/>
      <c r="HG271" s="21"/>
      <c r="HH271" s="21"/>
      <c r="HI271" s="21"/>
      <c r="HJ271" s="21"/>
      <c r="HK271" s="21"/>
      <c r="HL271" s="21"/>
      <c r="HM271" s="21"/>
      <c r="HN271" s="21"/>
      <c r="HO271" s="21"/>
      <c r="HP271" s="21"/>
      <c r="HQ271" s="21"/>
      <c r="HR271" s="21"/>
      <c r="HS271" s="21"/>
      <c r="HT271" s="21"/>
      <c r="HU271" s="21"/>
      <c r="HV271" s="186"/>
      <c r="HW271" s="21"/>
      <c r="HX271" s="21"/>
      <c r="HY271" s="21"/>
      <c r="HZ271" s="21"/>
      <c r="IA271" s="21"/>
      <c r="IB271" s="21"/>
      <c r="IC271" s="21"/>
      <c r="ID271" s="21"/>
      <c r="IE271" s="21"/>
      <c r="IF271" s="21"/>
      <c r="IG271" s="21"/>
      <c r="IH271" s="21"/>
      <c r="II271" s="21"/>
      <c r="IJ271" s="21"/>
      <c r="IK271" s="21"/>
      <c r="IL271" s="21"/>
      <c r="IM271" s="21"/>
      <c r="IN271" s="21"/>
      <c r="IO271" s="21"/>
      <c r="IP271" s="21"/>
      <c r="IQ271" s="21"/>
      <c r="IR271" s="21"/>
      <c r="IS271" s="21"/>
      <c r="IT271" s="21"/>
      <c r="IU271" s="21"/>
      <c r="IV271" s="21"/>
      <c r="IW271" s="21"/>
      <c r="IX271" s="21"/>
      <c r="IY271" s="21"/>
      <c r="IZ271" s="21"/>
      <c r="JA271" s="21"/>
      <c r="JB271" s="21"/>
      <c r="JC271" s="21"/>
      <c r="JD271" s="21"/>
      <c r="JE271" s="21"/>
      <c r="JF271" s="21"/>
      <c r="JG271" s="21"/>
      <c r="JH271" s="21"/>
      <c r="JI271" s="21"/>
      <c r="JJ271" s="21"/>
      <c r="JK271" s="21"/>
      <c r="JL271" s="21"/>
      <c r="JM271" s="21"/>
      <c r="JN271" s="21"/>
      <c r="JO271" s="21"/>
      <c r="JP271" s="21"/>
      <c r="JQ271" s="21"/>
      <c r="JR271" s="21"/>
      <c r="JS271" s="21"/>
      <c r="JT271" s="21"/>
      <c r="JU271" s="21"/>
      <c r="JV271" s="21"/>
      <c r="JW271" s="21"/>
      <c r="JX271" s="21"/>
      <c r="JY271" s="21"/>
      <c r="JZ271" s="21"/>
      <c r="KA271" s="21"/>
      <c r="KB271" s="21"/>
      <c r="KC271" s="21"/>
      <c r="KD271" s="21"/>
      <c r="KE271" s="21"/>
      <c r="KF271" s="21"/>
      <c r="KG271" s="21"/>
      <c r="KH271" s="21"/>
    </row>
    <row r="272" spans="1:294" x14ac:dyDescent="0.2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21"/>
      <c r="W272" s="21"/>
      <c r="X272" s="21"/>
      <c r="Y272" s="21"/>
      <c r="Z272" s="21"/>
      <c r="AA272" s="21"/>
      <c r="AB272" s="21"/>
      <c r="AC272" s="21"/>
      <c r="AD272" s="21"/>
      <c r="AE272" s="21"/>
      <c r="AF272" s="21"/>
      <c r="AG272" s="21"/>
      <c r="AH272" s="21"/>
      <c r="AI272" s="21"/>
      <c r="AJ272" s="21"/>
      <c r="AK272" s="21"/>
      <c r="AL272" s="21"/>
      <c r="AM272" s="21"/>
      <c r="AN272" s="21"/>
      <c r="AO272" s="21"/>
      <c r="AP272" s="21"/>
      <c r="AQ272" s="21"/>
      <c r="AR272" s="21"/>
      <c r="AS272" s="21"/>
      <c r="AT272" s="21"/>
      <c r="AU272" s="21"/>
      <c r="AV272" s="21"/>
      <c r="AW272" s="21"/>
      <c r="AX272" s="21"/>
      <c r="AY272" s="21"/>
      <c r="AZ272" s="21"/>
      <c r="BA272" s="21"/>
      <c r="BB272" s="21"/>
      <c r="BC272" s="21"/>
      <c r="BD272" s="21"/>
      <c r="BE272" s="21"/>
      <c r="BF272" s="21"/>
      <c r="BG272" s="21"/>
      <c r="BH272" s="21"/>
      <c r="BI272" s="21"/>
      <c r="BJ272" s="21"/>
      <c r="BK272" s="21"/>
      <c r="BL272" s="21"/>
      <c r="BM272" s="21"/>
      <c r="BN272" s="21"/>
      <c r="BO272" s="21"/>
      <c r="BP272" s="21"/>
      <c r="BQ272" s="21"/>
      <c r="BR272" s="21"/>
      <c r="BS272" s="21"/>
      <c r="BT272" s="21"/>
      <c r="BU272" s="21"/>
      <c r="BV272" s="21"/>
      <c r="BW272" s="21"/>
      <c r="BX272" s="21"/>
      <c r="BY272" s="21"/>
      <c r="BZ272" s="21"/>
      <c r="CA272" s="21"/>
      <c r="CB272" s="21"/>
      <c r="CC272" s="21"/>
      <c r="CD272" s="21"/>
      <c r="CE272" s="21"/>
      <c r="CF272" s="21"/>
      <c r="CG272" s="21"/>
      <c r="CH272" s="21"/>
      <c r="CI272" s="21"/>
      <c r="CJ272" s="21"/>
      <c r="CK272" s="21"/>
      <c r="CL272" s="21"/>
      <c r="CM272" s="21"/>
      <c r="CN272" s="21"/>
      <c r="CO272" s="21"/>
      <c r="CP272" s="21"/>
      <c r="CQ272" s="21"/>
      <c r="CR272" s="21"/>
      <c r="CS272" s="21"/>
      <c r="CT272" s="21"/>
      <c r="CU272" s="21"/>
      <c r="CV272" s="21"/>
      <c r="CW272" s="21"/>
      <c r="CX272" s="21"/>
      <c r="CY272" s="21"/>
      <c r="CZ272" s="21"/>
      <c r="DA272" s="21"/>
      <c r="DB272" s="21"/>
      <c r="DC272" s="21"/>
      <c r="DD272" s="21"/>
      <c r="DE272" s="21"/>
      <c r="DF272" s="21"/>
      <c r="DG272" s="21"/>
      <c r="DH272" s="21"/>
      <c r="DI272" s="21"/>
      <c r="DJ272" s="21"/>
      <c r="DK272" s="21"/>
      <c r="DL272" s="21"/>
      <c r="DM272" s="21"/>
      <c r="DN272" s="21"/>
      <c r="DO272" s="21"/>
      <c r="DP272" s="21"/>
      <c r="DQ272" s="21"/>
      <c r="DR272" s="21"/>
      <c r="DS272" s="21"/>
      <c r="DT272" s="21"/>
      <c r="DU272" s="21"/>
      <c r="DV272" s="21"/>
      <c r="DW272" s="21"/>
      <c r="DX272" s="21"/>
      <c r="DY272" s="21"/>
      <c r="DZ272" s="87"/>
      <c r="EA272" s="87"/>
      <c r="EB272" s="87"/>
      <c r="EC272" s="21"/>
      <c r="ED272" s="21"/>
      <c r="EE272" s="21"/>
      <c r="EF272" s="21"/>
      <c r="EG272" s="21"/>
      <c r="EH272" s="21"/>
      <c r="EI272" s="21"/>
      <c r="EJ272" s="21"/>
      <c r="EK272" s="21"/>
      <c r="EL272" s="21"/>
      <c r="EM272" s="21"/>
      <c r="EN272" s="21"/>
      <c r="EO272" s="21"/>
      <c r="EP272" s="21"/>
      <c r="EQ272" s="21"/>
      <c r="ER272" s="21"/>
      <c r="ES272" s="21"/>
      <c r="ET272" s="21"/>
      <c r="EU272" s="21"/>
      <c r="EV272" s="21"/>
      <c r="EW272" s="21"/>
      <c r="EX272" s="21"/>
      <c r="EY272" s="21"/>
      <c r="EZ272" s="21"/>
      <c r="FA272" s="21"/>
      <c r="FB272" s="21"/>
      <c r="FC272" s="21"/>
      <c r="FD272" s="21"/>
      <c r="FE272" s="21"/>
      <c r="FF272" s="21"/>
      <c r="FG272" s="21"/>
      <c r="FH272" s="21"/>
      <c r="FI272" s="21"/>
      <c r="FJ272" s="21"/>
      <c r="FK272" s="21"/>
      <c r="FL272" s="21"/>
      <c r="FM272" s="21"/>
      <c r="FN272" s="21"/>
      <c r="FO272" s="21"/>
      <c r="FP272" s="21"/>
      <c r="FQ272" s="21"/>
      <c r="FR272" s="21"/>
      <c r="FS272" s="21"/>
      <c r="FT272" s="21"/>
      <c r="FU272" s="21"/>
      <c r="FV272" s="21"/>
      <c r="FW272" s="21"/>
      <c r="FX272" s="21"/>
      <c r="FY272" s="21"/>
      <c r="FZ272" s="21"/>
      <c r="GA272" s="21"/>
      <c r="GB272" s="21"/>
      <c r="GC272" s="21"/>
      <c r="GD272" s="21"/>
      <c r="GE272" s="21"/>
      <c r="GF272" s="21"/>
      <c r="GG272" s="21"/>
      <c r="GH272" s="21"/>
      <c r="GI272" s="21"/>
      <c r="GJ272" s="21"/>
      <c r="GK272" s="21"/>
      <c r="GL272" s="21"/>
      <c r="GM272" s="21"/>
      <c r="GN272" s="21"/>
      <c r="GO272" s="21"/>
      <c r="GP272" s="21"/>
      <c r="GQ272" s="21"/>
      <c r="GR272" s="21"/>
      <c r="GS272" s="21"/>
      <c r="GT272" s="21"/>
      <c r="GU272" s="21"/>
      <c r="GV272" s="21"/>
      <c r="GW272" s="21"/>
      <c r="GX272" s="21"/>
      <c r="GY272" s="21"/>
      <c r="GZ272" s="21"/>
      <c r="HA272" s="21"/>
      <c r="HB272" s="21"/>
      <c r="HC272" s="21"/>
      <c r="HD272" s="21"/>
      <c r="HE272" s="21"/>
      <c r="HF272" s="21"/>
      <c r="HG272" s="21"/>
      <c r="HH272" s="21"/>
      <c r="HI272" s="21"/>
      <c r="HJ272" s="21"/>
      <c r="HK272" s="21"/>
      <c r="HL272" s="21"/>
      <c r="HM272" s="21"/>
      <c r="HN272" s="21"/>
      <c r="HO272" s="21"/>
      <c r="HP272" s="21"/>
      <c r="HQ272" s="21"/>
      <c r="HR272" s="21"/>
      <c r="HS272" s="21"/>
      <c r="HT272" s="21"/>
      <c r="HU272" s="21"/>
      <c r="HV272" s="186"/>
      <c r="HW272" s="21"/>
      <c r="HX272" s="21"/>
      <c r="HY272" s="21"/>
      <c r="HZ272" s="21"/>
      <c r="IA272" s="21"/>
      <c r="IB272" s="21"/>
      <c r="IC272" s="21"/>
      <c r="ID272" s="21"/>
      <c r="IE272" s="21"/>
      <c r="IF272" s="21"/>
      <c r="IG272" s="21"/>
      <c r="IH272" s="21"/>
      <c r="II272" s="21"/>
      <c r="IJ272" s="21"/>
      <c r="IK272" s="21"/>
      <c r="IL272" s="21"/>
      <c r="IM272" s="21"/>
      <c r="IN272" s="21"/>
      <c r="IO272" s="21"/>
      <c r="IP272" s="21"/>
      <c r="IQ272" s="21"/>
      <c r="IR272" s="21"/>
      <c r="IS272" s="21"/>
      <c r="IT272" s="21"/>
      <c r="IU272" s="21"/>
      <c r="IV272" s="21"/>
      <c r="IW272" s="21"/>
      <c r="IX272" s="21"/>
      <c r="IY272" s="21"/>
      <c r="IZ272" s="21"/>
      <c r="JA272" s="21"/>
      <c r="JB272" s="21"/>
      <c r="JC272" s="21"/>
      <c r="JD272" s="21"/>
      <c r="JE272" s="21"/>
      <c r="JF272" s="21"/>
      <c r="JG272" s="21"/>
      <c r="JH272" s="21"/>
      <c r="JI272" s="21"/>
      <c r="JJ272" s="21"/>
      <c r="JK272" s="21"/>
      <c r="JL272" s="21"/>
      <c r="JM272" s="21"/>
      <c r="JN272" s="21"/>
      <c r="JO272" s="21"/>
      <c r="JP272" s="21"/>
      <c r="JQ272" s="21"/>
      <c r="JR272" s="21"/>
      <c r="JS272" s="21"/>
      <c r="JT272" s="21"/>
      <c r="JU272" s="21"/>
      <c r="JV272" s="21"/>
      <c r="JW272" s="21"/>
      <c r="JX272" s="21"/>
      <c r="JY272" s="21"/>
      <c r="JZ272" s="21"/>
      <c r="KA272" s="21"/>
      <c r="KB272" s="21"/>
      <c r="KC272" s="21"/>
      <c r="KD272" s="21"/>
      <c r="KE272" s="21"/>
      <c r="KF272" s="21"/>
      <c r="KG272" s="21"/>
      <c r="KH272" s="21"/>
    </row>
    <row r="273" spans="1:294" x14ac:dyDescent="0.2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21"/>
      <c r="W273" s="21"/>
      <c r="X273" s="21"/>
      <c r="Y273" s="21"/>
      <c r="Z273" s="21"/>
      <c r="AA273" s="21"/>
      <c r="AB273" s="21"/>
      <c r="AC273" s="21"/>
      <c r="AD273" s="21"/>
      <c r="AE273" s="21"/>
      <c r="AF273" s="21"/>
      <c r="AG273" s="21"/>
      <c r="AH273" s="21"/>
      <c r="AI273" s="21"/>
      <c r="AJ273" s="21"/>
      <c r="AK273" s="21"/>
      <c r="AL273" s="21"/>
      <c r="AM273" s="21"/>
      <c r="AN273" s="21"/>
      <c r="AO273" s="21"/>
      <c r="AP273" s="21"/>
      <c r="AQ273" s="21"/>
      <c r="AR273" s="21"/>
      <c r="AS273" s="21"/>
      <c r="AT273" s="21"/>
      <c r="AU273" s="21"/>
      <c r="AV273" s="21"/>
      <c r="AW273" s="21"/>
      <c r="AX273" s="21"/>
      <c r="AY273" s="21"/>
      <c r="AZ273" s="21"/>
      <c r="BA273" s="21"/>
      <c r="BB273" s="21"/>
      <c r="BC273" s="21"/>
      <c r="BD273" s="21"/>
      <c r="BE273" s="21"/>
      <c r="BF273" s="21"/>
      <c r="BG273" s="21"/>
      <c r="BH273" s="21"/>
      <c r="BI273" s="21"/>
      <c r="BJ273" s="21"/>
      <c r="BK273" s="21"/>
      <c r="BL273" s="21"/>
      <c r="BM273" s="21"/>
      <c r="BN273" s="21"/>
      <c r="BO273" s="21"/>
      <c r="BP273" s="21"/>
      <c r="BQ273" s="21"/>
      <c r="BR273" s="21"/>
      <c r="BS273" s="21"/>
      <c r="BT273" s="21"/>
      <c r="BU273" s="21"/>
      <c r="BV273" s="21"/>
      <c r="BW273" s="21"/>
      <c r="BX273" s="21"/>
      <c r="BY273" s="21"/>
      <c r="BZ273" s="21"/>
      <c r="CA273" s="21"/>
      <c r="CB273" s="21"/>
      <c r="CC273" s="21"/>
      <c r="CD273" s="21"/>
      <c r="CE273" s="21"/>
      <c r="CF273" s="21"/>
      <c r="CG273" s="21"/>
      <c r="CH273" s="21"/>
      <c r="CI273" s="21"/>
      <c r="CJ273" s="21"/>
      <c r="CK273" s="21"/>
      <c r="CL273" s="21"/>
      <c r="CM273" s="21"/>
      <c r="CN273" s="21"/>
      <c r="CO273" s="21"/>
      <c r="CP273" s="21"/>
      <c r="CQ273" s="21"/>
      <c r="CR273" s="21"/>
      <c r="CS273" s="21"/>
      <c r="CT273" s="21"/>
      <c r="CU273" s="21"/>
      <c r="CV273" s="21"/>
      <c r="CW273" s="21"/>
      <c r="CX273" s="21"/>
      <c r="CY273" s="21"/>
      <c r="CZ273" s="21"/>
      <c r="DA273" s="21"/>
      <c r="DB273" s="21"/>
      <c r="DC273" s="21"/>
      <c r="DD273" s="21"/>
      <c r="DE273" s="21"/>
      <c r="DF273" s="21"/>
      <c r="DG273" s="21"/>
      <c r="DH273" s="21"/>
      <c r="DI273" s="21"/>
      <c r="DJ273" s="21"/>
      <c r="DK273" s="21"/>
      <c r="DL273" s="21"/>
      <c r="DM273" s="21"/>
      <c r="DN273" s="21"/>
      <c r="DO273" s="21"/>
      <c r="DP273" s="21"/>
      <c r="DQ273" s="21"/>
      <c r="DR273" s="21"/>
      <c r="DS273" s="21"/>
      <c r="DT273" s="21"/>
      <c r="DU273" s="21"/>
      <c r="DV273" s="21"/>
      <c r="DW273" s="21"/>
      <c r="DX273" s="21"/>
      <c r="DY273" s="21"/>
      <c r="DZ273" s="87"/>
      <c r="EA273" s="87"/>
      <c r="EB273" s="87"/>
      <c r="EC273" s="21"/>
      <c r="ED273" s="21"/>
      <c r="EE273" s="21"/>
      <c r="EF273" s="21"/>
      <c r="EG273" s="21"/>
      <c r="EH273" s="21"/>
      <c r="EI273" s="21"/>
      <c r="EJ273" s="21"/>
      <c r="EK273" s="21"/>
      <c r="EL273" s="21"/>
      <c r="EM273" s="21"/>
      <c r="EN273" s="21"/>
      <c r="EO273" s="21"/>
      <c r="EP273" s="21"/>
      <c r="EQ273" s="21"/>
      <c r="ER273" s="21"/>
      <c r="ES273" s="21"/>
      <c r="ET273" s="21"/>
      <c r="EU273" s="21"/>
      <c r="EV273" s="21"/>
      <c r="EW273" s="21"/>
      <c r="EX273" s="21"/>
      <c r="EY273" s="21"/>
      <c r="EZ273" s="21"/>
      <c r="FA273" s="21"/>
      <c r="FB273" s="21"/>
      <c r="FC273" s="21"/>
      <c r="FD273" s="21"/>
      <c r="FE273" s="21"/>
      <c r="FF273" s="21"/>
      <c r="FG273" s="21"/>
      <c r="FH273" s="21"/>
      <c r="FI273" s="21"/>
      <c r="FJ273" s="21"/>
      <c r="FK273" s="21"/>
      <c r="FL273" s="21"/>
      <c r="FM273" s="21"/>
      <c r="FN273" s="21"/>
      <c r="FO273" s="21"/>
      <c r="FP273" s="21"/>
      <c r="FQ273" s="21"/>
      <c r="FR273" s="21"/>
      <c r="FS273" s="21"/>
      <c r="FT273" s="21"/>
      <c r="FU273" s="21"/>
      <c r="FV273" s="21"/>
      <c r="FW273" s="21"/>
      <c r="FX273" s="21"/>
      <c r="FY273" s="21"/>
      <c r="FZ273" s="21"/>
      <c r="GA273" s="21"/>
      <c r="GB273" s="21"/>
      <c r="GC273" s="21"/>
      <c r="GD273" s="21"/>
      <c r="GE273" s="21"/>
      <c r="GF273" s="21"/>
      <c r="GG273" s="21"/>
      <c r="GH273" s="21"/>
      <c r="GI273" s="21"/>
      <c r="GJ273" s="21"/>
      <c r="GK273" s="21"/>
      <c r="GL273" s="21"/>
      <c r="GM273" s="21"/>
      <c r="GN273" s="21"/>
      <c r="GO273" s="21"/>
      <c r="GP273" s="21"/>
      <c r="GQ273" s="21"/>
      <c r="GR273" s="21"/>
      <c r="GS273" s="21"/>
      <c r="GT273" s="21"/>
      <c r="GU273" s="21"/>
      <c r="GV273" s="21"/>
      <c r="GW273" s="21"/>
      <c r="GX273" s="21"/>
      <c r="GY273" s="21"/>
      <c r="GZ273" s="21"/>
      <c r="HA273" s="21"/>
      <c r="HB273" s="21"/>
      <c r="HC273" s="21"/>
      <c r="HD273" s="21"/>
      <c r="HE273" s="21"/>
      <c r="HF273" s="21"/>
      <c r="HG273" s="21"/>
      <c r="HH273" s="21"/>
      <c r="HI273" s="21"/>
      <c r="HJ273" s="21"/>
      <c r="HK273" s="21"/>
      <c r="HL273" s="21"/>
      <c r="HM273" s="21"/>
      <c r="HN273" s="21"/>
      <c r="HO273" s="21"/>
      <c r="HP273" s="21"/>
      <c r="HQ273" s="21"/>
      <c r="HR273" s="21"/>
      <c r="HS273" s="21"/>
      <c r="HT273" s="21"/>
      <c r="HU273" s="21"/>
      <c r="HV273" s="186"/>
      <c r="HW273" s="21"/>
      <c r="HX273" s="21"/>
      <c r="HY273" s="21"/>
      <c r="HZ273" s="21"/>
      <c r="IA273" s="21"/>
      <c r="IB273" s="21"/>
      <c r="IC273" s="21"/>
      <c r="ID273" s="21"/>
      <c r="IE273" s="21"/>
      <c r="IF273" s="21"/>
      <c r="IG273" s="21"/>
      <c r="IH273" s="21"/>
      <c r="II273" s="21"/>
      <c r="IJ273" s="21"/>
      <c r="IK273" s="21"/>
      <c r="IL273" s="21"/>
      <c r="IM273" s="21"/>
      <c r="IN273" s="21"/>
      <c r="IO273" s="21"/>
      <c r="IP273" s="21"/>
      <c r="IQ273" s="21"/>
      <c r="IR273" s="21"/>
      <c r="IS273" s="21"/>
      <c r="IT273" s="21"/>
      <c r="IU273" s="21"/>
      <c r="IV273" s="21"/>
      <c r="IW273" s="21"/>
      <c r="IX273" s="21"/>
      <c r="IY273" s="21"/>
      <c r="IZ273" s="21"/>
      <c r="JA273" s="21"/>
      <c r="JB273" s="21"/>
      <c r="JC273" s="21"/>
      <c r="JD273" s="21"/>
      <c r="JE273" s="21"/>
      <c r="JF273" s="21"/>
      <c r="JG273" s="21"/>
      <c r="JH273" s="21"/>
      <c r="JI273" s="21"/>
      <c r="JJ273" s="21"/>
      <c r="JK273" s="21"/>
      <c r="JL273" s="21"/>
      <c r="JM273" s="21"/>
      <c r="JN273" s="21"/>
      <c r="JO273" s="21"/>
      <c r="JP273" s="21"/>
      <c r="JQ273" s="21"/>
      <c r="JR273" s="21"/>
      <c r="JS273" s="21"/>
      <c r="JT273" s="21"/>
      <c r="JU273" s="21"/>
      <c r="JV273" s="21"/>
      <c r="JW273" s="21"/>
      <c r="JX273" s="21"/>
      <c r="JY273" s="21"/>
      <c r="JZ273" s="21"/>
      <c r="KA273" s="21"/>
      <c r="KB273" s="21"/>
      <c r="KC273" s="21"/>
      <c r="KD273" s="21"/>
      <c r="KE273" s="21"/>
      <c r="KF273" s="21"/>
      <c r="KG273" s="21"/>
      <c r="KH273" s="21"/>
    </row>
    <row r="274" spans="1:294" x14ac:dyDescent="0.2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21"/>
      <c r="W274" s="21"/>
      <c r="X274" s="21"/>
      <c r="Y274" s="21"/>
      <c r="Z274" s="21"/>
      <c r="AA274" s="21"/>
      <c r="AB274" s="21"/>
      <c r="AC274" s="21"/>
      <c r="AD274" s="21"/>
      <c r="AE274" s="21"/>
      <c r="AF274" s="21"/>
      <c r="AG274" s="21"/>
      <c r="AH274" s="21"/>
      <c r="AI274" s="21"/>
      <c r="AJ274" s="21"/>
      <c r="AK274" s="21"/>
      <c r="AL274" s="21"/>
      <c r="AM274" s="21"/>
      <c r="AN274" s="21"/>
      <c r="AO274" s="21"/>
      <c r="AP274" s="21"/>
      <c r="AQ274" s="21"/>
      <c r="AR274" s="21"/>
      <c r="AS274" s="21"/>
      <c r="AT274" s="21"/>
      <c r="AU274" s="21"/>
      <c r="AV274" s="21"/>
      <c r="AW274" s="21"/>
      <c r="AX274" s="21"/>
      <c r="AY274" s="21"/>
      <c r="AZ274" s="21"/>
      <c r="BA274" s="21"/>
      <c r="BB274" s="21"/>
      <c r="BC274" s="21"/>
      <c r="BD274" s="21"/>
      <c r="BE274" s="21"/>
      <c r="BF274" s="21"/>
      <c r="BG274" s="21"/>
      <c r="BH274" s="21"/>
      <c r="BI274" s="21"/>
      <c r="BJ274" s="21"/>
      <c r="BK274" s="21"/>
      <c r="BL274" s="21"/>
      <c r="BM274" s="21"/>
      <c r="BN274" s="21"/>
      <c r="BO274" s="21"/>
      <c r="BP274" s="21"/>
      <c r="BQ274" s="21"/>
      <c r="BR274" s="21"/>
      <c r="BS274" s="21"/>
      <c r="BT274" s="21"/>
      <c r="BU274" s="21"/>
      <c r="BV274" s="21"/>
      <c r="BW274" s="21"/>
      <c r="BX274" s="21"/>
      <c r="BY274" s="21"/>
      <c r="BZ274" s="21"/>
      <c r="CA274" s="21"/>
      <c r="CB274" s="21"/>
      <c r="CC274" s="21"/>
      <c r="CD274" s="21"/>
      <c r="CE274" s="21"/>
      <c r="CF274" s="21"/>
      <c r="CG274" s="21"/>
      <c r="CH274" s="21"/>
      <c r="CI274" s="21"/>
      <c r="CJ274" s="21"/>
      <c r="CK274" s="21"/>
      <c r="CL274" s="21"/>
      <c r="CM274" s="21"/>
      <c r="CN274" s="21"/>
      <c r="CO274" s="21"/>
      <c r="CP274" s="21"/>
      <c r="CQ274" s="21"/>
      <c r="CR274" s="21"/>
      <c r="CS274" s="21"/>
      <c r="CT274" s="21"/>
      <c r="CU274" s="21"/>
      <c r="CV274" s="21"/>
      <c r="CW274" s="21"/>
      <c r="CX274" s="21"/>
      <c r="CY274" s="21"/>
      <c r="CZ274" s="21"/>
      <c r="DA274" s="21"/>
      <c r="DB274" s="21"/>
      <c r="DC274" s="21"/>
      <c r="DD274" s="21"/>
      <c r="DE274" s="21"/>
      <c r="DF274" s="21"/>
      <c r="DG274" s="21"/>
      <c r="DH274" s="21"/>
      <c r="DI274" s="21"/>
      <c r="DJ274" s="21"/>
      <c r="DK274" s="21"/>
      <c r="DL274" s="21"/>
      <c r="DM274" s="21"/>
      <c r="DN274" s="21"/>
      <c r="DO274" s="21"/>
      <c r="DP274" s="21"/>
      <c r="DQ274" s="21"/>
      <c r="DR274" s="21"/>
      <c r="DS274" s="21"/>
      <c r="DT274" s="21"/>
      <c r="DU274" s="21"/>
      <c r="DV274" s="21"/>
      <c r="DW274" s="21"/>
      <c r="DX274" s="21"/>
      <c r="DY274" s="21"/>
      <c r="DZ274" s="87"/>
      <c r="EA274" s="87"/>
      <c r="EB274" s="87"/>
      <c r="EC274" s="21"/>
      <c r="ED274" s="21"/>
      <c r="EE274" s="21"/>
      <c r="EF274" s="21"/>
      <c r="EG274" s="21"/>
      <c r="EH274" s="21"/>
      <c r="EI274" s="21"/>
      <c r="EJ274" s="21"/>
      <c r="EK274" s="21"/>
      <c r="EL274" s="21"/>
      <c r="EM274" s="21"/>
      <c r="EN274" s="21"/>
      <c r="EO274" s="21"/>
      <c r="EP274" s="21"/>
      <c r="EQ274" s="21"/>
      <c r="ER274" s="21"/>
      <c r="ES274" s="21"/>
      <c r="ET274" s="21"/>
      <c r="EU274" s="21"/>
      <c r="EV274" s="21"/>
      <c r="EW274" s="21"/>
      <c r="EX274" s="21"/>
      <c r="EY274" s="21"/>
      <c r="EZ274" s="21"/>
      <c r="FA274" s="21"/>
      <c r="FB274" s="21"/>
      <c r="FC274" s="21"/>
      <c r="FD274" s="21"/>
      <c r="FE274" s="21"/>
      <c r="FF274" s="21"/>
      <c r="FG274" s="21"/>
      <c r="FH274" s="21"/>
      <c r="FI274" s="21"/>
      <c r="FJ274" s="21"/>
      <c r="FK274" s="21"/>
      <c r="FL274" s="21"/>
      <c r="FM274" s="21"/>
      <c r="FN274" s="21"/>
      <c r="FO274" s="21"/>
      <c r="FP274" s="21"/>
      <c r="FQ274" s="21"/>
      <c r="FR274" s="21"/>
      <c r="FS274" s="21"/>
      <c r="FT274" s="21"/>
      <c r="FU274" s="21"/>
      <c r="FV274" s="21"/>
      <c r="FW274" s="21"/>
      <c r="FX274" s="21"/>
      <c r="FY274" s="21"/>
      <c r="FZ274" s="21"/>
      <c r="GA274" s="21"/>
      <c r="GB274" s="21"/>
      <c r="GC274" s="21"/>
      <c r="GD274" s="21"/>
      <c r="GE274" s="21"/>
      <c r="GF274" s="21"/>
      <c r="GG274" s="21"/>
      <c r="GH274" s="21"/>
      <c r="GI274" s="21"/>
      <c r="GJ274" s="21"/>
      <c r="GK274" s="21"/>
      <c r="GL274" s="21"/>
      <c r="GM274" s="21"/>
      <c r="GN274" s="21"/>
      <c r="GO274" s="21"/>
      <c r="GP274" s="21"/>
      <c r="GQ274" s="21"/>
      <c r="GR274" s="21"/>
      <c r="GS274" s="21"/>
      <c r="GT274" s="21"/>
      <c r="GU274" s="21"/>
      <c r="GV274" s="21"/>
      <c r="GW274" s="21"/>
      <c r="GX274" s="21"/>
      <c r="GY274" s="21"/>
      <c r="GZ274" s="21"/>
      <c r="HA274" s="21"/>
      <c r="HB274" s="21"/>
      <c r="HC274" s="21"/>
      <c r="HD274" s="21"/>
      <c r="HE274" s="21"/>
      <c r="HF274" s="21"/>
      <c r="HG274" s="21"/>
      <c r="HH274" s="21"/>
      <c r="HI274" s="21"/>
      <c r="HJ274" s="21"/>
      <c r="HK274" s="21"/>
      <c r="HL274" s="21"/>
      <c r="HM274" s="21"/>
      <c r="HN274" s="21"/>
      <c r="HO274" s="21"/>
      <c r="HP274" s="21"/>
      <c r="HQ274" s="21"/>
      <c r="HR274" s="21"/>
      <c r="HS274" s="21"/>
      <c r="HT274" s="21"/>
      <c r="HU274" s="21"/>
      <c r="HV274" s="186"/>
      <c r="HW274" s="21"/>
      <c r="HX274" s="21"/>
      <c r="HY274" s="21"/>
      <c r="HZ274" s="21"/>
      <c r="IA274" s="21"/>
      <c r="IB274" s="21"/>
      <c r="IC274" s="21"/>
      <c r="ID274" s="21"/>
      <c r="IE274" s="21"/>
      <c r="IF274" s="21"/>
      <c r="IG274" s="21"/>
      <c r="IH274" s="21"/>
      <c r="II274" s="21"/>
      <c r="IJ274" s="21"/>
      <c r="IK274" s="21"/>
      <c r="IL274" s="21"/>
      <c r="IM274" s="21"/>
      <c r="IN274" s="21"/>
      <c r="IO274" s="21"/>
      <c r="IP274" s="21"/>
      <c r="IQ274" s="21"/>
      <c r="IR274" s="21"/>
      <c r="IS274" s="21"/>
      <c r="IT274" s="21"/>
      <c r="IU274" s="21"/>
      <c r="IV274" s="21"/>
      <c r="IW274" s="21"/>
      <c r="IX274" s="21"/>
      <c r="IY274" s="21"/>
      <c r="IZ274" s="21"/>
      <c r="JA274" s="21"/>
      <c r="JB274" s="21"/>
      <c r="JC274" s="21"/>
      <c r="JD274" s="21"/>
      <c r="JE274" s="21"/>
      <c r="JF274" s="21"/>
      <c r="JG274" s="21"/>
      <c r="JH274" s="21"/>
      <c r="JI274" s="21"/>
      <c r="JJ274" s="21"/>
      <c r="JK274" s="21"/>
      <c r="JL274" s="21"/>
      <c r="JM274" s="21"/>
      <c r="JN274" s="21"/>
      <c r="JO274" s="21"/>
      <c r="JP274" s="21"/>
      <c r="JQ274" s="21"/>
      <c r="JR274" s="21"/>
      <c r="JS274" s="21"/>
      <c r="JT274" s="21"/>
      <c r="JU274" s="21"/>
      <c r="JV274" s="21"/>
      <c r="JW274" s="21"/>
      <c r="JX274" s="21"/>
      <c r="JY274" s="21"/>
      <c r="JZ274" s="21"/>
      <c r="KA274" s="21"/>
      <c r="KB274" s="21"/>
      <c r="KC274" s="21"/>
      <c r="KD274" s="21"/>
      <c r="KE274" s="21"/>
      <c r="KF274" s="21"/>
      <c r="KG274" s="21"/>
      <c r="KH274" s="21"/>
    </row>
    <row r="275" spans="1:294" x14ac:dyDescent="0.25"/>
    <row r="276" spans="1:294" x14ac:dyDescent="0.25"/>
    <row r="277" spans="1:294" x14ac:dyDescent="0.25"/>
    <row r="278" spans="1:294" x14ac:dyDescent="0.25"/>
    <row r="279" spans="1:294" x14ac:dyDescent="0.25"/>
    <row r="280" spans="1:294" x14ac:dyDescent="0.25"/>
    <row r="281" spans="1:294" x14ac:dyDescent="0.25"/>
    <row r="282" spans="1:294" x14ac:dyDescent="0.25"/>
    <row r="283" spans="1:294" x14ac:dyDescent="0.25"/>
    <row r="284" spans="1:294" x14ac:dyDescent="0.25"/>
    <row r="285" spans="1:294" x14ac:dyDescent="0.25"/>
    <row r="286" spans="1:294" x14ac:dyDescent="0.25"/>
    <row r="287" spans="1:294" x14ac:dyDescent="0.25"/>
    <row r="288" spans="1:294" x14ac:dyDescent="0.25"/>
    <row r="289" x14ac:dyDescent="0.25"/>
    <row r="290" x14ac:dyDescent="0.25"/>
    <row r="291" x14ac:dyDescent="0.25"/>
    <row r="292" x14ac:dyDescent="0.25"/>
    <row r="293" x14ac:dyDescent="0.25"/>
    <row r="294" x14ac:dyDescent="0.25"/>
    <row r="295" x14ac:dyDescent="0.25"/>
    <row r="296" x14ac:dyDescent="0.25"/>
    <row r="297" x14ac:dyDescent="0.25"/>
    <row r="298" x14ac:dyDescent="0.25"/>
    <row r="299" x14ac:dyDescent="0.25"/>
    <row r="300" x14ac:dyDescent="0.25"/>
    <row r="301" x14ac:dyDescent="0.25"/>
    <row r="302" x14ac:dyDescent="0.25"/>
    <row r="303" x14ac:dyDescent="0.25"/>
    <row r="304" x14ac:dyDescent="0.25"/>
    <row r="305" x14ac:dyDescent="0.25"/>
    <row r="306" x14ac:dyDescent="0.25"/>
    <row r="307" x14ac:dyDescent="0.25"/>
    <row r="308" x14ac:dyDescent="0.25"/>
    <row r="309" x14ac:dyDescent="0.25"/>
    <row r="310" x14ac:dyDescent="0.25"/>
    <row r="311" x14ac:dyDescent="0.25"/>
    <row r="312" x14ac:dyDescent="0.25"/>
    <row r="313" x14ac:dyDescent="0.25"/>
    <row r="314" x14ac:dyDescent="0.25"/>
    <row r="315" x14ac:dyDescent="0.25"/>
    <row r="316" x14ac:dyDescent="0.25"/>
    <row r="317" x14ac:dyDescent="0.25"/>
    <row r="318" x14ac:dyDescent="0.25"/>
    <row r="319" x14ac:dyDescent="0.25"/>
    <row r="320" x14ac:dyDescent="0.25"/>
    <row r="321" x14ac:dyDescent="0.25"/>
    <row r="322" x14ac:dyDescent="0.25"/>
    <row r="323" x14ac:dyDescent="0.25"/>
    <row r="324" x14ac:dyDescent="0.25"/>
    <row r="325" x14ac:dyDescent="0.25"/>
    <row r="326" x14ac:dyDescent="0.25"/>
    <row r="327" x14ac:dyDescent="0.25"/>
    <row r="328" x14ac:dyDescent="0.25"/>
    <row r="329" x14ac:dyDescent="0.25"/>
    <row r="330" x14ac:dyDescent="0.25"/>
    <row r="331" x14ac:dyDescent="0.25"/>
    <row r="332" x14ac:dyDescent="0.25"/>
    <row r="333" x14ac:dyDescent="0.25"/>
    <row r="334" x14ac:dyDescent="0.25"/>
    <row r="335" x14ac:dyDescent="0.25"/>
    <row r="336" x14ac:dyDescent="0.25"/>
    <row r="337" x14ac:dyDescent="0.25"/>
    <row r="338" x14ac:dyDescent="0.25"/>
    <row r="339" x14ac:dyDescent="0.25"/>
    <row r="340" x14ac:dyDescent="0.25"/>
  </sheetData>
  <sheetProtection algorithmName="SHA-512" hashValue="XQQQcscfbr+cDkL88bD0VXO9J9mx5mSJny78Fdo3oc6V/bcbeYQbMG+DEdqwSlyn519jEHefEF5SAbqOioOgSg==" saltValue="M6zxlmM9fsVmuFcuzEnqYQ==" spinCount="100000" sheet="1" objects="1" scenarios="1"/>
  <mergeCells count="14">
    <mergeCell ref="AD223:AF223"/>
    <mergeCell ref="AH223:AJ223"/>
    <mergeCell ref="L1:U1"/>
    <mergeCell ref="L27:U27"/>
    <mergeCell ref="L52:U52"/>
    <mergeCell ref="L78:U78"/>
    <mergeCell ref="L103:U103"/>
    <mergeCell ref="L128:U128"/>
    <mergeCell ref="L231:U231"/>
    <mergeCell ref="F234:I235"/>
    <mergeCell ref="L150:U150"/>
    <mergeCell ref="L177:U177"/>
    <mergeCell ref="L204:U204"/>
    <mergeCell ref="F207:I208"/>
  </mergeCells>
  <conditionalFormatting sqref="E8:E9">
    <cfRule type="expression" dxfId="27" priority="5">
      <formula>IF($E$5=$AK$1,1)</formula>
    </cfRule>
  </conditionalFormatting>
  <conditionalFormatting sqref="E34:E35">
    <cfRule type="expression" dxfId="26" priority="3">
      <formula>IF($E$31=$AK$1,1)</formula>
    </cfRule>
  </conditionalFormatting>
  <conditionalFormatting sqref="F8:F9">
    <cfRule type="expression" dxfId="25" priority="1">
      <formula>IF($E$5=$AK$1,1)</formula>
    </cfRule>
  </conditionalFormatting>
  <conditionalFormatting sqref="F34:F35">
    <cfRule type="expression" dxfId="24" priority="2">
      <formula>IF($E$31=$AK$1,1)</formula>
    </cfRule>
  </conditionalFormatting>
  <conditionalFormatting sqref="AC142:AH142 Z142">
    <cfRule type="duplicateValues" dxfId="23" priority="8"/>
  </conditionalFormatting>
  <conditionalFormatting sqref="AF131:AH131 AC166:AE166 Z166">
    <cfRule type="duplicateValues" dxfId="22" priority="9"/>
  </conditionalFormatting>
  <conditionalFormatting sqref="AW200">
    <cfRule type="duplicateValues" dxfId="21" priority="7"/>
  </conditionalFormatting>
  <dataValidations count="43">
    <dataValidation type="list" allowBlank="1" showInputMessage="1" showErrorMessage="1" sqref="E7" xr:uid="{9090B6FA-021B-4BD3-9963-70537098464C}">
      <formula1>$AF$7:$AF$10</formula1>
    </dataValidation>
    <dataValidation type="whole" allowBlank="1" showInputMessage="1" showErrorMessage="1" sqref="E88 E61 E38 E11" xr:uid="{76839934-EC04-4CFA-9827-042076667A52}">
      <formula1>0</formula1>
      <formula2>100</formula2>
    </dataValidation>
    <dataValidation type="whole" allowBlank="1" showInputMessage="1" showErrorMessage="1" sqref="E60 E87 E10 E37" xr:uid="{4EFC9E89-6384-4575-B0F8-717C5E67C66E}">
      <formula1>0</formula1>
      <formula2>200</formula2>
    </dataValidation>
    <dataValidation type="list" allowBlank="1" showInputMessage="1" showErrorMessage="1" sqref="E57 E83 E33" xr:uid="{1615FC07-F690-4AF9-8429-B6FD454A5C22}">
      <formula1>$AF$58:$AF$61</formula1>
    </dataValidation>
    <dataValidation type="list" allowBlank="1" showInputMessage="1" showErrorMessage="1" sqref="E55 E81" xr:uid="{E0B74C13-89C8-4B0E-BBE0-097A15A52D9E}">
      <formula1>$AF$52:$AF$53</formula1>
    </dataValidation>
    <dataValidation type="list" allowBlank="1" showInputMessage="1" showErrorMessage="1" sqref="E6" xr:uid="{48C3EBF2-77DA-4CE3-9D71-18C24CE7B406}">
      <formula1>OFFSET(AZ1,MATCH(E4,AY2:AY4,0),0,COUNTIF(AY2:AY4,E4),1)</formula1>
    </dataValidation>
    <dataValidation type="list" allowBlank="1" showInputMessage="1" showErrorMessage="1" sqref="A151:A166 A178:A193" xr:uid="{7EB1C924-6DE8-404F-889D-A7BCF801C2A1}">
      <formula1>$DZ$103:$DZ$133</formula1>
    </dataValidation>
    <dataValidation type="list" allowBlank="1" showInputMessage="1" showErrorMessage="1" sqref="A232:A247" xr:uid="{C21D9566-3047-42D8-9501-84EC1CBB187B}">
      <formula1>$EA$103:$EA$123</formula1>
    </dataValidation>
    <dataValidation type="list" allowBlank="1" showInputMessage="1" showErrorMessage="1" sqref="A104:A119 A205:A220 A53:A68 A80:A94 A2:A17" xr:uid="{70C5CAF7-EAE8-47F0-9943-5593BD315631}">
      <formula1>$DZ$103:$DZ$123</formula1>
    </dataValidation>
    <dataValidation type="list" allowBlank="1" showInputMessage="1" showErrorMessage="1" sqref="E160 E240 E213 E188" xr:uid="{ED326A2E-3EB5-4FEE-B9EC-8CDAEDD92770}">
      <formula1>$EB$148:$EB$150</formula1>
    </dataValidation>
    <dataValidation type="list" allowBlank="1" showInputMessage="1" showErrorMessage="1" sqref="E161 E241 E214 E189" xr:uid="{417A8484-3B1B-42B9-B713-F639537952A0}">
      <formula1>$EB$142:$EB$146</formula1>
    </dataValidation>
    <dataValidation type="list" allowBlank="1" showInputMessage="1" showErrorMessage="1" sqref="G206 G233" xr:uid="{E7AED7FD-7D78-4D17-BFB7-3BD8BB307F2B}">
      <formula1>$X$128:$X$135</formula1>
    </dataValidation>
    <dataValidation type="list" allowBlank="1" showInputMessage="1" showErrorMessage="1" sqref="G179 G152 G54 G130 G105 G80 G3 G29" xr:uid="{91C013BA-3498-49F7-B38E-55860AAEA458}">
      <formula1>$X$128:$X$131</formula1>
    </dataValidation>
    <dataValidation type="list" allowBlank="1" showInputMessage="1" showErrorMessage="1" sqref="I206 I233" xr:uid="{C4B73E37-9B46-4152-AA92-0D6F3AF9D13C}">
      <formula1>$EB$132:$EB$136</formula1>
    </dataValidation>
    <dataValidation type="list" allowBlank="1" showInputMessage="1" showErrorMessage="1" sqref="E233 E80 E54 E206 E29 E3" xr:uid="{E85B038F-D230-4249-9240-415548520B75}">
      <formula1>$X$109:$X$126</formula1>
    </dataValidation>
    <dataValidation type="list" allowBlank="1" showInputMessage="1" showErrorMessage="1" sqref="I105 I80 I54 I130 I152 I179 I29 I3" xr:uid="{4A764CBD-FAB2-469D-BE3C-8118D1535166}">
      <formula1>$EB$132:$EB$139</formula1>
    </dataValidation>
    <dataValidation type="list" allowBlank="1" showInputMessage="1" showErrorMessage="1" sqref="E107 E181 E131 E153 E12 E39 E62 E89" xr:uid="{96547648-363C-43B8-BEA0-A7CF724C19A7}">
      <formula1>$X$106:$X$107</formula1>
    </dataValidation>
    <dataValidation type="list" allowBlank="1" showInputMessage="1" showErrorMessage="1" sqref="E106 E180" xr:uid="{66BD68F4-6B44-4E76-8E8C-9D9548C9F2E7}">
      <formula1>$Y$106:$Y$107</formula1>
    </dataValidation>
    <dataValidation type="list" allowBlank="1" showInputMessage="1" showErrorMessage="1" sqref="E133 E235 E208 E109 E86" xr:uid="{627FB666-3BAB-41BC-9726-DF2C5D165497}">
      <formula1>$EB$104:$EB$106</formula1>
    </dataValidation>
    <dataValidation type="list" allowBlank="1" showInputMessage="1" showErrorMessage="1" sqref="E155 E183" xr:uid="{ACEA0E20-C013-4745-801F-10E4AF269699}">
      <formula1>$EB$107:$EB$109</formula1>
    </dataValidation>
    <dataValidation type="custom" showInputMessage="1" showErrorMessage="1" error="W pierwszej kolejności należy uzupełnić ilość modułów w rzędzie" sqref="C104:C119 C151:C166 C178 C129:C145 C205:C220 C232:C247 C53:C68 C79:C94 C2:C17 C28:C43" xr:uid="{337CA0EA-6E26-4202-9F5E-9459EA98EAB1}">
      <formula1>A2&gt;0</formula1>
    </dataValidation>
    <dataValidation type="list" allowBlank="1" showInputMessage="1" showErrorMessage="1" sqref="E152 E179" xr:uid="{E51AA750-7231-4DC1-B5AC-C6577A63C1A7}">
      <formula1>$X$109:$X$111</formula1>
    </dataValidation>
    <dataValidation type="list" allowBlank="1" showInputMessage="1" showErrorMessage="1" sqref="E154 E182" xr:uid="{D44990C6-A79A-47EA-8D0B-9D9C79DBC435}">
      <formula1>$Z$104:$Z$105</formula1>
    </dataValidation>
    <dataValidation type="list" allowBlank="1" showInputMessage="1" showErrorMessage="1" sqref="E108 E234 E207 E132" xr:uid="{7521E8A8-D714-401A-9175-347BC8D711C9}">
      <formula1>$Z$104:$Z$107</formula1>
    </dataValidation>
    <dataValidation type="whole" allowBlank="1" showInputMessage="1" showErrorMessage="1" sqref="E185" xr:uid="{2FE1F8E5-650D-4C33-9D62-D912BFDFA29E}">
      <formula1>0</formula1>
      <formula2>1000</formula2>
    </dataValidation>
    <dataValidation type="whole" allowBlank="1" showInputMessage="1" showErrorMessage="1" sqref="E157 E210 E237" xr:uid="{2ADB6AAD-58C2-42B5-AB42-31ECB0D592B0}">
      <formula1>0</formula1>
      <formula2>5000</formula2>
    </dataValidation>
    <dataValidation type="list" allowBlank="1" showInputMessage="1" showErrorMessage="1" sqref="E130 E105" xr:uid="{EDEF5C09-F5C1-42B5-9BF9-2C22FD2C0F06}">
      <formula1>$X$109:$X$118</formula1>
    </dataValidation>
    <dataValidation type="list" allowBlank="1" showInputMessage="1" showErrorMessage="1" sqref="A129:A145 A79 A28:A43" xr:uid="{B65CB7E0-58D3-4529-9B70-923C33715944}">
      <formula1>$EA$103:$EA$128</formula1>
    </dataValidation>
    <dataValidation type="list" allowBlank="1" showInputMessage="1" showErrorMessage="1" sqref="E9" xr:uid="{39A5E7C9-28DF-4E85-AE9E-A3DEBFFBA981}">
      <formula1>OFFSET(AP1,MATCH(E8,AO2:AO10,0),0,COUNTIF(AO2:AO10,E8),1)</formula1>
    </dataValidation>
    <dataValidation type="list" allowBlank="1" showInputMessage="1" showErrorMessage="1" sqref="E5 E31" xr:uid="{F4FBB55A-B104-4A8D-9E2D-D81490210645}">
      <formula1>$AK$1:$AK$2</formula1>
    </dataValidation>
    <dataValidation type="list" allowBlank="1" showInputMessage="1" showErrorMessage="1" sqref="E58" xr:uid="{126E1C85-351C-4A67-A627-292027519758}">
      <formula1>OFFSET(AP65,MATCH(E57,AO66:AO71,0),0,COUNTIF(AO66:AO71,E57),1)</formula1>
    </dataValidation>
    <dataValidation type="list" allowBlank="1" showInputMessage="1" showErrorMessage="1" sqref="E59" xr:uid="{DE426613-BD2D-4A57-B17A-8952402D5393}">
      <formula1>OFFSET(AP52,MATCH(E58,AO53:AO59,0),0,COUNTIF(AO53:AO59,E58),1)</formula1>
    </dataValidation>
    <dataValidation type="list" allowBlank="1" showInputMessage="1" showErrorMessage="1" sqref="E85" xr:uid="{A31C4EE4-345B-4DEE-AD1C-67AE81D1AE21}">
      <formula1>OFFSET(AP52,MATCH(E84,AO53:AO59,0),0,COUNTIF(AO53:AO59,E84),1)</formula1>
    </dataValidation>
    <dataValidation type="list" allowBlank="1" showInputMessage="1" showErrorMessage="1" sqref="E84" xr:uid="{558D2289-3BA2-4597-967A-F3FCDCA014F9}">
      <formula1>OFFSET(AP65,MATCH(E83,AO66:AO71,0),0,COUNTIF(AO66:AO71,E83),1)</formula1>
    </dataValidation>
    <dataValidation type="list" allowBlank="1" showInputMessage="1" showErrorMessage="1" sqref="E82" xr:uid="{23F980F2-E1C7-4CB0-8D53-7A90359FC147}">
      <formula1>OFFSET(AZ52,MATCH(E81,AY53:AY55,0),0,COUNTIF(AY53:AY55,E81),1)</formula1>
    </dataValidation>
    <dataValidation type="list" allowBlank="1" showInputMessage="1" showErrorMessage="1" sqref="E56" xr:uid="{C412AA27-2409-4F99-8244-A78E511DBED7}">
      <formula1>OFFSET(AZ52,MATCH(E55,AY53:AY55,0),0,COUNTIF(AY53:AY55,E55),1)</formula1>
    </dataValidation>
    <dataValidation type="list" allowBlank="1" showInputMessage="1" showErrorMessage="1" sqref="E32" xr:uid="{55144ED4-C923-4BD3-8F4A-8A4667A03F45}">
      <formula1>OFFSET(AZ1,MATCH(E30,AY2:AY4,0),0,COUNTIF(AY2:AY4,E30),1)</formula1>
    </dataValidation>
    <dataValidation type="list" allowBlank="1" showInputMessage="1" showErrorMessage="1" sqref="E8" xr:uid="{9D5FCABC-1C5E-407E-8087-8D5B9EF343AA}">
      <formula1>OFFSET(AP19,MATCH(E7,AO20:AO26,0),0,COUNTIF(AO20:AO26,E7),1)</formula1>
    </dataValidation>
    <dataValidation type="list" allowBlank="1" showInputMessage="1" showErrorMessage="1" sqref="E4" xr:uid="{5925F6CD-13B1-4D84-AD91-6DC31DBCFF3A}">
      <formula1>OFFSET(AU1,MATCH(E3,AT2:AT29,0),0,COUNTIF(AT2:AT29,E3),1)</formula1>
    </dataValidation>
    <dataValidation type="list" allowBlank="1" showInputMessage="1" showErrorMessage="1" sqref="E30" xr:uid="{33FB6165-E533-430E-A67F-F6E8209813FF}">
      <formula1>OFFSET(AU1,MATCH(E3,AT2:AT29,0),0,COUNTIF(AT2:AT29,E3),1)</formula1>
    </dataValidation>
    <dataValidation type="list" allowBlank="1" showInputMessage="1" showErrorMessage="1" sqref="E34" xr:uid="{D16C07DC-ECC7-4970-AC8E-25D73DA381F7}">
      <formula1>OFFSET(AP19,MATCH(E33,AO20:AO26,0),0,COUNTIF(AO20:AO26,E33),1)</formula1>
    </dataValidation>
    <dataValidation type="list" allowBlank="1" showInputMessage="1" showErrorMessage="1" sqref="E35" xr:uid="{003371F1-2A69-4FA3-8016-4DEA224CAE10}">
      <formula1>OFFSET(AP1,MATCH(E34,AO2:AO10,0),0,COUNTIF(AO2:AO10,E34),1)</formula1>
    </dataValidation>
    <dataValidation type="list" allowBlank="1" showInputMessage="1" showErrorMessage="1" sqref="E36" xr:uid="{71C0F8EB-E642-4B5C-A2B1-E6186FCE9A6E}">
      <formula1>$EB$104:$EB$105</formula1>
    </dataValidation>
  </dataValidations>
  <hyperlinks>
    <hyperlink ref="D113" r:id="rId1" xr:uid="{5F8235B4-F07C-4085-A0CC-E2227405CBB0}"/>
    <hyperlink ref="D114" r:id="rId2" xr:uid="{5C685ACA-17A9-48AB-9699-3036377138D7}"/>
    <hyperlink ref="D116" r:id="rId3" xr:uid="{D846D1F7-3397-42FB-90CC-14E8368D23B9}"/>
    <hyperlink ref="D115" r:id="rId4" xr:uid="{23C65854-C968-489D-8C85-314C9FC0E655}"/>
    <hyperlink ref="D137" r:id="rId5" xr:uid="{442B1977-62DA-4ED4-9324-32FDC9F13547}"/>
    <hyperlink ref="D138" r:id="rId6" xr:uid="{03C8ED12-DCFB-4A0A-9E92-30D35C75A24D}"/>
    <hyperlink ref="D140" r:id="rId7" xr:uid="{994FF27A-BFDE-4C5C-9454-72DE9A13FB4B}"/>
    <hyperlink ref="D139" r:id="rId8" xr:uid="{5242C4E2-662D-4064-9FD3-CF253FC5D4CB}"/>
    <hyperlink ref="D162" r:id="rId9" xr:uid="{F513327C-AA95-4048-9D69-8F185FE6E0CD}"/>
    <hyperlink ref="D163" r:id="rId10" xr:uid="{071B44D8-6223-40B1-8643-1CADFE9DC7C7}"/>
    <hyperlink ref="D190" r:id="rId11" xr:uid="{B3B3151A-1EF6-4F33-AB00-C339E6E3E956}"/>
    <hyperlink ref="D191" r:id="rId12" xr:uid="{293F0BE1-78D1-4143-BF56-EC873E0B1D76}"/>
    <hyperlink ref="D215" r:id="rId13" xr:uid="{C408773C-91B0-4013-A579-8ED13C16B20F}"/>
    <hyperlink ref="D216" r:id="rId14" xr:uid="{C38FBFF0-31B6-43EA-B1EF-4421CCBD5D18}"/>
    <hyperlink ref="D218" r:id="rId15" xr:uid="{95D665FF-AA13-4B6C-9546-D2708161A076}"/>
    <hyperlink ref="D217" r:id="rId16" xr:uid="{B769810A-7448-4EA5-8A11-0461466040DA}"/>
    <hyperlink ref="D242" r:id="rId17" xr:uid="{055262D7-0F52-4656-BA0D-CA472EC2E800}"/>
    <hyperlink ref="D243" r:id="rId18" xr:uid="{03CA7C5F-5B76-4315-8B63-B7E7B9ED2DDC}"/>
    <hyperlink ref="D245" r:id="rId19" xr:uid="{C4CF5F6A-0E89-44FC-B5E6-6CA413D7EFDF}"/>
    <hyperlink ref="D244" r:id="rId20" xr:uid="{027B4B66-364F-4CBA-BF82-CD98CD471D30}"/>
    <hyperlink ref="D13" r:id="rId21" xr:uid="{524A92E4-5B9B-49E1-9026-64EDCF3E40FA}"/>
    <hyperlink ref="D14" r:id="rId22" xr:uid="{CE50BBCE-5416-434D-B349-ACE95D21EC9B}"/>
    <hyperlink ref="D16" r:id="rId23" xr:uid="{C37642BE-6435-4E43-ABAB-70FDA4B1DEE5}"/>
    <hyperlink ref="D15" r:id="rId24" xr:uid="{69C554AE-E2D7-4BBD-8EB2-1716B1BC3313}"/>
    <hyperlink ref="D40" r:id="rId25" xr:uid="{B88279FA-D725-45FE-A982-EDD8EAFFE951}"/>
    <hyperlink ref="D41" r:id="rId26" xr:uid="{2C770165-2BD1-4503-9B19-1F10E012EC17}"/>
    <hyperlink ref="D43" r:id="rId27" xr:uid="{76791546-7D5B-46D5-B934-5BA0478D9463}"/>
    <hyperlink ref="D42" r:id="rId28" xr:uid="{8F660FFA-A7E2-4E96-9F48-4638BA0FB0F8}"/>
  </hyperlinks>
  <pageMargins left="0.7" right="0.7" top="0.75" bottom="0.75" header="0.3" footer="0.3"/>
  <drawing r:id="rId29"/>
  <legacyDrawing r:id="rId30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Arkusz5"/>
  <dimension ref="A1:IT282"/>
  <sheetViews>
    <sheetView showGridLines="0" zoomScale="60" zoomScaleNormal="60" workbookViewId="0">
      <selection activeCell="A2" sqref="A2"/>
    </sheetView>
  </sheetViews>
  <sheetFormatPr defaultColWidth="0" defaultRowHeight="15" zeroHeight="1" x14ac:dyDescent="0.25"/>
  <cols>
    <col min="1" max="1" width="9.7109375" customWidth="1"/>
    <col min="2" max="2" width="2.140625" bestFit="1" customWidth="1"/>
    <col min="3" max="3" width="10.140625" customWidth="1"/>
    <col min="4" max="4" width="26.140625" customWidth="1"/>
    <col min="5" max="5" width="10.5703125" customWidth="1"/>
    <col min="6" max="6" width="2.140625" bestFit="1" customWidth="1"/>
    <col min="7" max="7" width="9.140625" customWidth="1"/>
    <col min="8" max="8" width="2.140625" bestFit="1" customWidth="1"/>
    <col min="9" max="9" width="3.42578125" bestFit="1" customWidth="1"/>
    <col min="10" max="11" width="9.140625" customWidth="1"/>
    <col min="12" max="12" width="20.85546875" bestFit="1" customWidth="1"/>
    <col min="13" max="13" width="12.28515625" bestFit="1" customWidth="1"/>
    <col min="14" max="14" width="7.42578125" bestFit="1" customWidth="1"/>
    <col min="15" max="15" width="6.7109375" customWidth="1"/>
    <col min="16" max="16" width="12.42578125" bestFit="1" customWidth="1"/>
    <col min="17" max="17" width="15" bestFit="1" customWidth="1"/>
    <col min="18" max="18" width="5.7109375" bestFit="1" customWidth="1"/>
    <col min="19" max="19" width="21.140625" bestFit="1" customWidth="1"/>
    <col min="20" max="20" width="23.85546875" bestFit="1" customWidth="1"/>
    <col min="21" max="21" width="13.5703125" bestFit="1" customWidth="1"/>
    <col min="22" max="35" width="9.140625" style="154" customWidth="1"/>
    <col min="36" max="42" width="9.140625" style="154" hidden="1" customWidth="1"/>
    <col min="43" max="43" width="17.140625" style="154" hidden="1" customWidth="1"/>
    <col min="44" max="44" width="16.140625" style="154" hidden="1" customWidth="1"/>
    <col min="45" max="45" width="14.7109375" style="154" hidden="1" customWidth="1"/>
    <col min="46" max="46" width="14.5703125" style="154" hidden="1" customWidth="1"/>
    <col min="47" max="60" width="9.140625" style="154" hidden="1" customWidth="1"/>
    <col min="61" max="61" width="2.42578125" style="154" hidden="1" customWidth="1"/>
    <col min="62" max="73" width="3.42578125" style="154" hidden="1" customWidth="1"/>
    <col min="74" max="75" width="9.140625" style="154" hidden="1" customWidth="1"/>
    <col min="76" max="88" width="3.42578125" style="154" hidden="1" customWidth="1"/>
    <col min="89" max="92" width="9.140625" style="154" hidden="1" customWidth="1"/>
    <col min="93" max="105" width="3.5703125" style="154" hidden="1" customWidth="1"/>
    <col min="106" max="107" width="9.140625" style="154" hidden="1" customWidth="1"/>
    <col min="108" max="118" width="3.5703125" style="154" hidden="1" customWidth="1"/>
    <col min="119" max="119" width="3.42578125" style="154" hidden="1" customWidth="1"/>
    <col min="120" max="120" width="3.5703125" style="154" hidden="1" customWidth="1"/>
    <col min="121" max="123" width="9.140625" style="185" hidden="1" customWidth="1"/>
    <col min="124" max="124" width="9.140625" style="154" hidden="1" customWidth="1"/>
    <col min="125" max="137" width="3.5703125" style="154" hidden="1" customWidth="1"/>
    <col min="138" max="141" width="9.140625" style="154" hidden="1" customWidth="1"/>
    <col min="142" max="154" width="3.5703125" style="154" hidden="1" customWidth="1"/>
    <col min="155" max="156" width="9.140625" style="154" hidden="1" customWidth="1"/>
    <col min="157" max="169" width="3.5703125" style="154" hidden="1" customWidth="1"/>
    <col min="170" max="171" width="9.140625" style="154" hidden="1" customWidth="1"/>
    <col min="172" max="184" width="3.5703125" style="154" hidden="1" customWidth="1"/>
    <col min="185" max="186" width="9.140625" style="154" hidden="1" customWidth="1"/>
    <col min="187" max="199" width="3.5703125" style="154" hidden="1" customWidth="1"/>
    <col min="200" max="201" width="9.140625" style="154" hidden="1" customWidth="1"/>
    <col min="202" max="252" width="3.5703125" style="154" hidden="1" customWidth="1"/>
    <col min="253" max="254" width="0" style="154" hidden="1" customWidth="1"/>
    <col min="255" max="16384" width="9.140625" style="154" hidden="1"/>
  </cols>
  <sheetData>
    <row r="1" spans="1:216" ht="51.75" x14ac:dyDescent="0.25">
      <c r="A1" s="3" t="s">
        <v>443</v>
      </c>
      <c r="B1" s="3"/>
      <c r="C1" s="3" t="s">
        <v>444</v>
      </c>
      <c r="D1" s="9"/>
      <c r="E1" s="9"/>
      <c r="F1" s="9"/>
      <c r="G1" s="9"/>
      <c r="H1" s="9"/>
      <c r="I1" s="9"/>
      <c r="J1" s="9"/>
      <c r="K1" s="9"/>
      <c r="L1" s="360" t="str">
        <f>INDEX((AK33:AN34),MATCH(E10,AJ33:AJ34,0),MATCH(E5,AK32:AN32,0))</f>
        <v>KONSTRUKCJA W-H4B2-30°</v>
      </c>
      <c r="M1" s="360"/>
      <c r="N1" s="360"/>
      <c r="O1" s="360"/>
      <c r="P1" s="360"/>
      <c r="Q1" s="360"/>
      <c r="R1" s="360"/>
      <c r="S1" s="360"/>
      <c r="T1" s="360"/>
      <c r="U1" s="360"/>
      <c r="V1" s="166"/>
      <c r="W1" s="166"/>
      <c r="X1" s="166"/>
      <c r="Y1" s="166"/>
      <c r="Z1" s="166"/>
      <c r="AA1" s="167" t="s">
        <v>311</v>
      </c>
      <c r="AB1" s="168" t="s">
        <v>318</v>
      </c>
      <c r="AC1" s="150"/>
      <c r="AD1" s="150"/>
      <c r="AE1" s="150"/>
      <c r="AF1" s="150"/>
      <c r="AG1" s="150"/>
      <c r="AH1" s="150"/>
      <c r="AI1" s="150"/>
      <c r="AJ1" s="150"/>
      <c r="AK1" s="150"/>
      <c r="AL1" s="150"/>
      <c r="AM1" s="150"/>
      <c r="AN1" s="150"/>
      <c r="AO1" s="150"/>
      <c r="AP1" s="150"/>
      <c r="AQ1" s="150"/>
      <c r="AR1" s="166" t="s">
        <v>716</v>
      </c>
      <c r="AS1" s="62"/>
      <c r="AT1" s="62"/>
      <c r="AU1" s="62"/>
      <c r="AV1" s="150"/>
      <c r="AX1" s="169"/>
      <c r="AY1" s="150"/>
      <c r="AZ1" s="150"/>
      <c r="BA1" s="150"/>
      <c r="BG1" s="168" t="s">
        <v>318</v>
      </c>
      <c r="BH1" s="150"/>
      <c r="BI1" s="150"/>
      <c r="BJ1" s="150"/>
      <c r="BK1" s="150"/>
      <c r="BL1" s="150"/>
      <c r="BM1" s="150"/>
      <c r="BN1" s="150"/>
      <c r="BO1" s="150"/>
      <c r="BP1" s="150"/>
      <c r="BQ1" s="150"/>
      <c r="BR1" s="150"/>
      <c r="BS1" s="150"/>
      <c r="BT1" s="150"/>
      <c r="BU1" s="150"/>
      <c r="BV1" s="150"/>
      <c r="BW1" s="150"/>
      <c r="BX1" s="150"/>
      <c r="BY1" s="150"/>
      <c r="BZ1" s="150"/>
      <c r="CA1" s="150"/>
      <c r="CB1" s="150"/>
      <c r="CC1" s="150"/>
      <c r="CD1" s="150"/>
      <c r="CE1" s="150"/>
      <c r="CF1" s="150"/>
      <c r="CG1" s="150"/>
      <c r="CH1" s="150"/>
      <c r="CI1" s="150"/>
      <c r="CJ1" s="150"/>
      <c r="CK1" s="150"/>
      <c r="CL1" s="150"/>
      <c r="CM1" s="150"/>
      <c r="CN1" s="150"/>
      <c r="CO1" s="150"/>
      <c r="CP1" s="150"/>
      <c r="CQ1" s="150"/>
      <c r="CR1" s="150"/>
      <c r="CS1" s="150"/>
      <c r="CT1" s="150"/>
      <c r="CU1" s="150"/>
      <c r="CV1" s="150"/>
      <c r="CW1" s="150"/>
      <c r="CX1" s="150"/>
      <c r="CY1" s="150"/>
      <c r="CZ1" s="150"/>
      <c r="DA1" s="150"/>
      <c r="DB1" s="150"/>
      <c r="DC1" s="150"/>
      <c r="DD1" s="150"/>
      <c r="DE1" s="150"/>
      <c r="DF1" s="150"/>
      <c r="DG1" s="150"/>
      <c r="DH1" s="150"/>
      <c r="DI1" s="150"/>
      <c r="DJ1" s="150"/>
      <c r="DK1" s="150"/>
      <c r="DL1" s="150"/>
      <c r="DM1" s="150"/>
      <c r="DN1" s="150"/>
      <c r="DO1" s="150"/>
      <c r="DP1" s="150"/>
      <c r="DQ1" s="181"/>
      <c r="DR1" s="181">
        <v>0</v>
      </c>
      <c r="DS1" s="181"/>
      <c r="DT1" s="150"/>
      <c r="DU1" s="150"/>
      <c r="DV1" s="150"/>
      <c r="DW1" s="150"/>
      <c r="DX1" s="150"/>
      <c r="DY1" s="150"/>
      <c r="DZ1" s="150"/>
      <c r="EA1" s="150"/>
      <c r="EB1" s="150"/>
      <c r="EC1" s="150"/>
      <c r="ED1" s="150"/>
      <c r="EE1" s="150"/>
      <c r="EF1" s="150"/>
      <c r="EG1" s="150"/>
      <c r="EH1" s="150"/>
      <c r="EI1" s="150"/>
      <c r="EJ1" s="151" t="s">
        <v>770</v>
      </c>
      <c r="EK1" s="152"/>
      <c r="EL1" s="152"/>
      <c r="EM1" s="152"/>
      <c r="EN1" s="152"/>
      <c r="EO1" s="152"/>
      <c r="EP1" s="152"/>
      <c r="EQ1" s="152"/>
      <c r="ER1" s="152"/>
      <c r="ES1" s="152"/>
      <c r="ET1" s="152"/>
      <c r="EU1" s="152"/>
      <c r="EV1" s="152"/>
      <c r="EW1" s="152"/>
      <c r="EX1" s="152"/>
      <c r="EY1" s="152"/>
      <c r="EZ1" s="152"/>
      <c r="FA1" s="152"/>
      <c r="FB1" s="152"/>
      <c r="FC1" s="152"/>
      <c r="FD1" s="152"/>
      <c r="FE1" s="152"/>
      <c r="FF1" s="152"/>
      <c r="FG1" s="152"/>
      <c r="FH1" s="152"/>
      <c r="FI1" s="152"/>
      <c r="FJ1" s="152"/>
      <c r="FK1" s="152"/>
      <c r="FL1" s="152"/>
      <c r="FM1" s="152"/>
      <c r="FN1" s="152"/>
      <c r="FO1" s="152"/>
      <c r="FP1" s="152"/>
      <c r="FQ1" s="152"/>
      <c r="FR1" s="152"/>
      <c r="FS1" s="152"/>
      <c r="FT1" s="152"/>
      <c r="FU1" s="152"/>
      <c r="FV1" s="152"/>
      <c r="FW1" s="152"/>
      <c r="FX1" s="152"/>
      <c r="FY1" s="152"/>
      <c r="FZ1" s="152"/>
      <c r="GA1" s="152"/>
      <c r="GB1" s="152"/>
      <c r="GC1" s="152"/>
      <c r="GD1" s="152"/>
      <c r="GE1" s="152"/>
      <c r="GF1" s="152"/>
      <c r="GG1" s="152"/>
      <c r="GH1" s="152"/>
      <c r="GI1" s="152"/>
      <c r="GJ1" s="152"/>
      <c r="GK1" s="152"/>
      <c r="GL1" s="152"/>
      <c r="GM1" s="152"/>
      <c r="GN1" s="152"/>
      <c r="GO1" s="152"/>
      <c r="GP1" s="152"/>
      <c r="GQ1" s="152"/>
      <c r="GR1" s="152"/>
      <c r="GS1" s="152"/>
      <c r="GT1" s="152"/>
      <c r="GU1" s="152"/>
      <c r="GV1" s="152"/>
      <c r="GW1" s="152"/>
      <c r="GX1" s="152"/>
      <c r="GY1" s="152"/>
      <c r="GZ1" s="152"/>
      <c r="HA1" s="152"/>
      <c r="HB1" s="152"/>
      <c r="HC1" s="152"/>
      <c r="HD1" s="152"/>
      <c r="HE1" s="152"/>
      <c r="HF1" s="152"/>
      <c r="HG1" s="153"/>
      <c r="HH1" s="150"/>
    </row>
    <row r="2" spans="1:216" x14ac:dyDescent="0.25">
      <c r="A2" s="8">
        <v>20</v>
      </c>
      <c r="B2" s="5" t="s">
        <v>116</v>
      </c>
      <c r="C2" s="8">
        <v>1</v>
      </c>
      <c r="D2" s="9"/>
      <c r="E2" s="1"/>
      <c r="F2" s="9"/>
      <c r="G2" s="9"/>
      <c r="H2" s="9"/>
      <c r="I2" s="9"/>
      <c r="J2" s="9"/>
      <c r="K2" s="9"/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V2" s="166"/>
      <c r="W2" s="166"/>
      <c r="X2" s="166"/>
      <c r="Y2" s="166"/>
      <c r="Z2" s="166"/>
      <c r="AA2" s="150">
        <f t="shared" ref="AA2:AA17" si="0">(VLOOKUP(BG2,$AY$5:$BA$9,3,1))*C2</f>
        <v>2</v>
      </c>
      <c r="AB2" s="150">
        <f t="shared" ref="AB2:AB17" si="1"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*C2</f>
        <v>5</v>
      </c>
      <c r="AC2" s="62" t="s">
        <v>125</v>
      </c>
      <c r="AD2" s="62" t="s">
        <v>130</v>
      </c>
      <c r="AE2" s="150"/>
      <c r="AF2" s="150"/>
      <c r="AG2" s="158" t="s">
        <v>130</v>
      </c>
      <c r="AH2" s="158" t="s">
        <v>125</v>
      </c>
      <c r="AI2" s="158" t="s">
        <v>144</v>
      </c>
      <c r="AJ2" s="166"/>
      <c r="AK2" s="166"/>
      <c r="AL2" s="158" t="s">
        <v>140</v>
      </c>
      <c r="AM2" s="158" t="s">
        <v>125</v>
      </c>
      <c r="AN2" s="158" t="s">
        <v>144</v>
      </c>
      <c r="AO2" s="166"/>
      <c r="AP2" s="166"/>
      <c r="AQ2" s="166"/>
      <c r="AR2" s="62">
        <v>25</v>
      </c>
      <c r="AS2" s="62" t="s">
        <v>314</v>
      </c>
      <c r="AT2" s="62" t="s">
        <v>312</v>
      </c>
      <c r="AU2" s="62" t="s">
        <v>309</v>
      </c>
      <c r="AV2" s="150" t="s">
        <v>313</v>
      </c>
      <c r="AX2" s="169"/>
      <c r="AY2" s="166"/>
      <c r="AZ2" s="166"/>
      <c r="BA2" s="150"/>
      <c r="BG2" s="170">
        <f t="shared" ref="BG2:BG17" si="2"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</f>
        <v>5</v>
      </c>
      <c r="BH2" s="150" t="s">
        <v>111</v>
      </c>
      <c r="BI2" s="150">
        <v>0</v>
      </c>
      <c r="BJ2" s="150">
        <v>8</v>
      </c>
      <c r="BK2" s="150">
        <v>12</v>
      </c>
      <c r="BL2" s="150">
        <v>16</v>
      </c>
      <c r="BM2" s="150">
        <v>20</v>
      </c>
      <c r="BN2" s="150">
        <v>24</v>
      </c>
      <c r="BO2" s="150">
        <v>28</v>
      </c>
      <c r="BP2" s="150">
        <v>32</v>
      </c>
      <c r="BQ2" s="150">
        <v>36</v>
      </c>
      <c r="BR2" s="150">
        <v>40</v>
      </c>
      <c r="BS2" s="150">
        <v>44</v>
      </c>
      <c r="BT2" s="150">
        <v>48</v>
      </c>
      <c r="BU2" s="150">
        <v>52</v>
      </c>
      <c r="BV2" s="150"/>
      <c r="BW2" s="150" t="s">
        <v>470</v>
      </c>
      <c r="BX2" s="150">
        <v>0</v>
      </c>
      <c r="BY2" s="150">
        <v>8</v>
      </c>
      <c r="BZ2" s="150">
        <v>12</v>
      </c>
      <c r="CA2" s="150">
        <v>16</v>
      </c>
      <c r="CB2" s="150">
        <v>20</v>
      </c>
      <c r="CC2" s="150">
        <v>24</v>
      </c>
      <c r="CD2" s="150">
        <v>28</v>
      </c>
      <c r="CE2" s="150">
        <v>32</v>
      </c>
      <c r="CF2" s="150">
        <v>36</v>
      </c>
      <c r="CG2" s="150">
        <v>40</v>
      </c>
      <c r="CH2" s="150">
        <v>44</v>
      </c>
      <c r="CI2" s="150">
        <v>48</v>
      </c>
      <c r="CJ2" s="150">
        <v>52</v>
      </c>
      <c r="CK2" s="150"/>
      <c r="CL2" s="150"/>
      <c r="CM2" s="150"/>
      <c r="CN2" s="150" t="s">
        <v>473</v>
      </c>
      <c r="CO2" s="150">
        <v>0</v>
      </c>
      <c r="CP2" s="150">
        <v>8</v>
      </c>
      <c r="CQ2" s="150">
        <v>12</v>
      </c>
      <c r="CR2" s="150">
        <v>16</v>
      </c>
      <c r="CS2" s="150">
        <v>20</v>
      </c>
      <c r="CT2" s="150">
        <v>24</v>
      </c>
      <c r="CU2" s="150">
        <v>28</v>
      </c>
      <c r="CV2" s="150">
        <v>32</v>
      </c>
      <c r="CW2" s="150">
        <v>36</v>
      </c>
      <c r="CX2" s="150">
        <v>40</v>
      </c>
      <c r="CY2" s="150">
        <v>44</v>
      </c>
      <c r="CZ2" s="150">
        <v>48</v>
      </c>
      <c r="DA2" s="150">
        <v>52</v>
      </c>
      <c r="DB2" s="150"/>
      <c r="DC2" s="150" t="s">
        <v>138</v>
      </c>
      <c r="DD2" s="150">
        <v>0</v>
      </c>
      <c r="DE2" s="150">
        <v>8</v>
      </c>
      <c r="DF2" s="150">
        <v>12</v>
      </c>
      <c r="DG2" s="150">
        <v>16</v>
      </c>
      <c r="DH2" s="150">
        <v>20</v>
      </c>
      <c r="DI2" s="150">
        <v>24</v>
      </c>
      <c r="DJ2" s="150">
        <v>28</v>
      </c>
      <c r="DK2" s="150">
        <v>32</v>
      </c>
      <c r="DL2" s="150">
        <v>36</v>
      </c>
      <c r="DM2" s="150">
        <v>40</v>
      </c>
      <c r="DN2" s="150">
        <v>44</v>
      </c>
      <c r="DO2" s="150">
        <v>48</v>
      </c>
      <c r="DP2" s="150">
        <v>52</v>
      </c>
      <c r="DQ2" s="181"/>
      <c r="DR2" s="181">
        <v>8</v>
      </c>
      <c r="DS2" s="181"/>
      <c r="DT2" s="150" t="s">
        <v>508</v>
      </c>
      <c r="DU2" s="150">
        <v>0</v>
      </c>
      <c r="DV2" s="150">
        <v>8</v>
      </c>
      <c r="DW2" s="150">
        <v>12</v>
      </c>
      <c r="DX2" s="150">
        <v>16</v>
      </c>
      <c r="DY2" s="150">
        <v>20</v>
      </c>
      <c r="DZ2" s="150">
        <v>24</v>
      </c>
      <c r="EA2" s="150">
        <v>28</v>
      </c>
      <c r="EB2" s="150">
        <v>32</v>
      </c>
      <c r="EC2" s="150">
        <v>36</v>
      </c>
      <c r="ED2" s="150">
        <v>40</v>
      </c>
      <c r="EE2" s="150">
        <v>44</v>
      </c>
      <c r="EF2" s="150">
        <v>48</v>
      </c>
      <c r="EG2" s="150">
        <v>52</v>
      </c>
      <c r="EH2" s="150"/>
      <c r="EI2" s="150"/>
      <c r="EJ2" s="155"/>
      <c r="EK2" s="150" t="s">
        <v>111</v>
      </c>
      <c r="EL2" s="150">
        <v>0</v>
      </c>
      <c r="EM2" s="150">
        <v>8</v>
      </c>
      <c r="EN2" s="150">
        <v>12</v>
      </c>
      <c r="EO2" s="150">
        <v>16</v>
      </c>
      <c r="EP2" s="150">
        <v>20</v>
      </c>
      <c r="EQ2" s="150">
        <v>24</v>
      </c>
      <c r="ER2" s="150">
        <v>28</v>
      </c>
      <c r="ES2" s="150">
        <v>32</v>
      </c>
      <c r="ET2" s="150">
        <v>36</v>
      </c>
      <c r="EU2" s="150">
        <v>40</v>
      </c>
      <c r="EV2" s="150">
        <v>44</v>
      </c>
      <c r="EW2" s="150">
        <v>48</v>
      </c>
      <c r="EX2" s="150">
        <v>52</v>
      </c>
      <c r="EY2" s="150"/>
      <c r="EZ2" s="150" t="s">
        <v>470</v>
      </c>
      <c r="FA2" s="150">
        <v>0</v>
      </c>
      <c r="FB2" s="150">
        <v>8</v>
      </c>
      <c r="FC2" s="150">
        <v>12</v>
      </c>
      <c r="FD2" s="150">
        <v>16</v>
      </c>
      <c r="FE2" s="150">
        <v>20</v>
      </c>
      <c r="FF2" s="150">
        <v>24</v>
      </c>
      <c r="FG2" s="150">
        <v>28</v>
      </c>
      <c r="FH2" s="150">
        <v>32</v>
      </c>
      <c r="FI2" s="150">
        <v>36</v>
      </c>
      <c r="FJ2" s="150">
        <v>40</v>
      </c>
      <c r="FK2" s="150">
        <v>44</v>
      </c>
      <c r="FL2" s="150">
        <v>48</v>
      </c>
      <c r="FM2" s="150">
        <v>52</v>
      </c>
      <c r="FN2" s="150"/>
      <c r="FO2" s="150" t="s">
        <v>473</v>
      </c>
      <c r="FP2" s="150">
        <v>0</v>
      </c>
      <c r="FQ2" s="150">
        <v>8</v>
      </c>
      <c r="FR2" s="150">
        <v>12</v>
      </c>
      <c r="FS2" s="150">
        <v>16</v>
      </c>
      <c r="FT2" s="150">
        <v>20</v>
      </c>
      <c r="FU2" s="150">
        <v>24</v>
      </c>
      <c r="FV2" s="150">
        <v>28</v>
      </c>
      <c r="FW2" s="150">
        <v>32</v>
      </c>
      <c r="FX2" s="150">
        <v>36</v>
      </c>
      <c r="FY2" s="150">
        <v>40</v>
      </c>
      <c r="FZ2" s="150">
        <v>44</v>
      </c>
      <c r="GA2" s="150">
        <v>48</v>
      </c>
      <c r="GB2" s="150">
        <v>52</v>
      </c>
      <c r="GC2" s="150"/>
      <c r="GD2" s="150" t="s">
        <v>138</v>
      </c>
      <c r="GE2" s="150">
        <v>0</v>
      </c>
      <c r="GF2" s="150">
        <v>8</v>
      </c>
      <c r="GG2" s="150">
        <v>12</v>
      </c>
      <c r="GH2" s="150">
        <v>16</v>
      </c>
      <c r="GI2" s="150">
        <v>20</v>
      </c>
      <c r="GJ2" s="150">
        <v>24</v>
      </c>
      <c r="GK2" s="150">
        <v>28</v>
      </c>
      <c r="GL2" s="150">
        <v>32</v>
      </c>
      <c r="GM2" s="150">
        <v>36</v>
      </c>
      <c r="GN2" s="150">
        <v>40</v>
      </c>
      <c r="GO2" s="150">
        <v>44</v>
      </c>
      <c r="GP2" s="150">
        <v>48</v>
      </c>
      <c r="GQ2" s="150">
        <v>52</v>
      </c>
      <c r="GR2" s="150"/>
      <c r="GS2" s="150" t="s">
        <v>508</v>
      </c>
      <c r="GT2" s="150">
        <v>0</v>
      </c>
      <c r="GU2" s="150">
        <v>8</v>
      </c>
      <c r="GV2" s="150">
        <v>12</v>
      </c>
      <c r="GW2" s="150">
        <v>16</v>
      </c>
      <c r="GX2" s="150">
        <v>20</v>
      </c>
      <c r="GY2" s="150">
        <v>24</v>
      </c>
      <c r="GZ2" s="150">
        <v>28</v>
      </c>
      <c r="HA2" s="150">
        <v>32</v>
      </c>
      <c r="HB2" s="150">
        <v>36</v>
      </c>
      <c r="HC2" s="150">
        <v>40</v>
      </c>
      <c r="HD2" s="150">
        <v>44</v>
      </c>
      <c r="HE2" s="150">
        <v>48</v>
      </c>
      <c r="HF2" s="150">
        <v>52</v>
      </c>
      <c r="HG2" s="156"/>
      <c r="HH2" s="150"/>
    </row>
    <row r="3" spans="1:216" x14ac:dyDescent="0.25">
      <c r="A3" s="8"/>
      <c r="B3" s="5" t="s">
        <v>116</v>
      </c>
      <c r="C3" s="8"/>
      <c r="D3" s="6" t="s">
        <v>118</v>
      </c>
      <c r="E3" s="8" t="s">
        <v>138</v>
      </c>
      <c r="F3" s="5" t="s">
        <v>116</v>
      </c>
      <c r="G3" s="8" t="s">
        <v>480</v>
      </c>
      <c r="H3" s="5" t="s">
        <v>116</v>
      </c>
      <c r="I3" s="8">
        <v>35</v>
      </c>
      <c r="J3" s="5" t="s">
        <v>119</v>
      </c>
      <c r="K3" s="9"/>
      <c r="L3" s="7" t="str">
        <f>IF(E5=$AC$5,"-------",IF(E5=$AC$6,"-------",IF(E5=$AC$7,"-------",IF(E5=$AC$8,IF(E14=$DS$10,"GSW76X1600N",IF(E14=$DS$11,"GSW76X2200N","")),0))))</f>
        <v>-------</v>
      </c>
      <c r="M3" s="11" t="str">
        <f>INDEX(cennik!$C$2:$L$529,MATCH($L3,cennik!$B$2:$B$522,0),MATCH(M$2,cennik!$C$1:$L$1,0))</f>
        <v>-------</v>
      </c>
      <c r="N3" s="11">
        <f>INDEX(cennik!$C$2:$L$529,MATCH($L3,cennik!$B$2:$B$522,0),MATCH(N$2,cennik!$C$1:$L$1,0))</f>
        <v>0</v>
      </c>
      <c r="O3" s="11">
        <f>IF(L3="-------",0,SUM(O5:O6))</f>
        <v>0</v>
      </c>
      <c r="P3" s="34">
        <f>INDEX(cennik!$C$2:$L$529,MATCH($L3,cennik!$B$2:$B$522,0),MATCH(P$2,cennik!$C$1:$L$1,0))</f>
        <v>0</v>
      </c>
      <c r="Q3" s="34">
        <f>O3*P3</f>
        <v>0</v>
      </c>
      <c r="R3" s="35">
        <f t="shared" ref="R3:R28" si="3">$E$7</f>
        <v>0</v>
      </c>
      <c r="S3" s="34">
        <f>P3*((100-$E$7)/100)</f>
        <v>0</v>
      </c>
      <c r="T3" s="34">
        <f>O3*S3</f>
        <v>0</v>
      </c>
      <c r="U3" s="34">
        <f>INDEX(cennik!$C$2:$L$529,MATCH($L3,cennik!$B$2:$B$522,0),MATCH(U$2,cennik!$C$1:$L$1,0))*O3</f>
        <v>0</v>
      </c>
      <c r="V3" s="62"/>
      <c r="W3" s="158" t="s">
        <v>18</v>
      </c>
      <c r="X3" s="150" t="s">
        <v>217</v>
      </c>
      <c r="Y3" s="150" t="s">
        <v>216</v>
      </c>
      <c r="Z3" s="150" t="s">
        <v>17</v>
      </c>
      <c r="AA3" s="150">
        <f t="shared" si="0"/>
        <v>0</v>
      </c>
      <c r="AB3" s="150">
        <f t="shared" si="1"/>
        <v>0</v>
      </c>
      <c r="AC3" s="62" t="s">
        <v>144</v>
      </c>
      <c r="AD3" s="62" t="s">
        <v>140</v>
      </c>
      <c r="AE3" s="150"/>
      <c r="AF3" s="150"/>
      <c r="AG3" s="171">
        <v>30</v>
      </c>
      <c r="AH3" s="158" t="s">
        <v>475</v>
      </c>
      <c r="AI3" s="158" t="s">
        <v>476</v>
      </c>
      <c r="AJ3" s="158" t="s">
        <v>477</v>
      </c>
      <c r="AK3" s="158" t="s">
        <v>67</v>
      </c>
      <c r="AL3" s="158">
        <v>30</v>
      </c>
      <c r="AM3" s="158" t="s">
        <v>506</v>
      </c>
      <c r="AN3" s="158" t="s">
        <v>506</v>
      </c>
      <c r="AO3" s="169" t="s">
        <v>151</v>
      </c>
      <c r="AP3" s="169" t="s">
        <v>151</v>
      </c>
      <c r="AQ3" s="169"/>
      <c r="AR3" s="62" t="s">
        <v>114</v>
      </c>
      <c r="AS3" s="62" t="s">
        <v>596</v>
      </c>
      <c r="AT3" s="62" t="s">
        <v>595</v>
      </c>
      <c r="AU3" s="62" t="s">
        <v>593</v>
      </c>
      <c r="AV3" s="150" t="s">
        <v>593</v>
      </c>
      <c r="AX3" s="169"/>
      <c r="AY3" s="169"/>
      <c r="AZ3" s="169"/>
      <c r="BA3" s="150"/>
      <c r="BG3" s="170">
        <f t="shared" si="2"/>
        <v>1</v>
      </c>
      <c r="BH3" s="150" t="s">
        <v>217</v>
      </c>
      <c r="BI3" s="150">
        <v>0</v>
      </c>
      <c r="BJ3" s="150">
        <v>0</v>
      </c>
      <c r="BK3" s="150">
        <v>0</v>
      </c>
      <c r="BL3" s="150">
        <v>5</v>
      </c>
      <c r="BM3" s="150">
        <v>0</v>
      </c>
      <c r="BN3" s="150">
        <v>5</v>
      </c>
      <c r="BO3" s="150">
        <v>0</v>
      </c>
      <c r="BP3" s="150">
        <v>10</v>
      </c>
      <c r="BQ3" s="150">
        <v>5</v>
      </c>
      <c r="BR3" s="150">
        <v>10</v>
      </c>
      <c r="BS3" s="150">
        <v>5</v>
      </c>
      <c r="BT3" s="150">
        <v>10</v>
      </c>
      <c r="BU3" s="150">
        <v>10</v>
      </c>
      <c r="BV3" s="150"/>
      <c r="BW3" s="150" t="s">
        <v>217</v>
      </c>
      <c r="BX3" s="150">
        <v>0</v>
      </c>
      <c r="BY3" s="150">
        <v>0</v>
      </c>
      <c r="BZ3" s="150">
        <v>5</v>
      </c>
      <c r="CA3" s="150">
        <v>5</v>
      </c>
      <c r="CB3" s="150">
        <v>0</v>
      </c>
      <c r="CC3" s="150">
        <v>5</v>
      </c>
      <c r="CD3" s="150">
        <v>0</v>
      </c>
      <c r="CE3" s="150">
        <v>5</v>
      </c>
      <c r="CF3" s="150">
        <v>10</v>
      </c>
      <c r="CG3" s="150">
        <v>10</v>
      </c>
      <c r="CH3" s="150">
        <v>10</v>
      </c>
      <c r="CI3" s="150">
        <v>10</v>
      </c>
      <c r="CJ3" s="150">
        <v>15</v>
      </c>
      <c r="CK3" s="150"/>
      <c r="CL3" s="150"/>
      <c r="CM3" s="150"/>
      <c r="CN3" s="150" t="s">
        <v>217</v>
      </c>
      <c r="CO3" s="150">
        <v>0</v>
      </c>
      <c r="CP3" s="150">
        <v>0</v>
      </c>
      <c r="CQ3" s="150">
        <v>5</v>
      </c>
      <c r="CR3" s="150">
        <v>0</v>
      </c>
      <c r="CS3" s="150">
        <v>5</v>
      </c>
      <c r="CT3" s="150">
        <v>0</v>
      </c>
      <c r="CU3" s="150">
        <v>10</v>
      </c>
      <c r="CV3" s="150">
        <v>5</v>
      </c>
      <c r="CW3" s="150">
        <v>10</v>
      </c>
      <c r="CX3" s="150">
        <v>15</v>
      </c>
      <c r="CY3" s="150">
        <v>10</v>
      </c>
      <c r="CZ3" s="150">
        <v>15</v>
      </c>
      <c r="DA3" s="150">
        <v>20</v>
      </c>
      <c r="DB3" s="150"/>
      <c r="DC3" s="150" t="s">
        <v>217</v>
      </c>
      <c r="DD3" s="150">
        <v>0</v>
      </c>
      <c r="DE3" s="150">
        <v>0</v>
      </c>
      <c r="DF3" s="150">
        <v>5</v>
      </c>
      <c r="DG3" s="150">
        <v>0</v>
      </c>
      <c r="DH3" s="150">
        <v>5</v>
      </c>
      <c r="DI3" s="150">
        <v>0</v>
      </c>
      <c r="DJ3" s="150">
        <v>5</v>
      </c>
      <c r="DK3" s="150">
        <v>10</v>
      </c>
      <c r="DL3" s="150">
        <v>5</v>
      </c>
      <c r="DM3" s="150">
        <v>10</v>
      </c>
      <c r="DN3" s="150">
        <v>15</v>
      </c>
      <c r="DO3" s="150">
        <v>10</v>
      </c>
      <c r="DP3" s="150">
        <v>15</v>
      </c>
      <c r="DQ3" s="181"/>
      <c r="DR3" s="181">
        <v>12</v>
      </c>
      <c r="DS3" s="181"/>
      <c r="DT3" s="150" t="s">
        <v>217</v>
      </c>
      <c r="DU3" s="150">
        <v>0</v>
      </c>
      <c r="DV3" s="150">
        <v>0</v>
      </c>
      <c r="DW3" s="150">
        <v>5</v>
      </c>
      <c r="DX3" s="150">
        <v>0</v>
      </c>
      <c r="DY3" s="150">
        <v>0</v>
      </c>
      <c r="DZ3" s="150">
        <v>10</v>
      </c>
      <c r="EA3" s="150">
        <v>5</v>
      </c>
      <c r="EB3" s="150">
        <v>10</v>
      </c>
      <c r="EC3" s="150">
        <v>10</v>
      </c>
      <c r="ED3" s="150">
        <v>15</v>
      </c>
      <c r="EE3" s="150">
        <v>10</v>
      </c>
      <c r="EF3" s="150">
        <v>15</v>
      </c>
      <c r="EG3" s="150">
        <v>20</v>
      </c>
      <c r="EH3" s="150"/>
      <c r="EI3" s="150"/>
      <c r="EJ3" s="155"/>
      <c r="EK3" s="150" t="s">
        <v>586</v>
      </c>
      <c r="EL3" s="150">
        <v>0</v>
      </c>
      <c r="EM3" s="150">
        <v>0</v>
      </c>
      <c r="EN3" s="150">
        <v>0</v>
      </c>
      <c r="EO3" s="154">
        <v>5</v>
      </c>
      <c r="EP3" s="154">
        <v>0</v>
      </c>
      <c r="EQ3" s="154">
        <v>0</v>
      </c>
      <c r="ER3" s="154">
        <v>0</v>
      </c>
      <c r="ES3" s="154">
        <v>0</v>
      </c>
      <c r="ET3" s="154">
        <v>0</v>
      </c>
      <c r="EU3" s="154">
        <v>0</v>
      </c>
      <c r="EV3" s="154">
        <v>0</v>
      </c>
      <c r="EW3" s="154">
        <v>0</v>
      </c>
      <c r="EX3" s="154">
        <v>0</v>
      </c>
      <c r="EZ3" s="154" t="s">
        <v>586</v>
      </c>
      <c r="FA3" s="150">
        <v>0</v>
      </c>
      <c r="FB3" s="150">
        <v>0</v>
      </c>
      <c r="FC3" s="154">
        <v>5</v>
      </c>
      <c r="FD3" s="154">
        <v>5</v>
      </c>
      <c r="FE3" s="154">
        <v>0</v>
      </c>
      <c r="FF3" s="154">
        <v>0</v>
      </c>
      <c r="FG3" s="154">
        <v>0</v>
      </c>
      <c r="FH3" s="154">
        <v>0</v>
      </c>
      <c r="FI3" s="154">
        <v>0</v>
      </c>
      <c r="FJ3" s="154">
        <v>0</v>
      </c>
      <c r="FK3" s="154">
        <v>0</v>
      </c>
      <c r="FL3" s="154">
        <v>0</v>
      </c>
      <c r="FM3" s="154">
        <v>0</v>
      </c>
      <c r="FO3" s="154" t="s">
        <v>586</v>
      </c>
      <c r="FP3" s="150">
        <v>0</v>
      </c>
      <c r="FQ3" s="150">
        <v>0</v>
      </c>
      <c r="FR3" s="154">
        <v>5</v>
      </c>
      <c r="FS3" s="154">
        <v>0</v>
      </c>
      <c r="FT3" s="154">
        <v>0</v>
      </c>
      <c r="FU3" s="154">
        <v>0</v>
      </c>
      <c r="FV3" s="154">
        <v>0</v>
      </c>
      <c r="FW3" s="154">
        <v>0</v>
      </c>
      <c r="FX3" s="154">
        <v>0</v>
      </c>
      <c r="FY3" s="154">
        <v>0</v>
      </c>
      <c r="FZ3" s="154">
        <v>0</v>
      </c>
      <c r="GA3" s="154">
        <v>0</v>
      </c>
      <c r="GB3" s="154">
        <v>0</v>
      </c>
      <c r="GD3" s="154" t="s">
        <v>586</v>
      </c>
      <c r="GE3" s="150">
        <v>0</v>
      </c>
      <c r="GF3" s="150">
        <v>0</v>
      </c>
      <c r="GG3" s="154">
        <v>5</v>
      </c>
      <c r="GH3" s="154">
        <v>0</v>
      </c>
      <c r="GI3" s="154">
        <v>0</v>
      </c>
      <c r="GJ3" s="154">
        <v>0</v>
      </c>
      <c r="GK3" s="154">
        <v>0</v>
      </c>
      <c r="GL3" s="154">
        <v>0</v>
      </c>
      <c r="GM3" s="154">
        <v>0</v>
      </c>
      <c r="GN3" s="154">
        <v>0</v>
      </c>
      <c r="GO3" s="154">
        <v>0</v>
      </c>
      <c r="GP3" s="154">
        <v>0</v>
      </c>
      <c r="GQ3" s="154">
        <v>0</v>
      </c>
      <c r="GS3" s="154" t="s">
        <v>586</v>
      </c>
      <c r="GT3" s="150">
        <v>0</v>
      </c>
      <c r="GU3" s="150">
        <v>0</v>
      </c>
      <c r="GV3" s="154">
        <v>5</v>
      </c>
      <c r="GW3" s="154">
        <v>0</v>
      </c>
      <c r="GX3" s="154">
        <v>0</v>
      </c>
      <c r="GY3" s="154">
        <v>0</v>
      </c>
      <c r="GZ3" s="154">
        <v>0</v>
      </c>
      <c r="HA3" s="154">
        <v>0</v>
      </c>
      <c r="HB3" s="154">
        <v>0</v>
      </c>
      <c r="HC3" s="154">
        <v>0</v>
      </c>
      <c r="HD3" s="154">
        <v>0</v>
      </c>
      <c r="HE3" s="154">
        <v>0</v>
      </c>
      <c r="HF3" s="154">
        <v>0</v>
      </c>
      <c r="HG3" s="156"/>
      <c r="HH3" s="150"/>
    </row>
    <row r="4" spans="1:216" x14ac:dyDescent="0.25">
      <c r="A4" s="8"/>
      <c r="B4" s="5" t="s">
        <v>116</v>
      </c>
      <c r="C4" s="8"/>
      <c r="D4" s="6" t="s">
        <v>124</v>
      </c>
      <c r="E4" s="8" t="s">
        <v>125</v>
      </c>
      <c r="F4" s="5"/>
      <c r="G4" s="5"/>
      <c r="H4" s="5"/>
      <c r="I4" s="5"/>
      <c r="J4" s="5"/>
      <c r="K4" s="9"/>
      <c r="L4" s="7" t="str">
        <f>IF(E5=$AC$5,"-------",IF(E5=$AC$6,"-------",IF(E5=$AC$7,"PCB70",IF(E5=$AC$8,"PCS70",0))))</f>
        <v>-------</v>
      </c>
      <c r="M4" s="11" t="str">
        <f>INDEX(cennik!$C$2:$L$529,MATCH($L4,cennik!$B$2:$B$522,0),MATCH(M$2,cennik!$C$1:$L$1,0))</f>
        <v>-------</v>
      </c>
      <c r="N4" s="11">
        <f>INDEX(cennik!$C$2:$L$529,MATCH($L4,cennik!$B$2:$B$522,0),MATCH(N$2,cennik!$C$1:$L$1,0))</f>
        <v>0</v>
      </c>
      <c r="O4" s="11">
        <f>IF(E5=AC7,SUM(O5:O6),IF(E5=AC8,SUM(O5:O6),IF(E5=AC5,0,IF(E5=AC6,0,0))))</f>
        <v>0</v>
      </c>
      <c r="P4" s="34">
        <f>INDEX(cennik!$C$2:$L$529,MATCH($L4,cennik!$B$2:$B$522,0),MATCH(P$2,cennik!$C$1:$L$1,0))</f>
        <v>0</v>
      </c>
      <c r="Q4" s="34">
        <f>O4*P4</f>
        <v>0</v>
      </c>
      <c r="R4" s="35">
        <f t="shared" si="3"/>
        <v>0</v>
      </c>
      <c r="S4" s="34">
        <f t="shared" ref="S4:S6" si="4">P4*((100-$E$7)/100)</f>
        <v>0</v>
      </c>
      <c r="T4" s="34">
        <f>O4*S4</f>
        <v>0</v>
      </c>
      <c r="U4" s="34">
        <f>INDEX(cennik!$C$2:$L$529,MATCH($L4,cennik!$B$2:$B$522,0),MATCH(U$2,cennik!$C$1:$L$1,0))*O4</f>
        <v>0</v>
      </c>
      <c r="V4" s="62"/>
      <c r="W4" s="150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10</v>
      </c>
      <c r="X4" s="150">
        <f>INDEX(($EL$3:$EX$6,$EL$9:$EX$12,$EL$15:$EX$18,$FA$3:$FM$6,$FA$9:$FM$12,$FA$15:$FM$18,$FP$3:$GB$6,$FP$9:$GB$12,$FP$15:$GB$18,$GE$3:$GQ$6,$GE$9:$GQ$12,$GE$15:$GQ$18,$GT$3:$HF$6,$GT$9:$HF$12),MATCH($L$14,$EK$3:$EK$6,0),MATCH($A2,$EL$2:$EX$2,0),MATCH($E$3,$AE$33:$AE$48,0))*$C2</f>
        <v>0</v>
      </c>
      <c r="Y4" s="150">
        <f>INDEX(($EL$3:$EX$6,$EL$9:$EX$12,$EL$15:$EX$18,$FA$3:$FM$6,$FA$9:$FM$12,$FA$15:$FM$18,$FP$3:$GB$6,$FP$9:$GB$12,$FP$15:$GB$18,$GE$3:$GQ$6,$GE$9:$GQ$12,$GE$15:$GQ$18,$GT$3:$HF$6,$GT$9:$HF$12),MATCH($L$15,$EK$3:$EK$6,0),MATCH($A2,$EL$2:$EX$2,0),MATCH($E$3,$AE$33:$AE$48,0))*$C2</f>
        <v>0</v>
      </c>
      <c r="Z4" s="150">
        <f>INDEX(($EL$3:$EX$6,$EL$9:$EX$12,$EL$15:$EX$18,$FA$3:$FM$6,$FA$9:$FM$12,$FA$15:$FM$18,$FP$3:$GB$6,$FP$9:$GB$12,$FP$15:$GB$18,$GE$3:$GQ$6,$GE$9:$GQ$12,$GE$15:$GQ$18,$GT$3:$HF$6,$GT$9:$HF$12),MATCH($L$16,$EK$3:$EK$6,0),MATCH($A2,$EL$2:$EX$2,0),MATCH($E$3,$AE$33:$AE$48,0))*$C2</f>
        <v>15</v>
      </c>
      <c r="AA4" s="150">
        <f t="shared" si="0"/>
        <v>0</v>
      </c>
      <c r="AB4" s="150">
        <f t="shared" si="1"/>
        <v>0</v>
      </c>
      <c r="AC4" s="150"/>
      <c r="AD4" s="150"/>
      <c r="AE4" s="150"/>
      <c r="AF4" s="150"/>
      <c r="AG4" s="171">
        <v>32</v>
      </c>
      <c r="AH4" s="158" t="s">
        <v>26</v>
      </c>
      <c r="AI4" s="158" t="s">
        <v>27</v>
      </c>
      <c r="AJ4" s="158" t="s">
        <v>110</v>
      </c>
      <c r="AK4" s="158" t="s">
        <v>67</v>
      </c>
      <c r="AL4" s="158">
        <v>32</v>
      </c>
      <c r="AM4" s="158" t="s">
        <v>38</v>
      </c>
      <c r="AN4" s="158" t="s">
        <v>39</v>
      </c>
      <c r="AO4" s="169" t="s">
        <v>151</v>
      </c>
      <c r="AP4" s="169" t="s">
        <v>151</v>
      </c>
      <c r="AQ4" s="169"/>
      <c r="AR4" s="62" t="s">
        <v>115</v>
      </c>
      <c r="AS4" s="62" t="s">
        <v>596</v>
      </c>
      <c r="AT4" s="62" t="s">
        <v>595</v>
      </c>
      <c r="AU4" s="62" t="s">
        <v>593</v>
      </c>
      <c r="AV4" s="150" t="s">
        <v>594</v>
      </c>
      <c r="AX4" s="169"/>
      <c r="AY4" s="169"/>
      <c r="AZ4" s="169"/>
      <c r="BA4" s="150"/>
      <c r="BG4" s="170">
        <f t="shared" si="2"/>
        <v>1</v>
      </c>
      <c r="BH4" s="150" t="s">
        <v>216</v>
      </c>
      <c r="BI4" s="150">
        <v>0</v>
      </c>
      <c r="BJ4" s="150">
        <v>0</v>
      </c>
      <c r="BK4" s="150">
        <v>5</v>
      </c>
      <c r="BL4" s="150">
        <v>0</v>
      </c>
      <c r="BM4" s="150">
        <v>10</v>
      </c>
      <c r="BN4" s="150">
        <v>0</v>
      </c>
      <c r="BO4" s="150">
        <v>10</v>
      </c>
      <c r="BP4" s="150">
        <v>0</v>
      </c>
      <c r="BQ4" s="150">
        <v>10</v>
      </c>
      <c r="BR4" s="150">
        <v>0</v>
      </c>
      <c r="BS4" s="150">
        <v>10</v>
      </c>
      <c r="BT4" s="150">
        <v>5</v>
      </c>
      <c r="BU4" s="150">
        <v>10</v>
      </c>
      <c r="BV4" s="150"/>
      <c r="BW4" s="150" t="s">
        <v>216</v>
      </c>
      <c r="BX4" s="150">
        <v>0</v>
      </c>
      <c r="BY4" s="150">
        <v>0</v>
      </c>
      <c r="BZ4" s="150">
        <v>0</v>
      </c>
      <c r="CA4" s="150">
        <v>0</v>
      </c>
      <c r="CB4" s="150">
        <v>10</v>
      </c>
      <c r="CC4" s="150">
        <v>5</v>
      </c>
      <c r="CD4" s="150">
        <v>10</v>
      </c>
      <c r="CE4" s="150">
        <v>10</v>
      </c>
      <c r="CF4" s="150">
        <v>0</v>
      </c>
      <c r="CG4" s="150">
        <v>5</v>
      </c>
      <c r="CH4" s="150">
        <v>5</v>
      </c>
      <c r="CI4" s="150">
        <v>10</v>
      </c>
      <c r="CJ4" s="150">
        <v>5</v>
      </c>
      <c r="CK4" s="150"/>
      <c r="CL4" s="150"/>
      <c r="CM4" s="150"/>
      <c r="CN4" s="150" t="s">
        <v>216</v>
      </c>
      <c r="CO4" s="150">
        <v>0</v>
      </c>
      <c r="CP4" s="150">
        <v>0</v>
      </c>
      <c r="CQ4" s="150">
        <v>0</v>
      </c>
      <c r="CR4" s="150">
        <v>5</v>
      </c>
      <c r="CS4" s="150">
        <v>0</v>
      </c>
      <c r="CT4" s="150">
        <v>10</v>
      </c>
      <c r="CU4" s="150">
        <v>0</v>
      </c>
      <c r="CV4" s="150">
        <v>10</v>
      </c>
      <c r="CW4" s="150">
        <v>5</v>
      </c>
      <c r="CX4" s="150">
        <v>0</v>
      </c>
      <c r="CY4" s="150">
        <v>10</v>
      </c>
      <c r="CZ4" s="150">
        <v>5</v>
      </c>
      <c r="DA4" s="150">
        <v>0</v>
      </c>
      <c r="DB4" s="150"/>
      <c r="DC4" s="150" t="s">
        <v>216</v>
      </c>
      <c r="DD4" s="150">
        <v>0</v>
      </c>
      <c r="DE4" s="150">
        <v>5</v>
      </c>
      <c r="DF4" s="150">
        <v>0</v>
      </c>
      <c r="DG4" s="150">
        <v>10</v>
      </c>
      <c r="DH4" s="150">
        <v>0</v>
      </c>
      <c r="DI4" s="150">
        <v>10</v>
      </c>
      <c r="DJ4" s="150">
        <v>10</v>
      </c>
      <c r="DK4" s="150">
        <v>5</v>
      </c>
      <c r="DL4" s="150">
        <v>10</v>
      </c>
      <c r="DM4" s="150">
        <v>5</v>
      </c>
      <c r="DN4" s="150">
        <v>5</v>
      </c>
      <c r="DO4" s="150">
        <v>10</v>
      </c>
      <c r="DP4" s="150">
        <v>5</v>
      </c>
      <c r="DQ4" s="181"/>
      <c r="DR4" s="181">
        <v>16</v>
      </c>
      <c r="DS4" s="181"/>
      <c r="DT4" s="150" t="s">
        <v>216</v>
      </c>
      <c r="DU4" s="150">
        <v>0</v>
      </c>
      <c r="DV4" s="150">
        <v>5</v>
      </c>
      <c r="DW4" s="150">
        <v>0</v>
      </c>
      <c r="DX4" s="150">
        <v>10</v>
      </c>
      <c r="DY4" s="150">
        <v>10</v>
      </c>
      <c r="DZ4" s="150">
        <v>0</v>
      </c>
      <c r="EA4" s="150">
        <v>10</v>
      </c>
      <c r="EB4" s="150">
        <v>5</v>
      </c>
      <c r="EC4" s="150">
        <v>5</v>
      </c>
      <c r="ED4" s="150">
        <v>5</v>
      </c>
      <c r="EE4" s="150">
        <v>10</v>
      </c>
      <c r="EF4" s="150">
        <v>5</v>
      </c>
      <c r="EG4" s="150">
        <v>0</v>
      </c>
      <c r="EH4" s="150"/>
      <c r="EI4" s="150"/>
      <c r="EJ4" s="155"/>
      <c r="EK4" s="150" t="s">
        <v>522</v>
      </c>
      <c r="EL4" s="150">
        <v>0</v>
      </c>
      <c r="EM4" s="150">
        <f>BJ4</f>
        <v>0</v>
      </c>
      <c r="EN4" s="150">
        <f>BK4</f>
        <v>5</v>
      </c>
      <c r="EO4" s="150">
        <v>0</v>
      </c>
      <c r="EP4" s="150">
        <f t="shared" ref="EP4:EX4" si="5">BM4</f>
        <v>10</v>
      </c>
      <c r="EQ4" s="150">
        <f t="shared" si="5"/>
        <v>0</v>
      </c>
      <c r="ER4" s="150">
        <f t="shared" si="5"/>
        <v>10</v>
      </c>
      <c r="ES4" s="150">
        <f t="shared" si="5"/>
        <v>0</v>
      </c>
      <c r="ET4" s="150">
        <f t="shared" si="5"/>
        <v>10</v>
      </c>
      <c r="EU4" s="150">
        <f t="shared" si="5"/>
        <v>0</v>
      </c>
      <c r="EV4" s="150">
        <f t="shared" si="5"/>
        <v>10</v>
      </c>
      <c r="EW4" s="150">
        <f t="shared" si="5"/>
        <v>5</v>
      </c>
      <c r="EX4" s="150">
        <f t="shared" si="5"/>
        <v>10</v>
      </c>
      <c r="EY4" s="150"/>
      <c r="EZ4" s="150" t="s">
        <v>522</v>
      </c>
      <c r="FA4" s="150">
        <v>0</v>
      </c>
      <c r="FB4" s="150">
        <f>BY4</f>
        <v>0</v>
      </c>
      <c r="FC4" s="150">
        <v>0</v>
      </c>
      <c r="FD4" s="150">
        <v>0</v>
      </c>
      <c r="FE4" s="150">
        <f t="shared" ref="FE4:FM4" si="6">CB4</f>
        <v>10</v>
      </c>
      <c r="FF4" s="150">
        <f t="shared" si="6"/>
        <v>5</v>
      </c>
      <c r="FG4" s="150">
        <f t="shared" si="6"/>
        <v>10</v>
      </c>
      <c r="FH4" s="150">
        <f t="shared" si="6"/>
        <v>10</v>
      </c>
      <c r="FI4" s="150">
        <f t="shared" si="6"/>
        <v>0</v>
      </c>
      <c r="FJ4" s="150">
        <f t="shared" si="6"/>
        <v>5</v>
      </c>
      <c r="FK4" s="150">
        <f t="shared" si="6"/>
        <v>5</v>
      </c>
      <c r="FL4" s="150">
        <f t="shared" si="6"/>
        <v>10</v>
      </c>
      <c r="FM4" s="150">
        <f t="shared" si="6"/>
        <v>5</v>
      </c>
      <c r="FN4" s="150"/>
      <c r="FO4" s="150" t="s">
        <v>522</v>
      </c>
      <c r="FP4" s="150">
        <v>0</v>
      </c>
      <c r="FQ4" s="150">
        <f>CP4</f>
        <v>0</v>
      </c>
      <c r="FR4" s="150">
        <v>0</v>
      </c>
      <c r="FS4" s="150">
        <f t="shared" ref="FS4:GB4" si="7">CR4</f>
        <v>5</v>
      </c>
      <c r="FT4" s="150">
        <f t="shared" si="7"/>
        <v>0</v>
      </c>
      <c r="FU4" s="150">
        <f t="shared" si="7"/>
        <v>10</v>
      </c>
      <c r="FV4" s="150">
        <f t="shared" si="7"/>
        <v>0</v>
      </c>
      <c r="FW4" s="150">
        <f t="shared" si="7"/>
        <v>10</v>
      </c>
      <c r="FX4" s="150">
        <f t="shared" si="7"/>
        <v>5</v>
      </c>
      <c r="FY4" s="150">
        <f t="shared" si="7"/>
        <v>0</v>
      </c>
      <c r="FZ4" s="150">
        <f t="shared" si="7"/>
        <v>10</v>
      </c>
      <c r="GA4" s="150">
        <f t="shared" si="7"/>
        <v>5</v>
      </c>
      <c r="GB4" s="150">
        <f t="shared" si="7"/>
        <v>0</v>
      </c>
      <c r="GC4" s="150"/>
      <c r="GD4" s="150" t="s">
        <v>522</v>
      </c>
      <c r="GE4" s="150">
        <v>0</v>
      </c>
      <c r="GF4" s="150">
        <f>DE4</f>
        <v>5</v>
      </c>
      <c r="GG4" s="150">
        <v>0</v>
      </c>
      <c r="GH4" s="150">
        <f t="shared" ref="GH4:GQ4" si="8">DG4</f>
        <v>10</v>
      </c>
      <c r="GI4" s="150">
        <f t="shared" si="8"/>
        <v>0</v>
      </c>
      <c r="GJ4" s="150">
        <f t="shared" si="8"/>
        <v>10</v>
      </c>
      <c r="GK4" s="150">
        <f t="shared" si="8"/>
        <v>10</v>
      </c>
      <c r="GL4" s="150">
        <f t="shared" si="8"/>
        <v>5</v>
      </c>
      <c r="GM4" s="150">
        <f t="shared" si="8"/>
        <v>10</v>
      </c>
      <c r="GN4" s="150">
        <f t="shared" si="8"/>
        <v>5</v>
      </c>
      <c r="GO4" s="150">
        <f t="shared" si="8"/>
        <v>5</v>
      </c>
      <c r="GP4" s="150">
        <f t="shared" si="8"/>
        <v>10</v>
      </c>
      <c r="GQ4" s="150">
        <f t="shared" si="8"/>
        <v>5</v>
      </c>
      <c r="GR4" s="150"/>
      <c r="GS4" s="150" t="s">
        <v>522</v>
      </c>
      <c r="GT4" s="150">
        <v>0</v>
      </c>
      <c r="GU4" s="150">
        <f>DV4</f>
        <v>5</v>
      </c>
      <c r="GV4" s="150">
        <v>0</v>
      </c>
      <c r="GW4" s="150">
        <f t="shared" ref="GW4:HF4" si="9">DX4</f>
        <v>10</v>
      </c>
      <c r="GX4" s="150">
        <f t="shared" si="9"/>
        <v>10</v>
      </c>
      <c r="GY4" s="150">
        <f t="shared" si="9"/>
        <v>0</v>
      </c>
      <c r="GZ4" s="150">
        <f t="shared" si="9"/>
        <v>10</v>
      </c>
      <c r="HA4" s="150">
        <f t="shared" si="9"/>
        <v>5</v>
      </c>
      <c r="HB4" s="150">
        <f t="shared" si="9"/>
        <v>5</v>
      </c>
      <c r="HC4" s="150">
        <f t="shared" si="9"/>
        <v>5</v>
      </c>
      <c r="HD4" s="150">
        <f t="shared" si="9"/>
        <v>10</v>
      </c>
      <c r="HE4" s="150">
        <f t="shared" si="9"/>
        <v>5</v>
      </c>
      <c r="HF4" s="150">
        <f t="shared" si="9"/>
        <v>0</v>
      </c>
      <c r="HG4" s="157"/>
      <c r="HH4" s="150"/>
    </row>
    <row r="5" spans="1:216" x14ac:dyDescent="0.25">
      <c r="A5" s="8"/>
      <c r="B5" s="5" t="s">
        <v>116</v>
      </c>
      <c r="C5" s="8"/>
      <c r="D5" s="6" t="s">
        <v>307</v>
      </c>
      <c r="E5" s="8" t="s">
        <v>312</v>
      </c>
      <c r="F5" s="5"/>
      <c r="G5" s="5"/>
      <c r="H5" s="5"/>
      <c r="I5" s="5"/>
      <c r="J5" s="5"/>
      <c r="K5" s="9"/>
      <c r="L5" s="6" t="str">
        <f>IF(E5=$AC$5,"CWT70H50/3NMC",IF(E5=$AC$6,"CWT70H50/2NMC",IF(E5=$AC$7,"CWT70H50/1NMC",IF(E5=$AC$8,"CWT70H50/1NMC",0))))</f>
        <v>CWT70H50/2NMC</v>
      </c>
      <c r="M5" s="11">
        <f>INDEX(cennik!$C$2:$L$529,MATCH($L5,cennik!$B$2:$B$522,0),MATCH(M$2,cennik!$C$1:$L$1,0))</f>
        <v>867820</v>
      </c>
      <c r="N5" s="11" t="str">
        <f>INDEX(cennik!$C$2:$L$529,MATCH($L5,cennik!$B$2:$B$522,0),MATCH(N$2,cennik!$C$1:$L$1,0))</f>
        <v>szt.</v>
      </c>
      <c r="O5" s="10">
        <f>SUM(AB2:AB17)</f>
        <v>5</v>
      </c>
      <c r="P5" s="34">
        <f>INDEX(cennik!$C$2:$L$529,MATCH($L5,cennik!$B$2:$B$522,0),MATCH(P$2,cennik!$C$1:$L$1,0))</f>
        <v>101.22</v>
      </c>
      <c r="Q5" s="34">
        <f t="shared" ref="Q5:Q6" si="10">O5*P5</f>
        <v>506.1</v>
      </c>
      <c r="R5" s="35">
        <f t="shared" si="3"/>
        <v>0</v>
      </c>
      <c r="S5" s="34">
        <f t="shared" si="4"/>
        <v>101.22</v>
      </c>
      <c r="T5" s="34">
        <f t="shared" ref="T5:T6" si="11">O5*S5</f>
        <v>506.1</v>
      </c>
      <c r="U5" s="34">
        <f>INDEX(cennik!$C$2:$L$529,MATCH($L5,cennik!$B$2:$B$522,0),MATCH(U$2,cennik!$C$1:$L$1,0))*O5</f>
        <v>37.599999999999994</v>
      </c>
      <c r="V5" s="62"/>
      <c r="W5" s="150">
        <f>INDEX(($EL$3:$EX$6,$EL$9:$EX$12,$EL$15:$EX$18,$FA$3:$FM$6,$FA$9:$FM$12,$FA$15:$FM$18,$FP$3:$GB$6,$FP$9:$GB$12,$FP$15:$GB$18,$GE$3:$GQ$6,$GE$9:$GQ$12,$GE$15:$GQ$18,$GT$3:$HF$6,$GT$9:$HF$12),MATCH($L$17,$EK$3:$EK$6,0),MATCH($A3,$EL$2:$EX$2,0),MATCH($E$3,$AE$33:$AE$48,0))*$C3</f>
        <v>0</v>
      </c>
      <c r="X5" s="150">
        <f>INDEX(($EL$3:$EX$6,$EL$9:$EX$12,$EL$15:$EX$18,$FA$3:$FM$6,$FA$9:$FM$12,$FA$15:$FM$18,$FP$3:$GB$6,$FP$9:$GB$12,$FP$15:$GB$18,$GE$3:$GQ$6,$GE$9:$GQ$12,$GE$15:$GQ$18,$GT$3:$HF$6,$GT$9:$HF$12),MATCH($L$14,$EK$3:$EK$6,0),MATCH($A3,$EL$2:$EX$2,0),MATCH($E$3,$AE$33:$AE$48,0))*$C3</f>
        <v>0</v>
      </c>
      <c r="Y5" s="150">
        <f>INDEX(($EL$3:$EX$6,$EL$9:$EX$12,$EL$15:$EX$18,$FA$3:$FM$6,$FA$9:$FM$12,$FA$15:$FM$18,$FP$3:$GB$6,$FP$9:$GB$12,$FP$15:$GB$18,$GE$3:$GQ$6,$GE$9:$GQ$12,$GE$15:$GQ$18,$GT$3:$HF$6,$GT$9:$HF$12),MATCH($L$15,$EK$3:$EK$6,0),MATCH($A3,$EL$2:$EX$2,0),MATCH($E$3,$AE$33:$AE$48,0))*$C3</f>
        <v>0</v>
      </c>
      <c r="Z5" s="150">
        <f>INDEX(($EL$3:$EX$6,$EL$9:$EX$12,$EL$15:$EX$18,$FA$3:$FM$6,$FA$9:$FM$12,$FA$15:$FM$18,$FP$3:$GB$6,$FP$9:$GB$12,$FP$15:$GB$18,$GE$3:$GQ$6,$GE$9:$GQ$12,$GE$15:$GQ$18,$GT$3:$HF$6,$GT$9:$HF$12),MATCH($L$16,$EK$3:$EK$6,0),MATCH($A3,$EL$2:$EX$2,0),MATCH($E$3,$AE$33:$AE$48,0))*$C3</f>
        <v>0</v>
      </c>
      <c r="AA5" s="150">
        <f t="shared" si="0"/>
        <v>0</v>
      </c>
      <c r="AB5" s="150">
        <f t="shared" si="1"/>
        <v>0</v>
      </c>
      <c r="AC5" s="150" t="s">
        <v>314</v>
      </c>
      <c r="AD5" s="150"/>
      <c r="AE5" s="150"/>
      <c r="AF5" s="150"/>
      <c r="AG5" s="171">
        <v>33</v>
      </c>
      <c r="AH5" s="158" t="s">
        <v>28</v>
      </c>
      <c r="AI5" s="158"/>
      <c r="AJ5" s="158" t="s">
        <v>110</v>
      </c>
      <c r="AK5" s="158" t="s">
        <v>67</v>
      </c>
      <c r="AL5" s="158">
        <v>33</v>
      </c>
      <c r="AM5" s="158"/>
      <c r="AN5" s="158"/>
      <c r="AO5" s="169" t="s">
        <v>151</v>
      </c>
      <c r="AP5" s="169" t="s">
        <v>151</v>
      </c>
      <c r="AQ5" s="169"/>
      <c r="AR5" s="62" t="s">
        <v>474</v>
      </c>
      <c r="AS5" s="150" t="s">
        <v>596</v>
      </c>
      <c r="AT5" s="62" t="s">
        <v>595</v>
      </c>
      <c r="AU5" s="62" t="s">
        <v>593</v>
      </c>
      <c r="AV5" s="150" t="s">
        <v>594</v>
      </c>
      <c r="AX5" s="169"/>
      <c r="AY5" s="172">
        <v>0</v>
      </c>
      <c r="AZ5" s="172">
        <v>0</v>
      </c>
      <c r="BA5" s="170">
        <v>0</v>
      </c>
      <c r="BG5" s="170">
        <f t="shared" si="2"/>
        <v>1</v>
      </c>
      <c r="BH5" s="150" t="s">
        <v>17</v>
      </c>
      <c r="BI5" s="150">
        <v>0</v>
      </c>
      <c r="BJ5" s="150">
        <v>5</v>
      </c>
      <c r="BK5" s="150">
        <v>0</v>
      </c>
      <c r="BL5" s="150">
        <v>0</v>
      </c>
      <c r="BM5" s="150">
        <v>0</v>
      </c>
      <c r="BN5" s="150">
        <v>5</v>
      </c>
      <c r="BO5" s="150">
        <v>5</v>
      </c>
      <c r="BP5" s="150">
        <v>0</v>
      </c>
      <c r="BQ5" s="150">
        <v>0</v>
      </c>
      <c r="BR5" s="150">
        <v>5</v>
      </c>
      <c r="BS5" s="150">
        <v>5</v>
      </c>
      <c r="BT5" s="150">
        <v>5</v>
      </c>
      <c r="BU5" s="150">
        <v>0</v>
      </c>
      <c r="BV5" s="150"/>
      <c r="BW5" s="150" t="s">
        <v>17</v>
      </c>
      <c r="BX5" s="150">
        <v>0</v>
      </c>
      <c r="BY5" s="150">
        <v>5</v>
      </c>
      <c r="BZ5" s="150">
        <v>0</v>
      </c>
      <c r="CA5" s="150">
        <v>0</v>
      </c>
      <c r="CB5" s="150">
        <v>0</v>
      </c>
      <c r="CC5" s="150">
        <v>0</v>
      </c>
      <c r="CD5" s="150">
        <v>5</v>
      </c>
      <c r="CE5" s="150">
        <v>0</v>
      </c>
      <c r="CF5" s="150">
        <v>5</v>
      </c>
      <c r="CG5" s="150">
        <v>0</v>
      </c>
      <c r="CH5" s="150">
        <v>5</v>
      </c>
      <c r="CI5" s="150">
        <v>0</v>
      </c>
      <c r="CJ5" s="150">
        <v>0</v>
      </c>
      <c r="CK5" s="150"/>
      <c r="CL5" s="150"/>
      <c r="CM5" s="150"/>
      <c r="CN5" s="150" t="s">
        <v>17</v>
      </c>
      <c r="CO5" s="150">
        <v>0</v>
      </c>
      <c r="CP5" s="150">
        <v>5</v>
      </c>
      <c r="CQ5" s="150">
        <v>0</v>
      </c>
      <c r="CR5" s="150">
        <v>5</v>
      </c>
      <c r="CS5" s="150">
        <v>5</v>
      </c>
      <c r="CT5" s="150">
        <v>5</v>
      </c>
      <c r="CU5" s="150">
        <v>0</v>
      </c>
      <c r="CV5" s="150">
        <v>0</v>
      </c>
      <c r="CW5" s="150">
        <v>0</v>
      </c>
      <c r="CX5" s="150">
        <v>0</v>
      </c>
      <c r="CY5" s="150">
        <v>0</v>
      </c>
      <c r="CZ5" s="150">
        <v>0</v>
      </c>
      <c r="DA5" s="150">
        <v>0</v>
      </c>
      <c r="DB5" s="150"/>
      <c r="DC5" s="150" t="s">
        <v>17</v>
      </c>
      <c r="DD5" s="150">
        <v>0</v>
      </c>
      <c r="DE5" s="150">
        <v>0</v>
      </c>
      <c r="DF5" s="150">
        <v>0</v>
      </c>
      <c r="DG5" s="150">
        <v>0</v>
      </c>
      <c r="DH5" s="150">
        <v>5</v>
      </c>
      <c r="DI5" s="150">
        <v>5</v>
      </c>
      <c r="DJ5" s="150">
        <v>0</v>
      </c>
      <c r="DK5" s="150">
        <v>0</v>
      </c>
      <c r="DL5" s="150">
        <v>5</v>
      </c>
      <c r="DM5" s="150">
        <v>5</v>
      </c>
      <c r="DN5" s="150">
        <v>0</v>
      </c>
      <c r="DO5" s="150">
        <v>5</v>
      </c>
      <c r="DP5" s="150">
        <v>5</v>
      </c>
      <c r="DQ5" s="181"/>
      <c r="DR5" s="181">
        <v>20</v>
      </c>
      <c r="DS5" s="181"/>
      <c r="DT5" s="150" t="s">
        <v>17</v>
      </c>
      <c r="DU5" s="150">
        <v>0</v>
      </c>
      <c r="DV5" s="150">
        <v>0</v>
      </c>
      <c r="DW5" s="150">
        <v>0</v>
      </c>
      <c r="DX5" s="150">
        <v>0</v>
      </c>
      <c r="DY5" s="150">
        <v>5</v>
      </c>
      <c r="DZ5" s="150">
        <v>0</v>
      </c>
      <c r="EA5" s="150">
        <v>0</v>
      </c>
      <c r="EB5" s="150">
        <v>0</v>
      </c>
      <c r="EC5" s="150">
        <v>5</v>
      </c>
      <c r="ED5" s="150">
        <v>0</v>
      </c>
      <c r="EE5" s="150">
        <v>5</v>
      </c>
      <c r="EF5" s="150">
        <v>5</v>
      </c>
      <c r="EG5" s="150">
        <v>5</v>
      </c>
      <c r="EH5" s="150"/>
      <c r="EI5" s="150"/>
      <c r="EJ5" s="155"/>
      <c r="EK5" s="150" t="s">
        <v>523</v>
      </c>
      <c r="EL5" s="150">
        <v>0</v>
      </c>
      <c r="EM5" s="150">
        <f>BJ5+(BJ3*2)</f>
        <v>5</v>
      </c>
      <c r="EN5" s="150">
        <f>BK5+(BK3*2)</f>
        <v>0</v>
      </c>
      <c r="EO5" s="150">
        <v>0</v>
      </c>
      <c r="EP5" s="150">
        <f t="shared" ref="EP5:EX5" si="12">BM5+(BM3*2)</f>
        <v>0</v>
      </c>
      <c r="EQ5" s="150">
        <f t="shared" si="12"/>
        <v>15</v>
      </c>
      <c r="ER5" s="150">
        <f t="shared" si="12"/>
        <v>5</v>
      </c>
      <c r="ES5" s="150">
        <f t="shared" si="12"/>
        <v>20</v>
      </c>
      <c r="ET5" s="150">
        <f t="shared" si="12"/>
        <v>10</v>
      </c>
      <c r="EU5" s="150">
        <f t="shared" si="12"/>
        <v>25</v>
      </c>
      <c r="EV5" s="150">
        <f t="shared" si="12"/>
        <v>15</v>
      </c>
      <c r="EW5" s="150">
        <f t="shared" si="12"/>
        <v>25</v>
      </c>
      <c r="EX5" s="150">
        <f t="shared" si="12"/>
        <v>20</v>
      </c>
      <c r="EY5" s="150"/>
      <c r="EZ5" s="150" t="s">
        <v>523</v>
      </c>
      <c r="FA5" s="150">
        <v>0</v>
      </c>
      <c r="FB5" s="150">
        <f>BY5+(BY3*2)</f>
        <v>5</v>
      </c>
      <c r="FC5" s="150">
        <v>0</v>
      </c>
      <c r="FD5" s="150">
        <v>0</v>
      </c>
      <c r="FE5" s="150">
        <f t="shared" ref="FE5:FM5" si="13">CB5+(CB3*2)</f>
        <v>0</v>
      </c>
      <c r="FF5" s="150">
        <f t="shared" si="13"/>
        <v>10</v>
      </c>
      <c r="FG5" s="150">
        <f t="shared" si="13"/>
        <v>5</v>
      </c>
      <c r="FH5" s="150">
        <f t="shared" si="13"/>
        <v>10</v>
      </c>
      <c r="FI5" s="150">
        <f t="shared" si="13"/>
        <v>25</v>
      </c>
      <c r="FJ5" s="150">
        <f t="shared" si="13"/>
        <v>20</v>
      </c>
      <c r="FK5" s="150">
        <f t="shared" si="13"/>
        <v>25</v>
      </c>
      <c r="FL5" s="150">
        <f t="shared" si="13"/>
        <v>20</v>
      </c>
      <c r="FM5" s="150">
        <f t="shared" si="13"/>
        <v>30</v>
      </c>
      <c r="FN5" s="150"/>
      <c r="FO5" s="150" t="s">
        <v>523</v>
      </c>
      <c r="FP5" s="150">
        <v>0</v>
      </c>
      <c r="FQ5" s="150">
        <f>CP5+(CP3*2)</f>
        <v>5</v>
      </c>
      <c r="FR5" s="150">
        <v>0</v>
      </c>
      <c r="FS5" s="150">
        <f t="shared" ref="FS5:GB5" si="14">CR5+(CR3*2)</f>
        <v>5</v>
      </c>
      <c r="FT5" s="150">
        <f t="shared" si="14"/>
        <v>15</v>
      </c>
      <c r="FU5" s="150">
        <f t="shared" si="14"/>
        <v>5</v>
      </c>
      <c r="FV5" s="150">
        <f t="shared" si="14"/>
        <v>20</v>
      </c>
      <c r="FW5" s="150">
        <f t="shared" si="14"/>
        <v>10</v>
      </c>
      <c r="FX5" s="150">
        <f t="shared" si="14"/>
        <v>20</v>
      </c>
      <c r="FY5" s="150">
        <f t="shared" si="14"/>
        <v>30</v>
      </c>
      <c r="FZ5" s="150">
        <f t="shared" si="14"/>
        <v>20</v>
      </c>
      <c r="GA5" s="150">
        <f t="shared" si="14"/>
        <v>30</v>
      </c>
      <c r="GB5" s="150">
        <f t="shared" si="14"/>
        <v>40</v>
      </c>
      <c r="GC5" s="150"/>
      <c r="GD5" s="150" t="s">
        <v>523</v>
      </c>
      <c r="GE5" s="150">
        <v>0</v>
      </c>
      <c r="GF5" s="150">
        <f>DE5+(DE3*2)</f>
        <v>0</v>
      </c>
      <c r="GG5" s="150">
        <v>0</v>
      </c>
      <c r="GH5" s="150">
        <f t="shared" ref="GH5:GQ5" si="15">DG5+(DG3*2)</f>
        <v>0</v>
      </c>
      <c r="GI5" s="150">
        <f t="shared" si="15"/>
        <v>15</v>
      </c>
      <c r="GJ5" s="150">
        <f t="shared" si="15"/>
        <v>5</v>
      </c>
      <c r="GK5" s="150">
        <f t="shared" si="15"/>
        <v>10</v>
      </c>
      <c r="GL5" s="150">
        <f t="shared" si="15"/>
        <v>20</v>
      </c>
      <c r="GM5" s="150">
        <f t="shared" si="15"/>
        <v>15</v>
      </c>
      <c r="GN5" s="150">
        <f t="shared" si="15"/>
        <v>25</v>
      </c>
      <c r="GO5" s="150">
        <f t="shared" si="15"/>
        <v>30</v>
      </c>
      <c r="GP5" s="150">
        <f t="shared" si="15"/>
        <v>25</v>
      </c>
      <c r="GQ5" s="150">
        <f t="shared" si="15"/>
        <v>35</v>
      </c>
      <c r="GR5" s="150"/>
      <c r="GS5" s="150" t="s">
        <v>523</v>
      </c>
      <c r="GT5" s="150">
        <v>0</v>
      </c>
      <c r="GU5" s="150">
        <f>DV5+(DV3*2)</f>
        <v>0</v>
      </c>
      <c r="GV5" s="150">
        <v>0</v>
      </c>
      <c r="GW5" s="150">
        <f t="shared" ref="GW5:HF5" si="16">DX5+(DX3*2)</f>
        <v>0</v>
      </c>
      <c r="GX5" s="150">
        <f t="shared" si="16"/>
        <v>5</v>
      </c>
      <c r="GY5" s="150">
        <f t="shared" si="16"/>
        <v>20</v>
      </c>
      <c r="GZ5" s="150">
        <f t="shared" si="16"/>
        <v>10</v>
      </c>
      <c r="HA5" s="150">
        <f t="shared" si="16"/>
        <v>20</v>
      </c>
      <c r="HB5" s="150">
        <f t="shared" si="16"/>
        <v>25</v>
      </c>
      <c r="HC5" s="150">
        <f t="shared" si="16"/>
        <v>30</v>
      </c>
      <c r="HD5" s="150">
        <f t="shared" si="16"/>
        <v>25</v>
      </c>
      <c r="HE5" s="150">
        <f t="shared" si="16"/>
        <v>35</v>
      </c>
      <c r="HF5" s="150">
        <f t="shared" si="16"/>
        <v>45</v>
      </c>
      <c r="HG5" s="157"/>
      <c r="HH5" s="150"/>
    </row>
    <row r="6" spans="1:216" x14ac:dyDescent="0.25">
      <c r="A6" s="8"/>
      <c r="B6" s="5" t="s">
        <v>116</v>
      </c>
      <c r="C6" s="8"/>
      <c r="D6" s="6" t="s">
        <v>315</v>
      </c>
      <c r="E6" s="8">
        <v>0</v>
      </c>
      <c r="F6" s="5"/>
      <c r="G6" s="5"/>
      <c r="H6" s="5"/>
      <c r="I6" s="5"/>
      <c r="J6" s="5" t="s">
        <v>412</v>
      </c>
      <c r="K6" s="9"/>
      <c r="L6" s="6" t="str">
        <f>INDEX((AS3:AV9,AS13:AV19),MATCH(G3,AR3:AR9,0),MATCH(E5,AS2:AV2,0),MATCH(E10,DS6:DS7,0))</f>
        <v>CWT70H50/4,4NMC</v>
      </c>
      <c r="M6" s="11">
        <f>INDEX(cennik!$C$2:$L$529,MATCH($L6,cennik!$B$2:$B$522,0),MATCH(M$2,cennik!$C$1:$L$1,0))</f>
        <v>867844</v>
      </c>
      <c r="N6" s="11" t="str">
        <f>INDEX(cennik!$C$2:$L$529,MATCH($L6,cennik!$B$2:$B$522,0),MATCH(N$2,cennik!$C$1:$L$1,0))</f>
        <v>szt.</v>
      </c>
      <c r="O6" s="11">
        <f>O5</f>
        <v>5</v>
      </c>
      <c r="P6" s="34">
        <f>INDEX(cennik!$C$2:$L$529,MATCH($L6,cennik!$B$2:$B$522,0),MATCH(P$2,cennik!$C$1:$L$1,0))</f>
        <v>222.68</v>
      </c>
      <c r="Q6" s="34">
        <f t="shared" si="10"/>
        <v>1113.4000000000001</v>
      </c>
      <c r="R6" s="35">
        <f t="shared" si="3"/>
        <v>0</v>
      </c>
      <c r="S6" s="34">
        <f t="shared" si="4"/>
        <v>222.68</v>
      </c>
      <c r="T6" s="34">
        <f t="shared" si="11"/>
        <v>1113.4000000000001</v>
      </c>
      <c r="U6" s="34">
        <f>INDEX(cennik!$C$2:$L$529,MATCH($L6,cennik!$B$2:$B$522,0),MATCH(U$2,cennik!$C$1:$L$1,0))*O6</f>
        <v>82.699999999999989</v>
      </c>
      <c r="V6" s="62"/>
      <c r="W6" s="150">
        <f>INDEX(($EL$3:$EX$6,$EL$9:$EX$12,$EL$15:$EX$18,$FA$3:$FM$6,$FA$9:$FM$12,$FA$15:$FM$18,$FP$3:$GB$6,$FP$9:$GB$12,$FP$15:$GB$18,$GE$3:$GQ$6,$GE$9:$GQ$12,$GE$15:$GQ$18,$GT$3:$HF$6,$GT$9:$HF$12),MATCH($L$17,$EK$3:$EK$6,0),MATCH($A4,$EL$2:$EX$2,0),MATCH($E$3,$AE$33:$AE$48,0))*$C4</f>
        <v>0</v>
      </c>
      <c r="X6" s="150">
        <f>INDEX(($EL$3:$EX$6,$EL$9:$EX$12,$EL$15:$EX$18,$FA$3:$FM$6,$FA$9:$FM$12,$FA$15:$FM$18,$FP$3:$GB$6,$FP$9:$GB$12,$FP$15:$GB$18,$GE$3:$GQ$6,$GE$9:$GQ$12,$GE$15:$GQ$18,$GT$3:$HF$6,$GT$9:$HF$12),MATCH($L$14,$EK$3:$EK$6,0),MATCH($A4,$EL$2:$EX$2,0),MATCH($E$3,$AE$33:$AE$48,0))*$C4</f>
        <v>0</v>
      </c>
      <c r="Y6" s="150">
        <f>INDEX(($EL$3:$EX$6,$EL$9:$EX$12,$EL$15:$EX$18,$FA$3:$FM$6,$FA$9:$FM$12,$FA$15:$FM$18,$FP$3:$GB$6,$FP$9:$GB$12,$FP$15:$GB$18,$GE$3:$GQ$6,$GE$9:$GQ$12,$GE$15:$GQ$18,$GT$3:$HF$6,$GT$9:$HF$12),MATCH($L$15,$EK$3:$EK$6,0),MATCH($A4,$EL$2:$EX$2,0),MATCH($E$3,$AE$33:$AE$48,0))*$C4</f>
        <v>0</v>
      </c>
      <c r="Z6" s="150">
        <f>INDEX(($EL$3:$EX$6,$EL$9:$EX$12,$EL$15:$EX$18,$FA$3:$FM$6,$FA$9:$FM$12,$FA$15:$FM$18,$FP$3:$GB$6,$FP$9:$GB$12,$FP$15:$GB$18,$GE$3:$GQ$6,$GE$9:$GQ$12,$GE$15:$GQ$18,$GT$3:$HF$6,$GT$9:$HF$12),MATCH($L$16,$EK$3:$EK$6,0),MATCH($A4,$EL$2:$EX$2,0),MATCH($E$3,$AE$33:$AE$48,0))*$C4</f>
        <v>0</v>
      </c>
      <c r="AA6" s="150">
        <f t="shared" si="0"/>
        <v>0</v>
      </c>
      <c r="AB6" s="150">
        <f t="shared" si="1"/>
        <v>0</v>
      </c>
      <c r="AC6" s="150" t="s">
        <v>312</v>
      </c>
      <c r="AD6" s="150"/>
      <c r="AE6" s="150"/>
      <c r="AF6" s="150"/>
      <c r="AG6" s="171">
        <v>34</v>
      </c>
      <c r="AH6" s="158"/>
      <c r="AI6" s="158"/>
      <c r="AJ6" s="158" t="s">
        <v>110</v>
      </c>
      <c r="AK6" s="158" t="s">
        <v>67</v>
      </c>
      <c r="AL6" s="158">
        <v>34</v>
      </c>
      <c r="AM6" s="158" t="s">
        <v>40</v>
      </c>
      <c r="AN6" s="158"/>
      <c r="AO6" s="169" t="s">
        <v>151</v>
      </c>
      <c r="AP6" s="169" t="s">
        <v>151</v>
      </c>
      <c r="AQ6" s="169"/>
      <c r="AR6" s="62" t="s">
        <v>480</v>
      </c>
      <c r="AS6" s="62" t="s">
        <v>596</v>
      </c>
      <c r="AT6" s="62" t="s">
        <v>596</v>
      </c>
      <c r="AU6" s="62" t="s">
        <v>594</v>
      </c>
      <c r="AV6" s="150" t="s">
        <v>594</v>
      </c>
      <c r="AX6" s="169"/>
      <c r="AY6" s="172">
        <v>1</v>
      </c>
      <c r="AZ6" s="172">
        <v>1</v>
      </c>
      <c r="BA6" s="170">
        <v>1</v>
      </c>
      <c r="BG6" s="170">
        <f t="shared" si="2"/>
        <v>1</v>
      </c>
      <c r="BH6" s="158" t="s">
        <v>779</v>
      </c>
      <c r="BI6" s="158">
        <v>0</v>
      </c>
      <c r="BJ6" s="150">
        <v>0</v>
      </c>
      <c r="BK6" s="150">
        <v>0</v>
      </c>
      <c r="BL6" s="150">
        <v>0</v>
      </c>
      <c r="BM6" s="150">
        <v>5</v>
      </c>
      <c r="BN6" s="150">
        <v>5</v>
      </c>
      <c r="BO6" s="150">
        <v>10</v>
      </c>
      <c r="BP6" s="150">
        <v>5</v>
      </c>
      <c r="BQ6" s="150">
        <v>10</v>
      </c>
      <c r="BR6" s="150">
        <v>10</v>
      </c>
      <c r="BS6" s="150">
        <v>15</v>
      </c>
      <c r="BT6" s="150">
        <v>15</v>
      </c>
      <c r="BU6" s="150">
        <v>15</v>
      </c>
      <c r="BV6" s="150"/>
      <c r="BW6" s="158" t="s">
        <v>779</v>
      </c>
      <c r="BX6" s="150">
        <v>0</v>
      </c>
      <c r="BY6" s="150">
        <v>0</v>
      </c>
      <c r="BZ6" s="150">
        <v>0</v>
      </c>
      <c r="CA6" s="150">
        <v>0</v>
      </c>
      <c r="CB6" s="150">
        <v>5</v>
      </c>
      <c r="CC6" s="150">
        <v>5</v>
      </c>
      <c r="CD6" s="150">
        <v>10</v>
      </c>
      <c r="CE6" s="150">
        <v>10</v>
      </c>
      <c r="CF6" s="150">
        <v>10</v>
      </c>
      <c r="CG6" s="150">
        <v>10</v>
      </c>
      <c r="CH6" s="150">
        <v>15</v>
      </c>
      <c r="CI6" s="150">
        <v>15</v>
      </c>
      <c r="CJ6" s="150">
        <v>15</v>
      </c>
      <c r="CK6" s="150"/>
      <c r="CL6" s="150"/>
      <c r="CM6" s="150"/>
      <c r="CN6" s="158" t="s">
        <v>779</v>
      </c>
      <c r="CO6" s="150">
        <v>0</v>
      </c>
      <c r="CP6" s="150">
        <v>0</v>
      </c>
      <c r="CQ6" s="150">
        <v>0</v>
      </c>
      <c r="CR6" s="150">
        <v>5</v>
      </c>
      <c r="CS6" s="150">
        <v>5</v>
      </c>
      <c r="CT6" s="150">
        <v>10</v>
      </c>
      <c r="CU6" s="150">
        <v>5</v>
      </c>
      <c r="CV6" s="150">
        <v>10</v>
      </c>
      <c r="CW6" s="150">
        <v>10</v>
      </c>
      <c r="CX6" s="150">
        <v>10</v>
      </c>
      <c r="CY6" s="150">
        <v>15</v>
      </c>
      <c r="CZ6" s="150">
        <v>15</v>
      </c>
      <c r="DA6" s="150">
        <v>15</v>
      </c>
      <c r="DB6" s="150"/>
      <c r="DC6" s="158" t="s">
        <v>779</v>
      </c>
      <c r="DD6" s="158">
        <v>0</v>
      </c>
      <c r="DE6" s="150">
        <v>0</v>
      </c>
      <c r="DF6" s="150">
        <v>0</v>
      </c>
      <c r="DG6" s="150">
        <v>5</v>
      </c>
      <c r="DH6" s="150">
        <v>5</v>
      </c>
      <c r="DI6" s="150">
        <v>10</v>
      </c>
      <c r="DJ6" s="150">
        <v>10</v>
      </c>
      <c r="DK6" s="150">
        <v>10</v>
      </c>
      <c r="DL6" s="150">
        <v>15</v>
      </c>
      <c r="DM6" s="150">
        <v>15</v>
      </c>
      <c r="DN6" s="150">
        <v>15</v>
      </c>
      <c r="DO6" s="150">
        <v>20</v>
      </c>
      <c r="DP6" s="150">
        <v>20</v>
      </c>
      <c r="DQ6" s="181"/>
      <c r="DR6" s="181">
        <v>24</v>
      </c>
      <c r="DS6" s="181">
        <v>25</v>
      </c>
      <c r="DT6" s="158" t="s">
        <v>779</v>
      </c>
      <c r="DU6" s="158">
        <v>0</v>
      </c>
      <c r="DV6" s="150">
        <v>0</v>
      </c>
      <c r="DW6" s="150">
        <v>0</v>
      </c>
      <c r="DX6" s="150">
        <v>5</v>
      </c>
      <c r="DY6" s="150">
        <v>10</v>
      </c>
      <c r="DZ6" s="150">
        <v>5</v>
      </c>
      <c r="EA6" s="150">
        <v>10</v>
      </c>
      <c r="EB6" s="150">
        <v>10</v>
      </c>
      <c r="EC6" s="150">
        <v>15</v>
      </c>
      <c r="ED6" s="150">
        <v>15</v>
      </c>
      <c r="EE6" s="150">
        <v>20</v>
      </c>
      <c r="EF6" s="150">
        <v>20</v>
      </c>
      <c r="EG6" s="150">
        <v>20</v>
      </c>
      <c r="EH6" s="150"/>
      <c r="EI6" s="150"/>
      <c r="EJ6" s="155"/>
      <c r="EK6" s="158" t="s">
        <v>779</v>
      </c>
      <c r="EL6" s="150">
        <v>0</v>
      </c>
      <c r="EM6" s="150">
        <f>((SUM(EM4:EM5)/5)-1)*5</f>
        <v>0</v>
      </c>
      <c r="EN6" s="150">
        <f t="shared" ref="EN6:EX6" si="17">((SUM(EN4:EN5)/5)-1)*5</f>
        <v>0</v>
      </c>
      <c r="EO6" s="150">
        <v>0</v>
      </c>
      <c r="EP6" s="150">
        <f t="shared" si="17"/>
        <v>5</v>
      </c>
      <c r="EQ6" s="150">
        <f t="shared" si="17"/>
        <v>10</v>
      </c>
      <c r="ER6" s="150">
        <f t="shared" si="17"/>
        <v>10</v>
      </c>
      <c r="ES6" s="150">
        <f t="shared" si="17"/>
        <v>15</v>
      </c>
      <c r="ET6" s="150">
        <f t="shared" si="17"/>
        <v>15</v>
      </c>
      <c r="EU6" s="150">
        <f t="shared" si="17"/>
        <v>20</v>
      </c>
      <c r="EV6" s="150">
        <f t="shared" si="17"/>
        <v>20</v>
      </c>
      <c r="EW6" s="150">
        <f t="shared" si="17"/>
        <v>25</v>
      </c>
      <c r="EX6" s="150">
        <f t="shared" si="17"/>
        <v>25</v>
      </c>
      <c r="EY6" s="150"/>
      <c r="EZ6" s="158" t="s">
        <v>779</v>
      </c>
      <c r="FA6" s="150">
        <v>0</v>
      </c>
      <c r="FB6" s="150">
        <f>((SUM(FB4:FB5)/5)-1)*5</f>
        <v>0</v>
      </c>
      <c r="FC6" s="150">
        <v>0</v>
      </c>
      <c r="FD6" s="150">
        <v>0</v>
      </c>
      <c r="FE6" s="150">
        <f t="shared" ref="FE6:FM6" si="18">((SUM(FE4:FE5)/5)-1)*5</f>
        <v>5</v>
      </c>
      <c r="FF6" s="150">
        <f t="shared" si="18"/>
        <v>10</v>
      </c>
      <c r="FG6" s="150">
        <f t="shared" si="18"/>
        <v>10</v>
      </c>
      <c r="FH6" s="150">
        <f t="shared" si="18"/>
        <v>15</v>
      </c>
      <c r="FI6" s="150">
        <f t="shared" si="18"/>
        <v>20</v>
      </c>
      <c r="FJ6" s="150">
        <f t="shared" si="18"/>
        <v>20</v>
      </c>
      <c r="FK6" s="150">
        <f t="shared" si="18"/>
        <v>25</v>
      </c>
      <c r="FL6" s="150">
        <f t="shared" si="18"/>
        <v>25</v>
      </c>
      <c r="FM6" s="150">
        <f t="shared" si="18"/>
        <v>30</v>
      </c>
      <c r="FN6" s="150"/>
      <c r="FO6" s="158" t="s">
        <v>779</v>
      </c>
      <c r="FP6" s="150">
        <v>0</v>
      </c>
      <c r="FQ6" s="150">
        <f>((SUM(FQ4:FQ5)/5)-1)*5</f>
        <v>0</v>
      </c>
      <c r="FR6" s="150">
        <v>0</v>
      </c>
      <c r="FS6" s="150">
        <f t="shared" ref="FS6:GB6" si="19">((SUM(FS4:FS5)/5)-1)*5</f>
        <v>5</v>
      </c>
      <c r="FT6" s="150">
        <f t="shared" si="19"/>
        <v>10</v>
      </c>
      <c r="FU6" s="150">
        <f t="shared" si="19"/>
        <v>10</v>
      </c>
      <c r="FV6" s="150">
        <f t="shared" si="19"/>
        <v>15</v>
      </c>
      <c r="FW6" s="150">
        <f t="shared" si="19"/>
        <v>15</v>
      </c>
      <c r="FX6" s="150">
        <f t="shared" si="19"/>
        <v>20</v>
      </c>
      <c r="FY6" s="150">
        <f t="shared" si="19"/>
        <v>25</v>
      </c>
      <c r="FZ6" s="150">
        <f t="shared" si="19"/>
        <v>25</v>
      </c>
      <c r="GA6" s="150">
        <f t="shared" si="19"/>
        <v>30</v>
      </c>
      <c r="GB6" s="150">
        <f t="shared" si="19"/>
        <v>35</v>
      </c>
      <c r="GC6" s="150"/>
      <c r="GD6" s="158" t="s">
        <v>779</v>
      </c>
      <c r="GE6" s="150">
        <v>0</v>
      </c>
      <c r="GF6" s="150">
        <f>((SUM(GF4:GF5)/5)-1)*5</f>
        <v>0</v>
      </c>
      <c r="GG6" s="150">
        <v>0</v>
      </c>
      <c r="GH6" s="150">
        <f t="shared" ref="GH6:GQ6" si="20">((SUM(GH4:GH5)/5)-1)*5</f>
        <v>5</v>
      </c>
      <c r="GI6" s="150">
        <f t="shared" si="20"/>
        <v>10</v>
      </c>
      <c r="GJ6" s="150">
        <f t="shared" si="20"/>
        <v>10</v>
      </c>
      <c r="GK6" s="150">
        <f t="shared" si="20"/>
        <v>15</v>
      </c>
      <c r="GL6" s="150">
        <f t="shared" si="20"/>
        <v>20</v>
      </c>
      <c r="GM6" s="150">
        <f t="shared" si="20"/>
        <v>20</v>
      </c>
      <c r="GN6" s="150">
        <f t="shared" si="20"/>
        <v>25</v>
      </c>
      <c r="GO6" s="150">
        <f t="shared" si="20"/>
        <v>30</v>
      </c>
      <c r="GP6" s="150">
        <f t="shared" si="20"/>
        <v>30</v>
      </c>
      <c r="GQ6" s="150">
        <f t="shared" si="20"/>
        <v>35</v>
      </c>
      <c r="GR6" s="150"/>
      <c r="GS6" s="158" t="s">
        <v>779</v>
      </c>
      <c r="GT6" s="158">
        <v>0</v>
      </c>
      <c r="GU6" s="150">
        <f>((SUM(GU4:GU5)/5)-1)*5</f>
        <v>0</v>
      </c>
      <c r="GV6" s="150">
        <v>0</v>
      </c>
      <c r="GW6" s="150">
        <f t="shared" ref="GW6:HF6" si="21">((SUM(GW4:GW5)/5)-1)*5</f>
        <v>5</v>
      </c>
      <c r="GX6" s="150">
        <f t="shared" si="21"/>
        <v>10</v>
      </c>
      <c r="GY6" s="150">
        <f t="shared" si="21"/>
        <v>15</v>
      </c>
      <c r="GZ6" s="150">
        <f t="shared" si="21"/>
        <v>15</v>
      </c>
      <c r="HA6" s="150">
        <f t="shared" si="21"/>
        <v>20</v>
      </c>
      <c r="HB6" s="150">
        <f t="shared" si="21"/>
        <v>25</v>
      </c>
      <c r="HC6" s="150">
        <f t="shared" si="21"/>
        <v>30</v>
      </c>
      <c r="HD6" s="150">
        <f t="shared" si="21"/>
        <v>30</v>
      </c>
      <c r="HE6" s="150">
        <f t="shared" si="21"/>
        <v>35</v>
      </c>
      <c r="HF6" s="150">
        <f t="shared" si="21"/>
        <v>40</v>
      </c>
      <c r="HG6" s="157"/>
      <c r="HH6" s="150"/>
    </row>
    <row r="7" spans="1:216" x14ac:dyDescent="0.25">
      <c r="A7" s="8"/>
      <c r="B7" s="5" t="s">
        <v>116</v>
      </c>
      <c r="C7" s="8"/>
      <c r="D7" s="6" t="s">
        <v>162</v>
      </c>
      <c r="E7" s="8">
        <v>0</v>
      </c>
      <c r="F7" s="5"/>
      <c r="G7" s="5"/>
      <c r="H7" s="5"/>
      <c r="I7" s="5"/>
      <c r="J7" s="5" t="s">
        <v>163</v>
      </c>
      <c r="K7" s="9"/>
      <c r="L7" s="6" t="str">
        <f>IF(E10=25,"-------",IF(E10=30,(INDEX((BC13:BF19),MATCH(G3,BB13:BB19,0),MATCH(E5,BC12:BF12,0))),0))</f>
        <v>-------</v>
      </c>
      <c r="M7" s="11" t="str">
        <f>INDEX(cennik!$C$2:$L$529,MATCH($L7,cennik!$B$2:$B$522,0),MATCH(M$2,cennik!$C$1:$L$1,0))</f>
        <v>-------</v>
      </c>
      <c r="N7" s="11">
        <f>INDEX(cennik!$C$2:$L$529,MATCH($L7,cennik!$B$2:$B$522,0),MATCH(N$2,cennik!$C$1:$L$1,0))</f>
        <v>0</v>
      </c>
      <c r="O7" s="11">
        <f>IF(L7="CWT70H50/2NMC",O6,0)</f>
        <v>0</v>
      </c>
      <c r="P7" s="34">
        <f>INDEX(cennik!$C$2:$L$529,MATCH($L7,cennik!$B$2:$B$522,0),MATCH(P$2,cennik!$C$1:$L$1,0))</f>
        <v>0</v>
      </c>
      <c r="Q7" s="34">
        <f t="shared" ref="Q7:Q13" si="22">O7*P7</f>
        <v>0</v>
      </c>
      <c r="R7" s="35">
        <f t="shared" si="3"/>
        <v>0</v>
      </c>
      <c r="S7" s="34">
        <f t="shared" ref="S7:S13" si="23">P7*((100-$E$7)/100)</f>
        <v>0</v>
      </c>
      <c r="T7" s="34">
        <f t="shared" ref="T7:T13" si="24">O7*S7</f>
        <v>0</v>
      </c>
      <c r="U7" s="34">
        <f>INDEX(cennik!$C$2:$L$529,MATCH($L7,cennik!$B$2:$B$522,0),MATCH(U$2,cennik!$C$1:$L$1,0))*O7</f>
        <v>0</v>
      </c>
      <c r="V7" s="62"/>
      <c r="W7" s="150">
        <f>INDEX(($EL$3:$EX$6,$EL$9:$EX$12,$EL$15:$EX$18,$FA$3:$FM$6,$FA$9:$FM$12,$FA$15:$FM$18,$FP$3:$GB$6,$FP$9:$GB$12,$FP$15:$GB$18,$GE$3:$GQ$6,$GE$9:$GQ$12,$GE$15:$GQ$18,$GT$3:$HF$6,$GT$9:$HF$12),MATCH($L$17,$EK$3:$EK$6,0),MATCH($A5,$EL$2:$EX$2,0),MATCH($E$3,$AE$33:$AE$48,0))*$C5</f>
        <v>0</v>
      </c>
      <c r="X7" s="150">
        <f>INDEX(($EL$3:$EX$6,$EL$9:$EX$12,$EL$15:$EX$18,$FA$3:$FM$6,$FA$9:$FM$12,$FA$15:$FM$18,$FP$3:$GB$6,$FP$9:$GB$12,$FP$15:$GB$18,$GE$3:$GQ$6,$GE$9:$GQ$12,$GE$15:$GQ$18,$GT$3:$HF$6,$GT$9:$HF$12),MATCH($L$14,$EK$3:$EK$6,0),MATCH($A5,$EL$2:$EX$2,0),MATCH($E$3,$AE$33:$AE$48,0))*$C5</f>
        <v>0</v>
      </c>
      <c r="Y7" s="150">
        <f>INDEX(($EL$3:$EX$6,$EL$9:$EX$12,$EL$15:$EX$18,$FA$3:$FM$6,$FA$9:$FM$12,$FA$15:$FM$18,$FP$3:$GB$6,$FP$9:$GB$12,$FP$15:$GB$18,$GE$3:$GQ$6,$GE$9:$GQ$12,$GE$15:$GQ$18,$GT$3:$HF$6,$GT$9:$HF$12),MATCH($L$15,$EK$3:$EK$6,0),MATCH($A5,$EL$2:$EX$2,0),MATCH($E$3,$AE$33:$AE$48,0))*$C5</f>
        <v>0</v>
      </c>
      <c r="Z7" s="150">
        <f>INDEX(($EL$3:$EX$6,$EL$9:$EX$12,$EL$15:$EX$18,$FA$3:$FM$6,$FA$9:$FM$12,$FA$15:$FM$18,$FP$3:$GB$6,$FP$9:$GB$12,$FP$15:$GB$18,$GE$3:$GQ$6,$GE$9:$GQ$12,$GE$15:$GQ$18,$GT$3:$HF$6,$GT$9:$HF$12),MATCH($L$16,$EK$3:$EK$6,0),MATCH($A5,$EL$2:$EX$2,0),MATCH($E$3,$AE$33:$AE$48,0))*$C5</f>
        <v>0</v>
      </c>
      <c r="AA7" s="150">
        <f t="shared" si="0"/>
        <v>0</v>
      </c>
      <c r="AB7" s="150">
        <f t="shared" si="1"/>
        <v>0</v>
      </c>
      <c r="AC7" s="150" t="s">
        <v>309</v>
      </c>
      <c r="AD7" s="150"/>
      <c r="AE7" s="150"/>
      <c r="AF7" s="150"/>
      <c r="AG7" s="171">
        <v>35</v>
      </c>
      <c r="AH7" s="158" t="s">
        <v>29</v>
      </c>
      <c r="AI7" s="158" t="s">
        <v>30</v>
      </c>
      <c r="AJ7" s="158" t="s">
        <v>110</v>
      </c>
      <c r="AK7" s="158" t="s">
        <v>67</v>
      </c>
      <c r="AL7" s="158">
        <v>35</v>
      </c>
      <c r="AM7" s="158" t="s">
        <v>41</v>
      </c>
      <c r="AN7" s="158" t="s">
        <v>42</v>
      </c>
      <c r="AO7" s="169" t="s">
        <v>151</v>
      </c>
      <c r="AP7" s="169" t="s">
        <v>151</v>
      </c>
      <c r="AQ7" s="169"/>
      <c r="AR7" s="62" t="s">
        <v>713</v>
      </c>
      <c r="AS7" s="62" t="s">
        <v>596</v>
      </c>
      <c r="AT7" s="62" t="s">
        <v>596</v>
      </c>
      <c r="AU7" s="150" t="s">
        <v>594</v>
      </c>
      <c r="AV7" s="150" t="s">
        <v>594</v>
      </c>
      <c r="AX7" s="169"/>
      <c r="AY7" s="173">
        <v>2</v>
      </c>
      <c r="AZ7" s="173" t="s">
        <v>845</v>
      </c>
      <c r="BA7" s="173">
        <v>2</v>
      </c>
      <c r="BG7" s="170">
        <f t="shared" si="2"/>
        <v>1</v>
      </c>
      <c r="BH7" s="150"/>
      <c r="BI7" s="150"/>
      <c r="BJ7" s="150"/>
      <c r="BK7" s="150"/>
      <c r="BL7" s="150"/>
      <c r="BM7" s="150"/>
      <c r="BN7" s="150"/>
      <c r="BO7" s="150"/>
      <c r="BP7" s="150"/>
      <c r="BQ7" s="150"/>
      <c r="BR7" s="150"/>
      <c r="BS7" s="150"/>
      <c r="BT7" s="150"/>
      <c r="BU7" s="150"/>
      <c r="BV7" s="150"/>
      <c r="BW7" s="150"/>
      <c r="BX7" s="150"/>
      <c r="BY7" s="150"/>
      <c r="BZ7" s="150"/>
      <c r="CA7" s="150"/>
      <c r="CB7" s="150"/>
      <c r="CC7" s="150"/>
      <c r="CD7" s="150"/>
      <c r="CE7" s="150"/>
      <c r="CF7" s="150"/>
      <c r="CG7" s="150"/>
      <c r="CH7" s="150"/>
      <c r="CI7" s="150"/>
      <c r="CJ7" s="150"/>
      <c r="CK7" s="150"/>
      <c r="CL7" s="150"/>
      <c r="CM7" s="150"/>
      <c r="CN7" s="150"/>
      <c r="CO7" s="150"/>
      <c r="CP7" s="150"/>
      <c r="CQ7" s="150"/>
      <c r="CR7" s="150"/>
      <c r="CS7" s="150"/>
      <c r="CT7" s="150"/>
      <c r="CU7" s="150"/>
      <c r="CV7" s="150"/>
      <c r="CW7" s="150"/>
      <c r="CX7" s="150"/>
      <c r="CY7" s="150"/>
      <c r="CZ7" s="150"/>
      <c r="DA7" s="150"/>
      <c r="DB7" s="150"/>
      <c r="DC7" s="150"/>
      <c r="DD7" s="150"/>
      <c r="DE7" s="150"/>
      <c r="DF7" s="150"/>
      <c r="DG7" s="150"/>
      <c r="DH7" s="150"/>
      <c r="DI7" s="150"/>
      <c r="DJ7" s="150"/>
      <c r="DK7" s="150"/>
      <c r="DL7" s="150"/>
      <c r="DM7" s="150"/>
      <c r="DN7" s="150"/>
      <c r="DO7" s="150"/>
      <c r="DP7" s="150"/>
      <c r="DQ7" s="181"/>
      <c r="DR7" s="181">
        <v>28</v>
      </c>
      <c r="DS7" s="181">
        <v>30</v>
      </c>
      <c r="DT7" s="150"/>
      <c r="DU7" s="150"/>
      <c r="DV7" s="150"/>
      <c r="DW7" s="150"/>
      <c r="DX7" s="150"/>
      <c r="DY7" s="150"/>
      <c r="DZ7" s="150"/>
      <c r="EA7" s="150"/>
      <c r="EB7" s="150"/>
      <c r="EC7" s="150"/>
      <c r="ED7" s="150"/>
      <c r="EE7" s="150"/>
      <c r="EF7" s="150"/>
      <c r="EG7" s="150"/>
      <c r="EH7" s="150"/>
      <c r="EI7" s="150"/>
      <c r="EJ7" s="155"/>
      <c r="EK7" s="150"/>
      <c r="EL7" s="150"/>
      <c r="EM7" s="150"/>
      <c r="EN7" s="150"/>
      <c r="EO7" s="150"/>
      <c r="EP7" s="150"/>
      <c r="EQ7" s="150"/>
      <c r="ER7" s="150"/>
      <c r="ES7" s="150"/>
      <c r="ET7" s="150"/>
      <c r="EU7" s="150"/>
      <c r="EV7" s="150"/>
      <c r="EW7" s="150"/>
      <c r="EX7" s="150"/>
      <c r="EY7" s="150"/>
      <c r="EZ7" s="150"/>
      <c r="FA7" s="150"/>
      <c r="FB7" s="150"/>
      <c r="FC7" s="150"/>
      <c r="FD7" s="150"/>
      <c r="FE7" s="150"/>
      <c r="FF7" s="150"/>
      <c r="FG7" s="150"/>
      <c r="FH7" s="150"/>
      <c r="FI7" s="150"/>
      <c r="FJ7" s="150"/>
      <c r="FK7" s="150"/>
      <c r="FL7" s="150"/>
      <c r="FM7" s="150"/>
      <c r="FN7" s="150"/>
      <c r="FO7" s="150"/>
      <c r="FP7" s="150"/>
      <c r="FQ7" s="150"/>
      <c r="FR7" s="150"/>
      <c r="FS7" s="150"/>
      <c r="FT7" s="150"/>
      <c r="FU7" s="150"/>
      <c r="FV7" s="150"/>
      <c r="FW7" s="150"/>
      <c r="FX7" s="150"/>
      <c r="FY7" s="150"/>
      <c r="FZ7" s="150"/>
      <c r="GA7" s="150"/>
      <c r="GB7" s="150"/>
      <c r="GC7" s="150"/>
      <c r="GD7" s="150"/>
      <c r="GE7" s="150"/>
      <c r="GF7" s="150"/>
      <c r="GG7" s="150"/>
      <c r="GH7" s="150"/>
      <c r="GI7" s="150"/>
      <c r="GJ7" s="150"/>
      <c r="GK7" s="150"/>
      <c r="GL7" s="150"/>
      <c r="GM7" s="150"/>
      <c r="GN7" s="150"/>
      <c r="GO7" s="150"/>
      <c r="GP7" s="150"/>
      <c r="GQ7" s="150"/>
      <c r="GR7" s="150"/>
      <c r="GS7" s="150"/>
      <c r="GT7" s="150"/>
      <c r="GU7" s="150"/>
      <c r="GV7" s="150"/>
      <c r="GW7" s="150"/>
      <c r="GX7" s="150"/>
      <c r="GY7" s="150"/>
      <c r="GZ7" s="150"/>
      <c r="HA7" s="150"/>
      <c r="HB7" s="150"/>
      <c r="HC7" s="150"/>
      <c r="HD7" s="150"/>
      <c r="HE7" s="150"/>
      <c r="HF7" s="150"/>
      <c r="HG7" s="157"/>
      <c r="HH7" s="150"/>
    </row>
    <row r="8" spans="1:216" x14ac:dyDescent="0.25">
      <c r="A8" s="8"/>
      <c r="B8" s="5" t="s">
        <v>116</v>
      </c>
      <c r="C8" s="8"/>
      <c r="D8" s="6" t="s">
        <v>515</v>
      </c>
      <c r="E8" s="8">
        <v>0</v>
      </c>
      <c r="F8" s="5"/>
      <c r="G8" s="5"/>
      <c r="H8" s="5"/>
      <c r="I8" s="5"/>
      <c r="J8" s="5" t="s">
        <v>412</v>
      </c>
      <c r="K8" s="9"/>
      <c r="L8" s="6" t="str">
        <f>IF(L7="CWT70H50/2NMC","LCT70H50NMC","-------")</f>
        <v>-------</v>
      </c>
      <c r="M8" s="11" t="str">
        <f>INDEX(cennik!$C$2:$L$529,MATCH($L8,cennik!$B$2:$B$522,0),MATCH(M$2,cennik!$C$1:$L$1,0))</f>
        <v>-------</v>
      </c>
      <c r="N8" s="11">
        <f>INDEX(cennik!$C$2:$L$529,MATCH($L8,cennik!$B$2:$B$522,0),MATCH(N$2,cennik!$C$1:$L$1,0))</f>
        <v>0</v>
      </c>
      <c r="O8" s="11">
        <f>O7</f>
        <v>0</v>
      </c>
      <c r="P8" s="34">
        <f>INDEX(cennik!$C$2:$L$529,MATCH($L8,cennik!$B$2:$B$522,0),MATCH(P$2,cennik!$C$1:$L$1,0))</f>
        <v>0</v>
      </c>
      <c r="Q8" s="34">
        <f t="shared" si="22"/>
        <v>0</v>
      </c>
      <c r="R8" s="35">
        <f t="shared" si="3"/>
        <v>0</v>
      </c>
      <c r="S8" s="34">
        <f t="shared" si="23"/>
        <v>0</v>
      </c>
      <c r="T8" s="34">
        <f t="shared" si="24"/>
        <v>0</v>
      </c>
      <c r="U8" s="34">
        <f>INDEX(cennik!$C$2:$L$529,MATCH($L8,cennik!$B$2:$B$522,0),MATCH(U$2,cennik!$C$1:$L$1,0))*O8</f>
        <v>0</v>
      </c>
      <c r="V8" s="62"/>
      <c r="W8" s="150">
        <f>INDEX(($EL$3:$EX$6,$EL$9:$EX$12,$EL$15:$EX$18,$FA$3:$FM$6,$FA$9:$FM$12,$FA$15:$FM$18,$FP$3:$GB$6,$FP$9:$GB$12,$FP$15:$GB$18,$GE$3:$GQ$6,$GE$9:$GQ$12,$GE$15:$GQ$18,$GT$3:$HF$6,$GT$9:$HF$12),MATCH($L$17,$EK$3:$EK$6,0),MATCH($A6,$EL$2:$EX$2,0),MATCH($E$3,$AE$33:$AE$48,0))*$C6</f>
        <v>0</v>
      </c>
      <c r="X8" s="150">
        <f>INDEX(($EL$3:$EX$6,$EL$9:$EX$12,$EL$15:$EX$18,$FA$3:$FM$6,$FA$9:$FM$12,$FA$15:$FM$18,$FP$3:$GB$6,$FP$9:$GB$12,$FP$15:$GB$18,$GE$3:$GQ$6,$GE$9:$GQ$12,$GE$15:$GQ$18,$GT$3:$HF$6,$GT$9:$HF$12),MATCH($L$14,$EK$3:$EK$6,0),MATCH($A6,$EL$2:$EX$2,0),MATCH($E$3,$AE$33:$AE$48,0))*$C6</f>
        <v>0</v>
      </c>
      <c r="Y8" s="150">
        <f>INDEX(($EL$3:$EX$6,$EL$9:$EX$12,$EL$15:$EX$18,$FA$3:$FM$6,$FA$9:$FM$12,$FA$15:$FM$18,$FP$3:$GB$6,$FP$9:$GB$12,$FP$15:$GB$18,$GE$3:$GQ$6,$GE$9:$GQ$12,$GE$15:$GQ$18,$GT$3:$HF$6,$GT$9:$HF$12),MATCH($L$15,$EK$3:$EK$6,0),MATCH($A6,$EL$2:$EX$2,0),MATCH($E$3,$AE$33:$AE$48,0))*$C6</f>
        <v>0</v>
      </c>
      <c r="Z8" s="150">
        <f>INDEX(($EL$3:$EX$6,$EL$9:$EX$12,$EL$15:$EX$18,$FA$3:$FM$6,$FA$9:$FM$12,$FA$15:$FM$18,$FP$3:$GB$6,$FP$9:$GB$12,$FP$15:$GB$18,$GE$3:$GQ$6,$GE$9:$GQ$12,$GE$15:$GQ$18,$GT$3:$HF$6,$GT$9:$HF$12),MATCH($L$16,$EK$3:$EK$6,0),MATCH($A6,$EL$2:$EX$2,0),MATCH($E$3,$AE$33:$AE$48,0))*$C6</f>
        <v>0</v>
      </c>
      <c r="AA8" s="150">
        <f t="shared" si="0"/>
        <v>0</v>
      </c>
      <c r="AB8" s="150">
        <f t="shared" si="1"/>
        <v>0</v>
      </c>
      <c r="AC8" s="150" t="s">
        <v>313</v>
      </c>
      <c r="AD8" s="150"/>
      <c r="AE8" s="150"/>
      <c r="AF8" s="150"/>
      <c r="AG8" s="171">
        <v>38</v>
      </c>
      <c r="AH8" s="158" t="s">
        <v>31</v>
      </c>
      <c r="AI8" s="158"/>
      <c r="AJ8" s="158" t="s">
        <v>110</v>
      </c>
      <c r="AK8" s="158" t="s">
        <v>67</v>
      </c>
      <c r="AL8" s="158">
        <v>38</v>
      </c>
      <c r="AM8" s="158" t="s">
        <v>43</v>
      </c>
      <c r="AN8" s="158"/>
      <c r="AO8" s="169" t="s">
        <v>151</v>
      </c>
      <c r="AP8" s="169" t="s">
        <v>151</v>
      </c>
      <c r="AQ8" s="169"/>
      <c r="AR8" s="150" t="s">
        <v>714</v>
      </c>
      <c r="AS8" s="62" t="s">
        <v>596</v>
      </c>
      <c r="AT8" s="62" t="s">
        <v>596</v>
      </c>
      <c r="AU8" s="150" t="s">
        <v>594</v>
      </c>
      <c r="AV8" s="150" t="s">
        <v>594</v>
      </c>
      <c r="AX8" s="169"/>
      <c r="AY8" s="173">
        <v>6</v>
      </c>
      <c r="AZ8" s="173" t="s">
        <v>846</v>
      </c>
      <c r="BA8" s="170">
        <v>3</v>
      </c>
      <c r="BG8" s="170">
        <f t="shared" si="2"/>
        <v>1</v>
      </c>
      <c r="BH8" s="150" t="s">
        <v>112</v>
      </c>
      <c r="BI8" s="150">
        <v>0</v>
      </c>
      <c r="BJ8" s="150">
        <v>8</v>
      </c>
      <c r="BK8" s="150">
        <v>12</v>
      </c>
      <c r="BL8" s="150">
        <v>16</v>
      </c>
      <c r="BM8" s="150">
        <v>20</v>
      </c>
      <c r="BN8" s="150">
        <v>24</v>
      </c>
      <c r="BO8" s="150">
        <v>28</v>
      </c>
      <c r="BP8" s="150">
        <v>32</v>
      </c>
      <c r="BQ8" s="150">
        <v>36</v>
      </c>
      <c r="BR8" s="150">
        <v>40</v>
      </c>
      <c r="BS8" s="150">
        <v>44</v>
      </c>
      <c r="BT8" s="150">
        <v>48</v>
      </c>
      <c r="BU8" s="150">
        <v>52</v>
      </c>
      <c r="BV8" s="150"/>
      <c r="BW8" s="150" t="s">
        <v>472</v>
      </c>
      <c r="BX8" s="150">
        <v>0</v>
      </c>
      <c r="BY8" s="150">
        <v>8</v>
      </c>
      <c r="BZ8" s="150">
        <v>12</v>
      </c>
      <c r="CA8" s="150">
        <v>16</v>
      </c>
      <c r="CB8" s="150">
        <v>20</v>
      </c>
      <c r="CC8" s="150">
        <v>24</v>
      </c>
      <c r="CD8" s="150">
        <v>28</v>
      </c>
      <c r="CE8" s="150">
        <v>32</v>
      </c>
      <c r="CF8" s="150">
        <v>36</v>
      </c>
      <c r="CG8" s="150">
        <v>40</v>
      </c>
      <c r="CH8" s="150">
        <v>44</v>
      </c>
      <c r="CI8" s="150">
        <v>48</v>
      </c>
      <c r="CJ8" s="150">
        <v>52</v>
      </c>
      <c r="CK8" s="150"/>
      <c r="CL8" s="150"/>
      <c r="CM8" s="150"/>
      <c r="CN8" s="150" t="s">
        <v>113</v>
      </c>
      <c r="CO8" s="150">
        <v>0</v>
      </c>
      <c r="CP8" s="150">
        <v>8</v>
      </c>
      <c r="CQ8" s="150">
        <v>12</v>
      </c>
      <c r="CR8" s="150">
        <v>16</v>
      </c>
      <c r="CS8" s="150">
        <v>20</v>
      </c>
      <c r="CT8" s="150">
        <v>24</v>
      </c>
      <c r="CU8" s="150">
        <v>28</v>
      </c>
      <c r="CV8" s="150">
        <v>32</v>
      </c>
      <c r="CW8" s="150">
        <v>36</v>
      </c>
      <c r="CX8" s="150">
        <v>40</v>
      </c>
      <c r="CY8" s="150">
        <v>44</v>
      </c>
      <c r="CZ8" s="150">
        <v>48</v>
      </c>
      <c r="DA8" s="150">
        <v>52</v>
      </c>
      <c r="DB8" s="150"/>
      <c r="DC8" s="150" t="s">
        <v>478</v>
      </c>
      <c r="DD8" s="150">
        <v>0</v>
      </c>
      <c r="DE8" s="150">
        <v>8</v>
      </c>
      <c r="DF8" s="150">
        <v>12</v>
      </c>
      <c r="DG8" s="150">
        <v>16</v>
      </c>
      <c r="DH8" s="150">
        <v>20</v>
      </c>
      <c r="DI8" s="150">
        <v>24</v>
      </c>
      <c r="DJ8" s="150">
        <v>28</v>
      </c>
      <c r="DK8" s="150">
        <v>32</v>
      </c>
      <c r="DL8" s="150">
        <v>36</v>
      </c>
      <c r="DM8" s="150">
        <v>40</v>
      </c>
      <c r="DN8" s="150">
        <v>44</v>
      </c>
      <c r="DO8" s="150">
        <v>48</v>
      </c>
      <c r="DP8" s="150">
        <v>52</v>
      </c>
      <c r="DQ8" s="181"/>
      <c r="DR8" s="181">
        <v>32</v>
      </c>
      <c r="DS8" s="181"/>
      <c r="DT8" s="150" t="s">
        <v>507</v>
      </c>
      <c r="DU8" s="150">
        <v>0</v>
      </c>
      <c r="DV8" s="150">
        <v>8</v>
      </c>
      <c r="DW8" s="150">
        <v>12</v>
      </c>
      <c r="DX8" s="150">
        <v>16</v>
      </c>
      <c r="DY8" s="150">
        <v>20</v>
      </c>
      <c r="DZ8" s="150">
        <v>24</v>
      </c>
      <c r="EA8" s="150">
        <v>28</v>
      </c>
      <c r="EB8" s="150">
        <v>32</v>
      </c>
      <c r="EC8" s="150">
        <v>36</v>
      </c>
      <c r="ED8" s="150">
        <v>40</v>
      </c>
      <c r="EE8" s="150">
        <v>44</v>
      </c>
      <c r="EF8" s="150">
        <v>48</v>
      </c>
      <c r="EG8" s="150">
        <v>52</v>
      </c>
      <c r="EH8" s="150"/>
      <c r="EI8" s="150"/>
      <c r="EJ8" s="155"/>
      <c r="EK8" s="150" t="s">
        <v>112</v>
      </c>
      <c r="EL8" s="150">
        <v>0</v>
      </c>
      <c r="EM8" s="150">
        <v>8</v>
      </c>
      <c r="EN8" s="150">
        <v>12</v>
      </c>
      <c r="EO8" s="150">
        <v>16</v>
      </c>
      <c r="EP8" s="150">
        <v>20</v>
      </c>
      <c r="EQ8" s="150">
        <v>24</v>
      </c>
      <c r="ER8" s="150">
        <v>28</v>
      </c>
      <c r="ES8" s="150">
        <v>32</v>
      </c>
      <c r="ET8" s="150">
        <v>36</v>
      </c>
      <c r="EU8" s="150">
        <v>40</v>
      </c>
      <c r="EV8" s="150">
        <v>44</v>
      </c>
      <c r="EW8" s="150">
        <v>48</v>
      </c>
      <c r="EX8" s="150">
        <v>52</v>
      </c>
      <c r="EY8" s="150"/>
      <c r="EZ8" s="150" t="s">
        <v>472</v>
      </c>
      <c r="FA8" s="150">
        <v>0</v>
      </c>
      <c r="FB8" s="150">
        <v>8</v>
      </c>
      <c r="FC8" s="150">
        <v>12</v>
      </c>
      <c r="FD8" s="150">
        <v>16</v>
      </c>
      <c r="FE8" s="150">
        <v>20</v>
      </c>
      <c r="FF8" s="150">
        <v>24</v>
      </c>
      <c r="FG8" s="150">
        <v>28</v>
      </c>
      <c r="FH8" s="150">
        <v>32</v>
      </c>
      <c r="FI8" s="150">
        <v>36</v>
      </c>
      <c r="FJ8" s="150">
        <v>40</v>
      </c>
      <c r="FK8" s="150">
        <v>44</v>
      </c>
      <c r="FL8" s="150">
        <v>48</v>
      </c>
      <c r="FM8" s="150">
        <v>52</v>
      </c>
      <c r="FN8" s="150"/>
      <c r="FO8" s="150" t="s">
        <v>113</v>
      </c>
      <c r="FP8" s="150">
        <v>0</v>
      </c>
      <c r="FQ8" s="150">
        <v>8</v>
      </c>
      <c r="FR8" s="150">
        <v>12</v>
      </c>
      <c r="FS8" s="150">
        <v>16</v>
      </c>
      <c r="FT8" s="150">
        <v>20</v>
      </c>
      <c r="FU8" s="150">
        <v>24</v>
      </c>
      <c r="FV8" s="150">
        <v>28</v>
      </c>
      <c r="FW8" s="150">
        <v>32</v>
      </c>
      <c r="FX8" s="150">
        <v>36</v>
      </c>
      <c r="FY8" s="150">
        <v>40</v>
      </c>
      <c r="FZ8" s="150">
        <v>44</v>
      </c>
      <c r="GA8" s="150">
        <v>48</v>
      </c>
      <c r="GB8" s="150">
        <v>52</v>
      </c>
      <c r="GC8" s="150"/>
      <c r="GD8" s="150" t="s">
        <v>478</v>
      </c>
      <c r="GE8" s="150">
        <v>0</v>
      </c>
      <c r="GF8" s="150">
        <v>8</v>
      </c>
      <c r="GG8" s="150">
        <v>12</v>
      </c>
      <c r="GH8" s="150">
        <v>16</v>
      </c>
      <c r="GI8" s="150">
        <v>20</v>
      </c>
      <c r="GJ8" s="150">
        <v>24</v>
      </c>
      <c r="GK8" s="150">
        <v>28</v>
      </c>
      <c r="GL8" s="150">
        <v>32</v>
      </c>
      <c r="GM8" s="150">
        <v>36</v>
      </c>
      <c r="GN8" s="150">
        <v>40</v>
      </c>
      <c r="GO8" s="150">
        <v>44</v>
      </c>
      <c r="GP8" s="150">
        <v>48</v>
      </c>
      <c r="GQ8" s="150">
        <v>52</v>
      </c>
      <c r="GR8" s="150"/>
      <c r="GS8" s="150" t="s">
        <v>507</v>
      </c>
      <c r="GT8" s="150">
        <v>0</v>
      </c>
      <c r="GU8" s="150">
        <v>8</v>
      </c>
      <c r="GV8" s="150">
        <v>12</v>
      </c>
      <c r="GW8" s="150">
        <v>16</v>
      </c>
      <c r="GX8" s="150">
        <v>20</v>
      </c>
      <c r="GY8" s="150">
        <v>24</v>
      </c>
      <c r="GZ8" s="150">
        <v>28</v>
      </c>
      <c r="HA8" s="150">
        <v>32</v>
      </c>
      <c r="HB8" s="150">
        <v>36</v>
      </c>
      <c r="HC8" s="150">
        <v>40</v>
      </c>
      <c r="HD8" s="150">
        <v>44</v>
      </c>
      <c r="HE8" s="150">
        <v>48</v>
      </c>
      <c r="HF8" s="150">
        <v>52</v>
      </c>
      <c r="HG8" s="157"/>
      <c r="HH8" s="150"/>
    </row>
    <row r="9" spans="1:216" x14ac:dyDescent="0.25">
      <c r="A9" s="8"/>
      <c r="B9" s="5" t="s">
        <v>116</v>
      </c>
      <c r="C9" s="8"/>
      <c r="D9" s="6" t="s">
        <v>511</v>
      </c>
      <c r="E9" s="4"/>
      <c r="F9" s="6"/>
      <c r="G9" s="6"/>
      <c r="H9" s="6"/>
      <c r="I9" s="6"/>
      <c r="J9" s="1"/>
      <c r="K9" s="9"/>
      <c r="L9" s="6" t="str">
        <f>IF(G3=$AE$24,"BDFCH120/4,4NMC",IF(G3=$AE$25,"BDFCH120/4,8NMC",IF(G3=$AE$26,"BDFCH120/4,8NMC",IF(G3=$AE$27,"BDFCH120/5,4NMC",IF(G3=$AE$28,"BDFCH120/5,4NMC",IF(G3=$AE$29,"BDFCH120/5,4NMC",IF(G3=$AE$30,"BDFTH120/6NMC",0)))))))</f>
        <v>BDFCH120/5,4NMC</v>
      </c>
      <c r="M9" s="11">
        <f>INDEX(cennik!$C$2:$L$529,MATCH($L9,cennik!$B$2:$B$522,0),MATCH(M$2,cennik!$C$1:$L$1,0))</f>
        <v>863354</v>
      </c>
      <c r="N9" s="11" t="str">
        <f>INDEX(cennik!$C$2:$L$529,MATCH($L9,cennik!$B$2:$B$522,0),MATCH(N$2,cennik!$C$1:$L$1,0))</f>
        <v>szt.</v>
      </c>
      <c r="O9" s="11">
        <f>O5</f>
        <v>5</v>
      </c>
      <c r="P9" s="34">
        <f>INDEX(cennik!$C$2:$L$529,MATCH($L9,cennik!$B$2:$B$522,0),MATCH(P$2,cennik!$C$1:$L$1,0))</f>
        <v>222.13</v>
      </c>
      <c r="Q9" s="34">
        <f t="shared" si="22"/>
        <v>1110.6500000000001</v>
      </c>
      <c r="R9" s="35">
        <f t="shared" si="3"/>
        <v>0</v>
      </c>
      <c r="S9" s="34">
        <f t="shared" si="23"/>
        <v>222.13</v>
      </c>
      <c r="T9" s="34">
        <f t="shared" si="24"/>
        <v>1110.6500000000001</v>
      </c>
      <c r="U9" s="34">
        <f>INDEX(cennik!$C$2:$L$529,MATCH($L9,cennik!$B$2:$B$522,0),MATCH(U$2,cennik!$C$1:$L$1,0))*O9</f>
        <v>82.8</v>
      </c>
      <c r="V9" s="62"/>
      <c r="W9" s="150">
        <f>INDEX(($EL$3:$EX$6,$EL$9:$EX$12,$EL$15:$EX$18,$FA$3:$FM$6,$FA$9:$FM$12,$FA$15:$FM$18,$FP$3:$GB$6,$FP$9:$GB$12,$FP$15:$GB$18,$GE$3:$GQ$6,$GE$9:$GQ$12,$GE$15:$GQ$18,$GT$3:$HF$6,$GT$9:$HF$12),MATCH($L$17,$EK$3:$EK$6,0),MATCH($A7,$EL$2:$EX$2,0),MATCH($E$3,$AE$33:$AE$48,0))*$C7</f>
        <v>0</v>
      </c>
      <c r="X9" s="150">
        <f>INDEX(($EL$3:$EX$6,$EL$9:$EX$12,$EL$15:$EX$18,$FA$3:$FM$6,$FA$9:$FM$12,$FA$15:$FM$18,$FP$3:$GB$6,$FP$9:$GB$12,$FP$15:$GB$18,$GE$3:$GQ$6,$GE$9:$GQ$12,$GE$15:$GQ$18,$GT$3:$HF$6,$GT$9:$HF$12),MATCH($L$14,$EK$3:$EK$6,0),MATCH($A7,$EL$2:$EX$2,0),MATCH($E$3,$AE$33:$AE$48,0))*$C7</f>
        <v>0</v>
      </c>
      <c r="Y9" s="150">
        <f>INDEX(($EL$3:$EX$6,$EL$9:$EX$12,$EL$15:$EX$18,$FA$3:$FM$6,$FA$9:$FM$12,$FA$15:$FM$18,$FP$3:$GB$6,$FP$9:$GB$12,$FP$15:$GB$18,$GE$3:$GQ$6,$GE$9:$GQ$12,$GE$15:$GQ$18,$GT$3:$HF$6,$GT$9:$HF$12),MATCH($L$15,$EK$3:$EK$6,0),MATCH($A7,$EL$2:$EX$2,0),MATCH($E$3,$AE$33:$AE$48,0))*$C7</f>
        <v>0</v>
      </c>
      <c r="Z9" s="150">
        <f>INDEX(($EL$3:$EX$6,$EL$9:$EX$12,$EL$15:$EX$18,$FA$3:$FM$6,$FA$9:$FM$12,$FA$15:$FM$18,$FP$3:$GB$6,$FP$9:$GB$12,$FP$15:$GB$18,$GE$3:$GQ$6,$GE$9:$GQ$12,$GE$15:$GQ$18,$GT$3:$HF$6,$GT$9:$HF$12),MATCH($L$16,$EK$3:$EK$6,0),MATCH($A7,$EL$2:$EX$2,0),MATCH($E$3,$AE$33:$AE$48,0))*$C7</f>
        <v>0</v>
      </c>
      <c r="AA9" s="150">
        <f t="shared" si="0"/>
        <v>0</v>
      </c>
      <c r="AB9" s="150">
        <f t="shared" si="1"/>
        <v>0</v>
      </c>
      <c r="AC9" s="150"/>
      <c r="AD9" s="150"/>
      <c r="AE9" s="150"/>
      <c r="AF9" s="150"/>
      <c r="AG9" s="171">
        <v>40</v>
      </c>
      <c r="AH9" s="158" t="s">
        <v>32</v>
      </c>
      <c r="AI9" s="158" t="s">
        <v>33</v>
      </c>
      <c r="AJ9" s="158" t="s">
        <v>109</v>
      </c>
      <c r="AK9" s="158" t="s">
        <v>67</v>
      </c>
      <c r="AL9" s="158">
        <v>40</v>
      </c>
      <c r="AM9" s="158" t="s">
        <v>44</v>
      </c>
      <c r="AN9" s="158" t="s">
        <v>45</v>
      </c>
      <c r="AO9" s="169" t="s">
        <v>151</v>
      </c>
      <c r="AP9" s="169" t="s">
        <v>151</v>
      </c>
      <c r="AQ9" s="169"/>
      <c r="AR9" s="150" t="s">
        <v>715</v>
      </c>
      <c r="AS9" s="62" t="s">
        <v>596</v>
      </c>
      <c r="AT9" s="62" t="s">
        <v>596</v>
      </c>
      <c r="AU9" s="150" t="s">
        <v>594</v>
      </c>
      <c r="AV9" s="150" t="s">
        <v>594</v>
      </c>
      <c r="AX9" s="169"/>
      <c r="AY9" s="172">
        <v>10</v>
      </c>
      <c r="AZ9" s="172" t="s">
        <v>847</v>
      </c>
      <c r="BA9" s="170">
        <v>4</v>
      </c>
      <c r="BG9" s="170">
        <f t="shared" si="2"/>
        <v>1</v>
      </c>
      <c r="BH9" s="150" t="s">
        <v>217</v>
      </c>
      <c r="BI9" s="150">
        <v>0</v>
      </c>
      <c r="BJ9" s="150">
        <v>0</v>
      </c>
      <c r="BK9" s="150">
        <v>5</v>
      </c>
      <c r="BL9" s="150">
        <v>5</v>
      </c>
      <c r="BM9" s="150">
        <v>0</v>
      </c>
      <c r="BN9" s="150">
        <v>5</v>
      </c>
      <c r="BO9" s="150">
        <v>0</v>
      </c>
      <c r="BP9" s="150">
        <v>10</v>
      </c>
      <c r="BQ9" s="150">
        <v>5</v>
      </c>
      <c r="BR9" s="150">
        <v>10</v>
      </c>
      <c r="BS9" s="150">
        <v>5</v>
      </c>
      <c r="BT9" s="150">
        <v>10</v>
      </c>
      <c r="BU9" s="150">
        <v>10</v>
      </c>
      <c r="BV9" s="150"/>
      <c r="BW9" s="150" t="s">
        <v>217</v>
      </c>
      <c r="BX9" s="150">
        <v>0</v>
      </c>
      <c r="BY9" s="150">
        <v>0</v>
      </c>
      <c r="BZ9" s="150">
        <v>5</v>
      </c>
      <c r="CA9" s="150">
        <v>0</v>
      </c>
      <c r="CB9" s="150">
        <v>0</v>
      </c>
      <c r="CC9" s="150">
        <v>0</v>
      </c>
      <c r="CD9" s="150">
        <v>10</v>
      </c>
      <c r="CE9" s="150">
        <v>5</v>
      </c>
      <c r="CF9" s="150">
        <v>10</v>
      </c>
      <c r="CG9" s="150">
        <v>5</v>
      </c>
      <c r="CH9" s="150">
        <v>10</v>
      </c>
      <c r="CI9" s="150">
        <v>10</v>
      </c>
      <c r="CJ9" s="150">
        <v>15</v>
      </c>
      <c r="CK9" s="150"/>
      <c r="CL9" s="150"/>
      <c r="CM9" s="150"/>
      <c r="CN9" s="150" t="s">
        <v>217</v>
      </c>
      <c r="CO9" s="150">
        <v>0</v>
      </c>
      <c r="CP9" s="150">
        <v>0</v>
      </c>
      <c r="CQ9" s="150">
        <v>5</v>
      </c>
      <c r="CR9" s="150">
        <v>0</v>
      </c>
      <c r="CS9" s="150">
        <v>5</v>
      </c>
      <c r="CT9" s="150">
        <v>0</v>
      </c>
      <c r="CU9" s="150">
        <v>5</v>
      </c>
      <c r="CV9" s="150">
        <v>10</v>
      </c>
      <c r="CW9" s="150">
        <v>10</v>
      </c>
      <c r="CX9" s="150">
        <v>10</v>
      </c>
      <c r="CY9" s="150">
        <v>10</v>
      </c>
      <c r="CZ9" s="150">
        <v>15</v>
      </c>
      <c r="DA9" s="150">
        <v>20</v>
      </c>
      <c r="DB9" s="150"/>
      <c r="DC9" s="150" t="s">
        <v>217</v>
      </c>
      <c r="DD9" s="150">
        <v>0</v>
      </c>
      <c r="DE9" s="150">
        <v>0</v>
      </c>
      <c r="DF9" s="150">
        <v>5</v>
      </c>
      <c r="DG9" s="150">
        <v>0</v>
      </c>
      <c r="DH9" s="150">
        <v>5</v>
      </c>
      <c r="DI9" s="150">
        <v>10</v>
      </c>
      <c r="DJ9" s="150">
        <v>5</v>
      </c>
      <c r="DK9" s="150">
        <v>10</v>
      </c>
      <c r="DL9" s="150">
        <v>15</v>
      </c>
      <c r="DM9" s="150">
        <v>10</v>
      </c>
      <c r="DN9" s="150">
        <v>15</v>
      </c>
      <c r="DO9" s="150">
        <v>20</v>
      </c>
      <c r="DP9" s="150">
        <v>15</v>
      </c>
      <c r="DQ9" s="181"/>
      <c r="DR9" s="181">
        <v>36</v>
      </c>
      <c r="DS9" s="181"/>
      <c r="DT9" s="150" t="s">
        <v>217</v>
      </c>
      <c r="DU9" s="150">
        <v>0</v>
      </c>
      <c r="DV9" s="150">
        <v>0</v>
      </c>
      <c r="DW9" s="150">
        <v>5</v>
      </c>
      <c r="DX9" s="150">
        <v>0</v>
      </c>
      <c r="DY9" s="150">
        <v>0</v>
      </c>
      <c r="DZ9" s="150">
        <v>10</v>
      </c>
      <c r="EA9" s="150">
        <v>10</v>
      </c>
      <c r="EB9" s="150">
        <v>5</v>
      </c>
      <c r="EC9" s="150">
        <v>10</v>
      </c>
      <c r="ED9" s="150">
        <v>15</v>
      </c>
      <c r="EE9" s="150">
        <v>10</v>
      </c>
      <c r="EF9" s="150">
        <v>15</v>
      </c>
      <c r="EG9" s="150">
        <v>20</v>
      </c>
      <c r="EH9" s="150"/>
      <c r="EI9" s="150"/>
      <c r="EJ9" s="155"/>
      <c r="EK9" s="150" t="s">
        <v>586</v>
      </c>
      <c r="EL9" s="150">
        <v>0</v>
      </c>
      <c r="EM9" s="150">
        <v>0</v>
      </c>
      <c r="EN9" s="154">
        <v>5</v>
      </c>
      <c r="EO9" s="154">
        <v>5</v>
      </c>
      <c r="EP9" s="154">
        <v>0</v>
      </c>
      <c r="EQ9" s="154">
        <v>0</v>
      </c>
      <c r="ER9" s="154">
        <v>0</v>
      </c>
      <c r="ES9" s="154">
        <v>0</v>
      </c>
      <c r="ET9" s="154">
        <v>0</v>
      </c>
      <c r="EU9" s="154">
        <v>0</v>
      </c>
      <c r="EV9" s="154">
        <v>0</v>
      </c>
      <c r="EW9" s="154">
        <v>0</v>
      </c>
      <c r="EX9" s="154">
        <v>0</v>
      </c>
      <c r="EZ9" s="154" t="s">
        <v>586</v>
      </c>
      <c r="FA9" s="150">
        <v>0</v>
      </c>
      <c r="FB9" s="150">
        <v>0</v>
      </c>
      <c r="FC9" s="154">
        <v>5</v>
      </c>
      <c r="FD9" s="154">
        <v>0</v>
      </c>
      <c r="FE9" s="154">
        <v>0</v>
      </c>
      <c r="FF9" s="154">
        <v>0</v>
      </c>
      <c r="FG9" s="154">
        <v>0</v>
      </c>
      <c r="FH9" s="154">
        <v>0</v>
      </c>
      <c r="FI9" s="154">
        <v>0</v>
      </c>
      <c r="FJ9" s="154">
        <v>0</v>
      </c>
      <c r="FK9" s="154">
        <v>0</v>
      </c>
      <c r="FL9" s="154">
        <v>0</v>
      </c>
      <c r="FM9" s="154">
        <v>0</v>
      </c>
      <c r="FO9" s="154" t="s">
        <v>586</v>
      </c>
      <c r="FP9" s="150">
        <v>0</v>
      </c>
      <c r="FQ9" s="150">
        <v>0</v>
      </c>
      <c r="FR9" s="154">
        <v>5</v>
      </c>
      <c r="FS9" s="154">
        <v>0</v>
      </c>
      <c r="FT9" s="154">
        <v>0</v>
      </c>
      <c r="FU9" s="154">
        <v>0</v>
      </c>
      <c r="FV9" s="154">
        <v>0</v>
      </c>
      <c r="FW9" s="154">
        <v>0</v>
      </c>
      <c r="FX9" s="154">
        <v>0</v>
      </c>
      <c r="FY9" s="154">
        <v>0</v>
      </c>
      <c r="FZ9" s="154">
        <v>0</v>
      </c>
      <c r="GA9" s="154">
        <v>0</v>
      </c>
      <c r="GB9" s="154">
        <v>0</v>
      </c>
      <c r="GD9" s="154" t="s">
        <v>586</v>
      </c>
      <c r="GE9" s="150">
        <v>0</v>
      </c>
      <c r="GF9" s="150">
        <v>0</v>
      </c>
      <c r="GG9" s="154">
        <v>5</v>
      </c>
      <c r="GH9" s="154">
        <v>0</v>
      </c>
      <c r="GI9" s="154">
        <v>0</v>
      </c>
      <c r="GJ9" s="154">
        <v>0</v>
      </c>
      <c r="GK9" s="154">
        <v>0</v>
      </c>
      <c r="GL9" s="154">
        <v>0</v>
      </c>
      <c r="GM9" s="154">
        <v>0</v>
      </c>
      <c r="GN9" s="154">
        <v>0</v>
      </c>
      <c r="GO9" s="154">
        <v>0</v>
      </c>
      <c r="GP9" s="154">
        <v>0</v>
      </c>
      <c r="GQ9" s="154">
        <v>0</v>
      </c>
      <c r="GS9" s="154" t="s">
        <v>586</v>
      </c>
      <c r="GT9" s="150">
        <v>0</v>
      </c>
      <c r="GU9" s="150">
        <v>0</v>
      </c>
      <c r="GV9" s="154">
        <v>5</v>
      </c>
      <c r="GW9" s="154">
        <v>0</v>
      </c>
      <c r="GX9" s="154">
        <v>0</v>
      </c>
      <c r="GY9" s="154">
        <v>0</v>
      </c>
      <c r="GZ9" s="154">
        <v>0</v>
      </c>
      <c r="HA9" s="154">
        <v>0</v>
      </c>
      <c r="HB9" s="154">
        <v>0</v>
      </c>
      <c r="HC9" s="154">
        <v>0</v>
      </c>
      <c r="HD9" s="154">
        <v>0</v>
      </c>
      <c r="HE9" s="154">
        <v>0</v>
      </c>
      <c r="HF9" s="154">
        <v>0</v>
      </c>
      <c r="HG9" s="157"/>
      <c r="HH9" s="150"/>
    </row>
    <row r="10" spans="1:216" x14ac:dyDescent="0.25">
      <c r="A10" s="8"/>
      <c r="B10" s="5" t="s">
        <v>116</v>
      </c>
      <c r="C10" s="8"/>
      <c r="D10" s="6" t="s">
        <v>310</v>
      </c>
      <c r="E10" s="8">
        <v>30</v>
      </c>
      <c r="F10" s="6"/>
      <c r="G10" s="6"/>
      <c r="H10" s="6"/>
      <c r="I10" s="6"/>
      <c r="J10" s="1"/>
      <c r="K10" s="9"/>
      <c r="L10" s="6" t="str">
        <f>IF($G$3=$AE$24,"CMP41H41/1,5MC",IF($G$3=$AE$25,"CMP41H41/1,5MC",IF($G$3=$AE$26,"CMP41H41/1,5MC",IF($G$3=$AE$27,"CMP41H41/2,2MC",IF($G$3=$AE$28,"CMP41H41/2,2MC",IF($G$3=$AE$29,"CMP41H41/2,2MC",IF($G$3=$AE$30,"CMP41H41/2,2MC",0)))))))</f>
        <v>CMP41H41/2,2MC</v>
      </c>
      <c r="M10" s="11">
        <f>INDEX(cennik!$C$2:$L$529,MATCH($L10,cennik!$B$2:$B$522,0),MATCH(M$2,cennik!$C$1:$L$1,0))</f>
        <v>851122</v>
      </c>
      <c r="N10" s="11" t="str">
        <f>INDEX(cennik!$C$2:$L$529,MATCH($L10,cennik!$B$2:$B$522,0),MATCH(N$2,cennik!$C$1:$L$1,0))</f>
        <v>szt.</v>
      </c>
      <c r="O10" s="11">
        <f>O5</f>
        <v>5</v>
      </c>
      <c r="P10" s="34">
        <f>INDEX(cennik!$C$2:$L$529,MATCH($L10,cennik!$B$2:$B$522,0),MATCH(P$2,cennik!$C$1:$L$1,0))</f>
        <v>46.2</v>
      </c>
      <c r="Q10" s="34">
        <f t="shared" si="22"/>
        <v>231</v>
      </c>
      <c r="R10" s="35">
        <f t="shared" si="3"/>
        <v>0</v>
      </c>
      <c r="S10" s="34">
        <f t="shared" si="23"/>
        <v>46.2</v>
      </c>
      <c r="T10" s="34">
        <f t="shared" si="24"/>
        <v>231</v>
      </c>
      <c r="U10" s="34">
        <f>INDEX(cennik!$C$2:$L$529,MATCH($L10,cennik!$B$2:$B$522,0),MATCH(U$2,cennik!$C$1:$L$1,0))*O10</f>
        <v>16.7</v>
      </c>
      <c r="V10" s="62"/>
      <c r="W10" s="150">
        <f>INDEX(($EL$3:$EX$6,$EL$9:$EX$12,$EL$15:$EX$18,$FA$3:$FM$6,$FA$9:$FM$12,$FA$15:$FM$18,$FP$3:$GB$6,$FP$9:$GB$12,$FP$15:$GB$18,$GE$3:$GQ$6,$GE$9:$GQ$12,$GE$15:$GQ$18,$GT$3:$HF$6,$GT$9:$HF$12),MATCH($L$17,$EK$3:$EK$6,0),MATCH($A8,$EL$2:$EX$2,0),MATCH($E$3,$AE$33:$AE$48,0))*$C8</f>
        <v>0</v>
      </c>
      <c r="X10" s="150">
        <f>INDEX(($EL$3:$EX$6,$EL$9:$EX$12,$EL$15:$EX$18,$FA$3:$FM$6,$FA$9:$FM$12,$FA$15:$FM$18,$FP$3:$GB$6,$FP$9:$GB$12,$FP$15:$GB$18,$GE$3:$GQ$6,$GE$9:$GQ$12,$GE$15:$GQ$18,$GT$3:$HF$6,$GT$9:$HF$12),MATCH($L$14,$EK$3:$EK$6,0),MATCH($A8,$EL$2:$EX$2,0),MATCH($E$3,$AE$33:$AE$48,0))*$C8</f>
        <v>0</v>
      </c>
      <c r="Y10" s="150">
        <f>INDEX(($EL$3:$EX$6,$EL$9:$EX$12,$EL$15:$EX$18,$FA$3:$FM$6,$FA$9:$FM$12,$FA$15:$FM$18,$FP$3:$GB$6,$FP$9:$GB$12,$FP$15:$GB$18,$GE$3:$GQ$6,$GE$9:$GQ$12,$GE$15:$GQ$18,$GT$3:$HF$6,$GT$9:$HF$12),MATCH($L$15,$EK$3:$EK$6,0),MATCH($A8,$EL$2:$EX$2,0),MATCH($E$3,$AE$33:$AE$48,0))*$C8</f>
        <v>0</v>
      </c>
      <c r="Z10" s="150">
        <f>INDEX(($EL$3:$EX$6,$EL$9:$EX$12,$EL$15:$EX$18,$FA$3:$FM$6,$FA$9:$FM$12,$FA$15:$FM$18,$FP$3:$GB$6,$FP$9:$GB$12,$FP$15:$GB$18,$GE$3:$GQ$6,$GE$9:$GQ$12,$GE$15:$GQ$18,$GT$3:$HF$6,$GT$9:$HF$12),MATCH($L$16,$EK$3:$EK$6,0),MATCH($A8,$EL$2:$EX$2,0),MATCH($E$3,$AE$33:$AE$48,0))*$C8</f>
        <v>0</v>
      </c>
      <c r="AA10" s="150">
        <f t="shared" si="0"/>
        <v>0</v>
      </c>
      <c r="AB10" s="150">
        <f t="shared" si="1"/>
        <v>0</v>
      </c>
      <c r="AC10" s="150"/>
      <c r="AD10" s="150"/>
      <c r="AE10" s="150"/>
      <c r="AF10" s="150"/>
      <c r="AG10" s="171">
        <v>42</v>
      </c>
      <c r="AH10" s="158" t="s">
        <v>34</v>
      </c>
      <c r="AI10" s="158"/>
      <c r="AJ10" s="158" t="s">
        <v>109</v>
      </c>
      <c r="AK10" s="158" t="s">
        <v>67</v>
      </c>
      <c r="AL10" s="158">
        <v>42</v>
      </c>
      <c r="AM10" s="158" t="s">
        <v>46</v>
      </c>
      <c r="AN10" s="158"/>
      <c r="AO10" s="169" t="s">
        <v>151</v>
      </c>
      <c r="AP10" s="169" t="s">
        <v>151</v>
      </c>
      <c r="AQ10" s="169"/>
      <c r="AR10" s="158"/>
      <c r="AS10" s="158"/>
      <c r="AT10" s="158"/>
      <c r="AU10" s="158"/>
      <c r="AV10" s="158"/>
      <c r="AW10" s="158"/>
      <c r="AX10" s="158"/>
      <c r="AY10" s="172"/>
      <c r="BA10" s="170"/>
      <c r="BB10" s="158"/>
      <c r="BC10" s="158"/>
      <c r="BD10" s="158"/>
      <c r="BE10" s="158"/>
      <c r="BF10" s="158"/>
      <c r="BG10" s="170">
        <f t="shared" si="2"/>
        <v>1</v>
      </c>
      <c r="BH10" s="150" t="s">
        <v>216</v>
      </c>
      <c r="BI10" s="150">
        <v>0</v>
      </c>
      <c r="BJ10" s="150">
        <v>0</v>
      </c>
      <c r="BK10" s="150">
        <v>0</v>
      </c>
      <c r="BL10" s="150">
        <v>0</v>
      </c>
      <c r="BM10" s="150">
        <v>10</v>
      </c>
      <c r="BN10" s="150">
        <v>0</v>
      </c>
      <c r="BO10" s="150">
        <v>10</v>
      </c>
      <c r="BP10" s="150">
        <v>0</v>
      </c>
      <c r="BQ10" s="150">
        <v>10</v>
      </c>
      <c r="BR10" s="150">
        <v>0</v>
      </c>
      <c r="BS10" s="150">
        <v>10</v>
      </c>
      <c r="BT10" s="150">
        <v>5</v>
      </c>
      <c r="BU10" s="150">
        <v>10</v>
      </c>
      <c r="BV10" s="150"/>
      <c r="BW10" s="150" t="s">
        <v>216</v>
      </c>
      <c r="BX10" s="150">
        <v>0</v>
      </c>
      <c r="BY10" s="150">
        <v>0</v>
      </c>
      <c r="BZ10" s="150">
        <v>0</v>
      </c>
      <c r="CA10" s="150">
        <v>5</v>
      </c>
      <c r="CB10" s="150">
        <v>10</v>
      </c>
      <c r="CC10" s="150">
        <v>10</v>
      </c>
      <c r="CD10" s="150">
        <v>0</v>
      </c>
      <c r="CE10" s="150">
        <v>10</v>
      </c>
      <c r="CF10" s="150">
        <v>5</v>
      </c>
      <c r="CG10" s="150">
        <v>10</v>
      </c>
      <c r="CH10" s="150">
        <v>5</v>
      </c>
      <c r="CI10" s="150">
        <v>10</v>
      </c>
      <c r="CJ10" s="150">
        <v>5</v>
      </c>
      <c r="CK10" s="150"/>
      <c r="CL10" s="150"/>
      <c r="CM10" s="150"/>
      <c r="CN10" s="150" t="s">
        <v>216</v>
      </c>
      <c r="CO10" s="150">
        <v>0</v>
      </c>
      <c r="CP10" s="150">
        <v>5</v>
      </c>
      <c r="CQ10" s="150">
        <v>0</v>
      </c>
      <c r="CR10" s="150">
        <v>5</v>
      </c>
      <c r="CS10" s="150">
        <v>0</v>
      </c>
      <c r="CT10" s="150">
        <v>10</v>
      </c>
      <c r="CU10" s="150">
        <v>10</v>
      </c>
      <c r="CV10" s="150">
        <v>0</v>
      </c>
      <c r="CW10" s="150">
        <v>5</v>
      </c>
      <c r="CX10" s="150">
        <v>5</v>
      </c>
      <c r="CY10" s="150">
        <v>10</v>
      </c>
      <c r="CZ10" s="150">
        <v>5</v>
      </c>
      <c r="DA10" s="150">
        <v>0</v>
      </c>
      <c r="DB10" s="150"/>
      <c r="DC10" s="150" t="s">
        <v>216</v>
      </c>
      <c r="DD10" s="150">
        <v>0</v>
      </c>
      <c r="DE10" s="150">
        <v>5</v>
      </c>
      <c r="DF10" s="150">
        <v>0</v>
      </c>
      <c r="DG10" s="150">
        <v>10</v>
      </c>
      <c r="DH10" s="150">
        <v>5</v>
      </c>
      <c r="DI10" s="150">
        <v>0</v>
      </c>
      <c r="DJ10" s="150">
        <v>10</v>
      </c>
      <c r="DK10" s="150">
        <v>5</v>
      </c>
      <c r="DL10" s="150">
        <v>0</v>
      </c>
      <c r="DM10" s="150">
        <v>10</v>
      </c>
      <c r="DN10" s="150">
        <v>5</v>
      </c>
      <c r="DO10" s="150">
        <v>0</v>
      </c>
      <c r="DP10" s="150">
        <v>5</v>
      </c>
      <c r="DQ10" s="181"/>
      <c r="DR10" s="181">
        <v>40</v>
      </c>
      <c r="DS10" s="181">
        <v>1600</v>
      </c>
      <c r="DT10" s="150" t="s">
        <v>216</v>
      </c>
      <c r="DU10" s="150">
        <v>0</v>
      </c>
      <c r="DV10" s="150">
        <v>5</v>
      </c>
      <c r="DW10" s="150">
        <v>0</v>
      </c>
      <c r="DX10" s="150">
        <v>10</v>
      </c>
      <c r="DY10" s="150">
        <v>10</v>
      </c>
      <c r="DZ10" s="150">
        <v>0</v>
      </c>
      <c r="EA10" s="150">
        <v>0</v>
      </c>
      <c r="EB10" s="150">
        <v>10</v>
      </c>
      <c r="EC10" s="150">
        <v>5</v>
      </c>
      <c r="ED10" s="150">
        <v>5</v>
      </c>
      <c r="EE10" s="150">
        <v>10</v>
      </c>
      <c r="EF10" s="150">
        <v>5</v>
      </c>
      <c r="EG10" s="150">
        <v>0</v>
      </c>
      <c r="EH10" s="150"/>
      <c r="EI10" s="150"/>
      <c r="EJ10" s="155"/>
      <c r="EK10" s="150" t="s">
        <v>522</v>
      </c>
      <c r="EL10" s="150">
        <v>0</v>
      </c>
      <c r="EM10" s="150">
        <f>BJ10</f>
        <v>0</v>
      </c>
      <c r="EN10" s="150">
        <v>0</v>
      </c>
      <c r="EO10" s="150">
        <v>0</v>
      </c>
      <c r="EP10" s="150">
        <f t="shared" ref="EP10:EX10" si="25">BM10</f>
        <v>10</v>
      </c>
      <c r="EQ10" s="150">
        <f t="shared" si="25"/>
        <v>0</v>
      </c>
      <c r="ER10" s="150">
        <f t="shared" si="25"/>
        <v>10</v>
      </c>
      <c r="ES10" s="150">
        <f t="shared" si="25"/>
        <v>0</v>
      </c>
      <c r="ET10" s="150">
        <f t="shared" si="25"/>
        <v>10</v>
      </c>
      <c r="EU10" s="150">
        <f t="shared" si="25"/>
        <v>0</v>
      </c>
      <c r="EV10" s="150">
        <f t="shared" si="25"/>
        <v>10</v>
      </c>
      <c r="EW10" s="150">
        <f t="shared" si="25"/>
        <v>5</v>
      </c>
      <c r="EX10" s="150">
        <f t="shared" si="25"/>
        <v>10</v>
      </c>
      <c r="EY10" s="150"/>
      <c r="EZ10" s="150" t="s">
        <v>522</v>
      </c>
      <c r="FA10" s="150">
        <v>0</v>
      </c>
      <c r="FB10" s="150">
        <f>BY10</f>
        <v>0</v>
      </c>
      <c r="FC10" s="150">
        <v>0</v>
      </c>
      <c r="FD10" s="150">
        <f t="shared" ref="FD10:FM10" si="26">CA10</f>
        <v>5</v>
      </c>
      <c r="FE10" s="150">
        <f t="shared" si="26"/>
        <v>10</v>
      </c>
      <c r="FF10" s="150">
        <f t="shared" si="26"/>
        <v>10</v>
      </c>
      <c r="FG10" s="150">
        <f t="shared" si="26"/>
        <v>0</v>
      </c>
      <c r="FH10" s="150">
        <f t="shared" si="26"/>
        <v>10</v>
      </c>
      <c r="FI10" s="150">
        <f t="shared" si="26"/>
        <v>5</v>
      </c>
      <c r="FJ10" s="150">
        <f t="shared" si="26"/>
        <v>10</v>
      </c>
      <c r="FK10" s="150">
        <f t="shared" si="26"/>
        <v>5</v>
      </c>
      <c r="FL10" s="150">
        <f t="shared" si="26"/>
        <v>10</v>
      </c>
      <c r="FM10" s="150">
        <f t="shared" si="26"/>
        <v>5</v>
      </c>
      <c r="FN10" s="150"/>
      <c r="FO10" s="150" t="s">
        <v>522</v>
      </c>
      <c r="FP10" s="150">
        <v>0</v>
      </c>
      <c r="FQ10" s="150">
        <f>CP10</f>
        <v>5</v>
      </c>
      <c r="FR10" s="150">
        <v>0</v>
      </c>
      <c r="FS10" s="150">
        <f t="shared" ref="FS10:GB10" si="27">CR10</f>
        <v>5</v>
      </c>
      <c r="FT10" s="150">
        <f t="shared" si="27"/>
        <v>0</v>
      </c>
      <c r="FU10" s="150">
        <f t="shared" si="27"/>
        <v>10</v>
      </c>
      <c r="FV10" s="150">
        <f t="shared" si="27"/>
        <v>10</v>
      </c>
      <c r="FW10" s="150">
        <f t="shared" si="27"/>
        <v>0</v>
      </c>
      <c r="FX10" s="150">
        <f t="shared" si="27"/>
        <v>5</v>
      </c>
      <c r="FY10" s="150">
        <f t="shared" si="27"/>
        <v>5</v>
      </c>
      <c r="FZ10" s="150">
        <f t="shared" si="27"/>
        <v>10</v>
      </c>
      <c r="GA10" s="150">
        <f t="shared" si="27"/>
        <v>5</v>
      </c>
      <c r="GB10" s="150">
        <f t="shared" si="27"/>
        <v>0</v>
      </c>
      <c r="GC10" s="150"/>
      <c r="GD10" s="150" t="s">
        <v>522</v>
      </c>
      <c r="GE10" s="150">
        <v>0</v>
      </c>
      <c r="GF10" s="150">
        <f>DE10</f>
        <v>5</v>
      </c>
      <c r="GG10" s="150">
        <v>0</v>
      </c>
      <c r="GH10" s="150">
        <f t="shared" ref="GH10:GQ10" si="28">DG10</f>
        <v>10</v>
      </c>
      <c r="GI10" s="150">
        <f t="shared" si="28"/>
        <v>5</v>
      </c>
      <c r="GJ10" s="150">
        <f t="shared" si="28"/>
        <v>0</v>
      </c>
      <c r="GK10" s="150">
        <f t="shared" si="28"/>
        <v>10</v>
      </c>
      <c r="GL10" s="150">
        <f t="shared" si="28"/>
        <v>5</v>
      </c>
      <c r="GM10" s="150">
        <f t="shared" si="28"/>
        <v>0</v>
      </c>
      <c r="GN10" s="150">
        <f t="shared" si="28"/>
        <v>10</v>
      </c>
      <c r="GO10" s="150">
        <f t="shared" si="28"/>
        <v>5</v>
      </c>
      <c r="GP10" s="150">
        <f t="shared" si="28"/>
        <v>0</v>
      </c>
      <c r="GQ10" s="150">
        <f t="shared" si="28"/>
        <v>5</v>
      </c>
      <c r="GR10" s="150"/>
      <c r="GS10" s="150" t="s">
        <v>522</v>
      </c>
      <c r="GT10" s="150">
        <v>0</v>
      </c>
      <c r="GU10" s="150">
        <f>DV10</f>
        <v>5</v>
      </c>
      <c r="GV10" s="150">
        <v>0</v>
      </c>
      <c r="GW10" s="150">
        <f t="shared" ref="GW10:HF10" si="29">DX10</f>
        <v>10</v>
      </c>
      <c r="GX10" s="150">
        <f t="shared" si="29"/>
        <v>10</v>
      </c>
      <c r="GY10" s="150">
        <f t="shared" si="29"/>
        <v>0</v>
      </c>
      <c r="GZ10" s="150">
        <f t="shared" si="29"/>
        <v>0</v>
      </c>
      <c r="HA10" s="150">
        <f t="shared" si="29"/>
        <v>10</v>
      </c>
      <c r="HB10" s="150">
        <f t="shared" si="29"/>
        <v>5</v>
      </c>
      <c r="HC10" s="150">
        <f t="shared" si="29"/>
        <v>5</v>
      </c>
      <c r="HD10" s="150">
        <f t="shared" si="29"/>
        <v>10</v>
      </c>
      <c r="HE10" s="150">
        <f t="shared" si="29"/>
        <v>5</v>
      </c>
      <c r="HF10" s="150">
        <f t="shared" si="29"/>
        <v>0</v>
      </c>
      <c r="HG10" s="157"/>
      <c r="HH10" s="150"/>
    </row>
    <row r="11" spans="1:216" x14ac:dyDescent="0.25">
      <c r="A11" s="8"/>
      <c r="B11" s="5" t="s">
        <v>116</v>
      </c>
      <c r="C11" s="8"/>
      <c r="D11" s="6" t="s">
        <v>787</v>
      </c>
      <c r="E11" s="8">
        <v>1</v>
      </c>
      <c r="F11" s="39" t="s">
        <v>789</v>
      </c>
      <c r="G11" s="17"/>
      <c r="H11" s="9"/>
      <c r="I11" s="9"/>
      <c r="J11" s="9"/>
      <c r="K11" s="9"/>
      <c r="L11" s="6" t="str">
        <f>IF($G$3=$AE$24,"-------",IF($G$3=$AE$25,"-------",IF($G$3=$AE$26,"-------",IF($G$3=$AE$27,"CMP41H41/1,2MC",IF($G$3=$AE$28,"CMP41H41/1,2MC",IF($G$3=$AE$29,"CMP41H41/1,2MC",IF($G$3=$AE$30,"CMP41H41/1,2MC",0)))))))</f>
        <v>CMP41H41/1,2MC</v>
      </c>
      <c r="M11" s="11">
        <f>INDEX(cennik!$C$2:$L$529,MATCH($L11,cennik!$B$2:$B$522,0),MATCH(M$2,cennik!$C$1:$L$1,0))</f>
        <v>856211</v>
      </c>
      <c r="N11" s="11" t="str">
        <f>INDEX(cennik!$C$2:$L$529,MATCH($L11,cennik!$B$2:$B$522,0),MATCH(N$2,cennik!$C$1:$L$1,0))</f>
        <v>szt.</v>
      </c>
      <c r="O11" s="11">
        <f>IF(L10="CMP41H41/2,2MC",O10,0)</f>
        <v>5</v>
      </c>
      <c r="P11" s="34">
        <f>INDEX(cennik!$C$2:$L$529,MATCH($L11,cennik!$B$2:$B$522,0),MATCH(P$2,cennik!$C$1:$L$1,0))</f>
        <v>25.2</v>
      </c>
      <c r="Q11" s="34">
        <f t="shared" si="22"/>
        <v>126</v>
      </c>
      <c r="R11" s="35">
        <f t="shared" si="3"/>
        <v>0</v>
      </c>
      <c r="S11" s="34">
        <f t="shared" si="23"/>
        <v>25.2</v>
      </c>
      <c r="T11" s="34">
        <f t="shared" si="24"/>
        <v>126</v>
      </c>
      <c r="U11" s="34">
        <f>INDEX(cennik!$C$2:$L$529,MATCH($L11,cennik!$B$2:$B$522,0),MATCH(U$2,cennik!$C$1:$L$1,0))*O11</f>
        <v>9.1</v>
      </c>
      <c r="V11" s="62"/>
      <c r="W11" s="150">
        <f>INDEX(($EL$3:$EX$6,$EL$9:$EX$12,$EL$15:$EX$18,$FA$3:$FM$6,$FA$9:$FM$12,$FA$15:$FM$18,$FP$3:$GB$6,$FP$9:$GB$12,$FP$15:$GB$18,$GE$3:$GQ$6,$GE$9:$GQ$12,$GE$15:$GQ$18,$GT$3:$HF$6,$GT$9:$HF$12),MATCH($L$17,$EK$3:$EK$6,0),MATCH($A9,$EL$2:$EX$2,0),MATCH($E$3,$AE$33:$AE$48,0))*$C9</f>
        <v>0</v>
      </c>
      <c r="X11" s="150">
        <f>INDEX(($EL$3:$EX$6,$EL$9:$EX$12,$EL$15:$EX$18,$FA$3:$FM$6,$FA$9:$FM$12,$FA$15:$FM$18,$FP$3:$GB$6,$FP$9:$GB$12,$FP$15:$GB$18,$GE$3:$GQ$6,$GE$9:$GQ$12,$GE$15:$GQ$18,$GT$3:$HF$6,$GT$9:$HF$12),MATCH($L$14,$EK$3:$EK$6,0),MATCH($A9,$EL$2:$EX$2,0),MATCH($E$3,$AE$33:$AE$48,0))*$C9</f>
        <v>0</v>
      </c>
      <c r="Y11" s="150">
        <f>INDEX(($EL$3:$EX$6,$EL$9:$EX$12,$EL$15:$EX$18,$FA$3:$FM$6,$FA$9:$FM$12,$FA$15:$FM$18,$FP$3:$GB$6,$FP$9:$GB$12,$FP$15:$GB$18,$GE$3:$GQ$6,$GE$9:$GQ$12,$GE$15:$GQ$18,$GT$3:$HF$6,$GT$9:$HF$12),MATCH($L$15,$EK$3:$EK$6,0),MATCH($A9,$EL$2:$EX$2,0),MATCH($E$3,$AE$33:$AE$48,0))*$C9</f>
        <v>0</v>
      </c>
      <c r="Z11" s="150">
        <f>INDEX(($EL$3:$EX$6,$EL$9:$EX$12,$EL$15:$EX$18,$FA$3:$FM$6,$FA$9:$FM$12,$FA$15:$FM$18,$FP$3:$GB$6,$FP$9:$GB$12,$FP$15:$GB$18,$GE$3:$GQ$6,$GE$9:$GQ$12,$GE$15:$GQ$18,$GT$3:$HF$6,$GT$9:$HF$12),MATCH($L$16,$EK$3:$EK$6,0),MATCH($A9,$EL$2:$EX$2,0),MATCH($E$3,$AE$33:$AE$48,0))*$C9</f>
        <v>0</v>
      </c>
      <c r="AA11" s="150">
        <f t="shared" si="0"/>
        <v>0</v>
      </c>
      <c r="AB11" s="150">
        <f t="shared" si="1"/>
        <v>0</v>
      </c>
      <c r="AC11" s="158">
        <v>1650</v>
      </c>
      <c r="AD11" s="150">
        <f>((A2/4)*AC11)+((A2-1)*20)</f>
        <v>8630</v>
      </c>
      <c r="AE11" s="150">
        <f>INT(AD11/2900)</f>
        <v>2</v>
      </c>
      <c r="AF11" s="150"/>
      <c r="AG11" s="171">
        <v>45</v>
      </c>
      <c r="AH11" s="158" t="s">
        <v>35</v>
      </c>
      <c r="AI11" s="158"/>
      <c r="AJ11" s="158" t="s">
        <v>149</v>
      </c>
      <c r="AK11" s="158" t="s">
        <v>67</v>
      </c>
      <c r="AL11" s="158">
        <v>45</v>
      </c>
      <c r="AM11" s="158" t="s">
        <v>47</v>
      </c>
      <c r="AN11" s="158"/>
      <c r="AO11" s="169" t="s">
        <v>151</v>
      </c>
      <c r="AP11" s="169" t="s">
        <v>151</v>
      </c>
      <c r="AQ11" s="169"/>
      <c r="AR11" s="166" t="s">
        <v>716</v>
      </c>
      <c r="AS11" s="62"/>
      <c r="AT11" s="62"/>
      <c r="AU11" s="62"/>
      <c r="AV11" s="150"/>
      <c r="AW11" s="150"/>
      <c r="AX11" s="150"/>
      <c r="AY11" s="169"/>
      <c r="AZ11" s="169"/>
      <c r="BA11" s="150"/>
      <c r="BB11" s="174" t="s">
        <v>716</v>
      </c>
      <c r="BG11" s="170">
        <f t="shared" si="2"/>
        <v>1</v>
      </c>
      <c r="BH11" s="150" t="s">
        <v>17</v>
      </c>
      <c r="BI11" s="150">
        <v>0</v>
      </c>
      <c r="BJ11" s="150">
        <v>5</v>
      </c>
      <c r="BK11" s="150">
        <v>0</v>
      </c>
      <c r="BL11" s="150">
        <v>0</v>
      </c>
      <c r="BM11" s="150">
        <v>0</v>
      </c>
      <c r="BN11" s="150">
        <v>5</v>
      </c>
      <c r="BO11" s="150">
        <v>5</v>
      </c>
      <c r="BP11" s="150">
        <v>0</v>
      </c>
      <c r="BQ11" s="150">
        <v>0</v>
      </c>
      <c r="BR11" s="150">
        <v>5</v>
      </c>
      <c r="BS11" s="150">
        <v>5</v>
      </c>
      <c r="BT11" s="150">
        <v>5</v>
      </c>
      <c r="BU11" s="150">
        <v>0</v>
      </c>
      <c r="BV11" s="150"/>
      <c r="BW11" s="150" t="s">
        <v>17</v>
      </c>
      <c r="BX11" s="150">
        <v>0</v>
      </c>
      <c r="BY11" s="150">
        <v>5</v>
      </c>
      <c r="BZ11" s="150">
        <v>0</v>
      </c>
      <c r="CA11" s="150">
        <v>5</v>
      </c>
      <c r="CB11" s="150">
        <v>0</v>
      </c>
      <c r="CC11" s="150">
        <v>5</v>
      </c>
      <c r="CD11" s="150">
        <v>0</v>
      </c>
      <c r="CE11" s="150">
        <v>0</v>
      </c>
      <c r="CF11" s="150">
        <v>0</v>
      </c>
      <c r="CG11" s="150">
        <v>5</v>
      </c>
      <c r="CH11" s="150">
        <v>5</v>
      </c>
      <c r="CI11" s="150">
        <v>0</v>
      </c>
      <c r="CJ11" s="150">
        <v>0</v>
      </c>
      <c r="CK11" s="150"/>
      <c r="CL11" s="150"/>
      <c r="CM11" s="150"/>
      <c r="CN11" s="150" t="s">
        <v>17</v>
      </c>
      <c r="CO11" s="150">
        <v>0</v>
      </c>
      <c r="CP11" s="150">
        <v>0</v>
      </c>
      <c r="CQ11" s="150">
        <v>0</v>
      </c>
      <c r="CR11" s="150">
        <v>5</v>
      </c>
      <c r="CS11" s="150">
        <v>5</v>
      </c>
      <c r="CT11" s="150">
        <v>5</v>
      </c>
      <c r="CU11" s="150">
        <v>0</v>
      </c>
      <c r="CV11" s="150">
        <v>5</v>
      </c>
      <c r="CW11" s="150">
        <v>0</v>
      </c>
      <c r="CX11" s="150">
        <v>5</v>
      </c>
      <c r="CY11" s="150">
        <v>0</v>
      </c>
      <c r="CZ11" s="150">
        <v>0</v>
      </c>
      <c r="DA11" s="150">
        <v>0</v>
      </c>
      <c r="DB11" s="150"/>
      <c r="DC11" s="150" t="s">
        <v>17</v>
      </c>
      <c r="DD11" s="150">
        <v>0</v>
      </c>
      <c r="DE11" s="150">
        <v>0</v>
      </c>
      <c r="DF11" s="150">
        <v>0</v>
      </c>
      <c r="DG11" s="150">
        <v>0</v>
      </c>
      <c r="DH11" s="150">
        <v>0</v>
      </c>
      <c r="DI11" s="150">
        <v>0</v>
      </c>
      <c r="DJ11" s="150">
        <v>0</v>
      </c>
      <c r="DK11" s="150">
        <v>0</v>
      </c>
      <c r="DL11" s="150">
        <v>0</v>
      </c>
      <c r="DM11" s="150">
        <v>0</v>
      </c>
      <c r="DN11" s="150">
        <v>0</v>
      </c>
      <c r="DO11" s="150">
        <v>0</v>
      </c>
      <c r="DP11" s="150">
        <v>5</v>
      </c>
      <c r="DQ11" s="181"/>
      <c r="DR11" s="181">
        <v>44</v>
      </c>
      <c r="DS11" s="181">
        <v>2200</v>
      </c>
      <c r="DT11" s="150" t="s">
        <v>17</v>
      </c>
      <c r="DU11" s="150">
        <v>0</v>
      </c>
      <c r="DV11" s="150">
        <v>0</v>
      </c>
      <c r="DW11" s="150">
        <v>0</v>
      </c>
      <c r="DX11" s="150">
        <v>0</v>
      </c>
      <c r="DY11" s="150">
        <v>5</v>
      </c>
      <c r="DZ11" s="150">
        <v>0</v>
      </c>
      <c r="EA11" s="150">
        <v>5</v>
      </c>
      <c r="EB11" s="150">
        <v>5</v>
      </c>
      <c r="EC11" s="150">
        <v>5</v>
      </c>
      <c r="ED11" s="150">
        <v>0</v>
      </c>
      <c r="EE11" s="150">
        <v>5</v>
      </c>
      <c r="EF11" s="150">
        <v>5</v>
      </c>
      <c r="EG11" s="150">
        <v>5</v>
      </c>
      <c r="EH11" s="150"/>
      <c r="EI11" s="150"/>
      <c r="EJ11" s="155"/>
      <c r="EK11" s="150" t="s">
        <v>523</v>
      </c>
      <c r="EL11" s="150">
        <v>0</v>
      </c>
      <c r="EM11" s="150">
        <f>BJ11+(BJ9*2)</f>
        <v>5</v>
      </c>
      <c r="EN11" s="150">
        <v>0</v>
      </c>
      <c r="EO11" s="150">
        <v>0</v>
      </c>
      <c r="EP11" s="150">
        <f t="shared" ref="EP11:EX11" si="30">BM11+(BM9*2)</f>
        <v>0</v>
      </c>
      <c r="EQ11" s="150">
        <f t="shared" si="30"/>
        <v>15</v>
      </c>
      <c r="ER11" s="150">
        <f t="shared" si="30"/>
        <v>5</v>
      </c>
      <c r="ES11" s="150">
        <f t="shared" si="30"/>
        <v>20</v>
      </c>
      <c r="ET11" s="150">
        <f t="shared" si="30"/>
        <v>10</v>
      </c>
      <c r="EU11" s="150">
        <f t="shared" si="30"/>
        <v>25</v>
      </c>
      <c r="EV11" s="150">
        <f t="shared" si="30"/>
        <v>15</v>
      </c>
      <c r="EW11" s="150">
        <f t="shared" si="30"/>
        <v>25</v>
      </c>
      <c r="EX11" s="150">
        <f t="shared" si="30"/>
        <v>20</v>
      </c>
      <c r="EY11" s="150"/>
      <c r="EZ11" s="150" t="s">
        <v>523</v>
      </c>
      <c r="FA11" s="150">
        <v>0</v>
      </c>
      <c r="FB11" s="150">
        <f>BY11+(BY9*2)</f>
        <v>5</v>
      </c>
      <c r="FC11" s="150">
        <v>0</v>
      </c>
      <c r="FD11" s="150">
        <f t="shared" ref="FD11:FM11" si="31">CA11+(CA9*2)</f>
        <v>5</v>
      </c>
      <c r="FE11" s="150">
        <f t="shared" si="31"/>
        <v>0</v>
      </c>
      <c r="FF11" s="150">
        <f t="shared" si="31"/>
        <v>5</v>
      </c>
      <c r="FG11" s="150">
        <f t="shared" si="31"/>
        <v>20</v>
      </c>
      <c r="FH11" s="150">
        <f t="shared" si="31"/>
        <v>10</v>
      </c>
      <c r="FI11" s="150">
        <f t="shared" si="31"/>
        <v>20</v>
      </c>
      <c r="FJ11" s="150">
        <f t="shared" si="31"/>
        <v>15</v>
      </c>
      <c r="FK11" s="150">
        <f t="shared" si="31"/>
        <v>25</v>
      </c>
      <c r="FL11" s="150">
        <f t="shared" si="31"/>
        <v>20</v>
      </c>
      <c r="FM11" s="150">
        <f t="shared" si="31"/>
        <v>30</v>
      </c>
      <c r="FN11" s="150"/>
      <c r="FO11" s="150" t="s">
        <v>523</v>
      </c>
      <c r="FP11" s="150">
        <v>0</v>
      </c>
      <c r="FQ11" s="150">
        <f>CP11+(CP9*2)</f>
        <v>0</v>
      </c>
      <c r="FR11" s="150">
        <v>0</v>
      </c>
      <c r="FS11" s="150">
        <f t="shared" ref="FS11:GB11" si="32">CR11+(CR9*2)</f>
        <v>5</v>
      </c>
      <c r="FT11" s="150">
        <f t="shared" si="32"/>
        <v>15</v>
      </c>
      <c r="FU11" s="150">
        <f t="shared" si="32"/>
        <v>5</v>
      </c>
      <c r="FV11" s="150">
        <f t="shared" si="32"/>
        <v>10</v>
      </c>
      <c r="FW11" s="150">
        <f t="shared" si="32"/>
        <v>25</v>
      </c>
      <c r="FX11" s="150">
        <f t="shared" si="32"/>
        <v>20</v>
      </c>
      <c r="FY11" s="150">
        <f t="shared" si="32"/>
        <v>25</v>
      </c>
      <c r="FZ11" s="150">
        <f t="shared" si="32"/>
        <v>20</v>
      </c>
      <c r="GA11" s="150">
        <f t="shared" si="32"/>
        <v>30</v>
      </c>
      <c r="GB11" s="150">
        <f t="shared" si="32"/>
        <v>40</v>
      </c>
      <c r="GC11" s="150"/>
      <c r="GD11" s="150" t="s">
        <v>523</v>
      </c>
      <c r="GE11" s="150">
        <v>0</v>
      </c>
      <c r="GF11" s="150">
        <f>DE11+(DE9*2)</f>
        <v>0</v>
      </c>
      <c r="GG11" s="150">
        <v>0</v>
      </c>
      <c r="GH11" s="150">
        <f t="shared" ref="GH11:GQ11" si="33">DG11+(DG9*2)</f>
        <v>0</v>
      </c>
      <c r="GI11" s="150">
        <f t="shared" si="33"/>
        <v>10</v>
      </c>
      <c r="GJ11" s="150">
        <f t="shared" si="33"/>
        <v>20</v>
      </c>
      <c r="GK11" s="150">
        <f t="shared" si="33"/>
        <v>10</v>
      </c>
      <c r="GL11" s="150">
        <f t="shared" si="33"/>
        <v>20</v>
      </c>
      <c r="GM11" s="150">
        <f t="shared" si="33"/>
        <v>30</v>
      </c>
      <c r="GN11" s="150">
        <f t="shared" si="33"/>
        <v>20</v>
      </c>
      <c r="GO11" s="150">
        <f t="shared" si="33"/>
        <v>30</v>
      </c>
      <c r="GP11" s="150">
        <f t="shared" si="33"/>
        <v>40</v>
      </c>
      <c r="GQ11" s="150">
        <f t="shared" si="33"/>
        <v>35</v>
      </c>
      <c r="GR11" s="150"/>
      <c r="GS11" s="150" t="s">
        <v>523</v>
      </c>
      <c r="GT11" s="150">
        <v>0</v>
      </c>
      <c r="GU11" s="150">
        <f>DV11+(DV9*2)</f>
        <v>0</v>
      </c>
      <c r="GV11" s="150">
        <v>0</v>
      </c>
      <c r="GW11" s="150">
        <f t="shared" ref="GW11:HF11" si="34">DX11+(DX9*2)</f>
        <v>0</v>
      </c>
      <c r="GX11" s="150">
        <f t="shared" si="34"/>
        <v>5</v>
      </c>
      <c r="GY11" s="150">
        <f t="shared" si="34"/>
        <v>20</v>
      </c>
      <c r="GZ11" s="150">
        <f t="shared" si="34"/>
        <v>25</v>
      </c>
      <c r="HA11" s="150">
        <f t="shared" si="34"/>
        <v>15</v>
      </c>
      <c r="HB11" s="150">
        <f t="shared" si="34"/>
        <v>25</v>
      </c>
      <c r="HC11" s="150">
        <f t="shared" si="34"/>
        <v>30</v>
      </c>
      <c r="HD11" s="150">
        <f t="shared" si="34"/>
        <v>25</v>
      </c>
      <c r="HE11" s="150">
        <f t="shared" si="34"/>
        <v>35</v>
      </c>
      <c r="HF11" s="150">
        <f t="shared" si="34"/>
        <v>45</v>
      </c>
      <c r="HG11" s="157"/>
      <c r="HH11" s="150"/>
    </row>
    <row r="12" spans="1:216" x14ac:dyDescent="0.25">
      <c r="A12" s="8"/>
      <c r="B12" s="5" t="s">
        <v>116</v>
      </c>
      <c r="C12" s="8"/>
      <c r="D12" s="6" t="s">
        <v>788</v>
      </c>
      <c r="E12" s="8">
        <v>2</v>
      </c>
      <c r="F12" s="39" t="s">
        <v>790</v>
      </c>
      <c r="G12" s="9"/>
      <c r="H12" s="9"/>
      <c r="I12" s="9"/>
      <c r="J12" s="9"/>
      <c r="K12" s="9"/>
      <c r="L12" s="6" t="str">
        <f>IF(E13=$AS$23,"CMP41H41/3,5MC",IF(E13=$AU$23,"CMP41H41/3,5MC",IF(E13=$AT$24,"CMP41H41/3MC",IF(E13=$AW$25,"CMP41H41/2,2MC","-------"))))</f>
        <v>CMP41H41/3,5MC</v>
      </c>
      <c r="M12" s="11">
        <f>INDEX(cennik!$C$2:$L$529,MATCH($L12,cennik!$B$2:$B$522,0),MATCH(M$2,cennik!$C$1:$L$1,0))</f>
        <v>851135</v>
      </c>
      <c r="N12" s="11" t="str">
        <f>INDEX(cennik!$C$2:$L$529,MATCH($L12,cennik!$B$2:$B$522,0),MATCH(N$2,cennik!$C$1:$L$1,0))</f>
        <v>szt.</v>
      </c>
      <c r="O12" s="11">
        <f>SUM(AA2:AA17)</f>
        <v>2</v>
      </c>
      <c r="P12" s="34">
        <f>INDEX(cennik!$C$2:$L$529,MATCH($L12,cennik!$B$2:$B$522,0),MATCH(P$2,cennik!$C$1:$L$1,0))</f>
        <v>73.5</v>
      </c>
      <c r="Q12" s="34">
        <f t="shared" si="22"/>
        <v>147</v>
      </c>
      <c r="R12" s="35">
        <f>$E$7</f>
        <v>0</v>
      </c>
      <c r="S12" s="34">
        <f>P12*((100-$E$7)/100)</f>
        <v>73.5</v>
      </c>
      <c r="T12" s="34">
        <f t="shared" si="24"/>
        <v>147</v>
      </c>
      <c r="U12" s="34">
        <f>INDEX(cennik!$C$2:$L$529,MATCH($L12,cennik!$B$2:$B$522,0),MATCH(U$2,cennik!$C$1:$L$1,0))*O12</f>
        <v>10.62</v>
      </c>
      <c r="V12" s="62"/>
      <c r="W12" s="150">
        <f>INDEX(($EL$3:$EX$6,$EL$9:$EX$12,$EL$15:$EX$18,$FA$3:$FM$6,$FA$9:$FM$12,$FA$15:$FM$18,$FP$3:$GB$6,$FP$9:$GB$12,$FP$15:$GB$18,$GE$3:$GQ$6,$GE$9:$GQ$12,$GE$15:$GQ$18,$GT$3:$HF$6,$GT$9:$HF$12),MATCH($L$17,$EK$3:$EK$6,0),MATCH($A10,$EL$2:$EX$2,0),MATCH($E$3,$AE$33:$AE$48,0))*$C10</f>
        <v>0</v>
      </c>
      <c r="X12" s="150">
        <f>INDEX(($EL$3:$EX$6,$EL$9:$EX$12,$EL$15:$EX$18,$FA$3:$FM$6,$FA$9:$FM$12,$FA$15:$FM$18,$FP$3:$GB$6,$FP$9:$GB$12,$FP$15:$GB$18,$GE$3:$GQ$6,$GE$9:$GQ$12,$GE$15:$GQ$18,$GT$3:$HF$6,$GT$9:$HF$12),MATCH($L$14,$EK$3:$EK$6,0),MATCH($A10,$EL$2:$EX$2,0),MATCH($E$3,$AE$33:$AE$48,0))*$C10</f>
        <v>0</v>
      </c>
      <c r="Y12" s="150">
        <f>INDEX(($EL$3:$EX$6,$EL$9:$EX$12,$EL$15:$EX$18,$FA$3:$FM$6,$FA$9:$FM$12,$FA$15:$FM$18,$FP$3:$GB$6,$FP$9:$GB$12,$FP$15:$GB$18,$GE$3:$GQ$6,$GE$9:$GQ$12,$GE$15:$GQ$18,$GT$3:$HF$6,$GT$9:$HF$12),MATCH($L$15,$EK$3:$EK$6,0),MATCH($A10,$EL$2:$EX$2,0),MATCH($E$3,$AE$33:$AE$48,0))*$C10</f>
        <v>0</v>
      </c>
      <c r="Z12" s="150">
        <f>INDEX(($EL$3:$EX$6,$EL$9:$EX$12,$EL$15:$EX$18,$FA$3:$FM$6,$FA$9:$FM$12,$FA$15:$FM$18,$FP$3:$GB$6,$FP$9:$GB$12,$FP$15:$GB$18,$GE$3:$GQ$6,$GE$9:$GQ$12,$GE$15:$GQ$18,$GT$3:$HF$6,$GT$9:$HF$12),MATCH($L$16,$EK$3:$EK$6,0),MATCH($A10,$EL$2:$EX$2,0),MATCH($E$3,$AE$33:$AE$48,0))*$C10</f>
        <v>0</v>
      </c>
      <c r="AA12" s="150">
        <f t="shared" si="0"/>
        <v>0</v>
      </c>
      <c r="AB12" s="150">
        <f t="shared" si="1"/>
        <v>0</v>
      </c>
      <c r="AC12" s="150"/>
      <c r="AD12" s="150">
        <f>AE11*2900</f>
        <v>5800</v>
      </c>
      <c r="AE12" s="150"/>
      <c r="AF12" s="150"/>
      <c r="AG12" s="171">
        <v>50</v>
      </c>
      <c r="AH12" s="158" t="s">
        <v>36</v>
      </c>
      <c r="AI12" s="158" t="s">
        <v>37</v>
      </c>
      <c r="AJ12" s="158" t="s">
        <v>150</v>
      </c>
      <c r="AK12" s="158" t="s">
        <v>67</v>
      </c>
      <c r="AL12" s="158">
        <v>50</v>
      </c>
      <c r="AM12" s="158" t="s">
        <v>48</v>
      </c>
      <c r="AN12" s="158"/>
      <c r="AO12" s="169" t="s">
        <v>151</v>
      </c>
      <c r="AP12" s="169" t="s">
        <v>151</v>
      </c>
      <c r="AQ12" s="169"/>
      <c r="AR12" s="62">
        <v>30</v>
      </c>
      <c r="AS12" s="62" t="s">
        <v>314</v>
      </c>
      <c r="AT12" s="62" t="s">
        <v>312</v>
      </c>
      <c r="AU12" s="62" t="s">
        <v>309</v>
      </c>
      <c r="AV12" s="150" t="s">
        <v>313</v>
      </c>
      <c r="AW12" s="150"/>
      <c r="AX12" s="150"/>
      <c r="AY12" s="169"/>
      <c r="AZ12" s="169"/>
      <c r="BA12" s="150"/>
      <c r="BB12" s="154">
        <v>30</v>
      </c>
      <c r="BC12" s="154" t="s">
        <v>314</v>
      </c>
      <c r="BD12" s="154" t="s">
        <v>312</v>
      </c>
      <c r="BE12" s="154" t="s">
        <v>309</v>
      </c>
      <c r="BF12" s="154" t="s">
        <v>313</v>
      </c>
      <c r="BG12" s="170">
        <f t="shared" si="2"/>
        <v>1</v>
      </c>
      <c r="BH12" s="158" t="s">
        <v>779</v>
      </c>
      <c r="BI12" s="158">
        <v>0</v>
      </c>
      <c r="BJ12" s="150">
        <v>0</v>
      </c>
      <c r="BK12" s="150">
        <v>0</v>
      </c>
      <c r="BL12" s="150">
        <v>0</v>
      </c>
      <c r="BM12" s="150">
        <v>5</v>
      </c>
      <c r="BN12" s="150">
        <v>5</v>
      </c>
      <c r="BO12" s="150">
        <v>10</v>
      </c>
      <c r="BP12" s="150">
        <v>5</v>
      </c>
      <c r="BQ12" s="150">
        <v>10</v>
      </c>
      <c r="BR12" s="150">
        <v>10</v>
      </c>
      <c r="BS12" s="150">
        <v>15</v>
      </c>
      <c r="BT12" s="150">
        <v>15</v>
      </c>
      <c r="BU12" s="150">
        <v>15</v>
      </c>
      <c r="BV12" s="150"/>
      <c r="BW12" s="158" t="s">
        <v>779</v>
      </c>
      <c r="BX12" s="150">
        <v>0</v>
      </c>
      <c r="BY12" s="150">
        <v>0</v>
      </c>
      <c r="BZ12" s="150">
        <v>0</v>
      </c>
      <c r="CA12" s="150">
        <v>5</v>
      </c>
      <c r="CB12" s="150">
        <v>5</v>
      </c>
      <c r="CC12" s="150">
        <v>10</v>
      </c>
      <c r="CD12" s="150">
        <v>5</v>
      </c>
      <c r="CE12" s="150">
        <v>10</v>
      </c>
      <c r="CF12" s="150">
        <v>10</v>
      </c>
      <c r="CG12" s="150">
        <v>15</v>
      </c>
      <c r="CH12" s="150">
        <v>15</v>
      </c>
      <c r="CI12" s="150">
        <v>15</v>
      </c>
      <c r="CJ12" s="150">
        <v>15</v>
      </c>
      <c r="CK12" s="150"/>
      <c r="CL12" s="150"/>
      <c r="CM12" s="150"/>
      <c r="CN12" s="158" t="s">
        <v>779</v>
      </c>
      <c r="CO12" s="158">
        <v>0</v>
      </c>
      <c r="CP12" s="150">
        <v>0</v>
      </c>
      <c r="CQ12" s="150">
        <v>0</v>
      </c>
      <c r="CR12" s="150">
        <v>5</v>
      </c>
      <c r="CS12" s="150">
        <v>5</v>
      </c>
      <c r="CT12" s="150">
        <v>10</v>
      </c>
      <c r="CU12" s="150">
        <v>10</v>
      </c>
      <c r="CV12" s="150">
        <v>10</v>
      </c>
      <c r="CW12" s="150">
        <v>10</v>
      </c>
      <c r="CX12" s="150">
        <v>15</v>
      </c>
      <c r="CY12" s="150">
        <v>15</v>
      </c>
      <c r="CZ12" s="150">
        <v>15</v>
      </c>
      <c r="DA12" s="150">
        <v>15</v>
      </c>
      <c r="DB12" s="150"/>
      <c r="DC12" s="158" t="s">
        <v>779</v>
      </c>
      <c r="DD12" s="150">
        <v>0</v>
      </c>
      <c r="DE12" s="150">
        <v>0</v>
      </c>
      <c r="DF12" s="150">
        <v>0</v>
      </c>
      <c r="DG12" s="150">
        <v>5</v>
      </c>
      <c r="DH12" s="150">
        <v>5</v>
      </c>
      <c r="DI12" s="150">
        <v>5</v>
      </c>
      <c r="DJ12" s="150">
        <v>10</v>
      </c>
      <c r="DK12" s="150">
        <v>10</v>
      </c>
      <c r="DL12" s="150">
        <v>10</v>
      </c>
      <c r="DM12" s="150">
        <v>15</v>
      </c>
      <c r="DN12" s="150">
        <v>15</v>
      </c>
      <c r="DO12" s="150">
        <v>15</v>
      </c>
      <c r="DP12" s="150">
        <v>20</v>
      </c>
      <c r="DQ12" s="181"/>
      <c r="DR12" s="181">
        <v>48</v>
      </c>
      <c r="DS12" s="181"/>
      <c r="DT12" s="158" t="s">
        <v>779</v>
      </c>
      <c r="DU12" s="158">
        <v>0</v>
      </c>
      <c r="DV12" s="150">
        <v>0</v>
      </c>
      <c r="DW12" s="150">
        <v>0</v>
      </c>
      <c r="DX12" s="150">
        <v>5</v>
      </c>
      <c r="DY12" s="150">
        <v>10</v>
      </c>
      <c r="DZ12" s="150">
        <v>5</v>
      </c>
      <c r="EA12" s="150">
        <v>10</v>
      </c>
      <c r="EB12" s="150">
        <v>15</v>
      </c>
      <c r="EC12" s="150">
        <v>15</v>
      </c>
      <c r="ED12" s="150">
        <v>15</v>
      </c>
      <c r="EE12" s="150">
        <v>20</v>
      </c>
      <c r="EF12" s="150">
        <v>20</v>
      </c>
      <c r="EG12" s="150">
        <v>20</v>
      </c>
      <c r="EH12" s="150"/>
      <c r="EI12" s="150"/>
      <c r="EJ12" s="155"/>
      <c r="EK12" s="158" t="s">
        <v>779</v>
      </c>
      <c r="EL12" s="150">
        <v>0</v>
      </c>
      <c r="EM12" s="150">
        <f>((SUM(EM10:EM11)/5)-1)*5</f>
        <v>0</v>
      </c>
      <c r="EN12" s="150">
        <v>0</v>
      </c>
      <c r="EO12" s="150">
        <v>0</v>
      </c>
      <c r="EP12" s="150">
        <f t="shared" ref="EP12:EX12" si="35">((SUM(EP10:EP11)/5)-1)*5</f>
        <v>5</v>
      </c>
      <c r="EQ12" s="150">
        <f t="shared" si="35"/>
        <v>10</v>
      </c>
      <c r="ER12" s="150">
        <f t="shared" si="35"/>
        <v>10</v>
      </c>
      <c r="ES12" s="150">
        <f t="shared" si="35"/>
        <v>15</v>
      </c>
      <c r="ET12" s="150">
        <f t="shared" si="35"/>
        <v>15</v>
      </c>
      <c r="EU12" s="150">
        <f t="shared" si="35"/>
        <v>20</v>
      </c>
      <c r="EV12" s="150">
        <f t="shared" si="35"/>
        <v>20</v>
      </c>
      <c r="EW12" s="150">
        <f t="shared" si="35"/>
        <v>25</v>
      </c>
      <c r="EX12" s="150">
        <f t="shared" si="35"/>
        <v>25</v>
      </c>
      <c r="EY12" s="150"/>
      <c r="EZ12" s="158" t="s">
        <v>779</v>
      </c>
      <c r="FA12" s="150">
        <v>0</v>
      </c>
      <c r="FB12" s="150">
        <f>((SUM(FB10:FB11)/5)-1)*5</f>
        <v>0</v>
      </c>
      <c r="FC12" s="150">
        <v>0</v>
      </c>
      <c r="FD12" s="150">
        <f t="shared" ref="FD12:FM12" si="36">((SUM(FD10:FD11)/5)-1)*5</f>
        <v>5</v>
      </c>
      <c r="FE12" s="150">
        <f t="shared" si="36"/>
        <v>5</v>
      </c>
      <c r="FF12" s="150">
        <f t="shared" si="36"/>
        <v>10</v>
      </c>
      <c r="FG12" s="150">
        <f t="shared" si="36"/>
        <v>15</v>
      </c>
      <c r="FH12" s="150">
        <f t="shared" si="36"/>
        <v>15</v>
      </c>
      <c r="FI12" s="150">
        <f t="shared" si="36"/>
        <v>20</v>
      </c>
      <c r="FJ12" s="150">
        <f t="shared" si="36"/>
        <v>20</v>
      </c>
      <c r="FK12" s="150">
        <f t="shared" si="36"/>
        <v>25</v>
      </c>
      <c r="FL12" s="150">
        <f t="shared" si="36"/>
        <v>25</v>
      </c>
      <c r="FM12" s="150">
        <f t="shared" si="36"/>
        <v>30</v>
      </c>
      <c r="FN12" s="150"/>
      <c r="FO12" s="158" t="s">
        <v>779</v>
      </c>
      <c r="FP12" s="150">
        <v>0</v>
      </c>
      <c r="FQ12" s="150">
        <f>((SUM(FQ10:FQ11)/5)-1)*5</f>
        <v>0</v>
      </c>
      <c r="FR12" s="150">
        <v>0</v>
      </c>
      <c r="FS12" s="150">
        <f t="shared" ref="FS12:GB12" si="37">((SUM(FS10:FS11)/5)-1)*5</f>
        <v>5</v>
      </c>
      <c r="FT12" s="150">
        <f t="shared" si="37"/>
        <v>10</v>
      </c>
      <c r="FU12" s="150">
        <f t="shared" si="37"/>
        <v>10</v>
      </c>
      <c r="FV12" s="150">
        <f t="shared" si="37"/>
        <v>15</v>
      </c>
      <c r="FW12" s="150">
        <f t="shared" si="37"/>
        <v>20</v>
      </c>
      <c r="FX12" s="150">
        <f t="shared" si="37"/>
        <v>20</v>
      </c>
      <c r="FY12" s="150">
        <f t="shared" si="37"/>
        <v>25</v>
      </c>
      <c r="FZ12" s="150">
        <f t="shared" si="37"/>
        <v>25</v>
      </c>
      <c r="GA12" s="150">
        <f t="shared" si="37"/>
        <v>30</v>
      </c>
      <c r="GB12" s="150">
        <f t="shared" si="37"/>
        <v>35</v>
      </c>
      <c r="GC12" s="150"/>
      <c r="GD12" s="158" t="s">
        <v>779</v>
      </c>
      <c r="GE12" s="150">
        <v>0</v>
      </c>
      <c r="GF12" s="150">
        <f>((SUM(GF10:GF11)/5)-1)*5</f>
        <v>0</v>
      </c>
      <c r="GG12" s="150">
        <v>0</v>
      </c>
      <c r="GH12" s="150">
        <f t="shared" ref="GH12:GQ12" si="38">((SUM(GH10:GH11)/5)-1)*5</f>
        <v>5</v>
      </c>
      <c r="GI12" s="150">
        <f t="shared" si="38"/>
        <v>10</v>
      </c>
      <c r="GJ12" s="150">
        <f t="shared" si="38"/>
        <v>15</v>
      </c>
      <c r="GK12" s="150">
        <f t="shared" si="38"/>
        <v>15</v>
      </c>
      <c r="GL12" s="150">
        <f t="shared" si="38"/>
        <v>20</v>
      </c>
      <c r="GM12" s="150">
        <f t="shared" si="38"/>
        <v>25</v>
      </c>
      <c r="GN12" s="150">
        <f t="shared" si="38"/>
        <v>25</v>
      </c>
      <c r="GO12" s="150">
        <f t="shared" si="38"/>
        <v>30</v>
      </c>
      <c r="GP12" s="150">
        <f t="shared" si="38"/>
        <v>35</v>
      </c>
      <c r="GQ12" s="150">
        <f t="shared" si="38"/>
        <v>35</v>
      </c>
      <c r="GR12" s="150"/>
      <c r="GS12" s="158" t="s">
        <v>779</v>
      </c>
      <c r="GT12" s="158">
        <v>0</v>
      </c>
      <c r="GU12" s="150">
        <f>((SUM(GU10:GU11)/5)-1)*5</f>
        <v>0</v>
      </c>
      <c r="GV12" s="150">
        <v>0</v>
      </c>
      <c r="GW12" s="150">
        <f t="shared" ref="GW12:HF12" si="39">((SUM(GW10:GW11)/5)-1)*5</f>
        <v>5</v>
      </c>
      <c r="GX12" s="150">
        <f t="shared" si="39"/>
        <v>10</v>
      </c>
      <c r="GY12" s="150">
        <f t="shared" si="39"/>
        <v>15</v>
      </c>
      <c r="GZ12" s="150">
        <f t="shared" si="39"/>
        <v>20</v>
      </c>
      <c r="HA12" s="150">
        <f t="shared" si="39"/>
        <v>20</v>
      </c>
      <c r="HB12" s="150">
        <f t="shared" si="39"/>
        <v>25</v>
      </c>
      <c r="HC12" s="150">
        <f t="shared" si="39"/>
        <v>30</v>
      </c>
      <c r="HD12" s="150">
        <f t="shared" si="39"/>
        <v>30</v>
      </c>
      <c r="HE12" s="150">
        <f t="shared" si="39"/>
        <v>35</v>
      </c>
      <c r="HF12" s="150">
        <f t="shared" si="39"/>
        <v>40</v>
      </c>
      <c r="HG12" s="157"/>
      <c r="HH12" s="150"/>
    </row>
    <row r="13" spans="1:216" x14ac:dyDescent="0.25">
      <c r="A13" s="8"/>
      <c r="B13" s="5" t="s">
        <v>116</v>
      </c>
      <c r="C13" s="8"/>
      <c r="D13" s="6" t="s">
        <v>718</v>
      </c>
      <c r="E13" s="32">
        <f>INDEX((AS23:AW25),MATCH(E11,AR23:AR25,0),MATCH(E12,AS22:AW22,0))</f>
        <v>2900</v>
      </c>
      <c r="F13" s="31"/>
      <c r="G13" s="31"/>
      <c r="H13" s="31"/>
      <c r="I13" s="31"/>
      <c r="J13" s="29" t="s">
        <v>119</v>
      </c>
      <c r="K13" s="9"/>
      <c r="L13" s="6" t="s">
        <v>1111</v>
      </c>
      <c r="M13" s="11">
        <f>INDEX(cennik!$C$2:$L$529,MATCH($L13,cennik!$B$2:$B$522,0),MATCH(M$2,cennik!$C$1:$L$1,0))</f>
        <v>850252</v>
      </c>
      <c r="N13" s="11" t="str">
        <f>INDEX(cennik!$C$2:$L$529,MATCH($L13,cennik!$B$2:$B$522,0),MATCH(N$2,cennik!$C$1:$L$1,0))</f>
        <v>szt.</v>
      </c>
      <c r="O13" s="11">
        <f>O5+O11</f>
        <v>10</v>
      </c>
      <c r="P13" s="34">
        <f>INDEX(cennik!$C$2:$L$529,MATCH($L13,cennik!$B$2:$B$522,0),MATCH(P$2,cennik!$C$1:$L$1,0))</f>
        <v>6.06</v>
      </c>
      <c r="Q13" s="34">
        <f t="shared" si="22"/>
        <v>60.599999999999994</v>
      </c>
      <c r="R13" s="35">
        <f t="shared" si="3"/>
        <v>0</v>
      </c>
      <c r="S13" s="34">
        <f t="shared" si="23"/>
        <v>6.06</v>
      </c>
      <c r="T13" s="34">
        <f t="shared" si="24"/>
        <v>60.599999999999994</v>
      </c>
      <c r="U13" s="34">
        <f>INDEX(cennik!$C$2:$L$529,MATCH($L13,cennik!$B$2:$B$522,0),MATCH(U$2,cennik!$C$1:$L$1,0))*O13</f>
        <v>4.5</v>
      </c>
      <c r="V13" s="62"/>
      <c r="W13" s="150">
        <f>INDEX(($EL$3:$EX$6,$EL$9:$EX$12,$EL$15:$EX$18,$FA$3:$FM$6,$FA$9:$FM$12,$FA$15:$FM$18,$FP$3:$GB$6,$FP$9:$GB$12,$FP$15:$GB$18,$GE$3:$GQ$6,$GE$9:$GQ$12,$GE$15:$GQ$18,$GT$3:$HF$6,$GT$9:$HF$12),MATCH($L$17,$EK$3:$EK$6,0),MATCH($A11,$EL$2:$EX$2,0),MATCH($E$3,$AE$33:$AE$48,0))*$C11</f>
        <v>0</v>
      </c>
      <c r="X13" s="150">
        <f>INDEX(($EL$3:$EX$6,$EL$9:$EX$12,$EL$15:$EX$18,$FA$3:$FM$6,$FA$9:$FM$12,$FA$15:$FM$18,$FP$3:$GB$6,$FP$9:$GB$12,$FP$15:$GB$18,$GE$3:$GQ$6,$GE$9:$GQ$12,$GE$15:$GQ$18,$GT$3:$HF$6,$GT$9:$HF$12),MATCH($L$14,$EK$3:$EK$6,0),MATCH($A11,$EL$2:$EX$2,0),MATCH($E$3,$AE$33:$AE$48,0))*$C11</f>
        <v>0</v>
      </c>
      <c r="Y13" s="150">
        <f>INDEX(($EL$3:$EX$6,$EL$9:$EX$12,$EL$15:$EX$18,$FA$3:$FM$6,$FA$9:$FM$12,$FA$15:$FM$18,$FP$3:$GB$6,$FP$9:$GB$12,$FP$15:$GB$18,$GE$3:$GQ$6,$GE$9:$GQ$12,$GE$15:$GQ$18,$GT$3:$HF$6,$GT$9:$HF$12),MATCH($L$15,$EK$3:$EK$6,0),MATCH($A11,$EL$2:$EX$2,0),MATCH($E$3,$AE$33:$AE$48,0))*$C11</f>
        <v>0</v>
      </c>
      <c r="Z13" s="150">
        <f>INDEX(($EL$3:$EX$6,$EL$9:$EX$12,$EL$15:$EX$18,$FA$3:$FM$6,$FA$9:$FM$12,$FA$15:$FM$18,$FP$3:$GB$6,$FP$9:$GB$12,$FP$15:$GB$18,$GE$3:$GQ$6,$GE$9:$GQ$12,$GE$15:$GQ$18,$GT$3:$HF$6,$GT$9:$HF$12),MATCH($L$16,$EK$3:$EK$6,0),MATCH($A11,$EL$2:$EX$2,0),MATCH($E$3,$AE$33:$AE$48,0))*$C11</f>
        <v>0</v>
      </c>
      <c r="AA13" s="150">
        <f t="shared" si="0"/>
        <v>0</v>
      </c>
      <c r="AB13" s="150">
        <f t="shared" si="1"/>
        <v>0</v>
      </c>
      <c r="AC13" s="150"/>
      <c r="AD13" s="150">
        <f>IF(AD12+2000&gt;AD11,AE11+1,IF(AD12+2000&lt;AD11,AE11+2,0))</f>
        <v>4</v>
      </c>
      <c r="AE13" s="150"/>
      <c r="AF13" s="150"/>
      <c r="AG13" s="171"/>
      <c r="AH13" s="158" t="s">
        <v>13</v>
      </c>
      <c r="AI13" s="158" t="s">
        <v>77</v>
      </c>
      <c r="AJ13" s="158"/>
      <c r="AK13" s="158"/>
      <c r="AL13" s="158"/>
      <c r="AM13" s="158" t="s">
        <v>6</v>
      </c>
      <c r="AN13" s="158" t="s">
        <v>78</v>
      </c>
      <c r="AO13" s="158"/>
      <c r="AP13" s="158"/>
      <c r="AQ13" s="158"/>
      <c r="AR13" s="62" t="s">
        <v>114</v>
      </c>
      <c r="AS13" s="62" t="s">
        <v>596</v>
      </c>
      <c r="AT13" s="62" t="s">
        <v>595</v>
      </c>
      <c r="AU13" s="62" t="s">
        <v>593</v>
      </c>
      <c r="AV13" s="150" t="s">
        <v>593</v>
      </c>
      <c r="AW13" s="150"/>
      <c r="AX13" s="150"/>
      <c r="AY13" s="158"/>
      <c r="AZ13" s="158"/>
      <c r="BA13" s="150"/>
      <c r="BB13" s="154" t="s">
        <v>114</v>
      </c>
      <c r="BC13" s="154" t="s">
        <v>151</v>
      </c>
      <c r="BD13" s="154" t="s">
        <v>151</v>
      </c>
      <c r="BE13" s="154" t="s">
        <v>151</v>
      </c>
      <c r="BF13" s="154" t="s">
        <v>151</v>
      </c>
      <c r="BG13" s="170">
        <f t="shared" si="2"/>
        <v>1</v>
      </c>
      <c r="BH13" s="150"/>
      <c r="BI13" s="150"/>
      <c r="BJ13" s="150"/>
      <c r="BK13" s="150"/>
      <c r="BL13" s="150"/>
      <c r="BM13" s="150"/>
      <c r="BN13" s="150"/>
      <c r="BO13" s="150"/>
      <c r="BP13" s="150"/>
      <c r="BQ13" s="150"/>
      <c r="BR13" s="150"/>
      <c r="BS13" s="150"/>
      <c r="BT13" s="150"/>
      <c r="BU13" s="150"/>
      <c r="BV13" s="150"/>
      <c r="BW13" s="150"/>
      <c r="BX13" s="150"/>
      <c r="BY13" s="150"/>
      <c r="BZ13" s="150"/>
      <c r="CA13" s="150"/>
      <c r="CB13" s="150"/>
      <c r="CC13" s="150"/>
      <c r="CD13" s="150"/>
      <c r="CE13" s="150"/>
      <c r="CF13" s="150"/>
      <c r="CG13" s="150"/>
      <c r="CH13" s="150"/>
      <c r="CI13" s="150"/>
      <c r="CJ13" s="150"/>
      <c r="CK13" s="150"/>
      <c r="CL13" s="150"/>
      <c r="CM13" s="150"/>
      <c r="CN13" s="150"/>
      <c r="CO13" s="150"/>
      <c r="CP13" s="150"/>
      <c r="CQ13" s="150"/>
      <c r="CR13" s="150"/>
      <c r="CS13" s="150"/>
      <c r="CT13" s="150"/>
      <c r="CU13" s="150"/>
      <c r="CV13" s="150"/>
      <c r="CW13" s="150"/>
      <c r="CX13" s="150"/>
      <c r="CY13" s="150"/>
      <c r="CZ13" s="150"/>
      <c r="DA13" s="150"/>
      <c r="DB13" s="150"/>
      <c r="DC13" s="150"/>
      <c r="DD13" s="150"/>
      <c r="DE13" s="150"/>
      <c r="DF13" s="150"/>
      <c r="DG13" s="150"/>
      <c r="DH13" s="150"/>
      <c r="DI13" s="150"/>
      <c r="DJ13" s="150"/>
      <c r="DK13" s="150"/>
      <c r="DL13" s="150"/>
      <c r="DM13" s="150"/>
      <c r="DN13" s="150"/>
      <c r="DO13" s="150"/>
      <c r="DP13" s="150"/>
      <c r="DQ13" s="181"/>
      <c r="DR13" s="181">
        <v>52</v>
      </c>
      <c r="DS13" s="181"/>
      <c r="DT13" s="150"/>
      <c r="DU13" s="150"/>
      <c r="DV13" s="150"/>
      <c r="DW13" s="150"/>
      <c r="DX13" s="150"/>
      <c r="DY13" s="150"/>
      <c r="DZ13" s="150"/>
      <c r="EA13" s="150"/>
      <c r="EB13" s="150"/>
      <c r="EC13" s="150"/>
      <c r="ED13" s="150"/>
      <c r="EE13" s="150"/>
      <c r="EF13" s="150"/>
      <c r="EG13" s="150"/>
      <c r="EH13" s="150"/>
      <c r="EI13" s="150"/>
      <c r="EJ13" s="155"/>
      <c r="EK13" s="150"/>
      <c r="EL13" s="150"/>
      <c r="EM13" s="150"/>
      <c r="EN13" s="150"/>
      <c r="EO13" s="150"/>
      <c r="EP13" s="150"/>
      <c r="EQ13" s="150"/>
      <c r="ER13" s="150"/>
      <c r="ES13" s="150"/>
      <c r="ET13" s="150"/>
      <c r="EU13" s="150"/>
      <c r="EV13" s="150"/>
      <c r="EW13" s="150"/>
      <c r="EX13" s="150"/>
      <c r="EY13" s="150"/>
      <c r="EZ13" s="150"/>
      <c r="FA13" s="150"/>
      <c r="FB13" s="150"/>
      <c r="FC13" s="150"/>
      <c r="FD13" s="150"/>
      <c r="FE13" s="150"/>
      <c r="FF13" s="150"/>
      <c r="FG13" s="150"/>
      <c r="FH13" s="150"/>
      <c r="FI13" s="150"/>
      <c r="FJ13" s="150"/>
      <c r="FK13" s="150"/>
      <c r="FL13" s="150"/>
      <c r="FM13" s="150"/>
      <c r="FN13" s="150"/>
      <c r="FO13" s="150"/>
      <c r="FP13" s="150"/>
      <c r="FQ13" s="150"/>
      <c r="FR13" s="150"/>
      <c r="FS13" s="150"/>
      <c r="FT13" s="150"/>
      <c r="FU13" s="150"/>
      <c r="FV13" s="150"/>
      <c r="FW13" s="150"/>
      <c r="FX13" s="150"/>
      <c r="FY13" s="150"/>
      <c r="FZ13" s="150"/>
      <c r="GA13" s="150"/>
      <c r="GB13" s="150"/>
      <c r="GC13" s="150"/>
      <c r="GD13" s="150"/>
      <c r="GE13" s="150"/>
      <c r="GF13" s="150"/>
      <c r="GG13" s="150"/>
      <c r="GH13" s="150"/>
      <c r="GI13" s="150"/>
      <c r="GJ13" s="150"/>
      <c r="GK13" s="150"/>
      <c r="GL13" s="150"/>
      <c r="GM13" s="150"/>
      <c r="GN13" s="150"/>
      <c r="GO13" s="150"/>
      <c r="GP13" s="150"/>
      <c r="GQ13" s="150"/>
      <c r="GR13" s="150"/>
      <c r="GS13" s="150"/>
      <c r="GT13" s="150"/>
      <c r="GU13" s="150"/>
      <c r="GV13" s="150"/>
      <c r="GW13" s="150"/>
      <c r="GX13" s="150"/>
      <c r="GY13" s="150"/>
      <c r="GZ13" s="150"/>
      <c r="HA13" s="150"/>
      <c r="HB13" s="150"/>
      <c r="HC13" s="150"/>
      <c r="HD13" s="150"/>
      <c r="HE13" s="150"/>
      <c r="HF13" s="150"/>
      <c r="HG13" s="157"/>
      <c r="HH13" s="150"/>
    </row>
    <row r="14" spans="1:216" x14ac:dyDescent="0.25">
      <c r="A14" s="8"/>
      <c r="B14" s="5" t="s">
        <v>116</v>
      </c>
      <c r="C14" s="8"/>
      <c r="D14" s="6" t="str">
        <f>IF(E5=$AC$8,"długość śruby GSW","")</f>
        <v/>
      </c>
      <c r="E14" s="38">
        <v>2200</v>
      </c>
      <c r="F14" s="9"/>
      <c r="G14" s="9"/>
      <c r="H14" s="9"/>
      <c r="I14" s="9"/>
      <c r="J14" s="29" t="str">
        <f>IF(E5=$AC$8,"[mm]","")</f>
        <v/>
      </c>
      <c r="K14" s="9"/>
      <c r="L14" s="6" t="s">
        <v>586</v>
      </c>
      <c r="M14" s="11">
        <f>INDEX(cennik!$C$2:$L$529,MATCH($L14,cennik!$B$2:$B$522,0),MATCH(M$2,cennik!$C$1:$L$1,0))</f>
        <v>867566</v>
      </c>
      <c r="N14" s="11" t="str">
        <f>INDEX(cennik!$C$2:$L$529,MATCH($L14,cennik!$B$2:$B$522,0),MATCH(N$2,cennik!$C$1:$L$1,0))</f>
        <v>szt.</v>
      </c>
      <c r="O14" s="11">
        <f>SUM(X4:X19)</f>
        <v>0</v>
      </c>
      <c r="P14" s="34">
        <f>INDEX(cennik!$C$2:$L$529,MATCH($L14,cennik!$B$2:$B$522,0),MATCH(P$2,cennik!$C$1:$L$1,0))</f>
        <v>265.20999999999998</v>
      </c>
      <c r="Q14" s="34">
        <f t="shared" ref="Q14:Q22" si="40">O14*P14</f>
        <v>0</v>
      </c>
      <c r="R14" s="35">
        <f t="shared" si="3"/>
        <v>0</v>
      </c>
      <c r="S14" s="34">
        <f>P14*((100-$E$7)/100)</f>
        <v>265.20999999999998</v>
      </c>
      <c r="T14" s="34">
        <f t="shared" ref="T14:T22" si="41">O14*S14</f>
        <v>0</v>
      </c>
      <c r="U14" s="34">
        <f>INDEX(cennik!$C$2:$L$529,MATCH($L14,cennik!$B$2:$B$522,0),MATCH(U$2,cennik!$C$1:$L$1,0))*O14</f>
        <v>0</v>
      </c>
      <c r="V14" s="62"/>
      <c r="W14" s="150">
        <f>INDEX(($EL$3:$EX$6,$EL$9:$EX$12,$EL$15:$EX$18,$FA$3:$FM$6,$FA$9:$FM$12,$FA$15:$FM$18,$FP$3:$GB$6,$FP$9:$GB$12,$FP$15:$GB$18,$GE$3:$GQ$6,$GE$9:$GQ$12,$GE$15:$GQ$18,$GT$3:$HF$6,$GT$9:$HF$12),MATCH($L$17,$EK$3:$EK$6,0),MATCH($A12,$EL$2:$EX$2,0),MATCH($E$3,$AE$33:$AE$48,0))*$C12</f>
        <v>0</v>
      </c>
      <c r="X14" s="150">
        <f>INDEX(($EL$3:$EX$6,$EL$9:$EX$12,$EL$15:$EX$18,$FA$3:$FM$6,$FA$9:$FM$12,$FA$15:$FM$18,$FP$3:$GB$6,$FP$9:$GB$12,$FP$15:$GB$18,$GE$3:$GQ$6,$GE$9:$GQ$12,$GE$15:$GQ$18,$GT$3:$HF$6,$GT$9:$HF$12),MATCH($L$14,$EK$3:$EK$6,0),MATCH($A12,$EL$2:$EX$2,0),MATCH($E$3,$AE$33:$AE$48,0))*$C12</f>
        <v>0</v>
      </c>
      <c r="Y14" s="150">
        <f>INDEX(($EL$3:$EX$6,$EL$9:$EX$12,$EL$15:$EX$18,$FA$3:$FM$6,$FA$9:$FM$12,$FA$15:$FM$18,$FP$3:$GB$6,$FP$9:$GB$12,$FP$15:$GB$18,$GE$3:$GQ$6,$GE$9:$GQ$12,$GE$15:$GQ$18,$GT$3:$HF$6,$GT$9:$HF$12),MATCH($L$15,$EK$3:$EK$6,0),MATCH($A12,$EL$2:$EX$2,0),MATCH($E$3,$AE$33:$AE$48,0))*$C12</f>
        <v>0</v>
      </c>
      <c r="Z14" s="150">
        <f>INDEX(($EL$3:$EX$6,$EL$9:$EX$12,$EL$15:$EX$18,$FA$3:$FM$6,$FA$9:$FM$12,$FA$15:$FM$18,$FP$3:$GB$6,$FP$9:$GB$12,$FP$15:$GB$18,$GE$3:$GQ$6,$GE$9:$GQ$12,$GE$15:$GQ$18,$GT$3:$HF$6,$GT$9:$HF$12),MATCH($L$16,$EK$3:$EK$6,0),MATCH($A12,$EL$2:$EX$2,0),MATCH($E$3,$AE$33:$AE$48,0))*$C12</f>
        <v>0</v>
      </c>
      <c r="AA14" s="150">
        <f t="shared" si="0"/>
        <v>0</v>
      </c>
      <c r="AB14" s="150">
        <f t="shared" si="1"/>
        <v>0</v>
      </c>
      <c r="AC14" s="150"/>
      <c r="AD14" s="150">
        <f>INDEX($AF$24:$AF$42,MATCH($E$3,$AE$24:$AE$42),1,1)</f>
        <v>2100</v>
      </c>
      <c r="AE14" s="150"/>
      <c r="AF14" s="150"/>
      <c r="AG14" s="150"/>
      <c r="AH14" s="150" t="s">
        <v>159</v>
      </c>
      <c r="AI14" s="150"/>
      <c r="AJ14" s="150"/>
      <c r="AK14" s="150"/>
      <c r="AL14" s="150"/>
      <c r="AM14" s="150"/>
      <c r="AN14" s="150"/>
      <c r="AO14" s="150"/>
      <c r="AP14" s="150"/>
      <c r="AQ14" s="150"/>
      <c r="AR14" s="62" t="s">
        <v>115</v>
      </c>
      <c r="AS14" s="62" t="s">
        <v>596</v>
      </c>
      <c r="AT14" s="62" t="s">
        <v>595</v>
      </c>
      <c r="AU14" s="62" t="s">
        <v>594</v>
      </c>
      <c r="AV14" s="150" t="s">
        <v>594</v>
      </c>
      <c r="AW14" s="150"/>
      <c r="AX14" s="150"/>
      <c r="AY14" s="150"/>
      <c r="AZ14" s="150"/>
      <c r="BA14" s="150"/>
      <c r="BB14" s="154" t="s">
        <v>115</v>
      </c>
      <c r="BC14" s="154" t="s">
        <v>151</v>
      </c>
      <c r="BD14" s="154" t="s">
        <v>151</v>
      </c>
      <c r="BE14" s="154" t="s">
        <v>151</v>
      </c>
      <c r="BF14" s="154" t="s">
        <v>151</v>
      </c>
      <c r="BG14" s="170">
        <f t="shared" si="2"/>
        <v>1</v>
      </c>
      <c r="BH14" s="150" t="s">
        <v>132</v>
      </c>
      <c r="BI14" s="150">
        <v>0</v>
      </c>
      <c r="BJ14" s="150">
        <v>8</v>
      </c>
      <c r="BK14" s="150">
        <v>12</v>
      </c>
      <c r="BL14" s="150">
        <v>16</v>
      </c>
      <c r="BM14" s="150">
        <v>20</v>
      </c>
      <c r="BN14" s="150">
        <v>24</v>
      </c>
      <c r="BO14" s="150">
        <v>28</v>
      </c>
      <c r="BP14" s="150">
        <v>32</v>
      </c>
      <c r="BQ14" s="150">
        <v>36</v>
      </c>
      <c r="BR14" s="150">
        <v>40</v>
      </c>
      <c r="BS14" s="150">
        <v>44</v>
      </c>
      <c r="BT14" s="150">
        <v>48</v>
      </c>
      <c r="BU14" s="150">
        <v>52</v>
      </c>
      <c r="BV14" s="150"/>
      <c r="BW14" s="150" t="s">
        <v>471</v>
      </c>
      <c r="BX14" s="150">
        <v>0</v>
      </c>
      <c r="BY14" s="150">
        <v>8</v>
      </c>
      <c r="BZ14" s="150">
        <v>12</v>
      </c>
      <c r="CA14" s="150">
        <v>16</v>
      </c>
      <c r="CB14" s="150">
        <v>20</v>
      </c>
      <c r="CC14" s="150">
        <v>24</v>
      </c>
      <c r="CD14" s="150">
        <v>28</v>
      </c>
      <c r="CE14" s="150">
        <v>32</v>
      </c>
      <c r="CF14" s="150">
        <v>36</v>
      </c>
      <c r="CG14" s="150">
        <v>40</v>
      </c>
      <c r="CH14" s="150">
        <v>44</v>
      </c>
      <c r="CI14" s="150">
        <v>48</v>
      </c>
      <c r="CJ14" s="150">
        <v>52</v>
      </c>
      <c r="CK14" s="150"/>
      <c r="CL14" s="150"/>
      <c r="CM14" s="150"/>
      <c r="CN14" s="150" t="s">
        <v>137</v>
      </c>
      <c r="CO14" s="150">
        <v>0</v>
      </c>
      <c r="CP14" s="150">
        <v>8</v>
      </c>
      <c r="CQ14" s="150">
        <v>12</v>
      </c>
      <c r="CR14" s="150">
        <v>16</v>
      </c>
      <c r="CS14" s="150">
        <v>20</v>
      </c>
      <c r="CT14" s="150">
        <v>24</v>
      </c>
      <c r="CU14" s="150">
        <v>28</v>
      </c>
      <c r="CV14" s="150">
        <v>32</v>
      </c>
      <c r="CW14" s="150">
        <v>36</v>
      </c>
      <c r="CX14" s="150">
        <v>40</v>
      </c>
      <c r="CY14" s="150">
        <v>44</v>
      </c>
      <c r="CZ14" s="150">
        <v>48</v>
      </c>
      <c r="DA14" s="150">
        <v>52</v>
      </c>
      <c r="DB14" s="150"/>
      <c r="DC14" s="150" t="s">
        <v>479</v>
      </c>
      <c r="DD14" s="150">
        <v>0</v>
      </c>
      <c r="DE14" s="150">
        <v>8</v>
      </c>
      <c r="DF14" s="150">
        <v>12</v>
      </c>
      <c r="DG14" s="150">
        <v>16</v>
      </c>
      <c r="DH14" s="150">
        <v>20</v>
      </c>
      <c r="DI14" s="150">
        <v>24</v>
      </c>
      <c r="DJ14" s="150">
        <v>28</v>
      </c>
      <c r="DK14" s="150">
        <v>32</v>
      </c>
      <c r="DL14" s="150">
        <v>36</v>
      </c>
      <c r="DM14" s="150">
        <v>40</v>
      </c>
      <c r="DN14" s="150">
        <v>44</v>
      </c>
      <c r="DO14" s="150">
        <v>48</v>
      </c>
      <c r="DP14" s="150">
        <v>52</v>
      </c>
      <c r="DQ14" s="181"/>
      <c r="DR14" s="181"/>
      <c r="DS14" s="181"/>
      <c r="DT14" s="150"/>
      <c r="DU14" s="150"/>
      <c r="DV14" s="150"/>
      <c r="DW14" s="150"/>
      <c r="DX14" s="150"/>
      <c r="DY14" s="150"/>
      <c r="DZ14" s="150"/>
      <c r="EA14" s="150"/>
      <c r="EB14" s="150"/>
      <c r="EC14" s="150"/>
      <c r="ED14" s="150"/>
      <c r="EE14" s="150"/>
      <c r="EF14" s="150"/>
      <c r="EG14" s="150"/>
      <c r="EH14" s="150"/>
      <c r="EI14" s="150"/>
      <c r="EJ14" s="155"/>
      <c r="EK14" s="150" t="s">
        <v>132</v>
      </c>
      <c r="EL14" s="150">
        <v>0</v>
      </c>
      <c r="EM14" s="150">
        <v>8</v>
      </c>
      <c r="EN14" s="150">
        <v>12</v>
      </c>
      <c r="EO14" s="150">
        <v>16</v>
      </c>
      <c r="EP14" s="150">
        <v>20</v>
      </c>
      <c r="EQ14" s="150">
        <v>24</v>
      </c>
      <c r="ER14" s="150">
        <v>28</v>
      </c>
      <c r="ES14" s="150">
        <v>32</v>
      </c>
      <c r="ET14" s="150">
        <v>36</v>
      </c>
      <c r="EU14" s="150">
        <v>40</v>
      </c>
      <c r="EV14" s="150">
        <v>44</v>
      </c>
      <c r="EW14" s="150">
        <v>48</v>
      </c>
      <c r="EX14" s="150">
        <v>52</v>
      </c>
      <c r="EY14" s="150"/>
      <c r="EZ14" s="150" t="s">
        <v>471</v>
      </c>
      <c r="FA14" s="150">
        <v>0</v>
      </c>
      <c r="FB14" s="150">
        <v>8</v>
      </c>
      <c r="FC14" s="150">
        <v>12</v>
      </c>
      <c r="FD14" s="150">
        <v>16</v>
      </c>
      <c r="FE14" s="150">
        <v>20</v>
      </c>
      <c r="FF14" s="150">
        <v>24</v>
      </c>
      <c r="FG14" s="150">
        <v>28</v>
      </c>
      <c r="FH14" s="150">
        <v>32</v>
      </c>
      <c r="FI14" s="150">
        <v>36</v>
      </c>
      <c r="FJ14" s="150">
        <v>40</v>
      </c>
      <c r="FK14" s="150">
        <v>44</v>
      </c>
      <c r="FL14" s="150">
        <v>48</v>
      </c>
      <c r="FM14" s="150">
        <v>52</v>
      </c>
      <c r="FN14" s="150"/>
      <c r="FO14" s="150" t="s">
        <v>137</v>
      </c>
      <c r="FP14" s="150">
        <v>0</v>
      </c>
      <c r="FQ14" s="150">
        <v>8</v>
      </c>
      <c r="FR14" s="150">
        <v>12</v>
      </c>
      <c r="FS14" s="150">
        <v>16</v>
      </c>
      <c r="FT14" s="150">
        <v>20</v>
      </c>
      <c r="FU14" s="150">
        <v>24</v>
      </c>
      <c r="FV14" s="150">
        <v>28</v>
      </c>
      <c r="FW14" s="150">
        <v>32</v>
      </c>
      <c r="FX14" s="150">
        <v>36</v>
      </c>
      <c r="FY14" s="150">
        <v>40</v>
      </c>
      <c r="FZ14" s="150">
        <v>44</v>
      </c>
      <c r="GA14" s="150">
        <v>48</v>
      </c>
      <c r="GB14" s="150">
        <v>52</v>
      </c>
      <c r="GC14" s="150"/>
      <c r="GD14" s="150" t="s">
        <v>479</v>
      </c>
      <c r="GE14" s="150">
        <v>0</v>
      </c>
      <c r="GF14" s="150">
        <v>8</v>
      </c>
      <c r="GG14" s="150">
        <v>12</v>
      </c>
      <c r="GH14" s="150">
        <v>16</v>
      </c>
      <c r="GI14" s="150">
        <v>20</v>
      </c>
      <c r="GJ14" s="150">
        <v>24</v>
      </c>
      <c r="GK14" s="150">
        <v>28</v>
      </c>
      <c r="GL14" s="150">
        <v>32</v>
      </c>
      <c r="GM14" s="150">
        <v>36</v>
      </c>
      <c r="GN14" s="150">
        <v>40</v>
      </c>
      <c r="GO14" s="150">
        <v>44</v>
      </c>
      <c r="GP14" s="150">
        <v>48</v>
      </c>
      <c r="GQ14" s="150">
        <v>52</v>
      </c>
      <c r="GR14" s="150"/>
      <c r="GS14" s="150"/>
      <c r="GT14" s="150"/>
      <c r="GU14" s="150"/>
      <c r="GV14" s="150"/>
      <c r="GW14" s="150"/>
      <c r="GX14" s="150"/>
      <c r="GY14" s="150"/>
      <c r="GZ14" s="150"/>
      <c r="HA14" s="150"/>
      <c r="HB14" s="150"/>
      <c r="HC14" s="150"/>
      <c r="HD14" s="150"/>
      <c r="HE14" s="150"/>
      <c r="HF14" s="150"/>
      <c r="HG14" s="157"/>
      <c r="HH14" s="150"/>
    </row>
    <row r="15" spans="1:216" x14ac:dyDescent="0.25">
      <c r="A15" s="8"/>
      <c r="B15" s="5" t="s">
        <v>116</v>
      </c>
      <c r="C15" s="8"/>
      <c r="D15" s="40" t="s">
        <v>795</v>
      </c>
      <c r="E15" s="9"/>
      <c r="F15" s="9"/>
      <c r="G15" s="9"/>
      <c r="H15" s="9"/>
      <c r="I15" s="9"/>
      <c r="J15" s="9"/>
      <c r="K15" s="9"/>
      <c r="L15" s="6" t="s">
        <v>522</v>
      </c>
      <c r="M15" s="11">
        <f>INDEX(cennik!$C$2:$L$529,MATCH($L15,cennik!$B$2:$B$522,0),MATCH(M$2,cennik!$C$1:$L$1,0))</f>
        <v>867644</v>
      </c>
      <c r="N15" s="11" t="str">
        <f>INDEX(cennik!$C$2:$L$529,MATCH($L15,cennik!$B$2:$B$522,0),MATCH(N$2,cennik!$C$1:$L$1,0))</f>
        <v>szt.</v>
      </c>
      <c r="O15" s="11">
        <f>SUM(Y4:Y19)</f>
        <v>0</v>
      </c>
      <c r="P15" s="34">
        <f>INDEX(cennik!$C$2:$L$529,MATCH($L15,cennik!$B$2:$B$522,0),MATCH(P$2,cennik!$C$1:$L$1,0))</f>
        <v>176.8</v>
      </c>
      <c r="Q15" s="34">
        <f t="shared" si="40"/>
        <v>0</v>
      </c>
      <c r="R15" s="35">
        <f t="shared" si="3"/>
        <v>0</v>
      </c>
      <c r="S15" s="34">
        <f t="shared" ref="S15:S22" si="42">P15*((100-$E$7)/100)</f>
        <v>176.8</v>
      </c>
      <c r="T15" s="34">
        <f t="shared" si="41"/>
        <v>0</v>
      </c>
      <c r="U15" s="34">
        <f>INDEX(cennik!$C$2:$L$529,MATCH($L15,cennik!$B$2:$B$522,0),MATCH(U$2,cennik!$C$1:$L$1,0))*O15</f>
        <v>0</v>
      </c>
      <c r="V15" s="62"/>
      <c r="W15" s="150">
        <f>INDEX(($EL$3:$EX$6,$EL$9:$EX$12,$EL$15:$EX$18,$FA$3:$FM$6,$FA$9:$FM$12,$FA$15:$FM$18,$FP$3:$GB$6,$FP$9:$GB$12,$FP$15:$GB$18,$GE$3:$GQ$6,$GE$9:$GQ$12,$GE$15:$GQ$18,$GT$3:$HF$6,$GT$9:$HF$12),MATCH($L$17,$EK$3:$EK$6,0),MATCH($A13,$EL$2:$EX$2,0),MATCH($E$3,$AE$33:$AE$48,0))*$C13</f>
        <v>0</v>
      </c>
      <c r="X15" s="150">
        <f>INDEX(($EL$3:$EX$6,$EL$9:$EX$12,$EL$15:$EX$18,$FA$3:$FM$6,$FA$9:$FM$12,$FA$15:$FM$18,$FP$3:$GB$6,$FP$9:$GB$12,$FP$15:$GB$18,$GE$3:$GQ$6,$GE$9:$GQ$12,$GE$15:$GQ$18,$GT$3:$HF$6,$GT$9:$HF$12),MATCH($L$14,$EK$3:$EK$6,0),MATCH($A13,$EL$2:$EX$2,0),MATCH($E$3,$AE$33:$AE$48,0))*$C13</f>
        <v>0</v>
      </c>
      <c r="Y15" s="150">
        <f>INDEX(($EL$3:$EX$6,$EL$9:$EX$12,$EL$15:$EX$18,$FA$3:$FM$6,$FA$9:$FM$12,$FA$15:$FM$18,$FP$3:$GB$6,$FP$9:$GB$12,$FP$15:$GB$18,$GE$3:$GQ$6,$GE$9:$GQ$12,$GE$15:$GQ$18,$GT$3:$HF$6,$GT$9:$HF$12),MATCH($L$15,$EK$3:$EK$6,0),MATCH($A13,$EL$2:$EX$2,0),MATCH($E$3,$AE$33:$AE$48,0))*$C13</f>
        <v>0</v>
      </c>
      <c r="Z15" s="150">
        <f>INDEX(($EL$3:$EX$6,$EL$9:$EX$12,$EL$15:$EX$18,$FA$3:$FM$6,$FA$9:$FM$12,$FA$15:$FM$18,$FP$3:$GB$6,$FP$9:$GB$12,$FP$15:$GB$18,$GE$3:$GQ$6,$GE$9:$GQ$12,$GE$15:$GQ$18,$GT$3:$HF$6,$GT$9:$HF$12),MATCH($L$16,$EK$3:$EK$6,0),MATCH($A13,$EL$2:$EX$2,0),MATCH($E$3,$AE$33:$AE$48,0))*$C13</f>
        <v>0</v>
      </c>
      <c r="AA15" s="150">
        <f t="shared" si="0"/>
        <v>0</v>
      </c>
      <c r="AB15" s="150">
        <f t="shared" si="1"/>
        <v>0</v>
      </c>
      <c r="AC15" s="150"/>
      <c r="AD15" s="150"/>
      <c r="AE15" s="150"/>
      <c r="AF15" s="150"/>
      <c r="AG15" s="150"/>
      <c r="AH15" s="150"/>
      <c r="AI15" s="150"/>
      <c r="AJ15" s="150"/>
      <c r="AK15" s="150"/>
      <c r="AL15" s="150"/>
      <c r="AM15" s="150"/>
      <c r="AN15" s="150"/>
      <c r="AO15" s="150"/>
      <c r="AP15" s="150"/>
      <c r="AQ15" s="150"/>
      <c r="AR15" s="62" t="s">
        <v>474</v>
      </c>
      <c r="AS15" s="150" t="s">
        <v>596</v>
      </c>
      <c r="AT15" s="62" t="s">
        <v>595</v>
      </c>
      <c r="AU15" s="150" t="s">
        <v>594</v>
      </c>
      <c r="AV15" s="150" t="s">
        <v>594</v>
      </c>
      <c r="AW15" s="150"/>
      <c r="AX15" s="150"/>
      <c r="AY15" s="150"/>
      <c r="AZ15" s="150"/>
      <c r="BA15" s="150"/>
      <c r="BB15" s="154" t="s">
        <v>474</v>
      </c>
      <c r="BC15" s="154" t="s">
        <v>151</v>
      </c>
      <c r="BD15" s="154" t="s">
        <v>151</v>
      </c>
      <c r="BE15" s="154" t="s">
        <v>151</v>
      </c>
      <c r="BF15" s="154" t="s">
        <v>151</v>
      </c>
      <c r="BG15" s="170">
        <f t="shared" si="2"/>
        <v>1</v>
      </c>
      <c r="BH15" s="150" t="s">
        <v>217</v>
      </c>
      <c r="BI15" s="150">
        <v>0</v>
      </c>
      <c r="BJ15" s="150">
        <v>0</v>
      </c>
      <c r="BK15" s="150">
        <v>5</v>
      </c>
      <c r="BL15" s="150">
        <v>5</v>
      </c>
      <c r="BM15" s="150">
        <v>0</v>
      </c>
      <c r="BN15" s="150">
        <v>5</v>
      </c>
      <c r="BO15" s="150">
        <v>0</v>
      </c>
      <c r="BP15" s="150">
        <v>5</v>
      </c>
      <c r="BQ15" s="150">
        <v>5</v>
      </c>
      <c r="BR15" s="150">
        <v>10</v>
      </c>
      <c r="BS15" s="150">
        <v>15</v>
      </c>
      <c r="BT15" s="150">
        <v>10</v>
      </c>
      <c r="BU15" s="150">
        <v>15</v>
      </c>
      <c r="BV15" s="150"/>
      <c r="BW15" s="150" t="s">
        <v>217</v>
      </c>
      <c r="BX15" s="150">
        <v>0</v>
      </c>
      <c r="BY15" s="150">
        <v>0</v>
      </c>
      <c r="BZ15" s="150">
        <v>5</v>
      </c>
      <c r="CA15" s="150">
        <v>0</v>
      </c>
      <c r="CB15" s="150">
        <v>5</v>
      </c>
      <c r="CC15" s="150">
        <v>0</v>
      </c>
      <c r="CD15" s="150">
        <v>10</v>
      </c>
      <c r="CE15" s="150">
        <v>5</v>
      </c>
      <c r="CF15" s="150">
        <v>10</v>
      </c>
      <c r="CG15" s="150">
        <v>5</v>
      </c>
      <c r="CH15" s="150">
        <v>10</v>
      </c>
      <c r="CI15" s="150">
        <v>15</v>
      </c>
      <c r="CJ15" s="150">
        <v>10</v>
      </c>
      <c r="CK15" s="150"/>
      <c r="CL15" s="150"/>
      <c r="CM15" s="150"/>
      <c r="CN15" s="150" t="s">
        <v>217</v>
      </c>
      <c r="CO15" s="150">
        <v>0</v>
      </c>
      <c r="CP15" s="150">
        <v>0</v>
      </c>
      <c r="CQ15" s="150">
        <v>5</v>
      </c>
      <c r="CR15" s="150">
        <v>0</v>
      </c>
      <c r="CS15" s="150">
        <v>5</v>
      </c>
      <c r="CT15" s="150">
        <v>0</v>
      </c>
      <c r="CU15" s="150">
        <v>5</v>
      </c>
      <c r="CV15" s="150">
        <v>10</v>
      </c>
      <c r="CW15" s="150">
        <v>5</v>
      </c>
      <c r="CX15" s="150">
        <v>10</v>
      </c>
      <c r="CY15" s="150">
        <v>15</v>
      </c>
      <c r="CZ15" s="150">
        <v>15</v>
      </c>
      <c r="DA15" s="150">
        <v>20</v>
      </c>
      <c r="DB15" s="150"/>
      <c r="DC15" s="150" t="s">
        <v>217</v>
      </c>
      <c r="DD15" s="150">
        <v>0</v>
      </c>
      <c r="DE15" s="150">
        <v>0</v>
      </c>
      <c r="DF15" s="150">
        <v>5</v>
      </c>
      <c r="DG15" s="150">
        <v>0</v>
      </c>
      <c r="DH15" s="150">
        <v>0</v>
      </c>
      <c r="DI15" s="150">
        <v>10</v>
      </c>
      <c r="DJ15" s="150">
        <v>5</v>
      </c>
      <c r="DK15" s="150">
        <v>10</v>
      </c>
      <c r="DL15" s="150">
        <v>10</v>
      </c>
      <c r="DM15" s="150">
        <v>10</v>
      </c>
      <c r="DN15" s="150">
        <v>15</v>
      </c>
      <c r="DO15" s="150">
        <v>20</v>
      </c>
      <c r="DP15" s="150">
        <v>20</v>
      </c>
      <c r="DQ15" s="181"/>
      <c r="DR15" s="181"/>
      <c r="DS15" s="181" t="s">
        <v>1157</v>
      </c>
      <c r="DU15" s="150"/>
      <c r="DV15" s="150"/>
      <c r="DW15" s="150"/>
      <c r="DX15" s="150"/>
      <c r="DY15" s="150"/>
      <c r="DZ15" s="150"/>
      <c r="EA15" s="150"/>
      <c r="EB15" s="150"/>
      <c r="EC15" s="150"/>
      <c r="ED15" s="150"/>
      <c r="EE15" s="150"/>
      <c r="EF15" s="150"/>
      <c r="EG15" s="150"/>
      <c r="EH15" s="150"/>
      <c r="EI15" s="150"/>
      <c r="EJ15" s="155"/>
      <c r="EK15" s="150" t="s">
        <v>586</v>
      </c>
      <c r="EL15" s="150">
        <v>0</v>
      </c>
      <c r="EM15" s="150">
        <v>0</v>
      </c>
      <c r="EN15" s="154">
        <v>5</v>
      </c>
      <c r="EO15" s="154">
        <v>5</v>
      </c>
      <c r="EP15" s="154">
        <v>0</v>
      </c>
      <c r="EQ15" s="154">
        <v>0</v>
      </c>
      <c r="ER15" s="154">
        <v>0</v>
      </c>
      <c r="ES15" s="154">
        <v>0</v>
      </c>
      <c r="ET15" s="154">
        <v>0</v>
      </c>
      <c r="EU15" s="154">
        <v>0</v>
      </c>
      <c r="EV15" s="154">
        <v>0</v>
      </c>
      <c r="EW15" s="154">
        <v>0</v>
      </c>
      <c r="EX15" s="154">
        <v>0</v>
      </c>
      <c r="EZ15" s="154" t="s">
        <v>586</v>
      </c>
      <c r="FA15" s="150">
        <v>0</v>
      </c>
      <c r="FB15" s="150">
        <v>0</v>
      </c>
      <c r="FC15" s="154">
        <v>5</v>
      </c>
      <c r="FD15" s="154">
        <v>0</v>
      </c>
      <c r="FE15" s="154">
        <v>0</v>
      </c>
      <c r="FF15" s="154">
        <v>0</v>
      </c>
      <c r="FG15" s="154">
        <v>0</v>
      </c>
      <c r="FH15" s="154">
        <v>0</v>
      </c>
      <c r="FI15" s="154">
        <v>0</v>
      </c>
      <c r="FJ15" s="154">
        <v>0</v>
      </c>
      <c r="FK15" s="154">
        <v>0</v>
      </c>
      <c r="FL15" s="154">
        <v>0</v>
      </c>
      <c r="FM15" s="154">
        <v>0</v>
      </c>
      <c r="FO15" s="154" t="s">
        <v>586</v>
      </c>
      <c r="FP15" s="150">
        <v>0</v>
      </c>
      <c r="FQ15" s="150">
        <v>0</v>
      </c>
      <c r="FR15" s="154">
        <v>5</v>
      </c>
      <c r="FS15" s="154">
        <v>0</v>
      </c>
      <c r="FT15" s="154">
        <v>0</v>
      </c>
      <c r="FU15" s="154">
        <v>0</v>
      </c>
      <c r="FV15" s="154">
        <v>0</v>
      </c>
      <c r="FW15" s="154">
        <v>0</v>
      </c>
      <c r="FX15" s="154">
        <v>0</v>
      </c>
      <c r="FY15" s="154">
        <v>0</v>
      </c>
      <c r="FZ15" s="154">
        <v>0</v>
      </c>
      <c r="GA15" s="154">
        <v>0</v>
      </c>
      <c r="GB15" s="154">
        <v>0</v>
      </c>
      <c r="GD15" s="154" t="s">
        <v>586</v>
      </c>
      <c r="GE15" s="150">
        <v>0</v>
      </c>
      <c r="GF15" s="150">
        <v>0</v>
      </c>
      <c r="GG15" s="154">
        <v>5</v>
      </c>
      <c r="GH15" s="154">
        <v>0</v>
      </c>
      <c r="GI15" s="154">
        <v>0</v>
      </c>
      <c r="GJ15" s="154">
        <v>0</v>
      </c>
      <c r="GK15" s="154">
        <v>0</v>
      </c>
      <c r="GL15" s="154">
        <v>0</v>
      </c>
      <c r="GM15" s="154">
        <v>0</v>
      </c>
      <c r="GN15" s="154">
        <v>0</v>
      </c>
      <c r="GO15" s="154">
        <v>0</v>
      </c>
      <c r="GP15" s="154">
        <v>0</v>
      </c>
      <c r="GQ15" s="154">
        <v>0</v>
      </c>
      <c r="GR15" s="150"/>
      <c r="GS15" s="150"/>
      <c r="GT15" s="150"/>
      <c r="GU15" s="150"/>
      <c r="GV15" s="150"/>
      <c r="GW15" s="150"/>
      <c r="GX15" s="150"/>
      <c r="GY15" s="150"/>
      <c r="GZ15" s="150"/>
      <c r="HA15" s="150"/>
      <c r="HB15" s="150"/>
      <c r="HC15" s="150"/>
      <c r="HD15" s="150"/>
      <c r="HE15" s="150"/>
      <c r="HF15" s="150"/>
      <c r="HG15" s="157"/>
      <c r="HH15" s="150"/>
    </row>
    <row r="16" spans="1:216" x14ac:dyDescent="0.25">
      <c r="A16" s="8"/>
      <c r="B16" s="5" t="s">
        <v>116</v>
      </c>
      <c r="C16" s="8"/>
      <c r="D16" s="40" t="s">
        <v>796</v>
      </c>
      <c r="E16" s="9"/>
      <c r="F16" s="9"/>
      <c r="G16" s="9"/>
      <c r="H16" s="9"/>
      <c r="I16" s="9"/>
      <c r="J16" s="9"/>
      <c r="K16" s="9"/>
      <c r="L16" s="6" t="s">
        <v>523</v>
      </c>
      <c r="M16" s="11">
        <f>INDEX(cennik!$C$2:$L$529,MATCH($L16,cennik!$B$2:$B$522,0),MATCH(M$2,cennik!$C$1:$L$1,0))</f>
        <v>867633</v>
      </c>
      <c r="N16" s="11" t="str">
        <f>INDEX(cennik!$C$2:$L$529,MATCH($L16,cennik!$B$2:$B$522,0),MATCH(N$2,cennik!$C$1:$L$1,0))</f>
        <v>szt.</v>
      </c>
      <c r="O16" s="11">
        <f>SUM(Z4:Z19)</f>
        <v>15</v>
      </c>
      <c r="P16" s="34">
        <f>INDEX(cennik!$C$2:$L$529,MATCH($L16,cennik!$B$2:$B$522,0),MATCH(P$2,cennik!$C$1:$L$1,0))</f>
        <v>132.6</v>
      </c>
      <c r="Q16" s="34">
        <f t="shared" si="40"/>
        <v>1989</v>
      </c>
      <c r="R16" s="35">
        <f t="shared" si="3"/>
        <v>0</v>
      </c>
      <c r="S16" s="34">
        <f t="shared" si="42"/>
        <v>132.6</v>
      </c>
      <c r="T16" s="34">
        <f t="shared" si="41"/>
        <v>1989</v>
      </c>
      <c r="U16" s="34">
        <f>INDEX(cennik!$C$2:$L$529,MATCH($L16,cennik!$B$2:$B$522,0),MATCH(U$2,cennik!$C$1:$L$1,0))*O16</f>
        <v>147.75</v>
      </c>
      <c r="V16" s="62"/>
      <c r="W16" s="150">
        <f>INDEX(($EL$3:$EX$6,$EL$9:$EX$12,$EL$15:$EX$18,$FA$3:$FM$6,$FA$9:$FM$12,$FA$15:$FM$18,$FP$3:$GB$6,$FP$9:$GB$12,$FP$15:$GB$18,$GE$3:$GQ$6,$GE$9:$GQ$12,$GE$15:$GQ$18,$GT$3:$HF$6,$GT$9:$HF$12),MATCH($L$17,$EK$3:$EK$6,0),MATCH($A14,$EL$2:$EX$2,0),MATCH($E$3,$AE$33:$AE$48,0))*$C14</f>
        <v>0</v>
      </c>
      <c r="X16" s="150">
        <f>INDEX(($EL$3:$EX$6,$EL$9:$EX$12,$EL$15:$EX$18,$FA$3:$FM$6,$FA$9:$FM$12,$FA$15:$FM$18,$FP$3:$GB$6,$FP$9:$GB$12,$FP$15:$GB$18,$GE$3:$GQ$6,$GE$9:$GQ$12,$GE$15:$GQ$18,$GT$3:$HF$6,$GT$9:$HF$12),MATCH($L$14,$EK$3:$EK$6,0),MATCH($A14,$EL$2:$EX$2,0),MATCH($E$3,$AE$33:$AE$48,0))*$C14</f>
        <v>0</v>
      </c>
      <c r="Y16" s="150">
        <f>INDEX(($EL$3:$EX$6,$EL$9:$EX$12,$EL$15:$EX$18,$FA$3:$FM$6,$FA$9:$FM$12,$FA$15:$FM$18,$FP$3:$GB$6,$FP$9:$GB$12,$FP$15:$GB$18,$GE$3:$GQ$6,$GE$9:$GQ$12,$GE$15:$GQ$18,$GT$3:$HF$6,$GT$9:$HF$12),MATCH($L$15,$EK$3:$EK$6,0),MATCH($A14,$EL$2:$EX$2,0),MATCH($E$3,$AE$33:$AE$48,0))*$C14</f>
        <v>0</v>
      </c>
      <c r="Z16" s="150">
        <f>INDEX(($EL$3:$EX$6,$EL$9:$EX$12,$EL$15:$EX$18,$FA$3:$FM$6,$FA$9:$FM$12,$FA$15:$FM$18,$FP$3:$GB$6,$FP$9:$GB$12,$FP$15:$GB$18,$GE$3:$GQ$6,$GE$9:$GQ$12,$GE$15:$GQ$18,$GT$3:$HF$6,$GT$9:$HF$12),MATCH($L$16,$EK$3:$EK$6,0),MATCH($A14,$EL$2:$EX$2,0),MATCH($E$3,$AE$33:$AE$48,0))*$C14</f>
        <v>0</v>
      </c>
      <c r="AA16" s="150">
        <f t="shared" si="0"/>
        <v>0</v>
      </c>
      <c r="AB16" s="150">
        <f t="shared" si="1"/>
        <v>0</v>
      </c>
      <c r="AC16" s="150"/>
      <c r="AD16" s="150">
        <f>((A2/4)*(INDEX($AF$24:$AF$42,MATCH($E$3,$AE$24:$AE$42),1,1)))+((A2-1)*20)</f>
        <v>10880</v>
      </c>
      <c r="AE16" s="150">
        <f>INT((((A2/4)*(INDEX($AF$24:$AF$42,MATCH($E$3,$AE$24:$AE$42),1,1)))+((A2-1)*20))/2900)</f>
        <v>3</v>
      </c>
      <c r="AF16" s="150"/>
      <c r="AG16" s="150"/>
      <c r="AH16" s="150"/>
      <c r="AI16" s="150"/>
      <c r="AJ16" s="150"/>
      <c r="AK16" s="150"/>
      <c r="AL16" s="150"/>
      <c r="AM16" s="150"/>
      <c r="AN16" s="150"/>
      <c r="AO16" s="150"/>
      <c r="AP16" s="150"/>
      <c r="AQ16" s="150"/>
      <c r="AR16" s="62" t="s">
        <v>480</v>
      </c>
      <c r="AS16" s="62" t="s">
        <v>594</v>
      </c>
      <c r="AT16" s="62" t="s">
        <v>596</v>
      </c>
      <c r="AU16" s="150" t="s">
        <v>594</v>
      </c>
      <c r="AV16" s="150" t="s">
        <v>594</v>
      </c>
      <c r="AW16" s="150"/>
      <c r="AX16" s="150"/>
      <c r="AY16" s="150"/>
      <c r="AZ16" s="150"/>
      <c r="BA16" s="150"/>
      <c r="BB16" s="154" t="s">
        <v>480</v>
      </c>
      <c r="BC16" s="154" t="s">
        <v>592</v>
      </c>
      <c r="BD16" s="154" t="s">
        <v>151</v>
      </c>
      <c r="BE16" s="154" t="s">
        <v>151</v>
      </c>
      <c r="BF16" s="154" t="s">
        <v>151</v>
      </c>
      <c r="BG16" s="170">
        <f t="shared" si="2"/>
        <v>1</v>
      </c>
      <c r="BH16" s="150" t="s">
        <v>216</v>
      </c>
      <c r="BI16" s="150">
        <v>0</v>
      </c>
      <c r="BJ16" s="150">
        <v>0</v>
      </c>
      <c r="BK16" s="150">
        <v>0</v>
      </c>
      <c r="BL16" s="150">
        <v>0</v>
      </c>
      <c r="BM16" s="150">
        <v>10</v>
      </c>
      <c r="BN16" s="150">
        <v>0</v>
      </c>
      <c r="BO16" s="150">
        <v>10</v>
      </c>
      <c r="BP16" s="150">
        <v>10</v>
      </c>
      <c r="BQ16" s="150">
        <v>10</v>
      </c>
      <c r="BR16" s="150">
        <v>5</v>
      </c>
      <c r="BS16" s="150">
        <v>0</v>
      </c>
      <c r="BT16" s="150">
        <v>5</v>
      </c>
      <c r="BU16" s="150">
        <v>5</v>
      </c>
      <c r="BV16" s="150"/>
      <c r="BW16" s="150" t="s">
        <v>216</v>
      </c>
      <c r="BX16" s="150">
        <v>0</v>
      </c>
      <c r="BY16" s="150">
        <v>0</v>
      </c>
      <c r="BZ16" s="150">
        <v>0</v>
      </c>
      <c r="CA16" s="150">
        <v>5</v>
      </c>
      <c r="CB16" s="150">
        <v>0</v>
      </c>
      <c r="CC16" s="150">
        <v>10</v>
      </c>
      <c r="CD16" s="150">
        <v>0</v>
      </c>
      <c r="CE16" s="150">
        <v>10</v>
      </c>
      <c r="CF16" s="150">
        <v>5</v>
      </c>
      <c r="CG16" s="150">
        <v>10</v>
      </c>
      <c r="CH16" s="150">
        <v>5</v>
      </c>
      <c r="CI16" s="150">
        <v>5</v>
      </c>
      <c r="CJ16" s="150">
        <v>10</v>
      </c>
      <c r="CK16" s="150"/>
      <c r="CL16" s="150"/>
      <c r="CM16" s="150"/>
      <c r="CN16" s="150" t="s">
        <v>216</v>
      </c>
      <c r="CO16" s="150">
        <v>0</v>
      </c>
      <c r="CP16" s="150">
        <v>5</v>
      </c>
      <c r="CQ16" s="150">
        <v>0</v>
      </c>
      <c r="CR16" s="150">
        <v>10</v>
      </c>
      <c r="CS16" s="150">
        <v>0</v>
      </c>
      <c r="CT16" s="150">
        <v>10</v>
      </c>
      <c r="CU16" s="150">
        <v>10</v>
      </c>
      <c r="CV16" s="150">
        <v>0</v>
      </c>
      <c r="CW16" s="150">
        <v>10</v>
      </c>
      <c r="CX16" s="150">
        <v>5</v>
      </c>
      <c r="CY16" s="150">
        <v>0</v>
      </c>
      <c r="CZ16" s="150">
        <v>5</v>
      </c>
      <c r="DA16" s="150">
        <v>0</v>
      </c>
      <c r="DB16" s="150"/>
      <c r="DC16" s="150" t="s">
        <v>216</v>
      </c>
      <c r="DD16" s="150">
        <v>0</v>
      </c>
      <c r="DE16" s="150">
        <v>5</v>
      </c>
      <c r="DF16" s="150">
        <v>0</v>
      </c>
      <c r="DG16" s="150">
        <v>10</v>
      </c>
      <c r="DH16" s="150">
        <v>10</v>
      </c>
      <c r="DI16" s="150">
        <v>0</v>
      </c>
      <c r="DJ16" s="150">
        <v>10</v>
      </c>
      <c r="DK16" s="150">
        <v>5</v>
      </c>
      <c r="DL16" s="150">
        <v>5</v>
      </c>
      <c r="DM16" s="150">
        <v>10</v>
      </c>
      <c r="DN16" s="150">
        <v>5</v>
      </c>
      <c r="DO16" s="150">
        <v>0</v>
      </c>
      <c r="DP16" s="150">
        <v>0</v>
      </c>
      <c r="DQ16" s="181"/>
      <c r="DR16" s="181"/>
      <c r="DS16" s="181">
        <v>2</v>
      </c>
      <c r="DU16" s="150"/>
      <c r="DV16" s="150"/>
      <c r="DW16" s="150"/>
      <c r="DX16" s="150"/>
      <c r="DY16" s="150"/>
      <c r="DZ16" s="150"/>
      <c r="EA16" s="150"/>
      <c r="EB16" s="150"/>
      <c r="EC16" s="150"/>
      <c r="ED16" s="150"/>
      <c r="EE16" s="150"/>
      <c r="EF16" s="150"/>
      <c r="EG16" s="150"/>
      <c r="EH16" s="150"/>
      <c r="EI16" s="150"/>
      <c r="EJ16" s="155"/>
      <c r="EK16" s="150" t="s">
        <v>522</v>
      </c>
      <c r="EL16" s="150">
        <v>0</v>
      </c>
      <c r="EM16" s="150">
        <f>BJ16</f>
        <v>0</v>
      </c>
      <c r="EN16" s="150">
        <v>0</v>
      </c>
      <c r="EO16" s="150">
        <v>0</v>
      </c>
      <c r="EP16" s="150">
        <f t="shared" ref="EP16:EX16" si="43">BM16</f>
        <v>10</v>
      </c>
      <c r="EQ16" s="150">
        <f t="shared" si="43"/>
        <v>0</v>
      </c>
      <c r="ER16" s="150">
        <f t="shared" si="43"/>
        <v>10</v>
      </c>
      <c r="ES16" s="150">
        <f t="shared" si="43"/>
        <v>10</v>
      </c>
      <c r="ET16" s="150">
        <f t="shared" si="43"/>
        <v>10</v>
      </c>
      <c r="EU16" s="150">
        <f t="shared" si="43"/>
        <v>5</v>
      </c>
      <c r="EV16" s="150">
        <f t="shared" si="43"/>
        <v>0</v>
      </c>
      <c r="EW16" s="150">
        <f t="shared" si="43"/>
        <v>5</v>
      </c>
      <c r="EX16" s="150">
        <f t="shared" si="43"/>
        <v>5</v>
      </c>
      <c r="EY16" s="150"/>
      <c r="EZ16" s="150" t="s">
        <v>522</v>
      </c>
      <c r="FA16" s="150">
        <v>0</v>
      </c>
      <c r="FB16" s="150">
        <f>BY16</f>
        <v>0</v>
      </c>
      <c r="FC16" s="150">
        <v>0</v>
      </c>
      <c r="FD16" s="150">
        <f t="shared" ref="FD16:FM16" si="44">CA16</f>
        <v>5</v>
      </c>
      <c r="FE16" s="150">
        <f t="shared" si="44"/>
        <v>0</v>
      </c>
      <c r="FF16" s="150">
        <f t="shared" si="44"/>
        <v>10</v>
      </c>
      <c r="FG16" s="150">
        <f t="shared" si="44"/>
        <v>0</v>
      </c>
      <c r="FH16" s="150">
        <f t="shared" si="44"/>
        <v>10</v>
      </c>
      <c r="FI16" s="150">
        <f t="shared" si="44"/>
        <v>5</v>
      </c>
      <c r="FJ16" s="150">
        <f t="shared" si="44"/>
        <v>10</v>
      </c>
      <c r="FK16" s="150">
        <f t="shared" si="44"/>
        <v>5</v>
      </c>
      <c r="FL16" s="150">
        <f t="shared" si="44"/>
        <v>5</v>
      </c>
      <c r="FM16" s="150">
        <f t="shared" si="44"/>
        <v>10</v>
      </c>
      <c r="FN16" s="150"/>
      <c r="FO16" s="150" t="s">
        <v>522</v>
      </c>
      <c r="FP16" s="150">
        <v>0</v>
      </c>
      <c r="FQ16" s="150">
        <f>CP16</f>
        <v>5</v>
      </c>
      <c r="FR16" s="150">
        <v>0</v>
      </c>
      <c r="FS16" s="150">
        <f t="shared" ref="FS16:GB16" si="45">CR16</f>
        <v>10</v>
      </c>
      <c r="FT16" s="150">
        <f t="shared" si="45"/>
        <v>0</v>
      </c>
      <c r="FU16" s="150">
        <f t="shared" si="45"/>
        <v>10</v>
      </c>
      <c r="FV16" s="150">
        <f t="shared" si="45"/>
        <v>10</v>
      </c>
      <c r="FW16" s="150">
        <f t="shared" si="45"/>
        <v>0</v>
      </c>
      <c r="FX16" s="150">
        <f t="shared" si="45"/>
        <v>10</v>
      </c>
      <c r="FY16" s="150">
        <f t="shared" si="45"/>
        <v>5</v>
      </c>
      <c r="FZ16" s="150">
        <f t="shared" si="45"/>
        <v>0</v>
      </c>
      <c r="GA16" s="150">
        <f t="shared" si="45"/>
        <v>5</v>
      </c>
      <c r="GB16" s="150">
        <f t="shared" si="45"/>
        <v>0</v>
      </c>
      <c r="GC16" s="150"/>
      <c r="GD16" s="150" t="s">
        <v>522</v>
      </c>
      <c r="GE16" s="150">
        <v>0</v>
      </c>
      <c r="GF16" s="150">
        <f>DE16</f>
        <v>5</v>
      </c>
      <c r="GG16" s="150">
        <v>0</v>
      </c>
      <c r="GH16" s="150">
        <f t="shared" ref="GH16:GQ16" si="46">DG16</f>
        <v>10</v>
      </c>
      <c r="GI16" s="150">
        <f t="shared" si="46"/>
        <v>10</v>
      </c>
      <c r="GJ16" s="150">
        <f t="shared" si="46"/>
        <v>0</v>
      </c>
      <c r="GK16" s="150">
        <f t="shared" si="46"/>
        <v>10</v>
      </c>
      <c r="GL16" s="150">
        <f t="shared" si="46"/>
        <v>5</v>
      </c>
      <c r="GM16" s="150">
        <f t="shared" si="46"/>
        <v>5</v>
      </c>
      <c r="GN16" s="150">
        <f t="shared" si="46"/>
        <v>10</v>
      </c>
      <c r="GO16" s="150">
        <f t="shared" si="46"/>
        <v>5</v>
      </c>
      <c r="GP16" s="150">
        <f t="shared" si="46"/>
        <v>0</v>
      </c>
      <c r="GQ16" s="150">
        <f t="shared" si="46"/>
        <v>0</v>
      </c>
      <c r="GR16" s="150"/>
      <c r="GS16" s="150"/>
      <c r="GT16" s="150"/>
      <c r="GU16" s="150"/>
      <c r="GV16" s="150"/>
      <c r="GW16" s="150"/>
      <c r="GX16" s="150"/>
      <c r="GY16" s="150"/>
      <c r="GZ16" s="150"/>
      <c r="HA16" s="150"/>
      <c r="HB16" s="150"/>
      <c r="HC16" s="150"/>
      <c r="HD16" s="150"/>
      <c r="HE16" s="150"/>
      <c r="HF16" s="150"/>
      <c r="HG16" s="157"/>
      <c r="HH16" s="150"/>
    </row>
    <row r="17" spans="1:216" x14ac:dyDescent="0.25">
      <c r="A17" s="8"/>
      <c r="B17" s="5" t="s">
        <v>116</v>
      </c>
      <c r="C17" s="8"/>
      <c r="D17" s="40" t="s">
        <v>797</v>
      </c>
      <c r="E17" s="9"/>
      <c r="F17" s="9"/>
      <c r="G17" s="9"/>
      <c r="H17" s="9"/>
      <c r="I17" s="9"/>
      <c r="J17" s="9"/>
      <c r="K17" s="9"/>
      <c r="L17" s="6" t="s">
        <v>779</v>
      </c>
      <c r="M17" s="11">
        <f>INDEX(cennik!$C$2:$L$529,MATCH($L17,cennik!$B$2:$B$522,0),MATCH(M$2,cennik!$C$1:$L$1,0))</f>
        <v>856105</v>
      </c>
      <c r="N17" s="11" t="str">
        <f>INDEX(cennik!$C$2:$L$529,MATCH($L17,cennik!$B$2:$B$522,0),MATCH(N$2,cennik!$C$1:$L$1,0))</f>
        <v>szt.</v>
      </c>
      <c r="O17" s="11">
        <f>SUM(W4:W19)</f>
        <v>10</v>
      </c>
      <c r="P17" s="34">
        <f>INDEX(cennik!$C$2:$L$529,MATCH($L17,cennik!$B$2:$B$522,0),MATCH(P$2,cennik!$C$1:$L$1,0))</f>
        <v>21.81</v>
      </c>
      <c r="Q17" s="34">
        <f t="shared" si="40"/>
        <v>218.1</v>
      </c>
      <c r="R17" s="35">
        <f t="shared" si="3"/>
        <v>0</v>
      </c>
      <c r="S17" s="34">
        <f t="shared" si="42"/>
        <v>21.81</v>
      </c>
      <c r="T17" s="34">
        <f t="shared" si="41"/>
        <v>218.1</v>
      </c>
      <c r="U17" s="34">
        <f>INDEX(cennik!$C$2:$L$529,MATCH($L17,cennik!$B$2:$B$522,0),MATCH(U$2,cennik!$C$1:$L$1,0))*O17</f>
        <v>23</v>
      </c>
      <c r="V17" s="62"/>
      <c r="W17" s="150">
        <f>INDEX(($EL$3:$EX$6,$EL$9:$EX$12,$EL$15:$EX$18,$FA$3:$FM$6,$FA$9:$FM$12,$FA$15:$FM$18,$FP$3:$GB$6,$FP$9:$GB$12,$FP$15:$GB$18,$GE$3:$GQ$6,$GE$9:$GQ$12,$GE$15:$GQ$18,$GT$3:$HF$6,$GT$9:$HF$12),MATCH($L$17,$EK$3:$EK$6,0),MATCH($A15,$EL$2:$EX$2,0),MATCH($E$3,$AE$33:$AE$48,0))*$C15</f>
        <v>0</v>
      </c>
      <c r="X17" s="150">
        <f>INDEX(($EL$3:$EX$6,$EL$9:$EX$12,$EL$15:$EX$18,$FA$3:$FM$6,$FA$9:$FM$12,$FA$15:$FM$18,$FP$3:$GB$6,$FP$9:$GB$12,$FP$15:$GB$18,$GE$3:$GQ$6,$GE$9:$GQ$12,$GE$15:$GQ$18,$GT$3:$HF$6,$GT$9:$HF$12),MATCH($L$14,$EK$3:$EK$6,0),MATCH($A15,$EL$2:$EX$2,0),MATCH($E$3,$AE$33:$AE$48,0))*$C15</f>
        <v>0</v>
      </c>
      <c r="Y17" s="150">
        <f>INDEX(($EL$3:$EX$6,$EL$9:$EX$12,$EL$15:$EX$18,$FA$3:$FM$6,$FA$9:$FM$12,$FA$15:$FM$18,$FP$3:$GB$6,$FP$9:$GB$12,$FP$15:$GB$18,$GE$3:$GQ$6,$GE$9:$GQ$12,$GE$15:$GQ$18,$GT$3:$HF$6,$GT$9:$HF$12),MATCH($L$15,$EK$3:$EK$6,0),MATCH($A15,$EL$2:$EX$2,0),MATCH($E$3,$AE$33:$AE$48,0))*$C15</f>
        <v>0</v>
      </c>
      <c r="Z17" s="150">
        <f>INDEX(($EL$3:$EX$6,$EL$9:$EX$12,$EL$15:$EX$18,$FA$3:$FM$6,$FA$9:$FM$12,$FA$15:$FM$18,$FP$3:$GB$6,$FP$9:$GB$12,$FP$15:$GB$18,$GE$3:$GQ$6,$GE$9:$GQ$12,$GE$15:$GQ$18,$GT$3:$HF$6,$GT$9:$HF$12),MATCH($L$16,$EK$3:$EK$6,0),MATCH($A15,$EL$2:$EX$2,0),MATCH($E$3,$AE$33:$AE$48,0))*$C15</f>
        <v>0</v>
      </c>
      <c r="AA17" s="150">
        <f t="shared" si="0"/>
        <v>0</v>
      </c>
      <c r="AB17" s="150">
        <f t="shared" si="1"/>
        <v>0</v>
      </c>
      <c r="AC17" s="175"/>
      <c r="AD17" s="150">
        <f>(INT((((A2/4)*(INDEX($AF$24:$AF$42,MATCH($E$3,$AE$24:$AE$42),1,1)))+((A2-1)*20))/2900))*2900</f>
        <v>8700</v>
      </c>
      <c r="AE17" s="150"/>
      <c r="AF17" s="150"/>
      <c r="AG17" s="150"/>
      <c r="AH17" s="150"/>
      <c r="AI17" s="150"/>
      <c r="AJ17" s="150"/>
      <c r="AK17" s="150"/>
      <c r="AL17" s="150"/>
      <c r="AM17" s="150"/>
      <c r="AN17" s="150"/>
      <c r="AO17" s="150"/>
      <c r="AP17" s="150"/>
      <c r="AQ17" s="150"/>
      <c r="AR17" s="62" t="s">
        <v>713</v>
      </c>
      <c r="AS17" s="62" t="s">
        <v>594</v>
      </c>
      <c r="AT17" s="62" t="s">
        <v>596</v>
      </c>
      <c r="AU17" s="150" t="s">
        <v>594</v>
      </c>
      <c r="AV17" s="150" t="s">
        <v>594</v>
      </c>
      <c r="AW17" s="150"/>
      <c r="AX17" s="150"/>
      <c r="AY17" s="150"/>
      <c r="AZ17" s="150"/>
      <c r="BA17" s="150"/>
      <c r="BB17" s="154" t="s">
        <v>713</v>
      </c>
      <c r="BC17" s="154" t="s">
        <v>592</v>
      </c>
      <c r="BD17" s="154" t="s">
        <v>151</v>
      </c>
      <c r="BE17" s="154" t="s">
        <v>151</v>
      </c>
      <c r="BF17" s="154" t="s">
        <v>151</v>
      </c>
      <c r="BG17" s="170">
        <f t="shared" si="2"/>
        <v>1</v>
      </c>
      <c r="BH17" s="150" t="s">
        <v>17</v>
      </c>
      <c r="BI17" s="150">
        <v>0</v>
      </c>
      <c r="BJ17" s="150">
        <v>5</v>
      </c>
      <c r="BK17" s="150">
        <v>0</v>
      </c>
      <c r="BL17" s="150">
        <v>0</v>
      </c>
      <c r="BM17" s="150">
        <v>0</v>
      </c>
      <c r="BN17" s="150">
        <v>5</v>
      </c>
      <c r="BO17" s="150">
        <v>5</v>
      </c>
      <c r="BP17" s="150">
        <v>0</v>
      </c>
      <c r="BQ17" s="150">
        <v>0</v>
      </c>
      <c r="BR17" s="150">
        <v>0</v>
      </c>
      <c r="BS17" s="150">
        <v>0</v>
      </c>
      <c r="BT17" s="150">
        <v>5</v>
      </c>
      <c r="BU17" s="150">
        <v>0</v>
      </c>
      <c r="BV17" s="150"/>
      <c r="BW17" s="150" t="s">
        <v>17</v>
      </c>
      <c r="BX17" s="150">
        <v>0</v>
      </c>
      <c r="BY17" s="150">
        <v>5</v>
      </c>
      <c r="BZ17" s="150">
        <v>0</v>
      </c>
      <c r="CA17" s="150">
        <v>5</v>
      </c>
      <c r="CB17" s="150">
        <v>5</v>
      </c>
      <c r="CC17" s="150">
        <v>5</v>
      </c>
      <c r="CD17" s="150">
        <v>0</v>
      </c>
      <c r="CE17" s="150">
        <v>0</v>
      </c>
      <c r="CF17" s="150">
        <v>0</v>
      </c>
      <c r="CG17" s="150">
        <v>5</v>
      </c>
      <c r="CH17" s="150">
        <v>5</v>
      </c>
      <c r="CI17" s="150">
        <v>0</v>
      </c>
      <c r="CJ17" s="150">
        <v>5</v>
      </c>
      <c r="CK17" s="150"/>
      <c r="CL17" s="150"/>
      <c r="CM17" s="150"/>
      <c r="CN17" s="150" t="s">
        <v>17</v>
      </c>
      <c r="CO17" s="150">
        <v>0</v>
      </c>
      <c r="CP17" s="150">
        <v>0</v>
      </c>
      <c r="CQ17" s="150">
        <v>0</v>
      </c>
      <c r="CR17" s="150">
        <v>0</v>
      </c>
      <c r="CS17" s="150">
        <v>5</v>
      </c>
      <c r="CT17" s="150">
        <v>5</v>
      </c>
      <c r="CU17" s="150">
        <v>0</v>
      </c>
      <c r="CV17" s="150">
        <v>5</v>
      </c>
      <c r="CW17" s="150">
        <v>5</v>
      </c>
      <c r="CX17" s="150">
        <v>5</v>
      </c>
      <c r="CY17" s="150">
        <v>5</v>
      </c>
      <c r="CZ17" s="150">
        <v>0</v>
      </c>
      <c r="DA17" s="150">
        <v>0</v>
      </c>
      <c r="DB17" s="150"/>
      <c r="DC17" s="150" t="s">
        <v>17</v>
      </c>
      <c r="DD17" s="150">
        <v>0</v>
      </c>
      <c r="DE17" s="150">
        <v>0</v>
      </c>
      <c r="DF17" s="150">
        <v>0</v>
      </c>
      <c r="DG17" s="150">
        <v>0</v>
      </c>
      <c r="DH17" s="150">
        <v>5</v>
      </c>
      <c r="DI17" s="150">
        <v>0</v>
      </c>
      <c r="DJ17" s="150">
        <v>0</v>
      </c>
      <c r="DK17" s="150">
        <v>0</v>
      </c>
      <c r="DL17" s="150">
        <v>5</v>
      </c>
      <c r="DM17" s="150">
        <v>0</v>
      </c>
      <c r="DN17" s="150">
        <v>0</v>
      </c>
      <c r="DO17" s="150">
        <v>0</v>
      </c>
      <c r="DP17" s="150">
        <v>5</v>
      </c>
      <c r="DQ17" s="181"/>
      <c r="DR17" s="181"/>
      <c r="DS17" s="181" t="s">
        <v>1022</v>
      </c>
      <c r="DU17" s="150"/>
      <c r="DV17" s="150"/>
      <c r="DW17" s="150"/>
      <c r="DX17" s="150"/>
      <c r="DY17" s="150"/>
      <c r="DZ17" s="150"/>
      <c r="EA17" s="150"/>
      <c r="EB17" s="150"/>
      <c r="EC17" s="150"/>
      <c r="ED17" s="150"/>
      <c r="EE17" s="150"/>
      <c r="EF17" s="150"/>
      <c r="EG17" s="150"/>
      <c r="EH17" s="150"/>
      <c r="EI17" s="150"/>
      <c r="EJ17" s="155"/>
      <c r="EK17" s="150" t="s">
        <v>523</v>
      </c>
      <c r="EL17" s="150">
        <v>0</v>
      </c>
      <c r="EM17" s="150">
        <f>BJ17+(BJ15*2)</f>
        <v>5</v>
      </c>
      <c r="EN17" s="150">
        <v>0</v>
      </c>
      <c r="EO17" s="150">
        <v>0</v>
      </c>
      <c r="EP17" s="150">
        <f t="shared" ref="EP17:EX17" si="47">BM17+(BM15*2)</f>
        <v>0</v>
      </c>
      <c r="EQ17" s="150">
        <f t="shared" si="47"/>
        <v>15</v>
      </c>
      <c r="ER17" s="150">
        <f t="shared" si="47"/>
        <v>5</v>
      </c>
      <c r="ES17" s="150">
        <f t="shared" si="47"/>
        <v>10</v>
      </c>
      <c r="ET17" s="150">
        <f t="shared" si="47"/>
        <v>10</v>
      </c>
      <c r="EU17" s="150">
        <f t="shared" si="47"/>
        <v>20</v>
      </c>
      <c r="EV17" s="150">
        <f t="shared" si="47"/>
        <v>30</v>
      </c>
      <c r="EW17" s="150">
        <f t="shared" si="47"/>
        <v>25</v>
      </c>
      <c r="EX17" s="150">
        <f t="shared" si="47"/>
        <v>30</v>
      </c>
      <c r="EY17" s="150"/>
      <c r="EZ17" s="150" t="s">
        <v>523</v>
      </c>
      <c r="FA17" s="150">
        <v>0</v>
      </c>
      <c r="FB17" s="150">
        <f>BY17+(BY15*2)</f>
        <v>5</v>
      </c>
      <c r="FC17" s="150">
        <v>0</v>
      </c>
      <c r="FD17" s="150">
        <f t="shared" ref="FD17:FM17" si="48">CA17+(CA15*2)</f>
        <v>5</v>
      </c>
      <c r="FE17" s="150">
        <f t="shared" si="48"/>
        <v>15</v>
      </c>
      <c r="FF17" s="150">
        <f t="shared" si="48"/>
        <v>5</v>
      </c>
      <c r="FG17" s="150">
        <f t="shared" si="48"/>
        <v>20</v>
      </c>
      <c r="FH17" s="150">
        <f t="shared" si="48"/>
        <v>10</v>
      </c>
      <c r="FI17" s="150">
        <f t="shared" si="48"/>
        <v>20</v>
      </c>
      <c r="FJ17" s="150">
        <f t="shared" si="48"/>
        <v>15</v>
      </c>
      <c r="FK17" s="150">
        <f t="shared" si="48"/>
        <v>25</v>
      </c>
      <c r="FL17" s="150">
        <f t="shared" si="48"/>
        <v>30</v>
      </c>
      <c r="FM17" s="150">
        <f t="shared" si="48"/>
        <v>25</v>
      </c>
      <c r="FN17" s="150"/>
      <c r="FO17" s="150" t="s">
        <v>523</v>
      </c>
      <c r="FP17" s="150">
        <v>0</v>
      </c>
      <c r="FQ17" s="150">
        <f>CP17+(CP15*2)</f>
        <v>0</v>
      </c>
      <c r="FR17" s="150">
        <v>0</v>
      </c>
      <c r="FS17" s="150">
        <f t="shared" ref="FS17:GB17" si="49">CR17+(CR15*2)</f>
        <v>0</v>
      </c>
      <c r="FT17" s="150">
        <f t="shared" si="49"/>
        <v>15</v>
      </c>
      <c r="FU17" s="150">
        <f t="shared" si="49"/>
        <v>5</v>
      </c>
      <c r="FV17" s="150">
        <f t="shared" si="49"/>
        <v>10</v>
      </c>
      <c r="FW17" s="150">
        <f t="shared" si="49"/>
        <v>25</v>
      </c>
      <c r="FX17" s="150">
        <f t="shared" si="49"/>
        <v>15</v>
      </c>
      <c r="FY17" s="150">
        <f t="shared" si="49"/>
        <v>25</v>
      </c>
      <c r="FZ17" s="150">
        <f t="shared" si="49"/>
        <v>35</v>
      </c>
      <c r="GA17" s="150">
        <f t="shared" si="49"/>
        <v>30</v>
      </c>
      <c r="GB17" s="150">
        <f t="shared" si="49"/>
        <v>40</v>
      </c>
      <c r="GC17" s="150"/>
      <c r="GD17" s="150" t="s">
        <v>523</v>
      </c>
      <c r="GE17" s="150">
        <v>0</v>
      </c>
      <c r="GF17" s="150">
        <f>DE17+(DE15*2)</f>
        <v>0</v>
      </c>
      <c r="GG17" s="150">
        <v>0</v>
      </c>
      <c r="GH17" s="150">
        <f t="shared" ref="GH17:GQ17" si="50">DG17+(DG15*2)</f>
        <v>0</v>
      </c>
      <c r="GI17" s="150">
        <f t="shared" si="50"/>
        <v>5</v>
      </c>
      <c r="GJ17" s="150">
        <f t="shared" si="50"/>
        <v>20</v>
      </c>
      <c r="GK17" s="150">
        <f t="shared" si="50"/>
        <v>10</v>
      </c>
      <c r="GL17" s="150">
        <f t="shared" si="50"/>
        <v>20</v>
      </c>
      <c r="GM17" s="150">
        <f t="shared" si="50"/>
        <v>25</v>
      </c>
      <c r="GN17" s="150">
        <f t="shared" si="50"/>
        <v>20</v>
      </c>
      <c r="GO17" s="150">
        <f t="shared" si="50"/>
        <v>30</v>
      </c>
      <c r="GP17" s="150">
        <f t="shared" si="50"/>
        <v>40</v>
      </c>
      <c r="GQ17" s="150">
        <f t="shared" si="50"/>
        <v>45</v>
      </c>
      <c r="GR17" s="150"/>
      <c r="GS17" s="150"/>
      <c r="GT17" s="150"/>
      <c r="GU17" s="150"/>
      <c r="GV17" s="150"/>
      <c r="GW17" s="150"/>
      <c r="GX17" s="150"/>
      <c r="GY17" s="150"/>
      <c r="GZ17" s="150"/>
      <c r="HA17" s="150"/>
      <c r="HB17" s="150"/>
      <c r="HC17" s="150"/>
      <c r="HD17" s="150"/>
      <c r="HE17" s="150"/>
      <c r="HF17" s="150"/>
      <c r="HG17" s="157"/>
      <c r="HH17" s="150"/>
    </row>
    <row r="18" spans="1:216" x14ac:dyDescent="0.25">
      <c r="A18" s="9"/>
      <c r="B18" s="6"/>
      <c r="C18" s="9"/>
      <c r="D18" s="40" t="s">
        <v>798</v>
      </c>
      <c r="E18" s="9"/>
      <c r="F18" s="9"/>
      <c r="G18" s="9"/>
      <c r="H18" s="9"/>
      <c r="I18" s="9"/>
      <c r="J18" s="9"/>
      <c r="K18" s="9"/>
      <c r="L18" s="6" t="str">
        <f>INDEX(($AH$3:$AI$12),MATCH(I3,$AG$3:$AG$12,0),MATCH(E4,$AH$2:$AI$2,0))</f>
        <v>BUF35</v>
      </c>
      <c r="M18" s="11">
        <f>INDEX(cennik!$C$2:$L$529,MATCH($L18,cennik!$B$2:$B$522,0),MATCH(M$2,cennik!$C$1:$L$1,0))</f>
        <v>897335</v>
      </c>
      <c r="N18" s="11" t="str">
        <f>INDEX(cennik!$C$2:$L$529,MATCH($L18,cennik!$B$2:$B$522,0),MATCH(N$2,cennik!$C$1:$L$1,0))</f>
        <v>szt.</v>
      </c>
      <c r="O18" s="11">
        <f>SUM((A2*C2),(A3*C3),(A4*C4),(A5*C5),(A6*C6),(A7*C7),(A8*C8),(A9*C9),(A10*C10),(A11*C11),(A12*C12),(A13*C13),(A14*C14),(A15*C15),(A16*C16),(A17*C17))</f>
        <v>20</v>
      </c>
      <c r="P18" s="34">
        <f>INDEX(cennik!$C$2:$L$529,MATCH($L18,cennik!$B$2:$B$522,0),MATCH(P$2,cennik!$C$1:$L$1,0))</f>
        <v>1.92</v>
      </c>
      <c r="Q18" s="34">
        <f t="shared" si="40"/>
        <v>38.4</v>
      </c>
      <c r="R18" s="35">
        <f t="shared" si="3"/>
        <v>0</v>
      </c>
      <c r="S18" s="34">
        <f t="shared" si="42"/>
        <v>1.92</v>
      </c>
      <c r="T18" s="34">
        <f t="shared" si="41"/>
        <v>38.4</v>
      </c>
      <c r="U18" s="34">
        <f>INDEX(cennik!$C$2:$L$529,MATCH($L18,cennik!$B$2:$B$522,0),MATCH(U$2,cennik!$C$1:$L$1,0))*O18</f>
        <v>0.4</v>
      </c>
      <c r="V18" s="62"/>
      <c r="W18" s="150">
        <f>INDEX(($EL$3:$EX$6,$EL$9:$EX$12,$EL$15:$EX$18,$FA$3:$FM$6,$FA$9:$FM$12,$FA$15:$FM$18,$FP$3:$GB$6,$FP$9:$GB$12,$FP$15:$GB$18,$GE$3:$GQ$6,$GE$9:$GQ$12,$GE$15:$GQ$18,$GT$3:$HF$6,$GT$9:$HF$12),MATCH($L$17,$EK$3:$EK$6,0),MATCH($A16,$EL$2:$EX$2,0),MATCH($E$3,$AE$33:$AE$48,0))*$C16</f>
        <v>0</v>
      </c>
      <c r="X18" s="150">
        <f>INDEX(($EL$3:$EX$6,$EL$9:$EX$12,$EL$15:$EX$18,$FA$3:$FM$6,$FA$9:$FM$12,$FA$15:$FM$18,$FP$3:$GB$6,$FP$9:$GB$12,$FP$15:$GB$18,$GE$3:$GQ$6,$GE$9:$GQ$12,$GE$15:$GQ$18,$GT$3:$HF$6,$GT$9:$HF$12),MATCH($L$14,$EK$3:$EK$6,0),MATCH($A16,$EL$2:$EX$2,0),MATCH($E$3,$AE$33:$AE$48,0))*$C16</f>
        <v>0</v>
      </c>
      <c r="Y18" s="150">
        <f>INDEX(($EL$3:$EX$6,$EL$9:$EX$12,$EL$15:$EX$18,$FA$3:$FM$6,$FA$9:$FM$12,$FA$15:$FM$18,$FP$3:$GB$6,$FP$9:$GB$12,$FP$15:$GB$18,$GE$3:$GQ$6,$GE$9:$GQ$12,$GE$15:$GQ$18,$GT$3:$HF$6,$GT$9:$HF$12),MATCH($L$15,$EK$3:$EK$6,0),MATCH($A16,$EL$2:$EX$2,0),MATCH($E$3,$AE$33:$AE$48,0))*$C16</f>
        <v>0</v>
      </c>
      <c r="Z18" s="150">
        <f>INDEX(($EL$3:$EX$6,$EL$9:$EX$12,$EL$15:$EX$18,$FA$3:$FM$6,$FA$9:$FM$12,$FA$15:$FM$18,$FP$3:$GB$6,$FP$9:$GB$12,$FP$15:$GB$18,$GE$3:$GQ$6,$GE$9:$GQ$12,$GE$15:$GQ$18,$GT$3:$HF$6,$GT$9:$HF$12),MATCH($L$16,$EK$3:$EK$6,0),MATCH($A16,$EL$2:$EX$2,0),MATCH($E$3,$AE$33:$AE$48,0))*$C16</f>
        <v>0</v>
      </c>
      <c r="AA18" s="150"/>
      <c r="AB18" s="150"/>
      <c r="AC18" s="150"/>
      <c r="AD18" s="150">
        <f>IF(((INT((((A2/4)*(INDEX($AF$24:$AF$42,MATCH($E$3,$AE$24:$AE$42),1,1)))+(((A2/4)-1)*20))/2900))*2900)+2000&gt;((A2/4)*(INDEX($AF$24:$AF$42,MATCH($E$3,$AE$24:$AE$42),1,1)))+(((A2/4)-1)*20),(INT((((A2/4)*(INDEX($AF$24:$AF$42,MATCH($E$3,$AE$24:$AE$42),1,1)))+(((A2/4)-1)*20))/2900))+1,IF(((INT((((A2/4)*(INDEX($AF$24:$AF$42,MATCH($E$3,$AE$24:$AE$42),1,1)))+(((A2/4)-1)*20))/2900))*2900)+2000&lt;((A2/4)*(INDEX($AF$24:$AF$42,MATCH($E$3,$AE$24:$AE$42),1,1)))+(((A2/4)-1)*20),(INT((((A2/4)*(INDEX($AF$24:$AF$42,MATCH($E$3,$AE$24:$AE$42),1,1)))+(((A2/4)-1)*20))/2900))+2,0))</f>
        <v>4</v>
      </c>
      <c r="AE18" s="150"/>
      <c r="AF18" s="150"/>
      <c r="AG18" s="150"/>
      <c r="AH18" s="150"/>
      <c r="AI18" s="150"/>
      <c r="AJ18" s="150"/>
      <c r="AK18" s="150"/>
      <c r="AL18" s="150"/>
      <c r="AM18" s="150"/>
      <c r="AN18" s="150"/>
      <c r="AO18" s="150"/>
      <c r="AP18" s="150"/>
      <c r="AQ18" s="150"/>
      <c r="AR18" s="150" t="s">
        <v>714</v>
      </c>
      <c r="AS18" s="62" t="s">
        <v>594</v>
      </c>
      <c r="AT18" s="62" t="s">
        <v>596</v>
      </c>
      <c r="AU18" s="150" t="s">
        <v>594</v>
      </c>
      <c r="AV18" s="150" t="s">
        <v>594</v>
      </c>
      <c r="AW18" s="150"/>
      <c r="AX18" s="150"/>
      <c r="AY18" s="150"/>
      <c r="AZ18" s="150"/>
      <c r="BA18" s="150"/>
      <c r="BB18" s="154" t="s">
        <v>714</v>
      </c>
      <c r="BC18" s="154" t="s">
        <v>592</v>
      </c>
      <c r="BD18" s="154" t="s">
        <v>151</v>
      </c>
      <c r="BE18" s="154" t="s">
        <v>151</v>
      </c>
      <c r="BF18" s="154" t="s">
        <v>151</v>
      </c>
      <c r="BG18" s="150"/>
      <c r="BH18" s="158" t="s">
        <v>779</v>
      </c>
      <c r="BI18" s="158">
        <v>0</v>
      </c>
      <c r="BJ18" s="150">
        <v>0</v>
      </c>
      <c r="BK18" s="150">
        <v>0</v>
      </c>
      <c r="BL18" s="150">
        <v>0</v>
      </c>
      <c r="BM18" s="150">
        <v>5</v>
      </c>
      <c r="BN18" s="150">
        <v>5</v>
      </c>
      <c r="BO18" s="150">
        <v>10</v>
      </c>
      <c r="BP18" s="150">
        <v>10</v>
      </c>
      <c r="BQ18" s="150">
        <v>10</v>
      </c>
      <c r="BR18" s="150">
        <v>10</v>
      </c>
      <c r="BS18" s="150">
        <v>10</v>
      </c>
      <c r="BT18" s="150">
        <v>15</v>
      </c>
      <c r="BU18" s="150">
        <v>15</v>
      </c>
      <c r="BV18" s="150"/>
      <c r="BW18" s="158" t="s">
        <v>779</v>
      </c>
      <c r="BX18" s="150">
        <v>0</v>
      </c>
      <c r="BY18" s="150">
        <v>0</v>
      </c>
      <c r="BZ18" s="150">
        <v>0</v>
      </c>
      <c r="CA18" s="150">
        <v>5</v>
      </c>
      <c r="CB18" s="150">
        <v>5</v>
      </c>
      <c r="CC18" s="150">
        <v>10</v>
      </c>
      <c r="CD18" s="150">
        <v>5</v>
      </c>
      <c r="CE18" s="150">
        <v>10</v>
      </c>
      <c r="CF18" s="150">
        <v>10</v>
      </c>
      <c r="CG18" s="150">
        <v>15</v>
      </c>
      <c r="CH18" s="150">
        <v>15</v>
      </c>
      <c r="CI18" s="150">
        <v>15</v>
      </c>
      <c r="CJ18" s="150">
        <v>20</v>
      </c>
      <c r="CK18" s="150"/>
      <c r="CL18" s="150"/>
      <c r="CM18" s="150"/>
      <c r="CN18" s="158" t="s">
        <v>779</v>
      </c>
      <c r="CO18" s="158">
        <v>0</v>
      </c>
      <c r="CP18" s="150">
        <v>0</v>
      </c>
      <c r="CQ18" s="150">
        <v>0</v>
      </c>
      <c r="CR18" s="150">
        <v>5</v>
      </c>
      <c r="CS18" s="150">
        <v>5</v>
      </c>
      <c r="CT18" s="150">
        <v>10</v>
      </c>
      <c r="CU18" s="150">
        <v>10</v>
      </c>
      <c r="CV18" s="150">
        <v>10</v>
      </c>
      <c r="CW18" s="150">
        <v>15</v>
      </c>
      <c r="CX18" s="150">
        <v>15</v>
      </c>
      <c r="CY18" s="150">
        <v>15</v>
      </c>
      <c r="CZ18" s="150">
        <v>15</v>
      </c>
      <c r="DA18" s="150">
        <v>15</v>
      </c>
      <c r="DB18" s="150"/>
      <c r="DC18" s="158" t="s">
        <v>779</v>
      </c>
      <c r="DD18" s="150">
        <v>0</v>
      </c>
      <c r="DE18" s="150">
        <v>0</v>
      </c>
      <c r="DF18" s="150">
        <v>0</v>
      </c>
      <c r="DG18" s="150">
        <v>5</v>
      </c>
      <c r="DH18" s="150">
        <v>10</v>
      </c>
      <c r="DI18" s="150">
        <v>5</v>
      </c>
      <c r="DJ18" s="150">
        <v>10</v>
      </c>
      <c r="DK18" s="150">
        <v>10</v>
      </c>
      <c r="DL18" s="150">
        <v>15</v>
      </c>
      <c r="DM18" s="150">
        <v>15</v>
      </c>
      <c r="DN18" s="150">
        <v>15</v>
      </c>
      <c r="DO18" s="150">
        <v>15</v>
      </c>
      <c r="DP18" s="150">
        <v>20</v>
      </c>
      <c r="DQ18" s="181"/>
      <c r="DR18" s="181"/>
      <c r="DS18" s="181">
        <v>4</v>
      </c>
      <c r="DT18" s="150"/>
      <c r="DU18" s="150"/>
      <c r="DV18" s="150"/>
      <c r="DW18" s="150"/>
      <c r="DX18" s="150"/>
      <c r="DY18" s="150"/>
      <c r="DZ18" s="150"/>
      <c r="EA18" s="150"/>
      <c r="EB18" s="150"/>
      <c r="EC18" s="150"/>
      <c r="ED18" s="150"/>
      <c r="EE18" s="150"/>
      <c r="EF18" s="150"/>
      <c r="EG18" s="150"/>
      <c r="EH18" s="150"/>
      <c r="EI18" s="150"/>
      <c r="EJ18" s="155"/>
      <c r="EK18" s="158" t="s">
        <v>779</v>
      </c>
      <c r="EL18" s="150">
        <v>0</v>
      </c>
      <c r="EM18" s="150">
        <f>((SUM(EM16:EM17)/5)-1)*5</f>
        <v>0</v>
      </c>
      <c r="EN18" s="150">
        <v>0</v>
      </c>
      <c r="EO18" s="150">
        <v>0</v>
      </c>
      <c r="EP18" s="150">
        <f t="shared" ref="EP18:EX18" si="51">((SUM(EP16:EP17)/5)-1)*5</f>
        <v>5</v>
      </c>
      <c r="EQ18" s="150">
        <f t="shared" si="51"/>
        <v>10</v>
      </c>
      <c r="ER18" s="150">
        <f t="shared" si="51"/>
        <v>10</v>
      </c>
      <c r="ES18" s="150">
        <f t="shared" si="51"/>
        <v>15</v>
      </c>
      <c r="ET18" s="150">
        <f t="shared" si="51"/>
        <v>15</v>
      </c>
      <c r="EU18" s="150">
        <f t="shared" si="51"/>
        <v>20</v>
      </c>
      <c r="EV18" s="150">
        <f t="shared" si="51"/>
        <v>25</v>
      </c>
      <c r="EW18" s="150">
        <f t="shared" si="51"/>
        <v>25</v>
      </c>
      <c r="EX18" s="150">
        <f t="shared" si="51"/>
        <v>30</v>
      </c>
      <c r="EY18" s="150"/>
      <c r="EZ18" s="158" t="s">
        <v>779</v>
      </c>
      <c r="FA18" s="150">
        <v>0</v>
      </c>
      <c r="FB18" s="150">
        <f>((SUM(FB16:FB17)/5)-1)*5</f>
        <v>0</v>
      </c>
      <c r="FC18" s="150">
        <v>0</v>
      </c>
      <c r="FD18" s="150">
        <f t="shared" ref="FD18:FM18" si="52">((SUM(FD16:FD17)/5)-1)*5</f>
        <v>5</v>
      </c>
      <c r="FE18" s="150">
        <f t="shared" si="52"/>
        <v>10</v>
      </c>
      <c r="FF18" s="150">
        <f t="shared" si="52"/>
        <v>10</v>
      </c>
      <c r="FG18" s="150">
        <f t="shared" si="52"/>
        <v>15</v>
      </c>
      <c r="FH18" s="150">
        <f t="shared" si="52"/>
        <v>15</v>
      </c>
      <c r="FI18" s="150">
        <f t="shared" si="52"/>
        <v>20</v>
      </c>
      <c r="FJ18" s="150">
        <f t="shared" si="52"/>
        <v>20</v>
      </c>
      <c r="FK18" s="150">
        <f t="shared" si="52"/>
        <v>25</v>
      </c>
      <c r="FL18" s="150">
        <f t="shared" si="52"/>
        <v>30</v>
      </c>
      <c r="FM18" s="150">
        <f t="shared" si="52"/>
        <v>30</v>
      </c>
      <c r="FN18" s="150"/>
      <c r="FO18" s="158" t="s">
        <v>779</v>
      </c>
      <c r="FP18" s="150">
        <v>0</v>
      </c>
      <c r="FQ18" s="150">
        <f>((SUM(FQ16:FQ17)/5)-1)*5</f>
        <v>0</v>
      </c>
      <c r="FR18" s="150">
        <v>0</v>
      </c>
      <c r="FS18" s="150">
        <f t="shared" ref="FS18:GB18" si="53">((SUM(FS16:FS17)/5)-1)*5</f>
        <v>5</v>
      </c>
      <c r="FT18" s="150">
        <f t="shared" si="53"/>
        <v>10</v>
      </c>
      <c r="FU18" s="150">
        <f t="shared" si="53"/>
        <v>10</v>
      </c>
      <c r="FV18" s="150">
        <f t="shared" si="53"/>
        <v>15</v>
      </c>
      <c r="FW18" s="150">
        <f t="shared" si="53"/>
        <v>20</v>
      </c>
      <c r="FX18" s="150">
        <f t="shared" si="53"/>
        <v>20</v>
      </c>
      <c r="FY18" s="150">
        <f t="shared" si="53"/>
        <v>25</v>
      </c>
      <c r="FZ18" s="150">
        <f t="shared" si="53"/>
        <v>30</v>
      </c>
      <c r="GA18" s="150">
        <f t="shared" si="53"/>
        <v>30</v>
      </c>
      <c r="GB18" s="150">
        <f t="shared" si="53"/>
        <v>35</v>
      </c>
      <c r="GC18" s="150"/>
      <c r="GD18" s="158" t="s">
        <v>779</v>
      </c>
      <c r="GE18" s="150">
        <v>0</v>
      </c>
      <c r="GF18" s="150">
        <f>((SUM(GF16:GF17)/5)-1)*5</f>
        <v>0</v>
      </c>
      <c r="GG18" s="150">
        <v>0</v>
      </c>
      <c r="GH18" s="150">
        <f t="shared" ref="GH18:GQ18" si="54">((SUM(GH16:GH17)/5)-1)*5</f>
        <v>5</v>
      </c>
      <c r="GI18" s="150">
        <f t="shared" si="54"/>
        <v>10</v>
      </c>
      <c r="GJ18" s="150">
        <f t="shared" si="54"/>
        <v>15</v>
      </c>
      <c r="GK18" s="150">
        <f t="shared" si="54"/>
        <v>15</v>
      </c>
      <c r="GL18" s="150">
        <f t="shared" si="54"/>
        <v>20</v>
      </c>
      <c r="GM18" s="150">
        <f t="shared" si="54"/>
        <v>25</v>
      </c>
      <c r="GN18" s="150">
        <f t="shared" si="54"/>
        <v>25</v>
      </c>
      <c r="GO18" s="150">
        <f t="shared" si="54"/>
        <v>30</v>
      </c>
      <c r="GP18" s="150">
        <f t="shared" si="54"/>
        <v>35</v>
      </c>
      <c r="GQ18" s="150">
        <f t="shared" si="54"/>
        <v>40</v>
      </c>
      <c r="GR18" s="150"/>
      <c r="GS18" s="150"/>
      <c r="GT18" s="150"/>
      <c r="GU18" s="150"/>
      <c r="GV18" s="150"/>
      <c r="GW18" s="150"/>
      <c r="GX18" s="150"/>
      <c r="GY18" s="150"/>
      <c r="GZ18" s="150"/>
      <c r="HA18" s="150"/>
      <c r="HB18" s="150"/>
      <c r="HC18" s="150"/>
      <c r="HD18" s="150"/>
      <c r="HE18" s="150"/>
      <c r="HF18" s="150"/>
      <c r="HG18" s="157"/>
      <c r="HH18" s="150"/>
    </row>
    <row r="19" spans="1:216" x14ac:dyDescent="0.25">
      <c r="A19" s="1"/>
      <c r="B19" s="1"/>
      <c r="C19" s="1"/>
      <c r="D19" s="9"/>
      <c r="E19" s="9"/>
      <c r="F19" s="9"/>
      <c r="G19" s="9"/>
      <c r="H19" s="9"/>
      <c r="I19" s="9"/>
      <c r="J19" s="9"/>
      <c r="K19" s="1"/>
      <c r="L19" s="6" t="str">
        <f>INDEX(($AH$13:$AI$13),1,MATCH(E4,$AH$2:$AI$2,0))</f>
        <v>PUF</v>
      </c>
      <c r="M19" s="11">
        <f>INDEX(cennik!$C$2:$L$529,MATCH($L19,cennik!$B$2:$B$522,0),MATCH(M$2,cennik!$C$1:$L$1,0))</f>
        <v>897300</v>
      </c>
      <c r="N19" s="11" t="str">
        <f>INDEX(cennik!$C$2:$L$529,MATCH($L19,cennik!$B$2:$B$522,0),MATCH(N$2,cennik!$C$1:$L$1,0))</f>
        <v>szt.</v>
      </c>
      <c r="O19" s="11">
        <f>SUM(((A2/4)*6)*C2,((A3/4)*6)*C3,((A4/4)*6)*C4,((A5/4)*6)*C5,((A6/4)*6)*C6,((A7/4)*6)*C7,((A8/4)*6)*C8,((A9/4)*6)*C9,((A10/4)*6)*C10,((A11/4)*6)*C11,((A12/4)*6)*C12,((A13/4)*6)*C13,((A14/4)*6)*C14,((A15/4)*6)*C15,((A16/4)*6)*C16,((A17/4)*6)*C17)</f>
        <v>30</v>
      </c>
      <c r="P19" s="34">
        <f>INDEX(cennik!$C$2:$L$529,MATCH($L19,cennik!$B$2:$B$522,0),MATCH(P$2,cennik!$C$1:$L$1,0))</f>
        <v>2.06</v>
      </c>
      <c r="Q19" s="34">
        <f t="shared" si="40"/>
        <v>61.800000000000004</v>
      </c>
      <c r="R19" s="35">
        <f t="shared" si="3"/>
        <v>0</v>
      </c>
      <c r="S19" s="34">
        <f t="shared" si="42"/>
        <v>2.06</v>
      </c>
      <c r="T19" s="34">
        <f t="shared" si="41"/>
        <v>61.800000000000004</v>
      </c>
      <c r="U19" s="34">
        <f>INDEX(cennik!$C$2:$L$529,MATCH($L19,cennik!$B$2:$B$522,0),MATCH(U$2,cennik!$C$1:$L$1,0))*O19</f>
        <v>0.6</v>
      </c>
      <c r="V19" s="62"/>
      <c r="W19" s="150">
        <f>INDEX(($EL$3:$EX$6,$EL$9:$EX$12,$EL$15:$EX$18,$FA$3:$FM$6,$FA$9:$FM$12,$FA$15:$FM$18,$FP$3:$GB$6,$FP$9:$GB$12,$FP$15:$GB$18,$GE$3:$GQ$6,$GE$9:$GQ$12,$GE$15:$GQ$18,$GT$3:$HF$6,$GT$9:$HF$12),MATCH($L$17,$EK$3:$EK$6,0),MATCH($A17,$EL$2:$EX$2,0),MATCH($E$3,$AE$33:$AE$48,0))*$C17</f>
        <v>0</v>
      </c>
      <c r="X19" s="150">
        <f>INDEX(($EL$3:$EX$6,$EL$9:$EX$12,$EL$15:$EX$18,$FA$3:$FM$6,$FA$9:$FM$12,$FA$15:$FM$18,$FP$3:$GB$6,$FP$9:$GB$12,$FP$15:$GB$18,$GE$3:$GQ$6,$GE$9:$GQ$12,$GE$15:$GQ$18,$GT$3:$HF$6,$GT$9:$HF$12),MATCH($L$14,$EK$3:$EK$6,0),MATCH($A17,$EL$2:$EX$2,0),MATCH($E$3,$AE$33:$AE$48,0))*$C17</f>
        <v>0</v>
      </c>
      <c r="Y19" s="150">
        <f>INDEX(($EL$3:$EX$6,$EL$9:$EX$12,$EL$15:$EX$18,$FA$3:$FM$6,$FA$9:$FM$12,$FA$15:$FM$18,$FP$3:$GB$6,$FP$9:$GB$12,$FP$15:$GB$18,$GE$3:$GQ$6,$GE$9:$GQ$12,$GE$15:$GQ$18,$GT$3:$HF$6,$GT$9:$HF$12),MATCH($L$15,$EK$3:$EK$6,0),MATCH($A17,$EL$2:$EX$2,0),MATCH($E$3,$AE$33:$AE$48,0))*$C17</f>
        <v>0</v>
      </c>
      <c r="Z19" s="150">
        <f>INDEX(($EL$3:$EX$6,$EL$9:$EX$12,$EL$15:$EX$18,$FA$3:$FM$6,$FA$9:$FM$12,$FA$15:$FM$18,$FP$3:$GB$6,$FP$9:$GB$12,$FP$15:$GB$18,$GE$3:$GQ$6,$GE$9:$GQ$12,$GE$15:$GQ$18,$GT$3:$HF$6,$GT$9:$HF$12),MATCH($L$16,$EK$3:$EK$6,0),MATCH($A17,$EL$2:$EX$2,0),MATCH($E$3,$AE$33:$AE$48,0))*$C17</f>
        <v>0</v>
      </c>
      <c r="AA19" s="150"/>
      <c r="AB19" s="150"/>
      <c r="AC19" s="150"/>
      <c r="AD19" s="150">
        <f>INDEX($AF$24:$AF$42,MATCH($E$3,$AE$24:$AE$42),1,1)</f>
        <v>2100</v>
      </c>
      <c r="AE19" s="150"/>
      <c r="AF19" s="150"/>
      <c r="AG19" s="150"/>
      <c r="AH19" s="150"/>
      <c r="AI19" s="150"/>
      <c r="AJ19" s="150" t="s">
        <v>152</v>
      </c>
      <c r="AK19" s="150" t="s">
        <v>153</v>
      </c>
      <c r="AL19" s="150"/>
      <c r="AM19" s="150"/>
      <c r="AN19" s="150"/>
      <c r="AO19" s="150"/>
      <c r="AP19" s="150"/>
      <c r="AQ19" s="150"/>
      <c r="AR19" s="150" t="s">
        <v>715</v>
      </c>
      <c r="AS19" s="62" t="s">
        <v>594</v>
      </c>
      <c r="AT19" s="62" t="s">
        <v>596</v>
      </c>
      <c r="AU19" s="150" t="s">
        <v>594</v>
      </c>
      <c r="AV19" s="150" t="s">
        <v>594</v>
      </c>
      <c r="AW19" s="150"/>
      <c r="AX19" s="150"/>
      <c r="AY19" s="150"/>
      <c r="AZ19" s="150"/>
      <c r="BA19" s="150"/>
      <c r="BB19" s="154" t="s">
        <v>715</v>
      </c>
      <c r="BC19" s="154" t="s">
        <v>592</v>
      </c>
      <c r="BD19" s="154" t="s">
        <v>151</v>
      </c>
      <c r="BE19" s="154" t="s">
        <v>151</v>
      </c>
      <c r="BF19" s="154" t="s">
        <v>151</v>
      </c>
      <c r="BG19" s="150"/>
      <c r="BH19" s="150"/>
      <c r="BI19" s="150"/>
      <c r="BJ19" s="150"/>
      <c r="BK19" s="150"/>
      <c r="BL19" s="150"/>
      <c r="BM19" s="150"/>
      <c r="BN19" s="150"/>
      <c r="BO19" s="150"/>
      <c r="BP19" s="150"/>
      <c r="BQ19" s="150"/>
      <c r="BR19" s="150"/>
      <c r="BS19" s="150"/>
      <c r="BT19" s="150"/>
      <c r="BU19" s="150"/>
      <c r="BV19" s="150"/>
      <c r="BW19" s="150"/>
      <c r="BX19" s="150"/>
      <c r="BY19" s="150"/>
      <c r="BZ19" s="150"/>
      <c r="CA19" s="150"/>
      <c r="CB19" s="150"/>
      <c r="CC19" s="150"/>
      <c r="CD19" s="150"/>
      <c r="CE19" s="150"/>
      <c r="CF19" s="150"/>
      <c r="CG19" s="150"/>
      <c r="CH19" s="150"/>
      <c r="CI19" s="150"/>
      <c r="CJ19" s="150"/>
      <c r="CK19" s="150"/>
      <c r="CL19" s="150"/>
      <c r="CM19" s="150"/>
      <c r="CN19" s="150"/>
      <c r="CO19" s="150"/>
      <c r="CP19" s="150"/>
      <c r="CQ19" s="150"/>
      <c r="CR19" s="150"/>
      <c r="CS19" s="150"/>
      <c r="CT19" s="150"/>
      <c r="CU19" s="150"/>
      <c r="CV19" s="150"/>
      <c r="CW19" s="150"/>
      <c r="CX19" s="150"/>
      <c r="CY19" s="150"/>
      <c r="CZ19" s="150"/>
      <c r="DA19" s="150"/>
      <c r="DB19" s="150"/>
      <c r="DC19" s="150"/>
      <c r="DD19" s="150"/>
      <c r="DE19" s="150"/>
      <c r="DF19" s="150"/>
      <c r="DG19" s="150"/>
      <c r="DH19" s="150"/>
      <c r="DI19" s="150"/>
      <c r="DJ19" s="150"/>
      <c r="DK19" s="150"/>
      <c r="DL19" s="150"/>
      <c r="DM19" s="150"/>
      <c r="DN19" s="150"/>
      <c r="DO19" s="150"/>
      <c r="DP19" s="150"/>
      <c r="DQ19" s="181"/>
      <c r="DR19" s="182">
        <v>30</v>
      </c>
      <c r="DS19" s="181">
        <v>5</v>
      </c>
      <c r="DT19" s="150"/>
      <c r="DU19" s="150"/>
      <c r="DV19" s="150"/>
      <c r="DW19" s="150"/>
      <c r="DX19" s="150"/>
      <c r="DY19" s="150"/>
      <c r="DZ19" s="150"/>
      <c r="EA19" s="150"/>
      <c r="EB19" s="150"/>
      <c r="EC19" s="150"/>
      <c r="ED19" s="150"/>
      <c r="EE19" s="150"/>
      <c r="EF19" s="150"/>
      <c r="EG19" s="150"/>
      <c r="EH19" s="150"/>
      <c r="EI19" s="150"/>
      <c r="EJ19" s="155"/>
      <c r="EK19" s="150"/>
      <c r="EL19" s="150"/>
      <c r="EM19" s="150"/>
      <c r="EN19" s="150"/>
      <c r="EO19" s="150"/>
      <c r="EP19" s="150"/>
      <c r="EQ19" s="150"/>
      <c r="ER19" s="150"/>
      <c r="ES19" s="150"/>
      <c r="ET19" s="150"/>
      <c r="EU19" s="150"/>
      <c r="EV19" s="150"/>
      <c r="EW19" s="150"/>
      <c r="EX19" s="150"/>
      <c r="EY19" s="150"/>
      <c r="EZ19" s="150"/>
      <c r="FA19" s="150"/>
      <c r="FB19" s="150"/>
      <c r="FC19" s="150"/>
      <c r="FD19" s="150"/>
      <c r="FE19" s="150"/>
      <c r="FF19" s="150"/>
      <c r="FG19" s="150"/>
      <c r="FH19" s="150"/>
      <c r="FI19" s="150"/>
      <c r="FJ19" s="150"/>
      <c r="FK19" s="150"/>
      <c r="FL19" s="150"/>
      <c r="FM19" s="150"/>
      <c r="FN19" s="150"/>
      <c r="FO19" s="150"/>
      <c r="FP19" s="150"/>
      <c r="FQ19" s="150"/>
      <c r="FR19" s="150"/>
      <c r="FS19" s="150"/>
      <c r="FT19" s="150"/>
      <c r="FU19" s="150"/>
      <c r="FV19" s="150"/>
      <c r="FW19" s="150"/>
      <c r="FX19" s="150"/>
      <c r="FY19" s="150"/>
      <c r="FZ19" s="150"/>
      <c r="GA19" s="150"/>
      <c r="GB19" s="150"/>
      <c r="GC19" s="150"/>
      <c r="GD19" s="150"/>
      <c r="GE19" s="150"/>
      <c r="GF19" s="150"/>
      <c r="GG19" s="150"/>
      <c r="GH19" s="150"/>
      <c r="GI19" s="150"/>
      <c r="GJ19" s="150"/>
      <c r="GK19" s="150"/>
      <c r="GL19" s="150"/>
      <c r="GM19" s="150"/>
      <c r="GN19" s="150"/>
      <c r="GO19" s="150"/>
      <c r="GP19" s="150"/>
      <c r="GQ19" s="150"/>
      <c r="GR19" s="150"/>
      <c r="GS19" s="150"/>
      <c r="GT19" s="150"/>
      <c r="GU19" s="150"/>
      <c r="GV19" s="150"/>
      <c r="GW19" s="150"/>
      <c r="GX19" s="150"/>
      <c r="GY19" s="150"/>
      <c r="GZ19" s="150"/>
      <c r="HA19" s="150"/>
      <c r="HB19" s="150"/>
      <c r="HC19" s="150"/>
      <c r="HD19" s="150"/>
      <c r="HE19" s="150"/>
      <c r="HF19" s="150"/>
      <c r="HG19" s="156"/>
      <c r="HH19" s="150"/>
    </row>
    <row r="20" spans="1:216" x14ac:dyDescent="0.2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6" t="str">
        <f>INDEX(($AJ$3:$AJ$12),MATCH(I3,$AG$3:$AG$12,0),1)</f>
        <v>SAM8X30E</v>
      </c>
      <c r="M20" s="11">
        <f>INDEX(cennik!$C$2:$L$529,MATCH($L20,cennik!$B$2:$B$522,0),MATCH(M$2,cennik!$C$1:$L$1,0))</f>
        <v>898530</v>
      </c>
      <c r="N20" s="11" t="str">
        <f>INDEX(cennik!$C$2:$L$529,MATCH($L20,cennik!$B$2:$B$522,0),MATCH(N$2,cennik!$C$1:$L$1,0))</f>
        <v>szt.</v>
      </c>
      <c r="O20" s="11">
        <f>SUM(O18:O19)</f>
        <v>50</v>
      </c>
      <c r="P20" s="34">
        <f>INDEX(cennik!$C$2:$L$529,MATCH($L20,cennik!$B$2:$B$522,0),MATCH(P$2,cennik!$C$1:$L$1,0))</f>
        <v>0.5</v>
      </c>
      <c r="Q20" s="34">
        <f t="shared" si="40"/>
        <v>25</v>
      </c>
      <c r="R20" s="35">
        <f t="shared" si="3"/>
        <v>0</v>
      </c>
      <c r="S20" s="34">
        <f t="shared" si="42"/>
        <v>0.5</v>
      </c>
      <c r="T20" s="34">
        <f t="shared" si="41"/>
        <v>25</v>
      </c>
      <c r="U20" s="34">
        <f>INDEX(cennik!$C$2:$L$529,MATCH($L20,cennik!$B$2:$B$522,0),MATCH(U$2,cennik!$C$1:$L$1,0))*O20</f>
        <v>2.5</v>
      </c>
      <c r="V20" s="62"/>
      <c r="AC20" s="150">
        <f>IF(AB2&lt;=5,1,IF(AND(AB2&gt;5,AB2&lt;=9),2,IF(AB2&gt;9,3,0)))</f>
        <v>1</v>
      </c>
      <c r="AD20" s="150"/>
      <c r="AE20" s="150"/>
      <c r="AF20" s="150"/>
      <c r="AG20" s="150"/>
      <c r="AH20" s="150"/>
      <c r="AI20" s="150"/>
      <c r="AJ20" s="150">
        <v>52</v>
      </c>
      <c r="AK20" s="150">
        <v>2300</v>
      </c>
      <c r="AL20" s="150"/>
      <c r="AM20" s="150"/>
      <c r="AN20" s="150"/>
      <c r="AO20" s="150"/>
      <c r="AP20" s="150"/>
      <c r="AQ20" s="150"/>
      <c r="AR20" s="150"/>
      <c r="AS20" s="150"/>
      <c r="AT20" s="150"/>
      <c r="AU20" s="150"/>
      <c r="AV20" s="150"/>
      <c r="AW20" s="150"/>
      <c r="AX20" s="150"/>
      <c r="AY20" s="150"/>
      <c r="AZ20" s="150"/>
      <c r="BA20" s="150"/>
      <c r="BB20" s="150"/>
      <c r="BC20" s="150"/>
      <c r="BD20" s="150"/>
      <c r="BE20" s="150"/>
      <c r="BF20" s="150"/>
      <c r="BG20" s="150"/>
      <c r="BH20" s="150"/>
      <c r="BI20" s="150"/>
      <c r="BJ20" s="150"/>
      <c r="BK20" s="150"/>
      <c r="BL20" s="150"/>
      <c r="BM20" s="150"/>
      <c r="BN20" s="150"/>
      <c r="BO20" s="150"/>
      <c r="BP20" s="150"/>
      <c r="BQ20" s="150"/>
      <c r="BR20" s="150"/>
      <c r="BS20" s="150"/>
      <c r="BT20" s="150"/>
      <c r="BU20" s="150"/>
      <c r="BV20" s="150"/>
      <c r="BW20" s="150"/>
      <c r="BX20" s="150"/>
      <c r="BY20" s="150"/>
      <c r="BZ20" s="150"/>
      <c r="CA20" s="150"/>
      <c r="CB20" s="150"/>
      <c r="CC20" s="150"/>
      <c r="CD20" s="150"/>
      <c r="CE20" s="150"/>
      <c r="CF20" s="150"/>
      <c r="CG20" s="150"/>
      <c r="CH20" s="150"/>
      <c r="CI20" s="150"/>
      <c r="CJ20" s="150"/>
      <c r="CK20" s="150"/>
      <c r="CL20" s="150"/>
      <c r="CM20" s="150"/>
      <c r="CN20" s="150"/>
      <c r="CO20" s="150"/>
      <c r="CP20" s="150"/>
      <c r="CQ20" s="150"/>
      <c r="CR20" s="150"/>
      <c r="CS20" s="150"/>
      <c r="CT20" s="150"/>
      <c r="CU20" s="150"/>
      <c r="CV20" s="150"/>
      <c r="CW20" s="150"/>
      <c r="CX20" s="150"/>
      <c r="CY20" s="150"/>
      <c r="CZ20" s="150"/>
      <c r="DA20" s="150"/>
      <c r="DB20" s="150"/>
      <c r="DC20" s="150"/>
      <c r="DD20" s="150"/>
      <c r="DE20" s="150"/>
      <c r="DF20" s="150"/>
      <c r="DG20" s="150"/>
      <c r="DH20" s="150"/>
      <c r="DI20" s="150"/>
      <c r="DJ20" s="150"/>
      <c r="DK20" s="150"/>
      <c r="DL20" s="150"/>
      <c r="DM20" s="150"/>
      <c r="DN20" s="150"/>
      <c r="DO20" s="150"/>
      <c r="DP20" s="150"/>
      <c r="DQ20" s="181"/>
      <c r="DR20" s="182">
        <v>32</v>
      </c>
      <c r="DS20" s="181"/>
      <c r="DT20" s="150"/>
      <c r="DU20" s="150"/>
      <c r="DV20" s="150"/>
      <c r="DW20" s="150"/>
      <c r="DX20" s="150"/>
      <c r="DY20" s="150"/>
      <c r="DZ20" s="150"/>
      <c r="EA20" s="150"/>
      <c r="EB20" s="150"/>
      <c r="EC20" s="150"/>
      <c r="ED20" s="150"/>
      <c r="EE20" s="150"/>
      <c r="EF20" s="150"/>
      <c r="EG20" s="150"/>
      <c r="EH20" s="150"/>
      <c r="EI20" s="150"/>
      <c r="EJ20" s="155"/>
      <c r="EK20" s="150"/>
      <c r="EL20" s="150"/>
      <c r="EM20" s="150"/>
      <c r="EN20" s="150"/>
      <c r="EO20" s="150"/>
      <c r="EP20" s="150"/>
      <c r="EQ20" s="150"/>
      <c r="ER20" s="150"/>
      <c r="ES20" s="150"/>
      <c r="ET20" s="150"/>
      <c r="EU20" s="150"/>
      <c r="EV20" s="150"/>
      <c r="EW20" s="150"/>
      <c r="EX20" s="150"/>
      <c r="EY20" s="150"/>
      <c r="EZ20" s="150"/>
      <c r="FA20" s="150"/>
      <c r="FB20" s="150"/>
      <c r="FC20" s="150"/>
      <c r="FD20" s="150"/>
      <c r="FE20" s="150"/>
      <c r="FF20" s="150"/>
      <c r="FG20" s="150"/>
      <c r="FH20" s="150"/>
      <c r="FI20" s="150"/>
      <c r="FJ20" s="150"/>
      <c r="FK20" s="150"/>
      <c r="FL20" s="150"/>
      <c r="FM20" s="150"/>
      <c r="FN20" s="150"/>
      <c r="FO20" s="150"/>
      <c r="FP20" s="150"/>
      <c r="FQ20" s="150"/>
      <c r="FR20" s="150"/>
      <c r="FS20" s="150"/>
      <c r="FT20" s="150"/>
      <c r="FU20" s="150"/>
      <c r="FV20" s="150"/>
      <c r="FW20" s="150"/>
      <c r="FX20" s="150"/>
      <c r="FY20" s="150"/>
      <c r="FZ20" s="150"/>
      <c r="GA20" s="150"/>
      <c r="GB20" s="150"/>
      <c r="GC20" s="150"/>
      <c r="GD20" s="150"/>
      <c r="GE20" s="150"/>
      <c r="GF20" s="150"/>
      <c r="GG20" s="150"/>
      <c r="GH20" s="150"/>
      <c r="GI20" s="150"/>
      <c r="GJ20" s="150"/>
      <c r="GK20" s="150"/>
      <c r="GL20" s="150"/>
      <c r="GM20" s="150"/>
      <c r="GN20" s="150"/>
      <c r="GO20" s="150"/>
      <c r="GP20" s="150"/>
      <c r="GQ20" s="150"/>
      <c r="GR20" s="150"/>
      <c r="GS20" s="150"/>
      <c r="GT20" s="150"/>
      <c r="GU20" s="150"/>
      <c r="GV20" s="150"/>
      <c r="GW20" s="150"/>
      <c r="GX20" s="150"/>
      <c r="GY20" s="150"/>
      <c r="GZ20" s="150"/>
      <c r="HA20" s="150"/>
      <c r="HB20" s="150"/>
      <c r="HC20" s="150"/>
      <c r="HD20" s="150"/>
      <c r="HE20" s="150"/>
      <c r="HF20" s="150"/>
      <c r="HG20" s="156"/>
      <c r="HH20" s="150"/>
    </row>
    <row r="21" spans="1:216" x14ac:dyDescent="0.2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6" t="s">
        <v>1019</v>
      </c>
      <c r="M21" s="11">
        <f>INDEX(cennik!$C$2:$L$529,MATCH($L21,cennik!$B$2:$B$522,0),MATCH(M$2,cennik!$C$1:$L$1,0))</f>
        <v>166794</v>
      </c>
      <c r="N21" s="11" t="str">
        <f>INDEX(cennik!$C$2:$L$529,MATCH($L21,cennik!$B$2:$B$522,0),MATCH(N$2,cennik!$C$1:$L$1,0))</f>
        <v>100 szt.</v>
      </c>
      <c r="O21" s="11">
        <f>ROUNDUP(O20/100,0)</f>
        <v>1</v>
      </c>
      <c r="P21" s="34">
        <f>INDEX(cennik!$C$2:$L$529,MATCH($L21,cennik!$B$2:$B$522,0),MATCH(P$2,cennik!$C$1:$L$1,0))</f>
        <v>3.95</v>
      </c>
      <c r="Q21" s="34">
        <f t="shared" si="40"/>
        <v>3.95</v>
      </c>
      <c r="R21" s="35">
        <f t="shared" si="3"/>
        <v>0</v>
      </c>
      <c r="S21" s="34">
        <f t="shared" si="42"/>
        <v>3.95</v>
      </c>
      <c r="T21" s="34">
        <f t="shared" si="41"/>
        <v>3.95</v>
      </c>
      <c r="U21" s="34">
        <f>INDEX(cennik!$C$2:$L$529,MATCH($L21,cennik!$B$2:$B$522,0),MATCH(U$2,cennik!$C$1:$L$1,0))*O21</f>
        <v>0</v>
      </c>
      <c r="V21" s="62"/>
      <c r="W21" s="154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10</v>
      </c>
      <c r="AC21" s="150"/>
      <c r="AD21" s="150"/>
      <c r="AE21" s="150"/>
      <c r="AF21" s="150"/>
      <c r="AG21" s="150"/>
      <c r="AH21" s="150"/>
      <c r="AI21" s="150"/>
      <c r="AJ21" s="150">
        <f>((AJ20/4)*AK20)+(((AJ20/4)-1)*20)-700</f>
        <v>29440</v>
      </c>
      <c r="AK21" s="150" t="s">
        <v>158</v>
      </c>
      <c r="AL21" s="150" t="s">
        <v>156</v>
      </c>
      <c r="AM21" s="150" t="s">
        <v>155</v>
      </c>
      <c r="AN21" s="150"/>
      <c r="AO21" s="150" t="s">
        <v>157</v>
      </c>
      <c r="AP21" s="150"/>
      <c r="AQ21" s="150"/>
      <c r="AR21" s="167" t="s">
        <v>433</v>
      </c>
      <c r="AS21" s="150"/>
      <c r="AT21" s="150"/>
      <c r="AU21" s="150"/>
      <c r="AV21" s="150"/>
      <c r="AW21" s="150"/>
      <c r="AX21" s="150"/>
      <c r="AY21" s="150"/>
      <c r="AZ21" s="150"/>
      <c r="BA21" s="150"/>
      <c r="BB21" s="150"/>
      <c r="BC21" s="150"/>
      <c r="BD21" s="150"/>
      <c r="BE21" s="150"/>
      <c r="BF21" s="150"/>
      <c r="BG21" s="150"/>
      <c r="BH21" s="150"/>
      <c r="BI21" s="150"/>
      <c r="BJ21" s="150"/>
      <c r="BK21" s="150"/>
      <c r="BL21" s="150"/>
      <c r="BM21" s="150"/>
      <c r="BN21" s="150"/>
      <c r="BO21" s="150"/>
      <c r="BP21" s="150"/>
      <c r="BQ21" s="150"/>
      <c r="BR21" s="150"/>
      <c r="BS21" s="150"/>
      <c r="BT21" s="150"/>
      <c r="BU21" s="150"/>
      <c r="BV21" s="150"/>
      <c r="BW21" s="150"/>
      <c r="BX21" s="150"/>
      <c r="BY21" s="150"/>
      <c r="BZ21" s="150"/>
      <c r="CA21" s="150"/>
      <c r="CB21" s="150"/>
      <c r="CC21" s="150"/>
      <c r="CD21" s="150"/>
      <c r="CE21" s="150"/>
      <c r="CF21" s="150"/>
      <c r="CG21" s="150"/>
      <c r="CH21" s="150"/>
      <c r="CI21" s="150"/>
      <c r="CJ21" s="150"/>
      <c r="CK21" s="150"/>
      <c r="CL21" s="150"/>
      <c r="CM21" s="150"/>
      <c r="CN21" s="150"/>
      <c r="CO21" s="150"/>
      <c r="CP21" s="150"/>
      <c r="CQ21" s="150"/>
      <c r="CR21" s="150"/>
      <c r="CS21" s="150"/>
      <c r="CT21" s="150"/>
      <c r="CU21" s="150"/>
      <c r="CV21" s="150"/>
      <c r="CW21" s="150"/>
      <c r="CX21" s="150"/>
      <c r="CY21" s="150"/>
      <c r="CZ21" s="150"/>
      <c r="DA21" s="150"/>
      <c r="DB21" s="150"/>
      <c r="DC21" s="150"/>
      <c r="DD21" s="150"/>
      <c r="DE21" s="150"/>
      <c r="DF21" s="150"/>
      <c r="DG21" s="150"/>
      <c r="DH21" s="150"/>
      <c r="DI21" s="150"/>
      <c r="DJ21" s="150"/>
      <c r="DK21" s="150"/>
      <c r="DL21" s="150"/>
      <c r="DM21" s="150"/>
      <c r="DN21" s="150"/>
      <c r="DO21" s="150"/>
      <c r="DP21" s="150"/>
      <c r="DQ21" s="181"/>
      <c r="DR21" s="182">
        <v>35</v>
      </c>
      <c r="DS21" s="181">
        <v>1</v>
      </c>
      <c r="DT21" s="150"/>
      <c r="DU21" s="150"/>
      <c r="DV21" s="150"/>
      <c r="DW21" s="150"/>
      <c r="DX21" s="150"/>
      <c r="DY21" s="150"/>
      <c r="DZ21" s="150"/>
      <c r="EA21" s="150"/>
      <c r="EB21" s="150"/>
      <c r="EC21" s="150"/>
      <c r="ED21" s="150"/>
      <c r="EE21" s="150"/>
      <c r="EF21" s="150"/>
      <c r="EG21" s="150"/>
      <c r="EH21" s="150"/>
      <c r="EI21" s="150"/>
      <c r="EJ21" s="155"/>
      <c r="EK21" s="150"/>
      <c r="EL21" s="150"/>
      <c r="EM21" s="150"/>
      <c r="EN21" s="150"/>
      <c r="EO21" s="150"/>
      <c r="EP21" s="150"/>
      <c r="EQ21" s="150"/>
      <c r="ER21" s="150"/>
      <c r="ES21" s="150"/>
      <c r="ET21" s="150"/>
      <c r="EU21" s="150"/>
      <c r="EV21" s="150"/>
      <c r="EW21" s="150"/>
      <c r="EX21" s="150"/>
      <c r="EY21" s="150"/>
      <c r="EZ21" s="150"/>
      <c r="FA21" s="150"/>
      <c r="FB21" s="150"/>
      <c r="FC21" s="150"/>
      <c r="FD21" s="150"/>
      <c r="FE21" s="150"/>
      <c r="FF21" s="150"/>
      <c r="FG21" s="150"/>
      <c r="FH21" s="150"/>
      <c r="FI21" s="150"/>
      <c r="FJ21" s="150"/>
      <c r="FK21" s="150"/>
      <c r="FL21" s="150"/>
      <c r="FM21" s="150"/>
      <c r="FN21" s="150"/>
      <c r="FO21" s="150"/>
      <c r="FP21" s="150"/>
      <c r="FQ21" s="150"/>
      <c r="FR21" s="150"/>
      <c r="FS21" s="150"/>
      <c r="FT21" s="150"/>
      <c r="FU21" s="150"/>
      <c r="FV21" s="150"/>
      <c r="FW21" s="150"/>
      <c r="FX21" s="150"/>
      <c r="FY21" s="150"/>
      <c r="FZ21" s="150"/>
      <c r="GA21" s="150"/>
      <c r="GB21" s="150"/>
      <c r="GC21" s="150"/>
      <c r="GD21" s="150"/>
      <c r="GE21" s="150"/>
      <c r="GF21" s="150"/>
      <c r="GG21" s="150"/>
      <c r="GH21" s="150"/>
      <c r="GI21" s="150"/>
      <c r="GJ21" s="150"/>
      <c r="GK21" s="150"/>
      <c r="GL21" s="150"/>
      <c r="GM21" s="150"/>
      <c r="GN21" s="150"/>
      <c r="GO21" s="150"/>
      <c r="GP21" s="150"/>
      <c r="GQ21" s="150"/>
      <c r="GR21" s="150"/>
      <c r="GS21" s="150"/>
      <c r="GT21" s="150"/>
      <c r="GU21" s="150"/>
      <c r="GV21" s="150"/>
      <c r="GW21" s="150"/>
      <c r="GX21" s="150"/>
      <c r="GY21" s="150"/>
      <c r="GZ21" s="150"/>
      <c r="HA21" s="150"/>
      <c r="HB21" s="150"/>
      <c r="HC21" s="150"/>
      <c r="HD21" s="150"/>
      <c r="HE21" s="150"/>
      <c r="HF21" s="150"/>
      <c r="HG21" s="156"/>
      <c r="HH21" s="150"/>
    </row>
    <row r="22" spans="1:216" ht="15.75" thickBo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6" t="s">
        <v>525</v>
      </c>
      <c r="M22" s="11">
        <f>INDEX(cennik!$C$2:$L$529,MATCH($L22,cennik!$B$2:$B$522,0),MATCH(M$2,cennik!$C$1:$L$1,0))</f>
        <v>660245</v>
      </c>
      <c r="N22" s="11" t="str">
        <f>INDEX(cennik!$C$2:$L$529,MATCH($L22,cennik!$B$2:$B$522,0),MATCH(N$2,cennik!$C$1:$L$1,0))</f>
        <v>szt.</v>
      </c>
      <c r="O22" s="11">
        <f>SUM(O18:O19)</f>
        <v>50</v>
      </c>
      <c r="P22" s="34">
        <f>INDEX(cennik!$C$2:$L$529,MATCH($L22,cennik!$B$2:$B$522,0),MATCH(P$2,cennik!$C$1:$L$1,0))</f>
        <v>1.56</v>
      </c>
      <c r="Q22" s="34">
        <f t="shared" si="40"/>
        <v>78</v>
      </c>
      <c r="R22" s="35">
        <f t="shared" si="3"/>
        <v>0</v>
      </c>
      <c r="S22" s="34">
        <f t="shared" si="42"/>
        <v>1.56</v>
      </c>
      <c r="T22" s="34">
        <f t="shared" si="41"/>
        <v>78</v>
      </c>
      <c r="U22" s="34">
        <f>INDEX(cennik!$C$2:$L$529,MATCH($L22,cennik!$B$2:$B$522,0),MATCH(U$2,cennik!$C$1:$L$1,0))*O22</f>
        <v>0</v>
      </c>
      <c r="V22" s="62"/>
      <c r="AC22" s="150"/>
      <c r="AD22" s="150"/>
      <c r="AE22" s="150"/>
      <c r="AF22" s="150"/>
      <c r="AG22" s="150"/>
      <c r="AH22" s="150"/>
      <c r="AI22" s="150" t="s">
        <v>217</v>
      </c>
      <c r="AJ22" s="150">
        <v>6600</v>
      </c>
      <c r="AK22" s="150">
        <v>4</v>
      </c>
      <c r="AL22" s="150">
        <f>AJ22*AK22</f>
        <v>26400</v>
      </c>
      <c r="AM22" s="150">
        <v>191.1</v>
      </c>
      <c r="AN22" s="150">
        <f>AK22*AM22</f>
        <v>764.4</v>
      </c>
      <c r="AO22" s="150">
        <f>AK22*5</f>
        <v>20</v>
      </c>
      <c r="AP22" s="150"/>
      <c r="AQ22" s="150"/>
      <c r="AR22" s="150" t="s">
        <v>717</v>
      </c>
      <c r="AS22" s="150" t="s">
        <v>1157</v>
      </c>
      <c r="AT22" s="150">
        <v>2</v>
      </c>
      <c r="AU22" s="150" t="s">
        <v>1022</v>
      </c>
      <c r="AV22" s="150">
        <v>4</v>
      </c>
      <c r="AW22" s="150">
        <v>5</v>
      </c>
      <c r="AX22" s="150"/>
      <c r="AY22" s="150"/>
      <c r="AZ22" s="150"/>
      <c r="BA22" s="150"/>
      <c r="BB22" s="150"/>
      <c r="BC22" s="150"/>
      <c r="BD22" s="150"/>
      <c r="BE22" s="150"/>
      <c r="BF22" s="150"/>
      <c r="BG22" s="150"/>
      <c r="BH22" s="150"/>
      <c r="BI22" s="150"/>
      <c r="BJ22" s="150"/>
      <c r="BK22" s="150"/>
      <c r="BL22" s="150"/>
      <c r="BM22" s="150"/>
      <c r="BN22" s="150"/>
      <c r="BO22" s="150"/>
      <c r="BP22" s="150"/>
      <c r="BQ22" s="150"/>
      <c r="BR22" s="150"/>
      <c r="BS22" s="150"/>
      <c r="BT22" s="150"/>
      <c r="BU22" s="150"/>
      <c r="BV22" s="150"/>
      <c r="BW22" s="150"/>
      <c r="BX22" s="150"/>
      <c r="BY22" s="150"/>
      <c r="BZ22" s="150"/>
      <c r="CA22" s="150"/>
      <c r="CB22" s="150"/>
      <c r="CC22" s="150"/>
      <c r="CD22" s="150"/>
      <c r="CE22" s="150"/>
      <c r="CF22" s="150"/>
      <c r="CG22" s="150"/>
      <c r="CH22" s="150"/>
      <c r="CI22" s="150"/>
      <c r="CJ22" s="150"/>
      <c r="CK22" s="150"/>
      <c r="CL22" s="150"/>
      <c r="CM22" s="150"/>
      <c r="CN22" s="150"/>
      <c r="CO22" s="150"/>
      <c r="CP22" s="150"/>
      <c r="CQ22" s="150"/>
      <c r="CR22" s="150"/>
      <c r="CS22" s="150"/>
      <c r="CT22" s="150"/>
      <c r="CU22" s="150"/>
      <c r="CV22" s="150"/>
      <c r="CW22" s="150"/>
      <c r="CX22" s="150"/>
      <c r="CY22" s="150"/>
      <c r="CZ22" s="150"/>
      <c r="DA22" s="150"/>
      <c r="DB22" s="150"/>
      <c r="DC22" s="150"/>
      <c r="DD22" s="150"/>
      <c r="DE22" s="150"/>
      <c r="DF22" s="150"/>
      <c r="DG22" s="150"/>
      <c r="DH22" s="150"/>
      <c r="DI22" s="150"/>
      <c r="DJ22" s="150"/>
      <c r="DK22" s="150"/>
      <c r="DL22" s="150"/>
      <c r="DM22" s="150"/>
      <c r="DN22" s="150"/>
      <c r="DO22" s="150"/>
      <c r="DP22" s="150"/>
      <c r="DQ22" s="181"/>
      <c r="DR22" s="182">
        <v>38</v>
      </c>
      <c r="DS22" s="181">
        <v>2</v>
      </c>
      <c r="DT22" s="150"/>
      <c r="DU22" s="150"/>
      <c r="DV22" s="150"/>
      <c r="DW22" s="150"/>
      <c r="DX22" s="150"/>
      <c r="DY22" s="150"/>
      <c r="DZ22" s="150"/>
      <c r="EA22" s="150"/>
      <c r="EB22" s="150"/>
      <c r="EC22" s="150"/>
      <c r="ED22" s="150"/>
      <c r="EE22" s="150"/>
      <c r="EF22" s="150"/>
      <c r="EG22" s="150"/>
      <c r="EH22" s="150"/>
      <c r="EI22" s="150"/>
      <c r="EJ22" s="159"/>
      <c r="EK22" s="160"/>
      <c r="EL22" s="160"/>
      <c r="EM22" s="160"/>
      <c r="EN22" s="160"/>
      <c r="EO22" s="160"/>
      <c r="EP22" s="160"/>
      <c r="EQ22" s="160"/>
      <c r="ER22" s="160"/>
      <c r="ES22" s="160"/>
      <c r="ET22" s="160"/>
      <c r="EU22" s="160"/>
      <c r="EV22" s="160"/>
      <c r="EW22" s="160"/>
      <c r="EX22" s="160"/>
      <c r="EY22" s="160"/>
      <c r="EZ22" s="160"/>
      <c r="FA22" s="160"/>
      <c r="FB22" s="160"/>
      <c r="FC22" s="160"/>
      <c r="FD22" s="160"/>
      <c r="FE22" s="160"/>
      <c r="FF22" s="160"/>
      <c r="FG22" s="160"/>
      <c r="FH22" s="160"/>
      <c r="FI22" s="160"/>
      <c r="FJ22" s="160"/>
      <c r="FK22" s="160"/>
      <c r="FL22" s="160"/>
      <c r="FM22" s="160"/>
      <c r="FN22" s="160"/>
      <c r="FO22" s="160"/>
      <c r="FP22" s="160"/>
      <c r="FQ22" s="160"/>
      <c r="FR22" s="160"/>
      <c r="FS22" s="160"/>
      <c r="FT22" s="160"/>
      <c r="FU22" s="160"/>
      <c r="FV22" s="160"/>
      <c r="FW22" s="160"/>
      <c r="FX22" s="160"/>
      <c r="FY22" s="160"/>
      <c r="FZ22" s="160"/>
      <c r="GA22" s="160"/>
      <c r="GB22" s="160"/>
      <c r="GC22" s="160"/>
      <c r="GD22" s="160"/>
      <c r="GE22" s="160"/>
      <c r="GF22" s="160"/>
      <c r="GG22" s="160"/>
      <c r="GH22" s="160"/>
      <c r="GI22" s="160"/>
      <c r="GJ22" s="160"/>
      <c r="GK22" s="160"/>
      <c r="GL22" s="160"/>
      <c r="GM22" s="160"/>
      <c r="GN22" s="160"/>
      <c r="GO22" s="160"/>
      <c r="GP22" s="160"/>
      <c r="GQ22" s="160"/>
      <c r="GR22" s="160"/>
      <c r="GS22" s="160"/>
      <c r="GT22" s="160"/>
      <c r="GU22" s="160"/>
      <c r="GV22" s="160"/>
      <c r="GW22" s="160"/>
      <c r="GX22" s="160"/>
      <c r="GY22" s="160"/>
      <c r="GZ22" s="160"/>
      <c r="HA22" s="160"/>
      <c r="HB22" s="160"/>
      <c r="HC22" s="160"/>
      <c r="HD22" s="160"/>
      <c r="HE22" s="160"/>
      <c r="HF22" s="160"/>
      <c r="HG22" s="161"/>
      <c r="HH22" s="150"/>
    </row>
    <row r="23" spans="1:216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6" t="s">
        <v>799</v>
      </c>
      <c r="M23" s="11">
        <f>INDEX(cennik!$C$2:$L$529,MATCH($L23,cennik!$B$2:$B$522,0),MATCH(M$2,cennik!$C$1:$L$1,0))</f>
        <v>6510443</v>
      </c>
      <c r="N23" s="11" t="str">
        <f>INDEX(cennik!$C$2:$L$529,MATCH($L23,cennik!$B$2:$B$522,0),MATCH(N$2,cennik!$C$1:$L$1,0))</f>
        <v>100 szt.</v>
      </c>
      <c r="O23" s="11">
        <f>O24</f>
        <v>2</v>
      </c>
      <c r="P23" s="34">
        <f>INDEX(cennik!$C$2:$L$529,MATCH($L23,cennik!$B$2:$B$522,0),MATCH(P$2,cennik!$C$1:$L$1,0))</f>
        <v>43.51</v>
      </c>
      <c r="Q23" s="34">
        <f t="shared" ref="Q23" si="55">O23*P23</f>
        <v>87.02</v>
      </c>
      <c r="R23" s="35">
        <f t="shared" si="3"/>
        <v>0</v>
      </c>
      <c r="S23" s="34">
        <f t="shared" ref="S23" si="56">P23*((100-$E$7)/100)</f>
        <v>43.51</v>
      </c>
      <c r="T23" s="34">
        <f t="shared" ref="T23" si="57">O23*S23</f>
        <v>87.02</v>
      </c>
      <c r="U23" s="34">
        <f>INDEX(cennik!$C$2:$L$529,MATCH($L23,cennik!$B$2:$B$522,0),MATCH(U$2,cennik!$C$1:$L$1,0))*O23</f>
        <v>0</v>
      </c>
      <c r="V23" s="62"/>
      <c r="AC23" s="150"/>
      <c r="AD23" s="150"/>
      <c r="AE23" s="150"/>
      <c r="AF23" s="150"/>
      <c r="AG23" s="150"/>
      <c r="AH23" s="150"/>
      <c r="AI23" s="150" t="s">
        <v>216</v>
      </c>
      <c r="AJ23" s="150">
        <v>4400</v>
      </c>
      <c r="AK23" s="150">
        <v>0</v>
      </c>
      <c r="AL23" s="150">
        <f>AJ23*AK23</f>
        <v>0</v>
      </c>
      <c r="AM23" s="150">
        <v>127.4</v>
      </c>
      <c r="AN23" s="150">
        <f>AK23*AM23</f>
        <v>0</v>
      </c>
      <c r="AO23" s="150">
        <f>AK23*5</f>
        <v>0</v>
      </c>
      <c r="AP23" s="150"/>
      <c r="AQ23" s="150"/>
      <c r="AR23" s="150">
        <v>1</v>
      </c>
      <c r="AS23" s="150">
        <v>2900</v>
      </c>
      <c r="AT23" s="150">
        <v>2900</v>
      </c>
      <c r="AU23" s="150">
        <v>2700</v>
      </c>
      <c r="AV23" s="150">
        <v>2700</v>
      </c>
      <c r="AW23" s="150" t="s">
        <v>719</v>
      </c>
      <c r="AX23" s="150"/>
      <c r="AY23" s="150"/>
      <c r="AZ23" s="150"/>
      <c r="BA23" s="150"/>
      <c r="BB23" s="150"/>
      <c r="BC23" s="150"/>
      <c r="BD23" s="150"/>
      <c r="BE23" s="150"/>
      <c r="BF23" s="150"/>
      <c r="BG23" s="150"/>
      <c r="BH23" s="150"/>
      <c r="BI23" s="150"/>
      <c r="BJ23" s="150"/>
      <c r="BK23" s="150"/>
      <c r="BL23" s="150"/>
      <c r="BM23" s="150"/>
      <c r="BN23" s="150"/>
      <c r="BO23" s="150"/>
      <c r="BP23" s="150"/>
      <c r="BQ23" s="150"/>
      <c r="BR23" s="150"/>
      <c r="BS23" s="150"/>
      <c r="BT23" s="150"/>
      <c r="BU23" s="150"/>
      <c r="BV23" s="150"/>
      <c r="BW23" s="150"/>
      <c r="BX23" s="150"/>
      <c r="BY23" s="150"/>
      <c r="BZ23" s="150"/>
      <c r="CA23" s="150"/>
      <c r="CB23" s="150"/>
      <c r="CC23" s="150"/>
      <c r="CD23" s="150"/>
      <c r="CE23" s="150"/>
      <c r="CF23" s="150"/>
      <c r="CG23" s="150"/>
      <c r="CH23" s="150"/>
      <c r="CI23" s="150"/>
      <c r="CJ23" s="150"/>
      <c r="CK23" s="150"/>
      <c r="CL23" s="150"/>
      <c r="CM23" s="150"/>
      <c r="CN23" s="150"/>
      <c r="CO23" s="150"/>
      <c r="CP23" s="150"/>
      <c r="CQ23" s="150"/>
      <c r="CR23" s="150"/>
      <c r="CS23" s="150"/>
      <c r="CT23" s="150"/>
      <c r="CU23" s="150"/>
      <c r="CV23" s="150"/>
      <c r="CW23" s="150"/>
      <c r="CX23" s="150"/>
      <c r="CY23" s="150"/>
      <c r="CZ23" s="150"/>
      <c r="DA23" s="150"/>
      <c r="DB23" s="150"/>
      <c r="DC23" s="150"/>
      <c r="DD23" s="150"/>
      <c r="DE23" s="150"/>
      <c r="DF23" s="150"/>
      <c r="DG23" s="150"/>
      <c r="DH23" s="150"/>
      <c r="DI23" s="150"/>
      <c r="DJ23" s="150"/>
      <c r="DK23" s="150"/>
      <c r="DL23" s="150"/>
      <c r="DM23" s="150"/>
      <c r="DN23" s="150"/>
      <c r="DO23" s="150"/>
      <c r="DP23" s="150"/>
      <c r="DQ23" s="181"/>
      <c r="DR23" s="182">
        <v>40</v>
      </c>
      <c r="DS23" s="181" t="s">
        <v>725</v>
      </c>
      <c r="DT23" s="150"/>
      <c r="DU23" s="150"/>
      <c r="DV23" s="150"/>
      <c r="DW23" s="150"/>
      <c r="DX23" s="150"/>
      <c r="DY23" s="150"/>
      <c r="DZ23" s="150"/>
      <c r="EA23" s="150"/>
      <c r="EB23" s="150"/>
      <c r="EC23" s="150"/>
      <c r="ED23" s="150"/>
      <c r="EE23" s="150"/>
      <c r="EF23" s="150"/>
      <c r="EG23" s="150"/>
      <c r="EH23" s="150"/>
      <c r="EI23" s="150"/>
      <c r="EJ23" s="150"/>
      <c r="EK23" s="150"/>
      <c r="EL23" s="150"/>
      <c r="EM23" s="150"/>
      <c r="EN23" s="150"/>
      <c r="EO23" s="150"/>
      <c r="EP23" s="150"/>
      <c r="EQ23" s="150"/>
      <c r="ER23" s="150"/>
      <c r="ES23" s="150"/>
      <c r="ET23" s="150"/>
      <c r="EU23" s="150"/>
      <c r="EV23" s="150"/>
      <c r="EW23" s="150"/>
      <c r="EX23" s="150"/>
      <c r="EY23" s="150"/>
      <c r="EZ23" s="150"/>
      <c r="FA23" s="150"/>
      <c r="FB23" s="150"/>
      <c r="FC23" s="150"/>
      <c r="FD23" s="150"/>
      <c r="FE23" s="150"/>
      <c r="FF23" s="150"/>
      <c r="FG23" s="150"/>
      <c r="FH23" s="150"/>
      <c r="FI23" s="150"/>
      <c r="FJ23" s="150"/>
      <c r="FK23" s="150"/>
      <c r="FL23" s="150"/>
      <c r="FM23" s="150"/>
      <c r="FN23" s="150"/>
      <c r="FO23" s="150"/>
      <c r="FP23" s="150"/>
      <c r="FQ23" s="150"/>
      <c r="FR23" s="150"/>
      <c r="FS23" s="150"/>
      <c r="FT23" s="150"/>
      <c r="FU23" s="150"/>
      <c r="FV23" s="150"/>
      <c r="FW23" s="150"/>
      <c r="FX23" s="150"/>
      <c r="FY23" s="150"/>
      <c r="FZ23" s="150"/>
      <c r="GA23" s="150"/>
      <c r="GB23" s="150"/>
      <c r="GC23" s="150"/>
      <c r="GD23" s="150"/>
      <c r="GE23" s="150"/>
      <c r="GF23" s="150"/>
      <c r="GG23" s="150"/>
      <c r="GH23" s="150"/>
      <c r="GI23" s="150"/>
      <c r="GJ23" s="150"/>
      <c r="GK23" s="150"/>
      <c r="GL23" s="150"/>
      <c r="GM23" s="150"/>
      <c r="GN23" s="150"/>
      <c r="GO23" s="150"/>
      <c r="GP23" s="150"/>
      <c r="GQ23" s="150"/>
      <c r="GR23" s="150"/>
      <c r="GS23" s="150"/>
      <c r="GT23" s="150"/>
      <c r="GU23" s="150"/>
      <c r="GV23" s="150"/>
      <c r="GW23" s="150"/>
      <c r="GX23" s="150"/>
      <c r="GY23" s="150"/>
      <c r="GZ23" s="150"/>
      <c r="HA23" s="150"/>
      <c r="HB23" s="150"/>
      <c r="HC23" s="150"/>
      <c r="HD23" s="150"/>
      <c r="HE23" s="150"/>
      <c r="HF23" s="150"/>
      <c r="HG23" s="150"/>
      <c r="HH23" s="150"/>
    </row>
    <row r="24" spans="1:216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6" t="s">
        <v>350</v>
      </c>
      <c r="M24" s="11">
        <f>INDEX(cennik!$C$2:$L$529,MATCH($L24,cennik!$B$2:$B$522,0),MATCH(M$2,cennik!$C$1:$L$1,0))</f>
        <v>651643</v>
      </c>
      <c r="N24" s="11" t="str">
        <f>INDEX(cennik!$C$2:$L$529,MATCH($L24,cennik!$B$2:$B$522,0),MATCH(N$2,cennik!$C$1:$L$1,0))</f>
        <v>100 szt.</v>
      </c>
      <c r="O24" s="11">
        <f>ROUNDUP(((O5*12)+(O12*2)+(O30*2)+(O17*4)+(O4*9)+(O26*2)+E8+(O11*3)+(O8*12)+(O31*2))/100,0)</f>
        <v>2</v>
      </c>
      <c r="P24" s="34">
        <f>INDEX(cennik!$C$2:$L$529,MATCH($L24,cennik!$B$2:$B$522,0),MATCH(P$2,cennik!$C$1:$L$1,0))</f>
        <v>144.19</v>
      </c>
      <c r="Q24" s="34">
        <f>O24*P24</f>
        <v>288.38</v>
      </c>
      <c r="R24" s="35">
        <f t="shared" si="3"/>
        <v>0</v>
      </c>
      <c r="S24" s="34">
        <f>P24*((100-$E$7)/100)</f>
        <v>144.19</v>
      </c>
      <c r="T24" s="34">
        <f>O24*S24</f>
        <v>288.38</v>
      </c>
      <c r="U24" s="34">
        <f>INDEX(cennik!$C$2:$L$529,MATCH($L24,cennik!$B$2:$B$522,0),MATCH(U$2,cennik!$C$1:$L$1,0))*O24</f>
        <v>6.6</v>
      </c>
      <c r="V24" s="62"/>
      <c r="AC24" s="150"/>
      <c r="AD24" s="150"/>
      <c r="AE24" s="170" t="s">
        <v>114</v>
      </c>
      <c r="AF24" s="150">
        <v>1000</v>
      </c>
      <c r="AG24" s="62"/>
      <c r="AH24" s="150"/>
      <c r="AI24" s="150" t="s">
        <v>17</v>
      </c>
      <c r="AJ24" s="150">
        <v>3300</v>
      </c>
      <c r="AK24" s="150">
        <v>1</v>
      </c>
      <c r="AL24" s="150">
        <f>AJ24*AK24</f>
        <v>3300</v>
      </c>
      <c r="AM24" s="150">
        <v>95.55</v>
      </c>
      <c r="AN24" s="150">
        <f>AK24*AM24</f>
        <v>95.55</v>
      </c>
      <c r="AO24" s="150">
        <f>AK24*5</f>
        <v>5</v>
      </c>
      <c r="AP24" s="150"/>
      <c r="AQ24" s="150"/>
      <c r="AR24" s="150">
        <v>2</v>
      </c>
      <c r="AS24" s="150" t="s">
        <v>719</v>
      </c>
      <c r="AT24" s="150">
        <v>2000</v>
      </c>
      <c r="AU24" s="150">
        <v>2000</v>
      </c>
      <c r="AV24" s="150" t="s">
        <v>719</v>
      </c>
      <c r="AW24" s="150" t="s">
        <v>719</v>
      </c>
      <c r="AX24" s="150"/>
      <c r="AY24" s="150"/>
      <c r="AZ24" s="150"/>
      <c r="BA24" s="150"/>
      <c r="BB24" s="150"/>
      <c r="BC24" s="150"/>
      <c r="BD24" s="150"/>
      <c r="BE24" s="150"/>
      <c r="BF24" s="150"/>
      <c r="BG24" s="150"/>
      <c r="BH24" s="150"/>
      <c r="BI24" s="150"/>
      <c r="BJ24" s="150"/>
      <c r="BK24" s="150"/>
      <c r="BL24" s="150"/>
      <c r="BM24" s="150"/>
      <c r="BN24" s="150"/>
      <c r="BO24" s="150"/>
      <c r="BP24" s="150"/>
      <c r="BQ24" s="150"/>
      <c r="BR24" s="150"/>
      <c r="BS24" s="150"/>
      <c r="BT24" s="150"/>
      <c r="BU24" s="150"/>
      <c r="BV24" s="150"/>
      <c r="BW24" s="150"/>
      <c r="BX24" s="150"/>
      <c r="BY24" s="150"/>
      <c r="BZ24" s="150"/>
      <c r="CA24" s="150"/>
      <c r="CB24" s="150"/>
      <c r="CC24" s="150"/>
      <c r="CD24" s="150"/>
      <c r="CE24" s="150"/>
      <c r="CF24" s="150"/>
      <c r="CG24" s="150"/>
      <c r="CH24" s="150"/>
      <c r="CI24" s="150"/>
      <c r="CJ24" s="150"/>
      <c r="CK24" s="150"/>
      <c r="CL24" s="150"/>
      <c r="CM24" s="150"/>
      <c r="CN24" s="150"/>
      <c r="CO24" s="150"/>
      <c r="CP24" s="150"/>
      <c r="CQ24" s="150"/>
      <c r="CR24" s="150"/>
      <c r="CS24" s="150"/>
      <c r="CT24" s="150"/>
      <c r="CU24" s="150"/>
      <c r="CV24" s="150"/>
      <c r="CW24" s="150"/>
      <c r="CX24" s="150"/>
      <c r="CY24" s="150"/>
      <c r="CZ24" s="150"/>
      <c r="DA24" s="150"/>
      <c r="DB24" s="150"/>
      <c r="DC24" s="150"/>
      <c r="DD24" s="150"/>
      <c r="DE24" s="150"/>
      <c r="DF24" s="150"/>
      <c r="DG24" s="150"/>
      <c r="DH24" s="150"/>
      <c r="DI24" s="150"/>
      <c r="DJ24" s="150"/>
      <c r="DK24" s="150"/>
      <c r="DL24" s="150"/>
      <c r="DM24" s="150"/>
      <c r="DN24" s="150"/>
      <c r="DO24" s="150"/>
      <c r="DP24" s="150"/>
      <c r="DQ24" s="181"/>
      <c r="DR24" s="182">
        <v>42</v>
      </c>
      <c r="DS24" s="181"/>
      <c r="DT24" s="150"/>
      <c r="DU24" s="150"/>
      <c r="DV24" s="150"/>
      <c r="DW24" s="150"/>
      <c r="DX24" s="150"/>
      <c r="DY24" s="150"/>
      <c r="DZ24" s="150"/>
      <c r="EA24" s="150"/>
      <c r="EB24" s="150"/>
      <c r="EC24" s="150"/>
      <c r="ED24" s="150"/>
      <c r="EE24" s="150"/>
      <c r="EF24" s="150"/>
      <c r="EG24" s="150"/>
      <c r="EH24" s="150"/>
      <c r="EI24" s="150"/>
      <c r="EJ24" s="150"/>
      <c r="EK24" s="150"/>
      <c r="EL24" s="150"/>
      <c r="EM24" s="150"/>
      <c r="EN24" s="150"/>
      <c r="EO24" s="150"/>
      <c r="EP24" s="150"/>
      <c r="EQ24" s="150"/>
      <c r="ER24" s="150"/>
      <c r="ES24" s="150"/>
      <c r="ET24" s="150"/>
      <c r="EU24" s="150"/>
      <c r="EV24" s="150"/>
      <c r="EW24" s="150"/>
      <c r="EX24" s="150"/>
      <c r="EY24" s="150"/>
      <c r="EZ24" s="150"/>
      <c r="FA24" s="150"/>
      <c r="FB24" s="150"/>
      <c r="FC24" s="150"/>
      <c r="FD24" s="150"/>
      <c r="FE24" s="150"/>
      <c r="FF24" s="150"/>
      <c r="FG24" s="150"/>
      <c r="FH24" s="150"/>
      <c r="FI24" s="150"/>
      <c r="FJ24" s="150"/>
      <c r="FK24" s="150"/>
      <c r="FL24" s="150"/>
      <c r="FM24" s="150"/>
      <c r="FN24" s="150"/>
      <c r="FO24" s="150"/>
      <c r="FP24" s="150"/>
      <c r="FQ24" s="150"/>
      <c r="FR24" s="150"/>
      <c r="FS24" s="150"/>
      <c r="FT24" s="150"/>
      <c r="FU24" s="150"/>
      <c r="FV24" s="150"/>
      <c r="FW24" s="150"/>
      <c r="FX24" s="150"/>
      <c r="FY24" s="150"/>
      <c r="FZ24" s="150"/>
      <c r="GA24" s="150"/>
      <c r="GB24" s="150"/>
      <c r="GC24" s="150"/>
      <c r="GD24" s="150"/>
      <c r="GE24" s="150"/>
      <c r="GF24" s="150"/>
      <c r="GG24" s="150"/>
      <c r="GH24" s="150"/>
      <c r="GI24" s="150"/>
      <c r="GJ24" s="150"/>
      <c r="GK24" s="150"/>
      <c r="GL24" s="150"/>
      <c r="GM24" s="150"/>
      <c r="GN24" s="150"/>
      <c r="GO24" s="150"/>
      <c r="GP24" s="150"/>
      <c r="GQ24" s="150"/>
      <c r="GR24" s="150"/>
      <c r="GS24" s="150"/>
      <c r="GT24" s="150"/>
      <c r="GU24" s="150"/>
      <c r="GV24" s="150"/>
      <c r="GW24" s="150"/>
      <c r="GX24" s="150"/>
      <c r="GY24" s="150"/>
      <c r="GZ24" s="150"/>
      <c r="HA24" s="150"/>
      <c r="HB24" s="150"/>
      <c r="HC24" s="150"/>
      <c r="HD24" s="150"/>
      <c r="HE24" s="150"/>
      <c r="HF24" s="150"/>
      <c r="HG24" s="150"/>
      <c r="HH24" s="150"/>
    </row>
    <row r="25" spans="1:216" x14ac:dyDescent="0.2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6" t="s">
        <v>128</v>
      </c>
      <c r="M25" s="11">
        <f>INDEX(cennik!$C$2:$L$529,MATCH($L25,cennik!$B$2:$B$522,0),MATCH(M$2,cennik!$C$1:$L$1,0))</f>
        <v>897303</v>
      </c>
      <c r="N25" s="11" t="str">
        <f>INDEX(cennik!$C$2:$L$529,MATCH($L25,cennik!$B$2:$B$522,0),MATCH(N$2,cennik!$C$1:$L$1,0))</f>
        <v>szt.</v>
      </c>
      <c r="O25" s="11">
        <f>0.2*SUM(O18:O19)</f>
        <v>10</v>
      </c>
      <c r="P25" s="34">
        <f>INDEX(cennik!$C$2:$L$529,MATCH($L25,cennik!$B$2:$B$522,0),MATCH(P$2,cennik!$C$1:$L$1,0))</f>
        <v>2.4</v>
      </c>
      <c r="Q25" s="34">
        <f>O25*P25</f>
        <v>24</v>
      </c>
      <c r="R25" s="35">
        <f t="shared" si="3"/>
        <v>0</v>
      </c>
      <c r="S25" s="34">
        <f>P25*((100-$E$7)/100)</f>
        <v>2.4</v>
      </c>
      <c r="T25" s="34">
        <f>O25*S25</f>
        <v>24</v>
      </c>
      <c r="U25" s="34">
        <f>INDEX(cennik!$C$2:$L$529,MATCH($L25,cennik!$B$2:$B$522,0),MATCH(U$2,cennik!$C$1:$L$1,0))*O25</f>
        <v>0.16</v>
      </c>
      <c r="V25" s="62"/>
      <c r="AC25" s="150"/>
      <c r="AD25" s="150"/>
      <c r="AE25" s="170" t="s">
        <v>115</v>
      </c>
      <c r="AF25" s="150">
        <v>1050</v>
      </c>
      <c r="AG25" s="150"/>
      <c r="AH25" s="150"/>
      <c r="AI25" s="150"/>
      <c r="AJ25" s="150" t="s">
        <v>317</v>
      </c>
      <c r="AK25" s="150">
        <f>IF(SUM(AK22:AK24)=0,0,IF(SUM(AK22:AK24)=1,0,IF(SUM(AK22:AK24)&gt;1,(SUM(AK22:AK24)-1),0)))</f>
        <v>4</v>
      </c>
      <c r="AL25" s="150"/>
      <c r="AM25" s="150">
        <v>7.1</v>
      </c>
      <c r="AN25" s="150">
        <f>AK25*AM25</f>
        <v>28.4</v>
      </c>
      <c r="AO25" s="150">
        <f>AK25*5</f>
        <v>20</v>
      </c>
      <c r="AP25" s="150"/>
      <c r="AQ25" s="150"/>
      <c r="AR25" s="150" t="s">
        <v>725</v>
      </c>
      <c r="AS25" s="150">
        <v>2700</v>
      </c>
      <c r="AT25" s="150" t="s">
        <v>719</v>
      </c>
      <c r="AU25" s="150">
        <v>2000</v>
      </c>
      <c r="AV25" s="150" t="s">
        <v>719</v>
      </c>
      <c r="AW25" s="150">
        <v>1000</v>
      </c>
      <c r="AX25" s="150"/>
      <c r="AY25" s="150"/>
      <c r="AZ25" s="150"/>
      <c r="BA25" s="150"/>
      <c r="BB25" s="150"/>
      <c r="BC25" s="150"/>
      <c r="BD25" s="150"/>
      <c r="BE25" s="150"/>
      <c r="BF25" s="150"/>
      <c r="BG25" s="150"/>
      <c r="BH25" s="150"/>
      <c r="BI25" s="150"/>
      <c r="BJ25" s="150"/>
      <c r="BK25" s="150"/>
      <c r="BL25" s="150"/>
      <c r="BM25" s="150"/>
      <c r="BN25" s="150"/>
      <c r="BO25" s="150"/>
      <c r="BP25" s="150"/>
      <c r="BQ25" s="150"/>
      <c r="BR25" s="150"/>
      <c r="BS25" s="150"/>
      <c r="BT25" s="150"/>
      <c r="BU25" s="150"/>
      <c r="BV25" s="150"/>
      <c r="BW25" s="150"/>
      <c r="BX25" s="150"/>
      <c r="BY25" s="150"/>
      <c r="BZ25" s="150"/>
      <c r="CA25" s="150"/>
      <c r="CB25" s="150"/>
      <c r="CC25" s="150"/>
      <c r="CD25" s="150"/>
      <c r="CE25" s="150"/>
      <c r="CF25" s="150"/>
      <c r="CG25" s="150"/>
      <c r="CH25" s="150"/>
      <c r="CI25" s="150"/>
      <c r="CJ25" s="150"/>
      <c r="CK25" s="150"/>
      <c r="CL25" s="150"/>
      <c r="CM25" s="150"/>
      <c r="CN25" s="150"/>
      <c r="CO25" s="150"/>
      <c r="CP25" s="150"/>
      <c r="CQ25" s="150"/>
      <c r="CR25" s="150"/>
      <c r="CS25" s="150"/>
      <c r="CT25" s="150"/>
      <c r="CU25" s="150"/>
      <c r="CV25" s="150"/>
      <c r="CW25" s="150"/>
      <c r="CX25" s="150"/>
      <c r="CY25" s="150"/>
      <c r="CZ25" s="150"/>
      <c r="DA25" s="150"/>
      <c r="DB25" s="150"/>
      <c r="DC25" s="150"/>
      <c r="DD25" s="150"/>
      <c r="DE25" s="150"/>
      <c r="DF25" s="150"/>
      <c r="DG25" s="150"/>
      <c r="DH25" s="150"/>
      <c r="DI25" s="150"/>
      <c r="DJ25" s="150"/>
      <c r="DK25" s="150"/>
      <c r="DL25" s="150"/>
      <c r="DM25" s="150"/>
      <c r="DN25" s="150"/>
      <c r="DO25" s="150"/>
      <c r="DP25" s="150"/>
      <c r="DQ25" s="181"/>
      <c r="DR25" s="182">
        <v>45</v>
      </c>
      <c r="DS25" s="181"/>
      <c r="DT25" s="150"/>
      <c r="DU25" s="150"/>
      <c r="DV25" s="150"/>
      <c r="DW25" s="150"/>
      <c r="DX25" s="150"/>
      <c r="DY25" s="150"/>
      <c r="DZ25" s="150"/>
      <c r="EA25" s="150"/>
      <c r="EB25" s="150"/>
      <c r="EC25" s="150"/>
      <c r="ED25" s="150"/>
      <c r="EE25" s="150"/>
      <c r="EF25" s="150"/>
      <c r="EG25" s="150"/>
      <c r="EH25" s="150"/>
      <c r="EI25" s="150"/>
      <c r="EJ25" s="150"/>
      <c r="EK25" s="150"/>
      <c r="EL25" s="150"/>
      <c r="EM25" s="150"/>
      <c r="EN25" s="150"/>
      <c r="EO25" s="150"/>
      <c r="EP25" s="150"/>
      <c r="EQ25" s="150"/>
      <c r="ER25" s="150"/>
      <c r="ES25" s="150"/>
      <c r="ET25" s="150"/>
      <c r="EU25" s="150"/>
      <c r="EV25" s="150"/>
      <c r="EW25" s="150"/>
      <c r="EX25" s="150"/>
      <c r="EY25" s="150"/>
      <c r="EZ25" s="150"/>
      <c r="FA25" s="150"/>
      <c r="FB25" s="150"/>
      <c r="FC25" s="150"/>
      <c r="FD25" s="150"/>
      <c r="FE25" s="150"/>
      <c r="FF25" s="150"/>
      <c r="FG25" s="150"/>
      <c r="FH25" s="150"/>
      <c r="FI25" s="150"/>
      <c r="FJ25" s="150"/>
      <c r="FK25" s="150"/>
      <c r="FL25" s="150"/>
      <c r="FM25" s="150"/>
      <c r="FN25" s="150"/>
      <c r="FO25" s="150"/>
      <c r="FP25" s="150"/>
      <c r="FQ25" s="150"/>
      <c r="FR25" s="150"/>
      <c r="FS25" s="150"/>
      <c r="FT25" s="150"/>
      <c r="FU25" s="150"/>
      <c r="FV25" s="150"/>
      <c r="FW25" s="150"/>
      <c r="FX25" s="150"/>
      <c r="FY25" s="150"/>
      <c r="FZ25" s="150"/>
      <c r="GA25" s="150"/>
      <c r="GB25" s="150"/>
      <c r="GC25" s="150"/>
      <c r="GD25" s="150"/>
      <c r="GE25" s="150"/>
      <c r="GF25" s="150"/>
      <c r="GG25" s="150"/>
      <c r="GH25" s="150"/>
      <c r="GI25" s="150"/>
      <c r="GJ25" s="150"/>
      <c r="GK25" s="150"/>
      <c r="GL25" s="150"/>
      <c r="GM25" s="150"/>
      <c r="GN25" s="150"/>
      <c r="GO25" s="150"/>
      <c r="GP25" s="150"/>
      <c r="GQ25" s="150"/>
      <c r="GR25" s="150"/>
      <c r="GS25" s="150"/>
      <c r="GT25" s="150"/>
      <c r="GU25" s="150"/>
      <c r="GV25" s="150"/>
      <c r="GW25" s="150"/>
      <c r="GX25" s="150"/>
      <c r="GY25" s="150"/>
      <c r="GZ25" s="150"/>
      <c r="HA25" s="150"/>
      <c r="HB25" s="150"/>
      <c r="HC25" s="150"/>
      <c r="HD25" s="150"/>
      <c r="HE25" s="150"/>
      <c r="HF25" s="150"/>
      <c r="HG25" s="150"/>
      <c r="HH25" s="150"/>
    </row>
    <row r="26" spans="1:216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6" t="s">
        <v>445</v>
      </c>
      <c r="M26" s="11">
        <f>INDEX(cennik!$C$2:$L$529,MATCH($L26,cennik!$B$2:$B$522,0),MATCH(M$2,cennik!$C$1:$L$1,0))</f>
        <v>858022</v>
      </c>
      <c r="N26" s="11" t="str">
        <f>INDEX(cennik!$C$2:$L$529,MATCH($L26,cennik!$B$2:$B$522,0),MATCH(N$2,cennik!$C$1:$L$1,0))</f>
        <v>szt.</v>
      </c>
      <c r="O26" s="11">
        <f>2*O9</f>
        <v>10</v>
      </c>
      <c r="P26" s="34">
        <f>INDEX(cennik!$C$2:$L$529,MATCH($L26,cennik!$B$2:$B$522,0),MATCH(P$2,cennik!$C$1:$L$1,0))</f>
        <v>4.5</v>
      </c>
      <c r="Q26" s="34">
        <f>O26*P26</f>
        <v>45</v>
      </c>
      <c r="R26" s="35">
        <f t="shared" si="3"/>
        <v>0</v>
      </c>
      <c r="S26" s="34">
        <f>P26*((100-$E$7)/100)</f>
        <v>4.5</v>
      </c>
      <c r="T26" s="34">
        <f>O26*S26</f>
        <v>45</v>
      </c>
      <c r="U26" s="34">
        <f>INDEX(cennik!$C$2:$L$529,MATCH($L26,cennik!$B$2:$B$522,0),MATCH(U$2,cennik!$C$1:$L$1,0))*O26</f>
        <v>0.8</v>
      </c>
      <c r="V26" s="62"/>
      <c r="AC26" s="150"/>
      <c r="AD26" s="150"/>
      <c r="AE26" s="150" t="s">
        <v>474</v>
      </c>
      <c r="AF26" s="150">
        <v>1100</v>
      </c>
      <c r="AG26" s="150"/>
      <c r="AH26" s="150"/>
      <c r="AI26" s="150"/>
      <c r="AJ26" s="150"/>
      <c r="AK26" s="150"/>
      <c r="AL26" s="150">
        <f>SUM(AL22:AL24)</f>
        <v>29700</v>
      </c>
      <c r="AM26" s="150"/>
      <c r="AN26" s="150">
        <f>SUM(AN22:AN25)</f>
        <v>888.34999999999991</v>
      </c>
      <c r="AO26" s="150"/>
      <c r="AP26" s="150"/>
      <c r="AQ26" s="150"/>
      <c r="AY26" s="150"/>
      <c r="AZ26" s="150"/>
      <c r="BA26" s="150"/>
      <c r="BB26" s="150"/>
      <c r="BC26" s="150"/>
      <c r="BD26" s="150"/>
      <c r="BE26" s="150"/>
      <c r="BF26" s="150"/>
      <c r="BG26" s="150"/>
      <c r="BH26" s="150"/>
      <c r="BI26" s="150"/>
      <c r="BJ26" s="150"/>
      <c r="BK26" s="150"/>
      <c r="BL26" s="150"/>
      <c r="BM26" s="150"/>
      <c r="BN26" s="150"/>
      <c r="BO26" s="150"/>
      <c r="BP26" s="150"/>
      <c r="BQ26" s="150"/>
      <c r="BR26" s="150"/>
      <c r="BS26" s="150"/>
      <c r="BT26" s="150"/>
      <c r="BU26" s="150"/>
      <c r="BV26" s="150"/>
      <c r="BW26" s="150"/>
      <c r="BX26" s="150"/>
      <c r="BY26" s="150"/>
      <c r="BZ26" s="150"/>
      <c r="CA26" s="150"/>
      <c r="CB26" s="150"/>
      <c r="CC26" s="150"/>
      <c r="CD26" s="150"/>
      <c r="CE26" s="150"/>
      <c r="CF26" s="150"/>
      <c r="CG26" s="150"/>
      <c r="CH26" s="150"/>
      <c r="CI26" s="150"/>
      <c r="CJ26" s="150"/>
      <c r="CK26" s="150"/>
      <c r="CL26" s="150"/>
      <c r="CM26" s="150"/>
      <c r="CN26" s="150"/>
      <c r="CO26" s="150"/>
      <c r="CP26" s="150"/>
      <c r="CQ26" s="150"/>
      <c r="CR26" s="150"/>
      <c r="CS26" s="150"/>
      <c r="CT26" s="150"/>
      <c r="CU26" s="150"/>
      <c r="CV26" s="150"/>
      <c r="CW26" s="150"/>
      <c r="CX26" s="150"/>
      <c r="CY26" s="150"/>
      <c r="CZ26" s="150"/>
      <c r="DA26" s="150"/>
      <c r="DB26" s="150"/>
      <c r="DC26" s="150"/>
      <c r="DD26" s="150"/>
      <c r="DE26" s="150"/>
      <c r="DF26" s="150"/>
      <c r="DG26" s="150"/>
      <c r="DH26" s="150"/>
      <c r="DI26" s="150"/>
      <c r="DJ26" s="150"/>
      <c r="DK26" s="150"/>
      <c r="DL26" s="150"/>
      <c r="DM26" s="150"/>
      <c r="DN26" s="150"/>
      <c r="DO26" s="150"/>
      <c r="DP26" s="150"/>
      <c r="DQ26" s="181"/>
      <c r="DR26" s="182">
        <v>50</v>
      </c>
      <c r="DS26" s="181"/>
      <c r="DT26" s="150"/>
      <c r="DU26" s="150"/>
      <c r="DV26" s="150"/>
      <c r="DW26" s="150"/>
      <c r="DX26" s="150"/>
      <c r="DY26" s="150"/>
      <c r="DZ26" s="150"/>
      <c r="EA26" s="150"/>
      <c r="EB26" s="150"/>
      <c r="EC26" s="150"/>
      <c r="ED26" s="150"/>
      <c r="EE26" s="150"/>
      <c r="EF26" s="150"/>
      <c r="EG26" s="150"/>
      <c r="EH26" s="150"/>
      <c r="EI26" s="150"/>
      <c r="EJ26" s="150"/>
      <c r="EK26" s="150"/>
      <c r="EL26" s="150"/>
      <c r="EM26" s="150"/>
      <c r="EN26" s="150"/>
      <c r="EO26" s="150"/>
      <c r="EP26" s="150"/>
      <c r="EQ26" s="150"/>
      <c r="ER26" s="150"/>
      <c r="ES26" s="150"/>
      <c r="ET26" s="150"/>
      <c r="EU26" s="150"/>
      <c r="EV26" s="150"/>
      <c r="EW26" s="150"/>
      <c r="EX26" s="150"/>
      <c r="EY26" s="150"/>
      <c r="EZ26" s="150"/>
      <c r="FA26" s="150"/>
      <c r="FB26" s="150"/>
      <c r="FC26" s="150"/>
      <c r="FD26" s="150"/>
      <c r="FE26" s="150"/>
      <c r="FF26" s="150"/>
      <c r="FG26" s="150"/>
      <c r="FH26" s="150"/>
      <c r="FI26" s="150"/>
      <c r="FJ26" s="150"/>
      <c r="FK26" s="150"/>
      <c r="FL26" s="150"/>
      <c r="FM26" s="150"/>
      <c r="FN26" s="150"/>
      <c r="FO26" s="150"/>
      <c r="FP26" s="150"/>
      <c r="FQ26" s="150"/>
      <c r="FR26" s="150"/>
      <c r="FS26" s="150"/>
      <c r="FT26" s="150"/>
      <c r="FU26" s="150"/>
      <c r="FV26" s="150"/>
      <c r="FW26" s="150"/>
      <c r="FX26" s="150"/>
      <c r="FY26" s="150"/>
      <c r="FZ26" s="150"/>
      <c r="GA26" s="150"/>
      <c r="GB26" s="150"/>
      <c r="GC26" s="150"/>
      <c r="GD26" s="150"/>
      <c r="GE26" s="150"/>
      <c r="GF26" s="150"/>
      <c r="GG26" s="150"/>
      <c r="GH26" s="150"/>
      <c r="GI26" s="150"/>
      <c r="GJ26" s="150"/>
      <c r="GK26" s="150"/>
      <c r="GL26" s="150"/>
      <c r="GM26" s="150"/>
      <c r="GN26" s="150"/>
      <c r="GO26" s="150"/>
      <c r="GP26" s="150"/>
      <c r="GQ26" s="150"/>
      <c r="GR26" s="150"/>
      <c r="GS26" s="150"/>
      <c r="GT26" s="150"/>
      <c r="GU26" s="150"/>
      <c r="GV26" s="150"/>
      <c r="GW26" s="150"/>
      <c r="GX26" s="150"/>
      <c r="GY26" s="150"/>
      <c r="GZ26" s="150"/>
      <c r="HA26" s="150"/>
      <c r="HB26" s="150"/>
      <c r="HC26" s="150"/>
      <c r="HD26" s="150"/>
      <c r="HE26" s="150"/>
      <c r="HF26" s="150"/>
      <c r="HG26" s="150"/>
      <c r="HH26" s="150"/>
    </row>
    <row r="27" spans="1:216" ht="15.75" thickBo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6" t="s">
        <v>319</v>
      </c>
      <c r="M27" s="11">
        <f>INDEX(cennik!$C$2:$L$529,MATCH($L27,cennik!$B$2:$B$522,0),MATCH(M$2,cennik!$C$1:$L$1,0))</f>
        <v>890111</v>
      </c>
      <c r="N27" s="11" t="str">
        <f>INDEX(cennik!$C$2:$L$529,MATCH($L27,cennik!$B$2:$B$522,0),MATCH(N$2,cennik!$C$1:$L$1,0))</f>
        <v>100 szt.</v>
      </c>
      <c r="O27" s="11">
        <f>ROUNDUP((O3*4)/100,0)</f>
        <v>0</v>
      </c>
      <c r="P27" s="34">
        <f>INDEX(cennik!$C$2:$L$529,MATCH($L27,cennik!$B$2:$B$522,0),MATCH(P$2,cennik!$C$1:$L$1,0))</f>
        <v>174.59</v>
      </c>
      <c r="Q27" s="34">
        <f>O27*P27</f>
        <v>0</v>
      </c>
      <c r="R27" s="35">
        <f t="shared" si="3"/>
        <v>0</v>
      </c>
      <c r="S27" s="34">
        <f>P27*((100-$E$7)/100)</f>
        <v>174.59</v>
      </c>
      <c r="T27" s="34">
        <f>O27*S27</f>
        <v>0</v>
      </c>
      <c r="U27" s="34">
        <f>INDEX(cennik!$C$2:$L$529,MATCH($L27,cennik!$B$2:$B$522,0),MATCH(U$2,cennik!$C$1:$L$1,0))*O27</f>
        <v>0</v>
      </c>
      <c r="V27" s="150"/>
      <c r="AC27" s="150"/>
      <c r="AD27" s="150"/>
      <c r="AE27" s="150" t="s">
        <v>480</v>
      </c>
      <c r="AF27" s="150">
        <v>1150</v>
      </c>
      <c r="AG27" s="150"/>
      <c r="AH27" s="150"/>
      <c r="AI27" s="150"/>
      <c r="AJ27" s="150">
        <f>(AB2-1)*2900</f>
        <v>11600</v>
      </c>
      <c r="AK27" s="150"/>
      <c r="AL27" s="150"/>
      <c r="AM27" s="150"/>
      <c r="AN27" s="150"/>
      <c r="AO27" s="150"/>
      <c r="AP27" s="150"/>
      <c r="AQ27" s="150"/>
      <c r="AR27" s="174" t="s">
        <v>723</v>
      </c>
      <c r="AY27" s="150"/>
      <c r="AZ27" s="150"/>
      <c r="BA27" s="150"/>
      <c r="BB27" s="150"/>
      <c r="BC27" s="150"/>
      <c r="BD27" s="150"/>
      <c r="BE27" s="150"/>
      <c r="BF27" s="150"/>
      <c r="BG27" s="150"/>
      <c r="BH27" s="150"/>
      <c r="BI27" s="150"/>
      <c r="BJ27" s="150"/>
      <c r="BK27" s="150"/>
      <c r="BL27" s="150"/>
      <c r="BM27" s="150"/>
      <c r="BN27" s="150"/>
      <c r="BO27" s="150"/>
      <c r="BP27" s="150"/>
      <c r="BQ27" s="150"/>
      <c r="BR27" s="150"/>
      <c r="BS27" s="150"/>
      <c r="BT27" s="150"/>
      <c r="BU27" s="150"/>
      <c r="BV27" s="150"/>
      <c r="BW27" s="150"/>
      <c r="BX27" s="150"/>
      <c r="BY27" s="150"/>
      <c r="BZ27" s="150"/>
      <c r="CA27" s="150"/>
      <c r="CB27" s="150"/>
      <c r="CC27" s="150"/>
      <c r="CD27" s="150"/>
      <c r="CE27" s="150"/>
      <c r="CF27" s="150"/>
      <c r="CG27" s="150"/>
      <c r="CH27" s="150"/>
      <c r="CI27" s="150"/>
      <c r="CJ27" s="150"/>
      <c r="CK27" s="150"/>
      <c r="CL27" s="150"/>
      <c r="CM27" s="150"/>
      <c r="CN27" s="150"/>
      <c r="CO27" s="150"/>
      <c r="CP27" s="150"/>
      <c r="CQ27" s="150"/>
      <c r="CR27" s="150"/>
      <c r="CS27" s="150"/>
      <c r="CT27" s="150"/>
      <c r="CU27" s="150"/>
      <c r="CV27" s="150"/>
      <c r="CW27" s="150"/>
      <c r="CX27" s="150"/>
      <c r="CY27" s="150"/>
      <c r="CZ27" s="150"/>
      <c r="DA27" s="150"/>
      <c r="DB27" s="150"/>
      <c r="DC27" s="150"/>
      <c r="DD27" s="150"/>
      <c r="DE27" s="150"/>
      <c r="DF27" s="150"/>
      <c r="DG27" s="150"/>
      <c r="DH27" s="150"/>
      <c r="DI27" s="150"/>
      <c r="DJ27" s="150"/>
      <c r="DK27" s="150"/>
      <c r="DL27" s="150"/>
      <c r="DM27" s="150"/>
      <c r="DN27" s="150"/>
      <c r="DO27" s="150"/>
      <c r="DP27" s="150"/>
      <c r="DQ27" s="181"/>
      <c r="DR27" s="181"/>
      <c r="DS27" s="181"/>
      <c r="DT27" s="150"/>
      <c r="DU27" s="150"/>
      <c r="DV27" s="150"/>
      <c r="DW27" s="150"/>
      <c r="DX27" s="150"/>
      <c r="DY27" s="150"/>
      <c r="DZ27" s="150"/>
      <c r="EA27" s="150"/>
      <c r="EB27" s="150"/>
      <c r="EC27" s="150"/>
      <c r="ED27" s="150"/>
      <c r="EE27" s="150"/>
      <c r="EF27" s="150"/>
      <c r="EG27" s="150"/>
      <c r="EH27" s="150"/>
      <c r="EI27" s="150"/>
      <c r="EJ27" s="150"/>
      <c r="EK27" s="150"/>
      <c r="EL27" s="150"/>
      <c r="EM27" s="150"/>
      <c r="EN27" s="150"/>
      <c r="EO27" s="150"/>
      <c r="EP27" s="150"/>
      <c r="EQ27" s="150"/>
      <c r="ER27" s="150"/>
      <c r="ES27" s="150"/>
      <c r="ET27" s="150"/>
      <c r="EU27" s="150"/>
      <c r="EV27" s="150"/>
      <c r="EW27" s="150"/>
      <c r="EX27" s="150"/>
      <c r="EY27" s="150"/>
      <c r="EZ27" s="150"/>
      <c r="FA27" s="150"/>
      <c r="FB27" s="150"/>
      <c r="FC27" s="150"/>
      <c r="FD27" s="150"/>
      <c r="FE27" s="150"/>
      <c r="FF27" s="150"/>
      <c r="FG27" s="150"/>
      <c r="FH27" s="150"/>
      <c r="FI27" s="150"/>
      <c r="FJ27" s="150"/>
      <c r="FK27" s="150"/>
      <c r="FL27" s="150"/>
      <c r="FM27" s="150"/>
      <c r="FN27" s="150"/>
      <c r="FO27" s="150"/>
      <c r="FP27" s="150"/>
      <c r="FQ27" s="150"/>
      <c r="FR27" s="150"/>
      <c r="FS27" s="150"/>
      <c r="FT27" s="150"/>
      <c r="FU27" s="150"/>
      <c r="FV27" s="150"/>
      <c r="FW27" s="150"/>
      <c r="FX27" s="150"/>
      <c r="FY27" s="150"/>
      <c r="FZ27" s="150"/>
      <c r="GA27" s="150"/>
      <c r="GB27" s="150"/>
      <c r="GC27" s="150"/>
      <c r="GD27" s="150"/>
      <c r="GE27" s="150"/>
      <c r="GF27" s="150"/>
      <c r="GG27" s="150"/>
      <c r="GH27" s="150"/>
      <c r="GI27" s="150"/>
      <c r="GJ27" s="150"/>
      <c r="GK27" s="150"/>
      <c r="GL27" s="150"/>
      <c r="GM27" s="150"/>
      <c r="GN27" s="150"/>
      <c r="GO27" s="150"/>
      <c r="GP27" s="150"/>
      <c r="GQ27" s="150"/>
      <c r="GR27" s="150"/>
      <c r="GS27" s="150"/>
      <c r="GT27" s="150"/>
      <c r="GU27" s="150"/>
      <c r="GV27" s="150"/>
      <c r="GW27" s="150"/>
      <c r="GX27" s="150"/>
      <c r="GY27" s="150"/>
      <c r="GZ27" s="150"/>
      <c r="HA27" s="150"/>
      <c r="HB27" s="150"/>
      <c r="HC27" s="150"/>
      <c r="HD27" s="150"/>
      <c r="HE27" s="150"/>
      <c r="HF27" s="150"/>
      <c r="HG27" s="150"/>
      <c r="HH27" s="150"/>
    </row>
    <row r="28" spans="1:216" x14ac:dyDescent="0.25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6" t="s">
        <v>722</v>
      </c>
      <c r="M28" s="11">
        <f>INDEX(cennik!$C$2:$L$529,MATCH($L28,cennik!$B$2:$B$522,0),MATCH(M$2,cennik!$C$1:$L$1,0))</f>
        <v>890504</v>
      </c>
      <c r="N28" s="11" t="str">
        <f>INDEX(cennik!$C$2:$L$529,MATCH($L28,cennik!$B$2:$B$522,0),MATCH(N$2,cennik!$C$1:$L$1,0))</f>
        <v>szt.</v>
      </c>
      <c r="O28" s="11">
        <f>SUM(C2:C17)*10</f>
        <v>10</v>
      </c>
      <c r="P28" s="34">
        <f>INDEX(cennik!$C$2:$L$529,MATCH($L28,cennik!$B$2:$B$522,0),MATCH(P$2,cennik!$C$1:$L$1,0))</f>
        <v>4.58</v>
      </c>
      <c r="Q28" s="34">
        <f>O28*P28</f>
        <v>45.8</v>
      </c>
      <c r="R28" s="35">
        <f t="shared" si="3"/>
        <v>0</v>
      </c>
      <c r="S28" s="34">
        <f>P28*((100-$E$7)/100)</f>
        <v>4.58</v>
      </c>
      <c r="T28" s="34">
        <f>O28*S28</f>
        <v>45.8</v>
      </c>
      <c r="U28" s="34">
        <f>INDEX(cennik!$C$2:$L$529,MATCH($L28,cennik!$B$2:$B$522,0),MATCH(U$2,cennik!$C$1:$L$1,0))*O28</f>
        <v>0.3</v>
      </c>
      <c r="V28" s="150"/>
      <c r="AC28" s="150"/>
      <c r="AD28" s="150"/>
      <c r="AE28" s="154" t="s">
        <v>713</v>
      </c>
      <c r="AF28" s="150">
        <v>1200</v>
      </c>
      <c r="AG28" s="150"/>
      <c r="AH28" s="150"/>
      <c r="AI28" s="150"/>
      <c r="AJ28" s="150"/>
      <c r="AK28" s="150"/>
      <c r="AL28" s="150"/>
      <c r="AM28" s="150"/>
      <c r="AN28" s="150"/>
      <c r="AO28" s="150"/>
      <c r="AP28" s="150"/>
      <c r="AQ28" s="150"/>
      <c r="AS28" s="154" t="s">
        <v>314</v>
      </c>
      <c r="AT28" s="154" t="s">
        <v>312</v>
      </c>
      <c r="AU28" s="154" t="s">
        <v>309</v>
      </c>
      <c r="AV28" s="154" t="s">
        <v>313</v>
      </c>
      <c r="AY28" s="150"/>
      <c r="AZ28" s="150"/>
      <c r="BA28" s="150"/>
      <c r="BB28" s="150"/>
      <c r="BC28" s="150"/>
      <c r="BD28" s="150"/>
      <c r="BE28" s="150"/>
      <c r="BF28" s="150"/>
      <c r="BG28" s="150"/>
      <c r="BH28" s="150"/>
      <c r="BI28" s="150"/>
      <c r="BJ28" s="150"/>
      <c r="BK28" s="150"/>
      <c r="BL28" s="150"/>
      <c r="BM28" s="150"/>
      <c r="BN28" s="150"/>
      <c r="BO28" s="150"/>
      <c r="BP28" s="150"/>
      <c r="BQ28" s="150"/>
      <c r="BR28" s="150"/>
      <c r="BS28" s="150"/>
      <c r="BT28" s="150"/>
      <c r="BU28" s="150"/>
      <c r="BV28" s="150"/>
      <c r="BW28" s="150"/>
      <c r="BX28" s="150"/>
      <c r="BY28" s="150"/>
      <c r="BZ28" s="150"/>
      <c r="CA28" s="150"/>
      <c r="CB28" s="150"/>
      <c r="CC28" s="150"/>
      <c r="CD28" s="150"/>
      <c r="CE28" s="150"/>
      <c r="CF28" s="150"/>
      <c r="CG28" s="150"/>
      <c r="CH28" s="150"/>
      <c r="CI28" s="150"/>
      <c r="CJ28" s="150"/>
      <c r="CK28" s="150"/>
      <c r="CL28" s="150"/>
      <c r="CM28" s="150"/>
      <c r="CN28" s="150"/>
      <c r="CO28" s="150"/>
      <c r="CP28" s="150"/>
      <c r="CQ28" s="150"/>
      <c r="CR28" s="150"/>
      <c r="CS28" s="150"/>
      <c r="CT28" s="150"/>
      <c r="CU28" s="150"/>
      <c r="CV28" s="150"/>
      <c r="CW28" s="150"/>
      <c r="CX28" s="150"/>
      <c r="CY28" s="150"/>
      <c r="CZ28" s="150"/>
      <c r="DA28" s="150"/>
      <c r="DB28" s="150"/>
      <c r="DC28" s="150"/>
      <c r="DD28" s="150"/>
      <c r="DE28" s="150"/>
      <c r="DF28" s="150"/>
      <c r="DG28" s="150"/>
      <c r="DH28" s="150"/>
      <c r="DI28" s="150"/>
      <c r="DJ28" s="150"/>
      <c r="DK28" s="150"/>
      <c r="DL28" s="150"/>
      <c r="DM28" s="150"/>
      <c r="DN28" s="150"/>
      <c r="DO28" s="150"/>
      <c r="DP28" s="150"/>
      <c r="DQ28" s="181"/>
      <c r="DR28" s="181"/>
      <c r="DS28" s="181"/>
      <c r="DT28" s="150"/>
      <c r="DU28" s="150"/>
      <c r="DV28" s="150"/>
      <c r="DW28" s="150"/>
      <c r="DX28" s="150"/>
      <c r="DY28" s="150"/>
      <c r="DZ28" s="150"/>
      <c r="EA28" s="150"/>
      <c r="EB28" s="150"/>
      <c r="EC28" s="150"/>
      <c r="ED28" s="150"/>
      <c r="EE28" s="150"/>
      <c r="EF28" s="150"/>
      <c r="EG28" s="150"/>
      <c r="EH28" s="150"/>
      <c r="EI28" s="150"/>
      <c r="EJ28" s="151"/>
      <c r="EK28" s="152"/>
      <c r="EL28" s="152"/>
      <c r="EM28" s="152"/>
      <c r="EN28" s="152"/>
      <c r="EO28" s="152"/>
      <c r="EP28" s="152"/>
      <c r="EQ28" s="152"/>
      <c r="ER28" s="152"/>
      <c r="ES28" s="152"/>
      <c r="ET28" s="152"/>
      <c r="EU28" s="152"/>
      <c r="EV28" s="152"/>
      <c r="EW28" s="152"/>
      <c r="EX28" s="152"/>
      <c r="EY28" s="152"/>
      <c r="EZ28" s="152"/>
      <c r="FA28" s="152"/>
      <c r="FB28" s="152"/>
      <c r="FC28" s="152"/>
      <c r="FD28" s="152"/>
      <c r="FE28" s="152"/>
      <c r="FF28" s="152"/>
      <c r="FG28" s="152"/>
      <c r="FH28" s="152"/>
      <c r="FI28" s="152"/>
      <c r="FJ28" s="152"/>
      <c r="FK28" s="152"/>
      <c r="FL28" s="152"/>
      <c r="FM28" s="152"/>
      <c r="FN28" s="152"/>
      <c r="FO28" s="152"/>
      <c r="FP28" s="152"/>
      <c r="FQ28" s="152"/>
      <c r="FR28" s="152"/>
      <c r="FS28" s="152"/>
      <c r="FT28" s="152"/>
      <c r="FU28" s="152"/>
      <c r="FV28" s="152"/>
      <c r="FW28" s="152"/>
      <c r="FX28" s="152"/>
      <c r="FY28" s="152"/>
      <c r="FZ28" s="152"/>
      <c r="GA28" s="152"/>
      <c r="GB28" s="152"/>
      <c r="GC28" s="152"/>
      <c r="GD28" s="152"/>
      <c r="GE28" s="152"/>
      <c r="GF28" s="152"/>
      <c r="GG28" s="152"/>
      <c r="GH28" s="152"/>
      <c r="GI28" s="152"/>
      <c r="GJ28" s="152"/>
      <c r="GK28" s="152"/>
      <c r="GL28" s="152"/>
      <c r="GM28" s="152"/>
      <c r="GN28" s="152"/>
      <c r="GO28" s="152"/>
      <c r="GP28" s="152"/>
      <c r="GQ28" s="152"/>
      <c r="GR28" s="152"/>
      <c r="GS28" s="152"/>
      <c r="GT28" s="152"/>
      <c r="GU28" s="152"/>
      <c r="GV28" s="152"/>
      <c r="GW28" s="152"/>
      <c r="GX28" s="152"/>
      <c r="GY28" s="152"/>
      <c r="GZ28" s="152"/>
      <c r="HA28" s="152"/>
      <c r="HB28" s="152"/>
      <c r="HC28" s="152"/>
      <c r="HD28" s="152"/>
      <c r="HE28" s="152"/>
      <c r="HF28" s="152"/>
      <c r="HG28" s="153"/>
      <c r="HH28" s="150"/>
    </row>
    <row r="29" spans="1:216" x14ac:dyDescent="0.2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6" t="s">
        <v>316</v>
      </c>
      <c r="M29" s="11"/>
      <c r="N29" s="11"/>
      <c r="O29" s="11"/>
      <c r="P29" s="34"/>
      <c r="Q29" s="34"/>
      <c r="R29" s="35"/>
      <c r="S29" s="34"/>
      <c r="T29" s="34"/>
      <c r="U29" s="34"/>
      <c r="V29" s="166"/>
      <c r="AC29" s="150"/>
      <c r="AD29" s="150"/>
      <c r="AE29" s="154" t="s">
        <v>714</v>
      </c>
      <c r="AF29" s="150">
        <v>1250</v>
      </c>
      <c r="AG29" s="150"/>
      <c r="AH29" s="150"/>
      <c r="AI29" s="150"/>
      <c r="AJ29" s="150"/>
      <c r="AK29" s="150"/>
      <c r="AL29" s="150"/>
      <c r="AM29" s="150"/>
      <c r="AN29" s="150"/>
      <c r="AO29" s="150"/>
      <c r="AP29" s="150"/>
      <c r="AQ29" s="150"/>
      <c r="AR29" s="150" t="s">
        <v>114</v>
      </c>
      <c r="AS29" s="150" t="s">
        <v>596</v>
      </c>
      <c r="AT29" s="150" t="s">
        <v>595</v>
      </c>
      <c r="AU29" s="150" t="s">
        <v>594</v>
      </c>
      <c r="AV29" s="150" t="s">
        <v>594</v>
      </c>
      <c r="AW29" s="150"/>
      <c r="AX29" s="150"/>
      <c r="AY29" s="150"/>
      <c r="AZ29" s="150"/>
      <c r="BA29" s="150"/>
      <c r="BB29" s="150"/>
      <c r="BC29" s="150"/>
      <c r="BD29" s="150"/>
      <c r="BE29" s="150"/>
      <c r="BF29" s="150"/>
      <c r="BG29" s="168" t="s">
        <v>318</v>
      </c>
      <c r="BH29" s="150"/>
      <c r="BI29" s="150"/>
      <c r="BJ29" s="150"/>
      <c r="BK29" s="150"/>
      <c r="BL29" s="150"/>
      <c r="BM29" s="150"/>
      <c r="BN29" s="150"/>
      <c r="BO29" s="150"/>
      <c r="BP29" s="150"/>
      <c r="BQ29" s="150"/>
      <c r="BR29" s="150"/>
      <c r="BS29" s="150"/>
      <c r="BT29" s="150"/>
      <c r="BU29" s="150"/>
      <c r="BV29" s="150"/>
      <c r="BW29" s="150"/>
      <c r="BX29" s="150"/>
      <c r="BY29" s="150"/>
      <c r="BZ29" s="150"/>
      <c r="CA29" s="150"/>
      <c r="CB29" s="150"/>
      <c r="CC29" s="150"/>
      <c r="CD29" s="150"/>
      <c r="CE29" s="150"/>
      <c r="CF29" s="150"/>
      <c r="CG29" s="150"/>
      <c r="CH29" s="150"/>
      <c r="CI29" s="150"/>
      <c r="CJ29" s="150"/>
      <c r="CK29" s="150"/>
      <c r="CL29" s="150"/>
      <c r="CM29" s="150"/>
      <c r="CN29" s="150"/>
      <c r="CO29" s="150"/>
      <c r="CP29" s="150"/>
      <c r="CQ29" s="150"/>
      <c r="CR29" s="150"/>
      <c r="CS29" s="150"/>
      <c r="CT29" s="150"/>
      <c r="CU29" s="150"/>
      <c r="CV29" s="150"/>
      <c r="CW29" s="150"/>
      <c r="CX29" s="150"/>
      <c r="CY29" s="150"/>
      <c r="CZ29" s="150"/>
      <c r="DA29" s="150"/>
      <c r="DB29" s="150"/>
      <c r="DC29" s="150"/>
      <c r="DD29" s="150"/>
      <c r="DE29" s="150"/>
      <c r="DF29" s="150"/>
      <c r="DG29" s="150"/>
      <c r="DH29" s="150"/>
      <c r="DI29" s="150"/>
      <c r="DJ29" s="150"/>
      <c r="DK29" s="150"/>
      <c r="DL29" s="150"/>
      <c r="DM29" s="150"/>
      <c r="DN29" s="150"/>
      <c r="DO29" s="150"/>
      <c r="DP29" s="150"/>
      <c r="DQ29" s="181"/>
      <c r="DR29" s="181">
        <v>0</v>
      </c>
      <c r="DS29" s="181"/>
      <c r="DT29" s="150"/>
      <c r="DU29" s="150"/>
      <c r="DV29" s="150"/>
      <c r="DW29" s="150"/>
      <c r="DX29" s="150"/>
      <c r="DY29" s="150"/>
      <c r="DZ29" s="150"/>
      <c r="EA29" s="150"/>
      <c r="EB29" s="150"/>
      <c r="EC29" s="150"/>
      <c r="ED29" s="150"/>
      <c r="EE29" s="150"/>
      <c r="EF29" s="150"/>
      <c r="EG29" s="150"/>
      <c r="EH29" s="150"/>
      <c r="EI29" s="150"/>
      <c r="EJ29" s="155" t="s">
        <v>772</v>
      </c>
      <c r="EK29" s="150"/>
      <c r="EL29" s="150"/>
      <c r="EM29" s="150"/>
      <c r="EN29" s="150"/>
      <c r="EO29" s="150"/>
      <c r="EP29" s="150"/>
      <c r="EQ29" s="150"/>
      <c r="ER29" s="150"/>
      <c r="ES29" s="150"/>
      <c r="ET29" s="150"/>
      <c r="EU29" s="150"/>
      <c r="EV29" s="150"/>
      <c r="EW29" s="150"/>
      <c r="EX29" s="150"/>
      <c r="EY29" s="150"/>
      <c r="EZ29" s="150"/>
      <c r="FA29" s="150"/>
      <c r="FB29" s="150"/>
      <c r="FC29" s="150"/>
      <c r="FD29" s="150"/>
      <c r="FE29" s="150"/>
      <c r="FF29" s="150"/>
      <c r="FG29" s="150"/>
      <c r="FH29" s="150"/>
      <c r="FI29" s="150"/>
      <c r="FJ29" s="150"/>
      <c r="FK29" s="150"/>
      <c r="FL29" s="150"/>
      <c r="FM29" s="150"/>
      <c r="FN29" s="150"/>
      <c r="FO29" s="150"/>
      <c r="FP29" s="150"/>
      <c r="FQ29" s="150"/>
      <c r="FR29" s="150"/>
      <c r="FS29" s="150"/>
      <c r="FT29" s="150"/>
      <c r="FU29" s="150"/>
      <c r="FV29" s="150"/>
      <c r="FW29" s="150"/>
      <c r="FX29" s="150"/>
      <c r="FY29" s="150"/>
      <c r="FZ29" s="150"/>
      <c r="GA29" s="150"/>
      <c r="GB29" s="150"/>
      <c r="GC29" s="150"/>
      <c r="GD29" s="150"/>
      <c r="GE29" s="150"/>
      <c r="GF29" s="150"/>
      <c r="GG29" s="150"/>
      <c r="GH29" s="150"/>
      <c r="GI29" s="150"/>
      <c r="GJ29" s="150"/>
      <c r="GK29" s="150"/>
      <c r="GL29" s="150"/>
      <c r="GM29" s="150"/>
      <c r="GN29" s="150"/>
      <c r="GO29" s="150"/>
      <c r="GP29" s="150"/>
      <c r="GQ29" s="150"/>
      <c r="GR29" s="150"/>
      <c r="GS29" s="150"/>
      <c r="GT29" s="150"/>
      <c r="GU29" s="150"/>
      <c r="GV29" s="150"/>
      <c r="GW29" s="150"/>
      <c r="GX29" s="150"/>
      <c r="GY29" s="150"/>
      <c r="GZ29" s="150"/>
      <c r="HA29" s="150"/>
      <c r="HB29" s="150"/>
      <c r="HC29" s="150"/>
      <c r="HD29" s="150"/>
      <c r="HE29" s="150"/>
      <c r="HF29" s="150"/>
      <c r="HG29" s="156"/>
      <c r="HH29" s="150"/>
    </row>
    <row r="30" spans="1:216" x14ac:dyDescent="0.2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6" t="str">
        <f>IF(E13=AS23,"CWT70H50/3,2NMC",IF(E13=AU23,"CWT70H50/3NMC",IF(E13=AT24,"CWT70H50/2,4NMC",IF(E13=AW25,"CWT70H50/2NMC","-------"))))</f>
        <v>CWT70H50/3,2NMC</v>
      </c>
      <c r="M30" s="11">
        <f>INDEX(cennik!$C$2:$L$529,MATCH($L30,cennik!$B$2:$B$522,0),MATCH(M$2,cennik!$C$1:$L$1,0))</f>
        <v>867832</v>
      </c>
      <c r="N30" s="11" t="str">
        <f>INDEX(cennik!$C$2:$L$529,MATCH($L30,cennik!$B$2:$B$522,0),MATCH(N$2,cennik!$C$1:$L$1,0))</f>
        <v>szt.</v>
      </c>
      <c r="O30" s="11">
        <f>E6*2</f>
        <v>0</v>
      </c>
      <c r="P30" s="34">
        <f>INDEX(cennik!$C$2:$L$529,MATCH($L30,cennik!$B$2:$B$522,0),MATCH(P$2,cennik!$C$1:$L$1,0))</f>
        <v>161.94999999999999</v>
      </c>
      <c r="Q30" s="34">
        <f>O30*P30</f>
        <v>0</v>
      </c>
      <c r="R30" s="35">
        <f>$E$7</f>
        <v>0</v>
      </c>
      <c r="S30" s="34">
        <f>P30*((100-$E$7)/100)</f>
        <v>161.94999999999999</v>
      </c>
      <c r="T30" s="34">
        <f>O30*S30</f>
        <v>0</v>
      </c>
      <c r="U30" s="34">
        <f>INDEX(cennik!$C$2:$L$529,MATCH($L30,cennik!$B$2:$B$522,0),MATCH(U$2,cennik!$C$1:$L$1,0))*O30</f>
        <v>0</v>
      </c>
      <c r="V30" s="166"/>
      <c r="AC30" s="150"/>
      <c r="AD30" s="150"/>
      <c r="AE30" s="154" t="s">
        <v>715</v>
      </c>
      <c r="AF30" s="150">
        <v>1300</v>
      </c>
      <c r="AG30" s="150"/>
      <c r="AH30" s="150"/>
      <c r="AJ30" s="150"/>
      <c r="AK30" s="150"/>
      <c r="AL30" s="150"/>
      <c r="AM30" s="150"/>
      <c r="AN30" s="150"/>
      <c r="AO30" s="150"/>
      <c r="AP30" s="150"/>
      <c r="AQ30" s="150"/>
      <c r="AR30" s="150" t="s">
        <v>115</v>
      </c>
      <c r="AS30" s="150" t="s">
        <v>594</v>
      </c>
      <c r="AT30" s="150" t="s">
        <v>596</v>
      </c>
      <c r="AU30" s="150" t="s">
        <v>594</v>
      </c>
      <c r="AV30" s="150" t="s">
        <v>594</v>
      </c>
      <c r="AW30" s="150"/>
      <c r="AX30" s="150"/>
      <c r="AY30" s="150"/>
      <c r="AZ30" s="150"/>
      <c r="BA30" s="150"/>
      <c r="BB30" s="150"/>
      <c r="BC30" s="150"/>
      <c r="BD30" s="150"/>
      <c r="BE30" s="150"/>
      <c r="BF30" s="150"/>
      <c r="BG30" s="170">
        <f t="shared" ref="BG30:BG45" si="58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</f>
        <v>1</v>
      </c>
      <c r="BH30" s="150" t="s">
        <v>111</v>
      </c>
      <c r="BI30" s="150">
        <v>0</v>
      </c>
      <c r="BJ30" s="150">
        <v>10</v>
      </c>
      <c r="BK30" s="150">
        <v>15</v>
      </c>
      <c r="BL30" s="150">
        <v>20</v>
      </c>
      <c r="BM30" s="150">
        <v>25</v>
      </c>
      <c r="BN30" s="150">
        <v>30</v>
      </c>
      <c r="BO30" s="150">
        <v>35</v>
      </c>
      <c r="BP30" s="150">
        <v>40</v>
      </c>
      <c r="BQ30" s="150">
        <v>45</v>
      </c>
      <c r="BR30" s="150">
        <v>50</v>
      </c>
      <c r="BS30" s="150">
        <v>55</v>
      </c>
      <c r="BT30" s="150">
        <v>60</v>
      </c>
      <c r="BU30" s="150">
        <v>65</v>
      </c>
      <c r="BV30" s="150"/>
      <c r="BW30" s="150" t="s">
        <v>470</v>
      </c>
      <c r="BX30" s="150">
        <v>0</v>
      </c>
      <c r="BY30" s="150">
        <v>10</v>
      </c>
      <c r="BZ30" s="150">
        <v>15</v>
      </c>
      <c r="CA30" s="150">
        <v>20</v>
      </c>
      <c r="CB30" s="150">
        <v>25</v>
      </c>
      <c r="CC30" s="150">
        <v>30</v>
      </c>
      <c r="CD30" s="150">
        <v>35</v>
      </c>
      <c r="CE30" s="150">
        <v>40</v>
      </c>
      <c r="CF30" s="150">
        <v>45</v>
      </c>
      <c r="CG30" s="150">
        <v>50</v>
      </c>
      <c r="CH30" s="150">
        <v>55</v>
      </c>
      <c r="CI30" s="150">
        <v>60</v>
      </c>
      <c r="CJ30" s="150">
        <v>65</v>
      </c>
      <c r="CK30" s="150"/>
      <c r="CL30" s="150"/>
      <c r="CM30" s="150"/>
      <c r="CN30" s="150" t="s">
        <v>473</v>
      </c>
      <c r="CO30" s="150">
        <v>0</v>
      </c>
      <c r="CP30" s="150">
        <v>10</v>
      </c>
      <c r="CQ30" s="150">
        <v>15</v>
      </c>
      <c r="CR30" s="150">
        <v>20</v>
      </c>
      <c r="CS30" s="150">
        <v>25</v>
      </c>
      <c r="CT30" s="150">
        <v>30</v>
      </c>
      <c r="CU30" s="150">
        <v>35</v>
      </c>
      <c r="CV30" s="150">
        <v>40</v>
      </c>
      <c r="CW30" s="150">
        <v>45</v>
      </c>
      <c r="CX30" s="150">
        <v>50</v>
      </c>
      <c r="CY30" s="150">
        <v>55</v>
      </c>
      <c r="CZ30" s="150">
        <v>60</v>
      </c>
      <c r="DA30" s="150">
        <v>65</v>
      </c>
      <c r="DB30" s="150"/>
      <c r="DC30" s="150" t="s">
        <v>138</v>
      </c>
      <c r="DD30" s="150">
        <v>0</v>
      </c>
      <c r="DE30" s="150">
        <v>10</v>
      </c>
      <c r="DF30" s="150">
        <v>15</v>
      </c>
      <c r="DG30" s="150">
        <v>20</v>
      </c>
      <c r="DH30" s="150">
        <v>25</v>
      </c>
      <c r="DI30" s="150">
        <v>30</v>
      </c>
      <c r="DJ30" s="150">
        <v>35</v>
      </c>
      <c r="DK30" s="150">
        <v>40</v>
      </c>
      <c r="DL30" s="150">
        <v>45</v>
      </c>
      <c r="DM30" s="150">
        <v>50</v>
      </c>
      <c r="DN30" s="150">
        <v>55</v>
      </c>
      <c r="DO30" s="150">
        <v>60</v>
      </c>
      <c r="DP30" s="150">
        <v>65</v>
      </c>
      <c r="DQ30" s="181"/>
      <c r="DR30" s="181">
        <v>10</v>
      </c>
      <c r="DS30" s="181"/>
      <c r="DT30" s="150" t="s">
        <v>508</v>
      </c>
      <c r="DU30" s="150">
        <v>0</v>
      </c>
      <c r="DV30" s="150">
        <v>10</v>
      </c>
      <c r="DW30" s="150">
        <v>15</v>
      </c>
      <c r="DX30" s="150">
        <v>20</v>
      </c>
      <c r="DY30" s="150">
        <v>25</v>
      </c>
      <c r="DZ30" s="150">
        <v>30</v>
      </c>
      <c r="EA30" s="150">
        <v>35</v>
      </c>
      <c r="EB30" s="150">
        <v>40</v>
      </c>
      <c r="EC30" s="150">
        <v>45</v>
      </c>
      <c r="ED30" s="150">
        <v>50</v>
      </c>
      <c r="EE30" s="150">
        <v>55</v>
      </c>
      <c r="EF30" s="150">
        <v>60</v>
      </c>
      <c r="EG30" s="150">
        <v>65</v>
      </c>
      <c r="EH30" s="150"/>
      <c r="EI30" s="150"/>
      <c r="EJ30" s="155"/>
      <c r="EK30" s="150" t="s">
        <v>111</v>
      </c>
      <c r="EL30" s="150">
        <v>0</v>
      </c>
      <c r="EM30" s="150">
        <v>10</v>
      </c>
      <c r="EN30" s="150">
        <v>15</v>
      </c>
      <c r="EO30" s="150">
        <v>20</v>
      </c>
      <c r="EP30" s="150">
        <v>25</v>
      </c>
      <c r="EQ30" s="150">
        <v>30</v>
      </c>
      <c r="ER30" s="150">
        <v>35</v>
      </c>
      <c r="ES30" s="150">
        <v>40</v>
      </c>
      <c r="ET30" s="150">
        <v>45</v>
      </c>
      <c r="EU30" s="150">
        <v>50</v>
      </c>
      <c r="EV30" s="150">
        <v>55</v>
      </c>
      <c r="EW30" s="150">
        <v>60</v>
      </c>
      <c r="EX30" s="150">
        <v>65</v>
      </c>
      <c r="EY30" s="150"/>
      <c r="EZ30" s="150" t="s">
        <v>470</v>
      </c>
      <c r="FA30" s="150">
        <v>0</v>
      </c>
      <c r="FB30" s="150">
        <v>10</v>
      </c>
      <c r="FC30" s="150">
        <v>15</v>
      </c>
      <c r="FD30" s="150">
        <v>20</v>
      </c>
      <c r="FE30" s="150">
        <v>25</v>
      </c>
      <c r="FF30" s="150">
        <v>30</v>
      </c>
      <c r="FG30" s="150">
        <v>35</v>
      </c>
      <c r="FH30" s="150">
        <v>40</v>
      </c>
      <c r="FI30" s="150">
        <v>45</v>
      </c>
      <c r="FJ30" s="150">
        <v>50</v>
      </c>
      <c r="FK30" s="150">
        <v>55</v>
      </c>
      <c r="FL30" s="150">
        <v>60</v>
      </c>
      <c r="FM30" s="150">
        <v>65</v>
      </c>
      <c r="FN30" s="150"/>
      <c r="FO30" s="150" t="s">
        <v>473</v>
      </c>
      <c r="FP30" s="150">
        <v>0</v>
      </c>
      <c r="FQ30" s="150">
        <v>10</v>
      </c>
      <c r="FR30" s="150">
        <v>15</v>
      </c>
      <c r="FS30" s="150">
        <v>20</v>
      </c>
      <c r="FT30" s="150">
        <v>25</v>
      </c>
      <c r="FU30" s="150">
        <v>30</v>
      </c>
      <c r="FV30" s="150">
        <v>35</v>
      </c>
      <c r="FW30" s="150">
        <v>40</v>
      </c>
      <c r="FX30" s="150">
        <v>45</v>
      </c>
      <c r="FY30" s="150">
        <v>50</v>
      </c>
      <c r="FZ30" s="150">
        <v>55</v>
      </c>
      <c r="GA30" s="150">
        <v>60</v>
      </c>
      <c r="GB30" s="150">
        <v>65</v>
      </c>
      <c r="GC30" s="150"/>
      <c r="GD30" s="150" t="s">
        <v>138</v>
      </c>
      <c r="GE30" s="150">
        <v>0</v>
      </c>
      <c r="GF30" s="150">
        <v>10</v>
      </c>
      <c r="GG30" s="150">
        <v>15</v>
      </c>
      <c r="GH30" s="150">
        <v>20</v>
      </c>
      <c r="GI30" s="150">
        <v>25</v>
      </c>
      <c r="GJ30" s="150">
        <v>30</v>
      </c>
      <c r="GK30" s="150">
        <v>35</v>
      </c>
      <c r="GL30" s="150">
        <v>40</v>
      </c>
      <c r="GM30" s="150">
        <v>45</v>
      </c>
      <c r="GN30" s="150">
        <v>50</v>
      </c>
      <c r="GO30" s="150">
        <v>55</v>
      </c>
      <c r="GP30" s="150">
        <v>60</v>
      </c>
      <c r="GQ30" s="150">
        <v>65</v>
      </c>
      <c r="GR30" s="150"/>
      <c r="GS30" s="150" t="s">
        <v>508</v>
      </c>
      <c r="GT30" s="150">
        <v>0</v>
      </c>
      <c r="GU30" s="150">
        <v>10</v>
      </c>
      <c r="GV30" s="150">
        <v>15</v>
      </c>
      <c r="GW30" s="150">
        <v>20</v>
      </c>
      <c r="GX30" s="150">
        <v>25</v>
      </c>
      <c r="GY30" s="150">
        <v>30</v>
      </c>
      <c r="GZ30" s="150">
        <v>35</v>
      </c>
      <c r="HA30" s="150">
        <v>40</v>
      </c>
      <c r="HB30" s="150">
        <v>45</v>
      </c>
      <c r="HC30" s="150">
        <v>50</v>
      </c>
      <c r="HD30" s="150">
        <v>55</v>
      </c>
      <c r="HE30" s="150">
        <v>60</v>
      </c>
      <c r="HF30" s="150">
        <v>65</v>
      </c>
      <c r="HG30" s="156"/>
      <c r="HH30" s="150"/>
    </row>
    <row r="31" spans="1:216" x14ac:dyDescent="0.2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6" t="s">
        <v>591</v>
      </c>
      <c r="M31" s="11">
        <f>INDEX(cennik!$C$2:$L$529,MATCH($L31,cennik!$B$2:$B$522,0),MATCH(M$2,cennik!$C$1:$L$1,0))</f>
        <v>867810</v>
      </c>
      <c r="N31" s="11" t="str">
        <f>INDEX(cennik!$C$2:$L$529,MATCH($L31,cennik!$B$2:$B$522,0),MATCH(N$2,cennik!$C$1:$L$1,0))</f>
        <v>szt.</v>
      </c>
      <c r="O31" s="11">
        <f>E6*4</f>
        <v>0</v>
      </c>
      <c r="P31" s="34">
        <f>INDEX(cennik!$C$2:$L$529,MATCH($L31,cennik!$B$2:$B$522,0),MATCH(P$2,cennik!$C$1:$L$1,0))</f>
        <v>50.61</v>
      </c>
      <c r="Q31" s="34">
        <f>O31*P31</f>
        <v>0</v>
      </c>
      <c r="R31" s="35">
        <f>$E$7</f>
        <v>0</v>
      </c>
      <c r="S31" s="34">
        <f>P31*((100-$E$7)/100)</f>
        <v>50.61</v>
      </c>
      <c r="T31" s="34">
        <f>O31*S31</f>
        <v>0</v>
      </c>
      <c r="U31" s="34">
        <f>INDEX(cennik!$C$2:$L$529,MATCH($L31,cennik!$B$2:$B$522,0),MATCH(U$2,cennik!$C$1:$L$1,0))*O31</f>
        <v>0</v>
      </c>
      <c r="V31" s="62"/>
      <c r="AC31" s="150"/>
      <c r="AD31" s="150"/>
      <c r="AE31" s="154" t="s">
        <v>762</v>
      </c>
      <c r="AF31" s="150">
        <v>1350</v>
      </c>
      <c r="AG31" s="150"/>
      <c r="AH31" s="150"/>
      <c r="AJ31" s="150"/>
      <c r="AK31" s="150"/>
      <c r="AL31" s="150"/>
      <c r="AM31" s="150"/>
      <c r="AN31" s="150"/>
      <c r="AO31" s="150"/>
      <c r="AP31" s="150"/>
      <c r="AQ31" s="150"/>
      <c r="AR31" s="150" t="s">
        <v>474</v>
      </c>
      <c r="AS31" s="150" t="s">
        <v>594</v>
      </c>
      <c r="AT31" s="150" t="s">
        <v>596</v>
      </c>
      <c r="AU31" s="150" t="s">
        <v>594</v>
      </c>
      <c r="AV31" s="150" t="s">
        <v>594</v>
      </c>
      <c r="AW31" s="150"/>
      <c r="AX31" s="150"/>
      <c r="AY31" s="150"/>
      <c r="AZ31" s="150"/>
      <c r="BA31" s="150"/>
      <c r="BB31" s="150"/>
      <c r="BC31" s="150"/>
      <c r="BD31" s="150"/>
      <c r="BE31" s="150"/>
      <c r="BF31" s="150"/>
      <c r="BG31" s="170">
        <f t="shared" si="58"/>
        <v>1</v>
      </c>
      <c r="BH31" s="150" t="s">
        <v>217</v>
      </c>
      <c r="BI31" s="150">
        <v>0</v>
      </c>
      <c r="BJ31" s="150">
        <f>IF(BJ3=0,0,IF(BJ3=5,6,IF(BJ3=10,12,IF(BJ3=15,18,IF(BJ3=20,24,0)))))</f>
        <v>0</v>
      </c>
      <c r="BK31" s="150">
        <f t="shared" ref="BK31:BU31" si="59">IF(BK3=0,0,IF(BK3=5,6,IF(BK3=10,12,IF(BK3=15,18,IF(BK3=20,24,0)))))</f>
        <v>0</v>
      </c>
      <c r="BL31" s="150">
        <f>IF(BL3=0,0,IF(BL3=5,6,IF(BL3=10,12,IF(BL3=15,18,IF(BL3=20,24,0)))))</f>
        <v>6</v>
      </c>
      <c r="BM31" s="150">
        <f t="shared" si="59"/>
        <v>0</v>
      </c>
      <c r="BN31" s="150">
        <f t="shared" si="59"/>
        <v>6</v>
      </c>
      <c r="BO31" s="150">
        <f t="shared" si="59"/>
        <v>0</v>
      </c>
      <c r="BP31" s="150">
        <f t="shared" si="59"/>
        <v>12</v>
      </c>
      <c r="BQ31" s="150">
        <f t="shared" si="59"/>
        <v>6</v>
      </c>
      <c r="BR31" s="150">
        <f t="shared" si="59"/>
        <v>12</v>
      </c>
      <c r="BS31" s="150">
        <f t="shared" si="59"/>
        <v>6</v>
      </c>
      <c r="BT31" s="150">
        <f t="shared" si="59"/>
        <v>12</v>
      </c>
      <c r="BU31" s="150">
        <f t="shared" si="59"/>
        <v>12</v>
      </c>
      <c r="BV31" s="150"/>
      <c r="BW31" s="150" t="s">
        <v>217</v>
      </c>
      <c r="BX31" s="150">
        <v>0</v>
      </c>
      <c r="BY31" s="150">
        <f t="shared" ref="BY31:CJ34" si="60">IF(BY3=0,0,IF(BY3=5,6,IF(BY3=10,12,IF(BY3=15,18,IF(BY3=20,24,0)))))</f>
        <v>0</v>
      </c>
      <c r="BZ31" s="150">
        <f t="shared" si="60"/>
        <v>6</v>
      </c>
      <c r="CA31" s="150">
        <f t="shared" si="60"/>
        <v>6</v>
      </c>
      <c r="CB31" s="150">
        <f t="shared" si="60"/>
        <v>0</v>
      </c>
      <c r="CC31" s="150">
        <f t="shared" si="60"/>
        <v>6</v>
      </c>
      <c r="CD31" s="150">
        <f t="shared" si="60"/>
        <v>0</v>
      </c>
      <c r="CE31" s="150">
        <f t="shared" si="60"/>
        <v>6</v>
      </c>
      <c r="CF31" s="150">
        <f t="shared" si="60"/>
        <v>12</v>
      </c>
      <c r="CG31" s="150">
        <f t="shared" si="60"/>
        <v>12</v>
      </c>
      <c r="CH31" s="150">
        <f t="shared" si="60"/>
        <v>12</v>
      </c>
      <c r="CI31" s="150">
        <f t="shared" si="60"/>
        <v>12</v>
      </c>
      <c r="CJ31" s="150">
        <f t="shared" si="60"/>
        <v>18</v>
      </c>
      <c r="CK31" s="150"/>
      <c r="CL31" s="150"/>
      <c r="CM31" s="150"/>
      <c r="CN31" s="150" t="s">
        <v>217</v>
      </c>
      <c r="CO31" s="150">
        <v>0</v>
      </c>
      <c r="CP31" s="150">
        <f t="shared" ref="CP31:DA34" si="61">IF(CP3=0,0,IF(CP3=5,6,IF(CP3=10,12,IF(CP3=15,18,IF(CP3=20,24,0)))))</f>
        <v>0</v>
      </c>
      <c r="CQ31" s="150">
        <f t="shared" si="61"/>
        <v>6</v>
      </c>
      <c r="CR31" s="150">
        <f t="shared" si="61"/>
        <v>0</v>
      </c>
      <c r="CS31" s="150">
        <f t="shared" si="61"/>
        <v>6</v>
      </c>
      <c r="CT31" s="150">
        <f t="shared" si="61"/>
        <v>0</v>
      </c>
      <c r="CU31" s="150">
        <f t="shared" si="61"/>
        <v>12</v>
      </c>
      <c r="CV31" s="150">
        <f t="shared" si="61"/>
        <v>6</v>
      </c>
      <c r="CW31" s="150">
        <f t="shared" si="61"/>
        <v>12</v>
      </c>
      <c r="CX31" s="150">
        <f t="shared" si="61"/>
        <v>18</v>
      </c>
      <c r="CY31" s="150">
        <f t="shared" si="61"/>
        <v>12</v>
      </c>
      <c r="CZ31" s="150">
        <f t="shared" si="61"/>
        <v>18</v>
      </c>
      <c r="DA31" s="150">
        <f t="shared" si="61"/>
        <v>24</v>
      </c>
      <c r="DB31" s="150"/>
      <c r="DC31" s="150" t="s">
        <v>217</v>
      </c>
      <c r="DD31" s="150">
        <v>0</v>
      </c>
      <c r="DE31" s="150">
        <f t="shared" ref="DE31:DP34" si="62">IF(DE3=0,0,IF(DE3=5,6,IF(DE3=10,12,IF(DE3=15,18,IF(DE3=20,24,0)))))</f>
        <v>0</v>
      </c>
      <c r="DF31" s="150">
        <f t="shared" si="62"/>
        <v>6</v>
      </c>
      <c r="DG31" s="150">
        <f t="shared" si="62"/>
        <v>0</v>
      </c>
      <c r="DH31" s="150">
        <f t="shared" si="62"/>
        <v>6</v>
      </c>
      <c r="DI31" s="150">
        <f t="shared" si="62"/>
        <v>0</v>
      </c>
      <c r="DJ31" s="150">
        <f t="shared" si="62"/>
        <v>6</v>
      </c>
      <c r="DK31" s="150">
        <f t="shared" si="62"/>
        <v>12</v>
      </c>
      <c r="DL31" s="150">
        <f t="shared" si="62"/>
        <v>6</v>
      </c>
      <c r="DM31" s="150">
        <f t="shared" si="62"/>
        <v>12</v>
      </c>
      <c r="DN31" s="150">
        <f t="shared" si="62"/>
        <v>18</v>
      </c>
      <c r="DO31" s="150">
        <f t="shared" si="62"/>
        <v>12</v>
      </c>
      <c r="DP31" s="150">
        <f t="shared" si="62"/>
        <v>18</v>
      </c>
      <c r="DQ31" s="181"/>
      <c r="DR31" s="181">
        <v>15</v>
      </c>
      <c r="DS31" s="181"/>
      <c r="DT31" s="150" t="s">
        <v>217</v>
      </c>
      <c r="DU31" s="150">
        <v>0</v>
      </c>
      <c r="DV31" s="150">
        <f t="shared" ref="DV31:EG34" si="63">IF(DV3=0,0,IF(DV3=5,6,IF(DV3=10,12,IF(DV3=15,18,IF(DV3=20,24,0)))))</f>
        <v>0</v>
      </c>
      <c r="DW31" s="150">
        <f t="shared" si="63"/>
        <v>6</v>
      </c>
      <c r="DX31" s="150">
        <f t="shared" si="63"/>
        <v>0</v>
      </c>
      <c r="DY31" s="150">
        <f t="shared" si="63"/>
        <v>0</v>
      </c>
      <c r="DZ31" s="150">
        <f t="shared" si="63"/>
        <v>12</v>
      </c>
      <c r="EA31" s="150">
        <f t="shared" si="63"/>
        <v>6</v>
      </c>
      <c r="EB31" s="150">
        <f t="shared" si="63"/>
        <v>12</v>
      </c>
      <c r="EC31" s="150">
        <f t="shared" si="63"/>
        <v>12</v>
      </c>
      <c r="ED31" s="150">
        <f t="shared" si="63"/>
        <v>18</v>
      </c>
      <c r="EE31" s="150">
        <f t="shared" si="63"/>
        <v>12</v>
      </c>
      <c r="EF31" s="150">
        <f t="shared" si="63"/>
        <v>18</v>
      </c>
      <c r="EG31" s="150">
        <f t="shared" si="63"/>
        <v>24</v>
      </c>
      <c r="EH31" s="150"/>
      <c r="EI31" s="150"/>
      <c r="EJ31" s="155"/>
      <c r="EK31" s="150" t="s">
        <v>586</v>
      </c>
      <c r="EL31" s="150">
        <v>0</v>
      </c>
      <c r="EM31" s="150">
        <f t="shared" ref="EM31:EX31" si="64">EM3/5*6</f>
        <v>0</v>
      </c>
      <c r="EN31" s="150">
        <f t="shared" si="64"/>
        <v>0</v>
      </c>
      <c r="EO31" s="150">
        <f t="shared" si="64"/>
        <v>6</v>
      </c>
      <c r="EP31" s="150">
        <f t="shared" si="64"/>
        <v>0</v>
      </c>
      <c r="EQ31" s="150">
        <f t="shared" si="64"/>
        <v>0</v>
      </c>
      <c r="ER31" s="150">
        <f t="shared" si="64"/>
        <v>0</v>
      </c>
      <c r="ES31" s="150">
        <f t="shared" si="64"/>
        <v>0</v>
      </c>
      <c r="ET31" s="150">
        <f t="shared" si="64"/>
        <v>0</v>
      </c>
      <c r="EU31" s="150">
        <f t="shared" si="64"/>
        <v>0</v>
      </c>
      <c r="EV31" s="150">
        <f t="shared" si="64"/>
        <v>0</v>
      </c>
      <c r="EW31" s="150">
        <f t="shared" si="64"/>
        <v>0</v>
      </c>
      <c r="EX31" s="150">
        <f t="shared" si="64"/>
        <v>0</v>
      </c>
      <c r="EZ31" s="150" t="s">
        <v>586</v>
      </c>
      <c r="FA31" s="150">
        <v>0</v>
      </c>
      <c r="FB31" s="150">
        <f t="shared" ref="FB31:FM31" si="65">FB3/5*6</f>
        <v>0</v>
      </c>
      <c r="FC31" s="150">
        <f t="shared" si="65"/>
        <v>6</v>
      </c>
      <c r="FD31" s="150">
        <f t="shared" si="65"/>
        <v>6</v>
      </c>
      <c r="FE31" s="150">
        <f t="shared" si="65"/>
        <v>0</v>
      </c>
      <c r="FF31" s="150">
        <f t="shared" si="65"/>
        <v>0</v>
      </c>
      <c r="FG31" s="150">
        <f t="shared" si="65"/>
        <v>0</v>
      </c>
      <c r="FH31" s="150">
        <f t="shared" si="65"/>
        <v>0</v>
      </c>
      <c r="FI31" s="150">
        <f t="shared" si="65"/>
        <v>0</v>
      </c>
      <c r="FJ31" s="150">
        <f t="shared" si="65"/>
        <v>0</v>
      </c>
      <c r="FK31" s="150">
        <f t="shared" si="65"/>
        <v>0</v>
      </c>
      <c r="FL31" s="150">
        <f t="shared" si="65"/>
        <v>0</v>
      </c>
      <c r="FM31" s="150">
        <f t="shared" si="65"/>
        <v>0</v>
      </c>
      <c r="FO31" s="150" t="s">
        <v>586</v>
      </c>
      <c r="FP31" s="150">
        <v>0</v>
      </c>
      <c r="FQ31" s="150">
        <f t="shared" ref="FQ31:GB31" si="66">FQ3/5*6</f>
        <v>0</v>
      </c>
      <c r="FR31" s="150">
        <f t="shared" si="66"/>
        <v>6</v>
      </c>
      <c r="FS31" s="150">
        <f t="shared" si="66"/>
        <v>0</v>
      </c>
      <c r="FT31" s="150">
        <f t="shared" si="66"/>
        <v>0</v>
      </c>
      <c r="FU31" s="150">
        <f t="shared" si="66"/>
        <v>0</v>
      </c>
      <c r="FV31" s="150">
        <f t="shared" si="66"/>
        <v>0</v>
      </c>
      <c r="FW31" s="150">
        <f t="shared" si="66"/>
        <v>0</v>
      </c>
      <c r="FX31" s="150">
        <f t="shared" si="66"/>
        <v>0</v>
      </c>
      <c r="FY31" s="150">
        <f t="shared" si="66"/>
        <v>0</v>
      </c>
      <c r="FZ31" s="150">
        <f t="shared" si="66"/>
        <v>0</v>
      </c>
      <c r="GA31" s="150">
        <f t="shared" si="66"/>
        <v>0</v>
      </c>
      <c r="GB31" s="150">
        <f t="shared" si="66"/>
        <v>0</v>
      </c>
      <c r="GD31" s="150" t="s">
        <v>586</v>
      </c>
      <c r="GE31" s="150">
        <v>0</v>
      </c>
      <c r="GF31" s="150">
        <f t="shared" ref="GF31:GQ31" si="67">GF3/5*6</f>
        <v>0</v>
      </c>
      <c r="GG31" s="150">
        <f t="shared" si="67"/>
        <v>6</v>
      </c>
      <c r="GH31" s="150">
        <f t="shared" si="67"/>
        <v>0</v>
      </c>
      <c r="GI31" s="150">
        <f t="shared" si="67"/>
        <v>0</v>
      </c>
      <c r="GJ31" s="150">
        <f t="shared" si="67"/>
        <v>0</v>
      </c>
      <c r="GK31" s="150">
        <f t="shared" si="67"/>
        <v>0</v>
      </c>
      <c r="GL31" s="150">
        <f t="shared" si="67"/>
        <v>0</v>
      </c>
      <c r="GM31" s="150">
        <f t="shared" si="67"/>
        <v>0</v>
      </c>
      <c r="GN31" s="150">
        <f t="shared" si="67"/>
        <v>0</v>
      </c>
      <c r="GO31" s="150">
        <f t="shared" si="67"/>
        <v>0</v>
      </c>
      <c r="GP31" s="150">
        <f t="shared" si="67"/>
        <v>0</v>
      </c>
      <c r="GQ31" s="150">
        <f t="shared" si="67"/>
        <v>0</v>
      </c>
      <c r="GS31" s="150" t="s">
        <v>586</v>
      </c>
      <c r="GT31" s="150">
        <v>0</v>
      </c>
      <c r="GU31" s="150">
        <f t="shared" ref="GU31:HF31" si="68">GU3/5*6</f>
        <v>0</v>
      </c>
      <c r="GV31" s="150">
        <f t="shared" si="68"/>
        <v>6</v>
      </c>
      <c r="GW31" s="150">
        <f t="shared" si="68"/>
        <v>0</v>
      </c>
      <c r="GX31" s="150">
        <f t="shared" si="68"/>
        <v>0</v>
      </c>
      <c r="GY31" s="150">
        <f t="shared" si="68"/>
        <v>0</v>
      </c>
      <c r="GZ31" s="150">
        <f t="shared" si="68"/>
        <v>0</v>
      </c>
      <c r="HA31" s="150">
        <f t="shared" si="68"/>
        <v>0</v>
      </c>
      <c r="HB31" s="150">
        <f t="shared" si="68"/>
        <v>0</v>
      </c>
      <c r="HC31" s="150">
        <f t="shared" si="68"/>
        <v>0</v>
      </c>
      <c r="HD31" s="150">
        <f t="shared" si="68"/>
        <v>0</v>
      </c>
      <c r="HE31" s="150">
        <f t="shared" si="68"/>
        <v>0</v>
      </c>
      <c r="HF31" s="150">
        <f t="shared" si="68"/>
        <v>0</v>
      </c>
      <c r="HG31" s="156"/>
      <c r="HH31" s="150"/>
    </row>
    <row r="32" spans="1:216" x14ac:dyDescent="0.2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24"/>
      <c r="N32" s="24"/>
      <c r="O32" s="24"/>
      <c r="P32" s="24"/>
      <c r="Q32" s="24"/>
      <c r="R32" s="24"/>
      <c r="S32" s="24"/>
      <c r="T32" s="34">
        <f>SUM(T3:T31)</f>
        <v>6199.2000000000007</v>
      </c>
      <c r="U32" s="34">
        <f>SUM(U3:U31)</f>
        <v>426.13000000000005</v>
      </c>
      <c r="V32" s="62"/>
      <c r="W32" s="166"/>
      <c r="X32" s="166"/>
      <c r="Y32" s="166"/>
      <c r="Z32" s="166"/>
      <c r="AA32" s="167" t="s">
        <v>311</v>
      </c>
      <c r="AB32" s="168" t="s">
        <v>318</v>
      </c>
      <c r="AC32" s="150"/>
      <c r="AD32" s="150"/>
      <c r="AE32" s="154" t="s">
        <v>767</v>
      </c>
      <c r="AF32" s="150">
        <v>1400</v>
      </c>
      <c r="AG32" s="150"/>
      <c r="AH32" s="150"/>
      <c r="AI32" s="150"/>
      <c r="AJ32" s="150"/>
      <c r="AK32" s="150" t="s">
        <v>314</v>
      </c>
      <c r="AL32" s="150" t="s">
        <v>312</v>
      </c>
      <c r="AM32" s="150" t="s">
        <v>309</v>
      </c>
      <c r="AN32" s="150" t="s">
        <v>313</v>
      </c>
      <c r="AO32" s="150"/>
      <c r="AP32" s="150"/>
      <c r="AQ32" s="150"/>
      <c r="AR32" s="150" t="s">
        <v>480</v>
      </c>
      <c r="AS32" s="150" t="s">
        <v>594</v>
      </c>
      <c r="AT32" s="150" t="s">
        <v>596</v>
      </c>
      <c r="AU32" s="150" t="s">
        <v>594</v>
      </c>
      <c r="AV32" s="150" t="s">
        <v>594</v>
      </c>
      <c r="AW32" s="150"/>
      <c r="AX32" s="150"/>
      <c r="AY32" s="150"/>
      <c r="AZ32" s="150"/>
      <c r="BA32" s="150"/>
      <c r="BB32" s="150"/>
      <c r="BC32" s="150"/>
      <c r="BD32" s="150"/>
      <c r="BE32" s="150"/>
      <c r="BF32" s="150"/>
      <c r="BG32" s="170">
        <f t="shared" si="58"/>
        <v>1</v>
      </c>
      <c r="BH32" s="150" t="s">
        <v>216</v>
      </c>
      <c r="BI32" s="150">
        <v>0</v>
      </c>
      <c r="BJ32" s="150">
        <f t="shared" ref="BJ32:BU33" si="69">IF(BJ4=0,0,IF(BJ4=5,6,IF(BJ4=10,12,IF(BJ4=15,18,IF(BJ4=20,24,0)))))</f>
        <v>0</v>
      </c>
      <c r="BK32" s="150">
        <f t="shared" si="69"/>
        <v>6</v>
      </c>
      <c r="BL32" s="150">
        <f t="shared" si="69"/>
        <v>0</v>
      </c>
      <c r="BM32" s="150">
        <f t="shared" si="69"/>
        <v>12</v>
      </c>
      <c r="BN32" s="150">
        <f t="shared" si="69"/>
        <v>0</v>
      </c>
      <c r="BO32" s="150">
        <f t="shared" si="69"/>
        <v>12</v>
      </c>
      <c r="BP32" s="150">
        <f t="shared" si="69"/>
        <v>0</v>
      </c>
      <c r="BQ32" s="150">
        <f t="shared" si="69"/>
        <v>12</v>
      </c>
      <c r="BR32" s="150">
        <f t="shared" si="69"/>
        <v>0</v>
      </c>
      <c r="BS32" s="150">
        <f t="shared" si="69"/>
        <v>12</v>
      </c>
      <c r="BT32" s="150">
        <f t="shared" si="69"/>
        <v>6</v>
      </c>
      <c r="BU32" s="150">
        <f t="shared" si="69"/>
        <v>12</v>
      </c>
      <c r="BV32" s="150"/>
      <c r="BW32" s="150" t="s">
        <v>216</v>
      </c>
      <c r="BX32" s="150">
        <v>0</v>
      </c>
      <c r="BY32" s="150">
        <f t="shared" si="60"/>
        <v>0</v>
      </c>
      <c r="BZ32" s="150">
        <f t="shared" si="60"/>
        <v>0</v>
      </c>
      <c r="CA32" s="150">
        <f t="shared" si="60"/>
        <v>0</v>
      </c>
      <c r="CB32" s="150">
        <f t="shared" si="60"/>
        <v>12</v>
      </c>
      <c r="CC32" s="150">
        <f t="shared" si="60"/>
        <v>6</v>
      </c>
      <c r="CD32" s="150">
        <f t="shared" si="60"/>
        <v>12</v>
      </c>
      <c r="CE32" s="150">
        <f t="shared" si="60"/>
        <v>12</v>
      </c>
      <c r="CF32" s="150">
        <f t="shared" si="60"/>
        <v>0</v>
      </c>
      <c r="CG32" s="150">
        <f t="shared" si="60"/>
        <v>6</v>
      </c>
      <c r="CH32" s="150">
        <f t="shared" si="60"/>
        <v>6</v>
      </c>
      <c r="CI32" s="150">
        <f t="shared" si="60"/>
        <v>12</v>
      </c>
      <c r="CJ32" s="150">
        <f t="shared" si="60"/>
        <v>6</v>
      </c>
      <c r="CK32" s="150"/>
      <c r="CL32" s="150"/>
      <c r="CM32" s="150"/>
      <c r="CN32" s="150" t="s">
        <v>216</v>
      </c>
      <c r="CO32" s="150">
        <v>0</v>
      </c>
      <c r="CP32" s="150">
        <f t="shared" si="61"/>
        <v>0</v>
      </c>
      <c r="CQ32" s="150">
        <f t="shared" si="61"/>
        <v>0</v>
      </c>
      <c r="CR32" s="150">
        <f t="shared" si="61"/>
        <v>6</v>
      </c>
      <c r="CS32" s="150">
        <f t="shared" si="61"/>
        <v>0</v>
      </c>
      <c r="CT32" s="150">
        <f t="shared" si="61"/>
        <v>12</v>
      </c>
      <c r="CU32" s="150">
        <f t="shared" si="61"/>
        <v>0</v>
      </c>
      <c r="CV32" s="150">
        <f t="shared" si="61"/>
        <v>12</v>
      </c>
      <c r="CW32" s="150">
        <f t="shared" si="61"/>
        <v>6</v>
      </c>
      <c r="CX32" s="150">
        <f t="shared" si="61"/>
        <v>0</v>
      </c>
      <c r="CY32" s="150">
        <f t="shared" si="61"/>
        <v>12</v>
      </c>
      <c r="CZ32" s="150">
        <f t="shared" si="61"/>
        <v>6</v>
      </c>
      <c r="DA32" s="150">
        <f t="shared" si="61"/>
        <v>0</v>
      </c>
      <c r="DB32" s="150"/>
      <c r="DC32" s="150" t="s">
        <v>216</v>
      </c>
      <c r="DD32" s="150">
        <v>0</v>
      </c>
      <c r="DE32" s="150">
        <f t="shared" si="62"/>
        <v>6</v>
      </c>
      <c r="DF32" s="150">
        <f t="shared" si="62"/>
        <v>0</v>
      </c>
      <c r="DG32" s="150">
        <f t="shared" si="62"/>
        <v>12</v>
      </c>
      <c r="DH32" s="150">
        <f t="shared" si="62"/>
        <v>0</v>
      </c>
      <c r="DI32" s="150">
        <f t="shared" si="62"/>
        <v>12</v>
      </c>
      <c r="DJ32" s="150">
        <f t="shared" si="62"/>
        <v>12</v>
      </c>
      <c r="DK32" s="150">
        <f t="shared" si="62"/>
        <v>6</v>
      </c>
      <c r="DL32" s="150">
        <f t="shared" si="62"/>
        <v>12</v>
      </c>
      <c r="DM32" s="150">
        <f t="shared" si="62"/>
        <v>6</v>
      </c>
      <c r="DN32" s="150">
        <f t="shared" si="62"/>
        <v>6</v>
      </c>
      <c r="DO32" s="150">
        <f t="shared" si="62"/>
        <v>12</v>
      </c>
      <c r="DP32" s="150">
        <f t="shared" si="62"/>
        <v>6</v>
      </c>
      <c r="DQ32" s="181"/>
      <c r="DR32" s="181">
        <v>20</v>
      </c>
      <c r="DS32" s="181"/>
      <c r="DT32" s="150" t="s">
        <v>216</v>
      </c>
      <c r="DU32" s="150">
        <v>0</v>
      </c>
      <c r="DV32" s="150">
        <f t="shared" si="63"/>
        <v>6</v>
      </c>
      <c r="DW32" s="150">
        <f t="shared" si="63"/>
        <v>0</v>
      </c>
      <c r="DX32" s="150">
        <f t="shared" si="63"/>
        <v>12</v>
      </c>
      <c r="DY32" s="150">
        <f t="shared" si="63"/>
        <v>12</v>
      </c>
      <c r="DZ32" s="150">
        <f t="shared" si="63"/>
        <v>0</v>
      </c>
      <c r="EA32" s="150">
        <f t="shared" si="63"/>
        <v>12</v>
      </c>
      <c r="EB32" s="150">
        <f t="shared" si="63"/>
        <v>6</v>
      </c>
      <c r="EC32" s="150">
        <f t="shared" si="63"/>
        <v>6</v>
      </c>
      <c r="ED32" s="150">
        <f t="shared" si="63"/>
        <v>6</v>
      </c>
      <c r="EE32" s="150">
        <f t="shared" si="63"/>
        <v>12</v>
      </c>
      <c r="EF32" s="150">
        <f t="shared" si="63"/>
        <v>6</v>
      </c>
      <c r="EG32" s="150">
        <f t="shared" si="63"/>
        <v>0</v>
      </c>
      <c r="EH32" s="150"/>
      <c r="EI32" s="150"/>
      <c r="EJ32" s="155"/>
      <c r="EK32" s="150" t="s">
        <v>522</v>
      </c>
      <c r="EL32" s="150">
        <v>0</v>
      </c>
      <c r="EM32" s="150">
        <f>EM4/5*6</f>
        <v>0</v>
      </c>
      <c r="EN32" s="150">
        <f t="shared" ref="EN32:EX32" si="70">EN4/5*6</f>
        <v>6</v>
      </c>
      <c r="EO32" s="150">
        <f t="shared" si="70"/>
        <v>0</v>
      </c>
      <c r="EP32" s="150">
        <f t="shared" si="70"/>
        <v>12</v>
      </c>
      <c r="EQ32" s="150">
        <f t="shared" si="70"/>
        <v>0</v>
      </c>
      <c r="ER32" s="150">
        <f t="shared" si="70"/>
        <v>12</v>
      </c>
      <c r="ES32" s="150">
        <f t="shared" si="70"/>
        <v>0</v>
      </c>
      <c r="ET32" s="150">
        <f t="shared" si="70"/>
        <v>12</v>
      </c>
      <c r="EU32" s="150">
        <f t="shared" si="70"/>
        <v>0</v>
      </c>
      <c r="EV32" s="150">
        <f t="shared" si="70"/>
        <v>12</v>
      </c>
      <c r="EW32" s="150">
        <f t="shared" si="70"/>
        <v>6</v>
      </c>
      <c r="EX32" s="150">
        <f t="shared" si="70"/>
        <v>12</v>
      </c>
      <c r="EY32" s="150"/>
      <c r="EZ32" s="150" t="s">
        <v>522</v>
      </c>
      <c r="FA32" s="150">
        <v>0</v>
      </c>
      <c r="FB32" s="150">
        <f t="shared" ref="FB32:FM32" si="71">FB4/5*6</f>
        <v>0</v>
      </c>
      <c r="FC32" s="150">
        <f t="shared" si="71"/>
        <v>0</v>
      </c>
      <c r="FD32" s="150">
        <f t="shared" si="71"/>
        <v>0</v>
      </c>
      <c r="FE32" s="150">
        <f t="shared" si="71"/>
        <v>12</v>
      </c>
      <c r="FF32" s="150">
        <f t="shared" si="71"/>
        <v>6</v>
      </c>
      <c r="FG32" s="150">
        <f t="shared" si="71"/>
        <v>12</v>
      </c>
      <c r="FH32" s="150">
        <f t="shared" si="71"/>
        <v>12</v>
      </c>
      <c r="FI32" s="150">
        <f t="shared" si="71"/>
        <v>0</v>
      </c>
      <c r="FJ32" s="150">
        <f t="shared" si="71"/>
        <v>6</v>
      </c>
      <c r="FK32" s="150">
        <f t="shared" si="71"/>
        <v>6</v>
      </c>
      <c r="FL32" s="150">
        <f t="shared" si="71"/>
        <v>12</v>
      </c>
      <c r="FM32" s="150">
        <f t="shared" si="71"/>
        <v>6</v>
      </c>
      <c r="FN32" s="150"/>
      <c r="FO32" s="150" t="s">
        <v>522</v>
      </c>
      <c r="FP32" s="150">
        <v>0</v>
      </c>
      <c r="FQ32" s="150">
        <f t="shared" ref="FQ32:GB32" si="72">FQ4/5*6</f>
        <v>0</v>
      </c>
      <c r="FR32" s="150">
        <f t="shared" si="72"/>
        <v>0</v>
      </c>
      <c r="FS32" s="150">
        <f t="shared" si="72"/>
        <v>6</v>
      </c>
      <c r="FT32" s="150">
        <f t="shared" si="72"/>
        <v>0</v>
      </c>
      <c r="FU32" s="150">
        <f t="shared" si="72"/>
        <v>12</v>
      </c>
      <c r="FV32" s="150">
        <f t="shared" si="72"/>
        <v>0</v>
      </c>
      <c r="FW32" s="150">
        <f t="shared" si="72"/>
        <v>12</v>
      </c>
      <c r="FX32" s="150">
        <f t="shared" si="72"/>
        <v>6</v>
      </c>
      <c r="FY32" s="150">
        <f t="shared" si="72"/>
        <v>0</v>
      </c>
      <c r="FZ32" s="150">
        <f t="shared" si="72"/>
        <v>12</v>
      </c>
      <c r="GA32" s="150">
        <f t="shared" si="72"/>
        <v>6</v>
      </c>
      <c r="GB32" s="150">
        <f t="shared" si="72"/>
        <v>0</v>
      </c>
      <c r="GC32" s="150"/>
      <c r="GD32" s="150" t="s">
        <v>522</v>
      </c>
      <c r="GE32" s="150">
        <v>0</v>
      </c>
      <c r="GF32" s="150">
        <f t="shared" ref="GF32:GQ32" si="73">GF4/5*6</f>
        <v>6</v>
      </c>
      <c r="GG32" s="150">
        <f t="shared" si="73"/>
        <v>0</v>
      </c>
      <c r="GH32" s="150">
        <f t="shared" si="73"/>
        <v>12</v>
      </c>
      <c r="GI32" s="150">
        <f t="shared" si="73"/>
        <v>0</v>
      </c>
      <c r="GJ32" s="150">
        <f t="shared" si="73"/>
        <v>12</v>
      </c>
      <c r="GK32" s="150">
        <f t="shared" si="73"/>
        <v>12</v>
      </c>
      <c r="GL32" s="150">
        <f t="shared" si="73"/>
        <v>6</v>
      </c>
      <c r="GM32" s="150">
        <f t="shared" si="73"/>
        <v>12</v>
      </c>
      <c r="GN32" s="150">
        <f t="shared" si="73"/>
        <v>6</v>
      </c>
      <c r="GO32" s="150">
        <f t="shared" si="73"/>
        <v>6</v>
      </c>
      <c r="GP32" s="150">
        <f t="shared" si="73"/>
        <v>12</v>
      </c>
      <c r="GQ32" s="150">
        <f t="shared" si="73"/>
        <v>6</v>
      </c>
      <c r="GR32" s="150"/>
      <c r="GS32" s="150" t="s">
        <v>522</v>
      </c>
      <c r="GT32" s="150">
        <v>0</v>
      </c>
      <c r="GU32" s="150">
        <f t="shared" ref="GU32:HF32" si="74">GU4/5*6</f>
        <v>6</v>
      </c>
      <c r="GV32" s="150">
        <f t="shared" si="74"/>
        <v>0</v>
      </c>
      <c r="GW32" s="150">
        <f t="shared" si="74"/>
        <v>12</v>
      </c>
      <c r="GX32" s="150">
        <f t="shared" si="74"/>
        <v>12</v>
      </c>
      <c r="GY32" s="150">
        <f t="shared" si="74"/>
        <v>0</v>
      </c>
      <c r="GZ32" s="150">
        <f t="shared" si="74"/>
        <v>12</v>
      </c>
      <c r="HA32" s="150">
        <f t="shared" si="74"/>
        <v>6</v>
      </c>
      <c r="HB32" s="150">
        <f t="shared" si="74"/>
        <v>6</v>
      </c>
      <c r="HC32" s="150">
        <f t="shared" si="74"/>
        <v>6</v>
      </c>
      <c r="HD32" s="150">
        <f t="shared" si="74"/>
        <v>12</v>
      </c>
      <c r="HE32" s="150">
        <f t="shared" si="74"/>
        <v>6</v>
      </c>
      <c r="HF32" s="150">
        <f t="shared" si="74"/>
        <v>0</v>
      </c>
      <c r="HG32" s="156"/>
      <c r="HH32" s="150"/>
    </row>
    <row r="33" spans="1:216" ht="51.75" x14ac:dyDescent="0.25">
      <c r="A33" s="3" t="s">
        <v>443</v>
      </c>
      <c r="B33" s="3"/>
      <c r="C33" s="3" t="s">
        <v>444</v>
      </c>
      <c r="D33" s="1"/>
      <c r="E33" s="1"/>
      <c r="F33" s="1"/>
      <c r="G33" s="1"/>
      <c r="H33" s="1"/>
      <c r="I33" s="1"/>
      <c r="J33" s="1"/>
      <c r="K33" s="9"/>
      <c r="L33" s="360" t="str">
        <f>IF(E37="wbijana","KONSTRUKCJA W-H5G2-25°",IF(E37="betonowana","KONSTRUKCJA W-H5B2-25°",IF(E37="kotwiona","KONSTRUKCJA W-H5K2-25°",IF(E37="wkręcana","KONSTRUKCJA W-H5S2-25°"))))</f>
        <v>KONSTRUKCJA W-H5K2-25°</v>
      </c>
      <c r="M33" s="360"/>
      <c r="N33" s="360"/>
      <c r="O33" s="360"/>
      <c r="P33" s="360"/>
      <c r="Q33" s="360"/>
      <c r="R33" s="360"/>
      <c r="S33" s="360"/>
      <c r="T33" s="360"/>
      <c r="U33" s="360"/>
      <c r="V33" s="62"/>
      <c r="W33" s="166"/>
      <c r="X33" s="166"/>
      <c r="Y33" s="166"/>
      <c r="Z33" s="166"/>
      <c r="AA33" s="150">
        <f t="shared" ref="AA33:AA48" si="75">(VLOOKUP(BG30,$AY$5:$BA$9,3,1))*C34</f>
        <v>0</v>
      </c>
      <c r="AB33" s="150">
        <f t="shared" ref="AB33:AB48" si="76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*C34</f>
        <v>0</v>
      </c>
      <c r="AC33" s="150"/>
      <c r="AD33" s="150"/>
      <c r="AE33" s="170" t="s">
        <v>111</v>
      </c>
      <c r="AF33" s="150">
        <v>1650</v>
      </c>
      <c r="AG33" s="150"/>
      <c r="AH33" s="150"/>
      <c r="AI33" s="150"/>
      <c r="AJ33" s="150">
        <v>25</v>
      </c>
      <c r="AK33" s="150" t="s">
        <v>932</v>
      </c>
      <c r="AL33" s="150" t="s">
        <v>933</v>
      </c>
      <c r="AM33" s="150" t="s">
        <v>934</v>
      </c>
      <c r="AN33" s="150" t="s">
        <v>935</v>
      </c>
      <c r="AO33" s="150"/>
      <c r="AP33" s="150"/>
      <c r="AQ33" s="150"/>
      <c r="AR33" s="150" t="s">
        <v>713</v>
      </c>
      <c r="AS33" s="150" t="s">
        <v>594</v>
      </c>
      <c r="AT33" s="150" t="s">
        <v>596</v>
      </c>
      <c r="AU33" s="150" t="s">
        <v>594</v>
      </c>
      <c r="AV33" s="150" t="s">
        <v>594</v>
      </c>
      <c r="AW33" s="150"/>
      <c r="AX33" s="150"/>
      <c r="AY33" s="150"/>
      <c r="AZ33" s="150"/>
      <c r="BA33" s="150"/>
      <c r="BB33" s="150"/>
      <c r="BC33" s="150"/>
      <c r="BD33" s="150"/>
      <c r="BE33" s="150"/>
      <c r="BF33" s="150"/>
      <c r="BG33" s="170">
        <f t="shared" si="58"/>
        <v>1</v>
      </c>
      <c r="BH33" s="150" t="s">
        <v>17</v>
      </c>
      <c r="BI33" s="150">
        <v>0</v>
      </c>
      <c r="BJ33" s="150">
        <f>IF(BJ5=0,0,IF(BJ5=5,6,IF(BJ5=10,12,IF(BJ5=15,18,IF(BJ5=20,24,0)))))</f>
        <v>6</v>
      </c>
      <c r="BK33" s="150">
        <f t="shared" si="69"/>
        <v>0</v>
      </c>
      <c r="BL33" s="150">
        <f t="shared" si="69"/>
        <v>0</v>
      </c>
      <c r="BM33" s="150">
        <f t="shared" si="69"/>
        <v>0</v>
      </c>
      <c r="BN33" s="150">
        <f t="shared" si="69"/>
        <v>6</v>
      </c>
      <c r="BO33" s="150">
        <f t="shared" si="69"/>
        <v>6</v>
      </c>
      <c r="BP33" s="150">
        <f t="shared" si="69"/>
        <v>0</v>
      </c>
      <c r="BQ33" s="150">
        <f t="shared" si="69"/>
        <v>0</v>
      </c>
      <c r="BR33" s="150">
        <f t="shared" si="69"/>
        <v>6</v>
      </c>
      <c r="BS33" s="150">
        <f t="shared" si="69"/>
        <v>6</v>
      </c>
      <c r="BT33" s="150">
        <f t="shared" si="69"/>
        <v>6</v>
      </c>
      <c r="BU33" s="150">
        <f t="shared" si="69"/>
        <v>0</v>
      </c>
      <c r="BV33" s="150"/>
      <c r="BW33" s="150" t="s">
        <v>17</v>
      </c>
      <c r="BX33" s="150">
        <v>0</v>
      </c>
      <c r="BY33" s="150">
        <f t="shared" si="60"/>
        <v>6</v>
      </c>
      <c r="BZ33" s="150">
        <f t="shared" si="60"/>
        <v>0</v>
      </c>
      <c r="CA33" s="150">
        <f t="shared" si="60"/>
        <v>0</v>
      </c>
      <c r="CB33" s="150">
        <f t="shared" si="60"/>
        <v>0</v>
      </c>
      <c r="CC33" s="150">
        <f t="shared" si="60"/>
        <v>0</v>
      </c>
      <c r="CD33" s="150">
        <f t="shared" si="60"/>
        <v>6</v>
      </c>
      <c r="CE33" s="150">
        <f t="shared" si="60"/>
        <v>0</v>
      </c>
      <c r="CF33" s="150">
        <f t="shared" si="60"/>
        <v>6</v>
      </c>
      <c r="CG33" s="150">
        <f t="shared" si="60"/>
        <v>0</v>
      </c>
      <c r="CH33" s="150">
        <f t="shared" si="60"/>
        <v>6</v>
      </c>
      <c r="CI33" s="150">
        <f t="shared" si="60"/>
        <v>0</v>
      </c>
      <c r="CJ33" s="150">
        <f t="shared" si="60"/>
        <v>0</v>
      </c>
      <c r="CK33" s="150"/>
      <c r="CL33" s="150"/>
      <c r="CM33" s="150"/>
      <c r="CN33" s="150" t="s">
        <v>17</v>
      </c>
      <c r="CO33" s="150">
        <v>0</v>
      </c>
      <c r="CP33" s="150">
        <f t="shared" si="61"/>
        <v>6</v>
      </c>
      <c r="CQ33" s="150">
        <f t="shared" si="61"/>
        <v>0</v>
      </c>
      <c r="CR33" s="150">
        <f t="shared" si="61"/>
        <v>6</v>
      </c>
      <c r="CS33" s="150">
        <f t="shared" si="61"/>
        <v>6</v>
      </c>
      <c r="CT33" s="150">
        <f t="shared" si="61"/>
        <v>6</v>
      </c>
      <c r="CU33" s="150">
        <f t="shared" si="61"/>
        <v>0</v>
      </c>
      <c r="CV33" s="150">
        <f t="shared" si="61"/>
        <v>0</v>
      </c>
      <c r="CW33" s="150">
        <f t="shared" si="61"/>
        <v>0</v>
      </c>
      <c r="CX33" s="150">
        <f t="shared" si="61"/>
        <v>0</v>
      </c>
      <c r="CY33" s="150">
        <f t="shared" si="61"/>
        <v>0</v>
      </c>
      <c r="CZ33" s="150">
        <f t="shared" si="61"/>
        <v>0</v>
      </c>
      <c r="DA33" s="150">
        <f t="shared" si="61"/>
        <v>0</v>
      </c>
      <c r="DB33" s="150"/>
      <c r="DC33" s="150" t="s">
        <v>17</v>
      </c>
      <c r="DD33" s="150">
        <v>0</v>
      </c>
      <c r="DE33" s="150">
        <f t="shared" si="62"/>
        <v>0</v>
      </c>
      <c r="DF33" s="150">
        <f t="shared" si="62"/>
        <v>0</v>
      </c>
      <c r="DG33" s="150">
        <f t="shared" si="62"/>
        <v>0</v>
      </c>
      <c r="DH33" s="150">
        <f t="shared" si="62"/>
        <v>6</v>
      </c>
      <c r="DI33" s="150">
        <f t="shared" si="62"/>
        <v>6</v>
      </c>
      <c r="DJ33" s="150">
        <f t="shared" si="62"/>
        <v>0</v>
      </c>
      <c r="DK33" s="150">
        <f t="shared" si="62"/>
        <v>0</v>
      </c>
      <c r="DL33" s="150">
        <f t="shared" si="62"/>
        <v>6</v>
      </c>
      <c r="DM33" s="150">
        <f t="shared" si="62"/>
        <v>6</v>
      </c>
      <c r="DN33" s="150">
        <f t="shared" si="62"/>
        <v>0</v>
      </c>
      <c r="DO33" s="150">
        <f t="shared" si="62"/>
        <v>6</v>
      </c>
      <c r="DP33" s="150">
        <f t="shared" si="62"/>
        <v>6</v>
      </c>
      <c r="DQ33" s="181"/>
      <c r="DR33" s="181">
        <v>25</v>
      </c>
      <c r="DS33" s="181"/>
      <c r="DT33" s="150" t="s">
        <v>17</v>
      </c>
      <c r="DU33" s="150">
        <v>0</v>
      </c>
      <c r="DV33" s="150">
        <f t="shared" si="63"/>
        <v>0</v>
      </c>
      <c r="DW33" s="150">
        <f t="shared" si="63"/>
        <v>0</v>
      </c>
      <c r="DX33" s="150">
        <f t="shared" si="63"/>
        <v>0</v>
      </c>
      <c r="DY33" s="150">
        <f t="shared" si="63"/>
        <v>6</v>
      </c>
      <c r="DZ33" s="150">
        <f t="shared" si="63"/>
        <v>0</v>
      </c>
      <c r="EA33" s="150">
        <f t="shared" si="63"/>
        <v>0</v>
      </c>
      <c r="EB33" s="150">
        <f t="shared" si="63"/>
        <v>0</v>
      </c>
      <c r="EC33" s="150">
        <f t="shared" si="63"/>
        <v>6</v>
      </c>
      <c r="ED33" s="150">
        <f t="shared" si="63"/>
        <v>0</v>
      </c>
      <c r="EE33" s="150">
        <f t="shared" si="63"/>
        <v>6</v>
      </c>
      <c r="EF33" s="150">
        <f t="shared" si="63"/>
        <v>6</v>
      </c>
      <c r="EG33" s="150">
        <f t="shared" si="63"/>
        <v>6</v>
      </c>
      <c r="EH33" s="150"/>
      <c r="EI33" s="150"/>
      <c r="EJ33" s="155"/>
      <c r="EK33" s="150" t="s">
        <v>523</v>
      </c>
      <c r="EL33" s="150">
        <v>0</v>
      </c>
      <c r="EM33" s="150">
        <f t="shared" ref="EM33:EX33" si="77">EM5/5*6</f>
        <v>6</v>
      </c>
      <c r="EN33" s="150">
        <f t="shared" si="77"/>
        <v>0</v>
      </c>
      <c r="EO33" s="150">
        <f t="shared" si="77"/>
        <v>0</v>
      </c>
      <c r="EP33" s="150">
        <f t="shared" si="77"/>
        <v>0</v>
      </c>
      <c r="EQ33" s="150">
        <f t="shared" si="77"/>
        <v>18</v>
      </c>
      <c r="ER33" s="150">
        <f t="shared" si="77"/>
        <v>6</v>
      </c>
      <c r="ES33" s="150">
        <f t="shared" si="77"/>
        <v>24</v>
      </c>
      <c r="ET33" s="150">
        <f t="shared" si="77"/>
        <v>12</v>
      </c>
      <c r="EU33" s="150">
        <f t="shared" si="77"/>
        <v>30</v>
      </c>
      <c r="EV33" s="150">
        <f t="shared" si="77"/>
        <v>18</v>
      </c>
      <c r="EW33" s="150">
        <f t="shared" si="77"/>
        <v>30</v>
      </c>
      <c r="EX33" s="150">
        <f t="shared" si="77"/>
        <v>24</v>
      </c>
      <c r="EY33" s="150"/>
      <c r="EZ33" s="150" t="s">
        <v>523</v>
      </c>
      <c r="FA33" s="150">
        <v>0</v>
      </c>
      <c r="FB33" s="150">
        <f t="shared" ref="FB33:FM33" si="78">FB5/5*6</f>
        <v>6</v>
      </c>
      <c r="FC33" s="150">
        <f t="shared" si="78"/>
        <v>0</v>
      </c>
      <c r="FD33" s="150">
        <f t="shared" si="78"/>
        <v>0</v>
      </c>
      <c r="FE33" s="150">
        <f t="shared" si="78"/>
        <v>0</v>
      </c>
      <c r="FF33" s="150">
        <f t="shared" si="78"/>
        <v>12</v>
      </c>
      <c r="FG33" s="150">
        <f t="shared" si="78"/>
        <v>6</v>
      </c>
      <c r="FH33" s="150">
        <f t="shared" si="78"/>
        <v>12</v>
      </c>
      <c r="FI33" s="150">
        <f t="shared" si="78"/>
        <v>30</v>
      </c>
      <c r="FJ33" s="150">
        <f t="shared" si="78"/>
        <v>24</v>
      </c>
      <c r="FK33" s="150">
        <f t="shared" si="78"/>
        <v>30</v>
      </c>
      <c r="FL33" s="150">
        <f t="shared" si="78"/>
        <v>24</v>
      </c>
      <c r="FM33" s="150">
        <f t="shared" si="78"/>
        <v>36</v>
      </c>
      <c r="FN33" s="150"/>
      <c r="FO33" s="150" t="s">
        <v>523</v>
      </c>
      <c r="FP33" s="150">
        <v>0</v>
      </c>
      <c r="FQ33" s="150">
        <f t="shared" ref="FQ33:GB33" si="79">FQ5/5*6</f>
        <v>6</v>
      </c>
      <c r="FR33" s="150">
        <f t="shared" si="79"/>
        <v>0</v>
      </c>
      <c r="FS33" s="150">
        <f t="shared" si="79"/>
        <v>6</v>
      </c>
      <c r="FT33" s="150">
        <f t="shared" si="79"/>
        <v>18</v>
      </c>
      <c r="FU33" s="150">
        <f t="shared" si="79"/>
        <v>6</v>
      </c>
      <c r="FV33" s="150">
        <f t="shared" si="79"/>
        <v>24</v>
      </c>
      <c r="FW33" s="150">
        <f t="shared" si="79"/>
        <v>12</v>
      </c>
      <c r="FX33" s="150">
        <f t="shared" si="79"/>
        <v>24</v>
      </c>
      <c r="FY33" s="150">
        <f t="shared" si="79"/>
        <v>36</v>
      </c>
      <c r="FZ33" s="150">
        <f t="shared" si="79"/>
        <v>24</v>
      </c>
      <c r="GA33" s="150">
        <f t="shared" si="79"/>
        <v>36</v>
      </c>
      <c r="GB33" s="150">
        <f t="shared" si="79"/>
        <v>48</v>
      </c>
      <c r="GC33" s="150"/>
      <c r="GD33" s="150" t="s">
        <v>523</v>
      </c>
      <c r="GE33" s="150">
        <v>0</v>
      </c>
      <c r="GF33" s="150">
        <f t="shared" ref="GF33:GQ33" si="80">GF5/5*6</f>
        <v>0</v>
      </c>
      <c r="GG33" s="150">
        <f t="shared" si="80"/>
        <v>0</v>
      </c>
      <c r="GH33" s="150">
        <f t="shared" si="80"/>
        <v>0</v>
      </c>
      <c r="GI33" s="150">
        <f t="shared" si="80"/>
        <v>18</v>
      </c>
      <c r="GJ33" s="150">
        <f t="shared" si="80"/>
        <v>6</v>
      </c>
      <c r="GK33" s="150">
        <f t="shared" si="80"/>
        <v>12</v>
      </c>
      <c r="GL33" s="150">
        <f t="shared" si="80"/>
        <v>24</v>
      </c>
      <c r="GM33" s="150">
        <f t="shared" si="80"/>
        <v>18</v>
      </c>
      <c r="GN33" s="150">
        <f t="shared" si="80"/>
        <v>30</v>
      </c>
      <c r="GO33" s="150">
        <f t="shared" si="80"/>
        <v>36</v>
      </c>
      <c r="GP33" s="150">
        <f t="shared" si="80"/>
        <v>30</v>
      </c>
      <c r="GQ33" s="150">
        <f t="shared" si="80"/>
        <v>42</v>
      </c>
      <c r="GR33" s="150"/>
      <c r="GS33" s="150" t="s">
        <v>523</v>
      </c>
      <c r="GT33" s="150">
        <v>0</v>
      </c>
      <c r="GU33" s="150">
        <f t="shared" ref="GU33:HF33" si="81">GU5/5*6</f>
        <v>0</v>
      </c>
      <c r="GV33" s="150">
        <f t="shared" si="81"/>
        <v>0</v>
      </c>
      <c r="GW33" s="150">
        <f t="shared" si="81"/>
        <v>0</v>
      </c>
      <c r="GX33" s="150">
        <f t="shared" si="81"/>
        <v>6</v>
      </c>
      <c r="GY33" s="150">
        <f t="shared" si="81"/>
        <v>24</v>
      </c>
      <c r="GZ33" s="150">
        <f t="shared" si="81"/>
        <v>12</v>
      </c>
      <c r="HA33" s="150">
        <f t="shared" si="81"/>
        <v>24</v>
      </c>
      <c r="HB33" s="150">
        <f t="shared" si="81"/>
        <v>30</v>
      </c>
      <c r="HC33" s="150">
        <f t="shared" si="81"/>
        <v>36</v>
      </c>
      <c r="HD33" s="150">
        <f t="shared" si="81"/>
        <v>30</v>
      </c>
      <c r="HE33" s="150">
        <f t="shared" si="81"/>
        <v>42</v>
      </c>
      <c r="HF33" s="150">
        <f t="shared" si="81"/>
        <v>54</v>
      </c>
      <c r="HG33" s="156"/>
      <c r="HH33" s="150"/>
    </row>
    <row r="34" spans="1:216" x14ac:dyDescent="0.25">
      <c r="A34" s="8"/>
      <c r="B34" s="5" t="s">
        <v>116</v>
      </c>
      <c r="C34" s="8"/>
      <c r="D34" s="9"/>
      <c r="E34" s="9"/>
      <c r="F34" s="9"/>
      <c r="G34" s="9"/>
      <c r="H34" s="9"/>
      <c r="I34" s="9"/>
      <c r="J34" s="9"/>
      <c r="K34" s="9"/>
      <c r="L34" s="5" t="s">
        <v>103</v>
      </c>
      <c r="M34" s="5" t="s">
        <v>104</v>
      </c>
      <c r="N34" s="5" t="s">
        <v>107</v>
      </c>
      <c r="O34" s="5" t="s">
        <v>290</v>
      </c>
      <c r="P34" s="5" t="s">
        <v>446</v>
      </c>
      <c r="Q34" s="5" t="s">
        <v>448</v>
      </c>
      <c r="R34" s="5" t="s">
        <v>409</v>
      </c>
      <c r="S34" s="5" t="s">
        <v>447</v>
      </c>
      <c r="T34" s="5" t="s">
        <v>449</v>
      </c>
      <c r="U34" s="5" t="s">
        <v>106</v>
      </c>
      <c r="V34" s="62"/>
      <c r="W34" s="158" t="s">
        <v>18</v>
      </c>
      <c r="X34" s="150" t="s">
        <v>217</v>
      </c>
      <c r="Y34" s="150" t="s">
        <v>216</v>
      </c>
      <c r="Z34" s="150" t="s">
        <v>17</v>
      </c>
      <c r="AA34" s="150">
        <f t="shared" si="75"/>
        <v>0</v>
      </c>
      <c r="AB34" s="150">
        <f t="shared" si="76"/>
        <v>0</v>
      </c>
      <c r="AC34" s="150"/>
      <c r="AD34" s="150"/>
      <c r="AE34" s="170" t="s">
        <v>112</v>
      </c>
      <c r="AF34" s="150">
        <v>1700</v>
      </c>
      <c r="AG34" s="150"/>
      <c r="AH34" s="150"/>
      <c r="AI34" s="150"/>
      <c r="AJ34" s="150">
        <v>30</v>
      </c>
      <c r="AK34" s="150" t="s">
        <v>936</v>
      </c>
      <c r="AL34" s="150" t="s">
        <v>937</v>
      </c>
      <c r="AM34" s="150" t="s">
        <v>938</v>
      </c>
      <c r="AN34" s="150" t="s">
        <v>939</v>
      </c>
      <c r="AO34" s="150"/>
      <c r="AP34" s="150"/>
      <c r="AQ34" s="150"/>
      <c r="AR34" s="150" t="s">
        <v>714</v>
      </c>
      <c r="AS34" s="150" t="s">
        <v>594</v>
      </c>
      <c r="AT34" s="150" t="s">
        <v>596</v>
      </c>
      <c r="AU34" s="150" t="s">
        <v>594</v>
      </c>
      <c r="AV34" s="150" t="s">
        <v>594</v>
      </c>
      <c r="AW34" s="150"/>
      <c r="AX34" s="150"/>
      <c r="AY34" s="150"/>
      <c r="AZ34" s="150"/>
      <c r="BA34" s="150"/>
      <c r="BB34" s="150"/>
      <c r="BC34" s="150"/>
      <c r="BD34" s="150"/>
      <c r="BE34" s="150"/>
      <c r="BF34" s="150"/>
      <c r="BG34" s="170">
        <f t="shared" si="58"/>
        <v>1</v>
      </c>
      <c r="BH34" s="158" t="s">
        <v>779</v>
      </c>
      <c r="BI34" s="158">
        <v>0</v>
      </c>
      <c r="BJ34" s="150">
        <f t="shared" ref="BJ34:BU34" si="82">IF(BJ6=0,0,IF(BJ6=5,6,IF(BJ6=10,12,IF(BJ6=15,18,IF(BJ6=20,24,0)))))</f>
        <v>0</v>
      </c>
      <c r="BK34" s="150">
        <f t="shared" si="82"/>
        <v>0</v>
      </c>
      <c r="BL34" s="150">
        <f t="shared" si="82"/>
        <v>0</v>
      </c>
      <c r="BM34" s="150">
        <f t="shared" si="82"/>
        <v>6</v>
      </c>
      <c r="BN34" s="150">
        <f t="shared" si="82"/>
        <v>6</v>
      </c>
      <c r="BO34" s="150">
        <f t="shared" si="82"/>
        <v>12</v>
      </c>
      <c r="BP34" s="150">
        <f t="shared" si="82"/>
        <v>6</v>
      </c>
      <c r="BQ34" s="150">
        <f t="shared" si="82"/>
        <v>12</v>
      </c>
      <c r="BR34" s="150">
        <f t="shared" si="82"/>
        <v>12</v>
      </c>
      <c r="BS34" s="150">
        <f>IF(BS6=0,0,IF(BS6=5,6,IF(BS6=10,12,IF(BS6=15,18,IF(BS6=20,24,0)))))</f>
        <v>18</v>
      </c>
      <c r="BT34" s="150">
        <f t="shared" si="82"/>
        <v>18</v>
      </c>
      <c r="BU34" s="150">
        <f t="shared" si="82"/>
        <v>18</v>
      </c>
      <c r="BV34" s="150"/>
      <c r="BW34" s="158" t="s">
        <v>779</v>
      </c>
      <c r="BX34" s="150">
        <v>0</v>
      </c>
      <c r="BY34" s="150">
        <f t="shared" si="60"/>
        <v>0</v>
      </c>
      <c r="BZ34" s="150">
        <f t="shared" si="60"/>
        <v>0</v>
      </c>
      <c r="CA34" s="150">
        <f t="shared" si="60"/>
        <v>0</v>
      </c>
      <c r="CB34" s="150">
        <f t="shared" si="60"/>
        <v>6</v>
      </c>
      <c r="CC34" s="150">
        <f t="shared" si="60"/>
        <v>6</v>
      </c>
      <c r="CD34" s="150">
        <f t="shared" si="60"/>
        <v>12</v>
      </c>
      <c r="CE34" s="150">
        <f t="shared" si="60"/>
        <v>12</v>
      </c>
      <c r="CF34" s="150">
        <f t="shared" si="60"/>
        <v>12</v>
      </c>
      <c r="CG34" s="150">
        <f t="shared" si="60"/>
        <v>12</v>
      </c>
      <c r="CH34" s="150">
        <f t="shared" si="60"/>
        <v>18</v>
      </c>
      <c r="CI34" s="150">
        <f t="shared" si="60"/>
        <v>18</v>
      </c>
      <c r="CJ34" s="150">
        <f t="shared" si="60"/>
        <v>18</v>
      </c>
      <c r="CK34" s="150"/>
      <c r="CL34" s="150"/>
      <c r="CM34" s="150"/>
      <c r="CN34" s="158" t="s">
        <v>779</v>
      </c>
      <c r="CO34" s="150">
        <v>0</v>
      </c>
      <c r="CP34" s="150">
        <f t="shared" si="61"/>
        <v>0</v>
      </c>
      <c r="CQ34" s="150">
        <f t="shared" si="61"/>
        <v>0</v>
      </c>
      <c r="CR34" s="150">
        <f t="shared" si="61"/>
        <v>6</v>
      </c>
      <c r="CS34" s="150">
        <f t="shared" si="61"/>
        <v>6</v>
      </c>
      <c r="CT34" s="150">
        <f t="shared" si="61"/>
        <v>12</v>
      </c>
      <c r="CU34" s="150">
        <f t="shared" si="61"/>
        <v>6</v>
      </c>
      <c r="CV34" s="150">
        <f t="shared" si="61"/>
        <v>12</v>
      </c>
      <c r="CW34" s="150">
        <f t="shared" si="61"/>
        <v>12</v>
      </c>
      <c r="CX34" s="150">
        <f t="shared" si="61"/>
        <v>12</v>
      </c>
      <c r="CY34" s="150">
        <f t="shared" si="61"/>
        <v>18</v>
      </c>
      <c r="CZ34" s="150">
        <f t="shared" si="61"/>
        <v>18</v>
      </c>
      <c r="DA34" s="150">
        <f t="shared" si="61"/>
        <v>18</v>
      </c>
      <c r="DB34" s="150"/>
      <c r="DC34" s="158" t="s">
        <v>779</v>
      </c>
      <c r="DD34" s="158">
        <v>0</v>
      </c>
      <c r="DE34" s="150">
        <f t="shared" si="62"/>
        <v>0</v>
      </c>
      <c r="DF34" s="150">
        <f t="shared" si="62"/>
        <v>0</v>
      </c>
      <c r="DG34" s="150">
        <f t="shared" si="62"/>
        <v>6</v>
      </c>
      <c r="DH34" s="150">
        <f t="shared" si="62"/>
        <v>6</v>
      </c>
      <c r="DI34" s="150">
        <f t="shared" si="62"/>
        <v>12</v>
      </c>
      <c r="DJ34" s="150">
        <f t="shared" si="62"/>
        <v>12</v>
      </c>
      <c r="DK34" s="150">
        <f t="shared" si="62"/>
        <v>12</v>
      </c>
      <c r="DL34" s="150">
        <f t="shared" si="62"/>
        <v>18</v>
      </c>
      <c r="DM34" s="150">
        <f t="shared" si="62"/>
        <v>18</v>
      </c>
      <c r="DN34" s="150">
        <f t="shared" si="62"/>
        <v>18</v>
      </c>
      <c r="DO34" s="150">
        <f t="shared" si="62"/>
        <v>24</v>
      </c>
      <c r="DP34" s="150">
        <f t="shared" si="62"/>
        <v>24</v>
      </c>
      <c r="DQ34" s="181"/>
      <c r="DR34" s="181">
        <v>30</v>
      </c>
      <c r="DS34" s="181"/>
      <c r="DT34" s="158" t="s">
        <v>779</v>
      </c>
      <c r="DU34" s="150">
        <v>0</v>
      </c>
      <c r="DV34" s="150">
        <f t="shared" si="63"/>
        <v>0</v>
      </c>
      <c r="DW34" s="150">
        <f t="shared" si="63"/>
        <v>0</v>
      </c>
      <c r="DX34" s="150">
        <f t="shared" si="63"/>
        <v>6</v>
      </c>
      <c r="DY34" s="150">
        <f t="shared" si="63"/>
        <v>12</v>
      </c>
      <c r="DZ34" s="150">
        <f t="shared" si="63"/>
        <v>6</v>
      </c>
      <c r="EA34" s="150">
        <f t="shared" si="63"/>
        <v>12</v>
      </c>
      <c r="EB34" s="150">
        <f t="shared" si="63"/>
        <v>12</v>
      </c>
      <c r="EC34" s="150">
        <f t="shared" si="63"/>
        <v>18</v>
      </c>
      <c r="ED34" s="150">
        <f t="shared" si="63"/>
        <v>18</v>
      </c>
      <c r="EE34" s="150">
        <f t="shared" si="63"/>
        <v>24</v>
      </c>
      <c r="EF34" s="150">
        <f t="shared" si="63"/>
        <v>24</v>
      </c>
      <c r="EG34" s="150">
        <f t="shared" si="63"/>
        <v>24</v>
      </c>
      <c r="EH34" s="150"/>
      <c r="EI34" s="150"/>
      <c r="EJ34" s="155"/>
      <c r="EK34" s="158" t="s">
        <v>779</v>
      </c>
      <c r="EL34" s="150">
        <v>0</v>
      </c>
      <c r="EM34" s="150">
        <f t="shared" ref="EM34:EX34" si="83">EM6/5*6</f>
        <v>0</v>
      </c>
      <c r="EN34" s="150">
        <f t="shared" si="83"/>
        <v>0</v>
      </c>
      <c r="EO34" s="150">
        <f t="shared" si="83"/>
        <v>0</v>
      </c>
      <c r="EP34" s="150">
        <f t="shared" si="83"/>
        <v>6</v>
      </c>
      <c r="EQ34" s="150">
        <f t="shared" si="83"/>
        <v>12</v>
      </c>
      <c r="ER34" s="150">
        <f t="shared" si="83"/>
        <v>12</v>
      </c>
      <c r="ES34" s="150">
        <f t="shared" si="83"/>
        <v>18</v>
      </c>
      <c r="ET34" s="150">
        <f t="shared" si="83"/>
        <v>18</v>
      </c>
      <c r="EU34" s="150">
        <f t="shared" si="83"/>
        <v>24</v>
      </c>
      <c r="EV34" s="150">
        <f t="shared" si="83"/>
        <v>24</v>
      </c>
      <c r="EW34" s="150">
        <f t="shared" si="83"/>
        <v>30</v>
      </c>
      <c r="EX34" s="150">
        <f t="shared" si="83"/>
        <v>30</v>
      </c>
      <c r="EY34" s="150"/>
      <c r="EZ34" s="158" t="s">
        <v>779</v>
      </c>
      <c r="FA34" s="150">
        <v>0</v>
      </c>
      <c r="FB34" s="150">
        <f t="shared" ref="FB34:FM34" si="84">FB6/5*6</f>
        <v>0</v>
      </c>
      <c r="FC34" s="150">
        <f t="shared" si="84"/>
        <v>0</v>
      </c>
      <c r="FD34" s="150">
        <f t="shared" si="84"/>
        <v>0</v>
      </c>
      <c r="FE34" s="150">
        <f t="shared" si="84"/>
        <v>6</v>
      </c>
      <c r="FF34" s="150">
        <f t="shared" si="84"/>
        <v>12</v>
      </c>
      <c r="FG34" s="150">
        <f t="shared" si="84"/>
        <v>12</v>
      </c>
      <c r="FH34" s="150">
        <f t="shared" si="84"/>
        <v>18</v>
      </c>
      <c r="FI34" s="150">
        <f t="shared" si="84"/>
        <v>24</v>
      </c>
      <c r="FJ34" s="150">
        <f t="shared" si="84"/>
        <v>24</v>
      </c>
      <c r="FK34" s="150">
        <f t="shared" si="84"/>
        <v>30</v>
      </c>
      <c r="FL34" s="150">
        <f t="shared" si="84"/>
        <v>30</v>
      </c>
      <c r="FM34" s="150">
        <f t="shared" si="84"/>
        <v>36</v>
      </c>
      <c r="FN34" s="150"/>
      <c r="FO34" s="158" t="s">
        <v>779</v>
      </c>
      <c r="FP34" s="150">
        <v>0</v>
      </c>
      <c r="FQ34" s="150">
        <f t="shared" ref="FQ34:GB34" si="85">FQ6/5*6</f>
        <v>0</v>
      </c>
      <c r="FR34" s="150">
        <f t="shared" si="85"/>
        <v>0</v>
      </c>
      <c r="FS34" s="150">
        <f t="shared" si="85"/>
        <v>6</v>
      </c>
      <c r="FT34" s="150">
        <f t="shared" si="85"/>
        <v>12</v>
      </c>
      <c r="FU34" s="150">
        <f t="shared" si="85"/>
        <v>12</v>
      </c>
      <c r="FV34" s="150">
        <f t="shared" si="85"/>
        <v>18</v>
      </c>
      <c r="FW34" s="150">
        <f t="shared" si="85"/>
        <v>18</v>
      </c>
      <c r="FX34" s="150">
        <f t="shared" si="85"/>
        <v>24</v>
      </c>
      <c r="FY34" s="150">
        <f t="shared" si="85"/>
        <v>30</v>
      </c>
      <c r="FZ34" s="150">
        <f t="shared" si="85"/>
        <v>30</v>
      </c>
      <c r="GA34" s="150">
        <f t="shared" si="85"/>
        <v>36</v>
      </c>
      <c r="GB34" s="150">
        <f t="shared" si="85"/>
        <v>42</v>
      </c>
      <c r="GC34" s="150"/>
      <c r="GD34" s="158" t="s">
        <v>779</v>
      </c>
      <c r="GE34" s="150">
        <v>0</v>
      </c>
      <c r="GF34" s="150">
        <f t="shared" ref="GF34:GQ34" si="86">GF6/5*6</f>
        <v>0</v>
      </c>
      <c r="GG34" s="150">
        <f t="shared" si="86"/>
        <v>0</v>
      </c>
      <c r="GH34" s="150">
        <f t="shared" si="86"/>
        <v>6</v>
      </c>
      <c r="GI34" s="150">
        <f t="shared" si="86"/>
        <v>12</v>
      </c>
      <c r="GJ34" s="150">
        <f t="shared" si="86"/>
        <v>12</v>
      </c>
      <c r="GK34" s="150">
        <f t="shared" si="86"/>
        <v>18</v>
      </c>
      <c r="GL34" s="150">
        <f t="shared" si="86"/>
        <v>24</v>
      </c>
      <c r="GM34" s="150">
        <f t="shared" si="86"/>
        <v>24</v>
      </c>
      <c r="GN34" s="150">
        <f t="shared" si="86"/>
        <v>30</v>
      </c>
      <c r="GO34" s="150">
        <f t="shared" si="86"/>
        <v>36</v>
      </c>
      <c r="GP34" s="150">
        <f t="shared" si="86"/>
        <v>36</v>
      </c>
      <c r="GQ34" s="150">
        <f t="shared" si="86"/>
        <v>42</v>
      </c>
      <c r="GR34" s="150"/>
      <c r="GS34" s="158" t="s">
        <v>779</v>
      </c>
      <c r="GT34" s="150">
        <v>0</v>
      </c>
      <c r="GU34" s="150">
        <f t="shared" ref="GU34:HF34" si="87">GU6/5*6</f>
        <v>0</v>
      </c>
      <c r="GV34" s="150">
        <f t="shared" si="87"/>
        <v>0</v>
      </c>
      <c r="GW34" s="150">
        <f t="shared" si="87"/>
        <v>6</v>
      </c>
      <c r="GX34" s="150">
        <f t="shared" si="87"/>
        <v>12</v>
      </c>
      <c r="GY34" s="150">
        <f t="shared" si="87"/>
        <v>18</v>
      </c>
      <c r="GZ34" s="150">
        <f t="shared" si="87"/>
        <v>18</v>
      </c>
      <c r="HA34" s="150">
        <f t="shared" si="87"/>
        <v>24</v>
      </c>
      <c r="HB34" s="150">
        <f t="shared" si="87"/>
        <v>30</v>
      </c>
      <c r="HC34" s="150">
        <f t="shared" si="87"/>
        <v>36</v>
      </c>
      <c r="HD34" s="150">
        <f t="shared" si="87"/>
        <v>36</v>
      </c>
      <c r="HE34" s="150">
        <f t="shared" si="87"/>
        <v>42</v>
      </c>
      <c r="HF34" s="150">
        <f t="shared" si="87"/>
        <v>48</v>
      </c>
      <c r="HG34" s="156"/>
      <c r="HH34" s="150"/>
    </row>
    <row r="35" spans="1:216" x14ac:dyDescent="0.25">
      <c r="A35" s="8"/>
      <c r="B35" s="5" t="s">
        <v>116</v>
      </c>
      <c r="C35" s="8"/>
      <c r="D35" s="6" t="s">
        <v>118</v>
      </c>
      <c r="E35" s="8" t="s">
        <v>478</v>
      </c>
      <c r="F35" s="5" t="s">
        <v>116</v>
      </c>
      <c r="G35" s="8" t="s">
        <v>115</v>
      </c>
      <c r="H35" s="5" t="s">
        <v>116</v>
      </c>
      <c r="I35" s="8">
        <v>35</v>
      </c>
      <c r="J35" s="5" t="s">
        <v>119</v>
      </c>
      <c r="K35" s="9"/>
      <c r="L35" s="7" t="str">
        <f>IF(E37=$AC$5,"-------",IF(E37=$AC$6,"-------",IF(E37=$AC$7,"-------",IF(E37=$AC$8,IF(E45=$DS$10,"GSW76X1600N",IF(E45=$DS$11,"GSW76X2200N","")),0))))</f>
        <v>-------</v>
      </c>
      <c r="M35" s="11" t="str">
        <f>INDEX(cennik!$C$2:$L$529,MATCH($L35,cennik!$B$2:$B$522,0),MATCH(M$2,cennik!$C$1:$L$1,0))</f>
        <v>-------</v>
      </c>
      <c r="N35" s="11">
        <f>INDEX(cennik!$C$2:$L$529,MATCH($L35,cennik!$B$2:$B$522,0),MATCH(N$2,cennik!$C$1:$L$1,0))</f>
        <v>0</v>
      </c>
      <c r="O35" s="11">
        <f>IF(L35="-------",0,SUM(O37:O38))</f>
        <v>0</v>
      </c>
      <c r="P35" s="34">
        <f>INDEX(cennik!$C$2:$L$529,MATCH($L35,cennik!$B$2:$B$522,0),MATCH(P$2,cennik!$C$1:$L$1,0))</f>
        <v>0</v>
      </c>
      <c r="Q35" s="34">
        <f>O35*P35</f>
        <v>0</v>
      </c>
      <c r="R35" s="35">
        <f t="shared" ref="R35:R59" si="88">$E$39</f>
        <v>0</v>
      </c>
      <c r="S35" s="34">
        <f t="shared" ref="S35:S59" si="89">P35*((100-$E$39)/100)</f>
        <v>0</v>
      </c>
      <c r="T35" s="34">
        <f>O35*S35</f>
        <v>0</v>
      </c>
      <c r="U35" s="34">
        <f>INDEX(cennik!$C$2:$L$529,MATCH($L35,cennik!$B$2:$B$522,0),MATCH(U$2,cennik!$C$1:$L$1,0))*O35</f>
        <v>0</v>
      </c>
      <c r="V35" s="62"/>
      <c r="W35" s="150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$C34</f>
        <v>0</v>
      </c>
      <c r="X35" s="150">
        <f>INDEX(($EL$31:$EX$34,$FA$31:$FM$34,$EL$37:$EX$40,$EL$43:$EX$46,$FA$37:$FM$40,$FA$43:$FM$46,$FP$31:$GB$34,$FP$37:$GB$40,$FP$43:$GB$46,$GE$31:$GQ$34,$GE$37:$GQ$40,$GE$43:$GQ$46,$GT$31:$HF$34,$GT$37:$HF$40),MATCH($L$46,$EK$31:$EK$34,0),MATCH($A34,$EL$30:$EX$30,0),MATCH($E$35,$AE$33:$AE$48,0))*$C34</f>
        <v>0</v>
      </c>
      <c r="Y35" s="150">
        <f>INDEX(($EL$31:$EX$34,$FA$31:$FM$34,$EL$37:$EX$40,$EL$43:$EX$46,$FA$37:$FM$40,$FA$43:$FM$46,$FP$31:$GB$34,$FP$37:$GB$40,$FP$43:$GB$46,$GE$31:$GQ$34,$GE$37:$GQ$40,$GE$43:$GQ$46,$GT$31:$HF$34,$GT$37:$HF$40),MATCH($L$47,$EK$31:$EK$34,0),MATCH($A34,$EL$30:$EX$30,0),MATCH($E$35,$AE$33:$AE$48,0))*$C34</f>
        <v>0</v>
      </c>
      <c r="Z35" s="150">
        <f>INDEX(($EL$31:$EX$34,$FA$31:$FM$34,$EL$37:$EX$40,$EL$43:$EX$46,$FA$37:$FM$40,$FA$43:$FM$46,$FP$31:$GB$34,$FP$37:$GB$40,$FP$43:$GB$46,$GE$31:$GQ$34,$GE$37:$GQ$40,$GE$43:$GQ$46,$GT$31:$HF$34,$GT$37:$HF$40),MATCH($L$48,$EK$31:$EK$34,0),MATCH($A34,$EL$30:$EX$30,0),MATCH($E$35,$AE$33:$AE$48,0))*$C34</f>
        <v>0</v>
      </c>
      <c r="AA35" s="150">
        <f t="shared" si="75"/>
        <v>0</v>
      </c>
      <c r="AB35" s="150">
        <f t="shared" si="76"/>
        <v>0</v>
      </c>
      <c r="AC35" s="150"/>
      <c r="AD35" s="150"/>
      <c r="AE35" s="170" t="s">
        <v>132</v>
      </c>
      <c r="AF35" s="150">
        <v>1750</v>
      </c>
      <c r="AG35" s="150"/>
      <c r="AH35" s="150"/>
      <c r="AI35" s="150"/>
      <c r="AJ35" s="150"/>
      <c r="AK35" s="150"/>
      <c r="AL35" s="150"/>
      <c r="AM35" s="150"/>
      <c r="AN35" s="150"/>
      <c r="AO35" s="150"/>
      <c r="AP35" s="150"/>
      <c r="AQ35" s="150"/>
      <c r="AR35" s="150" t="s">
        <v>715</v>
      </c>
      <c r="AS35" s="150" t="s">
        <v>594</v>
      </c>
      <c r="AT35" s="150" t="s">
        <v>596</v>
      </c>
      <c r="AU35" s="150" t="s">
        <v>594</v>
      </c>
      <c r="AV35" s="150" t="s">
        <v>594</v>
      </c>
      <c r="AW35" s="150"/>
      <c r="AX35" s="150"/>
      <c r="AY35" s="150"/>
      <c r="AZ35" s="150"/>
      <c r="BA35" s="150"/>
      <c r="BB35" s="150"/>
      <c r="BC35" s="150"/>
      <c r="BD35" s="150"/>
      <c r="BE35" s="150"/>
      <c r="BF35" s="150"/>
      <c r="BG35" s="170">
        <f t="shared" si="58"/>
        <v>1</v>
      </c>
      <c r="BH35" s="150"/>
      <c r="BI35" s="150"/>
      <c r="BJ35" s="150"/>
      <c r="BK35" s="150"/>
      <c r="BL35" s="150"/>
      <c r="BM35" s="150"/>
      <c r="BN35" s="150"/>
      <c r="BO35" s="150"/>
      <c r="BP35" s="150"/>
      <c r="BQ35" s="150"/>
      <c r="BR35" s="150"/>
      <c r="BS35" s="150"/>
      <c r="BT35" s="150"/>
      <c r="BU35" s="150"/>
      <c r="BV35" s="150"/>
      <c r="BW35" s="150"/>
      <c r="BX35" s="150"/>
      <c r="BY35" s="150"/>
      <c r="BZ35" s="150"/>
      <c r="CA35" s="150"/>
      <c r="CB35" s="150"/>
      <c r="CC35" s="150"/>
      <c r="CD35" s="150"/>
      <c r="CE35" s="150"/>
      <c r="CF35" s="150"/>
      <c r="CG35" s="150"/>
      <c r="CH35" s="150"/>
      <c r="CI35" s="150"/>
      <c r="CJ35" s="150"/>
      <c r="CK35" s="150"/>
      <c r="CL35" s="150"/>
      <c r="CM35" s="150"/>
      <c r="CN35" s="150"/>
      <c r="CO35" s="150"/>
      <c r="CP35" s="150"/>
      <c r="CQ35" s="150"/>
      <c r="CR35" s="150"/>
      <c r="CS35" s="150"/>
      <c r="CT35" s="150"/>
      <c r="CU35" s="150"/>
      <c r="CV35" s="150"/>
      <c r="CW35" s="150"/>
      <c r="CX35" s="150"/>
      <c r="CY35" s="150"/>
      <c r="CZ35" s="150"/>
      <c r="DA35" s="150"/>
      <c r="DB35" s="150"/>
      <c r="DC35" s="150"/>
      <c r="DD35" s="150"/>
      <c r="DE35" s="150"/>
      <c r="DF35" s="150"/>
      <c r="DG35" s="150"/>
      <c r="DH35" s="150"/>
      <c r="DI35" s="150"/>
      <c r="DJ35" s="150"/>
      <c r="DK35" s="150"/>
      <c r="DL35" s="150"/>
      <c r="DM35" s="150"/>
      <c r="DN35" s="150"/>
      <c r="DO35" s="150"/>
      <c r="DP35" s="150"/>
      <c r="DQ35" s="181"/>
      <c r="DR35" s="181">
        <v>35</v>
      </c>
      <c r="DS35" s="181"/>
      <c r="DT35" s="150"/>
      <c r="DU35" s="150"/>
      <c r="DV35" s="150"/>
      <c r="DW35" s="150"/>
      <c r="DX35" s="150"/>
      <c r="DY35" s="150"/>
      <c r="DZ35" s="150"/>
      <c r="EA35" s="150"/>
      <c r="EB35" s="150"/>
      <c r="EC35" s="150"/>
      <c r="ED35" s="150"/>
      <c r="EE35" s="150"/>
      <c r="EF35" s="150"/>
      <c r="EG35" s="150"/>
      <c r="EH35" s="150"/>
      <c r="EI35" s="150"/>
      <c r="EJ35" s="155"/>
      <c r="HG35" s="156"/>
      <c r="HH35" s="150"/>
    </row>
    <row r="36" spans="1:216" x14ac:dyDescent="0.25">
      <c r="A36" s="8"/>
      <c r="B36" s="5" t="s">
        <v>116</v>
      </c>
      <c r="C36" s="8"/>
      <c r="D36" s="6" t="s">
        <v>124</v>
      </c>
      <c r="E36" s="8" t="s">
        <v>125</v>
      </c>
      <c r="F36" s="5"/>
      <c r="G36" s="5"/>
      <c r="H36" s="5"/>
      <c r="I36" s="5"/>
      <c r="J36" s="5"/>
      <c r="K36" s="9"/>
      <c r="L36" s="7" t="str">
        <f>IF(E37=$AC$5,"-------",IF(E37=$AC$6,"-------",IF(E37=$AC$7,"PCB70",IF(E37=$AC$8,"PCS70",0))))</f>
        <v>PCB70</v>
      </c>
      <c r="M36" s="11">
        <f>INDEX(cennik!$C$2:$L$529,MATCH($L36,cennik!$B$2:$B$522,0),MATCH(M$2,cennik!$C$1:$L$1,0))</f>
        <v>751218</v>
      </c>
      <c r="N36" s="11" t="str">
        <f>INDEX(cennik!$C$2:$L$529,MATCH($L36,cennik!$B$2:$B$522,0),MATCH(N$2,cennik!$C$1:$L$1,0))</f>
        <v>szt.</v>
      </c>
      <c r="O36" s="11">
        <f>IF(E37=AC7,SUM(O37:O38),IF(E37=AC8,SUM(O37:O38),IF(E37=AC5,0,IF(E37=AC6,0,0))))</f>
        <v>0</v>
      </c>
      <c r="P36" s="34">
        <f>INDEX(cennik!$C$2:$L$529,MATCH($L36,cennik!$B$2:$B$522,0),MATCH(P$2,cennik!$C$1:$L$1,0))</f>
        <v>116.38</v>
      </c>
      <c r="Q36" s="34">
        <f t="shared" ref="Q36:Q38" si="90">O36*P36</f>
        <v>0</v>
      </c>
      <c r="R36" s="35">
        <f t="shared" si="88"/>
        <v>0</v>
      </c>
      <c r="S36" s="34">
        <f t="shared" si="89"/>
        <v>116.38</v>
      </c>
      <c r="T36" s="34">
        <f t="shared" ref="T36:T38" si="91">O36*S36</f>
        <v>0</v>
      </c>
      <c r="U36" s="34">
        <f>INDEX(cennik!$C$2:$L$529,MATCH($L36,cennik!$B$2:$B$522,0),MATCH(U$2,cennik!$C$1:$L$1,0))*O36</f>
        <v>0</v>
      </c>
      <c r="V36" s="62"/>
      <c r="W36" s="150">
        <f>INDEX(($EL$31:$EX$34,$FA$31:$FM$34,$EL$37:$EX$40,$EL$43:$EX$46,$FA$37:$FM$40,$FA$43:$FM$46,$FP$31:$GB$34,$FP$37:$GB$40,$FP$43:$GB$46,$GE$31:$GQ$34,$GE$37:$GQ$40,$GE$43:$GQ$46,$GT$31:$HF$34,$GT$37:$HF$40),MATCH($L$49,$EK$31:$EK$34,0),MATCH($A35,$EL$30:$EX$30,0),MATCH($E$35,$AE$33:$AE$48,0))*$C35</f>
        <v>0</v>
      </c>
      <c r="X36" s="150">
        <f>INDEX(($EL$31:$EX$34,$FA$31:$FM$34,$EL$37:$EX$40,$EL$43:$EX$46,$FA$37:$FM$40,$FA$43:$FM$46,$FP$31:$GB$34,$FP$37:$GB$40,$FP$43:$GB$46,$GE$31:$GQ$34,$GE$37:$GQ$40,$GE$43:$GQ$46,$GT$31:$HF$34,$GT$37:$HF$40),MATCH($L$46,$EK$31:$EK$34,0),MATCH($A35,$EL$30:$EX$30,0),MATCH($E$35,$AE$33:$AE$48,0))*$C35</f>
        <v>0</v>
      </c>
      <c r="Y36" s="150">
        <f>INDEX(($EL$31:$EX$34,$FA$31:$FM$34,$EL$37:$EX$40,$EL$43:$EX$46,$FA$37:$FM$40,$FA$43:$FM$46,$FP$31:$GB$34,$FP$37:$GB$40,$FP$43:$GB$46,$GE$31:$GQ$34,$GE$37:$GQ$40,$GE$43:$GQ$46,$GT$31:$HF$34,$GT$37:$HF$40),MATCH($L$47,$EK$31:$EK$34,0),MATCH($A35,$EL$30:$EX$30,0),MATCH($E$35,$AE$33:$AE$48,0))*$C35</f>
        <v>0</v>
      </c>
      <c r="Z36" s="150">
        <f>INDEX(($EL$31:$EX$34,$FA$31:$FM$34,$EL$37:$EX$40,$EL$43:$EX$46,$FA$37:$FM$40,$FA$43:$FM$46,$FP$31:$GB$34,$FP$37:$GB$40,$FP$43:$GB$46,$GE$31:$GQ$34,$GE$37:$GQ$40,$GE$43:$GQ$46,$GT$31:$HF$34,$GT$37:$HF$40),MATCH($L$48,$EK$31:$EK$34,0),MATCH($A35,$EL$30:$EX$30,0),MATCH($E$35,$AE$33:$AE$48,0))*$C35</f>
        <v>0</v>
      </c>
      <c r="AA36" s="150">
        <f t="shared" si="75"/>
        <v>0</v>
      </c>
      <c r="AB36" s="150">
        <f t="shared" si="76"/>
        <v>0</v>
      </c>
      <c r="AC36" s="150"/>
      <c r="AD36" s="150"/>
      <c r="AE36" s="150" t="s">
        <v>470</v>
      </c>
      <c r="AF36" s="150">
        <v>1800</v>
      </c>
      <c r="AG36" s="150"/>
      <c r="AH36" s="150"/>
      <c r="AI36" s="150"/>
      <c r="AJ36" s="150"/>
      <c r="AK36" s="150"/>
      <c r="AL36" s="150"/>
      <c r="AM36" s="150"/>
      <c r="AN36" s="150"/>
      <c r="AO36" s="150"/>
      <c r="AP36" s="150"/>
      <c r="AQ36" s="150"/>
      <c r="AR36" s="150"/>
      <c r="AS36" s="150"/>
      <c r="AT36" s="150"/>
      <c r="AU36" s="150"/>
      <c r="AV36" s="150"/>
      <c r="AW36" s="150"/>
      <c r="AX36" s="150"/>
      <c r="AY36" s="150"/>
      <c r="AZ36" s="150"/>
      <c r="BA36" s="150"/>
      <c r="BB36" s="150"/>
      <c r="BC36" s="150"/>
      <c r="BD36" s="150"/>
      <c r="BE36" s="150"/>
      <c r="BF36" s="150"/>
      <c r="BG36" s="170">
        <f t="shared" si="58"/>
        <v>1</v>
      </c>
      <c r="BH36" s="150" t="s">
        <v>112</v>
      </c>
      <c r="BI36" s="150">
        <v>0</v>
      </c>
      <c r="BJ36" s="150">
        <v>10</v>
      </c>
      <c r="BK36" s="150">
        <v>15</v>
      </c>
      <c r="BL36" s="150">
        <v>20</v>
      </c>
      <c r="BM36" s="150">
        <v>25</v>
      </c>
      <c r="BN36" s="150">
        <v>30</v>
      </c>
      <c r="BO36" s="150">
        <v>35</v>
      </c>
      <c r="BP36" s="150">
        <v>40</v>
      </c>
      <c r="BQ36" s="150">
        <v>45</v>
      </c>
      <c r="BR36" s="150">
        <v>50</v>
      </c>
      <c r="BS36" s="150">
        <v>55</v>
      </c>
      <c r="BT36" s="150">
        <v>60</v>
      </c>
      <c r="BU36" s="150">
        <v>65</v>
      </c>
      <c r="BV36" s="150"/>
      <c r="BW36" s="150" t="s">
        <v>472</v>
      </c>
      <c r="BX36" s="150">
        <v>0</v>
      </c>
      <c r="BY36" s="150">
        <v>10</v>
      </c>
      <c r="BZ36" s="150">
        <v>15</v>
      </c>
      <c r="CA36" s="150">
        <v>20</v>
      </c>
      <c r="CB36" s="150">
        <v>25</v>
      </c>
      <c r="CC36" s="150">
        <v>30</v>
      </c>
      <c r="CD36" s="150">
        <v>35</v>
      </c>
      <c r="CE36" s="150">
        <v>40</v>
      </c>
      <c r="CF36" s="150">
        <v>45</v>
      </c>
      <c r="CG36" s="150">
        <v>50</v>
      </c>
      <c r="CH36" s="150">
        <v>55</v>
      </c>
      <c r="CI36" s="150">
        <v>60</v>
      </c>
      <c r="CJ36" s="150">
        <v>65</v>
      </c>
      <c r="CK36" s="150"/>
      <c r="CL36" s="150"/>
      <c r="CM36" s="150"/>
      <c r="CN36" s="150" t="s">
        <v>113</v>
      </c>
      <c r="CO36" s="150">
        <v>0</v>
      </c>
      <c r="CP36" s="150">
        <v>10</v>
      </c>
      <c r="CQ36" s="150">
        <v>15</v>
      </c>
      <c r="CR36" s="150">
        <v>20</v>
      </c>
      <c r="CS36" s="150">
        <v>25</v>
      </c>
      <c r="CT36" s="150">
        <v>30</v>
      </c>
      <c r="CU36" s="150">
        <v>35</v>
      </c>
      <c r="CV36" s="150">
        <v>40</v>
      </c>
      <c r="CW36" s="150">
        <v>45</v>
      </c>
      <c r="CX36" s="150">
        <v>50</v>
      </c>
      <c r="CY36" s="150">
        <v>55</v>
      </c>
      <c r="CZ36" s="150">
        <v>60</v>
      </c>
      <c r="DA36" s="150">
        <v>65</v>
      </c>
      <c r="DB36" s="150"/>
      <c r="DC36" s="150" t="s">
        <v>478</v>
      </c>
      <c r="DD36" s="150">
        <v>0</v>
      </c>
      <c r="DE36" s="150">
        <v>10</v>
      </c>
      <c r="DF36" s="150">
        <v>15</v>
      </c>
      <c r="DG36" s="150">
        <v>20</v>
      </c>
      <c r="DH36" s="150">
        <v>25</v>
      </c>
      <c r="DI36" s="150">
        <v>30</v>
      </c>
      <c r="DJ36" s="150">
        <v>35</v>
      </c>
      <c r="DK36" s="150">
        <v>40</v>
      </c>
      <c r="DL36" s="150">
        <v>45</v>
      </c>
      <c r="DM36" s="150">
        <v>50</v>
      </c>
      <c r="DN36" s="150">
        <v>55</v>
      </c>
      <c r="DO36" s="150">
        <v>60</v>
      </c>
      <c r="DP36" s="150">
        <v>65</v>
      </c>
      <c r="DQ36" s="181"/>
      <c r="DR36" s="181">
        <v>40</v>
      </c>
      <c r="DS36" s="181"/>
      <c r="DT36" s="150" t="s">
        <v>507</v>
      </c>
      <c r="DU36" s="150">
        <v>0</v>
      </c>
      <c r="DV36" s="150">
        <v>10</v>
      </c>
      <c r="DW36" s="150">
        <v>15</v>
      </c>
      <c r="DX36" s="150">
        <v>20</v>
      </c>
      <c r="DY36" s="150">
        <v>25</v>
      </c>
      <c r="DZ36" s="150">
        <v>30</v>
      </c>
      <c r="EA36" s="150">
        <v>35</v>
      </c>
      <c r="EB36" s="150">
        <v>40</v>
      </c>
      <c r="EC36" s="150">
        <v>45</v>
      </c>
      <c r="ED36" s="150">
        <v>50</v>
      </c>
      <c r="EE36" s="150">
        <v>55</v>
      </c>
      <c r="EF36" s="150">
        <v>60</v>
      </c>
      <c r="EG36" s="150">
        <v>65</v>
      </c>
      <c r="EH36" s="150"/>
      <c r="EI36" s="150"/>
      <c r="EJ36" s="155"/>
      <c r="EK36" s="150" t="s">
        <v>112</v>
      </c>
      <c r="EL36" s="150">
        <v>0</v>
      </c>
      <c r="EM36" s="150">
        <v>10</v>
      </c>
      <c r="EN36" s="150">
        <v>15</v>
      </c>
      <c r="EO36" s="150">
        <v>20</v>
      </c>
      <c r="EP36" s="150">
        <v>25</v>
      </c>
      <c r="EQ36" s="150">
        <v>30</v>
      </c>
      <c r="ER36" s="150">
        <v>35</v>
      </c>
      <c r="ES36" s="150">
        <v>40</v>
      </c>
      <c r="ET36" s="150">
        <v>45</v>
      </c>
      <c r="EU36" s="150">
        <v>50</v>
      </c>
      <c r="EV36" s="150">
        <v>55</v>
      </c>
      <c r="EW36" s="150">
        <v>60</v>
      </c>
      <c r="EX36" s="150">
        <v>65</v>
      </c>
      <c r="EY36" s="150"/>
      <c r="EZ36" s="150" t="s">
        <v>472</v>
      </c>
      <c r="FA36" s="150">
        <v>0</v>
      </c>
      <c r="FB36" s="150">
        <v>10</v>
      </c>
      <c r="FC36" s="150">
        <v>15</v>
      </c>
      <c r="FD36" s="150">
        <v>20</v>
      </c>
      <c r="FE36" s="150">
        <v>25</v>
      </c>
      <c r="FF36" s="150">
        <v>30</v>
      </c>
      <c r="FG36" s="150">
        <v>35</v>
      </c>
      <c r="FH36" s="150">
        <v>40</v>
      </c>
      <c r="FI36" s="150">
        <v>45</v>
      </c>
      <c r="FJ36" s="150">
        <v>50</v>
      </c>
      <c r="FK36" s="150">
        <v>55</v>
      </c>
      <c r="FL36" s="150">
        <v>60</v>
      </c>
      <c r="FM36" s="150">
        <v>65</v>
      </c>
      <c r="FN36" s="150"/>
      <c r="FO36" s="150" t="s">
        <v>113</v>
      </c>
      <c r="FP36" s="150">
        <v>0</v>
      </c>
      <c r="FQ36" s="150">
        <v>10</v>
      </c>
      <c r="FR36" s="150">
        <v>15</v>
      </c>
      <c r="FS36" s="150">
        <v>20</v>
      </c>
      <c r="FT36" s="150">
        <v>25</v>
      </c>
      <c r="FU36" s="150">
        <v>30</v>
      </c>
      <c r="FV36" s="150">
        <v>35</v>
      </c>
      <c r="FW36" s="150">
        <v>40</v>
      </c>
      <c r="FX36" s="150">
        <v>45</v>
      </c>
      <c r="FY36" s="150">
        <v>50</v>
      </c>
      <c r="FZ36" s="150">
        <v>55</v>
      </c>
      <c r="GA36" s="150">
        <v>60</v>
      </c>
      <c r="GB36" s="150">
        <v>65</v>
      </c>
      <c r="GC36" s="150"/>
      <c r="GD36" s="150" t="s">
        <v>478</v>
      </c>
      <c r="GE36" s="150">
        <v>0</v>
      </c>
      <c r="GF36" s="150">
        <v>10</v>
      </c>
      <c r="GG36" s="150">
        <v>15</v>
      </c>
      <c r="GH36" s="150">
        <v>20</v>
      </c>
      <c r="GI36" s="150">
        <v>25</v>
      </c>
      <c r="GJ36" s="150">
        <v>30</v>
      </c>
      <c r="GK36" s="150">
        <v>35</v>
      </c>
      <c r="GL36" s="150">
        <v>40</v>
      </c>
      <c r="GM36" s="150">
        <v>45</v>
      </c>
      <c r="GN36" s="150">
        <v>50</v>
      </c>
      <c r="GO36" s="150">
        <v>55</v>
      </c>
      <c r="GP36" s="150">
        <v>60</v>
      </c>
      <c r="GQ36" s="150">
        <v>65</v>
      </c>
      <c r="GR36" s="150"/>
      <c r="GS36" s="150" t="s">
        <v>507</v>
      </c>
      <c r="GT36" s="150">
        <v>0</v>
      </c>
      <c r="GU36" s="150">
        <v>10</v>
      </c>
      <c r="GV36" s="150">
        <v>15</v>
      </c>
      <c r="GW36" s="150">
        <v>20</v>
      </c>
      <c r="GX36" s="150">
        <v>25</v>
      </c>
      <c r="GY36" s="150">
        <v>30</v>
      </c>
      <c r="GZ36" s="150">
        <v>35</v>
      </c>
      <c r="HA36" s="150">
        <v>40</v>
      </c>
      <c r="HB36" s="150">
        <v>45</v>
      </c>
      <c r="HC36" s="150">
        <v>50</v>
      </c>
      <c r="HD36" s="150">
        <v>55</v>
      </c>
      <c r="HE36" s="150">
        <v>60</v>
      </c>
      <c r="HF36" s="150">
        <v>65</v>
      </c>
      <c r="HG36" s="156"/>
      <c r="HH36" s="150"/>
    </row>
    <row r="37" spans="1:216" x14ac:dyDescent="0.25">
      <c r="A37" s="8"/>
      <c r="B37" s="5" t="s">
        <v>116</v>
      </c>
      <c r="C37" s="8"/>
      <c r="D37" s="6" t="s">
        <v>307</v>
      </c>
      <c r="E37" s="8" t="s">
        <v>309</v>
      </c>
      <c r="F37" s="5"/>
      <c r="G37" s="5"/>
      <c r="H37" s="5"/>
      <c r="I37" s="5"/>
      <c r="J37" s="5"/>
      <c r="K37" s="9"/>
      <c r="L37" s="7" t="str">
        <f>IF(E37=$AC$5,"CWT70H50/3NMC",IF(E37=$AC$6,"CWT70H50/2NMC",IF(E37=$AC$7,"CWT70H50/1NMC",IF(E37=$AC$8,"CWT70H50/1NMC",0))))</f>
        <v>CWT70H50/1NMC</v>
      </c>
      <c r="M37" s="11">
        <f>INDEX(cennik!$C$2:$L$529,MATCH($L37,cennik!$B$2:$B$522,0),MATCH(M$2,cennik!$C$1:$L$1,0))</f>
        <v>867810</v>
      </c>
      <c r="N37" s="11" t="str">
        <f>INDEX(cennik!$C$2:$L$529,MATCH($L37,cennik!$B$2:$B$522,0),MATCH(N$2,cennik!$C$1:$L$1,0))</f>
        <v>szt.</v>
      </c>
      <c r="O37" s="11">
        <f>SUM(AB33:AB48)</f>
        <v>0</v>
      </c>
      <c r="P37" s="34">
        <f>INDEX(cennik!$C$2:$L$529,MATCH($L37,cennik!$B$2:$B$522,0),MATCH(P$2,cennik!$C$1:$L$1,0))</f>
        <v>50.61</v>
      </c>
      <c r="Q37" s="34">
        <f t="shared" si="90"/>
        <v>0</v>
      </c>
      <c r="R37" s="35">
        <f t="shared" si="88"/>
        <v>0</v>
      </c>
      <c r="S37" s="34">
        <f t="shared" si="89"/>
        <v>50.61</v>
      </c>
      <c r="T37" s="34">
        <f t="shared" si="91"/>
        <v>0</v>
      </c>
      <c r="U37" s="34">
        <f>INDEX(cennik!$C$2:$L$529,MATCH($L37,cennik!$B$2:$B$522,0),MATCH(U$2,cennik!$C$1:$L$1,0))*O37</f>
        <v>0</v>
      </c>
      <c r="V37" s="62"/>
      <c r="W37" s="150">
        <f>INDEX(($EL$31:$EX$34,$FA$31:$FM$34,$EL$37:$EX$40,$EL$43:$EX$46,$FA$37:$FM$40,$FA$43:$FM$46,$FP$31:$GB$34,$FP$37:$GB$40,$FP$43:$GB$46,$GE$31:$GQ$34,$GE$37:$GQ$40,$GE$43:$GQ$46,$GT$31:$HF$34,$GT$37:$HF$40),MATCH($L$49,$EK$31:$EK$34,0),MATCH($A36,$EL$30:$EX$30,0),MATCH($E$35,$AE$33:$AE$48,0))*$C36</f>
        <v>0</v>
      </c>
      <c r="X37" s="150">
        <f>INDEX(($EL$31:$EX$34,$FA$31:$FM$34,$EL$37:$EX$40,$EL$43:$EX$46,$FA$37:$FM$40,$FA$43:$FM$46,$FP$31:$GB$34,$FP$37:$GB$40,$FP$43:$GB$46,$GE$31:$GQ$34,$GE$37:$GQ$40,$GE$43:$GQ$46,$GT$31:$HF$34,$GT$37:$HF$40),MATCH($L$46,$EK$31:$EK$34,0),MATCH($A36,$EL$30:$EX$30,0),MATCH($E$35,$AE$33:$AE$48,0))*$C36</f>
        <v>0</v>
      </c>
      <c r="Y37" s="150">
        <f>INDEX(($EL$31:$EX$34,$FA$31:$FM$34,$EL$37:$EX$40,$EL$43:$EX$46,$FA$37:$FM$40,$FA$43:$FM$46,$FP$31:$GB$34,$FP$37:$GB$40,$FP$43:$GB$46,$GE$31:$GQ$34,$GE$37:$GQ$40,$GE$43:$GQ$46,$GT$31:$HF$34,$GT$37:$HF$40),MATCH($L$47,$EK$31:$EK$34,0),MATCH($A36,$EL$30:$EX$30,0),MATCH($E$35,$AE$33:$AE$48,0))*$C36</f>
        <v>0</v>
      </c>
      <c r="Z37" s="150">
        <f>INDEX(($EL$31:$EX$34,$FA$31:$FM$34,$EL$37:$EX$40,$EL$43:$EX$46,$FA$37:$FM$40,$FA$43:$FM$46,$FP$31:$GB$34,$FP$37:$GB$40,$FP$43:$GB$46,$GE$31:$GQ$34,$GE$37:$GQ$40,$GE$43:$GQ$46,$GT$31:$HF$34,$GT$37:$HF$40),MATCH($L$48,$EK$31:$EK$34,0),MATCH($A36,$EL$30:$EX$30,0),MATCH($E$35,$AE$33:$AE$48,0))*$C36</f>
        <v>0</v>
      </c>
      <c r="AA37" s="150">
        <f t="shared" si="75"/>
        <v>0</v>
      </c>
      <c r="AB37" s="150">
        <f t="shared" si="76"/>
        <v>0</v>
      </c>
      <c r="AC37" s="150"/>
      <c r="AD37" s="150"/>
      <c r="AE37" s="150" t="s">
        <v>472</v>
      </c>
      <c r="AF37" s="150">
        <v>1850</v>
      </c>
      <c r="AG37" s="150"/>
      <c r="AH37" s="150"/>
      <c r="AI37" s="150"/>
      <c r="AJ37" s="150"/>
      <c r="AK37" s="150"/>
      <c r="AL37" s="150"/>
      <c r="AM37" s="150"/>
      <c r="AN37" s="150"/>
      <c r="AO37" s="150"/>
      <c r="AP37" s="150"/>
      <c r="AQ37" s="150"/>
      <c r="AR37" s="167" t="s">
        <v>724</v>
      </c>
      <c r="AS37" s="150"/>
      <c r="AT37" s="150"/>
      <c r="AU37" s="150"/>
      <c r="AV37" s="150"/>
      <c r="AW37" s="150"/>
      <c r="AX37" s="150"/>
      <c r="AY37" s="150"/>
      <c r="AZ37" s="150"/>
      <c r="BA37" s="150"/>
      <c r="BB37" s="150"/>
      <c r="BC37" s="150"/>
      <c r="BD37" s="150"/>
      <c r="BE37" s="150"/>
      <c r="BF37" s="150"/>
      <c r="BG37" s="170">
        <f t="shared" si="58"/>
        <v>1</v>
      </c>
      <c r="BH37" s="150" t="s">
        <v>217</v>
      </c>
      <c r="BI37" s="150">
        <v>0</v>
      </c>
      <c r="BJ37" s="150">
        <f>IF(BJ9=0,0,IF(BJ9=5,6,IF(BJ9=10,12,IF(BJ9=15,18,IF(BJ9=20,24,0)))))</f>
        <v>0</v>
      </c>
      <c r="BK37" s="150">
        <f t="shared" ref="BK37:BU37" si="92">IF(BK9=0,0,IF(BK9=5,6,IF(BK9=10,12,IF(BK9=15,18,IF(BK9=20,24,0)))))</f>
        <v>6</v>
      </c>
      <c r="BL37" s="150">
        <f t="shared" si="92"/>
        <v>6</v>
      </c>
      <c r="BM37" s="150">
        <f t="shared" si="92"/>
        <v>0</v>
      </c>
      <c r="BN37" s="150">
        <f t="shared" si="92"/>
        <v>6</v>
      </c>
      <c r="BO37" s="150">
        <f t="shared" si="92"/>
        <v>0</v>
      </c>
      <c r="BP37" s="150">
        <f t="shared" si="92"/>
        <v>12</v>
      </c>
      <c r="BQ37" s="150">
        <f t="shared" si="92"/>
        <v>6</v>
      </c>
      <c r="BR37" s="150">
        <f t="shared" si="92"/>
        <v>12</v>
      </c>
      <c r="BS37" s="150">
        <f t="shared" si="92"/>
        <v>6</v>
      </c>
      <c r="BT37" s="150">
        <f t="shared" si="92"/>
        <v>12</v>
      </c>
      <c r="BU37" s="150">
        <f t="shared" si="92"/>
        <v>12</v>
      </c>
      <c r="BV37" s="150"/>
      <c r="BW37" s="150" t="s">
        <v>217</v>
      </c>
      <c r="BX37" s="150">
        <v>0</v>
      </c>
      <c r="BY37" s="150">
        <f t="shared" ref="BY37:CJ40" si="93">IF(BY9=0,0,IF(BY9=5,6,IF(BY9=10,12,IF(BY9=15,18,IF(BY9=20,24,0)))))</f>
        <v>0</v>
      </c>
      <c r="BZ37" s="150">
        <f t="shared" si="93"/>
        <v>6</v>
      </c>
      <c r="CA37" s="150">
        <f t="shared" si="93"/>
        <v>0</v>
      </c>
      <c r="CB37" s="150">
        <f t="shared" si="93"/>
        <v>0</v>
      </c>
      <c r="CC37" s="150">
        <f t="shared" si="93"/>
        <v>0</v>
      </c>
      <c r="CD37" s="150">
        <f t="shared" si="93"/>
        <v>12</v>
      </c>
      <c r="CE37" s="150">
        <f t="shared" si="93"/>
        <v>6</v>
      </c>
      <c r="CF37" s="150">
        <f t="shared" si="93"/>
        <v>12</v>
      </c>
      <c r="CG37" s="150">
        <f t="shared" si="93"/>
        <v>6</v>
      </c>
      <c r="CH37" s="150">
        <f t="shared" si="93"/>
        <v>12</v>
      </c>
      <c r="CI37" s="150">
        <f t="shared" si="93"/>
        <v>12</v>
      </c>
      <c r="CJ37" s="150">
        <f t="shared" si="93"/>
        <v>18</v>
      </c>
      <c r="CK37" s="150"/>
      <c r="CL37" s="150"/>
      <c r="CM37" s="150"/>
      <c r="CN37" s="150" t="s">
        <v>217</v>
      </c>
      <c r="CO37" s="150">
        <v>0</v>
      </c>
      <c r="CP37" s="150">
        <f t="shared" ref="CP37:DA40" si="94">IF(CP9=0,0,IF(CP9=5,6,IF(CP9=10,12,IF(CP9=15,18,IF(CP9=20,24,0)))))</f>
        <v>0</v>
      </c>
      <c r="CQ37" s="150">
        <f t="shared" si="94"/>
        <v>6</v>
      </c>
      <c r="CR37" s="150">
        <f t="shared" si="94"/>
        <v>0</v>
      </c>
      <c r="CS37" s="150">
        <f t="shared" si="94"/>
        <v>6</v>
      </c>
      <c r="CT37" s="150">
        <f t="shared" si="94"/>
        <v>0</v>
      </c>
      <c r="CU37" s="150">
        <f t="shared" si="94"/>
        <v>6</v>
      </c>
      <c r="CV37" s="150">
        <f t="shared" si="94"/>
        <v>12</v>
      </c>
      <c r="CW37" s="150">
        <f t="shared" si="94"/>
        <v>12</v>
      </c>
      <c r="CX37" s="150">
        <f t="shared" si="94"/>
        <v>12</v>
      </c>
      <c r="CY37" s="150">
        <f t="shared" si="94"/>
        <v>12</v>
      </c>
      <c r="CZ37" s="150">
        <f t="shared" si="94"/>
        <v>18</v>
      </c>
      <c r="DA37" s="150">
        <f t="shared" si="94"/>
        <v>24</v>
      </c>
      <c r="DB37" s="150"/>
      <c r="DC37" s="150" t="s">
        <v>217</v>
      </c>
      <c r="DD37" s="150">
        <v>0</v>
      </c>
      <c r="DE37" s="150">
        <f>IF(DE9=0,0,IF(DE9=5,6,IF(DE9=10,12,IF(DE9=15,18,IF(DE9=20,24,0)))))</f>
        <v>0</v>
      </c>
      <c r="DF37" s="150">
        <f t="shared" ref="DF37:DP37" si="95">IF(DF9=0,0,IF(DF9=5,6,IF(DF9=10,12,IF(DF9=15,18,IF(DF9=20,24,0)))))</f>
        <v>6</v>
      </c>
      <c r="DG37" s="150">
        <f t="shared" si="95"/>
        <v>0</v>
      </c>
      <c r="DH37" s="150">
        <f t="shared" si="95"/>
        <v>6</v>
      </c>
      <c r="DI37" s="150">
        <f t="shared" si="95"/>
        <v>12</v>
      </c>
      <c r="DJ37" s="150">
        <f t="shared" si="95"/>
        <v>6</v>
      </c>
      <c r="DK37" s="150">
        <f t="shared" si="95"/>
        <v>12</v>
      </c>
      <c r="DL37" s="150">
        <f t="shared" si="95"/>
        <v>18</v>
      </c>
      <c r="DM37" s="150">
        <f t="shared" si="95"/>
        <v>12</v>
      </c>
      <c r="DN37" s="150">
        <f t="shared" si="95"/>
        <v>18</v>
      </c>
      <c r="DO37" s="150">
        <f t="shared" si="95"/>
        <v>24</v>
      </c>
      <c r="DP37" s="150">
        <f t="shared" si="95"/>
        <v>18</v>
      </c>
      <c r="DQ37" s="181"/>
      <c r="DR37" s="181">
        <v>45</v>
      </c>
      <c r="DS37" s="181"/>
      <c r="DT37" s="150" t="s">
        <v>217</v>
      </c>
      <c r="DU37" s="150">
        <v>0</v>
      </c>
      <c r="DV37" s="150">
        <f>IF(DV9=0,0,IF(DV9=5,6,IF(DV9=10,12,IF(DV9=15,18,IF(DV9=20,24,0)))))</f>
        <v>0</v>
      </c>
      <c r="DW37" s="150">
        <f t="shared" ref="DW37:EG37" si="96">IF(DW9=0,0,IF(DW9=5,6,IF(DW9=10,12,IF(DW9=15,18,IF(DW9=20,24,0)))))</f>
        <v>6</v>
      </c>
      <c r="DX37" s="150">
        <f t="shared" si="96"/>
        <v>0</v>
      </c>
      <c r="DY37" s="150">
        <f t="shared" si="96"/>
        <v>0</v>
      </c>
      <c r="DZ37" s="150">
        <f t="shared" si="96"/>
        <v>12</v>
      </c>
      <c r="EA37" s="150">
        <f t="shared" si="96"/>
        <v>12</v>
      </c>
      <c r="EB37" s="150">
        <f t="shared" si="96"/>
        <v>6</v>
      </c>
      <c r="EC37" s="150">
        <f t="shared" si="96"/>
        <v>12</v>
      </c>
      <c r="ED37" s="150">
        <f t="shared" si="96"/>
        <v>18</v>
      </c>
      <c r="EE37" s="150">
        <f t="shared" si="96"/>
        <v>12</v>
      </c>
      <c r="EF37" s="150">
        <f t="shared" si="96"/>
        <v>18</v>
      </c>
      <c r="EG37" s="150">
        <f t="shared" si="96"/>
        <v>24</v>
      </c>
      <c r="EH37" s="150"/>
      <c r="EI37" s="150"/>
      <c r="EJ37" s="155"/>
      <c r="EK37" s="150" t="s">
        <v>586</v>
      </c>
      <c r="EL37" s="150">
        <v>0</v>
      </c>
      <c r="EM37" s="150">
        <f t="shared" ref="EM37:EX37" si="97">EM9/5*6</f>
        <v>0</v>
      </c>
      <c r="EN37" s="150">
        <f t="shared" si="97"/>
        <v>6</v>
      </c>
      <c r="EO37" s="150">
        <f t="shared" si="97"/>
        <v>6</v>
      </c>
      <c r="EP37" s="150">
        <f t="shared" si="97"/>
        <v>0</v>
      </c>
      <c r="EQ37" s="150">
        <f t="shared" si="97"/>
        <v>0</v>
      </c>
      <c r="ER37" s="150">
        <f t="shared" si="97"/>
        <v>0</v>
      </c>
      <c r="ES37" s="150">
        <f t="shared" si="97"/>
        <v>0</v>
      </c>
      <c r="ET37" s="150">
        <f t="shared" si="97"/>
        <v>0</v>
      </c>
      <c r="EU37" s="150">
        <f t="shared" si="97"/>
        <v>0</v>
      </c>
      <c r="EV37" s="150">
        <f t="shared" si="97"/>
        <v>0</v>
      </c>
      <c r="EW37" s="150">
        <f t="shared" si="97"/>
        <v>0</v>
      </c>
      <c r="EX37" s="150">
        <f t="shared" si="97"/>
        <v>0</v>
      </c>
      <c r="EZ37" s="150" t="s">
        <v>586</v>
      </c>
      <c r="FA37" s="150">
        <v>0</v>
      </c>
      <c r="FB37" s="150">
        <f t="shared" ref="FB37:FM37" si="98">FB9/5*6</f>
        <v>0</v>
      </c>
      <c r="FC37" s="150">
        <f t="shared" si="98"/>
        <v>6</v>
      </c>
      <c r="FD37" s="150">
        <f t="shared" si="98"/>
        <v>0</v>
      </c>
      <c r="FE37" s="150">
        <f t="shared" si="98"/>
        <v>0</v>
      </c>
      <c r="FF37" s="150">
        <f t="shared" si="98"/>
        <v>0</v>
      </c>
      <c r="FG37" s="150">
        <f t="shared" si="98"/>
        <v>0</v>
      </c>
      <c r="FH37" s="150">
        <f t="shared" si="98"/>
        <v>0</v>
      </c>
      <c r="FI37" s="150">
        <f t="shared" si="98"/>
        <v>0</v>
      </c>
      <c r="FJ37" s="150">
        <f t="shared" si="98"/>
        <v>0</v>
      </c>
      <c r="FK37" s="150">
        <f t="shared" si="98"/>
        <v>0</v>
      </c>
      <c r="FL37" s="150">
        <f t="shared" si="98"/>
        <v>0</v>
      </c>
      <c r="FM37" s="150">
        <f t="shared" si="98"/>
        <v>0</v>
      </c>
      <c r="FO37" s="150" t="s">
        <v>586</v>
      </c>
      <c r="FP37" s="150">
        <v>0</v>
      </c>
      <c r="FQ37" s="150">
        <f t="shared" ref="FQ37:GB37" si="99">FQ9/5*6</f>
        <v>0</v>
      </c>
      <c r="FR37" s="150">
        <f t="shared" si="99"/>
        <v>6</v>
      </c>
      <c r="FS37" s="150">
        <f t="shared" si="99"/>
        <v>0</v>
      </c>
      <c r="FT37" s="150">
        <f t="shared" si="99"/>
        <v>0</v>
      </c>
      <c r="FU37" s="150">
        <f t="shared" si="99"/>
        <v>0</v>
      </c>
      <c r="FV37" s="150">
        <f t="shared" si="99"/>
        <v>0</v>
      </c>
      <c r="FW37" s="150">
        <f t="shared" si="99"/>
        <v>0</v>
      </c>
      <c r="FX37" s="150">
        <f t="shared" si="99"/>
        <v>0</v>
      </c>
      <c r="FY37" s="150">
        <f t="shared" si="99"/>
        <v>0</v>
      </c>
      <c r="FZ37" s="150">
        <f t="shared" si="99"/>
        <v>0</v>
      </c>
      <c r="GA37" s="150">
        <f t="shared" si="99"/>
        <v>0</v>
      </c>
      <c r="GB37" s="150">
        <f t="shared" si="99"/>
        <v>0</v>
      </c>
      <c r="GD37" s="150" t="s">
        <v>586</v>
      </c>
      <c r="GE37" s="150">
        <v>0</v>
      </c>
      <c r="GF37" s="150">
        <f t="shared" ref="GF37:GQ37" si="100">GF9/5*6</f>
        <v>0</v>
      </c>
      <c r="GG37" s="150">
        <f t="shared" si="100"/>
        <v>6</v>
      </c>
      <c r="GH37" s="150">
        <f t="shared" si="100"/>
        <v>0</v>
      </c>
      <c r="GI37" s="150">
        <f t="shared" si="100"/>
        <v>0</v>
      </c>
      <c r="GJ37" s="150">
        <f t="shared" si="100"/>
        <v>0</v>
      </c>
      <c r="GK37" s="150">
        <f t="shared" si="100"/>
        <v>0</v>
      </c>
      <c r="GL37" s="150">
        <f t="shared" si="100"/>
        <v>0</v>
      </c>
      <c r="GM37" s="150">
        <f t="shared" si="100"/>
        <v>0</v>
      </c>
      <c r="GN37" s="150">
        <f t="shared" si="100"/>
        <v>0</v>
      </c>
      <c r="GO37" s="150">
        <f t="shared" si="100"/>
        <v>0</v>
      </c>
      <c r="GP37" s="150">
        <f t="shared" si="100"/>
        <v>0</v>
      </c>
      <c r="GQ37" s="150">
        <f t="shared" si="100"/>
        <v>0</v>
      </c>
      <c r="GS37" s="150" t="s">
        <v>586</v>
      </c>
      <c r="GT37" s="150">
        <v>0</v>
      </c>
      <c r="GU37" s="150">
        <f t="shared" ref="GU37:HF37" si="101">GU9/5*6</f>
        <v>0</v>
      </c>
      <c r="GV37" s="150">
        <f t="shared" si="101"/>
        <v>6</v>
      </c>
      <c r="GW37" s="150">
        <f t="shared" si="101"/>
        <v>0</v>
      </c>
      <c r="GX37" s="150">
        <f t="shared" si="101"/>
        <v>0</v>
      </c>
      <c r="GY37" s="150">
        <f t="shared" si="101"/>
        <v>0</v>
      </c>
      <c r="GZ37" s="150">
        <f t="shared" si="101"/>
        <v>0</v>
      </c>
      <c r="HA37" s="150">
        <f t="shared" si="101"/>
        <v>0</v>
      </c>
      <c r="HB37" s="150">
        <f t="shared" si="101"/>
        <v>0</v>
      </c>
      <c r="HC37" s="150">
        <f t="shared" si="101"/>
        <v>0</v>
      </c>
      <c r="HD37" s="150">
        <f t="shared" si="101"/>
        <v>0</v>
      </c>
      <c r="HE37" s="150">
        <f t="shared" si="101"/>
        <v>0</v>
      </c>
      <c r="HF37" s="150">
        <f t="shared" si="101"/>
        <v>0</v>
      </c>
      <c r="HG37" s="156"/>
      <c r="HH37" s="150"/>
    </row>
    <row r="38" spans="1:216" x14ac:dyDescent="0.25">
      <c r="A38" s="8"/>
      <c r="B38" s="5" t="s">
        <v>116</v>
      </c>
      <c r="C38" s="8"/>
      <c r="D38" s="6" t="s">
        <v>315</v>
      </c>
      <c r="E38" s="8">
        <v>0</v>
      </c>
      <c r="F38" s="5"/>
      <c r="G38" s="5"/>
      <c r="H38" s="5"/>
      <c r="I38" s="5"/>
      <c r="J38" s="5" t="s">
        <v>412</v>
      </c>
      <c r="K38" s="9"/>
      <c r="L38" s="6" t="str">
        <f>INDEX((AS29:AV35),MATCH(G35,AR29:AR35,0),MATCH(E37,AS28:AV28,0))</f>
        <v>CWT70H50/3NMC</v>
      </c>
      <c r="M38" s="11">
        <f>INDEX(cennik!$C$2:$L$529,MATCH($L38,cennik!$B$2:$B$522,0),MATCH(M$2,cennik!$C$1:$L$1,0))</f>
        <v>867830</v>
      </c>
      <c r="N38" s="11" t="str">
        <f>INDEX(cennik!$C$2:$L$529,MATCH($L38,cennik!$B$2:$B$522,0),MATCH(N$2,cennik!$C$1:$L$1,0))</f>
        <v>szt.</v>
      </c>
      <c r="O38" s="11">
        <f>O37</f>
        <v>0</v>
      </c>
      <c r="P38" s="34">
        <f>INDEX(cennik!$C$2:$L$529,MATCH($L38,cennik!$B$2:$B$522,0),MATCH(P$2,cennik!$C$1:$L$1,0))</f>
        <v>151.83000000000001</v>
      </c>
      <c r="Q38" s="34">
        <f t="shared" si="90"/>
        <v>0</v>
      </c>
      <c r="R38" s="35">
        <f t="shared" si="88"/>
        <v>0</v>
      </c>
      <c r="S38" s="34">
        <f t="shared" si="89"/>
        <v>151.83000000000001</v>
      </c>
      <c r="T38" s="34">
        <f t="shared" si="91"/>
        <v>0</v>
      </c>
      <c r="U38" s="34">
        <f>INDEX(cennik!$C$2:$L$529,MATCH($L38,cennik!$B$2:$B$522,0),MATCH(U$2,cennik!$C$1:$L$1,0))*O38</f>
        <v>0</v>
      </c>
      <c r="V38" s="62"/>
      <c r="W38" s="150">
        <f>INDEX(($EL$31:$EX$34,$FA$31:$FM$34,$EL$37:$EX$40,$EL$43:$EX$46,$FA$37:$FM$40,$FA$43:$FM$46,$FP$31:$GB$34,$FP$37:$GB$40,$FP$43:$GB$46,$GE$31:$GQ$34,$GE$37:$GQ$40,$GE$43:$GQ$46,$GT$31:$HF$34,$GT$37:$HF$40),MATCH($L$49,$EK$31:$EK$34,0),MATCH($A37,$EL$30:$EX$30,0),MATCH($E$35,$AE$33:$AE$48,0))*$C37</f>
        <v>0</v>
      </c>
      <c r="X38" s="150">
        <f>INDEX(($EL$31:$EX$34,$FA$31:$FM$34,$EL$37:$EX$40,$EL$43:$EX$46,$FA$37:$FM$40,$FA$43:$FM$46,$FP$31:$GB$34,$FP$37:$GB$40,$FP$43:$GB$46,$GE$31:$GQ$34,$GE$37:$GQ$40,$GE$43:$GQ$46,$GT$31:$HF$34,$GT$37:$HF$40),MATCH($L$46,$EK$31:$EK$34,0),MATCH($A37,$EL$30:$EX$30,0),MATCH($E$35,$AE$33:$AE$48,0))*$C37</f>
        <v>0</v>
      </c>
      <c r="Y38" s="150">
        <f>INDEX(($EL$31:$EX$34,$FA$31:$FM$34,$EL$37:$EX$40,$EL$43:$EX$46,$FA$37:$FM$40,$FA$43:$FM$46,$FP$31:$GB$34,$FP$37:$GB$40,$FP$43:$GB$46,$GE$31:$GQ$34,$GE$37:$GQ$40,$GE$43:$GQ$46,$GT$31:$HF$34,$GT$37:$HF$40),MATCH($L$47,$EK$31:$EK$34,0),MATCH($A37,$EL$30:$EX$30,0),MATCH($E$35,$AE$33:$AE$48,0))*$C37</f>
        <v>0</v>
      </c>
      <c r="Z38" s="150">
        <f>INDEX(($EL$31:$EX$34,$FA$31:$FM$34,$EL$37:$EX$40,$EL$43:$EX$46,$FA$37:$FM$40,$FA$43:$FM$46,$FP$31:$GB$34,$FP$37:$GB$40,$FP$43:$GB$46,$GE$31:$GQ$34,$GE$37:$GQ$40,$GE$43:$GQ$46,$GT$31:$HF$34,$GT$37:$HF$40),MATCH($L$48,$EK$31:$EK$34,0),MATCH($A37,$EL$30:$EX$30,0),MATCH($E$35,$AE$33:$AE$48,0))*$C37</f>
        <v>0</v>
      </c>
      <c r="AA38" s="150">
        <f t="shared" si="75"/>
        <v>0</v>
      </c>
      <c r="AB38" s="150">
        <f t="shared" si="76"/>
        <v>0</v>
      </c>
      <c r="AC38" s="150"/>
      <c r="AD38" s="150"/>
      <c r="AE38" s="150" t="s">
        <v>471</v>
      </c>
      <c r="AF38" s="150">
        <v>1900</v>
      </c>
      <c r="AG38" s="150"/>
      <c r="AH38" s="150"/>
      <c r="AI38" s="150"/>
      <c r="AJ38" s="150"/>
      <c r="AK38" s="150"/>
      <c r="AL38" s="150"/>
      <c r="AM38" s="150"/>
      <c r="AN38" s="150"/>
      <c r="AO38" s="150"/>
      <c r="AP38" s="150"/>
      <c r="AQ38" s="150"/>
      <c r="AR38" s="150"/>
      <c r="AS38" s="150" t="s">
        <v>314</v>
      </c>
      <c r="AT38" s="150" t="s">
        <v>312</v>
      </c>
      <c r="AU38" s="150" t="s">
        <v>309</v>
      </c>
      <c r="AV38" s="150" t="s">
        <v>313</v>
      </c>
      <c r="AW38" s="150"/>
      <c r="AX38" s="150"/>
      <c r="AY38" s="150"/>
      <c r="AZ38" s="150"/>
      <c r="BA38" s="150"/>
      <c r="BB38" s="150"/>
      <c r="BC38" s="150"/>
      <c r="BD38" s="150"/>
      <c r="BE38" s="150"/>
      <c r="BF38" s="150"/>
      <c r="BG38" s="170">
        <f t="shared" si="58"/>
        <v>1</v>
      </c>
      <c r="BH38" s="150" t="s">
        <v>216</v>
      </c>
      <c r="BI38" s="150">
        <v>0</v>
      </c>
      <c r="BJ38" s="150">
        <f t="shared" ref="BJ38:BU40" si="102">IF(BJ10=0,0,IF(BJ10=5,6,IF(BJ10=10,12,IF(BJ10=15,18,IF(BJ10=20,24,0)))))</f>
        <v>0</v>
      </c>
      <c r="BK38" s="150">
        <f t="shared" si="102"/>
        <v>0</v>
      </c>
      <c r="BL38" s="150">
        <f>IF(BL10=0,0,IF(BL10=5,6,IF(BL10=10,12,IF(BL10=15,18,IF(BL10=20,24,0)))))</f>
        <v>0</v>
      </c>
      <c r="BM38" s="150">
        <f t="shared" si="102"/>
        <v>12</v>
      </c>
      <c r="BN38" s="150">
        <f t="shared" si="102"/>
        <v>0</v>
      </c>
      <c r="BO38" s="150">
        <f t="shared" si="102"/>
        <v>12</v>
      </c>
      <c r="BP38" s="150">
        <f t="shared" si="102"/>
        <v>0</v>
      </c>
      <c r="BQ38" s="150">
        <f t="shared" si="102"/>
        <v>12</v>
      </c>
      <c r="BR38" s="150">
        <f t="shared" si="102"/>
        <v>0</v>
      </c>
      <c r="BS38" s="150">
        <f t="shared" si="102"/>
        <v>12</v>
      </c>
      <c r="BT38" s="150">
        <f t="shared" si="102"/>
        <v>6</v>
      </c>
      <c r="BU38" s="150">
        <f t="shared" si="102"/>
        <v>12</v>
      </c>
      <c r="BV38" s="150"/>
      <c r="BW38" s="150" t="s">
        <v>216</v>
      </c>
      <c r="BX38" s="150">
        <v>0</v>
      </c>
      <c r="BY38" s="150">
        <f t="shared" si="93"/>
        <v>0</v>
      </c>
      <c r="BZ38" s="150">
        <f t="shared" si="93"/>
        <v>0</v>
      </c>
      <c r="CA38" s="150">
        <f t="shared" si="93"/>
        <v>6</v>
      </c>
      <c r="CB38" s="150">
        <f t="shared" si="93"/>
        <v>12</v>
      </c>
      <c r="CC38" s="150">
        <f t="shared" si="93"/>
        <v>12</v>
      </c>
      <c r="CD38" s="150">
        <f t="shared" si="93"/>
        <v>0</v>
      </c>
      <c r="CE38" s="150">
        <f t="shared" si="93"/>
        <v>12</v>
      </c>
      <c r="CF38" s="150">
        <f t="shared" si="93"/>
        <v>6</v>
      </c>
      <c r="CG38" s="150">
        <f t="shared" si="93"/>
        <v>12</v>
      </c>
      <c r="CH38" s="150">
        <f t="shared" si="93"/>
        <v>6</v>
      </c>
      <c r="CI38" s="150">
        <f t="shared" si="93"/>
        <v>12</v>
      </c>
      <c r="CJ38" s="150">
        <f t="shared" si="93"/>
        <v>6</v>
      </c>
      <c r="CK38" s="150"/>
      <c r="CL38" s="150"/>
      <c r="CM38" s="150"/>
      <c r="CN38" s="150" t="s">
        <v>216</v>
      </c>
      <c r="CO38" s="150">
        <v>0</v>
      </c>
      <c r="CP38" s="150">
        <f t="shared" si="94"/>
        <v>6</v>
      </c>
      <c r="CQ38" s="150">
        <f t="shared" si="94"/>
        <v>0</v>
      </c>
      <c r="CR38" s="150">
        <f t="shared" si="94"/>
        <v>6</v>
      </c>
      <c r="CS38" s="150">
        <f t="shared" si="94"/>
        <v>0</v>
      </c>
      <c r="CT38" s="150">
        <f t="shared" si="94"/>
        <v>12</v>
      </c>
      <c r="CU38" s="150">
        <f t="shared" si="94"/>
        <v>12</v>
      </c>
      <c r="CV38" s="150">
        <f t="shared" si="94"/>
        <v>0</v>
      </c>
      <c r="CW38" s="150">
        <f t="shared" si="94"/>
        <v>6</v>
      </c>
      <c r="CX38" s="150">
        <f t="shared" si="94"/>
        <v>6</v>
      </c>
      <c r="CY38" s="150">
        <f t="shared" si="94"/>
        <v>12</v>
      </c>
      <c r="CZ38" s="150">
        <f t="shared" si="94"/>
        <v>6</v>
      </c>
      <c r="DA38" s="150">
        <f t="shared" si="94"/>
        <v>0</v>
      </c>
      <c r="DB38" s="150"/>
      <c r="DC38" s="150" t="s">
        <v>216</v>
      </c>
      <c r="DD38" s="150">
        <v>0</v>
      </c>
      <c r="DE38" s="150">
        <f t="shared" ref="DE38:DP40" si="103">IF(DE10=0,0,IF(DE10=5,6,IF(DE10=10,12,IF(DE10=15,18,IF(DE10=20,24,0)))))</f>
        <v>6</v>
      </c>
      <c r="DF38" s="150">
        <f t="shared" si="103"/>
        <v>0</v>
      </c>
      <c r="DG38" s="150">
        <f t="shared" si="103"/>
        <v>12</v>
      </c>
      <c r="DH38" s="150">
        <f t="shared" si="103"/>
        <v>6</v>
      </c>
      <c r="DI38" s="150">
        <f t="shared" si="103"/>
        <v>0</v>
      </c>
      <c r="DJ38" s="150">
        <f t="shared" si="103"/>
        <v>12</v>
      </c>
      <c r="DK38" s="150">
        <f t="shared" si="103"/>
        <v>6</v>
      </c>
      <c r="DL38" s="150">
        <f t="shared" si="103"/>
        <v>0</v>
      </c>
      <c r="DM38" s="150">
        <f t="shared" si="103"/>
        <v>12</v>
      </c>
      <c r="DN38" s="150">
        <f t="shared" si="103"/>
        <v>6</v>
      </c>
      <c r="DO38" s="150">
        <f t="shared" si="103"/>
        <v>0</v>
      </c>
      <c r="DP38" s="150">
        <f t="shared" si="103"/>
        <v>6</v>
      </c>
      <c r="DQ38" s="181"/>
      <c r="DR38" s="181">
        <v>50</v>
      </c>
      <c r="DS38" s="181"/>
      <c r="DT38" s="150" t="s">
        <v>216</v>
      </c>
      <c r="DU38" s="150">
        <v>0</v>
      </c>
      <c r="DV38" s="150">
        <f t="shared" ref="DV38:EG40" si="104">IF(DV10=0,0,IF(DV10=5,6,IF(DV10=10,12,IF(DV10=15,18,IF(DV10=20,24,0)))))</f>
        <v>6</v>
      </c>
      <c r="DW38" s="150">
        <f t="shared" si="104"/>
        <v>0</v>
      </c>
      <c r="DX38" s="150">
        <f t="shared" si="104"/>
        <v>12</v>
      </c>
      <c r="DY38" s="150">
        <f t="shared" si="104"/>
        <v>12</v>
      </c>
      <c r="DZ38" s="150">
        <f t="shared" si="104"/>
        <v>0</v>
      </c>
      <c r="EA38" s="150">
        <f t="shared" si="104"/>
        <v>0</v>
      </c>
      <c r="EB38" s="150">
        <f t="shared" si="104"/>
        <v>12</v>
      </c>
      <c r="EC38" s="150">
        <f t="shared" si="104"/>
        <v>6</v>
      </c>
      <c r="ED38" s="150">
        <f t="shared" si="104"/>
        <v>6</v>
      </c>
      <c r="EE38" s="150">
        <f t="shared" si="104"/>
        <v>12</v>
      </c>
      <c r="EF38" s="150">
        <f t="shared" si="104"/>
        <v>6</v>
      </c>
      <c r="EG38" s="150">
        <f t="shared" si="104"/>
        <v>0</v>
      </c>
      <c r="EH38" s="150"/>
      <c r="EI38" s="150"/>
      <c r="EJ38" s="155"/>
      <c r="EK38" s="150" t="s">
        <v>522</v>
      </c>
      <c r="EL38" s="150">
        <v>0</v>
      </c>
      <c r="EM38" s="150">
        <f t="shared" ref="EM38:EX38" si="105">EM10/5*6</f>
        <v>0</v>
      </c>
      <c r="EN38" s="150">
        <f t="shared" si="105"/>
        <v>0</v>
      </c>
      <c r="EO38" s="150">
        <f t="shared" si="105"/>
        <v>0</v>
      </c>
      <c r="EP38" s="150">
        <f t="shared" si="105"/>
        <v>12</v>
      </c>
      <c r="EQ38" s="150">
        <f t="shared" si="105"/>
        <v>0</v>
      </c>
      <c r="ER38" s="150">
        <f t="shared" si="105"/>
        <v>12</v>
      </c>
      <c r="ES38" s="150">
        <f t="shared" si="105"/>
        <v>0</v>
      </c>
      <c r="ET38" s="150">
        <f t="shared" si="105"/>
        <v>12</v>
      </c>
      <c r="EU38" s="150">
        <f t="shared" si="105"/>
        <v>0</v>
      </c>
      <c r="EV38" s="150">
        <f t="shared" si="105"/>
        <v>12</v>
      </c>
      <c r="EW38" s="150">
        <f t="shared" si="105"/>
        <v>6</v>
      </c>
      <c r="EX38" s="150">
        <f t="shared" si="105"/>
        <v>12</v>
      </c>
      <c r="EY38" s="150"/>
      <c r="EZ38" s="150" t="s">
        <v>522</v>
      </c>
      <c r="FA38" s="150">
        <v>0</v>
      </c>
      <c r="FB38" s="150">
        <f t="shared" ref="FB38:FM38" si="106">FB10/5*6</f>
        <v>0</v>
      </c>
      <c r="FC38" s="150">
        <f t="shared" si="106"/>
        <v>0</v>
      </c>
      <c r="FD38" s="150">
        <f t="shared" si="106"/>
        <v>6</v>
      </c>
      <c r="FE38" s="150">
        <f t="shared" si="106"/>
        <v>12</v>
      </c>
      <c r="FF38" s="150">
        <f t="shared" si="106"/>
        <v>12</v>
      </c>
      <c r="FG38" s="150">
        <f t="shared" si="106"/>
        <v>0</v>
      </c>
      <c r="FH38" s="150">
        <f t="shared" si="106"/>
        <v>12</v>
      </c>
      <c r="FI38" s="150">
        <f t="shared" si="106"/>
        <v>6</v>
      </c>
      <c r="FJ38" s="150">
        <f t="shared" si="106"/>
        <v>12</v>
      </c>
      <c r="FK38" s="150">
        <f t="shared" si="106"/>
        <v>6</v>
      </c>
      <c r="FL38" s="150">
        <f t="shared" si="106"/>
        <v>12</v>
      </c>
      <c r="FM38" s="150">
        <f t="shared" si="106"/>
        <v>6</v>
      </c>
      <c r="FN38" s="150"/>
      <c r="FO38" s="150" t="s">
        <v>522</v>
      </c>
      <c r="FP38" s="150">
        <v>0</v>
      </c>
      <c r="FQ38" s="150">
        <f t="shared" ref="FQ38:GB38" si="107">FQ10/5*6</f>
        <v>6</v>
      </c>
      <c r="FR38" s="150">
        <f t="shared" si="107"/>
        <v>0</v>
      </c>
      <c r="FS38" s="150">
        <f t="shared" si="107"/>
        <v>6</v>
      </c>
      <c r="FT38" s="150">
        <f t="shared" si="107"/>
        <v>0</v>
      </c>
      <c r="FU38" s="150">
        <f t="shared" si="107"/>
        <v>12</v>
      </c>
      <c r="FV38" s="150">
        <f t="shared" si="107"/>
        <v>12</v>
      </c>
      <c r="FW38" s="150">
        <f t="shared" si="107"/>
        <v>0</v>
      </c>
      <c r="FX38" s="150">
        <f t="shared" si="107"/>
        <v>6</v>
      </c>
      <c r="FY38" s="150">
        <f t="shared" si="107"/>
        <v>6</v>
      </c>
      <c r="FZ38" s="150">
        <f t="shared" si="107"/>
        <v>12</v>
      </c>
      <c r="GA38" s="150">
        <f t="shared" si="107"/>
        <v>6</v>
      </c>
      <c r="GB38" s="150">
        <f t="shared" si="107"/>
        <v>0</v>
      </c>
      <c r="GC38" s="150"/>
      <c r="GD38" s="150" t="s">
        <v>522</v>
      </c>
      <c r="GE38" s="150">
        <v>0</v>
      </c>
      <c r="GF38" s="150">
        <f t="shared" ref="GF38:GQ38" si="108">GF10/5*6</f>
        <v>6</v>
      </c>
      <c r="GG38" s="150">
        <f t="shared" si="108"/>
        <v>0</v>
      </c>
      <c r="GH38" s="150">
        <f t="shared" si="108"/>
        <v>12</v>
      </c>
      <c r="GI38" s="150">
        <f t="shared" si="108"/>
        <v>6</v>
      </c>
      <c r="GJ38" s="150">
        <f t="shared" si="108"/>
        <v>0</v>
      </c>
      <c r="GK38" s="150">
        <f t="shared" si="108"/>
        <v>12</v>
      </c>
      <c r="GL38" s="150">
        <f t="shared" si="108"/>
        <v>6</v>
      </c>
      <c r="GM38" s="150">
        <f t="shared" si="108"/>
        <v>0</v>
      </c>
      <c r="GN38" s="150">
        <f t="shared" si="108"/>
        <v>12</v>
      </c>
      <c r="GO38" s="150">
        <f t="shared" si="108"/>
        <v>6</v>
      </c>
      <c r="GP38" s="150">
        <f t="shared" si="108"/>
        <v>0</v>
      </c>
      <c r="GQ38" s="150">
        <f t="shared" si="108"/>
        <v>6</v>
      </c>
      <c r="GR38" s="150"/>
      <c r="GS38" s="150" t="s">
        <v>522</v>
      </c>
      <c r="GT38" s="150">
        <v>0</v>
      </c>
      <c r="GU38" s="150">
        <f t="shared" ref="GU38:HF38" si="109">GU10/5*6</f>
        <v>6</v>
      </c>
      <c r="GV38" s="150">
        <f t="shared" si="109"/>
        <v>0</v>
      </c>
      <c r="GW38" s="150">
        <f t="shared" si="109"/>
        <v>12</v>
      </c>
      <c r="GX38" s="150">
        <f t="shared" si="109"/>
        <v>12</v>
      </c>
      <c r="GY38" s="150">
        <f t="shared" si="109"/>
        <v>0</v>
      </c>
      <c r="GZ38" s="150">
        <f t="shared" si="109"/>
        <v>0</v>
      </c>
      <c r="HA38" s="150">
        <f t="shared" si="109"/>
        <v>12</v>
      </c>
      <c r="HB38" s="150">
        <f t="shared" si="109"/>
        <v>6</v>
      </c>
      <c r="HC38" s="150">
        <f t="shared" si="109"/>
        <v>6</v>
      </c>
      <c r="HD38" s="150">
        <f t="shared" si="109"/>
        <v>12</v>
      </c>
      <c r="HE38" s="150">
        <f t="shared" si="109"/>
        <v>6</v>
      </c>
      <c r="HF38" s="150">
        <f t="shared" si="109"/>
        <v>0</v>
      </c>
      <c r="HG38" s="156"/>
      <c r="HH38" s="150"/>
    </row>
    <row r="39" spans="1:216" x14ac:dyDescent="0.25">
      <c r="A39" s="8"/>
      <c r="B39" s="5" t="s">
        <v>116</v>
      </c>
      <c r="C39" s="8"/>
      <c r="D39" s="6" t="s">
        <v>162</v>
      </c>
      <c r="E39" s="8">
        <v>0</v>
      </c>
      <c r="F39" s="5"/>
      <c r="G39" s="5"/>
      <c r="H39" s="5"/>
      <c r="I39" s="5"/>
      <c r="J39" s="5" t="s">
        <v>163</v>
      </c>
      <c r="K39" s="9"/>
      <c r="L39" s="6" t="str">
        <f>INDEX((AS39:AV45),MATCH(G35,AR39:AR45,0),MATCH(E37,AS38:AV38,0))</f>
        <v>-------</v>
      </c>
      <c r="M39" s="11" t="str">
        <f>INDEX(cennik!$C$2:$L$529,MATCH($L39,cennik!$B$2:$B$522,0),MATCH(M$2,cennik!$C$1:$L$1,0))</f>
        <v>-------</v>
      </c>
      <c r="N39" s="11">
        <f>INDEX(cennik!$C$2:$L$529,MATCH($L39,cennik!$B$2:$B$522,0),MATCH(N$2,cennik!$C$1:$L$1,0))</f>
        <v>0</v>
      </c>
      <c r="O39" s="11">
        <f>IF(L39="CWT70H50/2NMC",O38,IF(L39="CWT70H50/2,4NMC",O38,0))</f>
        <v>0</v>
      </c>
      <c r="P39" s="34">
        <f>INDEX(cennik!$C$2:$L$529,MATCH($L39,cennik!$B$2:$B$522,0),MATCH(P$2,cennik!$C$1:$L$1,0))</f>
        <v>0</v>
      </c>
      <c r="Q39" s="34">
        <f t="shared" ref="Q39:Q40" si="110">O39*P39</f>
        <v>0</v>
      </c>
      <c r="R39" s="35">
        <f t="shared" si="88"/>
        <v>0</v>
      </c>
      <c r="S39" s="34">
        <f t="shared" si="89"/>
        <v>0</v>
      </c>
      <c r="T39" s="34">
        <f t="shared" ref="T39:T40" si="111">O39*S39</f>
        <v>0</v>
      </c>
      <c r="U39" s="34">
        <f>INDEX(cennik!$C$2:$L$529,MATCH($L39,cennik!$B$2:$B$522,0),MATCH(U$2,cennik!$C$1:$L$1,0))*O39</f>
        <v>0</v>
      </c>
      <c r="V39" s="62"/>
      <c r="W39" s="150">
        <f>INDEX(($EL$31:$EX$34,$FA$31:$FM$34,$EL$37:$EX$40,$EL$43:$EX$46,$FA$37:$FM$40,$FA$43:$FM$46,$FP$31:$GB$34,$FP$37:$GB$40,$FP$43:$GB$46,$GE$31:$GQ$34,$GE$37:$GQ$40,$GE$43:$GQ$46,$GT$31:$HF$34,$GT$37:$HF$40),MATCH($L$49,$EK$31:$EK$34,0),MATCH($A38,$EL$30:$EX$30,0),MATCH($E$35,$AE$33:$AE$48,0))*$C38</f>
        <v>0</v>
      </c>
      <c r="X39" s="150">
        <f>INDEX(($EL$31:$EX$34,$FA$31:$FM$34,$EL$37:$EX$40,$EL$43:$EX$46,$FA$37:$FM$40,$FA$43:$FM$46,$FP$31:$GB$34,$FP$37:$GB$40,$FP$43:$GB$46,$GE$31:$GQ$34,$GE$37:$GQ$40,$GE$43:$GQ$46,$GT$31:$HF$34,$GT$37:$HF$40),MATCH($L$46,$EK$31:$EK$34,0),MATCH($A38,$EL$30:$EX$30,0),MATCH($E$35,$AE$33:$AE$48,0))*$C38</f>
        <v>0</v>
      </c>
      <c r="Y39" s="150">
        <f>INDEX(($EL$31:$EX$34,$FA$31:$FM$34,$EL$37:$EX$40,$EL$43:$EX$46,$FA$37:$FM$40,$FA$43:$FM$46,$FP$31:$GB$34,$FP$37:$GB$40,$FP$43:$GB$46,$GE$31:$GQ$34,$GE$37:$GQ$40,$GE$43:$GQ$46,$GT$31:$HF$34,$GT$37:$HF$40),MATCH($L$47,$EK$31:$EK$34,0),MATCH($A38,$EL$30:$EX$30,0),MATCH($E$35,$AE$33:$AE$48,0))*$C38</f>
        <v>0</v>
      </c>
      <c r="Z39" s="150">
        <f>INDEX(($EL$31:$EX$34,$FA$31:$FM$34,$EL$37:$EX$40,$EL$43:$EX$46,$FA$37:$FM$40,$FA$43:$FM$46,$FP$31:$GB$34,$FP$37:$GB$40,$FP$43:$GB$46,$GE$31:$GQ$34,$GE$37:$GQ$40,$GE$43:$GQ$46,$GT$31:$HF$34,$GT$37:$HF$40),MATCH($L$48,$EK$31:$EK$34,0),MATCH($A38,$EL$30:$EX$30,0),MATCH($E$35,$AE$33:$AE$48,0))*$C38</f>
        <v>0</v>
      </c>
      <c r="AA39" s="150">
        <f t="shared" si="75"/>
        <v>0</v>
      </c>
      <c r="AB39" s="150">
        <f t="shared" si="76"/>
        <v>0</v>
      </c>
      <c r="AC39" s="150"/>
      <c r="AD39" s="150"/>
      <c r="AE39" s="150" t="s">
        <v>473</v>
      </c>
      <c r="AF39" s="150">
        <v>1950</v>
      </c>
      <c r="AG39" s="150"/>
      <c r="AH39" s="150"/>
      <c r="AI39" s="150"/>
      <c r="AJ39" s="150"/>
      <c r="AK39" s="150"/>
      <c r="AL39" s="150"/>
      <c r="AM39" s="150"/>
      <c r="AN39" s="150"/>
      <c r="AO39" s="150"/>
      <c r="AP39" s="150"/>
      <c r="AQ39" s="150"/>
      <c r="AR39" s="150" t="s">
        <v>114</v>
      </c>
      <c r="AS39" s="150" t="s">
        <v>151</v>
      </c>
      <c r="AT39" s="150" t="s">
        <v>151</v>
      </c>
      <c r="AU39" s="150" t="s">
        <v>151</v>
      </c>
      <c r="AV39" s="150" t="s">
        <v>151</v>
      </c>
      <c r="AW39" s="150"/>
      <c r="AX39" s="150"/>
      <c r="AY39" s="150"/>
      <c r="AZ39" s="150"/>
      <c r="BA39" s="150"/>
      <c r="BB39" s="150"/>
      <c r="BC39" s="150"/>
      <c r="BD39" s="150"/>
      <c r="BE39" s="150"/>
      <c r="BF39" s="150"/>
      <c r="BG39" s="170">
        <f t="shared" si="58"/>
        <v>1</v>
      </c>
      <c r="BH39" s="150" t="s">
        <v>17</v>
      </c>
      <c r="BI39" s="150">
        <v>0</v>
      </c>
      <c r="BJ39" s="150">
        <f t="shared" si="102"/>
        <v>6</v>
      </c>
      <c r="BK39" s="150">
        <f t="shared" si="102"/>
        <v>0</v>
      </c>
      <c r="BL39" s="150">
        <f t="shared" si="102"/>
        <v>0</v>
      </c>
      <c r="BM39" s="150">
        <f t="shared" si="102"/>
        <v>0</v>
      </c>
      <c r="BN39" s="150">
        <f t="shared" si="102"/>
        <v>6</v>
      </c>
      <c r="BO39" s="150">
        <f t="shared" si="102"/>
        <v>6</v>
      </c>
      <c r="BP39" s="150">
        <f t="shared" si="102"/>
        <v>0</v>
      </c>
      <c r="BQ39" s="150">
        <f t="shared" si="102"/>
        <v>0</v>
      </c>
      <c r="BR39" s="150">
        <f t="shared" si="102"/>
        <v>6</v>
      </c>
      <c r="BS39" s="150">
        <f t="shared" si="102"/>
        <v>6</v>
      </c>
      <c r="BT39" s="150">
        <f t="shared" si="102"/>
        <v>6</v>
      </c>
      <c r="BU39" s="150">
        <f t="shared" si="102"/>
        <v>0</v>
      </c>
      <c r="BV39" s="150"/>
      <c r="BW39" s="150" t="s">
        <v>17</v>
      </c>
      <c r="BX39" s="150">
        <v>0</v>
      </c>
      <c r="BY39" s="150">
        <f t="shared" si="93"/>
        <v>6</v>
      </c>
      <c r="BZ39" s="150">
        <f t="shared" si="93"/>
        <v>0</v>
      </c>
      <c r="CA39" s="150">
        <f t="shared" si="93"/>
        <v>6</v>
      </c>
      <c r="CB39" s="150">
        <f t="shared" si="93"/>
        <v>0</v>
      </c>
      <c r="CC39" s="150">
        <f t="shared" si="93"/>
        <v>6</v>
      </c>
      <c r="CD39" s="150">
        <f t="shared" si="93"/>
        <v>0</v>
      </c>
      <c r="CE39" s="150">
        <f t="shared" si="93"/>
        <v>0</v>
      </c>
      <c r="CF39" s="150">
        <f t="shared" si="93"/>
        <v>0</v>
      </c>
      <c r="CG39" s="150">
        <f t="shared" si="93"/>
        <v>6</v>
      </c>
      <c r="CH39" s="150">
        <f t="shared" si="93"/>
        <v>6</v>
      </c>
      <c r="CI39" s="150">
        <f t="shared" si="93"/>
        <v>0</v>
      </c>
      <c r="CJ39" s="150">
        <f t="shared" si="93"/>
        <v>0</v>
      </c>
      <c r="CK39" s="150"/>
      <c r="CL39" s="150"/>
      <c r="CM39" s="150"/>
      <c r="CN39" s="150" t="s">
        <v>17</v>
      </c>
      <c r="CO39" s="150">
        <v>0</v>
      </c>
      <c r="CP39" s="150">
        <f t="shared" si="94"/>
        <v>0</v>
      </c>
      <c r="CQ39" s="150">
        <f t="shared" si="94"/>
        <v>0</v>
      </c>
      <c r="CR39" s="150">
        <f t="shared" si="94"/>
        <v>6</v>
      </c>
      <c r="CS39" s="150">
        <f t="shared" si="94"/>
        <v>6</v>
      </c>
      <c r="CT39" s="150">
        <f t="shared" si="94"/>
        <v>6</v>
      </c>
      <c r="CU39" s="150">
        <f t="shared" si="94"/>
        <v>0</v>
      </c>
      <c r="CV39" s="150">
        <f t="shared" si="94"/>
        <v>6</v>
      </c>
      <c r="CW39" s="150">
        <f t="shared" si="94"/>
        <v>0</v>
      </c>
      <c r="CX39" s="150">
        <f t="shared" si="94"/>
        <v>6</v>
      </c>
      <c r="CY39" s="150">
        <f t="shared" si="94"/>
        <v>0</v>
      </c>
      <c r="CZ39" s="150">
        <f t="shared" si="94"/>
        <v>0</v>
      </c>
      <c r="DA39" s="150">
        <f t="shared" si="94"/>
        <v>0</v>
      </c>
      <c r="DB39" s="150"/>
      <c r="DC39" s="150" t="s">
        <v>17</v>
      </c>
      <c r="DD39" s="150">
        <v>0</v>
      </c>
      <c r="DE39" s="150">
        <f t="shared" si="103"/>
        <v>0</v>
      </c>
      <c r="DF39" s="150">
        <f t="shared" si="103"/>
        <v>0</v>
      </c>
      <c r="DG39" s="150">
        <f t="shared" si="103"/>
        <v>0</v>
      </c>
      <c r="DH39" s="150">
        <f t="shared" si="103"/>
        <v>0</v>
      </c>
      <c r="DI39" s="150">
        <f t="shared" si="103"/>
        <v>0</v>
      </c>
      <c r="DJ39" s="150">
        <f t="shared" si="103"/>
        <v>0</v>
      </c>
      <c r="DK39" s="150">
        <f t="shared" si="103"/>
        <v>0</v>
      </c>
      <c r="DL39" s="150">
        <f t="shared" si="103"/>
        <v>0</v>
      </c>
      <c r="DM39" s="150">
        <f t="shared" si="103"/>
        <v>0</v>
      </c>
      <c r="DN39" s="150">
        <f t="shared" si="103"/>
        <v>0</v>
      </c>
      <c r="DO39" s="150">
        <f t="shared" si="103"/>
        <v>0</v>
      </c>
      <c r="DP39" s="150">
        <f t="shared" si="103"/>
        <v>6</v>
      </c>
      <c r="DQ39" s="181"/>
      <c r="DR39" s="181">
        <v>55</v>
      </c>
      <c r="DS39" s="181"/>
      <c r="DT39" s="150" t="s">
        <v>17</v>
      </c>
      <c r="DU39" s="150">
        <v>0</v>
      </c>
      <c r="DV39" s="150">
        <f t="shared" si="104"/>
        <v>0</v>
      </c>
      <c r="DW39" s="150">
        <f t="shared" si="104"/>
        <v>0</v>
      </c>
      <c r="DX39" s="150">
        <f t="shared" si="104"/>
        <v>0</v>
      </c>
      <c r="DY39" s="150">
        <f t="shared" si="104"/>
        <v>6</v>
      </c>
      <c r="DZ39" s="150">
        <f t="shared" si="104"/>
        <v>0</v>
      </c>
      <c r="EA39" s="150">
        <f t="shared" si="104"/>
        <v>6</v>
      </c>
      <c r="EB39" s="150">
        <f t="shared" si="104"/>
        <v>6</v>
      </c>
      <c r="EC39" s="150">
        <f t="shared" si="104"/>
        <v>6</v>
      </c>
      <c r="ED39" s="150">
        <f t="shared" si="104"/>
        <v>0</v>
      </c>
      <c r="EE39" s="150">
        <f t="shared" si="104"/>
        <v>6</v>
      </c>
      <c r="EF39" s="150">
        <f t="shared" si="104"/>
        <v>6</v>
      </c>
      <c r="EG39" s="150">
        <f t="shared" si="104"/>
        <v>6</v>
      </c>
      <c r="EH39" s="150"/>
      <c r="EI39" s="150"/>
      <c r="EJ39" s="155"/>
      <c r="EK39" s="150" t="s">
        <v>523</v>
      </c>
      <c r="EL39" s="150">
        <v>0</v>
      </c>
      <c r="EM39" s="150">
        <f t="shared" ref="EM39:EX39" si="112">EM11/5*6</f>
        <v>6</v>
      </c>
      <c r="EN39" s="150">
        <f t="shared" si="112"/>
        <v>0</v>
      </c>
      <c r="EO39" s="150">
        <f t="shared" si="112"/>
        <v>0</v>
      </c>
      <c r="EP39" s="150">
        <f t="shared" si="112"/>
        <v>0</v>
      </c>
      <c r="EQ39" s="150">
        <f t="shared" si="112"/>
        <v>18</v>
      </c>
      <c r="ER39" s="150">
        <f t="shared" si="112"/>
        <v>6</v>
      </c>
      <c r="ES39" s="150">
        <f t="shared" si="112"/>
        <v>24</v>
      </c>
      <c r="ET39" s="150">
        <f t="shared" si="112"/>
        <v>12</v>
      </c>
      <c r="EU39" s="150">
        <f t="shared" si="112"/>
        <v>30</v>
      </c>
      <c r="EV39" s="150">
        <f t="shared" si="112"/>
        <v>18</v>
      </c>
      <c r="EW39" s="150">
        <f t="shared" si="112"/>
        <v>30</v>
      </c>
      <c r="EX39" s="150">
        <f t="shared" si="112"/>
        <v>24</v>
      </c>
      <c r="EY39" s="150"/>
      <c r="EZ39" s="150" t="s">
        <v>523</v>
      </c>
      <c r="FA39" s="150">
        <v>0</v>
      </c>
      <c r="FB39" s="150">
        <f t="shared" ref="FB39:FM39" si="113">FB11/5*6</f>
        <v>6</v>
      </c>
      <c r="FC39" s="150">
        <f t="shared" si="113"/>
        <v>0</v>
      </c>
      <c r="FD39" s="150">
        <f t="shared" si="113"/>
        <v>6</v>
      </c>
      <c r="FE39" s="150">
        <f t="shared" si="113"/>
        <v>0</v>
      </c>
      <c r="FF39" s="150">
        <f t="shared" si="113"/>
        <v>6</v>
      </c>
      <c r="FG39" s="150">
        <f t="shared" si="113"/>
        <v>24</v>
      </c>
      <c r="FH39" s="150">
        <f t="shared" si="113"/>
        <v>12</v>
      </c>
      <c r="FI39" s="150">
        <f t="shared" si="113"/>
        <v>24</v>
      </c>
      <c r="FJ39" s="150">
        <f t="shared" si="113"/>
        <v>18</v>
      </c>
      <c r="FK39" s="150">
        <f t="shared" si="113"/>
        <v>30</v>
      </c>
      <c r="FL39" s="150">
        <f t="shared" si="113"/>
        <v>24</v>
      </c>
      <c r="FM39" s="150">
        <f t="shared" si="113"/>
        <v>36</v>
      </c>
      <c r="FN39" s="150"/>
      <c r="FO39" s="150" t="s">
        <v>523</v>
      </c>
      <c r="FP39" s="150">
        <v>0</v>
      </c>
      <c r="FQ39" s="150">
        <f t="shared" ref="FQ39:GB39" si="114">FQ11/5*6</f>
        <v>0</v>
      </c>
      <c r="FR39" s="150">
        <f t="shared" si="114"/>
        <v>0</v>
      </c>
      <c r="FS39" s="150">
        <f t="shared" si="114"/>
        <v>6</v>
      </c>
      <c r="FT39" s="150">
        <f t="shared" si="114"/>
        <v>18</v>
      </c>
      <c r="FU39" s="150">
        <f t="shared" si="114"/>
        <v>6</v>
      </c>
      <c r="FV39" s="150">
        <f t="shared" si="114"/>
        <v>12</v>
      </c>
      <c r="FW39" s="150">
        <f t="shared" si="114"/>
        <v>30</v>
      </c>
      <c r="FX39" s="150">
        <f t="shared" si="114"/>
        <v>24</v>
      </c>
      <c r="FY39" s="150">
        <f t="shared" si="114"/>
        <v>30</v>
      </c>
      <c r="FZ39" s="150">
        <f t="shared" si="114"/>
        <v>24</v>
      </c>
      <c r="GA39" s="150">
        <f t="shared" si="114"/>
        <v>36</v>
      </c>
      <c r="GB39" s="150">
        <f t="shared" si="114"/>
        <v>48</v>
      </c>
      <c r="GC39" s="150"/>
      <c r="GD39" s="150" t="s">
        <v>523</v>
      </c>
      <c r="GE39" s="150">
        <v>0</v>
      </c>
      <c r="GF39" s="150">
        <f t="shared" ref="GF39:GQ39" si="115">GF11/5*6</f>
        <v>0</v>
      </c>
      <c r="GG39" s="150">
        <f t="shared" si="115"/>
        <v>0</v>
      </c>
      <c r="GH39" s="150">
        <f t="shared" si="115"/>
        <v>0</v>
      </c>
      <c r="GI39" s="150">
        <f t="shared" si="115"/>
        <v>12</v>
      </c>
      <c r="GJ39" s="150">
        <f t="shared" si="115"/>
        <v>24</v>
      </c>
      <c r="GK39" s="150">
        <f t="shared" si="115"/>
        <v>12</v>
      </c>
      <c r="GL39" s="150">
        <f t="shared" si="115"/>
        <v>24</v>
      </c>
      <c r="GM39" s="150">
        <f t="shared" si="115"/>
        <v>36</v>
      </c>
      <c r="GN39" s="150">
        <f t="shared" si="115"/>
        <v>24</v>
      </c>
      <c r="GO39" s="150">
        <f t="shared" si="115"/>
        <v>36</v>
      </c>
      <c r="GP39" s="150">
        <f t="shared" si="115"/>
        <v>48</v>
      </c>
      <c r="GQ39" s="150">
        <f t="shared" si="115"/>
        <v>42</v>
      </c>
      <c r="GR39" s="150"/>
      <c r="GS39" s="150" t="s">
        <v>523</v>
      </c>
      <c r="GT39" s="150">
        <v>0</v>
      </c>
      <c r="GU39" s="150">
        <f t="shared" ref="GU39:HF39" si="116">GU11/5*6</f>
        <v>0</v>
      </c>
      <c r="GV39" s="150">
        <f t="shared" si="116"/>
        <v>0</v>
      </c>
      <c r="GW39" s="150">
        <f t="shared" si="116"/>
        <v>0</v>
      </c>
      <c r="GX39" s="150">
        <f t="shared" si="116"/>
        <v>6</v>
      </c>
      <c r="GY39" s="150">
        <f t="shared" si="116"/>
        <v>24</v>
      </c>
      <c r="GZ39" s="150">
        <f t="shared" si="116"/>
        <v>30</v>
      </c>
      <c r="HA39" s="150">
        <f t="shared" si="116"/>
        <v>18</v>
      </c>
      <c r="HB39" s="150">
        <f t="shared" si="116"/>
        <v>30</v>
      </c>
      <c r="HC39" s="150">
        <f t="shared" si="116"/>
        <v>36</v>
      </c>
      <c r="HD39" s="150">
        <f t="shared" si="116"/>
        <v>30</v>
      </c>
      <c r="HE39" s="150">
        <f t="shared" si="116"/>
        <v>42</v>
      </c>
      <c r="HF39" s="150">
        <f t="shared" si="116"/>
        <v>54</v>
      </c>
      <c r="HG39" s="156"/>
      <c r="HH39" s="150"/>
    </row>
    <row r="40" spans="1:216" x14ac:dyDescent="0.25">
      <c r="A40" s="8"/>
      <c r="B40" s="5" t="s">
        <v>116</v>
      </c>
      <c r="C40" s="8"/>
      <c r="D40" s="6" t="s">
        <v>515</v>
      </c>
      <c r="E40" s="8">
        <v>0</v>
      </c>
      <c r="F40" s="5"/>
      <c r="G40" s="5"/>
      <c r="H40" s="5"/>
      <c r="I40" s="5"/>
      <c r="J40" s="5" t="s">
        <v>412</v>
      </c>
      <c r="K40" s="9"/>
      <c r="L40" s="92" t="str">
        <f>IF(L39="CWT70H50/2NMC","LCT70H50NMC",IF(L39="CWT70H50/2,4NMC","LCT70H50NMC","-------"))</f>
        <v>-------</v>
      </c>
      <c r="M40" s="11" t="str">
        <f>INDEX(cennik!$C$2:$L$529,MATCH($L40,cennik!$B$2:$B$522,0),MATCH(M$2,cennik!$C$1:$L$1,0))</f>
        <v>-------</v>
      </c>
      <c r="N40" s="11">
        <f>INDEX(cennik!$C$2:$L$529,MATCH($L40,cennik!$B$2:$B$522,0),MATCH(N$2,cennik!$C$1:$L$1,0))</f>
        <v>0</v>
      </c>
      <c r="O40" s="11">
        <f>O39</f>
        <v>0</v>
      </c>
      <c r="P40" s="34">
        <f>INDEX(cennik!$C$2:$L$529,MATCH($L40,cennik!$B$2:$B$522,0),MATCH(P$2,cennik!$C$1:$L$1,0))</f>
        <v>0</v>
      </c>
      <c r="Q40" s="34">
        <f t="shared" si="110"/>
        <v>0</v>
      </c>
      <c r="R40" s="35">
        <f t="shared" si="88"/>
        <v>0</v>
      </c>
      <c r="S40" s="34">
        <f t="shared" si="89"/>
        <v>0</v>
      </c>
      <c r="T40" s="34">
        <f t="shared" si="111"/>
        <v>0</v>
      </c>
      <c r="U40" s="34">
        <f>INDEX(cennik!$C$2:$L$529,MATCH($L40,cennik!$B$2:$B$522,0),MATCH(U$2,cennik!$C$1:$L$1,0))*O40</f>
        <v>0</v>
      </c>
      <c r="V40" s="62"/>
      <c r="W40" s="150">
        <f>INDEX(($EL$31:$EX$34,$FA$31:$FM$34,$EL$37:$EX$40,$EL$43:$EX$46,$FA$37:$FM$40,$FA$43:$FM$46,$FP$31:$GB$34,$FP$37:$GB$40,$FP$43:$GB$46,$GE$31:$GQ$34,$GE$37:$GQ$40,$GE$43:$GQ$46,$GT$31:$HF$34,$GT$37:$HF$40),MATCH($L$49,$EK$31:$EK$34,0),MATCH($A39,$EL$30:$EX$30,0),MATCH($E$35,$AE$33:$AE$48,0))*$C39</f>
        <v>0</v>
      </c>
      <c r="X40" s="150">
        <f>INDEX(($EL$31:$EX$34,$FA$31:$FM$34,$EL$37:$EX$40,$EL$43:$EX$46,$FA$37:$FM$40,$FA$43:$FM$46,$FP$31:$GB$34,$FP$37:$GB$40,$FP$43:$GB$46,$GE$31:$GQ$34,$GE$37:$GQ$40,$GE$43:$GQ$46,$GT$31:$HF$34,$GT$37:$HF$40),MATCH($L$46,$EK$31:$EK$34,0),MATCH($A39,$EL$30:$EX$30,0),MATCH($E$35,$AE$33:$AE$48,0))*$C39</f>
        <v>0</v>
      </c>
      <c r="Y40" s="150">
        <f>INDEX(($EL$31:$EX$34,$FA$31:$FM$34,$EL$37:$EX$40,$EL$43:$EX$46,$FA$37:$FM$40,$FA$43:$FM$46,$FP$31:$GB$34,$FP$37:$GB$40,$FP$43:$GB$46,$GE$31:$GQ$34,$GE$37:$GQ$40,$GE$43:$GQ$46,$GT$31:$HF$34,$GT$37:$HF$40),MATCH($L$47,$EK$31:$EK$34,0),MATCH($A39,$EL$30:$EX$30,0),MATCH($E$35,$AE$33:$AE$48,0))*$C39</f>
        <v>0</v>
      </c>
      <c r="Z40" s="150">
        <f>INDEX(($EL$31:$EX$34,$FA$31:$FM$34,$EL$37:$EX$40,$EL$43:$EX$46,$FA$37:$FM$40,$FA$43:$FM$46,$FP$31:$GB$34,$FP$37:$GB$40,$FP$43:$GB$46,$GE$31:$GQ$34,$GE$37:$GQ$40,$GE$43:$GQ$46,$GT$31:$HF$34,$GT$37:$HF$40),MATCH($L$48,$EK$31:$EK$34,0),MATCH($A39,$EL$30:$EX$30,0),MATCH($E$35,$AE$33:$AE$48,0))*$C39</f>
        <v>0</v>
      </c>
      <c r="AA40" s="150">
        <f t="shared" si="75"/>
        <v>0</v>
      </c>
      <c r="AB40" s="150">
        <f t="shared" si="76"/>
        <v>0</v>
      </c>
      <c r="AC40" s="150"/>
      <c r="AD40" s="150"/>
      <c r="AE40" s="170" t="s">
        <v>113</v>
      </c>
      <c r="AF40" s="150">
        <v>2000</v>
      </c>
      <c r="AG40" s="150"/>
      <c r="AH40" s="150"/>
      <c r="AI40" s="150"/>
      <c r="AJ40" s="150"/>
      <c r="AK40" s="150"/>
      <c r="AL40" s="150"/>
      <c r="AM40" s="150"/>
      <c r="AN40" s="150"/>
      <c r="AO40" s="150"/>
      <c r="AP40" s="150"/>
      <c r="AQ40" s="150"/>
      <c r="AR40" s="150" t="s">
        <v>115</v>
      </c>
      <c r="AS40" s="150" t="s">
        <v>592</v>
      </c>
      <c r="AT40" s="150" t="s">
        <v>151</v>
      </c>
      <c r="AU40" s="150" t="s">
        <v>151</v>
      </c>
      <c r="AV40" s="150" t="s">
        <v>151</v>
      </c>
      <c r="AW40" s="150"/>
      <c r="AX40" s="150"/>
      <c r="AY40" s="150"/>
      <c r="AZ40" s="150"/>
      <c r="BA40" s="150"/>
      <c r="BB40" s="150"/>
      <c r="BC40" s="150"/>
      <c r="BD40" s="150"/>
      <c r="BE40" s="150"/>
      <c r="BF40" s="150"/>
      <c r="BG40" s="170">
        <f t="shared" si="58"/>
        <v>1</v>
      </c>
      <c r="BH40" s="158" t="s">
        <v>779</v>
      </c>
      <c r="BI40" s="158">
        <v>0</v>
      </c>
      <c r="BJ40" s="150">
        <f t="shared" si="102"/>
        <v>0</v>
      </c>
      <c r="BK40" s="150">
        <f t="shared" si="102"/>
        <v>0</v>
      </c>
      <c r="BL40" s="150">
        <f t="shared" si="102"/>
        <v>0</v>
      </c>
      <c r="BM40" s="150">
        <f t="shared" si="102"/>
        <v>6</v>
      </c>
      <c r="BN40" s="150">
        <f t="shared" si="102"/>
        <v>6</v>
      </c>
      <c r="BO40" s="150">
        <f t="shared" si="102"/>
        <v>12</v>
      </c>
      <c r="BP40" s="150">
        <f t="shared" si="102"/>
        <v>6</v>
      </c>
      <c r="BQ40" s="150">
        <f t="shared" si="102"/>
        <v>12</v>
      </c>
      <c r="BR40" s="150">
        <f t="shared" si="102"/>
        <v>12</v>
      </c>
      <c r="BS40" s="150">
        <f t="shared" si="102"/>
        <v>18</v>
      </c>
      <c r="BT40" s="150">
        <f t="shared" si="102"/>
        <v>18</v>
      </c>
      <c r="BU40" s="150">
        <f t="shared" si="102"/>
        <v>18</v>
      </c>
      <c r="BV40" s="150"/>
      <c r="BW40" s="158" t="s">
        <v>779</v>
      </c>
      <c r="BX40" s="150">
        <v>0</v>
      </c>
      <c r="BY40" s="150">
        <f t="shared" si="93"/>
        <v>0</v>
      </c>
      <c r="BZ40" s="150">
        <f t="shared" si="93"/>
        <v>0</v>
      </c>
      <c r="CA40" s="150">
        <f t="shared" si="93"/>
        <v>6</v>
      </c>
      <c r="CB40" s="150">
        <f t="shared" si="93"/>
        <v>6</v>
      </c>
      <c r="CC40" s="150">
        <f t="shared" si="93"/>
        <v>12</v>
      </c>
      <c r="CD40" s="150">
        <f t="shared" si="93"/>
        <v>6</v>
      </c>
      <c r="CE40" s="150">
        <f t="shared" si="93"/>
        <v>12</v>
      </c>
      <c r="CF40" s="150">
        <f t="shared" si="93"/>
        <v>12</v>
      </c>
      <c r="CG40" s="150">
        <f t="shared" si="93"/>
        <v>18</v>
      </c>
      <c r="CH40" s="150">
        <f t="shared" si="93"/>
        <v>18</v>
      </c>
      <c r="CI40" s="150">
        <f t="shared" si="93"/>
        <v>18</v>
      </c>
      <c r="CJ40" s="150">
        <f t="shared" si="93"/>
        <v>18</v>
      </c>
      <c r="CK40" s="150"/>
      <c r="CL40" s="150"/>
      <c r="CM40" s="150"/>
      <c r="CN40" s="158" t="s">
        <v>779</v>
      </c>
      <c r="CO40" s="158">
        <v>0</v>
      </c>
      <c r="CP40" s="150">
        <f t="shared" si="94"/>
        <v>0</v>
      </c>
      <c r="CQ40" s="150">
        <f t="shared" si="94"/>
        <v>0</v>
      </c>
      <c r="CR40" s="150">
        <f t="shared" si="94"/>
        <v>6</v>
      </c>
      <c r="CS40" s="150">
        <f t="shared" si="94"/>
        <v>6</v>
      </c>
      <c r="CT40" s="150">
        <f t="shared" si="94"/>
        <v>12</v>
      </c>
      <c r="CU40" s="150">
        <f t="shared" si="94"/>
        <v>12</v>
      </c>
      <c r="CV40" s="150">
        <f t="shared" si="94"/>
        <v>12</v>
      </c>
      <c r="CW40" s="150">
        <f t="shared" si="94"/>
        <v>12</v>
      </c>
      <c r="CX40" s="150">
        <f t="shared" si="94"/>
        <v>18</v>
      </c>
      <c r="CY40" s="150">
        <f t="shared" si="94"/>
        <v>18</v>
      </c>
      <c r="CZ40" s="150">
        <f t="shared" si="94"/>
        <v>18</v>
      </c>
      <c r="DA40" s="150">
        <f t="shared" si="94"/>
        <v>18</v>
      </c>
      <c r="DB40" s="150"/>
      <c r="DC40" s="158" t="s">
        <v>779</v>
      </c>
      <c r="DD40" s="150">
        <v>0</v>
      </c>
      <c r="DE40" s="150">
        <f t="shared" si="103"/>
        <v>0</v>
      </c>
      <c r="DF40" s="150">
        <f t="shared" si="103"/>
        <v>0</v>
      </c>
      <c r="DG40" s="150">
        <f t="shared" si="103"/>
        <v>6</v>
      </c>
      <c r="DH40" s="150">
        <f t="shared" si="103"/>
        <v>6</v>
      </c>
      <c r="DI40" s="150">
        <f t="shared" si="103"/>
        <v>6</v>
      </c>
      <c r="DJ40" s="150">
        <f t="shared" si="103"/>
        <v>12</v>
      </c>
      <c r="DK40" s="150">
        <f t="shared" si="103"/>
        <v>12</v>
      </c>
      <c r="DL40" s="150">
        <f t="shared" si="103"/>
        <v>12</v>
      </c>
      <c r="DM40" s="150">
        <f t="shared" si="103"/>
        <v>18</v>
      </c>
      <c r="DN40" s="150">
        <f t="shared" si="103"/>
        <v>18</v>
      </c>
      <c r="DO40" s="150">
        <f t="shared" si="103"/>
        <v>18</v>
      </c>
      <c r="DP40" s="150">
        <f t="shared" si="103"/>
        <v>24</v>
      </c>
      <c r="DQ40" s="181"/>
      <c r="DR40" s="181">
        <v>60</v>
      </c>
      <c r="DS40" s="181"/>
      <c r="DT40" s="158" t="s">
        <v>779</v>
      </c>
      <c r="DU40" s="150">
        <v>0</v>
      </c>
      <c r="DV40" s="150">
        <f t="shared" si="104"/>
        <v>0</v>
      </c>
      <c r="DW40" s="150">
        <f t="shared" si="104"/>
        <v>0</v>
      </c>
      <c r="DX40" s="150">
        <f t="shared" si="104"/>
        <v>6</v>
      </c>
      <c r="DY40" s="150">
        <f t="shared" si="104"/>
        <v>12</v>
      </c>
      <c r="DZ40" s="150">
        <f t="shared" si="104"/>
        <v>6</v>
      </c>
      <c r="EA40" s="150">
        <f t="shared" si="104"/>
        <v>12</v>
      </c>
      <c r="EB40" s="150">
        <f t="shared" si="104"/>
        <v>18</v>
      </c>
      <c r="EC40" s="150">
        <f t="shared" si="104"/>
        <v>18</v>
      </c>
      <c r="ED40" s="150">
        <f t="shared" si="104"/>
        <v>18</v>
      </c>
      <c r="EE40" s="150">
        <f t="shared" si="104"/>
        <v>24</v>
      </c>
      <c r="EF40" s="150">
        <f t="shared" si="104"/>
        <v>24</v>
      </c>
      <c r="EG40" s="150">
        <f t="shared" si="104"/>
        <v>24</v>
      </c>
      <c r="EH40" s="150"/>
      <c r="EI40" s="150"/>
      <c r="EJ40" s="155"/>
      <c r="EK40" s="158" t="s">
        <v>779</v>
      </c>
      <c r="EL40" s="150">
        <v>0</v>
      </c>
      <c r="EM40" s="150">
        <f t="shared" ref="EM40:EX40" si="117">EM12/5*6</f>
        <v>0</v>
      </c>
      <c r="EN40" s="150">
        <f t="shared" si="117"/>
        <v>0</v>
      </c>
      <c r="EO40" s="150">
        <f t="shared" si="117"/>
        <v>0</v>
      </c>
      <c r="EP40" s="150">
        <f t="shared" si="117"/>
        <v>6</v>
      </c>
      <c r="EQ40" s="150">
        <f t="shared" si="117"/>
        <v>12</v>
      </c>
      <c r="ER40" s="150">
        <f t="shared" si="117"/>
        <v>12</v>
      </c>
      <c r="ES40" s="150">
        <f t="shared" si="117"/>
        <v>18</v>
      </c>
      <c r="ET40" s="150">
        <f t="shared" si="117"/>
        <v>18</v>
      </c>
      <c r="EU40" s="150">
        <f t="shared" si="117"/>
        <v>24</v>
      </c>
      <c r="EV40" s="150">
        <f t="shared" si="117"/>
        <v>24</v>
      </c>
      <c r="EW40" s="150">
        <f t="shared" si="117"/>
        <v>30</v>
      </c>
      <c r="EX40" s="150">
        <f t="shared" si="117"/>
        <v>30</v>
      </c>
      <c r="EY40" s="150"/>
      <c r="EZ40" s="158" t="s">
        <v>779</v>
      </c>
      <c r="FA40" s="150">
        <v>0</v>
      </c>
      <c r="FB40" s="150">
        <f t="shared" ref="FB40:FM40" si="118">FB12/5*6</f>
        <v>0</v>
      </c>
      <c r="FC40" s="150">
        <f t="shared" si="118"/>
        <v>0</v>
      </c>
      <c r="FD40" s="150">
        <f t="shared" si="118"/>
        <v>6</v>
      </c>
      <c r="FE40" s="150">
        <f t="shared" si="118"/>
        <v>6</v>
      </c>
      <c r="FF40" s="150">
        <f t="shared" si="118"/>
        <v>12</v>
      </c>
      <c r="FG40" s="150">
        <f t="shared" si="118"/>
        <v>18</v>
      </c>
      <c r="FH40" s="150">
        <f t="shared" si="118"/>
        <v>18</v>
      </c>
      <c r="FI40" s="150">
        <f t="shared" si="118"/>
        <v>24</v>
      </c>
      <c r="FJ40" s="150">
        <f t="shared" si="118"/>
        <v>24</v>
      </c>
      <c r="FK40" s="150">
        <f t="shared" si="118"/>
        <v>30</v>
      </c>
      <c r="FL40" s="150">
        <f t="shared" si="118"/>
        <v>30</v>
      </c>
      <c r="FM40" s="150">
        <f t="shared" si="118"/>
        <v>36</v>
      </c>
      <c r="FN40" s="150"/>
      <c r="FO40" s="158" t="s">
        <v>779</v>
      </c>
      <c r="FP40" s="150">
        <v>0</v>
      </c>
      <c r="FQ40" s="150">
        <f t="shared" ref="FQ40:GB40" si="119">FQ12/5*6</f>
        <v>0</v>
      </c>
      <c r="FR40" s="150">
        <f t="shared" si="119"/>
        <v>0</v>
      </c>
      <c r="FS40" s="150">
        <f t="shared" si="119"/>
        <v>6</v>
      </c>
      <c r="FT40" s="150">
        <f t="shared" si="119"/>
        <v>12</v>
      </c>
      <c r="FU40" s="150">
        <f t="shared" si="119"/>
        <v>12</v>
      </c>
      <c r="FV40" s="150">
        <f t="shared" si="119"/>
        <v>18</v>
      </c>
      <c r="FW40" s="150">
        <f t="shared" si="119"/>
        <v>24</v>
      </c>
      <c r="FX40" s="150">
        <f t="shared" si="119"/>
        <v>24</v>
      </c>
      <c r="FY40" s="150">
        <f t="shared" si="119"/>
        <v>30</v>
      </c>
      <c r="FZ40" s="150">
        <f t="shared" si="119"/>
        <v>30</v>
      </c>
      <c r="GA40" s="150">
        <f t="shared" si="119"/>
        <v>36</v>
      </c>
      <c r="GB40" s="150">
        <f t="shared" si="119"/>
        <v>42</v>
      </c>
      <c r="GC40" s="150"/>
      <c r="GD40" s="158" t="s">
        <v>779</v>
      </c>
      <c r="GE40" s="150">
        <v>0</v>
      </c>
      <c r="GF40" s="150">
        <f t="shared" ref="GF40:GQ40" si="120">GF12/5*6</f>
        <v>0</v>
      </c>
      <c r="GG40" s="150">
        <f t="shared" si="120"/>
        <v>0</v>
      </c>
      <c r="GH40" s="150">
        <f t="shared" si="120"/>
        <v>6</v>
      </c>
      <c r="GI40" s="150">
        <f t="shared" si="120"/>
        <v>12</v>
      </c>
      <c r="GJ40" s="150">
        <f t="shared" si="120"/>
        <v>18</v>
      </c>
      <c r="GK40" s="150">
        <f t="shared" si="120"/>
        <v>18</v>
      </c>
      <c r="GL40" s="150">
        <f t="shared" si="120"/>
        <v>24</v>
      </c>
      <c r="GM40" s="150">
        <f t="shared" si="120"/>
        <v>30</v>
      </c>
      <c r="GN40" s="150">
        <f t="shared" si="120"/>
        <v>30</v>
      </c>
      <c r="GO40" s="150">
        <f t="shared" si="120"/>
        <v>36</v>
      </c>
      <c r="GP40" s="150">
        <f t="shared" si="120"/>
        <v>42</v>
      </c>
      <c r="GQ40" s="150">
        <f t="shared" si="120"/>
        <v>42</v>
      </c>
      <c r="GR40" s="150"/>
      <c r="GS40" s="158" t="s">
        <v>779</v>
      </c>
      <c r="GT40" s="150">
        <v>0</v>
      </c>
      <c r="GU40" s="150">
        <f t="shared" ref="GU40:HF40" si="121">GU12/5*6</f>
        <v>0</v>
      </c>
      <c r="GV40" s="150">
        <f t="shared" si="121"/>
        <v>0</v>
      </c>
      <c r="GW40" s="150">
        <f t="shared" si="121"/>
        <v>6</v>
      </c>
      <c r="GX40" s="150">
        <f t="shared" si="121"/>
        <v>12</v>
      </c>
      <c r="GY40" s="150">
        <f t="shared" si="121"/>
        <v>18</v>
      </c>
      <c r="GZ40" s="150">
        <f t="shared" si="121"/>
        <v>24</v>
      </c>
      <c r="HA40" s="150">
        <f t="shared" si="121"/>
        <v>24</v>
      </c>
      <c r="HB40" s="150">
        <f t="shared" si="121"/>
        <v>30</v>
      </c>
      <c r="HC40" s="150">
        <f t="shared" si="121"/>
        <v>36</v>
      </c>
      <c r="HD40" s="150">
        <f t="shared" si="121"/>
        <v>36</v>
      </c>
      <c r="HE40" s="150">
        <f t="shared" si="121"/>
        <v>42</v>
      </c>
      <c r="HF40" s="150">
        <f t="shared" si="121"/>
        <v>48</v>
      </c>
      <c r="HG40" s="156"/>
      <c r="HH40" s="150"/>
    </row>
    <row r="41" spans="1:216" x14ac:dyDescent="0.25">
      <c r="A41" s="8"/>
      <c r="B41" s="5" t="s">
        <v>116</v>
      </c>
      <c r="C41" s="8"/>
      <c r="D41" s="6" t="s">
        <v>511</v>
      </c>
      <c r="E41" s="4"/>
      <c r="F41" s="6"/>
      <c r="G41" s="6"/>
      <c r="H41" s="6"/>
      <c r="I41" s="6"/>
      <c r="J41" s="1"/>
      <c r="K41" s="9"/>
      <c r="L41" s="6" t="str">
        <f>IF(G35=AE24,"BDFCH120/5,4NMC",IF(G35=AE25,"BDFCH120/5,4NMC",IF(G35=AE26,"BDFTH120/6NMC",IF(G35=AE27,"BDFTH120/6NMC",0))))</f>
        <v>BDFCH120/5,4NMC</v>
      </c>
      <c r="M41" s="11">
        <f>INDEX(cennik!$C$2:$L$529,MATCH($L41,cennik!$B$2:$B$522,0),MATCH(M$2,cennik!$C$1:$L$1,0))</f>
        <v>863354</v>
      </c>
      <c r="N41" s="11" t="str">
        <f>INDEX(cennik!$C$2:$L$529,MATCH($L41,cennik!$B$2:$B$522,0),MATCH(N$2,cennik!$C$1:$L$1,0))</f>
        <v>szt.</v>
      </c>
      <c r="O41" s="11">
        <f>O37</f>
        <v>0</v>
      </c>
      <c r="P41" s="34">
        <f>INDEX(cennik!$C$2:$L$529,MATCH($L41,cennik!$B$2:$B$522,0),MATCH(P$2,cennik!$C$1:$L$1,0))</f>
        <v>222.13</v>
      </c>
      <c r="Q41" s="34">
        <f t="shared" ref="Q41:Q45" si="122">O41*P41</f>
        <v>0</v>
      </c>
      <c r="R41" s="35">
        <f t="shared" si="88"/>
        <v>0</v>
      </c>
      <c r="S41" s="34">
        <f t="shared" si="89"/>
        <v>222.13</v>
      </c>
      <c r="T41" s="34">
        <f t="shared" ref="T41:T45" si="123">O41*S41</f>
        <v>0</v>
      </c>
      <c r="U41" s="34">
        <f>INDEX(cennik!$C$2:$L$529,MATCH($L41,cennik!$B$2:$B$522,0),MATCH(U$2,cennik!$C$1:$L$1,0))*O41</f>
        <v>0</v>
      </c>
      <c r="V41" s="62"/>
      <c r="W41" s="150">
        <f>INDEX(($EL$31:$EX$34,$FA$31:$FM$34,$EL$37:$EX$40,$EL$43:$EX$46,$FA$37:$FM$40,$FA$43:$FM$46,$FP$31:$GB$34,$FP$37:$GB$40,$FP$43:$GB$46,$GE$31:$GQ$34,$GE$37:$GQ$40,$GE$43:$GQ$46,$GT$31:$HF$34,$GT$37:$HF$40),MATCH($L$49,$EK$31:$EK$34,0),MATCH($A40,$EL$30:$EX$30,0),MATCH($E$35,$AE$33:$AE$48,0))*$C40</f>
        <v>0</v>
      </c>
      <c r="X41" s="150">
        <f>INDEX(($EL$31:$EX$34,$FA$31:$FM$34,$EL$37:$EX$40,$EL$43:$EX$46,$FA$37:$FM$40,$FA$43:$FM$46,$FP$31:$GB$34,$FP$37:$GB$40,$FP$43:$GB$46,$GE$31:$GQ$34,$GE$37:$GQ$40,$GE$43:$GQ$46,$GT$31:$HF$34,$GT$37:$HF$40),MATCH($L$46,$EK$31:$EK$34,0),MATCH($A40,$EL$30:$EX$30,0),MATCH($E$35,$AE$33:$AE$48,0))*$C40</f>
        <v>0</v>
      </c>
      <c r="Y41" s="150">
        <f>INDEX(($EL$31:$EX$34,$FA$31:$FM$34,$EL$37:$EX$40,$EL$43:$EX$46,$FA$37:$FM$40,$FA$43:$FM$46,$FP$31:$GB$34,$FP$37:$GB$40,$FP$43:$GB$46,$GE$31:$GQ$34,$GE$37:$GQ$40,$GE$43:$GQ$46,$GT$31:$HF$34,$GT$37:$HF$40),MATCH($L$47,$EK$31:$EK$34,0),MATCH($A40,$EL$30:$EX$30,0),MATCH($E$35,$AE$33:$AE$48,0))*$C40</f>
        <v>0</v>
      </c>
      <c r="Z41" s="150">
        <f>INDEX(($EL$31:$EX$34,$FA$31:$FM$34,$EL$37:$EX$40,$EL$43:$EX$46,$FA$37:$FM$40,$FA$43:$FM$46,$FP$31:$GB$34,$FP$37:$GB$40,$FP$43:$GB$46,$GE$31:$GQ$34,$GE$37:$GQ$40,$GE$43:$GQ$46,$GT$31:$HF$34,$GT$37:$HF$40),MATCH($L$48,$EK$31:$EK$34,0),MATCH($A40,$EL$30:$EX$30,0),MATCH($E$35,$AE$33:$AE$48,0))*$C40</f>
        <v>0</v>
      </c>
      <c r="AA41" s="150">
        <f t="shared" si="75"/>
        <v>0</v>
      </c>
      <c r="AB41" s="150">
        <f t="shared" si="76"/>
        <v>0</v>
      </c>
      <c r="AC41" s="150"/>
      <c r="AD41" s="150"/>
      <c r="AE41" s="170" t="s">
        <v>137</v>
      </c>
      <c r="AF41" s="150">
        <v>2050</v>
      </c>
      <c r="AG41" s="150"/>
      <c r="AH41" s="150"/>
      <c r="AI41" s="150"/>
      <c r="AJ41" s="150"/>
      <c r="AK41" s="150"/>
      <c r="AL41" s="150"/>
      <c r="AM41" s="150"/>
      <c r="AN41" s="150"/>
      <c r="AO41" s="150"/>
      <c r="AP41" s="150"/>
      <c r="AQ41" s="150"/>
      <c r="AR41" s="150" t="s">
        <v>474</v>
      </c>
      <c r="AS41" s="150" t="s">
        <v>592</v>
      </c>
      <c r="AT41" s="150" t="s">
        <v>151</v>
      </c>
      <c r="AU41" s="150" t="s">
        <v>151</v>
      </c>
      <c r="AV41" s="150" t="s">
        <v>151</v>
      </c>
      <c r="AW41" s="150"/>
      <c r="AX41" s="150"/>
      <c r="AY41" s="150"/>
      <c r="AZ41" s="150"/>
      <c r="BA41" s="150"/>
      <c r="BB41" s="150"/>
      <c r="BC41" s="150"/>
      <c r="BD41" s="150"/>
      <c r="BE41" s="150"/>
      <c r="BF41" s="150"/>
      <c r="BG41" s="170">
        <f t="shared" si="58"/>
        <v>1</v>
      </c>
      <c r="BH41" s="150"/>
      <c r="BI41" s="150"/>
      <c r="BJ41" s="150"/>
      <c r="BK41" s="150"/>
      <c r="BL41" s="150"/>
      <c r="BM41" s="150"/>
      <c r="BN41" s="150"/>
      <c r="BO41" s="150"/>
      <c r="BP41" s="150"/>
      <c r="BQ41" s="150"/>
      <c r="BR41" s="150"/>
      <c r="BS41" s="150"/>
      <c r="BT41" s="150"/>
      <c r="BU41" s="150"/>
      <c r="BV41" s="150"/>
      <c r="BW41" s="150"/>
      <c r="BX41" s="150"/>
      <c r="BY41" s="150"/>
      <c r="BZ41" s="150"/>
      <c r="CA41" s="150"/>
      <c r="CB41" s="150"/>
      <c r="CC41" s="150"/>
      <c r="CD41" s="150"/>
      <c r="CE41" s="150"/>
      <c r="CF41" s="150"/>
      <c r="CG41" s="150"/>
      <c r="CH41" s="150"/>
      <c r="CI41" s="150"/>
      <c r="CJ41" s="150"/>
      <c r="CK41" s="150"/>
      <c r="CL41" s="150"/>
      <c r="CM41" s="150"/>
      <c r="CN41" s="150"/>
      <c r="CO41" s="150"/>
      <c r="CP41" s="150"/>
      <c r="CQ41" s="150"/>
      <c r="CR41" s="150"/>
      <c r="CS41" s="150"/>
      <c r="CT41" s="150"/>
      <c r="CU41" s="150"/>
      <c r="CV41" s="150"/>
      <c r="CW41" s="150"/>
      <c r="CX41" s="150"/>
      <c r="CY41" s="150"/>
      <c r="CZ41" s="150"/>
      <c r="DA41" s="150"/>
      <c r="DB41" s="150"/>
      <c r="DC41" s="150"/>
      <c r="DD41" s="150"/>
      <c r="DE41" s="150"/>
      <c r="DF41" s="150"/>
      <c r="DG41" s="150"/>
      <c r="DH41" s="150"/>
      <c r="DI41" s="150"/>
      <c r="DJ41" s="150"/>
      <c r="DK41" s="150"/>
      <c r="DL41" s="150"/>
      <c r="DM41" s="150"/>
      <c r="DN41" s="150"/>
      <c r="DO41" s="150"/>
      <c r="DP41" s="150"/>
      <c r="DQ41" s="181"/>
      <c r="DR41" s="181">
        <v>65</v>
      </c>
      <c r="DS41" s="181"/>
      <c r="DT41" s="150"/>
      <c r="DU41" s="150"/>
      <c r="DV41" s="150"/>
      <c r="DW41" s="150"/>
      <c r="DX41" s="150"/>
      <c r="DY41" s="150"/>
      <c r="DZ41" s="150"/>
      <c r="EA41" s="150"/>
      <c r="EB41" s="150"/>
      <c r="EC41" s="150"/>
      <c r="ED41" s="150"/>
      <c r="EE41" s="150"/>
      <c r="EF41" s="150"/>
      <c r="EG41" s="150"/>
      <c r="EH41" s="150"/>
      <c r="EI41" s="150"/>
      <c r="EJ41" s="155"/>
      <c r="EK41" s="150"/>
      <c r="EL41" s="150"/>
      <c r="EM41" s="150"/>
      <c r="EN41" s="150"/>
      <c r="EO41" s="150"/>
      <c r="EP41" s="150"/>
      <c r="EQ41" s="150"/>
      <c r="ER41" s="150"/>
      <c r="ES41" s="150"/>
      <c r="ET41" s="150"/>
      <c r="EU41" s="150"/>
      <c r="EV41" s="150"/>
      <c r="EW41" s="150"/>
      <c r="EX41" s="150"/>
      <c r="EY41" s="150"/>
      <c r="EZ41" s="150"/>
      <c r="FA41" s="150"/>
      <c r="FB41" s="150"/>
      <c r="FC41" s="150"/>
      <c r="FD41" s="150"/>
      <c r="FE41" s="150"/>
      <c r="FF41" s="150"/>
      <c r="FG41" s="150"/>
      <c r="FH41" s="150"/>
      <c r="FI41" s="150"/>
      <c r="FJ41" s="150"/>
      <c r="FK41" s="150"/>
      <c r="FL41" s="150"/>
      <c r="FM41" s="150"/>
      <c r="FN41" s="150"/>
      <c r="FO41" s="150"/>
      <c r="FP41" s="150"/>
      <c r="FQ41" s="150"/>
      <c r="FR41" s="150"/>
      <c r="FS41" s="150"/>
      <c r="FT41" s="150"/>
      <c r="FU41" s="150"/>
      <c r="FV41" s="150"/>
      <c r="FW41" s="150"/>
      <c r="FX41" s="150"/>
      <c r="FY41" s="150"/>
      <c r="FZ41" s="150"/>
      <c r="GA41" s="150"/>
      <c r="GB41" s="150"/>
      <c r="GC41" s="150"/>
      <c r="GD41" s="150"/>
      <c r="GE41" s="150"/>
      <c r="GF41" s="150"/>
      <c r="GG41" s="150"/>
      <c r="GH41" s="150"/>
      <c r="GI41" s="150"/>
      <c r="GJ41" s="150"/>
      <c r="GK41" s="150"/>
      <c r="GL41" s="150"/>
      <c r="GM41" s="150"/>
      <c r="GN41" s="150"/>
      <c r="GO41" s="150"/>
      <c r="GP41" s="150"/>
      <c r="GQ41" s="150"/>
      <c r="GR41" s="150"/>
      <c r="GS41" s="150"/>
      <c r="GT41" s="150"/>
      <c r="GU41" s="150"/>
      <c r="GV41" s="150"/>
      <c r="GW41" s="150"/>
      <c r="GX41" s="150"/>
      <c r="GY41" s="150"/>
      <c r="GZ41" s="150"/>
      <c r="HA41" s="150"/>
      <c r="HB41" s="150"/>
      <c r="HC41" s="150"/>
      <c r="HD41" s="150"/>
      <c r="HE41" s="150"/>
      <c r="HF41" s="150"/>
      <c r="HG41" s="156"/>
      <c r="HH41" s="150"/>
    </row>
    <row r="42" spans="1:216" x14ac:dyDescent="0.25">
      <c r="A42" s="8"/>
      <c r="B42" s="5" t="s">
        <v>116</v>
      </c>
      <c r="C42" s="8"/>
      <c r="D42" s="6" t="s">
        <v>787</v>
      </c>
      <c r="E42" s="8">
        <v>1</v>
      </c>
      <c r="F42" s="39" t="s">
        <v>789</v>
      </c>
      <c r="G42" s="9"/>
      <c r="H42" s="9"/>
      <c r="I42" s="9"/>
      <c r="J42" s="9"/>
      <c r="K42" s="9"/>
      <c r="L42" s="6" t="str">
        <f>IF(L41="BDFCH120/5,4NMC","CMP41H41/1,7MC",IF(L41="BDFTH120/6NMC","CMP41H41/1,7MC",IF(L41="BDFTH120/6,8NMC","CMP41H41/2,2MC",0)))</f>
        <v>CMP41H41/1,7MC</v>
      </c>
      <c r="M42" s="11">
        <f>INDEX(cennik!$C$2:$L$529,MATCH($L42,cennik!$B$2:$B$522,0),MATCH(M$2,cennik!$C$1:$L$1,0))</f>
        <v>851117</v>
      </c>
      <c r="N42" s="11" t="str">
        <f>INDEX(cennik!$C$2:$L$529,MATCH($L42,cennik!$B$2:$B$522,0),MATCH(N$2,cennik!$C$1:$L$1,0))</f>
        <v>szt.</v>
      </c>
      <c r="O42" s="11">
        <f>O37</f>
        <v>0</v>
      </c>
      <c r="P42" s="34">
        <f>INDEX(cennik!$C$2:$L$529,MATCH($L42,cennik!$B$2:$B$522,0),MATCH(P$2,cennik!$C$1:$L$1,0))</f>
        <v>35.700000000000003</v>
      </c>
      <c r="Q42" s="34">
        <f t="shared" si="122"/>
        <v>0</v>
      </c>
      <c r="R42" s="35">
        <f t="shared" si="88"/>
        <v>0</v>
      </c>
      <c r="S42" s="34">
        <f t="shared" si="89"/>
        <v>35.700000000000003</v>
      </c>
      <c r="T42" s="34">
        <f t="shared" si="123"/>
        <v>0</v>
      </c>
      <c r="U42" s="34">
        <f>INDEX(cennik!$C$2:$L$529,MATCH($L42,cennik!$B$2:$B$522,0),MATCH(U$2,cennik!$C$1:$L$1,0))*O42</f>
        <v>0</v>
      </c>
      <c r="V42" s="62"/>
      <c r="W42" s="150">
        <f>INDEX(($EL$31:$EX$34,$FA$31:$FM$34,$EL$37:$EX$40,$EL$43:$EX$46,$FA$37:$FM$40,$FA$43:$FM$46,$FP$31:$GB$34,$FP$37:$GB$40,$FP$43:$GB$46,$GE$31:$GQ$34,$GE$37:$GQ$40,$GE$43:$GQ$46,$GT$31:$HF$34,$GT$37:$HF$40),MATCH($L$49,$EK$31:$EK$34,0),MATCH($A41,$EL$30:$EX$30,0),MATCH($E$35,$AE$33:$AE$48,0))*$C41</f>
        <v>0</v>
      </c>
      <c r="X42" s="150">
        <f>INDEX(($EL$31:$EX$34,$FA$31:$FM$34,$EL$37:$EX$40,$EL$43:$EX$46,$FA$37:$FM$40,$FA$43:$FM$46,$FP$31:$GB$34,$FP$37:$GB$40,$FP$43:$GB$46,$GE$31:$GQ$34,$GE$37:$GQ$40,$GE$43:$GQ$46,$GT$31:$HF$34,$GT$37:$HF$40),MATCH($L$46,$EK$31:$EK$34,0),MATCH($A41,$EL$30:$EX$30,0),MATCH($E$35,$AE$33:$AE$48,0))*$C41</f>
        <v>0</v>
      </c>
      <c r="Y42" s="150">
        <f>INDEX(($EL$31:$EX$34,$FA$31:$FM$34,$EL$37:$EX$40,$EL$43:$EX$46,$FA$37:$FM$40,$FA$43:$FM$46,$FP$31:$GB$34,$FP$37:$GB$40,$FP$43:$GB$46,$GE$31:$GQ$34,$GE$37:$GQ$40,$GE$43:$GQ$46,$GT$31:$HF$34,$GT$37:$HF$40),MATCH($L$47,$EK$31:$EK$34,0),MATCH($A41,$EL$30:$EX$30,0),MATCH($E$35,$AE$33:$AE$48,0))*$C41</f>
        <v>0</v>
      </c>
      <c r="Z42" s="150">
        <f>INDEX(($EL$31:$EX$34,$FA$31:$FM$34,$EL$37:$EX$40,$EL$43:$EX$46,$FA$37:$FM$40,$FA$43:$FM$46,$FP$31:$GB$34,$FP$37:$GB$40,$FP$43:$GB$46,$GE$31:$GQ$34,$GE$37:$GQ$40,$GE$43:$GQ$46,$GT$31:$HF$34,$GT$37:$HF$40),MATCH($L$48,$EK$31:$EK$34,0),MATCH($A41,$EL$30:$EX$30,0),MATCH($E$35,$AE$33:$AE$48,0))*$C41</f>
        <v>0</v>
      </c>
      <c r="AA42" s="150">
        <f t="shared" si="75"/>
        <v>0</v>
      </c>
      <c r="AB42" s="150">
        <f t="shared" si="76"/>
        <v>0</v>
      </c>
      <c r="AC42" s="150"/>
      <c r="AD42" s="150"/>
      <c r="AE42" s="170" t="s">
        <v>138</v>
      </c>
      <c r="AF42" s="150">
        <v>2100</v>
      </c>
      <c r="AG42" s="150"/>
      <c r="AH42" s="150"/>
      <c r="AI42" s="150"/>
      <c r="AJ42" s="150"/>
      <c r="AK42" s="150"/>
      <c r="AL42" s="150"/>
      <c r="AM42" s="150"/>
      <c r="AN42" s="150"/>
      <c r="AO42" s="150"/>
      <c r="AP42" s="150"/>
      <c r="AQ42" s="150"/>
      <c r="AR42" s="150" t="s">
        <v>480</v>
      </c>
      <c r="AS42" s="150" t="s">
        <v>593</v>
      </c>
      <c r="AT42" s="150" t="s">
        <v>151</v>
      </c>
      <c r="AU42" s="150" t="s">
        <v>151</v>
      </c>
      <c r="AV42" s="150" t="s">
        <v>151</v>
      </c>
      <c r="AW42" s="150"/>
      <c r="AX42" s="150"/>
      <c r="AY42" s="150"/>
      <c r="AZ42" s="150"/>
      <c r="BA42" s="150"/>
      <c r="BB42" s="150"/>
      <c r="BC42" s="150"/>
      <c r="BD42" s="150"/>
      <c r="BE42" s="150"/>
      <c r="BF42" s="150"/>
      <c r="BG42" s="170">
        <f t="shared" si="58"/>
        <v>1</v>
      </c>
      <c r="BH42" s="150" t="s">
        <v>132</v>
      </c>
      <c r="BI42" s="150">
        <v>0</v>
      </c>
      <c r="BJ42" s="150">
        <v>10</v>
      </c>
      <c r="BK42" s="150">
        <v>15</v>
      </c>
      <c r="BL42" s="150">
        <v>20</v>
      </c>
      <c r="BM42" s="150">
        <v>25</v>
      </c>
      <c r="BN42" s="150">
        <v>30</v>
      </c>
      <c r="BO42" s="150">
        <v>35</v>
      </c>
      <c r="BP42" s="150">
        <v>40</v>
      </c>
      <c r="BQ42" s="150">
        <v>45</v>
      </c>
      <c r="BR42" s="150">
        <v>50</v>
      </c>
      <c r="BS42" s="150">
        <v>55</v>
      </c>
      <c r="BT42" s="150">
        <v>60</v>
      </c>
      <c r="BU42" s="150">
        <v>65</v>
      </c>
      <c r="BV42" s="150"/>
      <c r="BW42" s="150" t="s">
        <v>471</v>
      </c>
      <c r="BX42" s="150">
        <v>0</v>
      </c>
      <c r="BY42" s="150">
        <v>10</v>
      </c>
      <c r="BZ42" s="150">
        <v>15</v>
      </c>
      <c r="CA42" s="150">
        <v>20</v>
      </c>
      <c r="CB42" s="150">
        <v>25</v>
      </c>
      <c r="CC42" s="150">
        <v>30</v>
      </c>
      <c r="CD42" s="150">
        <v>35</v>
      </c>
      <c r="CE42" s="150">
        <v>40</v>
      </c>
      <c r="CF42" s="150">
        <v>45</v>
      </c>
      <c r="CG42" s="150">
        <v>50</v>
      </c>
      <c r="CH42" s="150">
        <v>55</v>
      </c>
      <c r="CI42" s="150">
        <v>60</v>
      </c>
      <c r="CJ42" s="150">
        <v>65</v>
      </c>
      <c r="CK42" s="150"/>
      <c r="CL42" s="150"/>
      <c r="CM42" s="150"/>
      <c r="CN42" s="150" t="s">
        <v>137</v>
      </c>
      <c r="CO42" s="150">
        <v>0</v>
      </c>
      <c r="CP42" s="150">
        <v>10</v>
      </c>
      <c r="CQ42" s="150">
        <v>15</v>
      </c>
      <c r="CR42" s="150">
        <v>20</v>
      </c>
      <c r="CS42" s="150">
        <v>25</v>
      </c>
      <c r="CT42" s="150">
        <v>30</v>
      </c>
      <c r="CU42" s="150">
        <v>35</v>
      </c>
      <c r="CV42" s="150">
        <v>40</v>
      </c>
      <c r="CW42" s="150">
        <v>45</v>
      </c>
      <c r="CX42" s="150">
        <v>50</v>
      </c>
      <c r="CY42" s="150">
        <v>55</v>
      </c>
      <c r="CZ42" s="150">
        <v>60</v>
      </c>
      <c r="DA42" s="150">
        <v>65</v>
      </c>
      <c r="DB42" s="150"/>
      <c r="DC42" s="150" t="s">
        <v>479</v>
      </c>
      <c r="DD42" s="150">
        <v>0</v>
      </c>
      <c r="DE42" s="150">
        <v>10</v>
      </c>
      <c r="DF42" s="150">
        <v>15</v>
      </c>
      <c r="DG42" s="150">
        <v>20</v>
      </c>
      <c r="DH42" s="150">
        <v>25</v>
      </c>
      <c r="DI42" s="150">
        <v>30</v>
      </c>
      <c r="DJ42" s="150">
        <v>35</v>
      </c>
      <c r="DK42" s="150">
        <v>40</v>
      </c>
      <c r="DL42" s="150">
        <v>45</v>
      </c>
      <c r="DM42" s="150">
        <v>50</v>
      </c>
      <c r="DN42" s="150">
        <v>55</v>
      </c>
      <c r="DO42" s="150">
        <v>60</v>
      </c>
      <c r="DP42" s="150">
        <v>65</v>
      </c>
      <c r="DQ42" s="181"/>
      <c r="DR42" s="181"/>
      <c r="DS42" s="181"/>
      <c r="DT42" s="150"/>
      <c r="DU42" s="150"/>
      <c r="DV42" s="150"/>
      <c r="DW42" s="150"/>
      <c r="DX42" s="150"/>
      <c r="DY42" s="150"/>
      <c r="DZ42" s="150"/>
      <c r="EA42" s="150"/>
      <c r="EB42" s="150"/>
      <c r="EC42" s="150"/>
      <c r="ED42" s="150"/>
      <c r="EE42" s="150"/>
      <c r="EF42" s="150"/>
      <c r="EG42" s="150"/>
      <c r="EH42" s="150"/>
      <c r="EI42" s="150"/>
      <c r="EJ42" s="155"/>
      <c r="EK42" s="150" t="s">
        <v>132</v>
      </c>
      <c r="EL42" s="150">
        <v>0</v>
      </c>
      <c r="EM42" s="150">
        <v>10</v>
      </c>
      <c r="EN42" s="150">
        <v>15</v>
      </c>
      <c r="EO42" s="150">
        <v>20</v>
      </c>
      <c r="EP42" s="150">
        <v>25</v>
      </c>
      <c r="EQ42" s="150">
        <v>30</v>
      </c>
      <c r="ER42" s="150">
        <v>35</v>
      </c>
      <c r="ES42" s="150">
        <v>40</v>
      </c>
      <c r="ET42" s="150">
        <v>45</v>
      </c>
      <c r="EU42" s="150">
        <v>50</v>
      </c>
      <c r="EV42" s="150">
        <v>55</v>
      </c>
      <c r="EW42" s="150">
        <v>60</v>
      </c>
      <c r="EX42" s="150">
        <v>65</v>
      </c>
      <c r="EY42" s="150"/>
      <c r="EZ42" s="150" t="s">
        <v>471</v>
      </c>
      <c r="FA42" s="150">
        <v>0</v>
      </c>
      <c r="FB42" s="150">
        <v>10</v>
      </c>
      <c r="FC42" s="150">
        <v>15</v>
      </c>
      <c r="FD42" s="150">
        <v>20</v>
      </c>
      <c r="FE42" s="150">
        <v>25</v>
      </c>
      <c r="FF42" s="150">
        <v>30</v>
      </c>
      <c r="FG42" s="150">
        <v>35</v>
      </c>
      <c r="FH42" s="150">
        <v>40</v>
      </c>
      <c r="FI42" s="150">
        <v>45</v>
      </c>
      <c r="FJ42" s="150">
        <v>50</v>
      </c>
      <c r="FK42" s="150">
        <v>55</v>
      </c>
      <c r="FL42" s="150">
        <v>60</v>
      </c>
      <c r="FM42" s="150">
        <v>65</v>
      </c>
      <c r="FN42" s="150"/>
      <c r="FO42" s="150" t="s">
        <v>137</v>
      </c>
      <c r="FP42" s="150">
        <v>0</v>
      </c>
      <c r="FQ42" s="150">
        <v>10</v>
      </c>
      <c r="FR42" s="150">
        <v>15</v>
      </c>
      <c r="FS42" s="150">
        <v>20</v>
      </c>
      <c r="FT42" s="150">
        <v>25</v>
      </c>
      <c r="FU42" s="150">
        <v>30</v>
      </c>
      <c r="FV42" s="150">
        <v>35</v>
      </c>
      <c r="FW42" s="150">
        <v>40</v>
      </c>
      <c r="FX42" s="150">
        <v>45</v>
      </c>
      <c r="FY42" s="150">
        <v>50</v>
      </c>
      <c r="FZ42" s="150">
        <v>55</v>
      </c>
      <c r="GA42" s="150">
        <v>60</v>
      </c>
      <c r="GB42" s="150">
        <v>65</v>
      </c>
      <c r="GC42" s="150"/>
      <c r="GD42" s="150" t="s">
        <v>479</v>
      </c>
      <c r="GE42" s="150">
        <v>0</v>
      </c>
      <c r="GF42" s="150">
        <v>10</v>
      </c>
      <c r="GG42" s="150">
        <v>15</v>
      </c>
      <c r="GH42" s="150">
        <v>20</v>
      </c>
      <c r="GI42" s="150">
        <v>25</v>
      </c>
      <c r="GJ42" s="150">
        <v>30</v>
      </c>
      <c r="GK42" s="150">
        <v>35</v>
      </c>
      <c r="GL42" s="150">
        <v>40</v>
      </c>
      <c r="GM42" s="150">
        <v>45</v>
      </c>
      <c r="GN42" s="150">
        <v>50</v>
      </c>
      <c r="GO42" s="150">
        <v>55</v>
      </c>
      <c r="GP42" s="150">
        <v>60</v>
      </c>
      <c r="GQ42" s="150">
        <v>65</v>
      </c>
      <c r="GR42" s="150"/>
      <c r="GS42" s="150"/>
      <c r="GT42" s="150"/>
      <c r="GU42" s="150"/>
      <c r="GV42" s="150"/>
      <c r="GW42" s="150"/>
      <c r="GX42" s="150"/>
      <c r="GY42" s="150"/>
      <c r="GZ42" s="150"/>
      <c r="HA42" s="150"/>
      <c r="HB42" s="150"/>
      <c r="HC42" s="150"/>
      <c r="HD42" s="150"/>
      <c r="HE42" s="150"/>
      <c r="HF42" s="150"/>
      <c r="HG42" s="156"/>
      <c r="HH42" s="150"/>
    </row>
    <row r="43" spans="1:216" x14ac:dyDescent="0.25">
      <c r="A43" s="8"/>
      <c r="B43" s="5" t="s">
        <v>116</v>
      </c>
      <c r="C43" s="8"/>
      <c r="D43" s="6" t="s">
        <v>788</v>
      </c>
      <c r="E43" s="8" t="s">
        <v>1157</v>
      </c>
      <c r="F43" s="39" t="s">
        <v>790</v>
      </c>
      <c r="G43" s="9"/>
      <c r="H43" s="9"/>
      <c r="I43" s="9"/>
      <c r="J43" s="9"/>
      <c r="K43" s="9"/>
      <c r="L43" s="6" t="str">
        <f>IF(L41="BDFCH120/5,4NMC","-------",IF(L41="BDFTH120/6NMC","CMP41H41/1,2MC",IF(L41="BDFTH120/6,8NMC","CMP41H41/1,2MC",0)))</f>
        <v>-------</v>
      </c>
      <c r="M43" s="11" t="str">
        <f>INDEX(cennik!$C$2:$L$529,MATCH($L43,cennik!$B$2:$B$522,0),MATCH(M$2,cennik!$C$1:$L$1,0))</f>
        <v>-------</v>
      </c>
      <c r="N43" s="11">
        <f>INDEX(cennik!$C$2:$L$529,MATCH($L43,cennik!$B$2:$B$522,0),MATCH(N$2,cennik!$C$1:$L$1,0))</f>
        <v>0</v>
      </c>
      <c r="O43" s="14">
        <f>IF(L41="BDFCH120/5,4NMC",0,IF(L41="BDFTH120/6NMC",O42,IF(L41="BDFTH120/6,8NMC",O42,0)))</f>
        <v>0</v>
      </c>
      <c r="P43" s="34">
        <f>INDEX(cennik!$C$2:$L$529,MATCH($L43,cennik!$B$2:$B$522,0),MATCH(P$2,cennik!$C$1:$L$1,0))</f>
        <v>0</v>
      </c>
      <c r="Q43" s="34">
        <f t="shared" si="122"/>
        <v>0</v>
      </c>
      <c r="R43" s="35">
        <f t="shared" si="88"/>
        <v>0</v>
      </c>
      <c r="S43" s="34">
        <f t="shared" si="89"/>
        <v>0</v>
      </c>
      <c r="T43" s="34">
        <f t="shared" si="123"/>
        <v>0</v>
      </c>
      <c r="U43" s="34">
        <f>INDEX(cennik!$C$2:$L$529,MATCH($L43,cennik!$B$2:$B$522,0),MATCH(U$2,cennik!$C$1:$L$1,0))*O43</f>
        <v>0</v>
      </c>
      <c r="V43" s="62"/>
      <c r="W43" s="150">
        <f>INDEX(($EL$31:$EX$34,$FA$31:$FM$34,$EL$37:$EX$40,$EL$43:$EX$46,$FA$37:$FM$40,$FA$43:$FM$46,$FP$31:$GB$34,$FP$37:$GB$40,$FP$43:$GB$46,$GE$31:$GQ$34,$GE$37:$GQ$40,$GE$43:$GQ$46,$GT$31:$HF$34,$GT$37:$HF$40),MATCH($L$49,$EK$31:$EK$34,0),MATCH($A42,$EL$30:$EX$30,0),MATCH($E$35,$AE$33:$AE$48,0))*$C42</f>
        <v>0</v>
      </c>
      <c r="X43" s="150">
        <f>INDEX(($EL$31:$EX$34,$FA$31:$FM$34,$EL$37:$EX$40,$EL$43:$EX$46,$FA$37:$FM$40,$FA$43:$FM$46,$FP$31:$GB$34,$FP$37:$GB$40,$FP$43:$GB$46,$GE$31:$GQ$34,$GE$37:$GQ$40,$GE$43:$GQ$46,$GT$31:$HF$34,$GT$37:$HF$40),MATCH($L$46,$EK$31:$EK$34,0),MATCH($A42,$EL$30:$EX$30,0),MATCH($E$35,$AE$33:$AE$48,0))*$C42</f>
        <v>0</v>
      </c>
      <c r="Y43" s="150">
        <f>INDEX(($EL$31:$EX$34,$FA$31:$FM$34,$EL$37:$EX$40,$EL$43:$EX$46,$FA$37:$FM$40,$FA$43:$FM$46,$FP$31:$GB$34,$FP$37:$GB$40,$FP$43:$GB$46,$GE$31:$GQ$34,$GE$37:$GQ$40,$GE$43:$GQ$46,$GT$31:$HF$34,$GT$37:$HF$40),MATCH($L$47,$EK$31:$EK$34,0),MATCH($A42,$EL$30:$EX$30,0),MATCH($E$35,$AE$33:$AE$48,0))*$C42</f>
        <v>0</v>
      </c>
      <c r="Z43" s="150">
        <f>INDEX(($EL$31:$EX$34,$FA$31:$FM$34,$EL$37:$EX$40,$EL$43:$EX$46,$FA$37:$FM$40,$FA$43:$FM$46,$FP$31:$GB$34,$FP$37:$GB$40,$FP$43:$GB$46,$GE$31:$GQ$34,$GE$37:$GQ$40,$GE$43:$GQ$46,$GT$31:$HF$34,$GT$37:$HF$40),MATCH($L$48,$EK$31:$EK$34,0),MATCH($A42,$EL$30:$EX$30,0),MATCH($E$35,$AE$33:$AE$48,0))*$C42</f>
        <v>0</v>
      </c>
      <c r="AA43" s="150">
        <f t="shared" si="75"/>
        <v>0</v>
      </c>
      <c r="AB43" s="150">
        <f t="shared" si="76"/>
        <v>0</v>
      </c>
      <c r="AC43" s="150"/>
      <c r="AD43" s="150"/>
      <c r="AE43" s="150" t="s">
        <v>478</v>
      </c>
      <c r="AF43" s="150">
        <v>2150</v>
      </c>
      <c r="AG43" s="150"/>
      <c r="AH43" s="150"/>
      <c r="AI43" s="150"/>
      <c r="AJ43" s="150"/>
      <c r="AK43" s="150"/>
      <c r="AL43" s="150"/>
      <c r="AM43" s="150"/>
      <c r="AN43" s="150"/>
      <c r="AO43" s="150"/>
      <c r="AP43" s="150"/>
      <c r="AQ43" s="150"/>
      <c r="AR43" s="150" t="s">
        <v>713</v>
      </c>
      <c r="AS43" s="150" t="s">
        <v>593</v>
      </c>
      <c r="AT43" s="150" t="s">
        <v>151</v>
      </c>
      <c r="AU43" s="150" t="s">
        <v>151</v>
      </c>
      <c r="AV43" s="150" t="s">
        <v>151</v>
      </c>
      <c r="AW43" s="150"/>
      <c r="AX43" s="150"/>
      <c r="AY43" s="150"/>
      <c r="AZ43" s="150"/>
      <c r="BA43" s="150"/>
      <c r="BB43" s="150"/>
      <c r="BC43" s="150"/>
      <c r="BD43" s="150"/>
      <c r="BE43" s="150"/>
      <c r="BF43" s="150"/>
      <c r="BG43" s="170">
        <f t="shared" si="58"/>
        <v>1</v>
      </c>
      <c r="BH43" s="150" t="s">
        <v>217</v>
      </c>
      <c r="BI43" s="150">
        <v>0</v>
      </c>
      <c r="BJ43" s="150">
        <f>IF(BJ15=0,0,IF(BJ15=5,6,IF(BJ15=10,12,IF(BJ15=15,18,IF(BJ15=20,24,0)))))</f>
        <v>0</v>
      </c>
      <c r="BK43" s="150">
        <f t="shared" ref="BK43:BU43" si="124">IF(BK15=0,0,IF(BK15=5,6,IF(BK15=10,12,IF(BK15=15,18,IF(BK15=20,24,0)))))</f>
        <v>6</v>
      </c>
      <c r="BL43" s="150">
        <f t="shared" si="124"/>
        <v>6</v>
      </c>
      <c r="BM43" s="150">
        <f t="shared" si="124"/>
        <v>0</v>
      </c>
      <c r="BN43" s="150">
        <f t="shared" si="124"/>
        <v>6</v>
      </c>
      <c r="BO43" s="150">
        <f t="shared" si="124"/>
        <v>0</v>
      </c>
      <c r="BP43" s="150">
        <f t="shared" si="124"/>
        <v>6</v>
      </c>
      <c r="BQ43" s="150">
        <f t="shared" si="124"/>
        <v>6</v>
      </c>
      <c r="BR43" s="150">
        <f t="shared" si="124"/>
        <v>12</v>
      </c>
      <c r="BS43" s="150">
        <f t="shared" si="124"/>
        <v>18</v>
      </c>
      <c r="BT43" s="150">
        <f t="shared" si="124"/>
        <v>12</v>
      </c>
      <c r="BU43" s="150">
        <f t="shared" si="124"/>
        <v>18</v>
      </c>
      <c r="BV43" s="150"/>
      <c r="BW43" s="150" t="s">
        <v>217</v>
      </c>
      <c r="BX43" s="150">
        <v>0</v>
      </c>
      <c r="BY43" s="150">
        <f t="shared" ref="BY43:CJ46" si="125">IF(BY15=0,0,IF(BY15=5,6,IF(BY15=10,12,IF(BY15=15,18,IF(BY15=20,24,0)))))</f>
        <v>0</v>
      </c>
      <c r="BZ43" s="150">
        <f t="shared" si="125"/>
        <v>6</v>
      </c>
      <c r="CA43" s="150">
        <f t="shared" si="125"/>
        <v>0</v>
      </c>
      <c r="CB43" s="150">
        <f t="shared" si="125"/>
        <v>6</v>
      </c>
      <c r="CC43" s="150">
        <f t="shared" si="125"/>
        <v>0</v>
      </c>
      <c r="CD43" s="150">
        <f t="shared" si="125"/>
        <v>12</v>
      </c>
      <c r="CE43" s="150">
        <f t="shared" si="125"/>
        <v>6</v>
      </c>
      <c r="CF43" s="150">
        <f t="shared" si="125"/>
        <v>12</v>
      </c>
      <c r="CG43" s="150">
        <f t="shared" si="125"/>
        <v>6</v>
      </c>
      <c r="CH43" s="150">
        <f t="shared" si="125"/>
        <v>12</v>
      </c>
      <c r="CI43" s="150">
        <f t="shared" si="125"/>
        <v>18</v>
      </c>
      <c r="CJ43" s="150">
        <f t="shared" si="125"/>
        <v>12</v>
      </c>
      <c r="CK43" s="150"/>
      <c r="CL43" s="150"/>
      <c r="CM43" s="150"/>
      <c r="CN43" s="150" t="s">
        <v>217</v>
      </c>
      <c r="CO43" s="150">
        <v>0</v>
      </c>
      <c r="CP43" s="150">
        <f t="shared" ref="CP43:DA46" si="126">IF(CP15=0,0,IF(CP15=5,6,IF(CP15=10,12,IF(CP15=15,18,IF(CP15=20,24,0)))))</f>
        <v>0</v>
      </c>
      <c r="CQ43" s="150">
        <f t="shared" si="126"/>
        <v>6</v>
      </c>
      <c r="CR43" s="150">
        <f t="shared" si="126"/>
        <v>0</v>
      </c>
      <c r="CS43" s="150">
        <f t="shared" si="126"/>
        <v>6</v>
      </c>
      <c r="CT43" s="150">
        <f t="shared" si="126"/>
        <v>0</v>
      </c>
      <c r="CU43" s="150">
        <f t="shared" si="126"/>
        <v>6</v>
      </c>
      <c r="CV43" s="150">
        <f t="shared" si="126"/>
        <v>12</v>
      </c>
      <c r="CW43" s="150">
        <f t="shared" si="126"/>
        <v>6</v>
      </c>
      <c r="CX43" s="150">
        <f t="shared" si="126"/>
        <v>12</v>
      </c>
      <c r="CY43" s="150">
        <f t="shared" si="126"/>
        <v>18</v>
      </c>
      <c r="CZ43" s="150">
        <f t="shared" si="126"/>
        <v>18</v>
      </c>
      <c r="DA43" s="150">
        <f t="shared" si="126"/>
        <v>24</v>
      </c>
      <c r="DB43" s="150"/>
      <c r="DC43" s="150" t="s">
        <v>217</v>
      </c>
      <c r="DD43" s="150">
        <v>0</v>
      </c>
      <c r="DE43" s="150">
        <f>IF(DE15=0,0,IF(DE15=5,6,IF(DE15=10,12,IF(DE15=15,18,IF(DE15=20,24,0)))))</f>
        <v>0</v>
      </c>
      <c r="DF43" s="150">
        <f t="shared" ref="DF43:DP43" si="127">IF(DF15=0,0,IF(DF15=5,6,IF(DF15=10,12,IF(DF15=15,18,IF(DF15=20,24,0)))))</f>
        <v>6</v>
      </c>
      <c r="DG43" s="150">
        <f t="shared" si="127"/>
        <v>0</v>
      </c>
      <c r="DH43" s="150">
        <f t="shared" si="127"/>
        <v>0</v>
      </c>
      <c r="DI43" s="150">
        <f t="shared" si="127"/>
        <v>12</v>
      </c>
      <c r="DJ43" s="150">
        <f t="shared" si="127"/>
        <v>6</v>
      </c>
      <c r="DK43" s="150">
        <f t="shared" si="127"/>
        <v>12</v>
      </c>
      <c r="DL43" s="150">
        <f t="shared" si="127"/>
        <v>12</v>
      </c>
      <c r="DM43" s="150">
        <f t="shared" si="127"/>
        <v>12</v>
      </c>
      <c r="DN43" s="150">
        <f t="shared" si="127"/>
        <v>18</v>
      </c>
      <c r="DO43" s="150">
        <f t="shared" si="127"/>
        <v>24</v>
      </c>
      <c r="DP43" s="150">
        <f t="shared" si="127"/>
        <v>24</v>
      </c>
      <c r="DQ43" s="181"/>
      <c r="DR43" s="181"/>
      <c r="DS43" s="181"/>
      <c r="DT43" s="150"/>
      <c r="DU43" s="150"/>
      <c r="DV43" s="150"/>
      <c r="DW43" s="150"/>
      <c r="DX43" s="150"/>
      <c r="DY43" s="150"/>
      <c r="DZ43" s="150"/>
      <c r="EA43" s="150"/>
      <c r="EB43" s="150"/>
      <c r="EC43" s="150"/>
      <c r="ED43" s="150"/>
      <c r="EE43" s="150"/>
      <c r="EF43" s="150"/>
      <c r="EG43" s="150"/>
      <c r="EH43" s="150"/>
      <c r="EI43" s="150"/>
      <c r="EJ43" s="155"/>
      <c r="EK43" s="150" t="s">
        <v>586</v>
      </c>
      <c r="EL43" s="150">
        <v>0</v>
      </c>
      <c r="EM43" s="150">
        <f t="shared" ref="EM43:EX43" si="128">EM15/5*6</f>
        <v>0</v>
      </c>
      <c r="EN43" s="150">
        <f t="shared" si="128"/>
        <v>6</v>
      </c>
      <c r="EO43" s="150">
        <f t="shared" si="128"/>
        <v>6</v>
      </c>
      <c r="EP43" s="150">
        <f t="shared" si="128"/>
        <v>0</v>
      </c>
      <c r="EQ43" s="150">
        <f t="shared" si="128"/>
        <v>0</v>
      </c>
      <c r="ER43" s="150">
        <f t="shared" si="128"/>
        <v>0</v>
      </c>
      <c r="ES43" s="150">
        <f t="shared" si="128"/>
        <v>0</v>
      </c>
      <c r="ET43" s="150">
        <f t="shared" si="128"/>
        <v>0</v>
      </c>
      <c r="EU43" s="150">
        <f t="shared" si="128"/>
        <v>0</v>
      </c>
      <c r="EV43" s="150">
        <f t="shared" si="128"/>
        <v>0</v>
      </c>
      <c r="EW43" s="150">
        <f t="shared" si="128"/>
        <v>0</v>
      </c>
      <c r="EX43" s="150">
        <f t="shared" si="128"/>
        <v>0</v>
      </c>
      <c r="EZ43" s="150" t="s">
        <v>586</v>
      </c>
      <c r="FA43" s="150">
        <v>0</v>
      </c>
      <c r="FB43" s="150">
        <f t="shared" ref="FB43:FM43" si="129">FB15/5*6</f>
        <v>0</v>
      </c>
      <c r="FC43" s="150">
        <f t="shared" si="129"/>
        <v>6</v>
      </c>
      <c r="FD43" s="150">
        <f t="shared" si="129"/>
        <v>0</v>
      </c>
      <c r="FE43" s="150">
        <f t="shared" si="129"/>
        <v>0</v>
      </c>
      <c r="FF43" s="150">
        <f t="shared" si="129"/>
        <v>0</v>
      </c>
      <c r="FG43" s="150">
        <f t="shared" si="129"/>
        <v>0</v>
      </c>
      <c r="FH43" s="150">
        <f t="shared" si="129"/>
        <v>0</v>
      </c>
      <c r="FI43" s="150">
        <f t="shared" si="129"/>
        <v>0</v>
      </c>
      <c r="FJ43" s="150">
        <f t="shared" si="129"/>
        <v>0</v>
      </c>
      <c r="FK43" s="150">
        <f t="shared" si="129"/>
        <v>0</v>
      </c>
      <c r="FL43" s="150">
        <f t="shared" si="129"/>
        <v>0</v>
      </c>
      <c r="FM43" s="150">
        <f t="shared" si="129"/>
        <v>0</v>
      </c>
      <c r="FO43" s="150" t="s">
        <v>586</v>
      </c>
      <c r="FP43" s="150">
        <v>0</v>
      </c>
      <c r="FQ43" s="150">
        <f t="shared" ref="FQ43:GB43" si="130">FQ15/5*6</f>
        <v>0</v>
      </c>
      <c r="FR43" s="150">
        <f t="shared" si="130"/>
        <v>6</v>
      </c>
      <c r="FS43" s="150">
        <f t="shared" si="130"/>
        <v>0</v>
      </c>
      <c r="FT43" s="150">
        <f t="shared" si="130"/>
        <v>0</v>
      </c>
      <c r="FU43" s="150">
        <f t="shared" si="130"/>
        <v>0</v>
      </c>
      <c r="FV43" s="150">
        <f t="shared" si="130"/>
        <v>0</v>
      </c>
      <c r="FW43" s="150">
        <f t="shared" si="130"/>
        <v>0</v>
      </c>
      <c r="FX43" s="150">
        <f t="shared" si="130"/>
        <v>0</v>
      </c>
      <c r="FY43" s="150">
        <f t="shared" si="130"/>
        <v>0</v>
      </c>
      <c r="FZ43" s="150">
        <f t="shared" si="130"/>
        <v>0</v>
      </c>
      <c r="GA43" s="150">
        <f t="shared" si="130"/>
        <v>0</v>
      </c>
      <c r="GB43" s="150">
        <f t="shared" si="130"/>
        <v>0</v>
      </c>
      <c r="GD43" s="150" t="s">
        <v>586</v>
      </c>
      <c r="GE43" s="150">
        <v>0</v>
      </c>
      <c r="GF43" s="150">
        <f t="shared" ref="GF43:GQ43" si="131">GF15/5*6</f>
        <v>0</v>
      </c>
      <c r="GG43" s="150">
        <f t="shared" si="131"/>
        <v>6</v>
      </c>
      <c r="GH43" s="150">
        <f t="shared" si="131"/>
        <v>0</v>
      </c>
      <c r="GI43" s="150">
        <f t="shared" si="131"/>
        <v>0</v>
      </c>
      <c r="GJ43" s="150">
        <f t="shared" si="131"/>
        <v>0</v>
      </c>
      <c r="GK43" s="150">
        <f t="shared" si="131"/>
        <v>0</v>
      </c>
      <c r="GL43" s="150">
        <f t="shared" si="131"/>
        <v>0</v>
      </c>
      <c r="GM43" s="150">
        <f t="shared" si="131"/>
        <v>0</v>
      </c>
      <c r="GN43" s="150">
        <f t="shared" si="131"/>
        <v>0</v>
      </c>
      <c r="GO43" s="150">
        <f t="shared" si="131"/>
        <v>0</v>
      </c>
      <c r="GP43" s="150">
        <f t="shared" si="131"/>
        <v>0</v>
      </c>
      <c r="GQ43" s="150">
        <f t="shared" si="131"/>
        <v>0</v>
      </c>
      <c r="GR43" s="150"/>
      <c r="GS43" s="150"/>
      <c r="GT43" s="150"/>
      <c r="GU43" s="150"/>
      <c r="GV43" s="150"/>
      <c r="GW43" s="150"/>
      <c r="GX43" s="150"/>
      <c r="GY43" s="150"/>
      <c r="GZ43" s="150"/>
      <c r="HA43" s="150"/>
      <c r="HB43" s="150"/>
      <c r="HC43" s="150"/>
      <c r="HD43" s="150"/>
      <c r="HE43" s="150"/>
      <c r="HF43" s="150"/>
      <c r="HG43" s="156"/>
      <c r="HH43" s="150"/>
    </row>
    <row r="44" spans="1:216" x14ac:dyDescent="0.25">
      <c r="A44" s="8"/>
      <c r="B44" s="5" t="s">
        <v>116</v>
      </c>
      <c r="C44" s="8"/>
      <c r="D44" s="6" t="s">
        <v>718</v>
      </c>
      <c r="E44" s="32">
        <f>INDEX((AS49:AW51),MATCH(E42,AR49:AR51,0),MATCH(E43,AS48:AW48,0))</f>
        <v>2900</v>
      </c>
      <c r="F44" s="9"/>
      <c r="G44" s="9"/>
      <c r="H44" s="9"/>
      <c r="I44" s="9"/>
      <c r="J44" s="29" t="s">
        <v>119</v>
      </c>
      <c r="K44" s="9"/>
      <c r="L44" s="6" t="str">
        <f>IF(E44=$AS$49,"CMP41H41/3,7MC",IF(E44=$AU$49,"CMP41H41/3,5MC",IF(E44=$AU$51,"CMP41H41/3MC",IF(E44=$AW$51,"CMP41H41/2,2MC","-------"))))</f>
        <v>CMP41H41/3,7MC</v>
      </c>
      <c r="M44" s="11">
        <f>INDEX(cennik!$C$2:$L$529,MATCH($L44,cennik!$B$2:$B$522,0),MATCH(M$2,cennik!$C$1:$L$1,0))</f>
        <v>852137</v>
      </c>
      <c r="N44" s="11" t="str">
        <f>INDEX(cennik!$C$2:$L$529,MATCH($L44,cennik!$B$2:$B$522,0),MATCH(N$2,cennik!$C$1:$L$1,0))</f>
        <v>szt.</v>
      </c>
      <c r="O44" s="11">
        <f>SUM(AA33:AA48)</f>
        <v>0</v>
      </c>
      <c r="P44" s="34">
        <f>INDEX(cennik!$C$2:$L$529,MATCH($L44,cennik!$B$2:$B$522,0),MATCH(P$2,cennik!$C$1:$L$1,0))</f>
        <v>77.7</v>
      </c>
      <c r="Q44" s="34">
        <f t="shared" si="122"/>
        <v>0</v>
      </c>
      <c r="R44" s="35">
        <f t="shared" si="88"/>
        <v>0</v>
      </c>
      <c r="S44" s="34">
        <f t="shared" si="89"/>
        <v>77.7</v>
      </c>
      <c r="T44" s="34">
        <f t="shared" si="123"/>
        <v>0</v>
      </c>
      <c r="U44" s="34">
        <f>INDEX(cennik!$C$2:$L$529,MATCH($L44,cennik!$B$2:$B$522,0),MATCH(U$2,cennik!$C$1:$L$1,0))*O44</f>
        <v>0</v>
      </c>
      <c r="V44" s="62"/>
      <c r="W44" s="150">
        <f>INDEX(($EL$31:$EX$34,$FA$31:$FM$34,$EL$37:$EX$40,$EL$43:$EX$46,$FA$37:$FM$40,$FA$43:$FM$46,$FP$31:$GB$34,$FP$37:$GB$40,$FP$43:$GB$46,$GE$31:$GQ$34,$GE$37:$GQ$40,$GE$43:$GQ$46,$GT$31:$HF$34,$GT$37:$HF$40),MATCH($L$49,$EK$31:$EK$34,0),MATCH($A43,$EL$30:$EX$30,0),MATCH($E$35,$AE$33:$AE$48,0))*$C43</f>
        <v>0</v>
      </c>
      <c r="X44" s="150">
        <f>INDEX(($EL$31:$EX$34,$FA$31:$FM$34,$EL$37:$EX$40,$EL$43:$EX$46,$FA$37:$FM$40,$FA$43:$FM$46,$FP$31:$GB$34,$FP$37:$GB$40,$FP$43:$GB$46,$GE$31:$GQ$34,$GE$37:$GQ$40,$GE$43:$GQ$46,$GT$31:$HF$34,$GT$37:$HF$40),MATCH($L$46,$EK$31:$EK$34,0),MATCH($A43,$EL$30:$EX$30,0),MATCH($E$35,$AE$33:$AE$48,0))*$C43</f>
        <v>0</v>
      </c>
      <c r="Y44" s="150">
        <f>INDEX(($EL$31:$EX$34,$FA$31:$FM$34,$EL$37:$EX$40,$EL$43:$EX$46,$FA$37:$FM$40,$FA$43:$FM$46,$FP$31:$GB$34,$FP$37:$GB$40,$FP$43:$GB$46,$GE$31:$GQ$34,$GE$37:$GQ$40,$GE$43:$GQ$46,$GT$31:$HF$34,$GT$37:$HF$40),MATCH($L$47,$EK$31:$EK$34,0),MATCH($A43,$EL$30:$EX$30,0),MATCH($E$35,$AE$33:$AE$48,0))*$C43</f>
        <v>0</v>
      </c>
      <c r="Z44" s="150">
        <f>INDEX(($EL$31:$EX$34,$FA$31:$FM$34,$EL$37:$EX$40,$EL$43:$EX$46,$FA$37:$FM$40,$FA$43:$FM$46,$FP$31:$GB$34,$FP$37:$GB$40,$FP$43:$GB$46,$GE$31:$GQ$34,$GE$37:$GQ$40,$GE$43:$GQ$46,$GT$31:$HF$34,$GT$37:$HF$40),MATCH($L$48,$EK$31:$EK$34,0),MATCH($A43,$EL$30:$EX$30,0),MATCH($E$35,$AE$33:$AE$48,0))*$C43</f>
        <v>0</v>
      </c>
      <c r="AA44" s="150">
        <f t="shared" si="75"/>
        <v>0</v>
      </c>
      <c r="AB44" s="150">
        <f t="shared" si="76"/>
        <v>0</v>
      </c>
      <c r="AC44" s="150"/>
      <c r="AD44" s="150"/>
      <c r="AE44" s="150" t="s">
        <v>479</v>
      </c>
      <c r="AF44" s="150">
        <v>2200</v>
      </c>
      <c r="AG44" s="150"/>
      <c r="AH44" s="150"/>
      <c r="AI44" s="150"/>
      <c r="AJ44" s="150"/>
      <c r="AK44" s="150"/>
      <c r="AL44" s="150"/>
      <c r="AM44" s="150"/>
      <c r="AN44" s="150"/>
      <c r="AO44" s="150"/>
      <c r="AP44" s="150"/>
      <c r="AQ44" s="150"/>
      <c r="AR44" s="150" t="s">
        <v>714</v>
      </c>
      <c r="AS44" s="150" t="s">
        <v>593</v>
      </c>
      <c r="AT44" s="150" t="s">
        <v>151</v>
      </c>
      <c r="AU44" s="150" t="s">
        <v>151</v>
      </c>
      <c r="AV44" s="150" t="s">
        <v>151</v>
      </c>
      <c r="AW44" s="150"/>
      <c r="AX44" s="150"/>
      <c r="AY44" s="150"/>
      <c r="AZ44" s="150"/>
      <c r="BA44" s="150"/>
      <c r="BB44" s="150"/>
      <c r="BC44" s="150"/>
      <c r="BD44" s="150"/>
      <c r="BE44" s="150"/>
      <c r="BF44" s="150"/>
      <c r="BG44" s="170">
        <f t="shared" si="58"/>
        <v>1</v>
      </c>
      <c r="BH44" s="150" t="s">
        <v>216</v>
      </c>
      <c r="BI44" s="150">
        <v>0</v>
      </c>
      <c r="BJ44" s="150">
        <f t="shared" ref="BJ44:BU46" si="132">IF(BJ16=0,0,IF(BJ16=5,6,IF(BJ16=10,12,IF(BJ16=15,18,IF(BJ16=20,24,0)))))</f>
        <v>0</v>
      </c>
      <c r="BK44" s="150">
        <f t="shared" si="132"/>
        <v>0</v>
      </c>
      <c r="BL44" s="150">
        <f t="shared" si="132"/>
        <v>0</v>
      </c>
      <c r="BM44" s="150">
        <f t="shared" si="132"/>
        <v>12</v>
      </c>
      <c r="BN44" s="150">
        <f t="shared" si="132"/>
        <v>0</v>
      </c>
      <c r="BO44" s="150">
        <f t="shared" si="132"/>
        <v>12</v>
      </c>
      <c r="BP44" s="150">
        <f t="shared" si="132"/>
        <v>12</v>
      </c>
      <c r="BQ44" s="150">
        <f t="shared" si="132"/>
        <v>12</v>
      </c>
      <c r="BR44" s="150">
        <f t="shared" si="132"/>
        <v>6</v>
      </c>
      <c r="BS44" s="150">
        <f t="shared" si="132"/>
        <v>0</v>
      </c>
      <c r="BT44" s="150">
        <f t="shared" si="132"/>
        <v>6</v>
      </c>
      <c r="BU44" s="150">
        <f t="shared" si="132"/>
        <v>6</v>
      </c>
      <c r="BV44" s="150"/>
      <c r="BW44" s="150" t="s">
        <v>216</v>
      </c>
      <c r="BX44" s="150">
        <v>0</v>
      </c>
      <c r="BY44" s="150">
        <f t="shared" si="125"/>
        <v>0</v>
      </c>
      <c r="BZ44" s="150">
        <f t="shared" si="125"/>
        <v>0</v>
      </c>
      <c r="CA44" s="150">
        <f t="shared" si="125"/>
        <v>6</v>
      </c>
      <c r="CB44" s="150">
        <f t="shared" si="125"/>
        <v>0</v>
      </c>
      <c r="CC44" s="150">
        <f t="shared" si="125"/>
        <v>12</v>
      </c>
      <c r="CD44" s="150">
        <f t="shared" si="125"/>
        <v>0</v>
      </c>
      <c r="CE44" s="150">
        <f t="shared" si="125"/>
        <v>12</v>
      </c>
      <c r="CF44" s="150">
        <f t="shared" si="125"/>
        <v>6</v>
      </c>
      <c r="CG44" s="150">
        <f t="shared" si="125"/>
        <v>12</v>
      </c>
      <c r="CH44" s="150">
        <f t="shared" si="125"/>
        <v>6</v>
      </c>
      <c r="CI44" s="150">
        <f t="shared" si="125"/>
        <v>6</v>
      </c>
      <c r="CJ44" s="150">
        <f t="shared" si="125"/>
        <v>12</v>
      </c>
      <c r="CK44" s="150"/>
      <c r="CL44" s="150"/>
      <c r="CM44" s="150"/>
      <c r="CN44" s="150" t="s">
        <v>216</v>
      </c>
      <c r="CO44" s="150">
        <v>0</v>
      </c>
      <c r="CP44" s="150">
        <f t="shared" si="126"/>
        <v>6</v>
      </c>
      <c r="CQ44" s="150">
        <f t="shared" si="126"/>
        <v>0</v>
      </c>
      <c r="CR44" s="150">
        <f t="shared" si="126"/>
        <v>12</v>
      </c>
      <c r="CS44" s="150">
        <f t="shared" si="126"/>
        <v>0</v>
      </c>
      <c r="CT44" s="150">
        <f t="shared" si="126"/>
        <v>12</v>
      </c>
      <c r="CU44" s="150">
        <f t="shared" si="126"/>
        <v>12</v>
      </c>
      <c r="CV44" s="150">
        <f t="shared" si="126"/>
        <v>0</v>
      </c>
      <c r="CW44" s="150">
        <f t="shared" si="126"/>
        <v>12</v>
      </c>
      <c r="CX44" s="150">
        <f t="shared" si="126"/>
        <v>6</v>
      </c>
      <c r="CY44" s="150">
        <f t="shared" si="126"/>
        <v>0</v>
      </c>
      <c r="CZ44" s="150">
        <f t="shared" si="126"/>
        <v>6</v>
      </c>
      <c r="DA44" s="150">
        <f t="shared" si="126"/>
        <v>0</v>
      </c>
      <c r="DB44" s="150"/>
      <c r="DC44" s="150" t="s">
        <v>216</v>
      </c>
      <c r="DD44" s="150">
        <v>0</v>
      </c>
      <c r="DE44" s="150">
        <f t="shared" ref="DE44:DP46" si="133">IF(DE16=0,0,IF(DE16=5,6,IF(DE16=10,12,IF(DE16=15,18,IF(DE16=20,24,0)))))</f>
        <v>6</v>
      </c>
      <c r="DF44" s="150">
        <f t="shared" si="133"/>
        <v>0</v>
      </c>
      <c r="DG44" s="150">
        <f t="shared" si="133"/>
        <v>12</v>
      </c>
      <c r="DH44" s="150">
        <f t="shared" si="133"/>
        <v>12</v>
      </c>
      <c r="DI44" s="150">
        <f t="shared" si="133"/>
        <v>0</v>
      </c>
      <c r="DJ44" s="150">
        <f t="shared" si="133"/>
        <v>12</v>
      </c>
      <c r="DK44" s="150">
        <f t="shared" si="133"/>
        <v>6</v>
      </c>
      <c r="DL44" s="150">
        <f t="shared" si="133"/>
        <v>6</v>
      </c>
      <c r="DM44" s="150">
        <f t="shared" si="133"/>
        <v>12</v>
      </c>
      <c r="DN44" s="150">
        <f t="shared" si="133"/>
        <v>6</v>
      </c>
      <c r="DO44" s="150">
        <f t="shared" si="133"/>
        <v>0</v>
      </c>
      <c r="DP44" s="150">
        <f t="shared" si="133"/>
        <v>0</v>
      </c>
      <c r="DQ44" s="181"/>
      <c r="DR44" s="181"/>
      <c r="DS44" s="181"/>
      <c r="DT44" s="150"/>
      <c r="DU44" s="150"/>
      <c r="DV44" s="150"/>
      <c r="DW44" s="150"/>
      <c r="DX44" s="150"/>
      <c r="DY44" s="150"/>
      <c r="DZ44" s="150"/>
      <c r="EA44" s="150"/>
      <c r="EB44" s="150"/>
      <c r="EC44" s="150"/>
      <c r="ED44" s="150"/>
      <c r="EE44" s="150"/>
      <c r="EF44" s="150"/>
      <c r="EG44" s="150"/>
      <c r="EH44" s="150"/>
      <c r="EI44" s="150"/>
      <c r="EJ44" s="155"/>
      <c r="EK44" s="150" t="s">
        <v>522</v>
      </c>
      <c r="EL44" s="150">
        <v>0</v>
      </c>
      <c r="EM44" s="150">
        <f t="shared" ref="EM44:EX44" si="134">EM16/5*6</f>
        <v>0</v>
      </c>
      <c r="EN44" s="150">
        <f t="shared" si="134"/>
        <v>0</v>
      </c>
      <c r="EO44" s="150">
        <f t="shared" si="134"/>
        <v>0</v>
      </c>
      <c r="EP44" s="150">
        <f t="shared" si="134"/>
        <v>12</v>
      </c>
      <c r="EQ44" s="150">
        <f t="shared" si="134"/>
        <v>0</v>
      </c>
      <c r="ER44" s="150">
        <f t="shared" si="134"/>
        <v>12</v>
      </c>
      <c r="ES44" s="150">
        <f t="shared" si="134"/>
        <v>12</v>
      </c>
      <c r="ET44" s="150">
        <f t="shared" si="134"/>
        <v>12</v>
      </c>
      <c r="EU44" s="150">
        <f t="shared" si="134"/>
        <v>6</v>
      </c>
      <c r="EV44" s="150">
        <f t="shared" si="134"/>
        <v>0</v>
      </c>
      <c r="EW44" s="150">
        <f t="shared" si="134"/>
        <v>6</v>
      </c>
      <c r="EX44" s="150">
        <f t="shared" si="134"/>
        <v>6</v>
      </c>
      <c r="EY44" s="150"/>
      <c r="EZ44" s="150" t="s">
        <v>522</v>
      </c>
      <c r="FA44" s="150">
        <v>0</v>
      </c>
      <c r="FB44" s="150">
        <f t="shared" ref="FB44:FM44" si="135">FB16/5*6</f>
        <v>0</v>
      </c>
      <c r="FC44" s="150">
        <f t="shared" si="135"/>
        <v>0</v>
      </c>
      <c r="FD44" s="150">
        <f t="shared" si="135"/>
        <v>6</v>
      </c>
      <c r="FE44" s="150">
        <f t="shared" si="135"/>
        <v>0</v>
      </c>
      <c r="FF44" s="150">
        <f t="shared" si="135"/>
        <v>12</v>
      </c>
      <c r="FG44" s="150">
        <f t="shared" si="135"/>
        <v>0</v>
      </c>
      <c r="FH44" s="150">
        <f t="shared" si="135"/>
        <v>12</v>
      </c>
      <c r="FI44" s="150">
        <f t="shared" si="135"/>
        <v>6</v>
      </c>
      <c r="FJ44" s="150">
        <f t="shared" si="135"/>
        <v>12</v>
      </c>
      <c r="FK44" s="150">
        <f t="shared" si="135"/>
        <v>6</v>
      </c>
      <c r="FL44" s="150">
        <f t="shared" si="135"/>
        <v>6</v>
      </c>
      <c r="FM44" s="150">
        <f t="shared" si="135"/>
        <v>12</v>
      </c>
      <c r="FN44" s="150"/>
      <c r="FO44" s="150" t="s">
        <v>522</v>
      </c>
      <c r="FP44" s="150">
        <v>0</v>
      </c>
      <c r="FQ44" s="150">
        <f t="shared" ref="FQ44:GB44" si="136">FQ16/5*6</f>
        <v>6</v>
      </c>
      <c r="FR44" s="150">
        <f t="shared" si="136"/>
        <v>0</v>
      </c>
      <c r="FS44" s="150">
        <f t="shared" si="136"/>
        <v>12</v>
      </c>
      <c r="FT44" s="150">
        <f t="shared" si="136"/>
        <v>0</v>
      </c>
      <c r="FU44" s="150">
        <f t="shared" si="136"/>
        <v>12</v>
      </c>
      <c r="FV44" s="150">
        <f t="shared" si="136"/>
        <v>12</v>
      </c>
      <c r="FW44" s="150">
        <f t="shared" si="136"/>
        <v>0</v>
      </c>
      <c r="FX44" s="150">
        <f t="shared" si="136"/>
        <v>12</v>
      </c>
      <c r="FY44" s="150">
        <f t="shared" si="136"/>
        <v>6</v>
      </c>
      <c r="FZ44" s="150">
        <f t="shared" si="136"/>
        <v>0</v>
      </c>
      <c r="GA44" s="150">
        <f t="shared" si="136"/>
        <v>6</v>
      </c>
      <c r="GB44" s="150">
        <f t="shared" si="136"/>
        <v>0</v>
      </c>
      <c r="GC44" s="150"/>
      <c r="GD44" s="150" t="s">
        <v>522</v>
      </c>
      <c r="GE44" s="150">
        <v>0</v>
      </c>
      <c r="GF44" s="150">
        <f t="shared" ref="GF44:GQ44" si="137">GF16/5*6</f>
        <v>6</v>
      </c>
      <c r="GG44" s="150">
        <f t="shared" si="137"/>
        <v>0</v>
      </c>
      <c r="GH44" s="150">
        <f t="shared" si="137"/>
        <v>12</v>
      </c>
      <c r="GI44" s="150">
        <f t="shared" si="137"/>
        <v>12</v>
      </c>
      <c r="GJ44" s="150">
        <f t="shared" si="137"/>
        <v>0</v>
      </c>
      <c r="GK44" s="150">
        <f t="shared" si="137"/>
        <v>12</v>
      </c>
      <c r="GL44" s="150">
        <f t="shared" si="137"/>
        <v>6</v>
      </c>
      <c r="GM44" s="150">
        <f t="shared" si="137"/>
        <v>6</v>
      </c>
      <c r="GN44" s="150">
        <f t="shared" si="137"/>
        <v>12</v>
      </c>
      <c r="GO44" s="150">
        <f t="shared" si="137"/>
        <v>6</v>
      </c>
      <c r="GP44" s="150">
        <f t="shared" si="137"/>
        <v>0</v>
      </c>
      <c r="GQ44" s="150">
        <f t="shared" si="137"/>
        <v>0</v>
      </c>
      <c r="GR44" s="150"/>
      <c r="GS44" s="150"/>
      <c r="GT44" s="150"/>
      <c r="GU44" s="150"/>
      <c r="GV44" s="150"/>
      <c r="GW44" s="150"/>
      <c r="GX44" s="150"/>
      <c r="GY44" s="150"/>
      <c r="GZ44" s="150"/>
      <c r="HA44" s="150"/>
      <c r="HB44" s="150"/>
      <c r="HC44" s="150"/>
      <c r="HD44" s="150"/>
      <c r="HE44" s="150"/>
      <c r="HF44" s="150"/>
      <c r="HG44" s="156"/>
      <c r="HH44" s="150"/>
    </row>
    <row r="45" spans="1:216" x14ac:dyDescent="0.25">
      <c r="A45" s="8"/>
      <c r="B45" s="5" t="s">
        <v>116</v>
      </c>
      <c r="C45" s="8"/>
      <c r="D45" s="6" t="str">
        <f>IF(E37=$AC$8,"długość śruby GSW","")</f>
        <v/>
      </c>
      <c r="E45" s="38">
        <v>1600</v>
      </c>
      <c r="F45" s="9"/>
      <c r="G45" s="9"/>
      <c r="H45" s="9"/>
      <c r="I45" s="9"/>
      <c r="J45" s="29" t="str">
        <f>IF(E37=$AC$8,"[mm]","")</f>
        <v/>
      </c>
      <c r="K45" s="9"/>
      <c r="L45" s="6" t="s">
        <v>1111</v>
      </c>
      <c r="M45" s="11">
        <f>INDEX(cennik!$C$2:$L$529,MATCH($L45,cennik!$B$2:$B$522,0),MATCH(M$2,cennik!$C$1:$L$1,0))</f>
        <v>850252</v>
      </c>
      <c r="N45" s="11" t="str">
        <f>INDEX(cennik!$C$2:$L$529,MATCH($L45,cennik!$B$2:$B$522,0),MATCH(N$2,cennik!$C$1:$L$1,0))</f>
        <v>szt.</v>
      </c>
      <c r="O45" s="11">
        <f>O38+O43</f>
        <v>0</v>
      </c>
      <c r="P45" s="34">
        <f>INDEX(cennik!$C$2:$L$529,MATCH($L45,cennik!$B$2:$B$522,0),MATCH(P$2,cennik!$C$1:$L$1,0))</f>
        <v>6.06</v>
      </c>
      <c r="Q45" s="34">
        <f t="shared" si="122"/>
        <v>0</v>
      </c>
      <c r="R45" s="35">
        <f t="shared" si="88"/>
        <v>0</v>
      </c>
      <c r="S45" s="34">
        <f t="shared" si="89"/>
        <v>6.06</v>
      </c>
      <c r="T45" s="34">
        <f t="shared" si="123"/>
        <v>0</v>
      </c>
      <c r="U45" s="34">
        <f>INDEX(cennik!$C$2:$L$529,MATCH($L45,cennik!$B$2:$B$522,0),MATCH(U$2,cennik!$C$1:$L$1,0))*O45</f>
        <v>0</v>
      </c>
      <c r="V45" s="62"/>
      <c r="W45" s="150">
        <f>INDEX(($EL$31:$EX$34,$FA$31:$FM$34,$EL$37:$EX$40,$EL$43:$EX$46,$FA$37:$FM$40,$FA$43:$FM$46,$FP$31:$GB$34,$FP$37:$GB$40,$FP$43:$GB$46,$GE$31:$GQ$34,$GE$37:$GQ$40,$GE$43:$GQ$46,$GT$31:$HF$34,$GT$37:$HF$40),MATCH($L$49,$EK$31:$EK$34,0),MATCH($A44,$EL$30:$EX$30,0),MATCH($E$35,$AE$33:$AE$48,0))*$C44</f>
        <v>0</v>
      </c>
      <c r="X45" s="150">
        <f>INDEX(($EL$31:$EX$34,$FA$31:$FM$34,$EL$37:$EX$40,$EL$43:$EX$46,$FA$37:$FM$40,$FA$43:$FM$46,$FP$31:$GB$34,$FP$37:$GB$40,$FP$43:$GB$46,$GE$31:$GQ$34,$GE$37:$GQ$40,$GE$43:$GQ$46,$GT$31:$HF$34,$GT$37:$HF$40),MATCH($L$46,$EK$31:$EK$34,0),MATCH($A44,$EL$30:$EX$30,0),MATCH($E$35,$AE$33:$AE$48,0))*$C44</f>
        <v>0</v>
      </c>
      <c r="Y45" s="150">
        <f>INDEX(($EL$31:$EX$34,$FA$31:$FM$34,$EL$37:$EX$40,$EL$43:$EX$46,$FA$37:$FM$40,$FA$43:$FM$46,$FP$31:$GB$34,$FP$37:$GB$40,$FP$43:$GB$46,$GE$31:$GQ$34,$GE$37:$GQ$40,$GE$43:$GQ$46,$GT$31:$HF$34,$GT$37:$HF$40),MATCH($L$47,$EK$31:$EK$34,0),MATCH($A44,$EL$30:$EX$30,0),MATCH($E$35,$AE$33:$AE$48,0))*$C44</f>
        <v>0</v>
      </c>
      <c r="Z45" s="150">
        <f>INDEX(($EL$31:$EX$34,$FA$31:$FM$34,$EL$37:$EX$40,$EL$43:$EX$46,$FA$37:$FM$40,$FA$43:$FM$46,$FP$31:$GB$34,$FP$37:$GB$40,$FP$43:$GB$46,$GE$31:$GQ$34,$GE$37:$GQ$40,$GE$43:$GQ$46,$GT$31:$HF$34,$GT$37:$HF$40),MATCH($L$48,$EK$31:$EK$34,0),MATCH($A44,$EL$30:$EX$30,0),MATCH($E$35,$AE$33:$AE$48,0))*$C44</f>
        <v>0</v>
      </c>
      <c r="AA45" s="150">
        <f t="shared" si="75"/>
        <v>0</v>
      </c>
      <c r="AB45" s="150">
        <f t="shared" si="76"/>
        <v>0</v>
      </c>
      <c r="AC45" s="150"/>
      <c r="AD45" s="150"/>
      <c r="AE45" s="150" t="s">
        <v>508</v>
      </c>
      <c r="AF45" s="150">
        <v>2250</v>
      </c>
      <c r="AG45" s="150"/>
      <c r="AH45" s="150"/>
      <c r="AI45" s="150"/>
      <c r="AJ45" s="150"/>
      <c r="AK45" s="150"/>
      <c r="AL45" s="150"/>
      <c r="AM45" s="150"/>
      <c r="AN45" s="150"/>
      <c r="AO45" s="150"/>
      <c r="AP45" s="150"/>
      <c r="AQ45" s="150"/>
      <c r="AR45" s="150" t="s">
        <v>715</v>
      </c>
      <c r="AS45" s="150" t="s">
        <v>593</v>
      </c>
      <c r="AT45" s="150" t="s">
        <v>151</v>
      </c>
      <c r="AU45" s="150" t="s">
        <v>151</v>
      </c>
      <c r="AV45" s="150" t="s">
        <v>151</v>
      </c>
      <c r="AW45" s="150"/>
      <c r="AX45" s="150"/>
      <c r="AY45" s="150"/>
      <c r="AZ45" s="150"/>
      <c r="BA45" s="150"/>
      <c r="BB45" s="150"/>
      <c r="BC45" s="150"/>
      <c r="BD45" s="150"/>
      <c r="BE45" s="150"/>
      <c r="BF45" s="150"/>
      <c r="BG45" s="170">
        <f t="shared" si="58"/>
        <v>1</v>
      </c>
      <c r="BH45" s="150" t="s">
        <v>17</v>
      </c>
      <c r="BI45" s="150">
        <v>0</v>
      </c>
      <c r="BJ45" s="150">
        <f t="shared" si="132"/>
        <v>6</v>
      </c>
      <c r="BK45" s="150">
        <f t="shared" si="132"/>
        <v>0</v>
      </c>
      <c r="BL45" s="150">
        <f t="shared" si="132"/>
        <v>0</v>
      </c>
      <c r="BM45" s="150">
        <f t="shared" si="132"/>
        <v>0</v>
      </c>
      <c r="BN45" s="150">
        <f t="shared" si="132"/>
        <v>6</v>
      </c>
      <c r="BO45" s="150">
        <f t="shared" si="132"/>
        <v>6</v>
      </c>
      <c r="BP45" s="150">
        <f t="shared" si="132"/>
        <v>0</v>
      </c>
      <c r="BQ45" s="150">
        <f t="shared" si="132"/>
        <v>0</v>
      </c>
      <c r="BR45" s="150">
        <f t="shared" si="132"/>
        <v>0</v>
      </c>
      <c r="BS45" s="150">
        <f t="shared" si="132"/>
        <v>0</v>
      </c>
      <c r="BT45" s="150">
        <f t="shared" si="132"/>
        <v>6</v>
      </c>
      <c r="BU45" s="150">
        <f t="shared" si="132"/>
        <v>0</v>
      </c>
      <c r="BV45" s="150"/>
      <c r="BW45" s="150" t="s">
        <v>17</v>
      </c>
      <c r="BX45" s="150">
        <v>0</v>
      </c>
      <c r="BY45" s="150">
        <f t="shared" si="125"/>
        <v>6</v>
      </c>
      <c r="BZ45" s="150">
        <f t="shared" si="125"/>
        <v>0</v>
      </c>
      <c r="CA45" s="150">
        <f t="shared" si="125"/>
        <v>6</v>
      </c>
      <c r="CB45" s="150">
        <f t="shared" si="125"/>
        <v>6</v>
      </c>
      <c r="CC45" s="150">
        <f t="shared" si="125"/>
        <v>6</v>
      </c>
      <c r="CD45" s="150">
        <f t="shared" si="125"/>
        <v>0</v>
      </c>
      <c r="CE45" s="150">
        <f t="shared" si="125"/>
        <v>0</v>
      </c>
      <c r="CF45" s="150">
        <f t="shared" si="125"/>
        <v>0</v>
      </c>
      <c r="CG45" s="150">
        <f t="shared" si="125"/>
        <v>6</v>
      </c>
      <c r="CH45" s="150">
        <f t="shared" si="125"/>
        <v>6</v>
      </c>
      <c r="CI45" s="150">
        <f t="shared" si="125"/>
        <v>0</v>
      </c>
      <c r="CJ45" s="150">
        <f t="shared" si="125"/>
        <v>6</v>
      </c>
      <c r="CK45" s="150"/>
      <c r="CL45" s="150"/>
      <c r="CM45" s="150"/>
      <c r="CN45" s="150" t="s">
        <v>17</v>
      </c>
      <c r="CO45" s="150">
        <v>0</v>
      </c>
      <c r="CP45" s="150">
        <f t="shared" si="126"/>
        <v>0</v>
      </c>
      <c r="CQ45" s="150">
        <f t="shared" si="126"/>
        <v>0</v>
      </c>
      <c r="CR45" s="150">
        <f t="shared" si="126"/>
        <v>0</v>
      </c>
      <c r="CS45" s="150">
        <f t="shared" si="126"/>
        <v>6</v>
      </c>
      <c r="CT45" s="150">
        <f t="shared" si="126"/>
        <v>6</v>
      </c>
      <c r="CU45" s="150">
        <f t="shared" si="126"/>
        <v>0</v>
      </c>
      <c r="CV45" s="150">
        <f t="shared" si="126"/>
        <v>6</v>
      </c>
      <c r="CW45" s="150">
        <f t="shared" si="126"/>
        <v>6</v>
      </c>
      <c r="CX45" s="150">
        <f t="shared" si="126"/>
        <v>6</v>
      </c>
      <c r="CY45" s="150">
        <f t="shared" si="126"/>
        <v>6</v>
      </c>
      <c r="CZ45" s="150">
        <f t="shared" si="126"/>
        <v>0</v>
      </c>
      <c r="DA45" s="150">
        <f t="shared" si="126"/>
        <v>0</v>
      </c>
      <c r="DB45" s="150"/>
      <c r="DC45" s="150" t="s">
        <v>17</v>
      </c>
      <c r="DD45" s="150">
        <v>0</v>
      </c>
      <c r="DE45" s="150">
        <f t="shared" si="133"/>
        <v>0</v>
      </c>
      <c r="DF45" s="150">
        <f t="shared" si="133"/>
        <v>0</v>
      </c>
      <c r="DG45" s="150">
        <f t="shared" si="133"/>
        <v>0</v>
      </c>
      <c r="DH45" s="150">
        <f t="shared" si="133"/>
        <v>6</v>
      </c>
      <c r="DI45" s="150">
        <f t="shared" si="133"/>
        <v>0</v>
      </c>
      <c r="DJ45" s="150">
        <f t="shared" si="133"/>
        <v>0</v>
      </c>
      <c r="DK45" s="150">
        <f t="shared" si="133"/>
        <v>0</v>
      </c>
      <c r="DL45" s="150">
        <f t="shared" si="133"/>
        <v>6</v>
      </c>
      <c r="DM45" s="150">
        <f t="shared" si="133"/>
        <v>0</v>
      </c>
      <c r="DN45" s="150">
        <f t="shared" si="133"/>
        <v>0</v>
      </c>
      <c r="DO45" s="150">
        <f t="shared" si="133"/>
        <v>0</v>
      </c>
      <c r="DP45" s="150">
        <f t="shared" si="133"/>
        <v>6</v>
      </c>
      <c r="DQ45" s="181"/>
      <c r="DR45" s="181"/>
      <c r="DS45" s="181"/>
      <c r="DT45" s="150"/>
      <c r="DU45" s="150"/>
      <c r="DV45" s="150"/>
      <c r="DW45" s="150"/>
      <c r="DX45" s="150"/>
      <c r="DY45" s="150"/>
      <c r="DZ45" s="150"/>
      <c r="EA45" s="150"/>
      <c r="EB45" s="150"/>
      <c r="EC45" s="150"/>
      <c r="ED45" s="150"/>
      <c r="EE45" s="150"/>
      <c r="EF45" s="150"/>
      <c r="EG45" s="150"/>
      <c r="EH45" s="150"/>
      <c r="EI45" s="150"/>
      <c r="EJ45" s="155"/>
      <c r="EK45" s="150" t="s">
        <v>523</v>
      </c>
      <c r="EL45" s="150">
        <v>0</v>
      </c>
      <c r="EM45" s="150">
        <f t="shared" ref="EM45:EX45" si="138">EM17/5*6</f>
        <v>6</v>
      </c>
      <c r="EN45" s="150">
        <f t="shared" si="138"/>
        <v>0</v>
      </c>
      <c r="EO45" s="150">
        <f t="shared" si="138"/>
        <v>0</v>
      </c>
      <c r="EP45" s="150">
        <f t="shared" si="138"/>
        <v>0</v>
      </c>
      <c r="EQ45" s="150">
        <f t="shared" si="138"/>
        <v>18</v>
      </c>
      <c r="ER45" s="150">
        <f t="shared" si="138"/>
        <v>6</v>
      </c>
      <c r="ES45" s="150">
        <f t="shared" si="138"/>
        <v>12</v>
      </c>
      <c r="ET45" s="150">
        <f t="shared" si="138"/>
        <v>12</v>
      </c>
      <c r="EU45" s="150">
        <f t="shared" si="138"/>
        <v>24</v>
      </c>
      <c r="EV45" s="150">
        <f t="shared" si="138"/>
        <v>36</v>
      </c>
      <c r="EW45" s="150">
        <f t="shared" si="138"/>
        <v>30</v>
      </c>
      <c r="EX45" s="150">
        <f t="shared" si="138"/>
        <v>36</v>
      </c>
      <c r="EY45" s="150"/>
      <c r="EZ45" s="150" t="s">
        <v>523</v>
      </c>
      <c r="FA45" s="150">
        <v>0</v>
      </c>
      <c r="FB45" s="150">
        <f t="shared" ref="FB45:FM45" si="139">FB17/5*6</f>
        <v>6</v>
      </c>
      <c r="FC45" s="150">
        <f t="shared" si="139"/>
        <v>0</v>
      </c>
      <c r="FD45" s="150">
        <f t="shared" si="139"/>
        <v>6</v>
      </c>
      <c r="FE45" s="150">
        <f t="shared" si="139"/>
        <v>18</v>
      </c>
      <c r="FF45" s="150">
        <f t="shared" si="139"/>
        <v>6</v>
      </c>
      <c r="FG45" s="150">
        <f t="shared" si="139"/>
        <v>24</v>
      </c>
      <c r="FH45" s="150">
        <f t="shared" si="139"/>
        <v>12</v>
      </c>
      <c r="FI45" s="150">
        <f t="shared" si="139"/>
        <v>24</v>
      </c>
      <c r="FJ45" s="150">
        <f t="shared" si="139"/>
        <v>18</v>
      </c>
      <c r="FK45" s="150">
        <f t="shared" si="139"/>
        <v>30</v>
      </c>
      <c r="FL45" s="150">
        <f t="shared" si="139"/>
        <v>36</v>
      </c>
      <c r="FM45" s="150">
        <f t="shared" si="139"/>
        <v>30</v>
      </c>
      <c r="FN45" s="150"/>
      <c r="FO45" s="150" t="s">
        <v>523</v>
      </c>
      <c r="FP45" s="150">
        <v>0</v>
      </c>
      <c r="FQ45" s="150">
        <f t="shared" ref="FQ45:GB45" si="140">FQ17/5*6</f>
        <v>0</v>
      </c>
      <c r="FR45" s="150">
        <f t="shared" si="140"/>
        <v>0</v>
      </c>
      <c r="FS45" s="150">
        <f t="shared" si="140"/>
        <v>0</v>
      </c>
      <c r="FT45" s="150">
        <f t="shared" si="140"/>
        <v>18</v>
      </c>
      <c r="FU45" s="150">
        <f t="shared" si="140"/>
        <v>6</v>
      </c>
      <c r="FV45" s="150">
        <f t="shared" si="140"/>
        <v>12</v>
      </c>
      <c r="FW45" s="150">
        <f t="shared" si="140"/>
        <v>30</v>
      </c>
      <c r="FX45" s="150">
        <f t="shared" si="140"/>
        <v>18</v>
      </c>
      <c r="FY45" s="150">
        <f t="shared" si="140"/>
        <v>30</v>
      </c>
      <c r="FZ45" s="150">
        <f t="shared" si="140"/>
        <v>42</v>
      </c>
      <c r="GA45" s="150">
        <f t="shared" si="140"/>
        <v>36</v>
      </c>
      <c r="GB45" s="150">
        <f t="shared" si="140"/>
        <v>48</v>
      </c>
      <c r="GC45" s="150"/>
      <c r="GD45" s="150" t="s">
        <v>523</v>
      </c>
      <c r="GE45" s="150">
        <v>0</v>
      </c>
      <c r="GF45" s="150">
        <f t="shared" ref="GF45:GQ45" si="141">GF17/5*6</f>
        <v>0</v>
      </c>
      <c r="GG45" s="150">
        <f t="shared" si="141"/>
        <v>0</v>
      </c>
      <c r="GH45" s="150">
        <f t="shared" si="141"/>
        <v>0</v>
      </c>
      <c r="GI45" s="150">
        <f t="shared" si="141"/>
        <v>6</v>
      </c>
      <c r="GJ45" s="150">
        <f t="shared" si="141"/>
        <v>24</v>
      </c>
      <c r="GK45" s="150">
        <f t="shared" si="141"/>
        <v>12</v>
      </c>
      <c r="GL45" s="150">
        <f t="shared" si="141"/>
        <v>24</v>
      </c>
      <c r="GM45" s="150">
        <f t="shared" si="141"/>
        <v>30</v>
      </c>
      <c r="GN45" s="150">
        <f t="shared" si="141"/>
        <v>24</v>
      </c>
      <c r="GO45" s="150">
        <f t="shared" si="141"/>
        <v>36</v>
      </c>
      <c r="GP45" s="150">
        <f t="shared" si="141"/>
        <v>48</v>
      </c>
      <c r="GQ45" s="150">
        <f t="shared" si="141"/>
        <v>54</v>
      </c>
      <c r="GR45" s="150"/>
      <c r="GS45" s="150"/>
      <c r="GT45" s="150"/>
      <c r="GU45" s="150"/>
      <c r="GV45" s="150"/>
      <c r="GW45" s="150"/>
      <c r="GX45" s="150"/>
      <c r="GY45" s="150"/>
      <c r="GZ45" s="150"/>
      <c r="HA45" s="150"/>
      <c r="HB45" s="150"/>
      <c r="HC45" s="150"/>
      <c r="HD45" s="150"/>
      <c r="HE45" s="150"/>
      <c r="HF45" s="150"/>
      <c r="HG45" s="156"/>
      <c r="HH45" s="150"/>
    </row>
    <row r="46" spans="1:216" x14ac:dyDescent="0.25">
      <c r="A46" s="8"/>
      <c r="B46" s="5" t="s">
        <v>116</v>
      </c>
      <c r="C46" s="8"/>
      <c r="D46" s="40" t="s">
        <v>795</v>
      </c>
      <c r="E46" s="9"/>
      <c r="F46" s="9"/>
      <c r="G46" s="9"/>
      <c r="H46" s="9"/>
      <c r="I46" s="9"/>
      <c r="J46" s="9"/>
      <c r="K46" s="9"/>
      <c r="L46" s="6" t="s">
        <v>586</v>
      </c>
      <c r="M46" s="11">
        <f>INDEX(cennik!$C$2:$L$529,MATCH($L46,cennik!$B$2:$B$522,0),MATCH(M$2,cennik!$C$1:$L$1,0))</f>
        <v>867566</v>
      </c>
      <c r="N46" s="11" t="str">
        <f>INDEX(cennik!$C$2:$L$529,MATCH($L46,cennik!$B$2:$B$522,0),MATCH(N$2,cennik!$C$1:$L$1,0))</f>
        <v>szt.</v>
      </c>
      <c r="O46" s="11">
        <f>SUM(X35:X50)</f>
        <v>0</v>
      </c>
      <c r="P46" s="34">
        <f>INDEX(cennik!$C$2:$L$529,MATCH($L46,cennik!$B$2:$B$522,0),MATCH(P$2,cennik!$C$1:$L$1,0))</f>
        <v>265.20999999999998</v>
      </c>
      <c r="Q46" s="34">
        <f t="shared" ref="Q46:Q60" si="142">O46*P46</f>
        <v>0</v>
      </c>
      <c r="R46" s="35">
        <f t="shared" si="88"/>
        <v>0</v>
      </c>
      <c r="S46" s="34">
        <f t="shared" si="89"/>
        <v>265.20999999999998</v>
      </c>
      <c r="T46" s="34">
        <f t="shared" ref="T46:T60" si="143">O46*S46</f>
        <v>0</v>
      </c>
      <c r="U46" s="34">
        <f>INDEX(cennik!$C$2:$L$529,MATCH($L46,cennik!$B$2:$B$522,0),MATCH(U$2,cennik!$C$1:$L$1,0))*O46</f>
        <v>0</v>
      </c>
      <c r="V46" s="62"/>
      <c r="W46" s="150">
        <f>INDEX(($EL$31:$EX$34,$FA$31:$FM$34,$EL$37:$EX$40,$EL$43:$EX$46,$FA$37:$FM$40,$FA$43:$FM$46,$FP$31:$GB$34,$FP$37:$GB$40,$FP$43:$GB$46,$GE$31:$GQ$34,$GE$37:$GQ$40,$GE$43:$GQ$46,$GT$31:$HF$34,$GT$37:$HF$40),MATCH($L$49,$EK$31:$EK$34,0),MATCH($A45,$EL$30:$EX$30,0),MATCH($E$35,$AE$33:$AE$48,0))*$C45</f>
        <v>0</v>
      </c>
      <c r="X46" s="150">
        <f>INDEX(($EL$31:$EX$34,$FA$31:$FM$34,$EL$37:$EX$40,$EL$43:$EX$46,$FA$37:$FM$40,$FA$43:$FM$46,$FP$31:$GB$34,$FP$37:$GB$40,$FP$43:$GB$46,$GE$31:$GQ$34,$GE$37:$GQ$40,$GE$43:$GQ$46,$GT$31:$HF$34,$GT$37:$HF$40),MATCH($L$46,$EK$31:$EK$34,0),MATCH($A45,$EL$30:$EX$30,0),MATCH($E$35,$AE$33:$AE$48,0))*$C45</f>
        <v>0</v>
      </c>
      <c r="Y46" s="150">
        <f>INDEX(($EL$31:$EX$34,$FA$31:$FM$34,$EL$37:$EX$40,$EL$43:$EX$46,$FA$37:$FM$40,$FA$43:$FM$46,$FP$31:$GB$34,$FP$37:$GB$40,$FP$43:$GB$46,$GE$31:$GQ$34,$GE$37:$GQ$40,$GE$43:$GQ$46,$GT$31:$HF$34,$GT$37:$HF$40),MATCH($L$47,$EK$31:$EK$34,0),MATCH($A45,$EL$30:$EX$30,0),MATCH($E$35,$AE$33:$AE$48,0))*$C45</f>
        <v>0</v>
      </c>
      <c r="Z46" s="150">
        <f>INDEX(($EL$31:$EX$34,$FA$31:$FM$34,$EL$37:$EX$40,$EL$43:$EX$46,$FA$37:$FM$40,$FA$43:$FM$46,$FP$31:$GB$34,$FP$37:$GB$40,$FP$43:$GB$46,$GE$31:$GQ$34,$GE$37:$GQ$40,$GE$43:$GQ$46,$GT$31:$HF$34,$GT$37:$HF$40),MATCH($L$48,$EK$31:$EK$34,0),MATCH($A45,$EL$30:$EX$30,0),MATCH($E$35,$AE$33:$AE$48,0))*$C45</f>
        <v>0</v>
      </c>
      <c r="AA46" s="150">
        <f t="shared" si="75"/>
        <v>0</v>
      </c>
      <c r="AB46" s="150">
        <f t="shared" si="76"/>
        <v>0</v>
      </c>
      <c r="AC46" s="150"/>
      <c r="AD46" s="150"/>
      <c r="AE46" s="150" t="s">
        <v>507</v>
      </c>
      <c r="AF46" s="150">
        <v>2300</v>
      </c>
      <c r="AG46" s="150"/>
      <c r="AH46" s="150"/>
      <c r="AI46" s="150"/>
      <c r="AJ46" s="150"/>
      <c r="AK46" s="150"/>
      <c r="AL46" s="150"/>
      <c r="AM46" s="150"/>
      <c r="AN46" s="150"/>
      <c r="AO46" s="150"/>
      <c r="AP46" s="150"/>
      <c r="AQ46" s="150"/>
      <c r="AR46" s="150"/>
      <c r="AS46" s="150"/>
      <c r="AT46" s="150"/>
      <c r="AU46" s="150"/>
      <c r="AV46" s="150"/>
      <c r="AW46" s="150"/>
      <c r="AX46" s="150"/>
      <c r="AY46" s="150"/>
      <c r="AZ46" s="150"/>
      <c r="BA46" s="150"/>
      <c r="BB46" s="150"/>
      <c r="BC46" s="150"/>
      <c r="BD46" s="150"/>
      <c r="BE46" s="150"/>
      <c r="BF46" s="150"/>
      <c r="BG46" s="170"/>
      <c r="BH46" s="158" t="s">
        <v>779</v>
      </c>
      <c r="BI46" s="158">
        <v>0</v>
      </c>
      <c r="BJ46" s="150">
        <f t="shared" si="132"/>
        <v>0</v>
      </c>
      <c r="BK46" s="150">
        <f t="shared" si="132"/>
        <v>0</v>
      </c>
      <c r="BL46" s="150">
        <f t="shared" si="132"/>
        <v>0</v>
      </c>
      <c r="BM46" s="150">
        <f t="shared" si="132"/>
        <v>6</v>
      </c>
      <c r="BN46" s="150">
        <f t="shared" si="132"/>
        <v>6</v>
      </c>
      <c r="BO46" s="150">
        <f t="shared" si="132"/>
        <v>12</v>
      </c>
      <c r="BP46" s="150">
        <f t="shared" si="132"/>
        <v>12</v>
      </c>
      <c r="BQ46" s="150">
        <f t="shared" si="132"/>
        <v>12</v>
      </c>
      <c r="BR46" s="150">
        <f t="shared" si="132"/>
        <v>12</v>
      </c>
      <c r="BS46" s="150">
        <f t="shared" si="132"/>
        <v>12</v>
      </c>
      <c r="BT46" s="150">
        <f t="shared" si="132"/>
        <v>18</v>
      </c>
      <c r="BU46" s="150">
        <f t="shared" si="132"/>
        <v>18</v>
      </c>
      <c r="BV46" s="150"/>
      <c r="BW46" s="158" t="s">
        <v>779</v>
      </c>
      <c r="BX46" s="150">
        <v>0</v>
      </c>
      <c r="BY46" s="150">
        <f t="shared" si="125"/>
        <v>0</v>
      </c>
      <c r="BZ46" s="150">
        <f t="shared" si="125"/>
        <v>0</v>
      </c>
      <c r="CA46" s="150">
        <f t="shared" si="125"/>
        <v>6</v>
      </c>
      <c r="CB46" s="150">
        <f t="shared" si="125"/>
        <v>6</v>
      </c>
      <c r="CC46" s="150">
        <f t="shared" si="125"/>
        <v>12</v>
      </c>
      <c r="CD46" s="150">
        <f t="shared" si="125"/>
        <v>6</v>
      </c>
      <c r="CE46" s="150">
        <f t="shared" si="125"/>
        <v>12</v>
      </c>
      <c r="CF46" s="150">
        <f t="shared" si="125"/>
        <v>12</v>
      </c>
      <c r="CG46" s="150">
        <f t="shared" si="125"/>
        <v>18</v>
      </c>
      <c r="CH46" s="150">
        <f t="shared" si="125"/>
        <v>18</v>
      </c>
      <c r="CI46" s="150">
        <f t="shared" si="125"/>
        <v>18</v>
      </c>
      <c r="CJ46" s="150">
        <f t="shared" si="125"/>
        <v>24</v>
      </c>
      <c r="CK46" s="150"/>
      <c r="CL46" s="150"/>
      <c r="CM46" s="150"/>
      <c r="CN46" s="158" t="s">
        <v>779</v>
      </c>
      <c r="CO46" s="158">
        <v>0</v>
      </c>
      <c r="CP46" s="150">
        <f t="shared" si="126"/>
        <v>0</v>
      </c>
      <c r="CQ46" s="150">
        <f t="shared" si="126"/>
        <v>0</v>
      </c>
      <c r="CR46" s="150">
        <f t="shared" si="126"/>
        <v>6</v>
      </c>
      <c r="CS46" s="150">
        <f t="shared" si="126"/>
        <v>6</v>
      </c>
      <c r="CT46" s="150">
        <f t="shared" si="126"/>
        <v>12</v>
      </c>
      <c r="CU46" s="150">
        <f t="shared" si="126"/>
        <v>12</v>
      </c>
      <c r="CV46" s="150">
        <f t="shared" si="126"/>
        <v>12</v>
      </c>
      <c r="CW46" s="150">
        <f t="shared" si="126"/>
        <v>18</v>
      </c>
      <c r="CX46" s="150">
        <f t="shared" si="126"/>
        <v>18</v>
      </c>
      <c r="CY46" s="150">
        <f t="shared" si="126"/>
        <v>18</v>
      </c>
      <c r="CZ46" s="150">
        <f t="shared" si="126"/>
        <v>18</v>
      </c>
      <c r="DA46" s="150">
        <f t="shared" si="126"/>
        <v>18</v>
      </c>
      <c r="DB46" s="150"/>
      <c r="DC46" s="158" t="s">
        <v>779</v>
      </c>
      <c r="DD46" s="150">
        <v>0</v>
      </c>
      <c r="DE46" s="150">
        <f t="shared" si="133"/>
        <v>0</v>
      </c>
      <c r="DF46" s="150">
        <f t="shared" si="133"/>
        <v>0</v>
      </c>
      <c r="DG46" s="150">
        <f t="shared" si="133"/>
        <v>6</v>
      </c>
      <c r="DH46" s="150">
        <f t="shared" si="133"/>
        <v>12</v>
      </c>
      <c r="DI46" s="150">
        <f t="shared" si="133"/>
        <v>6</v>
      </c>
      <c r="DJ46" s="150">
        <f t="shared" si="133"/>
        <v>12</v>
      </c>
      <c r="DK46" s="150">
        <f t="shared" si="133"/>
        <v>12</v>
      </c>
      <c r="DL46" s="150">
        <f t="shared" si="133"/>
        <v>18</v>
      </c>
      <c r="DM46" s="150">
        <f t="shared" si="133"/>
        <v>18</v>
      </c>
      <c r="DN46" s="150">
        <f t="shared" si="133"/>
        <v>18</v>
      </c>
      <c r="DO46" s="150">
        <f t="shared" si="133"/>
        <v>18</v>
      </c>
      <c r="DP46" s="150">
        <f t="shared" si="133"/>
        <v>24</v>
      </c>
      <c r="DQ46" s="181"/>
      <c r="DR46" s="181"/>
      <c r="DS46" s="181"/>
      <c r="DT46" s="150"/>
      <c r="DU46" s="150"/>
      <c r="DV46" s="150"/>
      <c r="DW46" s="150"/>
      <c r="DX46" s="150"/>
      <c r="DY46" s="150"/>
      <c r="DZ46" s="150"/>
      <c r="EA46" s="150"/>
      <c r="EB46" s="150"/>
      <c r="EC46" s="150"/>
      <c r="ED46" s="150"/>
      <c r="EE46" s="150"/>
      <c r="EF46" s="150"/>
      <c r="EG46" s="150"/>
      <c r="EH46" s="150"/>
      <c r="EI46" s="150"/>
      <c r="EJ46" s="155"/>
      <c r="EK46" s="158" t="s">
        <v>779</v>
      </c>
      <c r="EL46" s="150">
        <v>0</v>
      </c>
      <c r="EM46" s="150">
        <f t="shared" ref="EM46:EX46" si="144">EM18/5*6</f>
        <v>0</v>
      </c>
      <c r="EN46" s="150">
        <f t="shared" si="144"/>
        <v>0</v>
      </c>
      <c r="EO46" s="150">
        <f t="shared" si="144"/>
        <v>0</v>
      </c>
      <c r="EP46" s="150">
        <f t="shared" si="144"/>
        <v>6</v>
      </c>
      <c r="EQ46" s="150">
        <f t="shared" si="144"/>
        <v>12</v>
      </c>
      <c r="ER46" s="150">
        <f t="shared" si="144"/>
        <v>12</v>
      </c>
      <c r="ES46" s="150">
        <f t="shared" si="144"/>
        <v>18</v>
      </c>
      <c r="ET46" s="150">
        <f t="shared" si="144"/>
        <v>18</v>
      </c>
      <c r="EU46" s="150">
        <f t="shared" si="144"/>
        <v>24</v>
      </c>
      <c r="EV46" s="150">
        <f t="shared" si="144"/>
        <v>30</v>
      </c>
      <c r="EW46" s="150">
        <f t="shared" si="144"/>
        <v>30</v>
      </c>
      <c r="EX46" s="150">
        <f t="shared" si="144"/>
        <v>36</v>
      </c>
      <c r="EY46" s="150"/>
      <c r="EZ46" s="158" t="s">
        <v>779</v>
      </c>
      <c r="FA46" s="150">
        <v>0</v>
      </c>
      <c r="FB46" s="150">
        <f t="shared" ref="FB46:FM46" si="145">FB18/5*6</f>
        <v>0</v>
      </c>
      <c r="FC46" s="150">
        <f t="shared" si="145"/>
        <v>0</v>
      </c>
      <c r="FD46" s="150">
        <f t="shared" si="145"/>
        <v>6</v>
      </c>
      <c r="FE46" s="150">
        <f t="shared" si="145"/>
        <v>12</v>
      </c>
      <c r="FF46" s="150">
        <f t="shared" si="145"/>
        <v>12</v>
      </c>
      <c r="FG46" s="150">
        <f t="shared" si="145"/>
        <v>18</v>
      </c>
      <c r="FH46" s="150">
        <f t="shared" si="145"/>
        <v>18</v>
      </c>
      <c r="FI46" s="150">
        <f t="shared" si="145"/>
        <v>24</v>
      </c>
      <c r="FJ46" s="150">
        <f t="shared" si="145"/>
        <v>24</v>
      </c>
      <c r="FK46" s="150">
        <f t="shared" si="145"/>
        <v>30</v>
      </c>
      <c r="FL46" s="150">
        <f t="shared" si="145"/>
        <v>36</v>
      </c>
      <c r="FM46" s="150">
        <f t="shared" si="145"/>
        <v>36</v>
      </c>
      <c r="FN46" s="150"/>
      <c r="FO46" s="158" t="s">
        <v>779</v>
      </c>
      <c r="FP46" s="150">
        <v>0</v>
      </c>
      <c r="FQ46" s="150">
        <f t="shared" ref="FQ46:GB46" si="146">FQ18/5*6</f>
        <v>0</v>
      </c>
      <c r="FR46" s="150">
        <f t="shared" si="146"/>
        <v>0</v>
      </c>
      <c r="FS46" s="150">
        <f t="shared" si="146"/>
        <v>6</v>
      </c>
      <c r="FT46" s="150">
        <f t="shared" si="146"/>
        <v>12</v>
      </c>
      <c r="FU46" s="150">
        <f t="shared" si="146"/>
        <v>12</v>
      </c>
      <c r="FV46" s="150">
        <f t="shared" si="146"/>
        <v>18</v>
      </c>
      <c r="FW46" s="150">
        <f t="shared" si="146"/>
        <v>24</v>
      </c>
      <c r="FX46" s="150">
        <f t="shared" si="146"/>
        <v>24</v>
      </c>
      <c r="FY46" s="150">
        <f t="shared" si="146"/>
        <v>30</v>
      </c>
      <c r="FZ46" s="150">
        <f t="shared" si="146"/>
        <v>36</v>
      </c>
      <c r="GA46" s="150">
        <f t="shared" si="146"/>
        <v>36</v>
      </c>
      <c r="GB46" s="150">
        <f t="shared" si="146"/>
        <v>42</v>
      </c>
      <c r="GC46" s="150"/>
      <c r="GD46" s="158" t="s">
        <v>779</v>
      </c>
      <c r="GE46" s="150">
        <v>0</v>
      </c>
      <c r="GF46" s="150">
        <f t="shared" ref="GF46:GQ46" si="147">GF18/5*6</f>
        <v>0</v>
      </c>
      <c r="GG46" s="150">
        <f t="shared" si="147"/>
        <v>0</v>
      </c>
      <c r="GH46" s="150">
        <f t="shared" si="147"/>
        <v>6</v>
      </c>
      <c r="GI46" s="150">
        <f t="shared" si="147"/>
        <v>12</v>
      </c>
      <c r="GJ46" s="150">
        <f t="shared" si="147"/>
        <v>18</v>
      </c>
      <c r="GK46" s="150">
        <f t="shared" si="147"/>
        <v>18</v>
      </c>
      <c r="GL46" s="150">
        <f t="shared" si="147"/>
        <v>24</v>
      </c>
      <c r="GM46" s="150">
        <f t="shared" si="147"/>
        <v>30</v>
      </c>
      <c r="GN46" s="150">
        <f t="shared" si="147"/>
        <v>30</v>
      </c>
      <c r="GO46" s="150">
        <f t="shared" si="147"/>
        <v>36</v>
      </c>
      <c r="GP46" s="150">
        <f t="shared" si="147"/>
        <v>42</v>
      </c>
      <c r="GQ46" s="150">
        <f t="shared" si="147"/>
        <v>48</v>
      </c>
      <c r="GR46" s="150"/>
      <c r="GS46" s="150"/>
      <c r="GT46" s="150"/>
      <c r="GU46" s="150"/>
      <c r="GV46" s="150"/>
      <c r="GW46" s="150"/>
      <c r="GX46" s="150"/>
      <c r="GY46" s="150"/>
      <c r="GZ46" s="150"/>
      <c r="HA46" s="150"/>
      <c r="HB46" s="150"/>
      <c r="HC46" s="150"/>
      <c r="HD46" s="150"/>
      <c r="HE46" s="150"/>
      <c r="HF46" s="150"/>
      <c r="HG46" s="156"/>
      <c r="HH46" s="150"/>
    </row>
    <row r="47" spans="1:216" x14ac:dyDescent="0.25">
      <c r="A47" s="8"/>
      <c r="B47" s="5" t="s">
        <v>116</v>
      </c>
      <c r="C47" s="8"/>
      <c r="D47" s="40" t="s">
        <v>796</v>
      </c>
      <c r="E47" s="9"/>
      <c r="F47" s="9"/>
      <c r="G47" s="9"/>
      <c r="H47" s="9"/>
      <c r="I47" s="9"/>
      <c r="J47" s="9"/>
      <c r="K47" s="9"/>
      <c r="L47" s="6" t="s">
        <v>522</v>
      </c>
      <c r="M47" s="11">
        <f>INDEX(cennik!$C$2:$L$529,MATCH($L47,cennik!$B$2:$B$522,0),MATCH(M$2,cennik!$C$1:$L$1,0))</f>
        <v>867644</v>
      </c>
      <c r="N47" s="11" t="str">
        <f>INDEX(cennik!$C$2:$L$529,MATCH($L47,cennik!$B$2:$B$522,0),MATCH(N$2,cennik!$C$1:$L$1,0))</f>
        <v>szt.</v>
      </c>
      <c r="O47" s="11">
        <f>SUM(Y35:Y50)</f>
        <v>0</v>
      </c>
      <c r="P47" s="34">
        <f>INDEX(cennik!$C$2:$L$529,MATCH($L47,cennik!$B$2:$B$522,0),MATCH(P$2,cennik!$C$1:$L$1,0))</f>
        <v>176.8</v>
      </c>
      <c r="Q47" s="34">
        <f t="shared" si="142"/>
        <v>0</v>
      </c>
      <c r="R47" s="35">
        <f t="shared" si="88"/>
        <v>0</v>
      </c>
      <c r="S47" s="34">
        <f t="shared" si="89"/>
        <v>176.8</v>
      </c>
      <c r="T47" s="34">
        <f t="shared" si="143"/>
        <v>0</v>
      </c>
      <c r="U47" s="34">
        <f>INDEX(cennik!$C$2:$L$529,MATCH($L47,cennik!$B$2:$B$522,0),MATCH(U$2,cennik!$C$1:$L$1,0))*O47</f>
        <v>0</v>
      </c>
      <c r="V47" s="62"/>
      <c r="W47" s="150">
        <f>INDEX(($EL$31:$EX$34,$FA$31:$FM$34,$EL$37:$EX$40,$EL$43:$EX$46,$FA$37:$FM$40,$FA$43:$FM$46,$FP$31:$GB$34,$FP$37:$GB$40,$FP$43:$GB$46,$GE$31:$GQ$34,$GE$37:$GQ$40,$GE$43:$GQ$46,$GT$31:$HF$34,$GT$37:$HF$40),MATCH($L$49,$EK$31:$EK$34,0),MATCH($A46,$EL$30:$EX$30,0),MATCH($E$35,$AE$33:$AE$48,0))*$C46</f>
        <v>0</v>
      </c>
      <c r="X47" s="150">
        <f>INDEX(($EL$31:$EX$34,$FA$31:$FM$34,$EL$37:$EX$40,$EL$43:$EX$46,$FA$37:$FM$40,$FA$43:$FM$46,$FP$31:$GB$34,$FP$37:$GB$40,$FP$43:$GB$46,$GE$31:$GQ$34,$GE$37:$GQ$40,$GE$43:$GQ$46,$GT$31:$HF$34,$GT$37:$HF$40),MATCH($L$46,$EK$31:$EK$34,0),MATCH($A46,$EL$30:$EX$30,0),MATCH($E$35,$AE$33:$AE$48,0))*$C46</f>
        <v>0</v>
      </c>
      <c r="Y47" s="150">
        <f>INDEX(($EL$31:$EX$34,$FA$31:$FM$34,$EL$37:$EX$40,$EL$43:$EX$46,$FA$37:$FM$40,$FA$43:$FM$46,$FP$31:$GB$34,$FP$37:$GB$40,$FP$43:$GB$46,$GE$31:$GQ$34,$GE$37:$GQ$40,$GE$43:$GQ$46,$GT$31:$HF$34,$GT$37:$HF$40),MATCH($L$47,$EK$31:$EK$34,0),MATCH($A46,$EL$30:$EX$30,0),MATCH($E$35,$AE$33:$AE$48,0))*$C46</f>
        <v>0</v>
      </c>
      <c r="Z47" s="150">
        <f>INDEX(($EL$31:$EX$34,$FA$31:$FM$34,$EL$37:$EX$40,$EL$43:$EX$46,$FA$37:$FM$40,$FA$43:$FM$46,$FP$31:$GB$34,$FP$37:$GB$40,$FP$43:$GB$46,$GE$31:$GQ$34,$GE$37:$GQ$40,$GE$43:$GQ$46,$GT$31:$HF$34,$GT$37:$HF$40),MATCH($L$48,$EK$31:$EK$34,0),MATCH($A46,$EL$30:$EX$30,0),MATCH($E$35,$AE$33:$AE$48,0))*$C46</f>
        <v>0</v>
      </c>
      <c r="AA47" s="150">
        <f t="shared" si="75"/>
        <v>0</v>
      </c>
      <c r="AB47" s="150">
        <f t="shared" si="76"/>
        <v>0</v>
      </c>
      <c r="AC47" s="150"/>
      <c r="AD47" s="150"/>
      <c r="AE47" s="150" t="s">
        <v>763</v>
      </c>
      <c r="AF47" s="150">
        <v>2350</v>
      </c>
      <c r="AG47" s="150"/>
      <c r="AH47" s="150"/>
      <c r="AI47" s="150"/>
      <c r="AJ47" s="150"/>
      <c r="AK47" s="150"/>
      <c r="AL47" s="150"/>
      <c r="AM47" s="150"/>
      <c r="AN47" s="150"/>
      <c r="AO47" s="150"/>
      <c r="AP47" s="150"/>
      <c r="AQ47" s="150"/>
      <c r="AR47" s="167" t="s">
        <v>434</v>
      </c>
      <c r="AS47" s="150"/>
      <c r="AT47" s="150"/>
      <c r="AU47" s="150"/>
      <c r="AV47" s="150"/>
      <c r="AW47" s="150"/>
      <c r="AX47" s="150"/>
      <c r="AY47" s="150"/>
      <c r="AZ47" s="150"/>
      <c r="BA47" s="150"/>
      <c r="BB47" s="150"/>
      <c r="BC47" s="150"/>
      <c r="BD47" s="150"/>
      <c r="BE47" s="150"/>
      <c r="BF47" s="150"/>
      <c r="BG47" s="170"/>
      <c r="BH47" s="150"/>
      <c r="BI47" s="150"/>
      <c r="BJ47" s="150"/>
      <c r="BK47" s="150"/>
      <c r="BL47" s="150"/>
      <c r="BM47" s="150"/>
      <c r="BN47" s="150"/>
      <c r="BO47" s="150"/>
      <c r="BP47" s="150"/>
      <c r="BQ47" s="150"/>
      <c r="BR47" s="150"/>
      <c r="BS47" s="150"/>
      <c r="BT47" s="150"/>
      <c r="BU47" s="150"/>
      <c r="BV47" s="150"/>
      <c r="BW47" s="150"/>
      <c r="BX47" s="150"/>
      <c r="BY47" s="150"/>
      <c r="BZ47" s="150"/>
      <c r="CA47" s="150"/>
      <c r="CB47" s="150"/>
      <c r="CC47" s="150"/>
      <c r="CD47" s="150"/>
      <c r="CE47" s="150"/>
      <c r="CF47" s="150"/>
      <c r="CG47" s="150"/>
      <c r="CH47" s="150"/>
      <c r="CI47" s="150"/>
      <c r="CJ47" s="150"/>
      <c r="CK47" s="150"/>
      <c r="CL47" s="150"/>
      <c r="CM47" s="150"/>
      <c r="CN47" s="150"/>
      <c r="CO47" s="150"/>
      <c r="CP47" s="150"/>
      <c r="CQ47" s="150"/>
      <c r="CR47" s="150"/>
      <c r="CS47" s="150"/>
      <c r="CT47" s="150"/>
      <c r="CU47" s="150"/>
      <c r="CV47" s="150"/>
      <c r="CW47" s="150"/>
      <c r="CX47" s="150"/>
      <c r="CY47" s="150"/>
      <c r="CZ47" s="150"/>
      <c r="DA47" s="150"/>
      <c r="DB47" s="150"/>
      <c r="DC47" s="150"/>
      <c r="DD47" s="150"/>
      <c r="DE47" s="150"/>
      <c r="DF47" s="150"/>
      <c r="DG47" s="150"/>
      <c r="DH47" s="150"/>
      <c r="DI47" s="150"/>
      <c r="DJ47" s="150"/>
      <c r="DK47" s="150"/>
      <c r="DL47" s="150"/>
      <c r="DM47" s="150"/>
      <c r="DN47" s="150"/>
      <c r="DO47" s="150"/>
      <c r="DP47" s="150"/>
      <c r="DQ47" s="181"/>
      <c r="DR47" s="181"/>
      <c r="DS47" s="181"/>
      <c r="DT47" s="150"/>
      <c r="DU47" s="150"/>
      <c r="DV47" s="150"/>
      <c r="DW47" s="150"/>
      <c r="DX47" s="150"/>
      <c r="DY47" s="150"/>
      <c r="DZ47" s="150"/>
      <c r="EA47" s="150"/>
      <c r="EB47" s="150"/>
      <c r="EC47" s="150"/>
      <c r="ED47" s="150"/>
      <c r="EE47" s="150"/>
      <c r="EF47" s="150"/>
      <c r="EG47" s="150"/>
      <c r="EH47" s="150"/>
      <c r="EI47" s="150"/>
      <c r="EJ47" s="155"/>
      <c r="EK47" s="150"/>
      <c r="EL47" s="150"/>
      <c r="EM47" s="150"/>
      <c r="EN47" s="150"/>
      <c r="EO47" s="150"/>
      <c r="EP47" s="150"/>
      <c r="EQ47" s="150"/>
      <c r="ER47" s="150"/>
      <c r="ES47" s="150"/>
      <c r="ET47" s="150"/>
      <c r="EU47" s="150"/>
      <c r="EV47" s="150"/>
      <c r="EW47" s="150"/>
      <c r="EX47" s="150"/>
      <c r="EY47" s="150"/>
      <c r="EZ47" s="150"/>
      <c r="FA47" s="150"/>
      <c r="FB47" s="150"/>
      <c r="FC47" s="150"/>
      <c r="FD47" s="150"/>
      <c r="FE47" s="150"/>
      <c r="FF47" s="150"/>
      <c r="FG47" s="150"/>
      <c r="FH47" s="150"/>
      <c r="FI47" s="150"/>
      <c r="FJ47" s="150"/>
      <c r="FK47" s="150"/>
      <c r="FL47" s="150"/>
      <c r="FM47" s="150"/>
      <c r="FN47" s="150"/>
      <c r="FO47" s="150"/>
      <c r="FP47" s="150"/>
      <c r="FQ47" s="150"/>
      <c r="FR47" s="150"/>
      <c r="FS47" s="150"/>
      <c r="FT47" s="150"/>
      <c r="FU47" s="150"/>
      <c r="FV47" s="150"/>
      <c r="FW47" s="150"/>
      <c r="FX47" s="150"/>
      <c r="FY47" s="150"/>
      <c r="FZ47" s="150"/>
      <c r="GA47" s="150"/>
      <c r="GB47" s="150"/>
      <c r="GC47" s="150"/>
      <c r="GD47" s="150"/>
      <c r="GE47" s="150"/>
      <c r="GF47" s="150"/>
      <c r="GG47" s="150"/>
      <c r="GH47" s="150"/>
      <c r="GI47" s="150"/>
      <c r="GJ47" s="150"/>
      <c r="GK47" s="150"/>
      <c r="GL47" s="150"/>
      <c r="GM47" s="150"/>
      <c r="GN47" s="150"/>
      <c r="GO47" s="150"/>
      <c r="GP47" s="150"/>
      <c r="GQ47" s="150"/>
      <c r="GR47" s="150"/>
      <c r="GS47" s="150"/>
      <c r="GT47" s="150"/>
      <c r="GU47" s="150"/>
      <c r="GV47" s="150"/>
      <c r="GW47" s="150"/>
      <c r="GX47" s="150"/>
      <c r="GY47" s="150"/>
      <c r="GZ47" s="150"/>
      <c r="HA47" s="150"/>
      <c r="HB47" s="150"/>
      <c r="HC47" s="150"/>
      <c r="HD47" s="150"/>
      <c r="HE47" s="150"/>
      <c r="HF47" s="150"/>
      <c r="HG47" s="156"/>
      <c r="HH47" s="150"/>
    </row>
    <row r="48" spans="1:216" ht="15.75" thickBot="1" x14ac:dyDescent="0.3">
      <c r="A48" s="8"/>
      <c r="B48" s="5" t="s">
        <v>116</v>
      </c>
      <c r="C48" s="8"/>
      <c r="D48" s="40" t="s">
        <v>797</v>
      </c>
      <c r="E48" s="9"/>
      <c r="F48" s="9"/>
      <c r="G48" s="9"/>
      <c r="H48" s="9"/>
      <c r="I48" s="9"/>
      <c r="J48" s="9"/>
      <c r="K48" s="9"/>
      <c r="L48" s="6" t="s">
        <v>523</v>
      </c>
      <c r="M48" s="11">
        <f>INDEX(cennik!$C$2:$L$529,MATCH($L48,cennik!$B$2:$B$522,0),MATCH(M$2,cennik!$C$1:$L$1,0))</f>
        <v>867633</v>
      </c>
      <c r="N48" s="11" t="str">
        <f>INDEX(cennik!$C$2:$L$529,MATCH($L48,cennik!$B$2:$B$522,0),MATCH(N$2,cennik!$C$1:$L$1,0))</f>
        <v>szt.</v>
      </c>
      <c r="O48" s="11">
        <f>SUM(Z35:Z50)</f>
        <v>0</v>
      </c>
      <c r="P48" s="34">
        <f>INDEX(cennik!$C$2:$L$529,MATCH($L48,cennik!$B$2:$B$522,0),MATCH(P$2,cennik!$C$1:$L$1,0))</f>
        <v>132.6</v>
      </c>
      <c r="Q48" s="34">
        <f t="shared" si="142"/>
        <v>0</v>
      </c>
      <c r="R48" s="35">
        <f t="shared" si="88"/>
        <v>0</v>
      </c>
      <c r="S48" s="34">
        <f t="shared" si="89"/>
        <v>132.6</v>
      </c>
      <c r="T48" s="34">
        <f t="shared" si="143"/>
        <v>0</v>
      </c>
      <c r="U48" s="34">
        <f>INDEX(cennik!$C$2:$L$529,MATCH($L48,cennik!$B$2:$B$522,0),MATCH(U$2,cennik!$C$1:$L$1,0))*O48</f>
        <v>0</v>
      </c>
      <c r="V48" s="62"/>
      <c r="W48" s="150">
        <f>INDEX(($EL$31:$EX$34,$FA$31:$FM$34,$EL$37:$EX$40,$EL$43:$EX$46,$FA$37:$FM$40,$FA$43:$FM$46,$FP$31:$GB$34,$FP$37:$GB$40,$FP$43:$GB$46,$GE$31:$GQ$34,$GE$37:$GQ$40,$GE$43:$GQ$46,$GT$31:$HF$34,$GT$37:$HF$40),MATCH($L$49,$EK$31:$EK$34,0),MATCH($A47,$EL$30:$EX$30,0),MATCH($E$35,$AE$33:$AE$48,0))*$C47</f>
        <v>0</v>
      </c>
      <c r="X48" s="150">
        <f>INDEX(($EL$31:$EX$34,$FA$31:$FM$34,$EL$37:$EX$40,$EL$43:$EX$46,$FA$37:$FM$40,$FA$43:$FM$46,$FP$31:$GB$34,$FP$37:$GB$40,$FP$43:$GB$46,$GE$31:$GQ$34,$GE$37:$GQ$40,$GE$43:$GQ$46,$GT$31:$HF$34,$GT$37:$HF$40),MATCH($L$46,$EK$31:$EK$34,0),MATCH($A47,$EL$30:$EX$30,0),MATCH($E$35,$AE$33:$AE$48,0))*$C47</f>
        <v>0</v>
      </c>
      <c r="Y48" s="150">
        <f>INDEX(($EL$31:$EX$34,$FA$31:$FM$34,$EL$37:$EX$40,$EL$43:$EX$46,$FA$37:$FM$40,$FA$43:$FM$46,$FP$31:$GB$34,$FP$37:$GB$40,$FP$43:$GB$46,$GE$31:$GQ$34,$GE$37:$GQ$40,$GE$43:$GQ$46,$GT$31:$HF$34,$GT$37:$HF$40),MATCH($L$47,$EK$31:$EK$34,0),MATCH($A47,$EL$30:$EX$30,0),MATCH($E$35,$AE$33:$AE$48,0))*$C47</f>
        <v>0</v>
      </c>
      <c r="Z48" s="150">
        <f>INDEX(($EL$31:$EX$34,$FA$31:$FM$34,$EL$37:$EX$40,$EL$43:$EX$46,$FA$37:$FM$40,$FA$43:$FM$46,$FP$31:$GB$34,$FP$37:$GB$40,$FP$43:$GB$46,$GE$31:$GQ$34,$GE$37:$GQ$40,$GE$43:$GQ$46,$GT$31:$HF$34,$GT$37:$HF$40),MATCH($L$48,$EK$31:$EK$34,0),MATCH($A47,$EL$30:$EX$30,0),MATCH($E$35,$AE$33:$AE$48,0))*$C47</f>
        <v>0</v>
      </c>
      <c r="AA48" s="150">
        <f t="shared" si="75"/>
        <v>0</v>
      </c>
      <c r="AB48" s="150">
        <f t="shared" si="76"/>
        <v>0</v>
      </c>
      <c r="AC48" s="150"/>
      <c r="AD48" s="150"/>
      <c r="AE48" s="150" t="s">
        <v>764</v>
      </c>
      <c r="AF48" s="150">
        <v>2400</v>
      </c>
      <c r="AG48" s="150"/>
      <c r="AH48" s="150"/>
      <c r="AI48" s="150"/>
      <c r="AJ48" s="150"/>
      <c r="AK48" s="150"/>
      <c r="AL48" s="150"/>
      <c r="AM48" s="150"/>
      <c r="AN48" s="150"/>
      <c r="AO48" s="150"/>
      <c r="AP48" s="150"/>
      <c r="AQ48" s="150"/>
      <c r="AR48" s="150" t="s">
        <v>717</v>
      </c>
      <c r="AS48" s="150" t="s">
        <v>1157</v>
      </c>
      <c r="AT48" s="150">
        <v>2</v>
      </c>
      <c r="AU48" s="150" t="s">
        <v>1022</v>
      </c>
      <c r="AV48" s="150">
        <v>4</v>
      </c>
      <c r="AW48" s="150">
        <v>5</v>
      </c>
      <c r="AX48" s="150"/>
      <c r="AY48" s="150"/>
      <c r="AZ48" s="150"/>
      <c r="BA48" s="150"/>
      <c r="BB48" s="150"/>
      <c r="BC48" s="150"/>
      <c r="BD48" s="150"/>
      <c r="BE48" s="150"/>
      <c r="BF48" s="150"/>
      <c r="BG48" s="150"/>
      <c r="BH48" s="150"/>
      <c r="BI48" s="150"/>
      <c r="BJ48" s="150"/>
      <c r="BK48" s="150"/>
      <c r="BL48" s="150"/>
      <c r="BM48" s="150"/>
      <c r="BN48" s="150"/>
      <c r="BO48" s="150"/>
      <c r="BP48" s="150"/>
      <c r="BQ48" s="150"/>
      <c r="BR48" s="150"/>
      <c r="BS48" s="150"/>
      <c r="BT48" s="150"/>
      <c r="BU48" s="150"/>
      <c r="BV48" s="150"/>
      <c r="BW48" s="150"/>
      <c r="BX48" s="150"/>
      <c r="BY48" s="150"/>
      <c r="BZ48" s="150"/>
      <c r="CA48" s="150"/>
      <c r="CB48" s="150"/>
      <c r="CC48" s="150"/>
      <c r="CD48" s="150"/>
      <c r="CE48" s="150"/>
      <c r="CF48" s="150"/>
      <c r="CG48" s="150"/>
      <c r="CH48" s="150"/>
      <c r="CI48" s="150"/>
      <c r="CJ48" s="150"/>
      <c r="CK48" s="150"/>
      <c r="CL48" s="150"/>
      <c r="CM48" s="150"/>
      <c r="CN48" s="150"/>
      <c r="CO48" s="150"/>
      <c r="CP48" s="150"/>
      <c r="CQ48" s="150"/>
      <c r="CR48" s="150"/>
      <c r="CS48" s="150"/>
      <c r="CT48" s="150"/>
      <c r="CU48" s="150"/>
      <c r="CV48" s="150"/>
      <c r="CW48" s="150"/>
      <c r="CX48" s="150"/>
      <c r="CY48" s="150"/>
      <c r="CZ48" s="150"/>
      <c r="DA48" s="150"/>
      <c r="DB48" s="150"/>
      <c r="DC48" s="150"/>
      <c r="DD48" s="150"/>
      <c r="DE48" s="150"/>
      <c r="DF48" s="150"/>
      <c r="DG48" s="150"/>
      <c r="DH48" s="150"/>
      <c r="DI48" s="150"/>
      <c r="DJ48" s="150"/>
      <c r="DK48" s="150"/>
      <c r="DL48" s="150"/>
      <c r="DM48" s="150"/>
      <c r="DN48" s="150"/>
      <c r="DO48" s="150"/>
      <c r="DP48" s="150"/>
      <c r="DQ48" s="181"/>
      <c r="DR48" s="181"/>
      <c r="DS48" s="181"/>
      <c r="DT48" s="150"/>
      <c r="DU48" s="150"/>
      <c r="DV48" s="150"/>
      <c r="DW48" s="150"/>
      <c r="DX48" s="150"/>
      <c r="DY48" s="150"/>
      <c r="DZ48" s="150"/>
      <c r="EA48" s="150"/>
      <c r="EB48" s="150"/>
      <c r="EC48" s="150"/>
      <c r="ED48" s="150"/>
      <c r="EE48" s="150"/>
      <c r="EF48" s="150"/>
      <c r="EG48" s="150"/>
      <c r="EH48" s="150"/>
      <c r="EI48" s="150"/>
      <c r="EJ48" s="159"/>
      <c r="EK48" s="160"/>
      <c r="EL48" s="160"/>
      <c r="EM48" s="160"/>
      <c r="EN48" s="160"/>
      <c r="EO48" s="160"/>
      <c r="EP48" s="160"/>
      <c r="EQ48" s="160"/>
      <c r="ER48" s="160"/>
      <c r="ES48" s="160"/>
      <c r="ET48" s="160"/>
      <c r="EU48" s="160"/>
      <c r="EV48" s="160"/>
      <c r="EW48" s="160"/>
      <c r="EX48" s="160"/>
      <c r="EY48" s="160"/>
      <c r="EZ48" s="160"/>
      <c r="FA48" s="160"/>
      <c r="FB48" s="160"/>
      <c r="FC48" s="160"/>
      <c r="FD48" s="160"/>
      <c r="FE48" s="160"/>
      <c r="FF48" s="160"/>
      <c r="FG48" s="160"/>
      <c r="FH48" s="160"/>
      <c r="FI48" s="160"/>
      <c r="FJ48" s="160"/>
      <c r="FK48" s="160"/>
      <c r="FL48" s="160"/>
      <c r="FM48" s="160"/>
      <c r="FN48" s="160"/>
      <c r="FO48" s="160"/>
      <c r="FP48" s="160"/>
      <c r="FQ48" s="160"/>
      <c r="FR48" s="160"/>
      <c r="FS48" s="160"/>
      <c r="FT48" s="160"/>
      <c r="FU48" s="160"/>
      <c r="FV48" s="160"/>
      <c r="FW48" s="160"/>
      <c r="FX48" s="160"/>
      <c r="FY48" s="160"/>
      <c r="FZ48" s="160"/>
      <c r="GA48" s="160"/>
      <c r="GB48" s="160"/>
      <c r="GC48" s="160"/>
      <c r="GD48" s="160"/>
      <c r="GE48" s="160"/>
      <c r="GF48" s="160"/>
      <c r="GG48" s="160"/>
      <c r="GH48" s="160"/>
      <c r="GI48" s="160"/>
      <c r="GJ48" s="160"/>
      <c r="GK48" s="160"/>
      <c r="GL48" s="160"/>
      <c r="GM48" s="160"/>
      <c r="GN48" s="160"/>
      <c r="GO48" s="160"/>
      <c r="GP48" s="160"/>
      <c r="GQ48" s="160"/>
      <c r="GR48" s="160"/>
      <c r="GS48" s="160"/>
      <c r="GT48" s="160"/>
      <c r="GU48" s="160"/>
      <c r="GV48" s="160"/>
      <c r="GW48" s="160"/>
      <c r="GX48" s="160"/>
      <c r="GY48" s="160"/>
      <c r="GZ48" s="160"/>
      <c r="HA48" s="160"/>
      <c r="HB48" s="160"/>
      <c r="HC48" s="160"/>
      <c r="HD48" s="160"/>
      <c r="HE48" s="160"/>
      <c r="HF48" s="160"/>
      <c r="HG48" s="161"/>
      <c r="HH48" s="150"/>
    </row>
    <row r="49" spans="1:216" x14ac:dyDescent="0.25">
      <c r="A49" s="8"/>
      <c r="B49" s="5" t="s">
        <v>116</v>
      </c>
      <c r="C49" s="8"/>
      <c r="D49" s="40" t="s">
        <v>798</v>
      </c>
      <c r="E49" s="9"/>
      <c r="F49" s="9"/>
      <c r="G49" s="9"/>
      <c r="H49" s="9"/>
      <c r="I49" s="9"/>
      <c r="J49" s="9"/>
      <c r="K49" s="9"/>
      <c r="L49" s="6" t="s">
        <v>779</v>
      </c>
      <c r="M49" s="11">
        <f>INDEX(cennik!$C$2:$L$529,MATCH($L49,cennik!$B$2:$B$522,0),MATCH(M$2,cennik!$C$1:$L$1,0))</f>
        <v>856105</v>
      </c>
      <c r="N49" s="11" t="str">
        <f>INDEX(cennik!$C$2:$L$529,MATCH($L49,cennik!$B$2:$B$522,0),MATCH(N$2,cennik!$C$1:$L$1,0))</f>
        <v>szt.</v>
      </c>
      <c r="O49" s="11">
        <f>SUM(W35:W50)</f>
        <v>0</v>
      </c>
      <c r="P49" s="34">
        <f>INDEX(cennik!$C$2:$L$529,MATCH($L49,cennik!$B$2:$B$522,0),MATCH(P$2,cennik!$C$1:$L$1,0))</f>
        <v>21.81</v>
      </c>
      <c r="Q49" s="34">
        <f t="shared" si="142"/>
        <v>0</v>
      </c>
      <c r="R49" s="35">
        <f t="shared" si="88"/>
        <v>0</v>
      </c>
      <c r="S49" s="34">
        <f t="shared" si="89"/>
        <v>21.81</v>
      </c>
      <c r="T49" s="34">
        <f t="shared" si="143"/>
        <v>0</v>
      </c>
      <c r="U49" s="34">
        <f>INDEX(cennik!$C$2:$L$529,MATCH($L49,cennik!$B$2:$B$522,0),MATCH(U$2,cennik!$C$1:$L$1,0))*O49</f>
        <v>0</v>
      </c>
      <c r="V49" s="62"/>
      <c r="W49" s="150">
        <f>INDEX(($EL$31:$EX$34,$FA$31:$FM$34,$EL$37:$EX$40,$EL$43:$EX$46,$FA$37:$FM$40,$FA$43:$FM$46,$FP$31:$GB$34,$FP$37:$GB$40,$FP$43:$GB$46,$GE$31:$GQ$34,$GE$37:$GQ$40,$GE$43:$GQ$46,$GT$31:$HF$34,$GT$37:$HF$40),MATCH($L$49,$EK$31:$EK$34,0),MATCH($A48,$EL$30:$EX$30,0),MATCH($E$35,$AE$33:$AE$48,0))*$C48</f>
        <v>0</v>
      </c>
      <c r="X49" s="150">
        <f>INDEX(($EL$31:$EX$34,$FA$31:$FM$34,$EL$37:$EX$40,$EL$43:$EX$46,$FA$37:$FM$40,$FA$43:$FM$46,$FP$31:$GB$34,$FP$37:$GB$40,$FP$43:$GB$46,$GE$31:$GQ$34,$GE$37:$GQ$40,$GE$43:$GQ$46,$GT$31:$HF$34,$GT$37:$HF$40),MATCH($L$46,$EK$31:$EK$34,0),MATCH($A48,$EL$30:$EX$30,0),MATCH($E$35,$AE$33:$AE$48,0))*$C48</f>
        <v>0</v>
      </c>
      <c r="Y49" s="150">
        <f>INDEX(($EL$31:$EX$34,$FA$31:$FM$34,$EL$37:$EX$40,$EL$43:$EX$46,$FA$37:$FM$40,$FA$43:$FM$46,$FP$31:$GB$34,$FP$37:$GB$40,$FP$43:$GB$46,$GE$31:$GQ$34,$GE$37:$GQ$40,$GE$43:$GQ$46,$GT$31:$HF$34,$GT$37:$HF$40),MATCH($L$47,$EK$31:$EK$34,0),MATCH($A48,$EL$30:$EX$30,0),MATCH($E$35,$AE$33:$AE$48,0))*$C48</f>
        <v>0</v>
      </c>
      <c r="Z49" s="150">
        <f>INDEX(($EL$31:$EX$34,$FA$31:$FM$34,$EL$37:$EX$40,$EL$43:$EX$46,$FA$37:$FM$40,$FA$43:$FM$46,$FP$31:$GB$34,$FP$37:$GB$40,$FP$43:$GB$46,$GE$31:$GQ$34,$GE$37:$GQ$40,$GE$43:$GQ$46,$GT$31:$HF$34,$GT$37:$HF$40),MATCH($L$48,$EK$31:$EK$34,0),MATCH($A48,$EL$30:$EX$30,0),MATCH($E$35,$AE$33:$AE$48,0))*$C48</f>
        <v>0</v>
      </c>
      <c r="AA49" s="150"/>
      <c r="AB49" s="150"/>
      <c r="AC49" s="150"/>
      <c r="AD49" s="150"/>
      <c r="AE49" s="150" t="s">
        <v>832</v>
      </c>
      <c r="AF49" s="150">
        <v>2450</v>
      </c>
      <c r="AG49" s="150"/>
      <c r="AH49" s="150"/>
      <c r="AI49" s="150"/>
      <c r="AJ49" s="150"/>
      <c r="AK49" s="150"/>
      <c r="AL49" s="150"/>
      <c r="AM49" s="150"/>
      <c r="AN49" s="150"/>
      <c r="AO49" s="150"/>
      <c r="AP49" s="150"/>
      <c r="AQ49" s="150"/>
      <c r="AR49" s="150">
        <v>1</v>
      </c>
      <c r="AS49" s="150">
        <v>2900</v>
      </c>
      <c r="AT49" s="150">
        <v>2900</v>
      </c>
      <c r="AU49" s="150">
        <v>2400</v>
      </c>
      <c r="AV49" s="150">
        <v>2400</v>
      </c>
      <c r="AW49" s="150" t="s">
        <v>719</v>
      </c>
      <c r="AX49" s="150"/>
      <c r="AY49" s="150"/>
      <c r="AZ49" s="150"/>
      <c r="BA49" s="150"/>
      <c r="BB49" s="150"/>
      <c r="BC49" s="150"/>
      <c r="BD49" s="150"/>
      <c r="BE49" s="150"/>
      <c r="BF49" s="150"/>
      <c r="BG49" s="150"/>
      <c r="BH49" s="150"/>
      <c r="BI49" s="150"/>
      <c r="BJ49" s="150"/>
      <c r="BK49" s="150"/>
      <c r="BL49" s="150"/>
      <c r="BM49" s="150"/>
      <c r="BN49" s="150"/>
      <c r="BO49" s="150"/>
      <c r="BP49" s="150"/>
      <c r="BQ49" s="150"/>
      <c r="BR49" s="150"/>
      <c r="BS49" s="150"/>
      <c r="BT49" s="150"/>
      <c r="BU49" s="150"/>
      <c r="BV49" s="150"/>
      <c r="BW49" s="150"/>
      <c r="BX49" s="150"/>
      <c r="BY49" s="150"/>
      <c r="BZ49" s="150"/>
      <c r="CA49" s="150"/>
      <c r="CB49" s="150"/>
      <c r="CC49" s="150"/>
      <c r="CD49" s="150"/>
      <c r="CE49" s="150"/>
      <c r="CF49" s="150"/>
      <c r="CG49" s="150"/>
      <c r="CH49" s="150"/>
      <c r="CI49" s="150"/>
      <c r="CJ49" s="150"/>
      <c r="CK49" s="150"/>
      <c r="CL49" s="150"/>
      <c r="CM49" s="150"/>
      <c r="CN49" s="150"/>
      <c r="CO49" s="150"/>
      <c r="CP49" s="150"/>
      <c r="CQ49" s="150"/>
      <c r="CR49" s="150"/>
      <c r="CS49" s="150"/>
      <c r="CT49" s="150"/>
      <c r="CU49" s="150"/>
      <c r="CV49" s="150"/>
      <c r="CW49" s="150"/>
      <c r="CX49" s="150"/>
      <c r="CY49" s="150"/>
      <c r="CZ49" s="150"/>
      <c r="DA49" s="150"/>
      <c r="DB49" s="150"/>
      <c r="DC49" s="150"/>
      <c r="DD49" s="150"/>
      <c r="DE49" s="150"/>
      <c r="DF49" s="150"/>
      <c r="DG49" s="150"/>
      <c r="DH49" s="150"/>
      <c r="DI49" s="150"/>
      <c r="DJ49" s="150"/>
      <c r="DK49" s="150"/>
      <c r="DL49" s="150"/>
      <c r="DM49" s="150"/>
      <c r="DN49" s="150"/>
      <c r="DO49" s="150"/>
      <c r="DP49" s="150"/>
      <c r="DQ49" s="181"/>
      <c r="DR49" s="181"/>
      <c r="DS49" s="181"/>
      <c r="DT49" s="150"/>
      <c r="DU49" s="150"/>
      <c r="DV49" s="150"/>
      <c r="DW49" s="150"/>
      <c r="DX49" s="150"/>
      <c r="DY49" s="150"/>
      <c r="DZ49" s="150"/>
      <c r="EA49" s="150"/>
      <c r="EB49" s="150"/>
      <c r="EC49" s="150"/>
      <c r="ED49" s="150"/>
      <c r="EE49" s="150"/>
      <c r="EF49" s="150"/>
      <c r="EG49" s="150"/>
      <c r="EH49" s="150"/>
      <c r="EI49" s="150"/>
      <c r="EJ49" s="150"/>
      <c r="EK49" s="150"/>
      <c r="EL49" s="150"/>
      <c r="EM49" s="150"/>
      <c r="EN49" s="150"/>
      <c r="EO49" s="150"/>
      <c r="EP49" s="150"/>
      <c r="EQ49" s="150"/>
      <c r="ER49" s="150"/>
      <c r="ES49" s="150"/>
      <c r="ET49" s="150"/>
      <c r="EU49" s="150"/>
      <c r="EV49" s="150"/>
      <c r="EW49" s="150"/>
      <c r="EX49" s="150"/>
      <c r="EY49" s="150"/>
      <c r="EZ49" s="150"/>
      <c r="FA49" s="150"/>
      <c r="FB49" s="150"/>
      <c r="FC49" s="150"/>
      <c r="FD49" s="150"/>
      <c r="FE49" s="150"/>
      <c r="FF49" s="150"/>
      <c r="FG49" s="150"/>
      <c r="FH49" s="150"/>
      <c r="FI49" s="150"/>
      <c r="FJ49" s="150"/>
      <c r="FK49" s="150"/>
      <c r="FL49" s="150"/>
      <c r="FM49" s="150"/>
      <c r="FN49" s="150"/>
      <c r="FO49" s="150"/>
      <c r="FP49" s="150"/>
      <c r="FQ49" s="150"/>
      <c r="FR49" s="150"/>
      <c r="FS49" s="150"/>
      <c r="FT49" s="150"/>
      <c r="FU49" s="150"/>
      <c r="FV49" s="150"/>
      <c r="FW49" s="150"/>
      <c r="FX49" s="150"/>
      <c r="FY49" s="150"/>
      <c r="FZ49" s="150"/>
      <c r="GA49" s="150"/>
      <c r="GB49" s="150"/>
      <c r="GC49" s="150"/>
      <c r="GD49" s="150"/>
      <c r="GE49" s="150"/>
      <c r="GF49" s="150"/>
      <c r="GG49" s="150"/>
      <c r="GH49" s="150"/>
      <c r="GI49" s="150"/>
      <c r="GJ49" s="150"/>
      <c r="GK49" s="150"/>
      <c r="GL49" s="150"/>
      <c r="GM49" s="150"/>
      <c r="GN49" s="150"/>
      <c r="GO49" s="150"/>
      <c r="GP49" s="150"/>
      <c r="GQ49" s="150"/>
      <c r="GR49" s="150"/>
      <c r="GS49" s="150"/>
      <c r="GT49" s="150"/>
      <c r="GU49" s="150"/>
      <c r="GV49" s="150"/>
      <c r="GW49" s="150"/>
      <c r="GX49" s="150"/>
      <c r="GY49" s="150"/>
      <c r="GZ49" s="150"/>
      <c r="HA49" s="150"/>
      <c r="HB49" s="150"/>
      <c r="HC49" s="150"/>
      <c r="HD49" s="150"/>
      <c r="HE49" s="150"/>
      <c r="HF49" s="150"/>
      <c r="HG49" s="150"/>
      <c r="HH49" s="150"/>
    </row>
    <row r="50" spans="1:216" x14ac:dyDescent="0.25">
      <c r="A50" s="9"/>
      <c r="B50" s="6"/>
      <c r="C50" s="9"/>
      <c r="D50" s="9"/>
      <c r="E50" s="9"/>
      <c r="F50" s="9"/>
      <c r="G50" s="9"/>
      <c r="H50" s="9"/>
      <c r="I50" s="9"/>
      <c r="J50" s="9"/>
      <c r="K50" s="9"/>
      <c r="L50" s="6" t="str">
        <f>INDEX(($AH$3:$AI$12),MATCH(I35,$AG$3:$AG$12,0),MATCH(E36,$AH$2:$AI$2,0))</f>
        <v>BUF35</v>
      </c>
      <c r="M50" s="11">
        <f>INDEX(cennik!$C$2:$L$529,MATCH($L50,cennik!$B$2:$B$522,0),MATCH(M$2,cennik!$C$1:$L$1,0))</f>
        <v>897335</v>
      </c>
      <c r="N50" s="11" t="str">
        <f>INDEX(cennik!$C$2:$L$529,MATCH($L50,cennik!$B$2:$B$522,0),MATCH(N$2,cennik!$C$1:$L$1,0))</f>
        <v>szt.</v>
      </c>
      <c r="O50" s="11">
        <f>SUM((A34/5*4*C34),(A35/5*4*C35),(A36/5*4*C36),(A37/5*4*C37),(A38/5*4*C38),(A39/5*4*C39),(A40/5*4*C40),(A41/5*4*C41),(A42/5*4*C42),(A43/5*4*C43),(A44/5*4*C44),(A45/5*4*C45),(A46/5*4*C46),(A47/5*4*C47),(A48/5*4*C48),(A49/5*4*C49))</f>
        <v>0</v>
      </c>
      <c r="P50" s="34">
        <f>INDEX(cennik!$C$2:$L$529,MATCH($L50,cennik!$B$2:$B$522,0),MATCH(P$2,cennik!$C$1:$L$1,0))</f>
        <v>1.92</v>
      </c>
      <c r="Q50" s="34">
        <f t="shared" si="142"/>
        <v>0</v>
      </c>
      <c r="R50" s="35">
        <f t="shared" si="88"/>
        <v>0</v>
      </c>
      <c r="S50" s="34">
        <f t="shared" si="89"/>
        <v>1.92</v>
      </c>
      <c r="T50" s="34">
        <f t="shared" si="143"/>
        <v>0</v>
      </c>
      <c r="U50" s="34">
        <f>INDEX(cennik!$C$2:$L$529,MATCH($L50,cennik!$B$2:$B$522,0),MATCH(U$2,cennik!$C$1:$L$1,0))*O50</f>
        <v>0</v>
      </c>
      <c r="V50" s="62"/>
      <c r="W50" s="150">
        <f>INDEX(($EL$31:$EX$34,$FA$31:$FM$34,$EL$37:$EX$40,$EL$43:$EX$46,$FA$37:$FM$40,$FA$43:$FM$46,$FP$31:$GB$34,$FP$37:$GB$40,$FP$43:$GB$46,$GE$31:$GQ$34,$GE$37:$GQ$40,$GE$43:$GQ$46,$GT$31:$HF$34,$GT$37:$HF$40),MATCH($L$49,$EK$31:$EK$34,0),MATCH($A49,$EL$30:$EX$30,0),MATCH($E$35,$AE$33:$AE$48,0))*$C49</f>
        <v>0</v>
      </c>
      <c r="X50" s="150">
        <f>INDEX(($EL$31:$EX$34,$FA$31:$FM$34,$EL$37:$EX$40,$EL$43:$EX$46,$FA$37:$FM$40,$FA$43:$FM$46,$FP$31:$GB$34,$FP$37:$GB$40,$FP$43:$GB$46,$GE$31:$GQ$34,$GE$37:$GQ$40,$GE$43:$GQ$46,$GT$31:$HF$34,$GT$37:$HF$40),MATCH($L$46,$EK$31:$EK$34,0),MATCH($A49,$EL$30:$EX$30,0),MATCH($E$35,$AE$33:$AE$48,0))*$C49</f>
        <v>0</v>
      </c>
      <c r="Y50" s="150">
        <f>INDEX(($EL$31:$EX$34,$FA$31:$FM$34,$EL$37:$EX$40,$EL$43:$EX$46,$FA$37:$FM$40,$FA$43:$FM$46,$FP$31:$GB$34,$FP$37:$GB$40,$FP$43:$GB$46,$GE$31:$GQ$34,$GE$37:$GQ$40,$GE$43:$GQ$46,$GT$31:$HF$34,$GT$37:$HF$40),MATCH($L$47,$EK$31:$EK$34,0),MATCH($A49,$EL$30:$EX$30,0),MATCH($E$35,$AE$33:$AE$48,0))*$C49</f>
        <v>0</v>
      </c>
      <c r="Z50" s="150">
        <f>INDEX(($EL$31:$EX$34,$FA$31:$FM$34,$EL$37:$EX$40,$EL$43:$EX$46,$FA$37:$FM$40,$FA$43:$FM$46,$FP$31:$GB$34,$FP$37:$GB$40,$FP$43:$GB$46,$GE$31:$GQ$34,$GE$37:$GQ$40,$GE$43:$GQ$46,$GT$31:$HF$34,$GT$37:$HF$40),MATCH($L$48,$EK$31:$EK$34,0),MATCH($A49,$EL$30:$EX$30,0),MATCH($E$35,$AE$33:$AE$48,0))*$C49</f>
        <v>0</v>
      </c>
      <c r="AA50" s="150"/>
      <c r="AB50" s="150"/>
      <c r="AC50" s="150"/>
      <c r="AD50" s="150"/>
      <c r="AE50" s="150" t="s">
        <v>833</v>
      </c>
      <c r="AF50" s="150">
        <v>2500</v>
      </c>
      <c r="AG50" s="150"/>
      <c r="AH50" s="150"/>
      <c r="AI50" s="150"/>
      <c r="AJ50" s="150"/>
      <c r="AK50" s="150"/>
      <c r="AL50" s="150"/>
      <c r="AM50" s="150"/>
      <c r="AN50" s="150"/>
      <c r="AO50" s="150"/>
      <c r="AP50" s="150"/>
      <c r="AQ50" s="150"/>
      <c r="AR50" s="150">
        <v>2</v>
      </c>
      <c r="AS50" s="150" t="s">
        <v>719</v>
      </c>
      <c r="AT50" s="150">
        <v>2000</v>
      </c>
      <c r="AU50" s="150">
        <v>2000</v>
      </c>
      <c r="AV50" s="150" t="s">
        <v>719</v>
      </c>
      <c r="AW50" s="150" t="s">
        <v>719</v>
      </c>
      <c r="AX50" s="150"/>
      <c r="AY50" s="150"/>
      <c r="AZ50" s="150"/>
      <c r="BA50" s="150"/>
      <c r="BB50" s="150"/>
      <c r="BC50" s="150"/>
      <c r="BD50" s="150"/>
      <c r="BE50" s="150"/>
      <c r="BF50" s="150"/>
      <c r="BG50" s="150"/>
      <c r="BH50" s="150"/>
      <c r="BI50" s="150"/>
      <c r="BJ50" s="150"/>
      <c r="BK50" s="150"/>
      <c r="BL50" s="150"/>
      <c r="BM50" s="150"/>
      <c r="BN50" s="150"/>
      <c r="BO50" s="150"/>
      <c r="BP50" s="150"/>
      <c r="BQ50" s="150"/>
      <c r="BR50" s="150"/>
      <c r="BS50" s="150"/>
      <c r="BT50" s="150"/>
      <c r="BU50" s="150"/>
      <c r="BV50" s="150"/>
      <c r="BW50" s="150"/>
      <c r="BX50" s="150"/>
      <c r="BY50" s="150"/>
      <c r="BZ50" s="150"/>
      <c r="CA50" s="150"/>
      <c r="CB50" s="150"/>
      <c r="CC50" s="150"/>
      <c r="CD50" s="150"/>
      <c r="CE50" s="150"/>
      <c r="CF50" s="150"/>
      <c r="CG50" s="150"/>
      <c r="CH50" s="150"/>
      <c r="CI50" s="150"/>
      <c r="CJ50" s="150"/>
      <c r="CK50" s="150"/>
      <c r="CL50" s="150"/>
      <c r="CM50" s="150"/>
      <c r="CN50" s="150"/>
      <c r="CO50" s="150"/>
      <c r="CP50" s="150"/>
      <c r="CQ50" s="150"/>
      <c r="CR50" s="150"/>
      <c r="CS50" s="150"/>
      <c r="CT50" s="150"/>
      <c r="CU50" s="150"/>
      <c r="CV50" s="150"/>
      <c r="CW50" s="150"/>
      <c r="CX50" s="150"/>
      <c r="CY50" s="150"/>
      <c r="CZ50" s="150"/>
      <c r="DA50" s="150"/>
      <c r="DB50" s="150"/>
      <c r="DC50" s="150"/>
      <c r="DD50" s="150"/>
      <c r="DE50" s="150"/>
      <c r="DF50" s="150"/>
      <c r="DG50" s="150"/>
      <c r="DH50" s="150"/>
      <c r="DI50" s="150"/>
      <c r="DJ50" s="150"/>
      <c r="DK50" s="150"/>
      <c r="DL50" s="150"/>
      <c r="DM50" s="150"/>
      <c r="DN50" s="150"/>
      <c r="DO50" s="150"/>
      <c r="DP50" s="150"/>
      <c r="DQ50" s="181"/>
      <c r="DR50" s="181"/>
      <c r="DS50" s="181"/>
      <c r="DT50" s="150"/>
      <c r="DU50" s="150"/>
      <c r="DV50" s="150"/>
      <c r="DW50" s="150"/>
      <c r="DX50" s="150"/>
      <c r="DY50" s="150"/>
      <c r="DZ50" s="150"/>
      <c r="EA50" s="150"/>
      <c r="EB50" s="150"/>
      <c r="EC50" s="150"/>
      <c r="ED50" s="150"/>
      <c r="EE50" s="150"/>
      <c r="EF50" s="150"/>
      <c r="EG50" s="150"/>
      <c r="EH50" s="150"/>
      <c r="EI50" s="150"/>
      <c r="EJ50" s="150"/>
      <c r="EK50" s="150"/>
      <c r="EL50" s="150"/>
      <c r="EM50" s="150"/>
      <c r="EN50" s="150"/>
      <c r="EO50" s="150"/>
      <c r="EP50" s="150"/>
      <c r="EQ50" s="150"/>
      <c r="ER50" s="150"/>
      <c r="ES50" s="150"/>
      <c r="ET50" s="150"/>
      <c r="EU50" s="150"/>
      <c r="EV50" s="150"/>
      <c r="EW50" s="150"/>
      <c r="EX50" s="150"/>
      <c r="EY50" s="150"/>
      <c r="EZ50" s="150"/>
      <c r="FA50" s="150"/>
      <c r="FB50" s="150"/>
      <c r="FC50" s="150"/>
      <c r="FD50" s="150"/>
      <c r="FE50" s="150"/>
      <c r="FF50" s="150"/>
      <c r="FG50" s="150"/>
      <c r="FH50" s="150"/>
      <c r="FI50" s="150"/>
      <c r="FJ50" s="150"/>
      <c r="FK50" s="150"/>
      <c r="FL50" s="150"/>
      <c r="FM50" s="150"/>
      <c r="FN50" s="150"/>
      <c r="FO50" s="150"/>
      <c r="FP50" s="150"/>
      <c r="FQ50" s="150"/>
      <c r="FR50" s="150"/>
      <c r="FS50" s="150"/>
      <c r="FT50" s="150"/>
      <c r="FU50" s="150"/>
      <c r="FV50" s="150"/>
      <c r="FW50" s="150"/>
      <c r="FX50" s="150"/>
      <c r="FY50" s="150"/>
      <c r="FZ50" s="150"/>
      <c r="GA50" s="150"/>
      <c r="GB50" s="150"/>
      <c r="GC50" s="150"/>
      <c r="GD50" s="150"/>
      <c r="GE50" s="150"/>
      <c r="GF50" s="150"/>
      <c r="GG50" s="150"/>
      <c r="GH50" s="150"/>
      <c r="GI50" s="150"/>
      <c r="GJ50" s="150"/>
      <c r="GK50" s="150"/>
      <c r="GL50" s="150"/>
      <c r="GM50" s="150"/>
      <c r="GN50" s="150"/>
      <c r="GO50" s="150"/>
      <c r="GP50" s="150"/>
      <c r="GQ50" s="150"/>
      <c r="GR50" s="150"/>
      <c r="GS50" s="150"/>
      <c r="GT50" s="150"/>
      <c r="GU50" s="150"/>
      <c r="GV50" s="150"/>
      <c r="GW50" s="150"/>
      <c r="GX50" s="150"/>
      <c r="GY50" s="150"/>
      <c r="GZ50" s="150"/>
      <c r="HA50" s="150"/>
      <c r="HB50" s="150"/>
      <c r="HC50" s="150"/>
      <c r="HD50" s="150"/>
      <c r="HE50" s="150"/>
      <c r="HF50" s="150"/>
      <c r="HG50" s="150"/>
      <c r="HH50" s="150"/>
    </row>
    <row r="51" spans="1:216" x14ac:dyDescent="0.2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6" t="str">
        <f>INDEX(($AH$13:$AI$13),1,MATCH(E36,$AH$2:$AI$2,0))</f>
        <v>PUF</v>
      </c>
      <c r="M51" s="11">
        <f>INDEX(cennik!$C$2:$L$529,MATCH($L51,cennik!$B$2:$B$522,0),MATCH(M$2,cennik!$C$1:$L$1,0))</f>
        <v>897300</v>
      </c>
      <c r="N51" s="11" t="str">
        <f>INDEX(cennik!$C$2:$L$529,MATCH($L51,cennik!$B$2:$B$522,0),MATCH(N$2,cennik!$C$1:$L$1,0))</f>
        <v>szt.</v>
      </c>
      <c r="O51" s="11">
        <f>SUM(((A34/5)*8)*C34,((A35/5)*8)*C35,((A36/5)*8)*C36,((A37/5)*8)*C37,((A38/5)*8)*C38,((A39/5)*8)*C39,((A40/5)*8)*C40,((A41/5)*8)*C41,((A42/5)*8)*C42,((A43/5)*8)*C43,((A44/5)*8)*C44,((A45/5)*8)*C45,((A46/5)*8)*C46,((A47/5)*8)*C47,((A48/5)*8)*C48,((A49/5)*8)*C49)</f>
        <v>0</v>
      </c>
      <c r="P51" s="34">
        <f>INDEX(cennik!$C$2:$L$529,MATCH($L51,cennik!$B$2:$B$522,0),MATCH(P$2,cennik!$C$1:$L$1,0))</f>
        <v>2.06</v>
      </c>
      <c r="Q51" s="34">
        <f t="shared" si="142"/>
        <v>0</v>
      </c>
      <c r="R51" s="35">
        <f t="shared" si="88"/>
        <v>0</v>
      </c>
      <c r="S51" s="34">
        <f t="shared" si="89"/>
        <v>2.06</v>
      </c>
      <c r="T51" s="34">
        <f t="shared" si="143"/>
        <v>0</v>
      </c>
      <c r="U51" s="34">
        <f>INDEX(cennik!$C$2:$L$529,MATCH($L51,cennik!$B$2:$B$522,0),MATCH(U$2,cennik!$C$1:$L$1,0))*O51</f>
        <v>0</v>
      </c>
      <c r="V51" s="62"/>
      <c r="W51" s="62"/>
      <c r="X51" s="62"/>
      <c r="Y51" s="62"/>
      <c r="Z51" s="62"/>
      <c r="AA51" s="150"/>
      <c r="AB51" s="150"/>
      <c r="AC51" s="150"/>
      <c r="AD51" s="150"/>
      <c r="AE51" s="150" t="s">
        <v>879</v>
      </c>
      <c r="AF51" s="150">
        <v>2550</v>
      </c>
      <c r="AG51" s="150"/>
      <c r="AH51" s="150"/>
      <c r="AI51" s="150"/>
      <c r="AJ51" s="150"/>
      <c r="AK51" s="150"/>
      <c r="AL51" s="150"/>
      <c r="AM51" s="150"/>
      <c r="AN51" s="150"/>
      <c r="AO51" s="150"/>
      <c r="AP51" s="150"/>
      <c r="AQ51" s="150"/>
      <c r="AR51" s="150" t="s">
        <v>725</v>
      </c>
      <c r="AS51" s="150">
        <v>2400</v>
      </c>
      <c r="AT51" s="150" t="s">
        <v>719</v>
      </c>
      <c r="AU51" s="150">
        <v>2000</v>
      </c>
      <c r="AV51" s="150" t="s">
        <v>719</v>
      </c>
      <c r="AW51" s="150">
        <v>1000</v>
      </c>
      <c r="AX51" s="150"/>
      <c r="AY51" s="150"/>
      <c r="AZ51" s="150"/>
      <c r="BA51" s="150"/>
      <c r="BB51" s="150"/>
      <c r="BC51" s="150"/>
      <c r="BD51" s="150"/>
      <c r="BE51" s="150"/>
      <c r="BF51" s="150"/>
      <c r="BG51" s="150"/>
      <c r="BH51" s="150"/>
      <c r="BI51" s="150"/>
      <c r="BJ51" s="150"/>
      <c r="BK51" s="150"/>
      <c r="BL51" s="150"/>
      <c r="BM51" s="150"/>
      <c r="BN51" s="150"/>
      <c r="BO51" s="150"/>
      <c r="BP51" s="150"/>
      <c r="BQ51" s="150"/>
      <c r="BR51" s="150"/>
      <c r="BS51" s="150"/>
      <c r="BT51" s="150"/>
      <c r="BU51" s="150"/>
      <c r="BV51" s="150"/>
      <c r="BW51" s="150"/>
      <c r="BX51" s="150"/>
      <c r="BY51" s="150"/>
      <c r="BZ51" s="150"/>
      <c r="CA51" s="150"/>
      <c r="CB51" s="150"/>
      <c r="CC51" s="150"/>
      <c r="CD51" s="150"/>
      <c r="CE51" s="150"/>
      <c r="CF51" s="150"/>
      <c r="CG51" s="150"/>
      <c r="CH51" s="150"/>
      <c r="CI51" s="150"/>
      <c r="CJ51" s="150"/>
      <c r="CK51" s="150"/>
      <c r="CL51" s="150"/>
      <c r="CM51" s="150"/>
      <c r="CN51" s="150"/>
      <c r="CO51" s="150"/>
      <c r="CP51" s="150"/>
      <c r="CQ51" s="150"/>
      <c r="CR51" s="150"/>
      <c r="CS51" s="150"/>
      <c r="CT51" s="150"/>
      <c r="CU51" s="150"/>
      <c r="CV51" s="150"/>
      <c r="CW51" s="150"/>
      <c r="CX51" s="150"/>
      <c r="CY51" s="150"/>
      <c r="CZ51" s="150"/>
      <c r="DA51" s="150"/>
      <c r="DB51" s="150"/>
      <c r="DC51" s="150"/>
      <c r="DD51" s="150"/>
      <c r="DE51" s="150"/>
      <c r="DF51" s="150"/>
      <c r="DG51" s="150"/>
      <c r="DH51" s="150"/>
      <c r="DI51" s="150"/>
      <c r="DJ51" s="150"/>
      <c r="DK51" s="150"/>
      <c r="DL51" s="150"/>
      <c r="DM51" s="150"/>
      <c r="DN51" s="150"/>
      <c r="DO51" s="150"/>
      <c r="DP51" s="150"/>
      <c r="DQ51" s="181"/>
      <c r="DR51" s="181"/>
      <c r="DS51" s="181"/>
      <c r="DT51" s="150"/>
      <c r="DU51" s="150"/>
      <c r="DV51" s="150"/>
      <c r="DW51" s="150"/>
      <c r="DX51" s="150"/>
      <c r="DY51" s="150"/>
      <c r="DZ51" s="150"/>
      <c r="EA51" s="150"/>
      <c r="EB51" s="150"/>
      <c r="EC51" s="150"/>
      <c r="ED51" s="150"/>
      <c r="EE51" s="150"/>
      <c r="EF51" s="150"/>
      <c r="EG51" s="150"/>
      <c r="EH51" s="150"/>
      <c r="EI51" s="150"/>
      <c r="EJ51" s="150"/>
      <c r="EK51" s="150"/>
      <c r="EL51" s="150"/>
      <c r="EM51" s="150"/>
      <c r="EN51" s="150"/>
      <c r="EO51" s="150"/>
      <c r="EP51" s="150"/>
      <c r="EQ51" s="150"/>
      <c r="ER51" s="150"/>
      <c r="ES51" s="150"/>
      <c r="ET51" s="150"/>
      <c r="EU51" s="150"/>
      <c r="EV51" s="150"/>
      <c r="EW51" s="150"/>
      <c r="EX51" s="150"/>
      <c r="EY51" s="150"/>
      <c r="EZ51" s="150"/>
      <c r="FA51" s="150"/>
      <c r="FB51" s="150"/>
      <c r="FC51" s="150"/>
      <c r="FD51" s="150"/>
      <c r="FE51" s="150"/>
      <c r="FF51" s="150"/>
      <c r="FG51" s="150"/>
      <c r="FH51" s="150"/>
      <c r="FI51" s="150"/>
      <c r="FJ51" s="150"/>
      <c r="FK51" s="150"/>
      <c r="FL51" s="150"/>
      <c r="FM51" s="150"/>
      <c r="FN51" s="150"/>
      <c r="FO51" s="150"/>
      <c r="FP51" s="150"/>
      <c r="FQ51" s="150"/>
      <c r="FR51" s="150"/>
      <c r="FS51" s="150"/>
      <c r="FT51" s="150"/>
      <c r="FU51" s="150"/>
      <c r="FV51" s="150"/>
      <c r="FW51" s="150"/>
      <c r="FX51" s="150"/>
      <c r="FY51" s="150"/>
      <c r="FZ51" s="150"/>
      <c r="GA51" s="150"/>
      <c r="GB51" s="150"/>
      <c r="GC51" s="150"/>
      <c r="GD51" s="150"/>
      <c r="GE51" s="150"/>
      <c r="GF51" s="150"/>
      <c r="GG51" s="150"/>
      <c r="GH51" s="150"/>
      <c r="GI51" s="150"/>
      <c r="GJ51" s="150"/>
      <c r="GK51" s="150"/>
      <c r="GL51" s="150"/>
      <c r="GM51" s="150"/>
      <c r="GN51" s="150"/>
      <c r="GO51" s="150"/>
      <c r="GP51" s="150"/>
      <c r="GQ51" s="150"/>
      <c r="GR51" s="150"/>
      <c r="GS51" s="150"/>
      <c r="GT51" s="150"/>
      <c r="GU51" s="150"/>
      <c r="GV51" s="150"/>
      <c r="GW51" s="150"/>
      <c r="GX51" s="150"/>
      <c r="GY51" s="150"/>
      <c r="GZ51" s="150"/>
      <c r="HA51" s="150"/>
      <c r="HB51" s="150"/>
      <c r="HC51" s="150"/>
      <c r="HD51" s="150"/>
      <c r="HE51" s="150"/>
      <c r="HF51" s="150"/>
      <c r="HG51" s="150"/>
      <c r="HH51" s="150"/>
    </row>
    <row r="52" spans="1:216" x14ac:dyDescent="0.2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6" t="str">
        <f>INDEX(($AJ$3:$AJ$12),MATCH(I35,$AG$3:$AG$12,0),1)</f>
        <v>SAM8X30E</v>
      </c>
      <c r="M52" s="11">
        <f>INDEX(cennik!$C$2:$L$529,MATCH($L52,cennik!$B$2:$B$522,0),MATCH(M$2,cennik!$C$1:$L$1,0))</f>
        <v>898530</v>
      </c>
      <c r="N52" s="11" t="str">
        <f>INDEX(cennik!$C$2:$L$529,MATCH($L52,cennik!$B$2:$B$522,0),MATCH(N$2,cennik!$C$1:$L$1,0))</f>
        <v>szt.</v>
      </c>
      <c r="O52" s="11">
        <f>SUM(O50:O51)</f>
        <v>0</v>
      </c>
      <c r="P52" s="34">
        <f>INDEX(cennik!$C$2:$L$529,MATCH($L52,cennik!$B$2:$B$522,0),MATCH(P$2,cennik!$C$1:$L$1,0))</f>
        <v>0.5</v>
      </c>
      <c r="Q52" s="34">
        <f t="shared" si="142"/>
        <v>0</v>
      </c>
      <c r="R52" s="35">
        <f t="shared" si="88"/>
        <v>0</v>
      </c>
      <c r="S52" s="34">
        <f t="shared" si="89"/>
        <v>0.5</v>
      </c>
      <c r="T52" s="34">
        <f t="shared" si="143"/>
        <v>0</v>
      </c>
      <c r="U52" s="34">
        <f>INDEX(cennik!$C$2:$L$529,MATCH($L52,cennik!$B$2:$B$522,0),MATCH(U$2,cennik!$C$1:$L$1,0))*O52</f>
        <v>0</v>
      </c>
      <c r="V52" s="62"/>
      <c r="W52" s="62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C34</f>
        <v>0</v>
      </c>
      <c r="X52" s="62"/>
      <c r="Y52" s="62"/>
      <c r="Z52" s="62"/>
      <c r="AA52" s="150"/>
      <c r="AB52" s="150"/>
      <c r="AC52" s="150"/>
      <c r="AD52" s="150"/>
      <c r="AE52" s="150" t="s">
        <v>880</v>
      </c>
      <c r="AF52" s="150">
        <v>2600</v>
      </c>
      <c r="AG52" s="150"/>
      <c r="AH52" s="150"/>
      <c r="AI52" s="150"/>
      <c r="AJ52" s="150"/>
      <c r="AK52" s="150"/>
      <c r="AL52" s="150"/>
      <c r="AM52" s="150"/>
      <c r="AN52" s="150"/>
      <c r="AO52" s="150"/>
      <c r="AP52" s="150"/>
      <c r="AQ52" s="150"/>
      <c r="AR52" s="150"/>
      <c r="AS52" s="150"/>
      <c r="AT52" s="150"/>
      <c r="AU52" s="150"/>
      <c r="AV52" s="150"/>
      <c r="AW52" s="150"/>
      <c r="AX52" s="150"/>
      <c r="AY52" s="150"/>
      <c r="AZ52" s="150"/>
      <c r="BA52" s="150"/>
      <c r="BB52" s="150"/>
      <c r="BC52" s="150"/>
      <c r="BD52" s="150"/>
      <c r="BE52" s="150"/>
      <c r="BF52" s="150"/>
      <c r="BG52" s="150"/>
      <c r="BH52" s="150"/>
      <c r="BI52" s="150"/>
      <c r="BJ52" s="150"/>
      <c r="BK52" s="150"/>
      <c r="BL52" s="150"/>
      <c r="BM52" s="150"/>
      <c r="BN52" s="150"/>
      <c r="BO52" s="150"/>
      <c r="BP52" s="150"/>
      <c r="BQ52" s="150"/>
      <c r="BR52" s="150"/>
      <c r="BS52" s="150"/>
      <c r="BT52" s="150"/>
      <c r="BU52" s="150"/>
      <c r="BV52" s="150"/>
      <c r="BW52" s="150"/>
      <c r="BX52" s="150"/>
      <c r="BY52" s="150"/>
      <c r="BZ52" s="150"/>
      <c r="CA52" s="150"/>
      <c r="CB52" s="150"/>
      <c r="CC52" s="150"/>
      <c r="CD52" s="150"/>
      <c r="CE52" s="150"/>
      <c r="CF52" s="150"/>
      <c r="CG52" s="150"/>
      <c r="CH52" s="150"/>
      <c r="CI52" s="150"/>
      <c r="CJ52" s="150"/>
      <c r="CK52" s="150"/>
      <c r="CL52" s="150"/>
      <c r="CM52" s="150"/>
      <c r="CN52" s="150"/>
      <c r="CO52" s="150"/>
      <c r="CP52" s="150"/>
      <c r="CQ52" s="150"/>
      <c r="CR52" s="150"/>
      <c r="CS52" s="150"/>
      <c r="CT52" s="150"/>
      <c r="CU52" s="150"/>
      <c r="CV52" s="150"/>
      <c r="CW52" s="150"/>
      <c r="CX52" s="150"/>
      <c r="CY52" s="150"/>
      <c r="CZ52" s="150"/>
      <c r="DA52" s="150"/>
      <c r="DB52" s="150"/>
      <c r="DC52" s="150"/>
      <c r="DD52" s="150"/>
      <c r="DE52" s="150"/>
      <c r="DF52" s="150"/>
      <c r="DG52" s="150"/>
      <c r="DH52" s="150"/>
      <c r="DI52" s="150"/>
      <c r="DJ52" s="150"/>
      <c r="DK52" s="150"/>
      <c r="DL52" s="150"/>
      <c r="DM52" s="150"/>
      <c r="DN52" s="150"/>
      <c r="DO52" s="150"/>
      <c r="DP52" s="150"/>
      <c r="DQ52" s="181"/>
      <c r="DR52" s="181"/>
      <c r="DS52" s="181"/>
      <c r="DT52" s="150"/>
      <c r="DU52" s="150"/>
      <c r="DV52" s="150"/>
      <c r="DW52" s="150"/>
      <c r="DX52" s="150"/>
      <c r="DY52" s="150"/>
      <c r="DZ52" s="150"/>
      <c r="EA52" s="150"/>
      <c r="EB52" s="150"/>
      <c r="EC52" s="150"/>
      <c r="ED52" s="150"/>
      <c r="EE52" s="150"/>
      <c r="EF52" s="150"/>
      <c r="EG52" s="150"/>
      <c r="EH52" s="150"/>
      <c r="EI52" s="150"/>
      <c r="EJ52" s="150"/>
      <c r="EK52" s="150"/>
      <c r="EL52" s="150"/>
      <c r="EM52" s="150"/>
      <c r="EN52" s="150"/>
      <c r="EO52" s="150"/>
      <c r="EP52" s="150"/>
      <c r="EQ52" s="150"/>
      <c r="ER52" s="150"/>
      <c r="ES52" s="150"/>
      <c r="ET52" s="150"/>
      <c r="EU52" s="150"/>
      <c r="EV52" s="150"/>
      <c r="EW52" s="150"/>
      <c r="EX52" s="150"/>
      <c r="EY52" s="150"/>
      <c r="EZ52" s="150"/>
      <c r="FA52" s="150"/>
      <c r="FB52" s="150"/>
      <c r="FC52" s="150"/>
      <c r="FD52" s="150"/>
      <c r="FE52" s="150"/>
      <c r="FF52" s="150"/>
      <c r="FG52" s="150"/>
      <c r="FH52" s="150"/>
      <c r="FI52" s="150"/>
      <c r="FJ52" s="150"/>
      <c r="FK52" s="150"/>
      <c r="FL52" s="150"/>
      <c r="FM52" s="150"/>
      <c r="FN52" s="150"/>
      <c r="FO52" s="150"/>
      <c r="FP52" s="150"/>
      <c r="FQ52" s="150"/>
      <c r="FR52" s="150"/>
      <c r="FS52" s="150"/>
      <c r="FT52" s="150"/>
      <c r="FU52" s="150"/>
      <c r="FV52" s="150"/>
      <c r="FW52" s="150"/>
      <c r="FX52" s="150"/>
      <c r="FY52" s="150"/>
      <c r="FZ52" s="150"/>
      <c r="GA52" s="150"/>
      <c r="GB52" s="150"/>
      <c r="GC52" s="150"/>
      <c r="GD52" s="150"/>
      <c r="GE52" s="150"/>
      <c r="GF52" s="150"/>
      <c r="GG52" s="150"/>
      <c r="GH52" s="150"/>
      <c r="GI52" s="150"/>
      <c r="GJ52" s="150"/>
      <c r="GK52" s="150"/>
      <c r="GL52" s="150"/>
      <c r="GM52" s="150"/>
      <c r="GN52" s="150"/>
      <c r="GO52" s="150"/>
      <c r="GP52" s="150"/>
      <c r="GQ52" s="150"/>
      <c r="GR52" s="150"/>
      <c r="GS52" s="150"/>
      <c r="GT52" s="150"/>
      <c r="GU52" s="150"/>
      <c r="GV52" s="150"/>
      <c r="GW52" s="150"/>
      <c r="GX52" s="150"/>
      <c r="GY52" s="150"/>
      <c r="GZ52" s="150"/>
      <c r="HA52" s="150"/>
      <c r="HB52" s="150"/>
      <c r="HC52" s="150"/>
      <c r="HD52" s="150"/>
      <c r="HE52" s="150"/>
      <c r="HF52" s="150"/>
      <c r="HG52" s="150"/>
      <c r="HH52" s="150"/>
    </row>
    <row r="53" spans="1:216" x14ac:dyDescent="0.25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6" t="s">
        <v>1019</v>
      </c>
      <c r="M53" s="11">
        <f>INDEX(cennik!$C$2:$L$529,MATCH($L53,cennik!$B$2:$B$522,0),MATCH(M$2,cennik!$C$1:$L$1,0))</f>
        <v>166794</v>
      </c>
      <c r="N53" s="11" t="str">
        <f>INDEX(cennik!$C$2:$L$529,MATCH($L53,cennik!$B$2:$B$522,0),MATCH(N$2,cennik!$C$1:$L$1,0))</f>
        <v>100 szt.</v>
      </c>
      <c r="O53" s="11">
        <f>ROUNDUP(O52/100,0)</f>
        <v>0</v>
      </c>
      <c r="P53" s="34">
        <f>INDEX(cennik!$C$2:$L$529,MATCH($L53,cennik!$B$2:$B$522,0),MATCH(P$2,cennik!$C$1:$L$1,0))</f>
        <v>3.95</v>
      </c>
      <c r="Q53" s="34">
        <f t="shared" si="142"/>
        <v>0</v>
      </c>
      <c r="R53" s="35">
        <f t="shared" si="88"/>
        <v>0</v>
      </c>
      <c r="S53" s="34">
        <f t="shared" si="89"/>
        <v>3.95</v>
      </c>
      <c r="T53" s="34">
        <f t="shared" si="143"/>
        <v>0</v>
      </c>
      <c r="U53" s="34">
        <f>INDEX(cennik!$C$2:$L$529,MATCH($L53,cennik!$B$2:$B$522,0),MATCH(U$2,cennik!$C$1:$L$1,0))*O53</f>
        <v>0</v>
      </c>
      <c r="V53" s="62"/>
      <c r="W53" s="62"/>
      <c r="X53" s="62"/>
      <c r="Y53" s="62"/>
      <c r="Z53" s="62"/>
      <c r="AA53" s="150"/>
      <c r="AB53" s="150"/>
      <c r="AC53" s="150"/>
      <c r="AD53" s="150"/>
      <c r="AE53" s="150"/>
      <c r="AF53" s="150"/>
      <c r="AG53" s="150"/>
      <c r="AH53" s="150"/>
      <c r="AI53" s="150"/>
      <c r="AJ53" s="150"/>
      <c r="AK53" s="150"/>
      <c r="AL53" s="150"/>
      <c r="AM53" s="150"/>
      <c r="AN53" s="150"/>
      <c r="AO53" s="150"/>
      <c r="AP53" s="150"/>
      <c r="AQ53" s="150"/>
      <c r="AR53" s="150"/>
      <c r="AS53" s="150"/>
      <c r="AT53" s="150"/>
      <c r="AU53" s="150"/>
      <c r="AV53" s="150"/>
      <c r="AW53" s="150"/>
      <c r="AX53" s="150"/>
      <c r="AY53" s="150"/>
      <c r="AZ53" s="150"/>
      <c r="BA53" s="150"/>
      <c r="BB53" s="150"/>
      <c r="BC53" s="150"/>
      <c r="BD53" s="150"/>
      <c r="BE53" s="150"/>
      <c r="BF53" s="150"/>
      <c r="BG53" s="150"/>
      <c r="BH53" s="150"/>
      <c r="BI53" s="150"/>
      <c r="BJ53" s="150"/>
      <c r="BK53" s="150"/>
      <c r="BL53" s="150"/>
      <c r="BM53" s="150"/>
      <c r="BN53" s="150"/>
      <c r="BO53" s="150"/>
      <c r="BP53" s="150"/>
      <c r="BQ53" s="150"/>
      <c r="BR53" s="150"/>
      <c r="BS53" s="150"/>
      <c r="BT53" s="150"/>
      <c r="BU53" s="150"/>
      <c r="BV53" s="150"/>
      <c r="BW53" s="150"/>
      <c r="BX53" s="150"/>
      <c r="BY53" s="150"/>
      <c r="BZ53" s="150"/>
      <c r="CA53" s="150"/>
      <c r="CB53" s="150"/>
      <c r="CC53" s="150"/>
      <c r="CD53" s="150"/>
      <c r="CE53" s="150"/>
      <c r="CF53" s="150"/>
      <c r="CG53" s="150"/>
      <c r="CH53" s="150"/>
      <c r="CI53" s="150"/>
      <c r="CJ53" s="150"/>
      <c r="CK53" s="150"/>
      <c r="CL53" s="150"/>
      <c r="CM53" s="150"/>
      <c r="CN53" s="150"/>
      <c r="CO53" s="150"/>
      <c r="CP53" s="150"/>
      <c r="CQ53" s="150"/>
      <c r="CR53" s="150"/>
      <c r="CS53" s="150"/>
      <c r="CT53" s="150"/>
      <c r="CU53" s="150"/>
      <c r="CV53" s="150"/>
      <c r="CW53" s="150"/>
      <c r="CX53" s="150"/>
      <c r="CY53" s="150"/>
      <c r="CZ53" s="150"/>
      <c r="DA53" s="150"/>
      <c r="DB53" s="150"/>
      <c r="DC53" s="150"/>
      <c r="DD53" s="150"/>
      <c r="DE53" s="150"/>
      <c r="DF53" s="150"/>
      <c r="DG53" s="150"/>
      <c r="DH53" s="150"/>
      <c r="DI53" s="150"/>
      <c r="DJ53" s="150"/>
      <c r="DK53" s="150"/>
      <c r="DL53" s="150"/>
      <c r="DM53" s="150"/>
      <c r="DN53" s="150"/>
      <c r="DO53" s="150"/>
      <c r="DP53" s="150"/>
      <c r="DQ53" s="181"/>
      <c r="DR53" s="181"/>
      <c r="DS53" s="181"/>
      <c r="DT53" s="150"/>
      <c r="DU53" s="150"/>
      <c r="DV53" s="150"/>
      <c r="DW53" s="150"/>
      <c r="DX53" s="150"/>
      <c r="DY53" s="150"/>
      <c r="DZ53" s="150"/>
      <c r="EA53" s="150"/>
      <c r="EB53" s="150"/>
      <c r="EC53" s="150"/>
      <c r="ED53" s="150"/>
      <c r="EE53" s="150"/>
      <c r="EF53" s="150"/>
      <c r="EG53" s="150"/>
      <c r="EH53" s="150"/>
      <c r="EI53" s="150"/>
      <c r="EJ53" s="150"/>
      <c r="EK53" s="150"/>
      <c r="EL53" s="150"/>
      <c r="EM53" s="150"/>
      <c r="EN53" s="150"/>
      <c r="EO53" s="150"/>
      <c r="EP53" s="150"/>
      <c r="EQ53" s="150"/>
      <c r="ER53" s="150"/>
      <c r="ES53" s="150"/>
      <c r="ET53" s="150"/>
      <c r="EU53" s="150"/>
      <c r="EV53" s="150"/>
      <c r="EW53" s="150"/>
      <c r="EX53" s="150"/>
      <c r="EY53" s="150"/>
      <c r="EZ53" s="150"/>
      <c r="FA53" s="150"/>
      <c r="FB53" s="150"/>
      <c r="FC53" s="150"/>
      <c r="FD53" s="150"/>
      <c r="FE53" s="150"/>
      <c r="FF53" s="150"/>
      <c r="FG53" s="150"/>
      <c r="FH53" s="150"/>
      <c r="FI53" s="150"/>
      <c r="FJ53" s="150"/>
      <c r="FK53" s="150"/>
      <c r="FL53" s="150"/>
      <c r="FM53" s="150"/>
      <c r="FN53" s="150"/>
      <c r="FO53" s="150"/>
      <c r="FP53" s="150"/>
      <c r="FQ53" s="150"/>
      <c r="FR53" s="150"/>
      <c r="FS53" s="150"/>
      <c r="FT53" s="150"/>
      <c r="FU53" s="150"/>
      <c r="FV53" s="150"/>
      <c r="FW53" s="150"/>
      <c r="FX53" s="150"/>
      <c r="FY53" s="150"/>
      <c r="FZ53" s="150"/>
      <c r="GA53" s="150"/>
      <c r="GB53" s="150"/>
      <c r="GC53" s="150"/>
      <c r="GD53" s="150"/>
      <c r="GE53" s="150"/>
      <c r="GF53" s="150"/>
      <c r="GG53" s="150"/>
      <c r="GH53" s="150"/>
      <c r="GI53" s="150"/>
      <c r="GJ53" s="150"/>
      <c r="GK53" s="150"/>
      <c r="GL53" s="150"/>
      <c r="GM53" s="150"/>
      <c r="GN53" s="150"/>
      <c r="GO53" s="150"/>
      <c r="GP53" s="150"/>
      <c r="GQ53" s="150"/>
      <c r="GR53" s="150"/>
      <c r="GS53" s="150"/>
      <c r="GT53" s="150"/>
      <c r="GU53" s="150"/>
      <c r="GV53" s="150"/>
      <c r="GW53" s="150"/>
      <c r="GX53" s="150"/>
      <c r="GY53" s="150"/>
      <c r="GZ53" s="150"/>
      <c r="HA53" s="150"/>
      <c r="HB53" s="150"/>
      <c r="HC53" s="150"/>
      <c r="HD53" s="150"/>
      <c r="HE53" s="150"/>
      <c r="HF53" s="150"/>
      <c r="HG53" s="150"/>
      <c r="HH53" s="150"/>
    </row>
    <row r="54" spans="1:216" ht="15.75" thickBo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6" t="s">
        <v>525</v>
      </c>
      <c r="M54" s="11">
        <f>INDEX(cennik!$C$2:$L$529,MATCH($L54,cennik!$B$2:$B$522,0),MATCH(M$2,cennik!$C$1:$L$1,0))</f>
        <v>660245</v>
      </c>
      <c r="N54" s="11" t="str">
        <f>INDEX(cennik!$C$2:$L$529,MATCH($L54,cennik!$B$2:$B$522,0),MATCH(N$2,cennik!$C$1:$L$1,0))</f>
        <v>szt.</v>
      </c>
      <c r="O54" s="11">
        <f>O52</f>
        <v>0</v>
      </c>
      <c r="P54" s="34">
        <f>INDEX(cennik!$C$2:$L$529,MATCH($L54,cennik!$B$2:$B$522,0),MATCH(P$2,cennik!$C$1:$L$1,0))</f>
        <v>1.56</v>
      </c>
      <c r="Q54" s="34">
        <f t="shared" si="142"/>
        <v>0</v>
      </c>
      <c r="R54" s="35">
        <f t="shared" si="88"/>
        <v>0</v>
      </c>
      <c r="S54" s="34">
        <f t="shared" si="89"/>
        <v>1.56</v>
      </c>
      <c r="T54" s="34">
        <f t="shared" si="143"/>
        <v>0</v>
      </c>
      <c r="U54" s="34">
        <f>INDEX(cennik!$C$2:$L$529,MATCH($L54,cennik!$B$2:$B$522,0),MATCH(U$2,cennik!$C$1:$L$1,0))*O54</f>
        <v>0</v>
      </c>
      <c r="V54" s="62"/>
      <c r="W54" s="62"/>
      <c r="X54" s="62"/>
      <c r="Y54" s="62"/>
      <c r="Z54" s="150"/>
      <c r="AA54" s="150"/>
      <c r="AB54" s="150"/>
      <c r="AC54" s="170"/>
      <c r="AD54" s="150"/>
      <c r="AE54" s="150"/>
      <c r="AF54" s="150"/>
      <c r="AG54" s="150"/>
      <c r="AH54" s="150"/>
      <c r="AI54" s="150"/>
      <c r="AJ54" s="150"/>
      <c r="AK54" s="150"/>
      <c r="AL54" s="150"/>
      <c r="AM54" s="150"/>
      <c r="AN54" s="150"/>
      <c r="AO54" s="150"/>
      <c r="AP54" s="150"/>
      <c r="AQ54" s="150"/>
      <c r="AR54" s="167" t="s">
        <v>726</v>
      </c>
      <c r="AS54" s="150"/>
      <c r="AT54" s="150"/>
      <c r="AU54" s="150"/>
      <c r="AV54" s="150"/>
      <c r="AW54" s="150"/>
      <c r="AX54" s="150"/>
      <c r="AY54" s="150"/>
      <c r="AZ54" s="150"/>
      <c r="BA54" s="150"/>
      <c r="BB54" s="150"/>
      <c r="BC54" s="150"/>
      <c r="BD54" s="150"/>
      <c r="BE54" s="150"/>
      <c r="BF54" s="150"/>
      <c r="BG54" s="150"/>
      <c r="BH54" s="150"/>
      <c r="BI54" s="150"/>
      <c r="BJ54" s="150"/>
      <c r="BK54" s="150"/>
      <c r="BL54" s="150"/>
      <c r="BM54" s="150"/>
      <c r="BN54" s="150"/>
      <c r="BO54" s="150"/>
      <c r="BP54" s="150"/>
      <c r="BQ54" s="150"/>
      <c r="BR54" s="150"/>
      <c r="BS54" s="150"/>
      <c r="BT54" s="150"/>
      <c r="BU54" s="150"/>
      <c r="BV54" s="150"/>
      <c r="BW54" s="150"/>
      <c r="BX54" s="150"/>
      <c r="BY54" s="150"/>
      <c r="BZ54" s="150"/>
      <c r="CA54" s="150"/>
      <c r="CB54" s="150"/>
      <c r="CC54" s="150"/>
      <c r="CD54" s="150"/>
      <c r="CE54" s="150"/>
      <c r="CF54" s="150"/>
      <c r="CG54" s="150"/>
      <c r="CH54" s="150"/>
      <c r="CI54" s="150"/>
      <c r="CJ54" s="150"/>
      <c r="CK54" s="150"/>
      <c r="CL54" s="150"/>
      <c r="CM54" s="150"/>
      <c r="CN54" s="150"/>
      <c r="CO54" s="150"/>
      <c r="CP54" s="150"/>
      <c r="CQ54" s="150"/>
      <c r="CR54" s="150"/>
      <c r="CS54" s="150"/>
      <c r="CT54" s="150"/>
      <c r="CU54" s="150"/>
      <c r="CV54" s="150"/>
      <c r="CW54" s="150"/>
      <c r="CX54" s="150"/>
      <c r="CY54" s="150"/>
      <c r="CZ54" s="150"/>
      <c r="DA54" s="150"/>
      <c r="DB54" s="150"/>
      <c r="DC54" s="150"/>
      <c r="DD54" s="150"/>
      <c r="DE54" s="150"/>
      <c r="DF54" s="150"/>
      <c r="DG54" s="150"/>
      <c r="DH54" s="150"/>
      <c r="DI54" s="150"/>
      <c r="DJ54" s="150"/>
      <c r="DK54" s="150"/>
      <c r="DL54" s="150"/>
      <c r="DM54" s="150"/>
      <c r="DN54" s="150"/>
      <c r="DO54" s="150"/>
      <c r="DP54" s="150"/>
      <c r="DQ54" s="181"/>
      <c r="DR54" s="181"/>
      <c r="DS54" s="181"/>
      <c r="DT54" s="150"/>
      <c r="DU54" s="150"/>
      <c r="DV54" s="150"/>
      <c r="DW54" s="150"/>
      <c r="DX54" s="150"/>
      <c r="DY54" s="150"/>
      <c r="DZ54" s="150"/>
      <c r="EA54" s="150"/>
      <c r="EB54" s="150"/>
      <c r="EC54" s="150"/>
      <c r="ED54" s="150"/>
      <c r="EE54" s="150"/>
      <c r="EF54" s="150"/>
      <c r="EG54" s="150"/>
      <c r="EH54" s="150"/>
      <c r="EI54" s="150"/>
      <c r="EJ54" s="150"/>
      <c r="EK54" s="150"/>
      <c r="EL54" s="150"/>
      <c r="EM54" s="150"/>
      <c r="EN54" s="150"/>
      <c r="EO54" s="150"/>
      <c r="EP54" s="150"/>
      <c r="EQ54" s="150"/>
      <c r="ER54" s="150"/>
      <c r="ES54" s="150"/>
      <c r="ET54" s="150"/>
      <c r="EU54" s="150"/>
      <c r="EV54" s="150"/>
      <c r="EW54" s="150"/>
      <c r="EX54" s="150"/>
      <c r="EY54" s="150"/>
      <c r="EZ54" s="150"/>
      <c r="FA54" s="150"/>
      <c r="FB54" s="150"/>
      <c r="FC54" s="150"/>
      <c r="FD54" s="150"/>
      <c r="FE54" s="150"/>
      <c r="FF54" s="150"/>
      <c r="FG54" s="150"/>
      <c r="FH54" s="150"/>
      <c r="FI54" s="150"/>
      <c r="FJ54" s="150"/>
      <c r="FK54" s="150"/>
      <c r="FL54" s="150"/>
      <c r="FM54" s="150"/>
      <c r="FN54" s="150"/>
      <c r="FO54" s="150"/>
      <c r="FP54" s="150"/>
      <c r="FQ54" s="150"/>
      <c r="FR54" s="150"/>
      <c r="FS54" s="150"/>
      <c r="FT54" s="150"/>
      <c r="FU54" s="150"/>
      <c r="FV54" s="150"/>
      <c r="FW54" s="150"/>
      <c r="FX54" s="150"/>
      <c r="FY54" s="150"/>
      <c r="FZ54" s="150"/>
      <c r="GA54" s="150"/>
      <c r="GB54" s="150"/>
      <c r="GC54" s="150"/>
      <c r="GD54" s="150"/>
      <c r="GE54" s="150"/>
      <c r="GF54" s="150"/>
      <c r="GG54" s="150"/>
      <c r="GH54" s="150"/>
      <c r="GI54" s="150"/>
      <c r="GJ54" s="150"/>
      <c r="GK54" s="150"/>
      <c r="GL54" s="150"/>
      <c r="GM54" s="150"/>
      <c r="GN54" s="150"/>
      <c r="GO54" s="150"/>
      <c r="GP54" s="150"/>
      <c r="GQ54" s="150"/>
      <c r="GR54" s="150"/>
      <c r="GS54" s="150"/>
      <c r="GT54" s="150"/>
      <c r="GU54" s="150"/>
      <c r="GV54" s="150"/>
      <c r="GW54" s="150"/>
      <c r="GX54" s="150"/>
      <c r="GY54" s="150"/>
      <c r="GZ54" s="150"/>
      <c r="HA54" s="150"/>
      <c r="HB54" s="150"/>
      <c r="HC54" s="150"/>
      <c r="HD54" s="150"/>
      <c r="HE54" s="150"/>
      <c r="HF54" s="150"/>
      <c r="HG54" s="150"/>
      <c r="HH54" s="150"/>
    </row>
    <row r="55" spans="1:216" x14ac:dyDescent="0.2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6" t="s">
        <v>799</v>
      </c>
      <c r="M55" s="11">
        <f>INDEX(cennik!$C$2:$L$529,MATCH($L55,cennik!$B$2:$B$522,0),MATCH(M$2,cennik!$C$1:$L$1,0))</f>
        <v>6510443</v>
      </c>
      <c r="N55" s="11" t="str">
        <f>INDEX(cennik!$C$2:$L$529,MATCH($L55,cennik!$B$2:$B$522,0),MATCH(N$2,cennik!$C$1:$L$1,0))</f>
        <v>100 szt.</v>
      </c>
      <c r="O55" s="11">
        <f>O56</f>
        <v>0</v>
      </c>
      <c r="P55" s="34">
        <f>INDEX(cennik!$C$2:$L$529,MATCH($L55,cennik!$B$2:$B$522,0),MATCH(P$2,cennik!$C$1:$L$1,0))</f>
        <v>43.51</v>
      </c>
      <c r="Q55" s="34">
        <f t="shared" ref="Q55" si="148">O55*P55</f>
        <v>0</v>
      </c>
      <c r="R55" s="35">
        <f t="shared" si="88"/>
        <v>0</v>
      </c>
      <c r="S55" s="34">
        <f t="shared" si="89"/>
        <v>43.51</v>
      </c>
      <c r="T55" s="34">
        <f t="shared" ref="T55" si="149">O55*S55</f>
        <v>0</v>
      </c>
      <c r="U55" s="34">
        <f>INDEX(cennik!$C$2:$L$529,MATCH($L55,cennik!$B$2:$B$522,0),MATCH(U$2,cennik!$C$1:$L$1,0))*O55</f>
        <v>0</v>
      </c>
      <c r="V55" s="150"/>
      <c r="W55" s="150"/>
      <c r="X55" s="150"/>
      <c r="Y55" s="150"/>
      <c r="Z55" s="150"/>
      <c r="AA55" s="150"/>
      <c r="AB55" s="150"/>
      <c r="AC55" s="150"/>
      <c r="AD55" s="150"/>
      <c r="AE55" s="150"/>
      <c r="AF55" s="150"/>
      <c r="AG55" s="150"/>
      <c r="AH55" s="150"/>
      <c r="AI55" s="150"/>
      <c r="AJ55" s="150"/>
      <c r="AK55" s="150"/>
      <c r="AL55" s="150"/>
      <c r="AM55" s="150"/>
      <c r="AN55" s="150"/>
      <c r="AO55" s="150"/>
      <c r="AP55" s="150"/>
      <c r="AQ55" s="150"/>
      <c r="AR55" s="150"/>
      <c r="AS55" s="150" t="s">
        <v>314</v>
      </c>
      <c r="AT55" s="150" t="s">
        <v>312</v>
      </c>
      <c r="AU55" s="150" t="s">
        <v>309</v>
      </c>
      <c r="AV55" s="150" t="s">
        <v>313</v>
      </c>
      <c r="AW55" s="150"/>
      <c r="AX55" s="150"/>
      <c r="AY55" s="150"/>
      <c r="AZ55" s="150"/>
      <c r="BA55" s="150"/>
      <c r="BB55" s="150"/>
      <c r="BC55" s="150"/>
      <c r="BD55" s="150"/>
      <c r="BE55" s="150"/>
      <c r="BF55" s="150"/>
      <c r="BG55" s="150"/>
      <c r="BH55" s="150"/>
      <c r="BI55" s="150"/>
      <c r="BJ55" s="150"/>
      <c r="BK55" s="150"/>
      <c r="BL55" s="150"/>
      <c r="BM55" s="150"/>
      <c r="BN55" s="150"/>
      <c r="BO55" s="150"/>
      <c r="BP55" s="150"/>
      <c r="BQ55" s="150"/>
      <c r="BR55" s="150"/>
      <c r="BS55" s="150"/>
      <c r="BT55" s="150"/>
      <c r="BU55" s="150"/>
      <c r="BV55" s="150"/>
      <c r="BW55" s="150"/>
      <c r="BX55" s="150"/>
      <c r="BY55" s="150"/>
      <c r="BZ55" s="150"/>
      <c r="CA55" s="150"/>
      <c r="CB55" s="150"/>
      <c r="CC55" s="150"/>
      <c r="CD55" s="150"/>
      <c r="CE55" s="150"/>
      <c r="CF55" s="150"/>
      <c r="CG55" s="150"/>
      <c r="CH55" s="150"/>
      <c r="CI55" s="150"/>
      <c r="CJ55" s="150"/>
      <c r="CK55" s="150"/>
      <c r="CL55" s="150"/>
      <c r="CM55" s="150"/>
      <c r="CN55" s="150"/>
      <c r="CO55" s="150"/>
      <c r="CP55" s="150"/>
      <c r="CQ55" s="150"/>
      <c r="CR55" s="150"/>
      <c r="CS55" s="150"/>
      <c r="CT55" s="150"/>
      <c r="CU55" s="150"/>
      <c r="CV55" s="150"/>
      <c r="CW55" s="150"/>
      <c r="CX55" s="150"/>
      <c r="CY55" s="150"/>
      <c r="CZ55" s="150"/>
      <c r="DA55" s="150"/>
      <c r="DB55" s="150"/>
      <c r="DC55" s="150"/>
      <c r="DD55" s="150"/>
      <c r="DE55" s="150"/>
      <c r="DF55" s="150"/>
      <c r="DG55" s="150"/>
      <c r="DH55" s="150"/>
      <c r="DI55" s="150"/>
      <c r="DJ55" s="150"/>
      <c r="DK55" s="150"/>
      <c r="DL55" s="150"/>
      <c r="DM55" s="150"/>
      <c r="DN55" s="150"/>
      <c r="DO55" s="150"/>
      <c r="DP55" s="150"/>
      <c r="DQ55" s="181"/>
      <c r="DR55" s="181"/>
      <c r="DS55" s="181"/>
      <c r="DT55" s="150"/>
      <c r="DU55" s="150"/>
      <c r="DV55" s="150"/>
      <c r="DW55" s="150"/>
      <c r="DX55" s="150"/>
      <c r="DY55" s="150"/>
      <c r="DZ55" s="150"/>
      <c r="EA55" s="150"/>
      <c r="EB55" s="150"/>
      <c r="EC55" s="150"/>
      <c r="ED55" s="150"/>
      <c r="EE55" s="150"/>
      <c r="EF55" s="150"/>
      <c r="EG55" s="150"/>
      <c r="EH55" s="150"/>
      <c r="EI55" s="150"/>
      <c r="EJ55" s="151" t="s">
        <v>773</v>
      </c>
      <c r="EK55" s="152"/>
      <c r="EL55" s="152"/>
      <c r="EM55" s="152"/>
      <c r="EN55" s="152"/>
      <c r="EO55" s="152"/>
      <c r="EP55" s="152"/>
      <c r="EQ55" s="152"/>
      <c r="ER55" s="152"/>
      <c r="ES55" s="152"/>
      <c r="ET55" s="152"/>
      <c r="EU55" s="152"/>
      <c r="EV55" s="152"/>
      <c r="EW55" s="152"/>
      <c r="EX55" s="152"/>
      <c r="EY55" s="152"/>
      <c r="EZ55" s="152"/>
      <c r="FA55" s="152"/>
      <c r="FB55" s="152"/>
      <c r="FC55" s="152"/>
      <c r="FD55" s="152"/>
      <c r="FE55" s="152"/>
      <c r="FF55" s="152"/>
      <c r="FG55" s="152"/>
      <c r="FH55" s="152"/>
      <c r="FI55" s="152"/>
      <c r="FJ55" s="152"/>
      <c r="FK55" s="152"/>
      <c r="FL55" s="152"/>
      <c r="FM55" s="152"/>
      <c r="FN55" s="152"/>
      <c r="FO55" s="152"/>
      <c r="FP55" s="152"/>
      <c r="FQ55" s="152"/>
      <c r="FR55" s="152"/>
      <c r="FS55" s="152"/>
      <c r="FT55" s="152"/>
      <c r="FU55" s="152"/>
      <c r="FV55" s="152"/>
      <c r="FW55" s="152"/>
      <c r="FX55" s="152"/>
      <c r="FY55" s="152"/>
      <c r="FZ55" s="152"/>
      <c r="GA55" s="152"/>
      <c r="GB55" s="152"/>
      <c r="GC55" s="152"/>
      <c r="GD55" s="152"/>
      <c r="GE55" s="152"/>
      <c r="GF55" s="152"/>
      <c r="GG55" s="152"/>
      <c r="GH55" s="152"/>
      <c r="GI55" s="152"/>
      <c r="GJ55" s="152"/>
      <c r="GK55" s="152"/>
      <c r="GL55" s="152"/>
      <c r="GM55" s="152"/>
      <c r="GN55" s="152"/>
      <c r="GO55" s="152"/>
      <c r="GP55" s="152"/>
      <c r="GQ55" s="152"/>
      <c r="GR55" s="152"/>
      <c r="GS55" s="152"/>
      <c r="GT55" s="152"/>
      <c r="GU55" s="152"/>
      <c r="GV55" s="152"/>
      <c r="GW55" s="152"/>
      <c r="GX55" s="152"/>
      <c r="GY55" s="152"/>
      <c r="GZ55" s="152"/>
      <c r="HA55" s="152"/>
      <c r="HB55" s="152"/>
      <c r="HC55" s="152"/>
      <c r="HD55" s="152"/>
      <c r="HE55" s="152"/>
      <c r="HF55" s="152"/>
      <c r="HG55" s="153"/>
      <c r="HH55" s="150"/>
    </row>
    <row r="56" spans="1:216" x14ac:dyDescent="0.25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6" t="s">
        <v>350</v>
      </c>
      <c r="M56" s="11">
        <f>INDEX(cennik!$C$2:$L$529,MATCH($L56,cennik!$B$2:$B$522,0),MATCH(M$2,cennik!$C$1:$L$1,0))</f>
        <v>651643</v>
      </c>
      <c r="N56" s="11" t="str">
        <f>INDEX(cennik!$C$2:$L$529,MATCH($L56,cennik!$B$2:$B$522,0),MATCH(N$2,cennik!$C$1:$L$1,0))</f>
        <v>100 szt.</v>
      </c>
      <c r="O56" s="11">
        <f>ROUNDUP(((O37*13)+(O44*2)+(O62*2)+(O49*4)+(O36*9)+(O58*2)+E40+(O40*12)+(O43*3)+(O63*2))/100,0)</f>
        <v>0</v>
      </c>
      <c r="P56" s="34">
        <f>INDEX(cennik!$C$2:$L$529,MATCH($L56,cennik!$B$2:$B$522,0),MATCH(P$2,cennik!$C$1:$L$1,0))</f>
        <v>144.19</v>
      </c>
      <c r="Q56" s="34">
        <f t="shared" si="142"/>
        <v>0</v>
      </c>
      <c r="R56" s="35">
        <f t="shared" si="88"/>
        <v>0</v>
      </c>
      <c r="S56" s="34">
        <f t="shared" si="89"/>
        <v>144.19</v>
      </c>
      <c r="T56" s="34">
        <f t="shared" si="143"/>
        <v>0</v>
      </c>
      <c r="U56" s="34">
        <f>INDEX(cennik!$C$2:$L$529,MATCH($L56,cennik!$B$2:$B$522,0),MATCH(U$2,cennik!$C$1:$L$1,0))*O56</f>
        <v>0</v>
      </c>
      <c r="V56" s="166"/>
      <c r="AG56" s="150"/>
      <c r="AH56" s="150"/>
      <c r="AI56" s="150"/>
      <c r="AJ56" s="150"/>
      <c r="AK56" s="150"/>
      <c r="AL56" s="150"/>
      <c r="AM56" s="150"/>
      <c r="AN56" s="150"/>
      <c r="AO56" s="150"/>
      <c r="AP56" s="150"/>
      <c r="AQ56" s="150"/>
      <c r="AR56" s="150" t="s">
        <v>114</v>
      </c>
      <c r="AS56" s="150" t="s">
        <v>594</v>
      </c>
      <c r="AT56" s="150" t="s">
        <v>592</v>
      </c>
      <c r="AU56" s="150" t="s">
        <v>591</v>
      </c>
      <c r="AV56" s="150" t="s">
        <v>591</v>
      </c>
      <c r="AW56" s="150"/>
      <c r="AX56" s="150"/>
      <c r="AY56" s="150"/>
      <c r="AZ56" s="150"/>
      <c r="BA56" s="150"/>
      <c r="BB56" s="150"/>
      <c r="BC56" s="150"/>
      <c r="BD56" s="150"/>
      <c r="BE56" s="150"/>
      <c r="BF56" s="150"/>
      <c r="BG56" s="150"/>
      <c r="BH56" s="150"/>
      <c r="BI56" s="150"/>
      <c r="BJ56" s="150"/>
      <c r="BK56" s="150"/>
      <c r="BL56" s="150"/>
      <c r="BM56" s="150"/>
      <c r="BN56" s="150"/>
      <c r="BO56" s="150"/>
      <c r="BP56" s="150"/>
      <c r="BQ56" s="150"/>
      <c r="BR56" s="150"/>
      <c r="BS56" s="150"/>
      <c r="BT56" s="150"/>
      <c r="BU56" s="150"/>
      <c r="BV56" s="150"/>
      <c r="BW56" s="150"/>
      <c r="BX56" s="150"/>
      <c r="BY56" s="150"/>
      <c r="BZ56" s="150"/>
      <c r="CA56" s="150"/>
      <c r="CB56" s="150"/>
      <c r="CC56" s="150"/>
      <c r="CD56" s="150"/>
      <c r="CE56" s="150"/>
      <c r="CF56" s="150"/>
      <c r="CG56" s="150"/>
      <c r="CH56" s="150"/>
      <c r="CI56" s="150"/>
      <c r="CJ56" s="150"/>
      <c r="CK56" s="150"/>
      <c r="CL56" s="150"/>
      <c r="CM56" s="150"/>
      <c r="CN56" s="150"/>
      <c r="CO56" s="150"/>
      <c r="CP56" s="150"/>
      <c r="CQ56" s="150"/>
      <c r="CR56" s="150"/>
      <c r="CS56" s="150"/>
      <c r="CT56" s="150"/>
      <c r="CU56" s="150"/>
      <c r="CV56" s="150"/>
      <c r="CW56" s="150"/>
      <c r="CX56" s="150"/>
      <c r="CY56" s="150"/>
      <c r="CZ56" s="150"/>
      <c r="DA56" s="150"/>
      <c r="DB56" s="150"/>
      <c r="DC56" s="150"/>
      <c r="DD56" s="150"/>
      <c r="DE56" s="150"/>
      <c r="DF56" s="150"/>
      <c r="DG56" s="150"/>
      <c r="DH56" s="150"/>
      <c r="DI56" s="150"/>
      <c r="DJ56" s="150"/>
      <c r="DK56" s="150"/>
      <c r="DL56" s="150"/>
      <c r="DM56" s="150"/>
      <c r="DN56" s="150"/>
      <c r="DO56" s="150"/>
      <c r="DP56" s="150"/>
      <c r="DQ56" s="181"/>
      <c r="DR56" s="181">
        <v>0</v>
      </c>
      <c r="DS56" s="181"/>
      <c r="DT56" s="150"/>
      <c r="DU56" s="150"/>
      <c r="DV56" s="150"/>
      <c r="DW56" s="150"/>
      <c r="DX56" s="150"/>
      <c r="DY56" s="150"/>
      <c r="DZ56" s="150"/>
      <c r="EA56" s="150"/>
      <c r="EB56" s="150"/>
      <c r="EC56" s="150"/>
      <c r="ED56" s="150"/>
      <c r="EE56" s="150"/>
      <c r="EF56" s="150"/>
      <c r="EG56" s="150"/>
      <c r="EH56" s="150"/>
      <c r="EI56" s="150"/>
      <c r="EJ56" s="155"/>
      <c r="EK56" s="150"/>
      <c r="EL56" s="150"/>
      <c r="EM56" s="150"/>
      <c r="EN56" s="150"/>
      <c r="EO56" s="150"/>
      <c r="EP56" s="150"/>
      <c r="EQ56" s="150"/>
      <c r="ER56" s="150"/>
      <c r="ES56" s="150"/>
      <c r="ET56" s="150"/>
      <c r="EU56" s="150"/>
      <c r="EV56" s="150"/>
      <c r="EW56" s="150"/>
      <c r="EX56" s="150"/>
      <c r="EY56" s="150"/>
      <c r="EZ56" s="150"/>
      <c r="FA56" s="150"/>
      <c r="FB56" s="150"/>
      <c r="FC56" s="150"/>
      <c r="FD56" s="150"/>
      <c r="FE56" s="150"/>
      <c r="FF56" s="150"/>
      <c r="FG56" s="150"/>
      <c r="FH56" s="150"/>
      <c r="FI56" s="150"/>
      <c r="FJ56" s="150"/>
      <c r="FK56" s="150"/>
      <c r="FL56" s="150"/>
      <c r="FM56" s="150"/>
      <c r="FN56" s="150"/>
      <c r="FO56" s="150"/>
      <c r="FP56" s="150"/>
      <c r="FQ56" s="150"/>
      <c r="FR56" s="150"/>
      <c r="FS56" s="150"/>
      <c r="FT56" s="150"/>
      <c r="FU56" s="150"/>
      <c r="FV56" s="150"/>
      <c r="FW56" s="150"/>
      <c r="FX56" s="150"/>
      <c r="FY56" s="150"/>
      <c r="FZ56" s="150"/>
      <c r="GA56" s="150"/>
      <c r="GB56" s="150"/>
      <c r="GC56" s="150"/>
      <c r="GD56" s="150"/>
      <c r="GE56" s="150"/>
      <c r="GF56" s="150"/>
      <c r="GG56" s="150"/>
      <c r="GH56" s="150"/>
      <c r="GI56" s="150"/>
      <c r="GJ56" s="150"/>
      <c r="GK56" s="150"/>
      <c r="GL56" s="150"/>
      <c r="GM56" s="150"/>
      <c r="GN56" s="150"/>
      <c r="GO56" s="150"/>
      <c r="GP56" s="150"/>
      <c r="GQ56" s="150"/>
      <c r="GR56" s="150"/>
      <c r="GS56" s="150"/>
      <c r="GT56" s="150"/>
      <c r="GU56" s="150"/>
      <c r="GV56" s="150"/>
      <c r="GW56" s="150"/>
      <c r="GX56" s="150"/>
      <c r="GY56" s="150"/>
      <c r="GZ56" s="150"/>
      <c r="HA56" s="150"/>
      <c r="HB56" s="150"/>
      <c r="HC56" s="150"/>
      <c r="HD56" s="150"/>
      <c r="HE56" s="150"/>
      <c r="HF56" s="150"/>
      <c r="HG56" s="156"/>
      <c r="HH56" s="150"/>
    </row>
    <row r="57" spans="1:216" x14ac:dyDescent="0.25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6" t="s">
        <v>128</v>
      </c>
      <c r="M57" s="11">
        <f>INDEX(cennik!$C$2:$L$529,MATCH($L57,cennik!$B$2:$B$522,0),MATCH(M$2,cennik!$C$1:$L$1,0))</f>
        <v>897303</v>
      </c>
      <c r="N57" s="11" t="str">
        <f>INDEX(cennik!$C$2:$L$529,MATCH($L57,cennik!$B$2:$B$522,0),MATCH(N$2,cennik!$C$1:$L$1,0))</f>
        <v>szt.</v>
      </c>
      <c r="O57" s="11">
        <f>0.25*SUM(O50:O51)</f>
        <v>0</v>
      </c>
      <c r="P57" s="34">
        <f>INDEX(cennik!$C$2:$L$529,MATCH($L57,cennik!$B$2:$B$522,0),MATCH(P$2,cennik!$C$1:$L$1,0))</f>
        <v>2.4</v>
      </c>
      <c r="Q57" s="34">
        <f t="shared" si="142"/>
        <v>0</v>
      </c>
      <c r="R57" s="35">
        <f t="shared" si="88"/>
        <v>0</v>
      </c>
      <c r="S57" s="34">
        <f t="shared" si="89"/>
        <v>2.4</v>
      </c>
      <c r="T57" s="34">
        <f t="shared" si="143"/>
        <v>0</v>
      </c>
      <c r="U57" s="34">
        <f>INDEX(cennik!$C$2:$L$529,MATCH($L57,cennik!$B$2:$B$522,0),MATCH(U$2,cennik!$C$1:$L$1,0))*O57</f>
        <v>0</v>
      </c>
      <c r="V57" s="166"/>
      <c r="AG57" s="150"/>
      <c r="AH57" s="150"/>
      <c r="AI57" s="150"/>
      <c r="AJ57" s="150"/>
      <c r="AK57" s="150"/>
      <c r="AL57" s="150"/>
      <c r="AM57" s="150"/>
      <c r="AN57" s="150"/>
      <c r="AO57" s="150"/>
      <c r="AP57" s="150"/>
      <c r="AQ57" s="150"/>
      <c r="AR57" s="150" t="s">
        <v>115</v>
      </c>
      <c r="AS57" s="150" t="s">
        <v>594</v>
      </c>
      <c r="AT57" s="150" t="s">
        <v>592</v>
      </c>
      <c r="AU57" s="150" t="s">
        <v>591</v>
      </c>
      <c r="AV57" s="150" t="s">
        <v>591</v>
      </c>
      <c r="AW57" s="150"/>
      <c r="AX57" s="150"/>
      <c r="AY57" s="150"/>
      <c r="AZ57" s="150"/>
      <c r="BA57" s="150"/>
      <c r="BB57" s="150"/>
      <c r="BC57" s="150"/>
      <c r="BD57" s="150"/>
      <c r="BE57" s="150"/>
      <c r="BF57" s="150"/>
      <c r="BG57" s="150"/>
      <c r="BH57" s="150" t="s">
        <v>111</v>
      </c>
      <c r="BI57" s="150">
        <v>0</v>
      </c>
      <c r="BJ57" s="150">
        <v>12</v>
      </c>
      <c r="BK57" s="150">
        <v>18</v>
      </c>
      <c r="BL57" s="150">
        <v>24</v>
      </c>
      <c r="BM57" s="150">
        <v>30</v>
      </c>
      <c r="BN57" s="150">
        <v>36</v>
      </c>
      <c r="BO57" s="150">
        <v>42</v>
      </c>
      <c r="BP57" s="150">
        <v>48</v>
      </c>
      <c r="BQ57" s="150">
        <v>54</v>
      </c>
      <c r="BR57" s="150">
        <v>60</v>
      </c>
      <c r="BS57" s="150">
        <v>66</v>
      </c>
      <c r="BT57" s="150">
        <v>72</v>
      </c>
      <c r="BU57" s="150">
        <v>78</v>
      </c>
      <c r="BV57" s="150"/>
      <c r="BW57" s="150" t="s">
        <v>470</v>
      </c>
      <c r="BX57" s="150">
        <v>0</v>
      </c>
      <c r="BY57" s="150">
        <v>12</v>
      </c>
      <c r="BZ57" s="150">
        <v>18</v>
      </c>
      <c r="CA57" s="150">
        <v>24</v>
      </c>
      <c r="CB57" s="150">
        <v>30</v>
      </c>
      <c r="CC57" s="150">
        <v>36</v>
      </c>
      <c r="CD57" s="150">
        <v>42</v>
      </c>
      <c r="CE57" s="150">
        <v>48</v>
      </c>
      <c r="CF57" s="150">
        <v>54</v>
      </c>
      <c r="CG57" s="150">
        <v>60</v>
      </c>
      <c r="CH57" s="150">
        <v>66</v>
      </c>
      <c r="CI57" s="150">
        <v>72</v>
      </c>
      <c r="CJ57" s="150">
        <v>78</v>
      </c>
      <c r="CK57" s="150"/>
      <c r="CL57" s="150"/>
      <c r="CM57" s="150"/>
      <c r="CN57" s="150" t="s">
        <v>473</v>
      </c>
      <c r="CO57" s="150">
        <v>0</v>
      </c>
      <c r="CP57" s="150">
        <v>12</v>
      </c>
      <c r="CQ57" s="150">
        <v>18</v>
      </c>
      <c r="CR57" s="150">
        <v>24</v>
      </c>
      <c r="CS57" s="150">
        <v>30</v>
      </c>
      <c r="CT57" s="150">
        <v>36</v>
      </c>
      <c r="CU57" s="150">
        <v>42</v>
      </c>
      <c r="CV57" s="150">
        <v>48</v>
      </c>
      <c r="CW57" s="150">
        <v>54</v>
      </c>
      <c r="CX57" s="150">
        <v>60</v>
      </c>
      <c r="CY57" s="150">
        <v>66</v>
      </c>
      <c r="CZ57" s="150">
        <v>72</v>
      </c>
      <c r="DA57" s="150">
        <v>78</v>
      </c>
      <c r="DB57" s="150"/>
      <c r="DC57" s="150" t="s">
        <v>138</v>
      </c>
      <c r="DD57" s="150">
        <v>0</v>
      </c>
      <c r="DE57" s="150">
        <v>12</v>
      </c>
      <c r="DF57" s="150">
        <v>18</v>
      </c>
      <c r="DG57" s="150">
        <v>24</v>
      </c>
      <c r="DH57" s="150">
        <v>30</v>
      </c>
      <c r="DI57" s="150">
        <v>36</v>
      </c>
      <c r="DJ57" s="150">
        <v>42</v>
      </c>
      <c r="DK57" s="150">
        <v>48</v>
      </c>
      <c r="DL57" s="150">
        <v>54</v>
      </c>
      <c r="DM57" s="150">
        <v>60</v>
      </c>
      <c r="DN57" s="150">
        <v>66</v>
      </c>
      <c r="DO57" s="150">
        <v>72</v>
      </c>
      <c r="DP57" s="150">
        <v>78</v>
      </c>
      <c r="DQ57" s="181"/>
      <c r="DR57" s="181">
        <v>12</v>
      </c>
      <c r="DS57" s="181"/>
      <c r="DT57" s="150" t="s">
        <v>508</v>
      </c>
      <c r="DU57" s="150">
        <v>0</v>
      </c>
      <c r="DV57" s="150">
        <v>12</v>
      </c>
      <c r="DW57" s="150">
        <v>18</v>
      </c>
      <c r="DX57" s="150">
        <v>24</v>
      </c>
      <c r="DY57" s="150">
        <v>30</v>
      </c>
      <c r="DZ57" s="150">
        <v>36</v>
      </c>
      <c r="EA57" s="150">
        <v>42</v>
      </c>
      <c r="EB57" s="150">
        <v>48</v>
      </c>
      <c r="EC57" s="150">
        <v>54</v>
      </c>
      <c r="ED57" s="150">
        <v>60</v>
      </c>
      <c r="EE57" s="150">
        <v>66</v>
      </c>
      <c r="EF57" s="150">
        <v>72</v>
      </c>
      <c r="EG57" s="150">
        <v>78</v>
      </c>
      <c r="EH57" s="150"/>
      <c r="EI57" s="150"/>
      <c r="EJ57" s="155"/>
      <c r="EK57" s="150" t="s">
        <v>111</v>
      </c>
      <c r="EL57" s="150">
        <v>0</v>
      </c>
      <c r="EM57" s="150">
        <v>12</v>
      </c>
      <c r="EN57" s="150">
        <v>18</v>
      </c>
      <c r="EO57" s="150">
        <v>24</v>
      </c>
      <c r="EP57" s="150">
        <v>30</v>
      </c>
      <c r="EQ57" s="150">
        <v>36</v>
      </c>
      <c r="ER57" s="150">
        <v>42</v>
      </c>
      <c r="ES57" s="150">
        <v>48</v>
      </c>
      <c r="ET57" s="150">
        <v>54</v>
      </c>
      <c r="EU57" s="150">
        <v>60</v>
      </c>
      <c r="EV57" s="150">
        <v>66</v>
      </c>
      <c r="EW57" s="150">
        <v>72</v>
      </c>
      <c r="EX57" s="150">
        <v>78</v>
      </c>
      <c r="EY57" s="150"/>
      <c r="EZ57" s="150" t="s">
        <v>470</v>
      </c>
      <c r="FA57" s="150">
        <v>0</v>
      </c>
      <c r="FB57" s="150">
        <v>12</v>
      </c>
      <c r="FC57" s="150">
        <v>18</v>
      </c>
      <c r="FD57" s="150">
        <v>24</v>
      </c>
      <c r="FE57" s="150">
        <v>30</v>
      </c>
      <c r="FF57" s="150">
        <v>36</v>
      </c>
      <c r="FG57" s="150">
        <v>42</v>
      </c>
      <c r="FH57" s="150">
        <v>48</v>
      </c>
      <c r="FI57" s="150">
        <v>54</v>
      </c>
      <c r="FJ57" s="150">
        <v>60</v>
      </c>
      <c r="FK57" s="150">
        <v>66</v>
      </c>
      <c r="FL57" s="150">
        <v>72</v>
      </c>
      <c r="FM57" s="150">
        <v>78</v>
      </c>
      <c r="FN57" s="150"/>
      <c r="FO57" s="150" t="s">
        <v>473</v>
      </c>
      <c r="FP57" s="150">
        <v>0</v>
      </c>
      <c r="FQ57" s="150">
        <v>12</v>
      </c>
      <c r="FR57" s="150">
        <v>18</v>
      </c>
      <c r="FS57" s="150">
        <v>24</v>
      </c>
      <c r="FT57" s="150">
        <v>30</v>
      </c>
      <c r="FU57" s="150">
        <v>36</v>
      </c>
      <c r="FV57" s="150">
        <v>42</v>
      </c>
      <c r="FW57" s="150">
        <v>48</v>
      </c>
      <c r="FX57" s="150">
        <v>54</v>
      </c>
      <c r="FY57" s="150">
        <v>60</v>
      </c>
      <c r="FZ57" s="150">
        <v>66</v>
      </c>
      <c r="GA57" s="150">
        <v>72</v>
      </c>
      <c r="GB57" s="150">
        <v>78</v>
      </c>
      <c r="GC57" s="150"/>
      <c r="GD57" s="150" t="s">
        <v>138</v>
      </c>
      <c r="GE57" s="150">
        <v>0</v>
      </c>
      <c r="GF57" s="150">
        <v>12</v>
      </c>
      <c r="GG57" s="150">
        <v>18</v>
      </c>
      <c r="GH57" s="150">
        <v>24</v>
      </c>
      <c r="GI57" s="150">
        <v>30</v>
      </c>
      <c r="GJ57" s="150">
        <v>36</v>
      </c>
      <c r="GK57" s="150">
        <v>42</v>
      </c>
      <c r="GL57" s="150">
        <v>48</v>
      </c>
      <c r="GM57" s="150">
        <v>54</v>
      </c>
      <c r="GN57" s="150">
        <v>60</v>
      </c>
      <c r="GO57" s="150">
        <v>66</v>
      </c>
      <c r="GP57" s="150">
        <v>72</v>
      </c>
      <c r="GQ57" s="150">
        <v>78</v>
      </c>
      <c r="GR57" s="150"/>
      <c r="GS57" s="150" t="s">
        <v>508</v>
      </c>
      <c r="GT57" s="150">
        <v>0</v>
      </c>
      <c r="GU57" s="150">
        <v>12</v>
      </c>
      <c r="GV57" s="150">
        <v>18</v>
      </c>
      <c r="GW57" s="150">
        <v>24</v>
      </c>
      <c r="GX57" s="150">
        <v>30</v>
      </c>
      <c r="GY57" s="150">
        <v>36</v>
      </c>
      <c r="GZ57" s="150">
        <v>42</v>
      </c>
      <c r="HA57" s="150">
        <v>48</v>
      </c>
      <c r="HB57" s="150">
        <v>54</v>
      </c>
      <c r="HC57" s="150">
        <v>60</v>
      </c>
      <c r="HD57" s="150">
        <v>66</v>
      </c>
      <c r="HE57" s="150">
        <v>72</v>
      </c>
      <c r="HF57" s="150">
        <v>78</v>
      </c>
      <c r="HG57" s="156"/>
      <c r="HH57" s="150"/>
    </row>
    <row r="58" spans="1:216" x14ac:dyDescent="0.2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6" t="s">
        <v>445</v>
      </c>
      <c r="M58" s="11">
        <f>INDEX(cennik!$C$2:$L$529,MATCH($L58,cennik!$B$2:$B$522,0),MATCH(M$2,cennik!$C$1:$L$1,0))</f>
        <v>858022</v>
      </c>
      <c r="N58" s="11" t="str">
        <f>INDEX(cennik!$C$2:$L$529,MATCH($L58,cennik!$B$2:$B$522,0),MATCH(N$2,cennik!$C$1:$L$1,0))</f>
        <v>szt.</v>
      </c>
      <c r="O58" s="11">
        <f>2*O41</f>
        <v>0</v>
      </c>
      <c r="P58" s="34">
        <f>INDEX(cennik!$C$2:$L$529,MATCH($L58,cennik!$B$2:$B$522,0),MATCH(P$2,cennik!$C$1:$L$1,0))</f>
        <v>4.5</v>
      </c>
      <c r="Q58" s="34">
        <f t="shared" si="142"/>
        <v>0</v>
      </c>
      <c r="R58" s="35">
        <f t="shared" si="88"/>
        <v>0</v>
      </c>
      <c r="S58" s="34">
        <f t="shared" si="89"/>
        <v>4.5</v>
      </c>
      <c r="T58" s="34">
        <f t="shared" si="143"/>
        <v>0</v>
      </c>
      <c r="U58" s="34">
        <f>INDEX(cennik!$C$2:$L$529,MATCH($L58,cennik!$B$2:$B$522,0),MATCH(U$2,cennik!$C$1:$L$1,0))*O58</f>
        <v>0</v>
      </c>
      <c r="V58" s="62"/>
      <c r="AG58" s="150"/>
      <c r="AH58" s="150"/>
      <c r="AI58" s="150"/>
      <c r="AJ58" s="150"/>
      <c r="AK58" s="150"/>
      <c r="AL58" s="150"/>
      <c r="AM58" s="150"/>
      <c r="AN58" s="150"/>
      <c r="AO58" s="150"/>
      <c r="AP58" s="150"/>
      <c r="AQ58" s="150"/>
      <c r="AR58" s="150" t="s">
        <v>474</v>
      </c>
      <c r="AS58" s="150" t="s">
        <v>594</v>
      </c>
      <c r="AT58" s="150" t="s">
        <v>592</v>
      </c>
      <c r="AU58" s="150" t="s">
        <v>591</v>
      </c>
      <c r="AV58" s="150" t="s">
        <v>591</v>
      </c>
      <c r="AW58" s="150"/>
      <c r="AX58" s="150"/>
      <c r="AY58" s="150"/>
      <c r="AZ58" s="150"/>
      <c r="BA58" s="150"/>
      <c r="BB58" s="150"/>
      <c r="BC58" s="150"/>
      <c r="BD58" s="150"/>
      <c r="BE58" s="150"/>
      <c r="BF58" s="150"/>
      <c r="BG58" s="150"/>
      <c r="BH58" s="150" t="s">
        <v>217</v>
      </c>
      <c r="BI58" s="150">
        <v>0</v>
      </c>
      <c r="BJ58" s="150">
        <f>IF(BJ3=0,0,IF(BJ3=5,7,IF(BJ3=10,14,IF(BJ3=15,21,IF(BJ3=20,28,0)))))</f>
        <v>0</v>
      </c>
      <c r="BK58" s="150">
        <f t="shared" ref="BK58:BU58" si="150">IF(BK3=0,0,IF(BK3=5,7,IF(BK3=10,14,IF(BK3=15,21,IF(BK3=20,28,0)))))</f>
        <v>0</v>
      </c>
      <c r="BL58" s="150">
        <f t="shared" si="150"/>
        <v>7</v>
      </c>
      <c r="BM58" s="150">
        <f t="shared" si="150"/>
        <v>0</v>
      </c>
      <c r="BN58" s="150">
        <f t="shared" si="150"/>
        <v>7</v>
      </c>
      <c r="BO58" s="150">
        <f t="shared" si="150"/>
        <v>0</v>
      </c>
      <c r="BP58" s="150">
        <f t="shared" si="150"/>
        <v>14</v>
      </c>
      <c r="BQ58" s="150">
        <f t="shared" si="150"/>
        <v>7</v>
      </c>
      <c r="BR58" s="150">
        <f t="shared" si="150"/>
        <v>14</v>
      </c>
      <c r="BS58" s="150">
        <f t="shared" si="150"/>
        <v>7</v>
      </c>
      <c r="BT58" s="150">
        <f t="shared" si="150"/>
        <v>14</v>
      </c>
      <c r="BU58" s="150">
        <f t="shared" si="150"/>
        <v>14</v>
      </c>
      <c r="BV58" s="150"/>
      <c r="BW58" s="150" t="s">
        <v>217</v>
      </c>
      <c r="BX58" s="150">
        <v>0</v>
      </c>
      <c r="BY58" s="150">
        <f t="shared" ref="BY58:CJ61" si="151">IF(BY3=0,0,IF(BY3=5,7,IF(BY3=10,14,IF(BY3=15,21,IF(BY3=20,28,0)))))</f>
        <v>0</v>
      </c>
      <c r="BZ58" s="150">
        <f t="shared" si="151"/>
        <v>7</v>
      </c>
      <c r="CA58" s="150">
        <f t="shared" si="151"/>
        <v>7</v>
      </c>
      <c r="CB58" s="150">
        <f t="shared" si="151"/>
        <v>0</v>
      </c>
      <c r="CC58" s="150">
        <f t="shared" si="151"/>
        <v>7</v>
      </c>
      <c r="CD58" s="150">
        <f t="shared" si="151"/>
        <v>0</v>
      </c>
      <c r="CE58" s="150">
        <f t="shared" si="151"/>
        <v>7</v>
      </c>
      <c r="CF58" s="150">
        <f t="shared" si="151"/>
        <v>14</v>
      </c>
      <c r="CG58" s="150">
        <f t="shared" si="151"/>
        <v>14</v>
      </c>
      <c r="CH58" s="150">
        <f t="shared" si="151"/>
        <v>14</v>
      </c>
      <c r="CI58" s="150">
        <f t="shared" si="151"/>
        <v>14</v>
      </c>
      <c r="CJ58" s="150">
        <f t="shared" si="151"/>
        <v>21</v>
      </c>
      <c r="CK58" s="150"/>
      <c r="CL58" s="150"/>
      <c r="CM58" s="150"/>
      <c r="CN58" s="150" t="s">
        <v>217</v>
      </c>
      <c r="CO58" s="150">
        <v>0</v>
      </c>
      <c r="CP58" s="150">
        <f t="shared" ref="CP58:DA61" si="152">IF(CP3=0,0,IF(CP3=5,7,IF(CP3=10,14,IF(CP3=15,21,IF(CP3=20,28,0)))))</f>
        <v>0</v>
      </c>
      <c r="CQ58" s="150">
        <f t="shared" si="152"/>
        <v>7</v>
      </c>
      <c r="CR58" s="150">
        <f t="shared" si="152"/>
        <v>0</v>
      </c>
      <c r="CS58" s="150">
        <f t="shared" si="152"/>
        <v>7</v>
      </c>
      <c r="CT58" s="150">
        <f t="shared" si="152"/>
        <v>0</v>
      </c>
      <c r="CU58" s="150">
        <f t="shared" si="152"/>
        <v>14</v>
      </c>
      <c r="CV58" s="150">
        <f t="shared" si="152"/>
        <v>7</v>
      </c>
      <c r="CW58" s="150">
        <f t="shared" si="152"/>
        <v>14</v>
      </c>
      <c r="CX58" s="150">
        <f t="shared" si="152"/>
        <v>21</v>
      </c>
      <c r="CY58" s="150">
        <f t="shared" si="152"/>
        <v>14</v>
      </c>
      <c r="CZ58" s="150">
        <f t="shared" si="152"/>
        <v>21</v>
      </c>
      <c r="DA58" s="150">
        <f t="shared" si="152"/>
        <v>28</v>
      </c>
      <c r="DB58" s="150"/>
      <c r="DC58" s="150" t="s">
        <v>217</v>
      </c>
      <c r="DD58" s="150">
        <v>0</v>
      </c>
      <c r="DE58" s="150">
        <f t="shared" ref="DE58:DP61" si="153">IF(DE3=0,0,IF(DE3=5,7,IF(DE3=10,14,IF(DE3=15,21,IF(DE3=20,28,0)))))</f>
        <v>0</v>
      </c>
      <c r="DF58" s="150">
        <f t="shared" si="153"/>
        <v>7</v>
      </c>
      <c r="DG58" s="150">
        <f t="shared" si="153"/>
        <v>0</v>
      </c>
      <c r="DH58" s="150">
        <f t="shared" si="153"/>
        <v>7</v>
      </c>
      <c r="DI58" s="150">
        <f t="shared" si="153"/>
        <v>0</v>
      </c>
      <c r="DJ58" s="150">
        <f t="shared" si="153"/>
        <v>7</v>
      </c>
      <c r="DK58" s="150">
        <f t="shared" si="153"/>
        <v>14</v>
      </c>
      <c r="DL58" s="150">
        <f t="shared" si="153"/>
        <v>7</v>
      </c>
      <c r="DM58" s="150">
        <f t="shared" si="153"/>
        <v>14</v>
      </c>
      <c r="DN58" s="150">
        <f t="shared" si="153"/>
        <v>21</v>
      </c>
      <c r="DO58" s="150">
        <f t="shared" si="153"/>
        <v>14</v>
      </c>
      <c r="DP58" s="150">
        <f t="shared" si="153"/>
        <v>21</v>
      </c>
      <c r="DQ58" s="181"/>
      <c r="DR58" s="181">
        <v>18</v>
      </c>
      <c r="DS58" s="181"/>
      <c r="DT58" s="150" t="s">
        <v>217</v>
      </c>
      <c r="DU58" s="150">
        <v>0</v>
      </c>
      <c r="DV58" s="150">
        <f>IF(DV3=0,0,IF(DV3=5,7,IF(DV3=10,14,IF(DV3=15,21,IF(DV3=20,28,0)))))</f>
        <v>0</v>
      </c>
      <c r="DW58" s="150">
        <f t="shared" ref="DW58:EG58" si="154">IF(DW3=0,0,IF(DW3=5,7,IF(DW3=10,14,IF(DW3=15,21,IF(DW3=20,28,0)))))</f>
        <v>7</v>
      </c>
      <c r="DX58" s="150">
        <f t="shared" si="154"/>
        <v>0</v>
      </c>
      <c r="DY58" s="150">
        <f t="shared" si="154"/>
        <v>0</v>
      </c>
      <c r="DZ58" s="150">
        <f t="shared" si="154"/>
        <v>14</v>
      </c>
      <c r="EA58" s="150">
        <f t="shared" si="154"/>
        <v>7</v>
      </c>
      <c r="EB58" s="150">
        <f t="shared" si="154"/>
        <v>14</v>
      </c>
      <c r="EC58" s="150">
        <f t="shared" si="154"/>
        <v>14</v>
      </c>
      <c r="ED58" s="150">
        <f t="shared" si="154"/>
        <v>21</v>
      </c>
      <c r="EE58" s="150">
        <f t="shared" si="154"/>
        <v>14</v>
      </c>
      <c r="EF58" s="150">
        <f t="shared" si="154"/>
        <v>21</v>
      </c>
      <c r="EG58" s="150">
        <f t="shared" si="154"/>
        <v>28</v>
      </c>
      <c r="EH58" s="150"/>
      <c r="EI58" s="150"/>
      <c r="EJ58" s="155"/>
      <c r="EK58" s="150" t="s">
        <v>586</v>
      </c>
      <c r="EL58" s="150">
        <v>0</v>
      </c>
      <c r="EM58" s="150">
        <f t="shared" ref="EM58:EX58" si="155">EM3/5*7</f>
        <v>0</v>
      </c>
      <c r="EN58" s="150">
        <f t="shared" si="155"/>
        <v>0</v>
      </c>
      <c r="EO58" s="150">
        <f t="shared" si="155"/>
        <v>7</v>
      </c>
      <c r="EP58" s="150">
        <f t="shared" si="155"/>
        <v>0</v>
      </c>
      <c r="EQ58" s="150">
        <f t="shared" si="155"/>
        <v>0</v>
      </c>
      <c r="ER58" s="150">
        <f t="shared" si="155"/>
        <v>0</v>
      </c>
      <c r="ES58" s="150">
        <f t="shared" si="155"/>
        <v>0</v>
      </c>
      <c r="ET58" s="150">
        <f t="shared" si="155"/>
        <v>0</v>
      </c>
      <c r="EU58" s="150">
        <f t="shared" si="155"/>
        <v>0</v>
      </c>
      <c r="EV58" s="150">
        <f t="shared" si="155"/>
        <v>0</v>
      </c>
      <c r="EW58" s="150">
        <f t="shared" si="155"/>
        <v>0</v>
      </c>
      <c r="EX58" s="150">
        <f t="shared" si="155"/>
        <v>0</v>
      </c>
      <c r="EZ58" s="150" t="s">
        <v>586</v>
      </c>
      <c r="FA58" s="150">
        <v>0</v>
      </c>
      <c r="FB58" s="150">
        <f t="shared" ref="FB58:FM58" si="156">FB3/5*7</f>
        <v>0</v>
      </c>
      <c r="FC58" s="150">
        <f t="shared" si="156"/>
        <v>7</v>
      </c>
      <c r="FD58" s="150">
        <f t="shared" si="156"/>
        <v>7</v>
      </c>
      <c r="FE58" s="150">
        <f t="shared" si="156"/>
        <v>0</v>
      </c>
      <c r="FF58" s="150">
        <f t="shared" si="156"/>
        <v>0</v>
      </c>
      <c r="FG58" s="150">
        <f t="shared" si="156"/>
        <v>0</v>
      </c>
      <c r="FH58" s="150">
        <f t="shared" si="156"/>
        <v>0</v>
      </c>
      <c r="FI58" s="150">
        <f t="shared" si="156"/>
        <v>0</v>
      </c>
      <c r="FJ58" s="150">
        <f t="shared" si="156"/>
        <v>0</v>
      </c>
      <c r="FK58" s="150">
        <f t="shared" si="156"/>
        <v>0</v>
      </c>
      <c r="FL58" s="150">
        <f t="shared" si="156"/>
        <v>0</v>
      </c>
      <c r="FM58" s="150">
        <f t="shared" si="156"/>
        <v>0</v>
      </c>
      <c r="FO58" s="150" t="s">
        <v>586</v>
      </c>
      <c r="FP58" s="150">
        <v>0</v>
      </c>
      <c r="FQ58" s="150">
        <f t="shared" ref="FQ58:GB58" si="157">FQ3/5*7</f>
        <v>0</v>
      </c>
      <c r="FR58" s="150">
        <f t="shared" si="157"/>
        <v>7</v>
      </c>
      <c r="FS58" s="150">
        <f t="shared" si="157"/>
        <v>0</v>
      </c>
      <c r="FT58" s="150">
        <f t="shared" si="157"/>
        <v>0</v>
      </c>
      <c r="FU58" s="150">
        <f t="shared" si="157"/>
        <v>0</v>
      </c>
      <c r="FV58" s="150">
        <f t="shared" si="157"/>
        <v>0</v>
      </c>
      <c r="FW58" s="150">
        <f t="shared" si="157"/>
        <v>0</v>
      </c>
      <c r="FX58" s="150">
        <f t="shared" si="157"/>
        <v>0</v>
      </c>
      <c r="FY58" s="150">
        <f t="shared" si="157"/>
        <v>0</v>
      </c>
      <c r="FZ58" s="150">
        <f t="shared" si="157"/>
        <v>0</v>
      </c>
      <c r="GA58" s="150">
        <f t="shared" si="157"/>
        <v>0</v>
      </c>
      <c r="GB58" s="150">
        <f t="shared" si="157"/>
        <v>0</v>
      </c>
      <c r="GD58" s="150" t="s">
        <v>586</v>
      </c>
      <c r="GE58" s="150">
        <v>0</v>
      </c>
      <c r="GF58" s="150">
        <f t="shared" ref="GF58:GQ58" si="158">GF3/5*7</f>
        <v>0</v>
      </c>
      <c r="GG58" s="150">
        <f t="shared" si="158"/>
        <v>7</v>
      </c>
      <c r="GH58" s="150">
        <f t="shared" si="158"/>
        <v>0</v>
      </c>
      <c r="GI58" s="150">
        <f t="shared" si="158"/>
        <v>0</v>
      </c>
      <c r="GJ58" s="150">
        <f t="shared" si="158"/>
        <v>0</v>
      </c>
      <c r="GK58" s="150">
        <f t="shared" si="158"/>
        <v>0</v>
      </c>
      <c r="GL58" s="150">
        <f t="shared" si="158"/>
        <v>0</v>
      </c>
      <c r="GM58" s="150">
        <f t="shared" si="158"/>
        <v>0</v>
      </c>
      <c r="GN58" s="150">
        <f t="shared" si="158"/>
        <v>0</v>
      </c>
      <c r="GO58" s="150">
        <f t="shared" si="158"/>
        <v>0</v>
      </c>
      <c r="GP58" s="150">
        <f t="shared" si="158"/>
        <v>0</v>
      </c>
      <c r="GQ58" s="150">
        <f t="shared" si="158"/>
        <v>0</v>
      </c>
      <c r="GS58" s="150" t="s">
        <v>586</v>
      </c>
      <c r="GT58" s="150">
        <v>0</v>
      </c>
      <c r="GU58" s="150">
        <f t="shared" ref="GU58:HF58" si="159">GU3/5*7</f>
        <v>0</v>
      </c>
      <c r="GV58" s="150">
        <f t="shared" si="159"/>
        <v>7</v>
      </c>
      <c r="GW58" s="150">
        <f t="shared" si="159"/>
        <v>0</v>
      </c>
      <c r="GX58" s="150">
        <f t="shared" si="159"/>
        <v>0</v>
      </c>
      <c r="GY58" s="150">
        <f t="shared" si="159"/>
        <v>0</v>
      </c>
      <c r="GZ58" s="150">
        <f t="shared" si="159"/>
        <v>0</v>
      </c>
      <c r="HA58" s="150">
        <f t="shared" si="159"/>
        <v>0</v>
      </c>
      <c r="HB58" s="150">
        <f t="shared" si="159"/>
        <v>0</v>
      </c>
      <c r="HC58" s="150">
        <f t="shared" si="159"/>
        <v>0</v>
      </c>
      <c r="HD58" s="150">
        <f t="shared" si="159"/>
        <v>0</v>
      </c>
      <c r="HE58" s="150">
        <f t="shared" si="159"/>
        <v>0</v>
      </c>
      <c r="HF58" s="150">
        <f t="shared" si="159"/>
        <v>0</v>
      </c>
      <c r="HG58" s="156"/>
      <c r="HH58" s="150"/>
    </row>
    <row r="59" spans="1:216" x14ac:dyDescent="0.2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6" t="str">
        <f>IF(E37=$AC$5,"-------",IF(E37=$AC$6,"-------",IF(E37=$AC$7,"-------",IF(E37=$AC$8,"SGKFM10X30",0))))</f>
        <v>-------</v>
      </c>
      <c r="M59" s="11" t="str">
        <f>INDEX(cennik!$C$2:$L$529,MATCH($L59,cennik!$B$2:$B$522,0),MATCH(M$2,cennik!$C$1:$L$1,0))</f>
        <v>-------</v>
      </c>
      <c r="N59" s="11">
        <f>INDEX(cennik!$C$2:$L$529,MATCH($L59,cennik!$B$2:$B$522,0),MATCH(N$2,cennik!$C$1:$L$1,0))</f>
        <v>0</v>
      </c>
      <c r="O59" s="11">
        <f>ROUNDUP((O35*4)/100,0)</f>
        <v>0</v>
      </c>
      <c r="P59" s="34">
        <f>INDEX(cennik!$C$2:$L$529,MATCH($L59,cennik!$B$2:$B$522,0),MATCH(P$2,cennik!$C$1:$L$1,0))</f>
        <v>0</v>
      </c>
      <c r="Q59" s="34">
        <f t="shared" si="142"/>
        <v>0</v>
      </c>
      <c r="R59" s="35">
        <f t="shared" si="88"/>
        <v>0</v>
      </c>
      <c r="S59" s="34">
        <f t="shared" si="89"/>
        <v>0</v>
      </c>
      <c r="T59" s="34">
        <f t="shared" si="143"/>
        <v>0</v>
      </c>
      <c r="U59" s="34">
        <f>INDEX(cennik!$C$2:$L$529,MATCH($L59,cennik!$B$2:$B$522,0),MATCH(U$2,cennik!$C$1:$L$1,0))*O59</f>
        <v>0</v>
      </c>
      <c r="V59" s="62"/>
      <c r="AG59" s="150"/>
      <c r="AH59" s="150"/>
      <c r="AI59" s="150"/>
      <c r="AJ59" s="150"/>
      <c r="AK59" s="150"/>
      <c r="AL59" s="150"/>
      <c r="AM59" s="150"/>
      <c r="AN59" s="150"/>
      <c r="AO59" s="150"/>
      <c r="AP59" s="150"/>
      <c r="AQ59" s="150"/>
      <c r="AR59" s="150"/>
      <c r="AS59" s="150"/>
      <c r="AT59" s="150"/>
      <c r="AU59" s="150"/>
      <c r="AV59" s="150"/>
      <c r="AW59" s="150"/>
      <c r="AX59" s="150"/>
      <c r="AY59" s="150"/>
      <c r="AZ59" s="150"/>
      <c r="BA59" s="150"/>
      <c r="BB59" s="150"/>
      <c r="BC59" s="150"/>
      <c r="BD59" s="150"/>
      <c r="BE59" s="150"/>
      <c r="BF59" s="150"/>
      <c r="BG59" s="150"/>
      <c r="BH59" s="150" t="s">
        <v>216</v>
      </c>
      <c r="BI59" s="150">
        <v>0</v>
      </c>
      <c r="BJ59" s="150">
        <f t="shared" ref="BJ59:BU61" si="160">IF(BJ4=0,0,IF(BJ4=5,7,IF(BJ4=10,14,IF(BJ4=15,21,IF(BJ4=20,28,0)))))</f>
        <v>0</v>
      </c>
      <c r="BK59" s="150">
        <f t="shared" si="160"/>
        <v>7</v>
      </c>
      <c r="BL59" s="150">
        <f t="shared" si="160"/>
        <v>0</v>
      </c>
      <c r="BM59" s="150">
        <f t="shared" si="160"/>
        <v>14</v>
      </c>
      <c r="BN59" s="150">
        <f>IF(BN4=0,0,IF(BN4=5,7,IF(BN4=10,14,IF(BN4=15,21,IF(BN4=20,28,0)))))</f>
        <v>0</v>
      </c>
      <c r="BO59" s="150">
        <f t="shared" si="160"/>
        <v>14</v>
      </c>
      <c r="BP59" s="150">
        <f t="shared" si="160"/>
        <v>0</v>
      </c>
      <c r="BQ59" s="150">
        <f t="shared" si="160"/>
        <v>14</v>
      </c>
      <c r="BR59" s="150">
        <f t="shared" si="160"/>
        <v>0</v>
      </c>
      <c r="BS59" s="150">
        <f t="shared" si="160"/>
        <v>14</v>
      </c>
      <c r="BT59" s="150">
        <f t="shared" si="160"/>
        <v>7</v>
      </c>
      <c r="BU59" s="150">
        <f t="shared" si="160"/>
        <v>14</v>
      </c>
      <c r="BV59" s="150"/>
      <c r="BW59" s="150" t="s">
        <v>216</v>
      </c>
      <c r="BX59" s="150">
        <v>0</v>
      </c>
      <c r="BY59" s="150">
        <f t="shared" si="151"/>
        <v>0</v>
      </c>
      <c r="BZ59" s="150">
        <f t="shared" si="151"/>
        <v>0</v>
      </c>
      <c r="CA59" s="150">
        <f t="shared" si="151"/>
        <v>0</v>
      </c>
      <c r="CB59" s="150">
        <f t="shared" si="151"/>
        <v>14</v>
      </c>
      <c r="CC59" s="150">
        <f t="shared" si="151"/>
        <v>7</v>
      </c>
      <c r="CD59" s="150">
        <f t="shared" si="151"/>
        <v>14</v>
      </c>
      <c r="CE59" s="150">
        <f t="shared" si="151"/>
        <v>14</v>
      </c>
      <c r="CF59" s="150">
        <f t="shared" si="151"/>
        <v>0</v>
      </c>
      <c r="CG59" s="150">
        <f t="shared" si="151"/>
        <v>7</v>
      </c>
      <c r="CH59" s="150">
        <f t="shared" si="151"/>
        <v>7</v>
      </c>
      <c r="CI59" s="150">
        <f t="shared" si="151"/>
        <v>14</v>
      </c>
      <c r="CJ59" s="150">
        <f t="shared" si="151"/>
        <v>7</v>
      </c>
      <c r="CK59" s="150"/>
      <c r="CL59" s="150"/>
      <c r="CM59" s="150"/>
      <c r="CN59" s="150" t="s">
        <v>216</v>
      </c>
      <c r="CO59" s="150">
        <v>0</v>
      </c>
      <c r="CP59" s="150">
        <f t="shared" si="152"/>
        <v>0</v>
      </c>
      <c r="CQ59" s="150">
        <f t="shared" si="152"/>
        <v>0</v>
      </c>
      <c r="CR59" s="150">
        <f t="shared" si="152"/>
        <v>7</v>
      </c>
      <c r="CS59" s="150">
        <f t="shared" si="152"/>
        <v>0</v>
      </c>
      <c r="CT59" s="150">
        <f t="shared" si="152"/>
        <v>14</v>
      </c>
      <c r="CU59" s="150">
        <f t="shared" si="152"/>
        <v>0</v>
      </c>
      <c r="CV59" s="150">
        <f t="shared" si="152"/>
        <v>14</v>
      </c>
      <c r="CW59" s="150">
        <f t="shared" si="152"/>
        <v>7</v>
      </c>
      <c r="CX59" s="150">
        <f t="shared" si="152"/>
        <v>0</v>
      </c>
      <c r="CY59" s="150">
        <f t="shared" si="152"/>
        <v>14</v>
      </c>
      <c r="CZ59" s="150">
        <f t="shared" si="152"/>
        <v>7</v>
      </c>
      <c r="DA59" s="150">
        <f t="shared" si="152"/>
        <v>0</v>
      </c>
      <c r="DB59" s="150"/>
      <c r="DC59" s="150" t="s">
        <v>216</v>
      </c>
      <c r="DD59" s="150">
        <v>0</v>
      </c>
      <c r="DE59" s="150">
        <f t="shared" si="153"/>
        <v>7</v>
      </c>
      <c r="DF59" s="150">
        <f t="shared" si="153"/>
        <v>0</v>
      </c>
      <c r="DG59" s="150">
        <f t="shared" si="153"/>
        <v>14</v>
      </c>
      <c r="DH59" s="150">
        <f t="shared" si="153"/>
        <v>0</v>
      </c>
      <c r="DI59" s="150">
        <f t="shared" si="153"/>
        <v>14</v>
      </c>
      <c r="DJ59" s="150">
        <f t="shared" si="153"/>
        <v>14</v>
      </c>
      <c r="DK59" s="150">
        <f t="shared" si="153"/>
        <v>7</v>
      </c>
      <c r="DL59" s="150">
        <f t="shared" si="153"/>
        <v>14</v>
      </c>
      <c r="DM59" s="150">
        <f t="shared" si="153"/>
        <v>7</v>
      </c>
      <c r="DN59" s="150">
        <f t="shared" si="153"/>
        <v>7</v>
      </c>
      <c r="DO59" s="150">
        <f t="shared" si="153"/>
        <v>14</v>
      </c>
      <c r="DP59" s="150">
        <f t="shared" si="153"/>
        <v>7</v>
      </c>
      <c r="DQ59" s="181"/>
      <c r="DR59" s="181">
        <v>24</v>
      </c>
      <c r="DS59" s="181"/>
      <c r="DT59" s="150" t="s">
        <v>216</v>
      </c>
      <c r="DU59" s="150">
        <v>0</v>
      </c>
      <c r="DV59" s="150">
        <f t="shared" ref="DV59:EG61" si="161">IF(DV4=0,0,IF(DV4=5,7,IF(DV4=10,14,IF(DV4=15,21,IF(DV4=20,28,0)))))</f>
        <v>7</v>
      </c>
      <c r="DW59" s="150">
        <f t="shared" si="161"/>
        <v>0</v>
      </c>
      <c r="DX59" s="150">
        <f t="shared" si="161"/>
        <v>14</v>
      </c>
      <c r="DY59" s="150">
        <f t="shared" si="161"/>
        <v>14</v>
      </c>
      <c r="DZ59" s="150">
        <f t="shared" si="161"/>
        <v>0</v>
      </c>
      <c r="EA59" s="150">
        <f t="shared" si="161"/>
        <v>14</v>
      </c>
      <c r="EB59" s="150">
        <f t="shared" si="161"/>
        <v>7</v>
      </c>
      <c r="EC59" s="150">
        <f t="shared" si="161"/>
        <v>7</v>
      </c>
      <c r="ED59" s="150">
        <f t="shared" si="161"/>
        <v>7</v>
      </c>
      <c r="EE59" s="150">
        <f t="shared" si="161"/>
        <v>14</v>
      </c>
      <c r="EF59" s="150">
        <f t="shared" si="161"/>
        <v>7</v>
      </c>
      <c r="EG59" s="150">
        <f t="shared" si="161"/>
        <v>0</v>
      </c>
      <c r="EH59" s="150"/>
      <c r="EI59" s="150"/>
      <c r="EJ59" s="155"/>
      <c r="EK59" s="150" t="s">
        <v>522</v>
      </c>
      <c r="EL59" s="150">
        <v>0</v>
      </c>
      <c r="EM59" s="150">
        <f t="shared" ref="EM59:EX59" si="162">EM4/5*7</f>
        <v>0</v>
      </c>
      <c r="EN59" s="150">
        <f t="shared" si="162"/>
        <v>7</v>
      </c>
      <c r="EO59" s="150">
        <f t="shared" si="162"/>
        <v>0</v>
      </c>
      <c r="EP59" s="150">
        <f t="shared" si="162"/>
        <v>14</v>
      </c>
      <c r="EQ59" s="150">
        <f t="shared" si="162"/>
        <v>0</v>
      </c>
      <c r="ER59" s="150">
        <f t="shared" si="162"/>
        <v>14</v>
      </c>
      <c r="ES59" s="150">
        <f t="shared" si="162"/>
        <v>0</v>
      </c>
      <c r="ET59" s="150">
        <f t="shared" si="162"/>
        <v>14</v>
      </c>
      <c r="EU59" s="150">
        <f t="shared" si="162"/>
        <v>0</v>
      </c>
      <c r="EV59" s="150">
        <f t="shared" si="162"/>
        <v>14</v>
      </c>
      <c r="EW59" s="150">
        <f t="shared" si="162"/>
        <v>7</v>
      </c>
      <c r="EX59" s="150">
        <f t="shared" si="162"/>
        <v>14</v>
      </c>
      <c r="EY59" s="150"/>
      <c r="EZ59" s="150" t="s">
        <v>522</v>
      </c>
      <c r="FA59" s="150">
        <v>0</v>
      </c>
      <c r="FB59" s="150">
        <f t="shared" ref="FB59:FM59" si="163">FB4/5*7</f>
        <v>0</v>
      </c>
      <c r="FC59" s="150">
        <f t="shared" si="163"/>
        <v>0</v>
      </c>
      <c r="FD59" s="150">
        <f t="shared" si="163"/>
        <v>0</v>
      </c>
      <c r="FE59" s="150">
        <f t="shared" si="163"/>
        <v>14</v>
      </c>
      <c r="FF59" s="150">
        <f t="shared" si="163"/>
        <v>7</v>
      </c>
      <c r="FG59" s="150">
        <f t="shared" si="163"/>
        <v>14</v>
      </c>
      <c r="FH59" s="150">
        <f t="shared" si="163"/>
        <v>14</v>
      </c>
      <c r="FI59" s="150">
        <f t="shared" si="163"/>
        <v>0</v>
      </c>
      <c r="FJ59" s="150">
        <f t="shared" si="163"/>
        <v>7</v>
      </c>
      <c r="FK59" s="150">
        <f t="shared" si="163"/>
        <v>7</v>
      </c>
      <c r="FL59" s="150">
        <f t="shared" si="163"/>
        <v>14</v>
      </c>
      <c r="FM59" s="150">
        <f t="shared" si="163"/>
        <v>7</v>
      </c>
      <c r="FN59" s="150"/>
      <c r="FO59" s="150" t="s">
        <v>522</v>
      </c>
      <c r="FP59" s="150">
        <v>0</v>
      </c>
      <c r="FQ59" s="150">
        <f t="shared" ref="FQ59:GB59" si="164">FQ4/5*7</f>
        <v>0</v>
      </c>
      <c r="FR59" s="150">
        <f t="shared" si="164"/>
        <v>0</v>
      </c>
      <c r="FS59" s="150">
        <f t="shared" si="164"/>
        <v>7</v>
      </c>
      <c r="FT59" s="150">
        <f t="shared" si="164"/>
        <v>0</v>
      </c>
      <c r="FU59" s="150">
        <f t="shared" si="164"/>
        <v>14</v>
      </c>
      <c r="FV59" s="150">
        <f t="shared" si="164"/>
        <v>0</v>
      </c>
      <c r="FW59" s="150">
        <f t="shared" si="164"/>
        <v>14</v>
      </c>
      <c r="FX59" s="150">
        <f t="shared" si="164"/>
        <v>7</v>
      </c>
      <c r="FY59" s="150">
        <f t="shared" si="164"/>
        <v>0</v>
      </c>
      <c r="FZ59" s="150">
        <f t="shared" si="164"/>
        <v>14</v>
      </c>
      <c r="GA59" s="150">
        <f t="shared" si="164"/>
        <v>7</v>
      </c>
      <c r="GB59" s="150">
        <f t="shared" si="164"/>
        <v>0</v>
      </c>
      <c r="GC59" s="150"/>
      <c r="GD59" s="150" t="s">
        <v>522</v>
      </c>
      <c r="GE59" s="150">
        <v>0</v>
      </c>
      <c r="GF59" s="150">
        <f t="shared" ref="GF59:GQ59" si="165">GF4/5*7</f>
        <v>7</v>
      </c>
      <c r="GG59" s="150">
        <f t="shared" si="165"/>
        <v>0</v>
      </c>
      <c r="GH59" s="150">
        <f t="shared" si="165"/>
        <v>14</v>
      </c>
      <c r="GI59" s="150">
        <f t="shared" si="165"/>
        <v>0</v>
      </c>
      <c r="GJ59" s="150">
        <f t="shared" si="165"/>
        <v>14</v>
      </c>
      <c r="GK59" s="150">
        <f t="shared" si="165"/>
        <v>14</v>
      </c>
      <c r="GL59" s="150">
        <f t="shared" si="165"/>
        <v>7</v>
      </c>
      <c r="GM59" s="150">
        <f t="shared" si="165"/>
        <v>14</v>
      </c>
      <c r="GN59" s="150">
        <f t="shared" si="165"/>
        <v>7</v>
      </c>
      <c r="GO59" s="150">
        <f t="shared" si="165"/>
        <v>7</v>
      </c>
      <c r="GP59" s="150">
        <f t="shared" si="165"/>
        <v>14</v>
      </c>
      <c r="GQ59" s="150">
        <f t="shared" si="165"/>
        <v>7</v>
      </c>
      <c r="GR59" s="150"/>
      <c r="GS59" s="150" t="s">
        <v>522</v>
      </c>
      <c r="GT59" s="150">
        <v>0</v>
      </c>
      <c r="GU59" s="150">
        <f t="shared" ref="GU59:HF59" si="166">GU4/5*7</f>
        <v>7</v>
      </c>
      <c r="GV59" s="150">
        <f t="shared" si="166"/>
        <v>0</v>
      </c>
      <c r="GW59" s="150">
        <f t="shared" si="166"/>
        <v>14</v>
      </c>
      <c r="GX59" s="150">
        <f t="shared" si="166"/>
        <v>14</v>
      </c>
      <c r="GY59" s="150">
        <f t="shared" si="166"/>
        <v>0</v>
      </c>
      <c r="GZ59" s="150">
        <f t="shared" si="166"/>
        <v>14</v>
      </c>
      <c r="HA59" s="150">
        <f t="shared" si="166"/>
        <v>7</v>
      </c>
      <c r="HB59" s="150">
        <f t="shared" si="166"/>
        <v>7</v>
      </c>
      <c r="HC59" s="150">
        <f t="shared" si="166"/>
        <v>7</v>
      </c>
      <c r="HD59" s="150">
        <f t="shared" si="166"/>
        <v>14</v>
      </c>
      <c r="HE59" s="150">
        <f t="shared" si="166"/>
        <v>7</v>
      </c>
      <c r="HF59" s="150">
        <f t="shared" si="166"/>
        <v>0</v>
      </c>
      <c r="HG59" s="156"/>
      <c r="HH59" s="150"/>
    </row>
    <row r="60" spans="1:216" x14ac:dyDescent="0.2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6" t="s">
        <v>722</v>
      </c>
      <c r="M60" s="11">
        <f>INDEX(cennik!$C$2:$L$529,MATCH($L60,cennik!$B$2:$B$522,0),MATCH(M$2,cennik!$C$1:$L$1,0))</f>
        <v>890504</v>
      </c>
      <c r="N60" s="11" t="str">
        <f>INDEX(cennik!$C$2:$L$529,MATCH($L60,cennik!$B$2:$B$522,0),MATCH(N$2,cennik!$C$1:$L$1,0))</f>
        <v>szt.</v>
      </c>
      <c r="O60" s="11">
        <f>SUM(C34:C49)*12</f>
        <v>0</v>
      </c>
      <c r="P60" s="34">
        <f>INDEX(cennik!$C$2:$L$529,MATCH($L60,cennik!$B$2:$B$522,0),MATCH(P$2,cennik!$C$1:$L$1,0))</f>
        <v>4.58</v>
      </c>
      <c r="Q60" s="34">
        <f t="shared" si="142"/>
        <v>0</v>
      </c>
      <c r="R60" s="35">
        <f t="shared" ref="R60" si="167">$E$7</f>
        <v>0</v>
      </c>
      <c r="S60" s="34">
        <f>P60*((100-$E$7)/100)</f>
        <v>4.58</v>
      </c>
      <c r="T60" s="34">
        <f t="shared" si="143"/>
        <v>0</v>
      </c>
      <c r="U60" s="34">
        <f>INDEX(cennik!$C$2:$L$529,MATCH($L60,cennik!$B$2:$B$522,0),MATCH(U$2,cennik!$C$1:$L$1,0))*O60</f>
        <v>0</v>
      </c>
      <c r="V60" s="62"/>
      <c r="AG60" s="150"/>
      <c r="AH60" s="150"/>
      <c r="AI60" s="150"/>
      <c r="AJ60" s="150"/>
      <c r="AK60" s="150"/>
      <c r="AL60" s="150"/>
      <c r="AM60" s="150"/>
      <c r="AN60" s="150"/>
      <c r="AO60" s="150"/>
      <c r="AP60" s="150"/>
      <c r="AQ60" s="150"/>
      <c r="AR60" s="167" t="s">
        <v>727</v>
      </c>
      <c r="AS60" s="150"/>
      <c r="AT60" s="150"/>
      <c r="AU60" s="150"/>
      <c r="AV60" s="150"/>
      <c r="AW60" s="150"/>
      <c r="AX60" s="150"/>
      <c r="AY60" s="150"/>
      <c r="AZ60" s="150"/>
      <c r="BA60" s="150"/>
      <c r="BB60" s="150"/>
      <c r="BC60" s="150"/>
      <c r="BD60" s="150"/>
      <c r="BE60" s="150"/>
      <c r="BF60" s="150"/>
      <c r="BG60" s="150"/>
      <c r="BH60" s="150" t="s">
        <v>17</v>
      </c>
      <c r="BI60" s="150">
        <v>0</v>
      </c>
      <c r="BJ60" s="150">
        <f t="shared" si="160"/>
        <v>7</v>
      </c>
      <c r="BK60" s="150">
        <f t="shared" si="160"/>
        <v>0</v>
      </c>
      <c r="BL60" s="150">
        <f t="shared" si="160"/>
        <v>0</v>
      </c>
      <c r="BM60" s="150">
        <f t="shared" si="160"/>
        <v>0</v>
      </c>
      <c r="BN60" s="150">
        <f t="shared" si="160"/>
        <v>7</v>
      </c>
      <c r="BO60" s="150">
        <f t="shared" si="160"/>
        <v>7</v>
      </c>
      <c r="BP60" s="150">
        <f t="shared" si="160"/>
        <v>0</v>
      </c>
      <c r="BQ60" s="150">
        <f t="shared" si="160"/>
        <v>0</v>
      </c>
      <c r="BR60" s="150">
        <f t="shared" si="160"/>
        <v>7</v>
      </c>
      <c r="BS60" s="150">
        <f t="shared" si="160"/>
        <v>7</v>
      </c>
      <c r="BT60" s="150">
        <f t="shared" si="160"/>
        <v>7</v>
      </c>
      <c r="BU60" s="150">
        <f t="shared" si="160"/>
        <v>0</v>
      </c>
      <c r="BV60" s="150"/>
      <c r="BW60" s="150" t="s">
        <v>17</v>
      </c>
      <c r="BX60" s="150">
        <v>0</v>
      </c>
      <c r="BY60" s="150">
        <f t="shared" si="151"/>
        <v>7</v>
      </c>
      <c r="BZ60" s="150">
        <f t="shared" si="151"/>
        <v>0</v>
      </c>
      <c r="CA60" s="150">
        <f t="shared" si="151"/>
        <v>0</v>
      </c>
      <c r="CB60" s="150">
        <f t="shared" si="151"/>
        <v>0</v>
      </c>
      <c r="CC60" s="150">
        <f t="shared" si="151"/>
        <v>0</v>
      </c>
      <c r="CD60" s="150">
        <f t="shared" si="151"/>
        <v>7</v>
      </c>
      <c r="CE60" s="150">
        <f t="shared" si="151"/>
        <v>0</v>
      </c>
      <c r="CF60" s="150">
        <f t="shared" si="151"/>
        <v>7</v>
      </c>
      <c r="CG60" s="150">
        <f t="shared" si="151"/>
        <v>0</v>
      </c>
      <c r="CH60" s="150">
        <f t="shared" si="151"/>
        <v>7</v>
      </c>
      <c r="CI60" s="150">
        <f t="shared" si="151"/>
        <v>0</v>
      </c>
      <c r="CJ60" s="150">
        <f t="shared" si="151"/>
        <v>0</v>
      </c>
      <c r="CK60" s="150"/>
      <c r="CL60" s="150"/>
      <c r="CM60" s="150"/>
      <c r="CN60" s="150" t="s">
        <v>17</v>
      </c>
      <c r="CO60" s="150">
        <v>0</v>
      </c>
      <c r="CP60" s="150">
        <f t="shared" si="152"/>
        <v>7</v>
      </c>
      <c r="CQ60" s="150">
        <f t="shared" si="152"/>
        <v>0</v>
      </c>
      <c r="CR60" s="150">
        <f t="shared" si="152"/>
        <v>7</v>
      </c>
      <c r="CS60" s="150">
        <f t="shared" si="152"/>
        <v>7</v>
      </c>
      <c r="CT60" s="150">
        <f t="shared" si="152"/>
        <v>7</v>
      </c>
      <c r="CU60" s="150">
        <f t="shared" si="152"/>
        <v>0</v>
      </c>
      <c r="CV60" s="150">
        <f t="shared" si="152"/>
        <v>0</v>
      </c>
      <c r="CW60" s="150">
        <f t="shared" si="152"/>
        <v>0</v>
      </c>
      <c r="CX60" s="150">
        <f t="shared" si="152"/>
        <v>0</v>
      </c>
      <c r="CY60" s="150">
        <f t="shared" si="152"/>
        <v>0</v>
      </c>
      <c r="CZ60" s="150">
        <f t="shared" si="152"/>
        <v>0</v>
      </c>
      <c r="DA60" s="150">
        <f t="shared" si="152"/>
        <v>0</v>
      </c>
      <c r="DB60" s="150"/>
      <c r="DC60" s="150" t="s">
        <v>17</v>
      </c>
      <c r="DD60" s="150">
        <v>0</v>
      </c>
      <c r="DE60" s="150">
        <f t="shared" si="153"/>
        <v>0</v>
      </c>
      <c r="DF60" s="150">
        <f t="shared" si="153"/>
        <v>0</v>
      </c>
      <c r="DG60" s="150">
        <f t="shared" si="153"/>
        <v>0</v>
      </c>
      <c r="DH60" s="150">
        <f t="shared" si="153"/>
        <v>7</v>
      </c>
      <c r="DI60" s="150">
        <f t="shared" si="153"/>
        <v>7</v>
      </c>
      <c r="DJ60" s="150">
        <f t="shared" si="153"/>
        <v>0</v>
      </c>
      <c r="DK60" s="150">
        <f t="shared" si="153"/>
        <v>0</v>
      </c>
      <c r="DL60" s="150">
        <f t="shared" si="153"/>
        <v>7</v>
      </c>
      <c r="DM60" s="150">
        <f t="shared" si="153"/>
        <v>7</v>
      </c>
      <c r="DN60" s="150">
        <f t="shared" si="153"/>
        <v>0</v>
      </c>
      <c r="DO60" s="150">
        <f t="shared" si="153"/>
        <v>7</v>
      </c>
      <c r="DP60" s="150">
        <f t="shared" si="153"/>
        <v>7</v>
      </c>
      <c r="DQ60" s="181"/>
      <c r="DR60" s="181">
        <v>30</v>
      </c>
      <c r="DS60" s="181"/>
      <c r="DT60" s="150" t="s">
        <v>17</v>
      </c>
      <c r="DU60" s="150">
        <v>0</v>
      </c>
      <c r="DV60" s="150">
        <f t="shared" si="161"/>
        <v>0</v>
      </c>
      <c r="DW60" s="150">
        <f t="shared" si="161"/>
        <v>0</v>
      </c>
      <c r="DX60" s="150">
        <f t="shared" si="161"/>
        <v>0</v>
      </c>
      <c r="DY60" s="150">
        <f t="shared" si="161"/>
        <v>7</v>
      </c>
      <c r="DZ60" s="150">
        <f t="shared" si="161"/>
        <v>0</v>
      </c>
      <c r="EA60" s="150">
        <f t="shared" si="161"/>
        <v>0</v>
      </c>
      <c r="EB60" s="150">
        <f t="shared" si="161"/>
        <v>0</v>
      </c>
      <c r="EC60" s="150">
        <f t="shared" si="161"/>
        <v>7</v>
      </c>
      <c r="ED60" s="150">
        <f t="shared" si="161"/>
        <v>0</v>
      </c>
      <c r="EE60" s="150">
        <f t="shared" si="161"/>
        <v>7</v>
      </c>
      <c r="EF60" s="150">
        <f t="shared" si="161"/>
        <v>7</v>
      </c>
      <c r="EG60" s="150">
        <f t="shared" si="161"/>
        <v>7</v>
      </c>
      <c r="EH60" s="150"/>
      <c r="EI60" s="150"/>
      <c r="EJ60" s="155"/>
      <c r="EK60" s="150" t="s">
        <v>523</v>
      </c>
      <c r="EL60" s="150">
        <v>0</v>
      </c>
      <c r="EM60" s="150">
        <f t="shared" ref="EM60:EX60" si="168">EM5/5*7</f>
        <v>7</v>
      </c>
      <c r="EN60" s="150">
        <f t="shared" si="168"/>
        <v>0</v>
      </c>
      <c r="EO60" s="150">
        <f t="shared" si="168"/>
        <v>0</v>
      </c>
      <c r="EP60" s="150">
        <f t="shared" si="168"/>
        <v>0</v>
      </c>
      <c r="EQ60" s="150">
        <f t="shared" si="168"/>
        <v>21</v>
      </c>
      <c r="ER60" s="150">
        <f t="shared" si="168"/>
        <v>7</v>
      </c>
      <c r="ES60" s="150">
        <f t="shared" si="168"/>
        <v>28</v>
      </c>
      <c r="ET60" s="150">
        <f t="shared" si="168"/>
        <v>14</v>
      </c>
      <c r="EU60" s="150">
        <f t="shared" si="168"/>
        <v>35</v>
      </c>
      <c r="EV60" s="150">
        <f t="shared" si="168"/>
        <v>21</v>
      </c>
      <c r="EW60" s="150">
        <f t="shared" si="168"/>
        <v>35</v>
      </c>
      <c r="EX60" s="150">
        <f t="shared" si="168"/>
        <v>28</v>
      </c>
      <c r="EY60" s="150"/>
      <c r="EZ60" s="150" t="s">
        <v>523</v>
      </c>
      <c r="FA60" s="150">
        <v>0</v>
      </c>
      <c r="FB60" s="150">
        <f t="shared" ref="FB60:FM60" si="169">FB5/5*7</f>
        <v>7</v>
      </c>
      <c r="FC60" s="150">
        <f t="shared" si="169"/>
        <v>0</v>
      </c>
      <c r="FD60" s="150">
        <f t="shared" si="169"/>
        <v>0</v>
      </c>
      <c r="FE60" s="150">
        <f t="shared" si="169"/>
        <v>0</v>
      </c>
      <c r="FF60" s="150">
        <f t="shared" si="169"/>
        <v>14</v>
      </c>
      <c r="FG60" s="150">
        <f t="shared" si="169"/>
        <v>7</v>
      </c>
      <c r="FH60" s="150">
        <f t="shared" si="169"/>
        <v>14</v>
      </c>
      <c r="FI60" s="150">
        <f t="shared" si="169"/>
        <v>35</v>
      </c>
      <c r="FJ60" s="150">
        <f t="shared" si="169"/>
        <v>28</v>
      </c>
      <c r="FK60" s="150">
        <f t="shared" si="169"/>
        <v>35</v>
      </c>
      <c r="FL60" s="150">
        <f t="shared" si="169"/>
        <v>28</v>
      </c>
      <c r="FM60" s="150">
        <f t="shared" si="169"/>
        <v>42</v>
      </c>
      <c r="FN60" s="150"/>
      <c r="FO60" s="150" t="s">
        <v>523</v>
      </c>
      <c r="FP60" s="150">
        <v>0</v>
      </c>
      <c r="FQ60" s="150">
        <f t="shared" ref="FQ60:GB60" si="170">FQ5/5*7</f>
        <v>7</v>
      </c>
      <c r="FR60" s="150">
        <f t="shared" si="170"/>
        <v>0</v>
      </c>
      <c r="FS60" s="150">
        <f t="shared" si="170"/>
        <v>7</v>
      </c>
      <c r="FT60" s="150">
        <f t="shared" si="170"/>
        <v>21</v>
      </c>
      <c r="FU60" s="150">
        <f t="shared" si="170"/>
        <v>7</v>
      </c>
      <c r="FV60" s="150">
        <f t="shared" si="170"/>
        <v>28</v>
      </c>
      <c r="FW60" s="150">
        <f t="shared" si="170"/>
        <v>14</v>
      </c>
      <c r="FX60" s="150">
        <f t="shared" si="170"/>
        <v>28</v>
      </c>
      <c r="FY60" s="150">
        <f t="shared" si="170"/>
        <v>42</v>
      </c>
      <c r="FZ60" s="150">
        <f t="shared" si="170"/>
        <v>28</v>
      </c>
      <c r="GA60" s="150">
        <f t="shared" si="170"/>
        <v>42</v>
      </c>
      <c r="GB60" s="150">
        <f t="shared" si="170"/>
        <v>56</v>
      </c>
      <c r="GC60" s="150"/>
      <c r="GD60" s="150" t="s">
        <v>523</v>
      </c>
      <c r="GE60" s="150">
        <v>0</v>
      </c>
      <c r="GF60" s="150">
        <f t="shared" ref="GF60:GQ60" si="171">GF5/5*7</f>
        <v>0</v>
      </c>
      <c r="GG60" s="150">
        <f t="shared" si="171"/>
        <v>0</v>
      </c>
      <c r="GH60" s="150">
        <f t="shared" si="171"/>
        <v>0</v>
      </c>
      <c r="GI60" s="150">
        <f t="shared" si="171"/>
        <v>21</v>
      </c>
      <c r="GJ60" s="150">
        <f t="shared" si="171"/>
        <v>7</v>
      </c>
      <c r="GK60" s="150">
        <f t="shared" si="171"/>
        <v>14</v>
      </c>
      <c r="GL60" s="150">
        <f t="shared" si="171"/>
        <v>28</v>
      </c>
      <c r="GM60" s="150">
        <f t="shared" si="171"/>
        <v>21</v>
      </c>
      <c r="GN60" s="150">
        <f t="shared" si="171"/>
        <v>35</v>
      </c>
      <c r="GO60" s="150">
        <f t="shared" si="171"/>
        <v>42</v>
      </c>
      <c r="GP60" s="150">
        <f t="shared" si="171"/>
        <v>35</v>
      </c>
      <c r="GQ60" s="150">
        <f t="shared" si="171"/>
        <v>49</v>
      </c>
      <c r="GR60" s="150"/>
      <c r="GS60" s="150" t="s">
        <v>523</v>
      </c>
      <c r="GT60" s="150">
        <v>0</v>
      </c>
      <c r="GU60" s="150">
        <f t="shared" ref="GU60:HF60" si="172">GU5/5*7</f>
        <v>0</v>
      </c>
      <c r="GV60" s="150">
        <f t="shared" si="172"/>
        <v>0</v>
      </c>
      <c r="GW60" s="150">
        <f t="shared" si="172"/>
        <v>0</v>
      </c>
      <c r="GX60" s="150">
        <f t="shared" si="172"/>
        <v>7</v>
      </c>
      <c r="GY60" s="150">
        <f>GY5/5*7</f>
        <v>28</v>
      </c>
      <c r="GZ60" s="150">
        <f t="shared" si="172"/>
        <v>14</v>
      </c>
      <c r="HA60" s="150">
        <f t="shared" si="172"/>
        <v>28</v>
      </c>
      <c r="HB60" s="150">
        <f t="shared" si="172"/>
        <v>35</v>
      </c>
      <c r="HC60" s="150">
        <f t="shared" si="172"/>
        <v>42</v>
      </c>
      <c r="HD60" s="150">
        <f t="shared" si="172"/>
        <v>35</v>
      </c>
      <c r="HE60" s="150">
        <f t="shared" si="172"/>
        <v>49</v>
      </c>
      <c r="HF60" s="150">
        <f t="shared" si="172"/>
        <v>63</v>
      </c>
      <c r="HG60" s="156"/>
      <c r="HH60" s="150"/>
    </row>
    <row r="61" spans="1:216" x14ac:dyDescent="0.2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6" t="s">
        <v>316</v>
      </c>
      <c r="M61" s="11"/>
      <c r="N61" s="11"/>
      <c r="O61" s="11"/>
      <c r="P61" s="34"/>
      <c r="Q61" s="34"/>
      <c r="R61" s="35"/>
      <c r="S61" s="34"/>
      <c r="T61" s="34"/>
      <c r="U61" s="34"/>
      <c r="V61" s="62"/>
      <c r="AG61" s="150"/>
      <c r="AH61" s="150"/>
      <c r="AI61" s="150"/>
      <c r="AJ61" s="150"/>
      <c r="AK61" s="150"/>
      <c r="AL61" s="150"/>
      <c r="AM61" s="150"/>
      <c r="AN61" s="150"/>
      <c r="AO61" s="150"/>
      <c r="AP61" s="150"/>
      <c r="AQ61" s="150"/>
      <c r="AR61" s="150"/>
      <c r="AS61" s="150" t="s">
        <v>314</v>
      </c>
      <c r="AT61" s="150" t="s">
        <v>312</v>
      </c>
      <c r="AU61" s="150" t="s">
        <v>309</v>
      </c>
      <c r="AV61" s="150" t="s">
        <v>313</v>
      </c>
      <c r="AW61" s="150"/>
      <c r="AX61" s="150"/>
      <c r="AY61" s="150"/>
      <c r="AZ61" s="150"/>
      <c r="BA61" s="150"/>
      <c r="BB61" s="150"/>
      <c r="BC61" s="150"/>
      <c r="BD61" s="150"/>
      <c r="BE61" s="150"/>
      <c r="BF61" s="150"/>
      <c r="BG61" s="150"/>
      <c r="BH61" s="158" t="s">
        <v>18</v>
      </c>
      <c r="BI61" s="158">
        <v>0</v>
      </c>
      <c r="BJ61" s="150">
        <f t="shared" si="160"/>
        <v>0</v>
      </c>
      <c r="BK61" s="150">
        <f t="shared" si="160"/>
        <v>0</v>
      </c>
      <c r="BL61" s="150">
        <f t="shared" si="160"/>
        <v>0</v>
      </c>
      <c r="BM61" s="150">
        <f t="shared" si="160"/>
        <v>7</v>
      </c>
      <c r="BN61" s="150">
        <f t="shared" si="160"/>
        <v>7</v>
      </c>
      <c r="BO61" s="150">
        <f t="shared" si="160"/>
        <v>14</v>
      </c>
      <c r="BP61" s="150">
        <f t="shared" si="160"/>
        <v>7</v>
      </c>
      <c r="BQ61" s="150">
        <f t="shared" si="160"/>
        <v>14</v>
      </c>
      <c r="BR61" s="150">
        <f t="shared" si="160"/>
        <v>14</v>
      </c>
      <c r="BS61" s="150">
        <f t="shared" si="160"/>
        <v>21</v>
      </c>
      <c r="BT61" s="150">
        <f t="shared" si="160"/>
        <v>21</v>
      </c>
      <c r="BU61" s="150">
        <f t="shared" si="160"/>
        <v>21</v>
      </c>
      <c r="BV61" s="150"/>
      <c r="BW61" s="150" t="s">
        <v>18</v>
      </c>
      <c r="BX61" s="150">
        <v>0</v>
      </c>
      <c r="BY61" s="150">
        <f t="shared" si="151"/>
        <v>0</v>
      </c>
      <c r="BZ61" s="150">
        <f t="shared" si="151"/>
        <v>0</v>
      </c>
      <c r="CA61" s="150">
        <f t="shared" si="151"/>
        <v>0</v>
      </c>
      <c r="CB61" s="150">
        <f t="shared" si="151"/>
        <v>7</v>
      </c>
      <c r="CC61" s="150">
        <f t="shared" si="151"/>
        <v>7</v>
      </c>
      <c r="CD61" s="150">
        <f t="shared" si="151"/>
        <v>14</v>
      </c>
      <c r="CE61" s="150">
        <f t="shared" si="151"/>
        <v>14</v>
      </c>
      <c r="CF61" s="150">
        <f t="shared" si="151"/>
        <v>14</v>
      </c>
      <c r="CG61" s="150">
        <f t="shared" si="151"/>
        <v>14</v>
      </c>
      <c r="CH61" s="150">
        <f t="shared" si="151"/>
        <v>21</v>
      </c>
      <c r="CI61" s="150">
        <f t="shared" si="151"/>
        <v>21</v>
      </c>
      <c r="CJ61" s="150">
        <f t="shared" si="151"/>
        <v>21</v>
      </c>
      <c r="CK61" s="150"/>
      <c r="CL61" s="150"/>
      <c r="CM61" s="150"/>
      <c r="CN61" s="150" t="s">
        <v>18</v>
      </c>
      <c r="CO61" s="150">
        <v>0</v>
      </c>
      <c r="CP61" s="150">
        <f t="shared" si="152"/>
        <v>0</v>
      </c>
      <c r="CQ61" s="150">
        <f t="shared" si="152"/>
        <v>0</v>
      </c>
      <c r="CR61" s="150">
        <f t="shared" si="152"/>
        <v>7</v>
      </c>
      <c r="CS61" s="150">
        <f t="shared" si="152"/>
        <v>7</v>
      </c>
      <c r="CT61" s="150">
        <f t="shared" si="152"/>
        <v>14</v>
      </c>
      <c r="CU61" s="150">
        <f t="shared" si="152"/>
        <v>7</v>
      </c>
      <c r="CV61" s="150">
        <f t="shared" si="152"/>
        <v>14</v>
      </c>
      <c r="CW61" s="150">
        <f t="shared" si="152"/>
        <v>14</v>
      </c>
      <c r="CX61" s="150">
        <f t="shared" si="152"/>
        <v>14</v>
      </c>
      <c r="CY61" s="150">
        <f t="shared" si="152"/>
        <v>21</v>
      </c>
      <c r="CZ61" s="150">
        <f t="shared" si="152"/>
        <v>21</v>
      </c>
      <c r="DA61" s="150">
        <f t="shared" si="152"/>
        <v>21</v>
      </c>
      <c r="DB61" s="150"/>
      <c r="DC61" s="158" t="s">
        <v>18</v>
      </c>
      <c r="DD61" s="158">
        <v>0</v>
      </c>
      <c r="DE61" s="150">
        <f t="shared" si="153"/>
        <v>0</v>
      </c>
      <c r="DF61" s="150">
        <f t="shared" si="153"/>
        <v>0</v>
      </c>
      <c r="DG61" s="150">
        <f t="shared" si="153"/>
        <v>7</v>
      </c>
      <c r="DH61" s="150">
        <f t="shared" si="153"/>
        <v>7</v>
      </c>
      <c r="DI61" s="150">
        <f t="shared" si="153"/>
        <v>14</v>
      </c>
      <c r="DJ61" s="150">
        <f t="shared" si="153"/>
        <v>14</v>
      </c>
      <c r="DK61" s="150">
        <f t="shared" si="153"/>
        <v>14</v>
      </c>
      <c r="DL61" s="150">
        <f t="shared" si="153"/>
        <v>21</v>
      </c>
      <c r="DM61" s="150">
        <f t="shared" si="153"/>
        <v>21</v>
      </c>
      <c r="DN61" s="150">
        <f t="shared" si="153"/>
        <v>21</v>
      </c>
      <c r="DO61" s="150">
        <f t="shared" si="153"/>
        <v>28</v>
      </c>
      <c r="DP61" s="150">
        <f t="shared" si="153"/>
        <v>28</v>
      </c>
      <c r="DQ61" s="181"/>
      <c r="DR61" s="181">
        <v>36</v>
      </c>
      <c r="DS61" s="181"/>
      <c r="DT61" s="150" t="s">
        <v>18</v>
      </c>
      <c r="DU61" s="150">
        <v>0</v>
      </c>
      <c r="DV61" s="150">
        <f t="shared" si="161"/>
        <v>0</v>
      </c>
      <c r="DW61" s="150">
        <f t="shared" si="161"/>
        <v>0</v>
      </c>
      <c r="DX61" s="150">
        <f t="shared" si="161"/>
        <v>7</v>
      </c>
      <c r="DY61" s="150">
        <f t="shared" si="161"/>
        <v>14</v>
      </c>
      <c r="DZ61" s="150">
        <f t="shared" si="161"/>
        <v>7</v>
      </c>
      <c r="EA61" s="150">
        <f t="shared" si="161"/>
        <v>14</v>
      </c>
      <c r="EB61" s="150">
        <f t="shared" si="161"/>
        <v>14</v>
      </c>
      <c r="EC61" s="150">
        <f t="shared" si="161"/>
        <v>21</v>
      </c>
      <c r="ED61" s="150">
        <f t="shared" si="161"/>
        <v>21</v>
      </c>
      <c r="EE61" s="150">
        <f t="shared" si="161"/>
        <v>28</v>
      </c>
      <c r="EF61" s="150">
        <f t="shared" si="161"/>
        <v>28</v>
      </c>
      <c r="EG61" s="150">
        <f t="shared" si="161"/>
        <v>28</v>
      </c>
      <c r="EH61" s="150"/>
      <c r="EI61" s="150"/>
      <c r="EJ61" s="155"/>
      <c r="EK61" s="158" t="s">
        <v>779</v>
      </c>
      <c r="EL61" s="150">
        <v>0</v>
      </c>
      <c r="EM61" s="150">
        <f t="shared" ref="EM61:EX61" si="173">EM6/5*7</f>
        <v>0</v>
      </c>
      <c r="EN61" s="150">
        <f t="shared" si="173"/>
        <v>0</v>
      </c>
      <c r="EO61" s="150">
        <f t="shared" si="173"/>
        <v>0</v>
      </c>
      <c r="EP61" s="150">
        <f t="shared" si="173"/>
        <v>7</v>
      </c>
      <c r="EQ61" s="150">
        <f t="shared" si="173"/>
        <v>14</v>
      </c>
      <c r="ER61" s="150">
        <f t="shared" si="173"/>
        <v>14</v>
      </c>
      <c r="ES61" s="150">
        <f t="shared" si="173"/>
        <v>21</v>
      </c>
      <c r="ET61" s="150">
        <f t="shared" si="173"/>
        <v>21</v>
      </c>
      <c r="EU61" s="150">
        <f t="shared" si="173"/>
        <v>28</v>
      </c>
      <c r="EV61" s="150">
        <f t="shared" si="173"/>
        <v>28</v>
      </c>
      <c r="EW61" s="150">
        <f t="shared" si="173"/>
        <v>35</v>
      </c>
      <c r="EX61" s="150">
        <f t="shared" si="173"/>
        <v>35</v>
      </c>
      <c r="EY61" s="150"/>
      <c r="EZ61" s="158" t="s">
        <v>779</v>
      </c>
      <c r="FA61" s="150">
        <v>0</v>
      </c>
      <c r="FB61" s="150">
        <f t="shared" ref="FB61:FM61" si="174">FB6/5*7</f>
        <v>0</v>
      </c>
      <c r="FC61" s="150">
        <f t="shared" si="174"/>
        <v>0</v>
      </c>
      <c r="FD61" s="150">
        <f t="shared" si="174"/>
        <v>0</v>
      </c>
      <c r="FE61" s="150">
        <f t="shared" si="174"/>
        <v>7</v>
      </c>
      <c r="FF61" s="150">
        <f t="shared" si="174"/>
        <v>14</v>
      </c>
      <c r="FG61" s="150">
        <f t="shared" si="174"/>
        <v>14</v>
      </c>
      <c r="FH61" s="150">
        <f t="shared" si="174"/>
        <v>21</v>
      </c>
      <c r="FI61" s="150">
        <f t="shared" si="174"/>
        <v>28</v>
      </c>
      <c r="FJ61" s="150">
        <f t="shared" si="174"/>
        <v>28</v>
      </c>
      <c r="FK61" s="150">
        <f t="shared" si="174"/>
        <v>35</v>
      </c>
      <c r="FL61" s="150">
        <f t="shared" si="174"/>
        <v>35</v>
      </c>
      <c r="FM61" s="150">
        <f t="shared" si="174"/>
        <v>42</v>
      </c>
      <c r="FN61" s="150"/>
      <c r="FO61" s="158" t="s">
        <v>779</v>
      </c>
      <c r="FP61" s="150">
        <v>0</v>
      </c>
      <c r="FQ61" s="150">
        <f t="shared" ref="FQ61:GB61" si="175">FQ6/5*7</f>
        <v>0</v>
      </c>
      <c r="FR61" s="150">
        <f t="shared" si="175"/>
        <v>0</v>
      </c>
      <c r="FS61" s="150">
        <f t="shared" si="175"/>
        <v>7</v>
      </c>
      <c r="FT61" s="150">
        <f t="shared" si="175"/>
        <v>14</v>
      </c>
      <c r="FU61" s="150">
        <f t="shared" si="175"/>
        <v>14</v>
      </c>
      <c r="FV61" s="150">
        <f t="shared" si="175"/>
        <v>21</v>
      </c>
      <c r="FW61" s="150">
        <f t="shared" si="175"/>
        <v>21</v>
      </c>
      <c r="FX61" s="150">
        <f t="shared" si="175"/>
        <v>28</v>
      </c>
      <c r="FY61" s="150">
        <f t="shared" si="175"/>
        <v>35</v>
      </c>
      <c r="FZ61" s="150">
        <f t="shared" si="175"/>
        <v>35</v>
      </c>
      <c r="GA61" s="150">
        <f t="shared" si="175"/>
        <v>42</v>
      </c>
      <c r="GB61" s="150">
        <f t="shared" si="175"/>
        <v>49</v>
      </c>
      <c r="GC61" s="150"/>
      <c r="GD61" s="158" t="s">
        <v>779</v>
      </c>
      <c r="GE61" s="150">
        <v>0</v>
      </c>
      <c r="GF61" s="150">
        <f t="shared" ref="GF61:GQ61" si="176">GF6/5*7</f>
        <v>0</v>
      </c>
      <c r="GG61" s="150">
        <f t="shared" si="176"/>
        <v>0</v>
      </c>
      <c r="GH61" s="150">
        <f t="shared" si="176"/>
        <v>7</v>
      </c>
      <c r="GI61" s="150">
        <f t="shared" si="176"/>
        <v>14</v>
      </c>
      <c r="GJ61" s="150">
        <f t="shared" si="176"/>
        <v>14</v>
      </c>
      <c r="GK61" s="150">
        <f t="shared" si="176"/>
        <v>21</v>
      </c>
      <c r="GL61" s="150">
        <f t="shared" si="176"/>
        <v>28</v>
      </c>
      <c r="GM61" s="150">
        <f t="shared" si="176"/>
        <v>28</v>
      </c>
      <c r="GN61" s="150">
        <f t="shared" si="176"/>
        <v>35</v>
      </c>
      <c r="GO61" s="150">
        <f t="shared" si="176"/>
        <v>42</v>
      </c>
      <c r="GP61" s="150">
        <f t="shared" si="176"/>
        <v>42</v>
      </c>
      <c r="GQ61" s="150">
        <f t="shared" si="176"/>
        <v>49</v>
      </c>
      <c r="GR61" s="150"/>
      <c r="GS61" s="158" t="s">
        <v>779</v>
      </c>
      <c r="GT61" s="150">
        <v>0</v>
      </c>
      <c r="GU61" s="150">
        <f t="shared" ref="GU61:HF61" si="177">GU6/5*7</f>
        <v>0</v>
      </c>
      <c r="GV61" s="150">
        <f t="shared" si="177"/>
        <v>0</v>
      </c>
      <c r="GW61" s="150">
        <f t="shared" si="177"/>
        <v>7</v>
      </c>
      <c r="GX61" s="150">
        <f t="shared" si="177"/>
        <v>14</v>
      </c>
      <c r="GY61" s="150">
        <f t="shared" si="177"/>
        <v>21</v>
      </c>
      <c r="GZ61" s="150">
        <f t="shared" si="177"/>
        <v>21</v>
      </c>
      <c r="HA61" s="150">
        <f t="shared" si="177"/>
        <v>28</v>
      </c>
      <c r="HB61" s="150">
        <f t="shared" si="177"/>
        <v>35</v>
      </c>
      <c r="HC61" s="150">
        <f t="shared" si="177"/>
        <v>42</v>
      </c>
      <c r="HD61" s="150">
        <f t="shared" si="177"/>
        <v>42</v>
      </c>
      <c r="HE61" s="150">
        <f t="shared" si="177"/>
        <v>49</v>
      </c>
      <c r="HF61" s="150">
        <f t="shared" si="177"/>
        <v>56</v>
      </c>
      <c r="HG61" s="156"/>
      <c r="HH61" s="150"/>
    </row>
    <row r="62" spans="1:216" x14ac:dyDescent="0.2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6" t="str">
        <f>IF(E44=AS49,"CWT70H50/3,2NMC",IF(E44=AU49,"CWT70H50/3NMC",IF(E44=AT50,"CWT70H50/2,4NMC",IF(E44=AW51,"CWT70H50/2NMC","-------"))))</f>
        <v>CWT70H50/3,2NMC</v>
      </c>
      <c r="M62" s="11">
        <f>INDEX(cennik!$C$2:$L$529,MATCH($L62,cennik!$B$2:$B$522,0),MATCH(M$2,cennik!$C$1:$L$1,0))</f>
        <v>867832</v>
      </c>
      <c r="N62" s="11" t="str">
        <f>INDEX(cennik!$C$2:$L$529,MATCH($L62,cennik!$B$2:$B$522,0),MATCH(N$2,cennik!$C$1:$L$1,0))</f>
        <v>szt.</v>
      </c>
      <c r="O62" s="11">
        <f>E38*2</f>
        <v>0</v>
      </c>
      <c r="P62" s="34">
        <f>INDEX(cennik!$C$2:$L$529,MATCH($L62,cennik!$B$2:$B$522,0),MATCH(P$2,cennik!$C$1:$L$1,0))</f>
        <v>161.94999999999999</v>
      </c>
      <c r="Q62" s="34">
        <f>O62*P62</f>
        <v>0</v>
      </c>
      <c r="R62" s="35">
        <f>$E$39</f>
        <v>0</v>
      </c>
      <c r="S62" s="34">
        <f>P62*((100-$E$39)/100)</f>
        <v>161.94999999999999</v>
      </c>
      <c r="T62" s="34">
        <f>O62*S62</f>
        <v>0</v>
      </c>
      <c r="U62" s="34">
        <f>INDEX(cennik!$C$2:$L$529,MATCH($L62,cennik!$B$2:$B$522,0),MATCH(U$2,cennik!$C$1:$L$1,0))*O62</f>
        <v>0</v>
      </c>
      <c r="V62" s="62"/>
      <c r="W62" s="166"/>
      <c r="X62" s="166"/>
      <c r="Y62" s="166"/>
      <c r="Z62" s="166"/>
      <c r="AA62" s="167" t="s">
        <v>311</v>
      </c>
      <c r="AB62" s="168" t="s">
        <v>318</v>
      </c>
      <c r="AC62" s="150"/>
      <c r="AD62" s="150"/>
      <c r="AE62" s="150"/>
      <c r="AF62" s="150"/>
      <c r="AG62" s="150"/>
      <c r="AH62" s="150"/>
      <c r="AI62" s="150"/>
      <c r="AJ62" s="150"/>
      <c r="AK62" s="150"/>
      <c r="AL62" s="150"/>
      <c r="AM62" s="150"/>
      <c r="AN62" s="150"/>
      <c r="AO62" s="150"/>
      <c r="AP62" s="150"/>
      <c r="AQ62" s="150"/>
      <c r="AR62" s="150" t="s">
        <v>114</v>
      </c>
      <c r="AS62" s="150" t="s">
        <v>594</v>
      </c>
      <c r="AT62" s="150" t="s">
        <v>596</v>
      </c>
      <c r="AU62" s="150" t="s">
        <v>594</v>
      </c>
      <c r="AV62" s="150" t="s">
        <v>594</v>
      </c>
      <c r="AW62" s="150"/>
      <c r="AX62" s="150"/>
      <c r="AY62" s="150"/>
      <c r="AZ62" s="150"/>
      <c r="BA62" s="150"/>
      <c r="BB62" s="150"/>
      <c r="BC62" s="150"/>
      <c r="BD62" s="150"/>
      <c r="BE62" s="150"/>
      <c r="BF62" s="150"/>
      <c r="BG62" s="150" t="s">
        <v>318</v>
      </c>
      <c r="BH62" s="150"/>
      <c r="BI62" s="150"/>
      <c r="BJ62" s="150"/>
      <c r="BK62" s="150"/>
      <c r="BL62" s="150"/>
      <c r="BM62" s="150"/>
      <c r="BN62" s="150"/>
      <c r="BO62" s="150"/>
      <c r="BP62" s="150"/>
      <c r="BQ62" s="150"/>
      <c r="BR62" s="150"/>
      <c r="BS62" s="150"/>
      <c r="BT62" s="150"/>
      <c r="BU62" s="150"/>
      <c r="BV62" s="150"/>
      <c r="BW62" s="150"/>
      <c r="BX62" s="150"/>
      <c r="BY62" s="150"/>
      <c r="BZ62" s="150"/>
      <c r="CA62" s="150"/>
      <c r="CB62" s="150"/>
      <c r="CC62" s="150"/>
      <c r="CD62" s="150"/>
      <c r="CE62" s="150"/>
      <c r="CF62" s="150"/>
      <c r="CG62" s="150"/>
      <c r="CH62" s="150"/>
      <c r="CI62" s="150"/>
      <c r="CJ62" s="150"/>
      <c r="CK62" s="150"/>
      <c r="CL62" s="150"/>
      <c r="CM62" s="150"/>
      <c r="CN62" s="150"/>
      <c r="CO62" s="150"/>
      <c r="CP62" s="150"/>
      <c r="CQ62" s="150"/>
      <c r="CR62" s="150"/>
      <c r="CS62" s="150"/>
      <c r="CT62" s="150"/>
      <c r="CU62" s="150"/>
      <c r="CV62" s="150"/>
      <c r="CW62" s="150"/>
      <c r="CX62" s="150"/>
      <c r="CY62" s="150"/>
      <c r="CZ62" s="150"/>
      <c r="DA62" s="150"/>
      <c r="DB62" s="150"/>
      <c r="DC62" s="150"/>
      <c r="DD62" s="150"/>
      <c r="DE62" s="150"/>
      <c r="DF62" s="150"/>
      <c r="DG62" s="150"/>
      <c r="DH62" s="150"/>
      <c r="DI62" s="150"/>
      <c r="DJ62" s="150"/>
      <c r="DK62" s="150"/>
      <c r="DL62" s="150"/>
      <c r="DM62" s="150"/>
      <c r="DN62" s="150"/>
      <c r="DO62" s="150"/>
      <c r="DP62" s="150"/>
      <c r="DQ62" s="181"/>
      <c r="DR62" s="181">
        <v>42</v>
      </c>
      <c r="DS62" s="181"/>
      <c r="DT62" s="150"/>
      <c r="DU62" s="150"/>
      <c r="DV62" s="150"/>
      <c r="DW62" s="150"/>
      <c r="DX62" s="150"/>
      <c r="DY62" s="150"/>
      <c r="DZ62" s="150"/>
      <c r="EA62" s="150"/>
      <c r="EB62" s="150"/>
      <c r="EC62" s="150"/>
      <c r="ED62" s="150"/>
      <c r="EE62" s="150"/>
      <c r="EF62" s="150"/>
      <c r="EG62" s="150"/>
      <c r="EH62" s="150"/>
      <c r="EI62" s="150"/>
      <c r="EJ62" s="155"/>
      <c r="HG62" s="156"/>
      <c r="HH62" s="150"/>
    </row>
    <row r="63" spans="1:216" x14ac:dyDescent="0.2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6" t="s">
        <v>591</v>
      </c>
      <c r="M63" s="11">
        <f>INDEX(cennik!$C$2:$L$529,MATCH($L63,cennik!$B$2:$B$522,0),MATCH(M$2,cennik!$C$1:$L$1,0))</f>
        <v>867810</v>
      </c>
      <c r="N63" s="11" t="str">
        <f>INDEX(cennik!$C$2:$L$529,MATCH($L63,cennik!$B$2:$B$522,0),MATCH(N$2,cennik!$C$1:$L$1,0))</f>
        <v>szt.</v>
      </c>
      <c r="O63" s="11">
        <f>E38*4</f>
        <v>0</v>
      </c>
      <c r="P63" s="34">
        <f>INDEX(cennik!$C$2:$L$529,MATCH($L63,cennik!$B$2:$B$522,0),MATCH(P$2,cennik!$C$1:$L$1,0))</f>
        <v>50.61</v>
      </c>
      <c r="Q63" s="34">
        <f>O63*P63</f>
        <v>0</v>
      </c>
      <c r="R63" s="35">
        <f>$E$39</f>
        <v>0</v>
      </c>
      <c r="S63" s="34">
        <f>P63*((100-$E$39)/100)</f>
        <v>50.61</v>
      </c>
      <c r="T63" s="34">
        <f>O63*S63</f>
        <v>0</v>
      </c>
      <c r="U63" s="34">
        <f>INDEX(cennik!$C$2:$L$529,MATCH($L63,cennik!$B$2:$B$522,0),MATCH(U$2,cennik!$C$1:$L$1,0))*O63</f>
        <v>0</v>
      </c>
      <c r="V63" s="62"/>
      <c r="W63" s="166"/>
      <c r="X63" s="166"/>
      <c r="Y63" s="166"/>
      <c r="Z63" s="166"/>
      <c r="AA63" s="150">
        <f t="shared" ref="AA63:AA78" si="178">(VLOOKUP(BG63,$AY$5:$BA$9,3,1))*C66</f>
        <v>0</v>
      </c>
      <c r="AB63" s="150">
        <f t="shared" ref="AB63:AB78" si="179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*C66</f>
        <v>0</v>
      </c>
      <c r="AC63" s="150"/>
      <c r="AD63" s="150"/>
      <c r="AE63" s="150"/>
      <c r="AF63" s="150"/>
      <c r="AG63" s="150"/>
      <c r="AH63" s="150"/>
      <c r="AI63" s="150"/>
      <c r="AJ63" s="150"/>
      <c r="AK63" s="150"/>
      <c r="AL63" s="150"/>
      <c r="AM63" s="150"/>
      <c r="AN63" s="150"/>
      <c r="AO63" s="150"/>
      <c r="AP63" s="150"/>
      <c r="AQ63" s="150"/>
      <c r="AR63" s="150" t="s">
        <v>115</v>
      </c>
      <c r="AS63" s="150" t="s">
        <v>594</v>
      </c>
      <c r="AT63" s="150" t="s">
        <v>596</v>
      </c>
      <c r="AU63" s="150" t="s">
        <v>594</v>
      </c>
      <c r="AV63" s="150" t="s">
        <v>594</v>
      </c>
      <c r="AW63" s="150"/>
      <c r="AX63" s="150"/>
      <c r="AY63" s="150"/>
      <c r="AZ63" s="150"/>
      <c r="BA63" s="150"/>
      <c r="BB63" s="150"/>
      <c r="BC63" s="150"/>
      <c r="BD63" s="150"/>
      <c r="BE63" s="150"/>
      <c r="BF63" s="150"/>
      <c r="BG63" s="150">
        <f t="shared" ref="BG63:BG78" si="180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</f>
        <v>1</v>
      </c>
      <c r="BH63" s="150" t="s">
        <v>112</v>
      </c>
      <c r="BI63" s="150">
        <v>0</v>
      </c>
      <c r="BJ63" s="150">
        <v>12</v>
      </c>
      <c r="BK63" s="150">
        <v>18</v>
      </c>
      <c r="BL63" s="150">
        <v>24</v>
      </c>
      <c r="BM63" s="150">
        <v>30</v>
      </c>
      <c r="BN63" s="150">
        <v>36</v>
      </c>
      <c r="BO63" s="150">
        <v>42</v>
      </c>
      <c r="BP63" s="150">
        <v>48</v>
      </c>
      <c r="BQ63" s="150">
        <v>54</v>
      </c>
      <c r="BR63" s="150">
        <v>60</v>
      </c>
      <c r="BS63" s="150">
        <v>66</v>
      </c>
      <c r="BT63" s="150">
        <v>72</v>
      </c>
      <c r="BU63" s="150">
        <v>78</v>
      </c>
      <c r="BV63" s="150"/>
      <c r="BW63" s="150" t="s">
        <v>472</v>
      </c>
      <c r="BX63" s="150">
        <v>0</v>
      </c>
      <c r="BY63" s="150">
        <v>12</v>
      </c>
      <c r="BZ63" s="150">
        <v>18</v>
      </c>
      <c r="CA63" s="150">
        <v>24</v>
      </c>
      <c r="CB63" s="150">
        <v>30</v>
      </c>
      <c r="CC63" s="150">
        <v>36</v>
      </c>
      <c r="CD63" s="150">
        <v>42</v>
      </c>
      <c r="CE63" s="150">
        <v>48</v>
      </c>
      <c r="CF63" s="150">
        <v>54</v>
      </c>
      <c r="CG63" s="150">
        <v>60</v>
      </c>
      <c r="CH63" s="150">
        <v>66</v>
      </c>
      <c r="CI63" s="150">
        <v>72</v>
      </c>
      <c r="CJ63" s="150">
        <v>78</v>
      </c>
      <c r="CK63" s="150"/>
      <c r="CL63" s="150"/>
      <c r="CM63" s="150"/>
      <c r="CN63" s="150" t="s">
        <v>113</v>
      </c>
      <c r="CO63" s="150">
        <v>0</v>
      </c>
      <c r="CP63" s="150">
        <v>12</v>
      </c>
      <c r="CQ63" s="150">
        <v>18</v>
      </c>
      <c r="CR63" s="150">
        <v>24</v>
      </c>
      <c r="CS63" s="150">
        <v>30</v>
      </c>
      <c r="CT63" s="150">
        <v>36</v>
      </c>
      <c r="CU63" s="150">
        <v>42</v>
      </c>
      <c r="CV63" s="150">
        <v>48</v>
      </c>
      <c r="CW63" s="150">
        <v>54</v>
      </c>
      <c r="CX63" s="150">
        <v>60</v>
      </c>
      <c r="CY63" s="150">
        <v>66</v>
      </c>
      <c r="CZ63" s="150">
        <v>72</v>
      </c>
      <c r="DA63" s="150">
        <v>78</v>
      </c>
      <c r="DB63" s="150"/>
      <c r="DC63" s="150" t="s">
        <v>478</v>
      </c>
      <c r="DD63" s="150">
        <v>0</v>
      </c>
      <c r="DE63" s="150">
        <v>12</v>
      </c>
      <c r="DF63" s="150">
        <v>18</v>
      </c>
      <c r="DG63" s="150">
        <v>24</v>
      </c>
      <c r="DH63" s="150">
        <v>30</v>
      </c>
      <c r="DI63" s="150">
        <v>36</v>
      </c>
      <c r="DJ63" s="150">
        <v>42</v>
      </c>
      <c r="DK63" s="150">
        <v>48</v>
      </c>
      <c r="DL63" s="150">
        <v>54</v>
      </c>
      <c r="DM63" s="150">
        <v>60</v>
      </c>
      <c r="DN63" s="150">
        <v>66</v>
      </c>
      <c r="DO63" s="150">
        <v>72</v>
      </c>
      <c r="DP63" s="150">
        <v>78</v>
      </c>
      <c r="DQ63" s="181"/>
      <c r="DR63" s="181">
        <v>48</v>
      </c>
      <c r="DS63" s="181"/>
      <c r="DT63" s="150" t="s">
        <v>507</v>
      </c>
      <c r="DU63" s="150">
        <v>0</v>
      </c>
      <c r="DV63" s="150">
        <v>12</v>
      </c>
      <c r="DW63" s="150">
        <v>18</v>
      </c>
      <c r="DX63" s="150">
        <v>24</v>
      </c>
      <c r="DY63" s="150">
        <v>30</v>
      </c>
      <c r="DZ63" s="150">
        <v>36</v>
      </c>
      <c r="EA63" s="150">
        <v>42</v>
      </c>
      <c r="EB63" s="150">
        <v>48</v>
      </c>
      <c r="EC63" s="150">
        <v>54</v>
      </c>
      <c r="ED63" s="150">
        <v>60</v>
      </c>
      <c r="EE63" s="150">
        <v>66</v>
      </c>
      <c r="EF63" s="150">
        <v>72</v>
      </c>
      <c r="EG63" s="150">
        <v>78</v>
      </c>
      <c r="EH63" s="150"/>
      <c r="EI63" s="150"/>
      <c r="EJ63" s="155"/>
      <c r="EK63" s="150" t="s">
        <v>112</v>
      </c>
      <c r="EL63" s="150">
        <v>0</v>
      </c>
      <c r="EM63" s="150">
        <v>12</v>
      </c>
      <c r="EN63" s="150">
        <v>18</v>
      </c>
      <c r="EO63" s="150">
        <v>24</v>
      </c>
      <c r="EP63" s="150">
        <v>30</v>
      </c>
      <c r="EQ63" s="150">
        <v>36</v>
      </c>
      <c r="ER63" s="150">
        <v>42</v>
      </c>
      <c r="ES63" s="150">
        <v>48</v>
      </c>
      <c r="ET63" s="150">
        <v>54</v>
      </c>
      <c r="EU63" s="150">
        <v>60</v>
      </c>
      <c r="EV63" s="150">
        <v>66</v>
      </c>
      <c r="EW63" s="150">
        <v>72</v>
      </c>
      <c r="EX63" s="150">
        <v>78</v>
      </c>
      <c r="EY63" s="150"/>
      <c r="EZ63" s="150" t="s">
        <v>472</v>
      </c>
      <c r="FA63" s="150">
        <v>0</v>
      </c>
      <c r="FB63" s="150">
        <v>12</v>
      </c>
      <c r="FC63" s="150">
        <v>18</v>
      </c>
      <c r="FD63" s="150">
        <v>24</v>
      </c>
      <c r="FE63" s="150">
        <v>30</v>
      </c>
      <c r="FF63" s="150">
        <v>36</v>
      </c>
      <c r="FG63" s="150">
        <v>42</v>
      </c>
      <c r="FH63" s="150">
        <v>48</v>
      </c>
      <c r="FI63" s="150">
        <v>54</v>
      </c>
      <c r="FJ63" s="150">
        <v>60</v>
      </c>
      <c r="FK63" s="150">
        <v>66</v>
      </c>
      <c r="FL63" s="150">
        <v>72</v>
      </c>
      <c r="FM63" s="150">
        <v>78</v>
      </c>
      <c r="FN63" s="150"/>
      <c r="FO63" s="150" t="s">
        <v>113</v>
      </c>
      <c r="FP63" s="150">
        <v>0</v>
      </c>
      <c r="FQ63" s="150">
        <v>12</v>
      </c>
      <c r="FR63" s="150">
        <v>18</v>
      </c>
      <c r="FS63" s="150">
        <v>24</v>
      </c>
      <c r="FT63" s="150">
        <v>30</v>
      </c>
      <c r="FU63" s="150">
        <v>36</v>
      </c>
      <c r="FV63" s="150">
        <v>42</v>
      </c>
      <c r="FW63" s="150">
        <v>48</v>
      </c>
      <c r="FX63" s="150">
        <v>54</v>
      </c>
      <c r="FY63" s="150">
        <v>60</v>
      </c>
      <c r="FZ63" s="150">
        <v>66</v>
      </c>
      <c r="GA63" s="150">
        <v>72</v>
      </c>
      <c r="GB63" s="150">
        <v>78</v>
      </c>
      <c r="GC63" s="150"/>
      <c r="GD63" s="150" t="s">
        <v>478</v>
      </c>
      <c r="GE63" s="150">
        <v>0</v>
      </c>
      <c r="GF63" s="150">
        <v>12</v>
      </c>
      <c r="GG63" s="150">
        <v>18</v>
      </c>
      <c r="GH63" s="150">
        <v>24</v>
      </c>
      <c r="GI63" s="150">
        <v>30</v>
      </c>
      <c r="GJ63" s="150">
        <v>36</v>
      </c>
      <c r="GK63" s="150">
        <v>42</v>
      </c>
      <c r="GL63" s="150">
        <v>48</v>
      </c>
      <c r="GM63" s="150">
        <v>54</v>
      </c>
      <c r="GN63" s="150">
        <v>60</v>
      </c>
      <c r="GO63" s="150">
        <v>66</v>
      </c>
      <c r="GP63" s="150">
        <v>72</v>
      </c>
      <c r="GQ63" s="150">
        <v>78</v>
      </c>
      <c r="GR63" s="150"/>
      <c r="GS63" s="150" t="s">
        <v>507</v>
      </c>
      <c r="GT63" s="150">
        <v>0</v>
      </c>
      <c r="GU63" s="150">
        <v>12</v>
      </c>
      <c r="GV63" s="150">
        <v>18</v>
      </c>
      <c r="GW63" s="150">
        <v>24</v>
      </c>
      <c r="GX63" s="150">
        <v>30</v>
      </c>
      <c r="GY63" s="150">
        <v>36</v>
      </c>
      <c r="GZ63" s="150">
        <v>42</v>
      </c>
      <c r="HA63" s="150">
        <v>48</v>
      </c>
      <c r="HB63" s="150">
        <v>54</v>
      </c>
      <c r="HC63" s="150">
        <v>60</v>
      </c>
      <c r="HD63" s="150">
        <v>66</v>
      </c>
      <c r="HE63" s="150">
        <v>72</v>
      </c>
      <c r="HF63" s="150">
        <v>78</v>
      </c>
      <c r="HG63" s="156"/>
      <c r="HH63" s="150"/>
    </row>
    <row r="64" spans="1:216" x14ac:dyDescent="0.2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9"/>
      <c r="M64" s="11"/>
      <c r="N64" s="11"/>
      <c r="O64" s="11"/>
      <c r="P64" s="34"/>
      <c r="Q64" s="34"/>
      <c r="R64" s="34"/>
      <c r="S64" s="34"/>
      <c r="T64" s="34">
        <f>SUM(T35:T63)</f>
        <v>0</v>
      </c>
      <c r="U64" s="34">
        <f>SUM(U35:U63)</f>
        <v>0</v>
      </c>
      <c r="V64" s="62"/>
      <c r="W64" s="158" t="s">
        <v>18</v>
      </c>
      <c r="X64" s="150" t="s">
        <v>217</v>
      </c>
      <c r="Y64" s="150" t="s">
        <v>216</v>
      </c>
      <c r="Z64" s="150" t="s">
        <v>17</v>
      </c>
      <c r="AA64" s="150">
        <f t="shared" si="178"/>
        <v>0</v>
      </c>
      <c r="AB64" s="150">
        <f t="shared" si="179"/>
        <v>0</v>
      </c>
      <c r="AC64" s="150"/>
      <c r="AD64" s="150"/>
      <c r="AE64" s="150"/>
      <c r="AF64" s="150"/>
      <c r="AG64" s="150"/>
      <c r="AH64" s="150"/>
      <c r="AI64" s="150"/>
      <c r="AJ64" s="150"/>
      <c r="AK64" s="150"/>
      <c r="AL64" s="150"/>
      <c r="AM64" s="150"/>
      <c r="AN64" s="150"/>
      <c r="AO64" s="150"/>
      <c r="AP64" s="150"/>
      <c r="AQ64" s="150"/>
      <c r="AR64" s="150" t="s">
        <v>474</v>
      </c>
      <c r="AS64" s="150" t="s">
        <v>594</v>
      </c>
      <c r="AT64" s="150" t="s">
        <v>596</v>
      </c>
      <c r="AU64" s="150" t="s">
        <v>594</v>
      </c>
      <c r="AV64" s="150" t="s">
        <v>594</v>
      </c>
      <c r="AW64" s="150"/>
      <c r="AX64" s="150"/>
      <c r="AY64" s="150"/>
      <c r="AZ64" s="150"/>
      <c r="BA64" s="150"/>
      <c r="BB64" s="150"/>
      <c r="BC64" s="150"/>
      <c r="BD64" s="150"/>
      <c r="BE64" s="150"/>
      <c r="BF64" s="150"/>
      <c r="BG64" s="150">
        <f t="shared" si="180"/>
        <v>1</v>
      </c>
      <c r="BH64" s="150" t="s">
        <v>217</v>
      </c>
      <c r="BI64" s="150">
        <v>0</v>
      </c>
      <c r="BJ64" s="150">
        <f>IF(BJ9=0,0,IF(BJ9=5,7,IF(BJ9=10,14,IF(BJ9=15,21,IF(BJ9=20,28,0)))))</f>
        <v>0</v>
      </c>
      <c r="BK64" s="150">
        <f t="shared" ref="BK64:BU64" si="181">IF(BK9=0,0,IF(BK9=5,7,IF(BK9=10,14,IF(BK9=15,21,IF(BK9=20,28,0)))))</f>
        <v>7</v>
      </c>
      <c r="BL64" s="150">
        <f t="shared" si="181"/>
        <v>7</v>
      </c>
      <c r="BM64" s="150">
        <f t="shared" si="181"/>
        <v>0</v>
      </c>
      <c r="BN64" s="150">
        <f t="shared" si="181"/>
        <v>7</v>
      </c>
      <c r="BO64" s="150">
        <f t="shared" si="181"/>
        <v>0</v>
      </c>
      <c r="BP64" s="150">
        <f t="shared" si="181"/>
        <v>14</v>
      </c>
      <c r="BQ64" s="150">
        <f t="shared" si="181"/>
        <v>7</v>
      </c>
      <c r="BR64" s="150">
        <f t="shared" si="181"/>
        <v>14</v>
      </c>
      <c r="BS64" s="150">
        <f t="shared" si="181"/>
        <v>7</v>
      </c>
      <c r="BT64" s="150">
        <f t="shared" si="181"/>
        <v>14</v>
      </c>
      <c r="BU64" s="150">
        <f t="shared" si="181"/>
        <v>14</v>
      </c>
      <c r="BV64" s="150"/>
      <c r="BW64" s="150" t="s">
        <v>217</v>
      </c>
      <c r="BX64" s="150">
        <v>0</v>
      </c>
      <c r="BY64" s="150">
        <f t="shared" ref="BY64:CJ67" si="182">IF(BY9=0,0,IF(BY9=5,7,IF(BY9=10,14,IF(BY9=15,21,IF(BY9=20,28,0)))))</f>
        <v>0</v>
      </c>
      <c r="BZ64" s="150">
        <f t="shared" si="182"/>
        <v>7</v>
      </c>
      <c r="CA64" s="150">
        <f t="shared" si="182"/>
        <v>0</v>
      </c>
      <c r="CB64" s="150">
        <f t="shared" si="182"/>
        <v>0</v>
      </c>
      <c r="CC64" s="150">
        <f t="shared" si="182"/>
        <v>0</v>
      </c>
      <c r="CD64" s="150">
        <f t="shared" si="182"/>
        <v>14</v>
      </c>
      <c r="CE64" s="150">
        <f t="shared" si="182"/>
        <v>7</v>
      </c>
      <c r="CF64" s="150">
        <f t="shared" si="182"/>
        <v>14</v>
      </c>
      <c r="CG64" s="150">
        <f t="shared" si="182"/>
        <v>7</v>
      </c>
      <c r="CH64" s="150">
        <f t="shared" si="182"/>
        <v>14</v>
      </c>
      <c r="CI64" s="150">
        <f t="shared" si="182"/>
        <v>14</v>
      </c>
      <c r="CJ64" s="150">
        <f t="shared" si="182"/>
        <v>21</v>
      </c>
      <c r="CK64" s="150"/>
      <c r="CL64" s="150"/>
      <c r="CM64" s="150"/>
      <c r="CN64" s="150" t="s">
        <v>217</v>
      </c>
      <c r="CO64" s="150">
        <v>0</v>
      </c>
      <c r="CP64" s="150">
        <f t="shared" ref="CP64:DA67" si="183">IF(CP9=0,0,IF(CP9=5,7,IF(CP9=10,14,IF(CP9=15,21,IF(CP9=20,28,0)))))</f>
        <v>0</v>
      </c>
      <c r="CQ64" s="150">
        <f t="shared" si="183"/>
        <v>7</v>
      </c>
      <c r="CR64" s="150">
        <f t="shared" si="183"/>
        <v>0</v>
      </c>
      <c r="CS64" s="150">
        <f t="shared" si="183"/>
        <v>7</v>
      </c>
      <c r="CT64" s="150">
        <f t="shared" si="183"/>
        <v>0</v>
      </c>
      <c r="CU64" s="150">
        <f t="shared" si="183"/>
        <v>7</v>
      </c>
      <c r="CV64" s="150">
        <f t="shared" si="183"/>
        <v>14</v>
      </c>
      <c r="CW64" s="150">
        <f t="shared" si="183"/>
        <v>14</v>
      </c>
      <c r="CX64" s="150">
        <f t="shared" si="183"/>
        <v>14</v>
      </c>
      <c r="CY64" s="150">
        <f t="shared" si="183"/>
        <v>14</v>
      </c>
      <c r="CZ64" s="150">
        <f t="shared" si="183"/>
        <v>21</v>
      </c>
      <c r="DA64" s="150">
        <f t="shared" si="183"/>
        <v>28</v>
      </c>
      <c r="DB64" s="150"/>
      <c r="DC64" s="150" t="s">
        <v>217</v>
      </c>
      <c r="DD64" s="150">
        <v>0</v>
      </c>
      <c r="DE64" s="150">
        <f>IF(DE9=0,0,IF(DE9=5,7,IF(DE9=10,14,IF(DE9=15,21,IF(DE9=20,28,0)))))</f>
        <v>0</v>
      </c>
      <c r="DF64" s="150">
        <f t="shared" ref="DF64:DP64" si="184">IF(DF9=0,0,IF(DF9=5,7,IF(DF9=10,14,IF(DF9=15,21,IF(DF9=20,28,0)))))</f>
        <v>7</v>
      </c>
      <c r="DG64" s="150">
        <f t="shared" si="184"/>
        <v>0</v>
      </c>
      <c r="DH64" s="150">
        <f t="shared" si="184"/>
        <v>7</v>
      </c>
      <c r="DI64" s="150">
        <f t="shared" si="184"/>
        <v>14</v>
      </c>
      <c r="DJ64" s="150">
        <f t="shared" si="184"/>
        <v>7</v>
      </c>
      <c r="DK64" s="150">
        <f t="shared" si="184"/>
        <v>14</v>
      </c>
      <c r="DL64" s="150">
        <f t="shared" si="184"/>
        <v>21</v>
      </c>
      <c r="DM64" s="150">
        <f t="shared" si="184"/>
        <v>14</v>
      </c>
      <c r="DN64" s="150">
        <f t="shared" si="184"/>
        <v>21</v>
      </c>
      <c r="DO64" s="150">
        <f t="shared" si="184"/>
        <v>28</v>
      </c>
      <c r="DP64" s="150">
        <f t="shared" si="184"/>
        <v>21</v>
      </c>
      <c r="DQ64" s="181"/>
      <c r="DR64" s="181">
        <v>54</v>
      </c>
      <c r="DS64" s="181"/>
      <c r="DT64" s="150" t="s">
        <v>217</v>
      </c>
      <c r="DU64" s="150">
        <v>0</v>
      </c>
      <c r="DV64" s="150">
        <f>IF(DV9=0,0,IF(DV9=5,7,IF(DV9=10,14,IF(DV9=15,21,IF(DV9=20,28,0)))))</f>
        <v>0</v>
      </c>
      <c r="DW64" s="150">
        <f t="shared" ref="DW64:EG64" si="185">IF(DW9=0,0,IF(DW9=5,7,IF(DW9=10,14,IF(DW9=15,21,IF(DW9=20,28,0)))))</f>
        <v>7</v>
      </c>
      <c r="DX64" s="150">
        <f t="shared" si="185"/>
        <v>0</v>
      </c>
      <c r="DY64" s="150">
        <f t="shared" si="185"/>
        <v>0</v>
      </c>
      <c r="DZ64" s="150">
        <f t="shared" si="185"/>
        <v>14</v>
      </c>
      <c r="EA64" s="150">
        <f t="shared" si="185"/>
        <v>14</v>
      </c>
      <c r="EB64" s="150">
        <f t="shared" si="185"/>
        <v>7</v>
      </c>
      <c r="EC64" s="150">
        <f t="shared" si="185"/>
        <v>14</v>
      </c>
      <c r="ED64" s="150">
        <f t="shared" si="185"/>
        <v>21</v>
      </c>
      <c r="EE64" s="150">
        <f t="shared" si="185"/>
        <v>14</v>
      </c>
      <c r="EF64" s="150">
        <f t="shared" si="185"/>
        <v>21</v>
      </c>
      <c r="EG64" s="150">
        <f t="shared" si="185"/>
        <v>28</v>
      </c>
      <c r="EH64" s="150"/>
      <c r="EI64" s="150"/>
      <c r="EJ64" s="155"/>
      <c r="EK64" s="150" t="s">
        <v>586</v>
      </c>
      <c r="EL64" s="150">
        <v>0</v>
      </c>
      <c r="EM64" s="150">
        <f t="shared" ref="EM64:EX64" si="186">EM9/5*7</f>
        <v>0</v>
      </c>
      <c r="EN64" s="150">
        <f t="shared" si="186"/>
        <v>7</v>
      </c>
      <c r="EO64" s="150">
        <f t="shared" si="186"/>
        <v>7</v>
      </c>
      <c r="EP64" s="150">
        <f t="shared" si="186"/>
        <v>0</v>
      </c>
      <c r="EQ64" s="150">
        <f t="shared" si="186"/>
        <v>0</v>
      </c>
      <c r="ER64" s="150">
        <f t="shared" si="186"/>
        <v>0</v>
      </c>
      <c r="ES64" s="150">
        <f t="shared" si="186"/>
        <v>0</v>
      </c>
      <c r="ET64" s="150">
        <f t="shared" si="186"/>
        <v>0</v>
      </c>
      <c r="EU64" s="150">
        <f t="shared" si="186"/>
        <v>0</v>
      </c>
      <c r="EV64" s="150">
        <f t="shared" si="186"/>
        <v>0</v>
      </c>
      <c r="EW64" s="150">
        <f t="shared" si="186"/>
        <v>0</v>
      </c>
      <c r="EX64" s="150">
        <f t="shared" si="186"/>
        <v>0</v>
      </c>
      <c r="EZ64" s="150" t="s">
        <v>586</v>
      </c>
      <c r="FA64" s="150">
        <v>0</v>
      </c>
      <c r="FB64" s="150">
        <f t="shared" ref="FB64:FM64" si="187">FB9/5*7</f>
        <v>0</v>
      </c>
      <c r="FC64" s="150">
        <f t="shared" si="187"/>
        <v>7</v>
      </c>
      <c r="FD64" s="150">
        <f t="shared" si="187"/>
        <v>0</v>
      </c>
      <c r="FE64" s="150">
        <f t="shared" si="187"/>
        <v>0</v>
      </c>
      <c r="FF64" s="150">
        <f t="shared" si="187"/>
        <v>0</v>
      </c>
      <c r="FG64" s="150">
        <f t="shared" si="187"/>
        <v>0</v>
      </c>
      <c r="FH64" s="150">
        <f t="shared" si="187"/>
        <v>0</v>
      </c>
      <c r="FI64" s="150">
        <f t="shared" si="187"/>
        <v>0</v>
      </c>
      <c r="FJ64" s="150">
        <f t="shared" si="187"/>
        <v>0</v>
      </c>
      <c r="FK64" s="150">
        <f t="shared" si="187"/>
        <v>0</v>
      </c>
      <c r="FL64" s="150">
        <f t="shared" si="187"/>
        <v>0</v>
      </c>
      <c r="FM64" s="150">
        <f t="shared" si="187"/>
        <v>0</v>
      </c>
      <c r="FO64" s="150" t="s">
        <v>586</v>
      </c>
      <c r="FP64" s="150">
        <v>0</v>
      </c>
      <c r="FQ64" s="150">
        <f t="shared" ref="FQ64:GB64" si="188">FQ9/5*7</f>
        <v>0</v>
      </c>
      <c r="FR64" s="150">
        <f t="shared" si="188"/>
        <v>7</v>
      </c>
      <c r="FS64" s="150">
        <f t="shared" si="188"/>
        <v>0</v>
      </c>
      <c r="FT64" s="150">
        <f t="shared" si="188"/>
        <v>0</v>
      </c>
      <c r="FU64" s="150">
        <f t="shared" si="188"/>
        <v>0</v>
      </c>
      <c r="FV64" s="150">
        <f t="shared" si="188"/>
        <v>0</v>
      </c>
      <c r="FW64" s="150">
        <f t="shared" si="188"/>
        <v>0</v>
      </c>
      <c r="FX64" s="150">
        <f t="shared" si="188"/>
        <v>0</v>
      </c>
      <c r="FY64" s="150">
        <f t="shared" si="188"/>
        <v>0</v>
      </c>
      <c r="FZ64" s="150">
        <f t="shared" si="188"/>
        <v>0</v>
      </c>
      <c r="GA64" s="150">
        <f t="shared" si="188"/>
        <v>0</v>
      </c>
      <c r="GB64" s="150">
        <f t="shared" si="188"/>
        <v>0</v>
      </c>
      <c r="GD64" s="150" t="s">
        <v>586</v>
      </c>
      <c r="GE64" s="150">
        <v>0</v>
      </c>
      <c r="GF64" s="150">
        <f t="shared" ref="GF64:GQ64" si="189">GF9/5*7</f>
        <v>0</v>
      </c>
      <c r="GG64" s="150">
        <f t="shared" si="189"/>
        <v>7</v>
      </c>
      <c r="GH64" s="150">
        <f t="shared" si="189"/>
        <v>0</v>
      </c>
      <c r="GI64" s="150">
        <f t="shared" si="189"/>
        <v>0</v>
      </c>
      <c r="GJ64" s="150">
        <f t="shared" si="189"/>
        <v>0</v>
      </c>
      <c r="GK64" s="150">
        <f t="shared" si="189"/>
        <v>0</v>
      </c>
      <c r="GL64" s="150">
        <f t="shared" si="189"/>
        <v>0</v>
      </c>
      <c r="GM64" s="150">
        <f t="shared" si="189"/>
        <v>0</v>
      </c>
      <c r="GN64" s="150">
        <f t="shared" si="189"/>
        <v>0</v>
      </c>
      <c r="GO64" s="150">
        <f t="shared" si="189"/>
        <v>0</v>
      </c>
      <c r="GP64" s="150">
        <f t="shared" si="189"/>
        <v>0</v>
      </c>
      <c r="GQ64" s="150">
        <f t="shared" si="189"/>
        <v>0</v>
      </c>
      <c r="GS64" s="150" t="s">
        <v>586</v>
      </c>
      <c r="GT64" s="150">
        <v>0</v>
      </c>
      <c r="GU64" s="150">
        <f t="shared" ref="GU64:HF64" si="190">GU9/5*7</f>
        <v>0</v>
      </c>
      <c r="GV64" s="150">
        <f t="shared" si="190"/>
        <v>7</v>
      </c>
      <c r="GW64" s="150">
        <f t="shared" si="190"/>
        <v>0</v>
      </c>
      <c r="GX64" s="150">
        <f t="shared" si="190"/>
        <v>0</v>
      </c>
      <c r="GY64" s="150">
        <f t="shared" si="190"/>
        <v>0</v>
      </c>
      <c r="GZ64" s="150">
        <f t="shared" si="190"/>
        <v>0</v>
      </c>
      <c r="HA64" s="150">
        <f t="shared" si="190"/>
        <v>0</v>
      </c>
      <c r="HB64" s="150">
        <f t="shared" si="190"/>
        <v>0</v>
      </c>
      <c r="HC64" s="150">
        <f t="shared" si="190"/>
        <v>0</v>
      </c>
      <c r="HD64" s="150">
        <f t="shared" si="190"/>
        <v>0</v>
      </c>
      <c r="HE64" s="150">
        <f t="shared" si="190"/>
        <v>0</v>
      </c>
      <c r="HF64" s="150">
        <f t="shared" si="190"/>
        <v>0</v>
      </c>
      <c r="HG64" s="156"/>
      <c r="HH64" s="150"/>
    </row>
    <row r="65" spans="1:254" ht="51.75" x14ac:dyDescent="0.25">
      <c r="A65" s="3" t="s">
        <v>443</v>
      </c>
      <c r="B65" s="3"/>
      <c r="C65" s="3" t="s">
        <v>444</v>
      </c>
      <c r="D65" s="9"/>
      <c r="E65" s="9"/>
      <c r="F65" s="9"/>
      <c r="G65" s="9"/>
      <c r="H65" s="9"/>
      <c r="I65" s="9"/>
      <c r="J65" s="9"/>
      <c r="K65" s="9"/>
      <c r="L65" s="360" t="str">
        <f>IF(E69="wbijana","KONSTRUKCJA W-H6G2-25°",IF(E69="betonowana","KONSTRUKCJA W-H6B2-25°",IF(E69="kotwiona","KONSTRUKCJA W-H6K2-25°",IF(E69="wkręcana","KONSTRUKCJA W-H6S2-25°"))))</f>
        <v>KONSTRUKCJA W-H6K2-25°</v>
      </c>
      <c r="M65" s="360"/>
      <c r="N65" s="360"/>
      <c r="O65" s="360"/>
      <c r="P65" s="360"/>
      <c r="Q65" s="360"/>
      <c r="R65" s="360"/>
      <c r="S65" s="360"/>
      <c r="T65" s="360"/>
      <c r="U65" s="360"/>
      <c r="V65" s="62"/>
      <c r="W65" s="150">
        <f>INDEX(($EL$58:$EX$61,$EL$64:$EX$67,$EL$70:$EX$73,$FA$58:$FM$61,$FA$64:$FM$67,$FA$70:$FM$73,$FP$58:$GB$61,$FP$64:$GB$67,$FP$70:$GB$73,$GE$58:$GQ$61,$GE$64:$GQ$67,$GE$70:$GQ$73,$GT$58:$HF$61,$GT$64:$HF$67),MATCH($L$81,$EK$58:$EK$61,0),MATCH($A66,$EL$57:$EX$57,0),MATCH($E$35,$AE$33:$AE$48,0))*$C66</f>
        <v>0</v>
      </c>
      <c r="X65" s="150">
        <f>INDEX(($EL$58:$EX$61,$EL$64:$EX$67,$EL$70:$EX$73,$FA$58:$FM$61,$FA$64:$FM$67,$FA$70:$FM$73,$FP$58:$GB$61,$FP$64:$GB$67,$FP$70:$GB$73,$GE$58:$GQ$61,$GE$64:$GQ$67,$GE$70:$GQ$73,$GT$58:$HF$61,$GT$64:$HF$67),MATCH($L$78,$EK$58:$EK$61,0),MATCH($A66,$EL$57:$EX$57,0),MATCH($E$35,$AE$33:$AE$48,0))*$C66</f>
        <v>0</v>
      </c>
      <c r="Y65" s="150">
        <f>INDEX(($EL$58:$EX$61,$EL$64:$EX$67,$EL$70:$EX$73,$FA$58:$FM$61,$FA$64:$FM$67,$FA$70:$FM$73,$FP$58:$GB$61,$FP$64:$GB$67,$FP$70:$GB$73,$GE$58:$GQ$61,$GE$64:$GQ$67,$GE$70:$GQ$73,$GT$58:$HF$61,$GT$64:$HF$67),MATCH($L$79,$EK$58:$EK$61,0),MATCH($A66,$EL$57:$EX$57,0),MATCH($E$35,$AE$33:$AE$48,0))*$C66</f>
        <v>0</v>
      </c>
      <c r="Z65" s="150">
        <f>INDEX(($EL$58:$EX$61,$EL$64:$EX$67,$EL$70:$EX$73,$FA$58:$FM$61,$FA$64:$FM$67,$FA$70:$FM$73,$FP$58:$GB$61,$FP$64:$GB$67,$FP$70:$GB$73,$GE$58:$GQ$61,$GE$64:$GQ$67,$GE$70:$GQ$73,$GT$58:$HF$61,$GT$64:$HF$67),MATCH($L$80,$EK$58:$EK$61,0),MATCH($A66,$EL$57:$EX$57,0),MATCH($E$35,$AE$33:$AE$48,0))*$C66</f>
        <v>0</v>
      </c>
      <c r="AA65" s="150">
        <f t="shared" si="178"/>
        <v>0</v>
      </c>
      <c r="AB65" s="150">
        <f t="shared" si="179"/>
        <v>0</v>
      </c>
      <c r="AC65" s="150"/>
      <c r="AD65" s="150"/>
      <c r="AE65" s="150"/>
      <c r="AF65" s="150"/>
      <c r="AG65" s="150"/>
      <c r="AH65" s="150"/>
      <c r="AI65" s="150"/>
      <c r="AJ65" s="150"/>
      <c r="AK65" s="150"/>
      <c r="AL65" s="150"/>
      <c r="AM65" s="150"/>
      <c r="AN65" s="150"/>
      <c r="AO65" s="150"/>
      <c r="AP65" s="150"/>
      <c r="AQ65" s="150"/>
      <c r="AR65" s="150"/>
      <c r="AS65" s="150"/>
      <c r="AT65" s="150"/>
      <c r="AU65" s="150"/>
      <c r="AV65" s="150"/>
      <c r="AW65" s="150"/>
      <c r="AX65" s="150"/>
      <c r="AY65" s="150"/>
      <c r="AZ65" s="150"/>
      <c r="BA65" s="150"/>
      <c r="BB65" s="150"/>
      <c r="BC65" s="150"/>
      <c r="BD65" s="150"/>
      <c r="BE65" s="150"/>
      <c r="BF65" s="150"/>
      <c r="BG65" s="150">
        <f t="shared" si="180"/>
        <v>1</v>
      </c>
      <c r="BH65" s="150" t="s">
        <v>216</v>
      </c>
      <c r="BI65" s="150">
        <v>0</v>
      </c>
      <c r="BJ65" s="150">
        <f t="shared" ref="BJ65:BU67" si="191">IF(BJ10=0,0,IF(BJ10=5,7,IF(BJ10=10,14,IF(BJ10=15,21,IF(BJ10=20,28,0)))))</f>
        <v>0</v>
      </c>
      <c r="BK65" s="150">
        <f t="shared" si="191"/>
        <v>0</v>
      </c>
      <c r="BL65" s="150">
        <f t="shared" si="191"/>
        <v>0</v>
      </c>
      <c r="BM65" s="150">
        <f t="shared" si="191"/>
        <v>14</v>
      </c>
      <c r="BN65" s="150">
        <f t="shared" si="191"/>
        <v>0</v>
      </c>
      <c r="BO65" s="150">
        <f>IF(BO10=0,0,IF(BO10=5,7,IF(BO10=10,14,IF(BO10=15,21,IF(BO10=20,28,0)))))</f>
        <v>14</v>
      </c>
      <c r="BP65" s="150">
        <f t="shared" si="191"/>
        <v>0</v>
      </c>
      <c r="BQ65" s="150">
        <f t="shared" si="191"/>
        <v>14</v>
      </c>
      <c r="BR65" s="150">
        <f t="shared" si="191"/>
        <v>0</v>
      </c>
      <c r="BS65" s="150">
        <f t="shared" si="191"/>
        <v>14</v>
      </c>
      <c r="BT65" s="150">
        <f t="shared" si="191"/>
        <v>7</v>
      </c>
      <c r="BU65" s="150">
        <f t="shared" si="191"/>
        <v>14</v>
      </c>
      <c r="BV65" s="150"/>
      <c r="BW65" s="150" t="s">
        <v>216</v>
      </c>
      <c r="BX65" s="150">
        <v>0</v>
      </c>
      <c r="BY65" s="150">
        <f t="shared" si="182"/>
        <v>0</v>
      </c>
      <c r="BZ65" s="150">
        <f t="shared" si="182"/>
        <v>0</v>
      </c>
      <c r="CA65" s="150">
        <f t="shared" si="182"/>
        <v>7</v>
      </c>
      <c r="CB65" s="150">
        <f t="shared" si="182"/>
        <v>14</v>
      </c>
      <c r="CC65" s="150">
        <f t="shared" si="182"/>
        <v>14</v>
      </c>
      <c r="CD65" s="150">
        <f t="shared" si="182"/>
        <v>0</v>
      </c>
      <c r="CE65" s="150">
        <f t="shared" si="182"/>
        <v>14</v>
      </c>
      <c r="CF65" s="150">
        <f t="shared" si="182"/>
        <v>7</v>
      </c>
      <c r="CG65" s="150">
        <f t="shared" si="182"/>
        <v>14</v>
      </c>
      <c r="CH65" s="150">
        <f t="shared" si="182"/>
        <v>7</v>
      </c>
      <c r="CI65" s="150">
        <f t="shared" si="182"/>
        <v>14</v>
      </c>
      <c r="CJ65" s="150">
        <f t="shared" si="182"/>
        <v>7</v>
      </c>
      <c r="CK65" s="150"/>
      <c r="CL65" s="150"/>
      <c r="CM65" s="150"/>
      <c r="CN65" s="150" t="s">
        <v>216</v>
      </c>
      <c r="CO65" s="150">
        <v>0</v>
      </c>
      <c r="CP65" s="150">
        <f t="shared" si="183"/>
        <v>7</v>
      </c>
      <c r="CQ65" s="150">
        <f t="shared" si="183"/>
        <v>0</v>
      </c>
      <c r="CR65" s="150">
        <f t="shared" si="183"/>
        <v>7</v>
      </c>
      <c r="CS65" s="150">
        <f t="shared" si="183"/>
        <v>0</v>
      </c>
      <c r="CT65" s="150">
        <f t="shared" si="183"/>
        <v>14</v>
      </c>
      <c r="CU65" s="150">
        <f t="shared" si="183"/>
        <v>14</v>
      </c>
      <c r="CV65" s="150">
        <f t="shared" si="183"/>
        <v>0</v>
      </c>
      <c r="CW65" s="150">
        <f t="shared" si="183"/>
        <v>7</v>
      </c>
      <c r="CX65" s="150">
        <f t="shared" si="183"/>
        <v>7</v>
      </c>
      <c r="CY65" s="150">
        <f t="shared" si="183"/>
        <v>14</v>
      </c>
      <c r="CZ65" s="150">
        <f t="shared" si="183"/>
        <v>7</v>
      </c>
      <c r="DA65" s="150">
        <f t="shared" si="183"/>
        <v>0</v>
      </c>
      <c r="DB65" s="150"/>
      <c r="DC65" s="150" t="s">
        <v>216</v>
      </c>
      <c r="DD65" s="150">
        <v>0</v>
      </c>
      <c r="DE65" s="150">
        <f t="shared" ref="DE65:DP67" si="192">IF(DE10=0,0,IF(DE10=5,7,IF(DE10=10,14,IF(DE10=15,21,IF(DE10=20,28,0)))))</f>
        <v>7</v>
      </c>
      <c r="DF65" s="150">
        <f t="shared" si="192"/>
        <v>0</v>
      </c>
      <c r="DG65" s="150">
        <f t="shared" si="192"/>
        <v>14</v>
      </c>
      <c r="DH65" s="150">
        <f t="shared" si="192"/>
        <v>7</v>
      </c>
      <c r="DI65" s="150">
        <f t="shared" si="192"/>
        <v>0</v>
      </c>
      <c r="DJ65" s="150">
        <f t="shared" si="192"/>
        <v>14</v>
      </c>
      <c r="DK65" s="150">
        <f t="shared" si="192"/>
        <v>7</v>
      </c>
      <c r="DL65" s="150">
        <f t="shared" si="192"/>
        <v>0</v>
      </c>
      <c r="DM65" s="150">
        <f t="shared" si="192"/>
        <v>14</v>
      </c>
      <c r="DN65" s="150">
        <f t="shared" si="192"/>
        <v>7</v>
      </c>
      <c r="DO65" s="150">
        <f t="shared" si="192"/>
        <v>0</v>
      </c>
      <c r="DP65" s="150">
        <f t="shared" si="192"/>
        <v>7</v>
      </c>
      <c r="DQ65" s="181"/>
      <c r="DR65" s="181">
        <v>60</v>
      </c>
      <c r="DS65" s="181"/>
      <c r="DT65" s="150" t="s">
        <v>216</v>
      </c>
      <c r="DU65" s="150">
        <v>0</v>
      </c>
      <c r="DV65" s="150">
        <f t="shared" ref="DV65:EG67" si="193">IF(DV10=0,0,IF(DV10=5,7,IF(DV10=10,14,IF(DV10=15,21,IF(DV10=20,28,0)))))</f>
        <v>7</v>
      </c>
      <c r="DW65" s="150">
        <f t="shared" si="193"/>
        <v>0</v>
      </c>
      <c r="DX65" s="150">
        <f t="shared" si="193"/>
        <v>14</v>
      </c>
      <c r="DY65" s="150">
        <f t="shared" si="193"/>
        <v>14</v>
      </c>
      <c r="DZ65" s="150">
        <f t="shared" si="193"/>
        <v>0</v>
      </c>
      <c r="EA65" s="150">
        <f t="shared" si="193"/>
        <v>0</v>
      </c>
      <c r="EB65" s="150">
        <f t="shared" si="193"/>
        <v>14</v>
      </c>
      <c r="EC65" s="150">
        <f t="shared" si="193"/>
        <v>7</v>
      </c>
      <c r="ED65" s="150">
        <f t="shared" si="193"/>
        <v>7</v>
      </c>
      <c r="EE65" s="150">
        <f t="shared" si="193"/>
        <v>14</v>
      </c>
      <c r="EF65" s="150">
        <f t="shared" si="193"/>
        <v>7</v>
      </c>
      <c r="EG65" s="150">
        <f t="shared" si="193"/>
        <v>0</v>
      </c>
      <c r="EH65" s="150"/>
      <c r="EI65" s="150"/>
      <c r="EJ65" s="155"/>
      <c r="EK65" s="150" t="s">
        <v>522</v>
      </c>
      <c r="EL65" s="150">
        <v>0</v>
      </c>
      <c r="EM65" s="150">
        <f t="shared" ref="EM65:EX65" si="194">EM10/5*7</f>
        <v>0</v>
      </c>
      <c r="EN65" s="150">
        <f t="shared" si="194"/>
        <v>0</v>
      </c>
      <c r="EO65" s="150">
        <f t="shared" si="194"/>
        <v>0</v>
      </c>
      <c r="EP65" s="150">
        <f t="shared" si="194"/>
        <v>14</v>
      </c>
      <c r="EQ65" s="150">
        <f t="shared" si="194"/>
        <v>0</v>
      </c>
      <c r="ER65" s="150">
        <f t="shared" si="194"/>
        <v>14</v>
      </c>
      <c r="ES65" s="150">
        <f t="shared" si="194"/>
        <v>0</v>
      </c>
      <c r="ET65" s="150">
        <f t="shared" si="194"/>
        <v>14</v>
      </c>
      <c r="EU65" s="150">
        <f t="shared" si="194"/>
        <v>0</v>
      </c>
      <c r="EV65" s="150">
        <f t="shared" si="194"/>
        <v>14</v>
      </c>
      <c r="EW65" s="150">
        <f t="shared" si="194"/>
        <v>7</v>
      </c>
      <c r="EX65" s="150">
        <f t="shared" si="194"/>
        <v>14</v>
      </c>
      <c r="EY65" s="150"/>
      <c r="EZ65" s="150" t="s">
        <v>522</v>
      </c>
      <c r="FA65" s="150">
        <v>0</v>
      </c>
      <c r="FB65" s="150">
        <f t="shared" ref="FB65:FM65" si="195">FB10/5*7</f>
        <v>0</v>
      </c>
      <c r="FC65" s="150">
        <f t="shared" si="195"/>
        <v>0</v>
      </c>
      <c r="FD65" s="150">
        <f t="shared" si="195"/>
        <v>7</v>
      </c>
      <c r="FE65" s="150">
        <f t="shared" si="195"/>
        <v>14</v>
      </c>
      <c r="FF65" s="150">
        <f t="shared" si="195"/>
        <v>14</v>
      </c>
      <c r="FG65" s="150">
        <f t="shared" si="195"/>
        <v>0</v>
      </c>
      <c r="FH65" s="150">
        <f t="shared" si="195"/>
        <v>14</v>
      </c>
      <c r="FI65" s="150">
        <f t="shared" si="195"/>
        <v>7</v>
      </c>
      <c r="FJ65" s="150">
        <f t="shared" si="195"/>
        <v>14</v>
      </c>
      <c r="FK65" s="150">
        <f t="shared" si="195"/>
        <v>7</v>
      </c>
      <c r="FL65" s="150">
        <f t="shared" si="195"/>
        <v>14</v>
      </c>
      <c r="FM65" s="150">
        <f t="shared" si="195"/>
        <v>7</v>
      </c>
      <c r="FN65" s="150"/>
      <c r="FO65" s="150" t="s">
        <v>522</v>
      </c>
      <c r="FP65" s="150">
        <v>0</v>
      </c>
      <c r="FQ65" s="150">
        <f t="shared" ref="FQ65:GB65" si="196">FQ10/5*7</f>
        <v>7</v>
      </c>
      <c r="FR65" s="150">
        <f t="shared" si="196"/>
        <v>0</v>
      </c>
      <c r="FS65" s="150">
        <f t="shared" si="196"/>
        <v>7</v>
      </c>
      <c r="FT65" s="150">
        <f t="shared" si="196"/>
        <v>0</v>
      </c>
      <c r="FU65" s="150">
        <f t="shared" si="196"/>
        <v>14</v>
      </c>
      <c r="FV65" s="150">
        <f t="shared" si="196"/>
        <v>14</v>
      </c>
      <c r="FW65" s="150">
        <f t="shared" si="196"/>
        <v>0</v>
      </c>
      <c r="FX65" s="150">
        <f t="shared" si="196"/>
        <v>7</v>
      </c>
      <c r="FY65" s="150">
        <f t="shared" si="196"/>
        <v>7</v>
      </c>
      <c r="FZ65" s="150">
        <f t="shared" si="196"/>
        <v>14</v>
      </c>
      <c r="GA65" s="150">
        <f t="shared" si="196"/>
        <v>7</v>
      </c>
      <c r="GB65" s="150">
        <f t="shared" si="196"/>
        <v>0</v>
      </c>
      <c r="GC65" s="150"/>
      <c r="GD65" s="150" t="s">
        <v>522</v>
      </c>
      <c r="GE65" s="150">
        <v>0</v>
      </c>
      <c r="GF65" s="150">
        <f t="shared" ref="GF65:GQ65" si="197">GF10/5*7</f>
        <v>7</v>
      </c>
      <c r="GG65" s="150">
        <f t="shared" si="197"/>
        <v>0</v>
      </c>
      <c r="GH65" s="150">
        <f t="shared" si="197"/>
        <v>14</v>
      </c>
      <c r="GI65" s="150">
        <f t="shared" si="197"/>
        <v>7</v>
      </c>
      <c r="GJ65" s="150">
        <f t="shared" si="197"/>
        <v>0</v>
      </c>
      <c r="GK65" s="150">
        <f t="shared" si="197"/>
        <v>14</v>
      </c>
      <c r="GL65" s="150">
        <f t="shared" si="197"/>
        <v>7</v>
      </c>
      <c r="GM65" s="150">
        <f t="shared" si="197"/>
        <v>0</v>
      </c>
      <c r="GN65" s="150">
        <f t="shared" si="197"/>
        <v>14</v>
      </c>
      <c r="GO65" s="150">
        <f t="shared" si="197"/>
        <v>7</v>
      </c>
      <c r="GP65" s="150">
        <f t="shared" si="197"/>
        <v>0</v>
      </c>
      <c r="GQ65" s="150">
        <f t="shared" si="197"/>
        <v>7</v>
      </c>
      <c r="GR65" s="150"/>
      <c r="GS65" s="150" t="s">
        <v>522</v>
      </c>
      <c r="GT65" s="150">
        <v>0</v>
      </c>
      <c r="GU65" s="150">
        <f t="shared" ref="GU65:HF65" si="198">GU10/5*7</f>
        <v>7</v>
      </c>
      <c r="GV65" s="150">
        <f t="shared" si="198"/>
        <v>0</v>
      </c>
      <c r="GW65" s="150">
        <f t="shared" si="198"/>
        <v>14</v>
      </c>
      <c r="GX65" s="150">
        <f t="shared" si="198"/>
        <v>14</v>
      </c>
      <c r="GY65" s="150">
        <f t="shared" si="198"/>
        <v>0</v>
      </c>
      <c r="GZ65" s="150">
        <f t="shared" si="198"/>
        <v>0</v>
      </c>
      <c r="HA65" s="150">
        <f t="shared" si="198"/>
        <v>14</v>
      </c>
      <c r="HB65" s="150">
        <f t="shared" si="198"/>
        <v>7</v>
      </c>
      <c r="HC65" s="150">
        <f t="shared" si="198"/>
        <v>7</v>
      </c>
      <c r="HD65" s="150">
        <f t="shared" si="198"/>
        <v>14</v>
      </c>
      <c r="HE65" s="150">
        <f t="shared" si="198"/>
        <v>7</v>
      </c>
      <c r="HF65" s="150">
        <f t="shared" si="198"/>
        <v>0</v>
      </c>
      <c r="HG65" s="156"/>
      <c r="HH65" s="150"/>
    </row>
    <row r="66" spans="1:254" x14ac:dyDescent="0.25">
      <c r="A66" s="8"/>
      <c r="B66" s="5" t="s">
        <v>116</v>
      </c>
      <c r="C66" s="8"/>
      <c r="D66" s="9"/>
      <c r="E66" s="1"/>
      <c r="F66" s="9"/>
      <c r="G66" s="9"/>
      <c r="H66" s="9"/>
      <c r="I66" s="9"/>
      <c r="J66" s="9"/>
      <c r="K66" s="9"/>
      <c r="L66" s="5" t="s">
        <v>103</v>
      </c>
      <c r="M66" s="5" t="s">
        <v>104</v>
      </c>
      <c r="N66" s="5" t="s">
        <v>107</v>
      </c>
      <c r="O66" s="5" t="s">
        <v>290</v>
      </c>
      <c r="P66" s="5" t="s">
        <v>446</v>
      </c>
      <c r="Q66" s="5" t="s">
        <v>448</v>
      </c>
      <c r="R66" s="5" t="s">
        <v>409</v>
      </c>
      <c r="S66" s="5" t="s">
        <v>447</v>
      </c>
      <c r="T66" s="5" t="s">
        <v>449</v>
      </c>
      <c r="U66" s="5" t="s">
        <v>106</v>
      </c>
      <c r="V66" s="62"/>
      <c r="W66" s="150">
        <f>INDEX(($EL$58:$EX$61,$EL$64:$EX$67,$EL$70:$EX$73,$FA$58:$FM$61,$FA$64:$FM$67,$FA$70:$FM$73,$FP$58:$GB$61,$FP$64:$GB$67,$FP$70:$GB$73,$GE$58:$GQ$61,$GE$64:$GQ$67,$GE$70:$GQ$73,$GT$58:$HF$61,$GT$64:$HF$67),MATCH($L$81,$EK$58:$EK$61,0),MATCH($A67,$EL$57:$EX$57,0),MATCH($E$35,$AE$33:$AE$48,0))*$C67</f>
        <v>0</v>
      </c>
      <c r="X66" s="150">
        <f>INDEX(($EL$58:$EX$61,$EL$64:$EX$67,$EL$70:$EX$73,$FA$58:$FM$61,$FA$64:$FM$67,$FA$70:$FM$73,$FP$58:$GB$61,$FP$64:$GB$67,$FP$70:$GB$73,$GE$58:$GQ$61,$GE$64:$GQ$67,$GE$70:$GQ$73,$GT$58:$HF$61,$GT$64:$HF$67),MATCH($L$78,$EK$58:$EK$61,0),MATCH($A67,$EL$57:$EX$57,0),MATCH($E$35,$AE$33:$AE$48,0))*$C67</f>
        <v>0</v>
      </c>
      <c r="Y66" s="150">
        <f>INDEX(($EL$58:$EX$61,$EL$64:$EX$67,$EL$70:$EX$73,$FA$58:$FM$61,$FA$64:$FM$67,$FA$70:$FM$73,$FP$58:$GB$61,$FP$64:$GB$67,$FP$70:$GB$73,$GE$58:$GQ$61,$GE$64:$GQ$67,$GE$70:$GQ$73,$GT$58:$HF$61,$GT$64:$HF$67),MATCH($L$79,$EK$58:$EK$61,0),MATCH($A67,$EL$57:$EX$57,0),MATCH($E$35,$AE$33:$AE$48,0))*$C67</f>
        <v>0</v>
      </c>
      <c r="Z66" s="150">
        <f>INDEX(($EL$58:$EX$61,$EL$64:$EX$67,$EL$70:$EX$73,$FA$58:$FM$61,$FA$64:$FM$67,$FA$70:$FM$73,$FP$58:$GB$61,$FP$64:$GB$67,$FP$70:$GB$73,$GE$58:$GQ$61,$GE$64:$GQ$67,$GE$70:$GQ$73,$GT$58:$HF$61,$GT$64:$HF$67),MATCH($L$80,$EK$58:$EK$61,0),MATCH($A67,$EL$57:$EX$57,0),MATCH($E$35,$AE$33:$AE$48,0))*$C67</f>
        <v>0</v>
      </c>
      <c r="AA66" s="150">
        <f t="shared" si="178"/>
        <v>0</v>
      </c>
      <c r="AB66" s="150">
        <f t="shared" si="179"/>
        <v>0</v>
      </c>
      <c r="AC66" s="150"/>
      <c r="AD66" s="150"/>
      <c r="AE66" s="150"/>
      <c r="AF66" s="150"/>
      <c r="AG66" s="150"/>
      <c r="AH66" s="150"/>
      <c r="AI66" s="150"/>
      <c r="AJ66" s="150"/>
      <c r="AK66" s="150"/>
      <c r="AL66" s="150"/>
      <c r="AM66" s="150"/>
      <c r="AN66" s="150"/>
      <c r="AO66" s="150"/>
      <c r="AP66" s="150"/>
      <c r="AQ66" s="150"/>
      <c r="AR66" s="167" t="s">
        <v>728</v>
      </c>
      <c r="AS66" s="150"/>
      <c r="AT66" s="150"/>
      <c r="AU66" s="150"/>
      <c r="AV66" s="150"/>
      <c r="AW66" s="150"/>
      <c r="AX66" s="150"/>
      <c r="AY66" s="150"/>
      <c r="AZ66" s="150"/>
      <c r="BA66" s="150"/>
      <c r="BB66" s="150"/>
      <c r="BC66" s="150"/>
      <c r="BD66" s="150"/>
      <c r="BE66" s="150"/>
      <c r="BF66" s="150"/>
      <c r="BG66" s="150">
        <f t="shared" si="180"/>
        <v>1</v>
      </c>
      <c r="BH66" s="150" t="s">
        <v>17</v>
      </c>
      <c r="BI66" s="150">
        <v>0</v>
      </c>
      <c r="BJ66" s="150">
        <f t="shared" si="191"/>
        <v>7</v>
      </c>
      <c r="BK66" s="150">
        <f t="shared" si="191"/>
        <v>0</v>
      </c>
      <c r="BL66" s="150">
        <f t="shared" si="191"/>
        <v>0</v>
      </c>
      <c r="BM66" s="150">
        <f t="shared" si="191"/>
        <v>0</v>
      </c>
      <c r="BN66" s="150">
        <f t="shared" si="191"/>
        <v>7</v>
      </c>
      <c r="BO66" s="150">
        <f t="shared" si="191"/>
        <v>7</v>
      </c>
      <c r="BP66" s="150">
        <f t="shared" si="191"/>
        <v>0</v>
      </c>
      <c r="BQ66" s="150">
        <f t="shared" si="191"/>
        <v>0</v>
      </c>
      <c r="BR66" s="150">
        <f t="shared" si="191"/>
        <v>7</v>
      </c>
      <c r="BS66" s="150">
        <f t="shared" si="191"/>
        <v>7</v>
      </c>
      <c r="BT66" s="150">
        <f t="shared" si="191"/>
        <v>7</v>
      </c>
      <c r="BU66" s="150">
        <f t="shared" si="191"/>
        <v>0</v>
      </c>
      <c r="BV66" s="150"/>
      <c r="BW66" s="150" t="s">
        <v>17</v>
      </c>
      <c r="BX66" s="150">
        <v>0</v>
      </c>
      <c r="BY66" s="150">
        <f t="shared" si="182"/>
        <v>7</v>
      </c>
      <c r="BZ66" s="150">
        <f t="shared" si="182"/>
        <v>0</v>
      </c>
      <c r="CA66" s="150">
        <f t="shared" si="182"/>
        <v>7</v>
      </c>
      <c r="CB66" s="150">
        <f t="shared" si="182"/>
        <v>0</v>
      </c>
      <c r="CC66" s="150">
        <f t="shared" si="182"/>
        <v>7</v>
      </c>
      <c r="CD66" s="150">
        <f t="shared" si="182"/>
        <v>0</v>
      </c>
      <c r="CE66" s="150">
        <f t="shared" si="182"/>
        <v>0</v>
      </c>
      <c r="CF66" s="150">
        <f t="shared" si="182"/>
        <v>0</v>
      </c>
      <c r="CG66" s="150">
        <f t="shared" si="182"/>
        <v>7</v>
      </c>
      <c r="CH66" s="150">
        <f t="shared" si="182"/>
        <v>7</v>
      </c>
      <c r="CI66" s="150">
        <f t="shared" si="182"/>
        <v>0</v>
      </c>
      <c r="CJ66" s="150">
        <f t="shared" si="182"/>
        <v>0</v>
      </c>
      <c r="CK66" s="150"/>
      <c r="CL66" s="150"/>
      <c r="CM66" s="150"/>
      <c r="CN66" s="150" t="s">
        <v>17</v>
      </c>
      <c r="CO66" s="150">
        <v>0</v>
      </c>
      <c r="CP66" s="150">
        <f t="shared" si="183"/>
        <v>0</v>
      </c>
      <c r="CQ66" s="150">
        <f t="shared" si="183"/>
        <v>0</v>
      </c>
      <c r="CR66" s="150">
        <f t="shared" si="183"/>
        <v>7</v>
      </c>
      <c r="CS66" s="150">
        <f t="shared" si="183"/>
        <v>7</v>
      </c>
      <c r="CT66" s="150">
        <f t="shared" si="183"/>
        <v>7</v>
      </c>
      <c r="CU66" s="150">
        <f t="shared" si="183"/>
        <v>0</v>
      </c>
      <c r="CV66" s="150">
        <f t="shared" si="183"/>
        <v>7</v>
      </c>
      <c r="CW66" s="150">
        <f t="shared" si="183"/>
        <v>0</v>
      </c>
      <c r="CX66" s="150">
        <f t="shared" si="183"/>
        <v>7</v>
      </c>
      <c r="CY66" s="150">
        <f t="shared" si="183"/>
        <v>0</v>
      </c>
      <c r="CZ66" s="150">
        <f t="shared" si="183"/>
        <v>0</v>
      </c>
      <c r="DA66" s="150">
        <f t="shared" si="183"/>
        <v>0</v>
      </c>
      <c r="DB66" s="150"/>
      <c r="DC66" s="150" t="s">
        <v>17</v>
      </c>
      <c r="DD66" s="150">
        <v>0</v>
      </c>
      <c r="DE66" s="150">
        <f t="shared" si="192"/>
        <v>0</v>
      </c>
      <c r="DF66" s="150">
        <f t="shared" si="192"/>
        <v>0</v>
      </c>
      <c r="DG66" s="150">
        <f t="shared" si="192"/>
        <v>0</v>
      </c>
      <c r="DH66" s="150">
        <f t="shared" si="192"/>
        <v>0</v>
      </c>
      <c r="DI66" s="150">
        <f t="shared" si="192"/>
        <v>0</v>
      </c>
      <c r="DJ66" s="150">
        <f t="shared" si="192"/>
        <v>0</v>
      </c>
      <c r="DK66" s="150">
        <f t="shared" si="192"/>
        <v>0</v>
      </c>
      <c r="DL66" s="150">
        <f t="shared" si="192"/>
        <v>0</v>
      </c>
      <c r="DM66" s="150">
        <f t="shared" si="192"/>
        <v>0</v>
      </c>
      <c r="DN66" s="150">
        <f t="shared" si="192"/>
        <v>0</v>
      </c>
      <c r="DO66" s="150">
        <f t="shared" si="192"/>
        <v>0</v>
      </c>
      <c r="DP66" s="150">
        <f t="shared" si="192"/>
        <v>7</v>
      </c>
      <c r="DQ66" s="181"/>
      <c r="DR66" s="181">
        <v>66</v>
      </c>
      <c r="DS66" s="181"/>
      <c r="DT66" s="150" t="s">
        <v>17</v>
      </c>
      <c r="DU66" s="150">
        <v>0</v>
      </c>
      <c r="DV66" s="150">
        <f t="shared" si="193"/>
        <v>0</v>
      </c>
      <c r="DW66" s="150">
        <f t="shared" si="193"/>
        <v>0</v>
      </c>
      <c r="DX66" s="150">
        <f t="shared" si="193"/>
        <v>0</v>
      </c>
      <c r="DY66" s="150">
        <f t="shared" si="193"/>
        <v>7</v>
      </c>
      <c r="DZ66" s="150">
        <f t="shared" si="193"/>
        <v>0</v>
      </c>
      <c r="EA66" s="150">
        <f t="shared" si="193"/>
        <v>7</v>
      </c>
      <c r="EB66" s="150">
        <f t="shared" si="193"/>
        <v>7</v>
      </c>
      <c r="EC66" s="150">
        <f t="shared" si="193"/>
        <v>7</v>
      </c>
      <c r="ED66" s="150">
        <f t="shared" si="193"/>
        <v>0</v>
      </c>
      <c r="EE66" s="150">
        <f t="shared" si="193"/>
        <v>7</v>
      </c>
      <c r="EF66" s="150">
        <f t="shared" si="193"/>
        <v>7</v>
      </c>
      <c r="EG66" s="150">
        <f t="shared" si="193"/>
        <v>7</v>
      </c>
      <c r="EH66" s="150"/>
      <c r="EI66" s="150"/>
      <c r="EJ66" s="155"/>
      <c r="EK66" s="150" t="s">
        <v>523</v>
      </c>
      <c r="EL66" s="150">
        <v>0</v>
      </c>
      <c r="EM66" s="150">
        <f t="shared" ref="EM66:EX66" si="199">EM11/5*7</f>
        <v>7</v>
      </c>
      <c r="EN66" s="150">
        <f t="shared" si="199"/>
        <v>0</v>
      </c>
      <c r="EO66" s="150">
        <f t="shared" si="199"/>
        <v>0</v>
      </c>
      <c r="EP66" s="150">
        <f t="shared" si="199"/>
        <v>0</v>
      </c>
      <c r="EQ66" s="150">
        <f t="shared" si="199"/>
        <v>21</v>
      </c>
      <c r="ER66" s="150">
        <f t="shared" si="199"/>
        <v>7</v>
      </c>
      <c r="ES66" s="150">
        <f t="shared" si="199"/>
        <v>28</v>
      </c>
      <c r="ET66" s="150">
        <f t="shared" si="199"/>
        <v>14</v>
      </c>
      <c r="EU66" s="150">
        <f t="shared" si="199"/>
        <v>35</v>
      </c>
      <c r="EV66" s="150">
        <f t="shared" si="199"/>
        <v>21</v>
      </c>
      <c r="EW66" s="150">
        <f t="shared" si="199"/>
        <v>35</v>
      </c>
      <c r="EX66" s="150">
        <f t="shared" si="199"/>
        <v>28</v>
      </c>
      <c r="EY66" s="150"/>
      <c r="EZ66" s="150" t="s">
        <v>523</v>
      </c>
      <c r="FA66" s="150">
        <v>0</v>
      </c>
      <c r="FB66" s="150">
        <f t="shared" ref="FB66:FM66" si="200">FB11/5*7</f>
        <v>7</v>
      </c>
      <c r="FC66" s="150">
        <f t="shared" si="200"/>
        <v>0</v>
      </c>
      <c r="FD66" s="150">
        <f t="shared" si="200"/>
        <v>7</v>
      </c>
      <c r="FE66" s="150">
        <f t="shared" si="200"/>
        <v>0</v>
      </c>
      <c r="FF66" s="150">
        <f t="shared" si="200"/>
        <v>7</v>
      </c>
      <c r="FG66" s="150">
        <f t="shared" si="200"/>
        <v>28</v>
      </c>
      <c r="FH66" s="150">
        <f t="shared" si="200"/>
        <v>14</v>
      </c>
      <c r="FI66" s="150">
        <f t="shared" si="200"/>
        <v>28</v>
      </c>
      <c r="FJ66" s="150">
        <f t="shared" si="200"/>
        <v>21</v>
      </c>
      <c r="FK66" s="150">
        <f t="shared" si="200"/>
        <v>35</v>
      </c>
      <c r="FL66" s="150">
        <f t="shared" si="200"/>
        <v>28</v>
      </c>
      <c r="FM66" s="150">
        <f t="shared" si="200"/>
        <v>42</v>
      </c>
      <c r="FN66" s="150"/>
      <c r="FO66" s="150" t="s">
        <v>523</v>
      </c>
      <c r="FP66" s="150">
        <v>0</v>
      </c>
      <c r="FQ66" s="150">
        <f t="shared" ref="FQ66:GB66" si="201">FQ11/5*7</f>
        <v>0</v>
      </c>
      <c r="FR66" s="150">
        <f t="shared" si="201"/>
        <v>0</v>
      </c>
      <c r="FS66" s="150">
        <f t="shared" si="201"/>
        <v>7</v>
      </c>
      <c r="FT66" s="150">
        <f t="shared" si="201"/>
        <v>21</v>
      </c>
      <c r="FU66" s="150">
        <f t="shared" si="201"/>
        <v>7</v>
      </c>
      <c r="FV66" s="150">
        <f t="shared" si="201"/>
        <v>14</v>
      </c>
      <c r="FW66" s="150">
        <f t="shared" si="201"/>
        <v>35</v>
      </c>
      <c r="FX66" s="150">
        <f t="shared" si="201"/>
        <v>28</v>
      </c>
      <c r="FY66" s="150">
        <f t="shared" si="201"/>
        <v>35</v>
      </c>
      <c r="FZ66" s="150">
        <f t="shared" si="201"/>
        <v>28</v>
      </c>
      <c r="GA66" s="150">
        <f t="shared" si="201"/>
        <v>42</v>
      </c>
      <c r="GB66" s="150">
        <f t="shared" si="201"/>
        <v>56</v>
      </c>
      <c r="GC66" s="150"/>
      <c r="GD66" s="150" t="s">
        <v>523</v>
      </c>
      <c r="GE66" s="150">
        <v>0</v>
      </c>
      <c r="GF66" s="150">
        <f t="shared" ref="GF66:GQ66" si="202">GF11/5*7</f>
        <v>0</v>
      </c>
      <c r="GG66" s="150">
        <f t="shared" si="202"/>
        <v>0</v>
      </c>
      <c r="GH66" s="150">
        <f t="shared" si="202"/>
        <v>0</v>
      </c>
      <c r="GI66" s="150">
        <f t="shared" si="202"/>
        <v>14</v>
      </c>
      <c r="GJ66" s="150">
        <f t="shared" si="202"/>
        <v>28</v>
      </c>
      <c r="GK66" s="150">
        <f t="shared" si="202"/>
        <v>14</v>
      </c>
      <c r="GL66" s="150">
        <f t="shared" si="202"/>
        <v>28</v>
      </c>
      <c r="GM66" s="150">
        <f t="shared" si="202"/>
        <v>42</v>
      </c>
      <c r="GN66" s="150">
        <f t="shared" si="202"/>
        <v>28</v>
      </c>
      <c r="GO66" s="150">
        <f t="shared" si="202"/>
        <v>42</v>
      </c>
      <c r="GP66" s="150">
        <f t="shared" si="202"/>
        <v>56</v>
      </c>
      <c r="GQ66" s="150">
        <f t="shared" si="202"/>
        <v>49</v>
      </c>
      <c r="GR66" s="150"/>
      <c r="GS66" s="150" t="s">
        <v>523</v>
      </c>
      <c r="GT66" s="150">
        <v>0</v>
      </c>
      <c r="GU66" s="150">
        <f t="shared" ref="GU66:HF66" si="203">GU11/5*7</f>
        <v>0</v>
      </c>
      <c r="GV66" s="150">
        <f t="shared" si="203"/>
        <v>0</v>
      </c>
      <c r="GW66" s="150">
        <f t="shared" si="203"/>
        <v>0</v>
      </c>
      <c r="GX66" s="150">
        <f t="shared" si="203"/>
        <v>7</v>
      </c>
      <c r="GY66" s="150">
        <f t="shared" si="203"/>
        <v>28</v>
      </c>
      <c r="GZ66" s="150">
        <f t="shared" si="203"/>
        <v>35</v>
      </c>
      <c r="HA66" s="150">
        <f t="shared" si="203"/>
        <v>21</v>
      </c>
      <c r="HB66" s="150">
        <f t="shared" si="203"/>
        <v>35</v>
      </c>
      <c r="HC66" s="150">
        <f t="shared" si="203"/>
        <v>42</v>
      </c>
      <c r="HD66" s="150">
        <f t="shared" si="203"/>
        <v>35</v>
      </c>
      <c r="HE66" s="150">
        <f t="shared" si="203"/>
        <v>49</v>
      </c>
      <c r="HF66" s="150">
        <f t="shared" si="203"/>
        <v>63</v>
      </c>
      <c r="HG66" s="156"/>
      <c r="HH66" s="150"/>
    </row>
    <row r="67" spans="1:254" x14ac:dyDescent="0.25">
      <c r="A67" s="8"/>
      <c r="B67" s="5" t="s">
        <v>116</v>
      </c>
      <c r="C67" s="8"/>
      <c r="D67" s="6" t="s">
        <v>118</v>
      </c>
      <c r="E67" s="8" t="s">
        <v>508</v>
      </c>
      <c r="F67" s="5" t="s">
        <v>116</v>
      </c>
      <c r="G67" s="8" t="s">
        <v>115</v>
      </c>
      <c r="H67" s="5" t="s">
        <v>116</v>
      </c>
      <c r="I67" s="8">
        <v>35</v>
      </c>
      <c r="J67" s="5" t="s">
        <v>119</v>
      </c>
      <c r="K67" s="9"/>
      <c r="L67" s="7" t="str">
        <f>IF(E69=$AC$5,"-------",IF(E69=$AC$6,"-------",IF(E69=$AC$7,"-------",IF(E69=$AC$8,IF(E77=$DS$10,"GSW76X1600N",IF(E77=$DS$11,"GSW76X2200N","")),0))))</f>
        <v>-------</v>
      </c>
      <c r="M67" s="11" t="str">
        <f>INDEX(cennik!$C$2:$L$529,MATCH($L67,cennik!$B$2:$B$522,0),MATCH(M$2,cennik!$C$1:$L$1,0))</f>
        <v>-------</v>
      </c>
      <c r="N67" s="11">
        <f>INDEX(cennik!$C$2:$L$529,MATCH($L67,cennik!$B$2:$B$522,0),MATCH(N$2,cennik!$C$1:$L$1,0))</f>
        <v>0</v>
      </c>
      <c r="O67" s="11">
        <f>IF(L67="-------",0,SUM(O69:O70))</f>
        <v>0</v>
      </c>
      <c r="P67" s="34">
        <f>INDEX(cennik!$C$2:$L$529,MATCH($L67,cennik!$B$2:$B$522,0),MATCH(P$2,cennik!$C$1:$L$1,0))</f>
        <v>0</v>
      </c>
      <c r="Q67" s="34">
        <f>O67*P67</f>
        <v>0</v>
      </c>
      <c r="R67" s="35">
        <f t="shared" ref="R67:R91" si="204">$E$71</f>
        <v>0</v>
      </c>
      <c r="S67" s="34">
        <f t="shared" ref="S67:S91" si="205">P67*((100-$E$71)/100)</f>
        <v>0</v>
      </c>
      <c r="T67" s="34">
        <f>O67*S67</f>
        <v>0</v>
      </c>
      <c r="U67" s="34">
        <f>INDEX(cennik!$C$2:$L$529,MATCH($L67,cennik!$B$2:$B$522,0),MATCH(U$2,cennik!$C$1:$L$1,0))*O67</f>
        <v>0</v>
      </c>
      <c r="V67" s="62"/>
      <c r="W67" s="150">
        <f>INDEX(($EL$58:$EX$61,$EL$64:$EX$67,$EL$70:$EX$73,$FA$58:$FM$61,$FA$64:$FM$67,$FA$70:$FM$73,$FP$58:$GB$61,$FP$64:$GB$67,$FP$70:$GB$73,$GE$58:$GQ$61,$GE$64:$GQ$67,$GE$70:$GQ$73,$GT$58:$HF$61,$GT$64:$HF$67),MATCH($L$81,$EK$58:$EK$61,0),MATCH($A68,$EL$57:$EX$57,0),MATCH($E$35,$AE$33:$AE$48,0))*$C68</f>
        <v>0</v>
      </c>
      <c r="X67" s="150">
        <f>INDEX(($EL$58:$EX$61,$EL$64:$EX$67,$EL$70:$EX$73,$FA$58:$FM$61,$FA$64:$FM$67,$FA$70:$FM$73,$FP$58:$GB$61,$FP$64:$GB$67,$FP$70:$GB$73,$GE$58:$GQ$61,$GE$64:$GQ$67,$GE$70:$GQ$73,$GT$58:$HF$61,$GT$64:$HF$67),MATCH($L$78,$EK$58:$EK$61,0),MATCH($A68,$EL$57:$EX$57,0),MATCH($E$35,$AE$33:$AE$48,0))*$C68</f>
        <v>0</v>
      </c>
      <c r="Y67" s="150">
        <f>INDEX(($EL$58:$EX$61,$EL$64:$EX$67,$EL$70:$EX$73,$FA$58:$FM$61,$FA$64:$FM$67,$FA$70:$FM$73,$FP$58:$GB$61,$FP$64:$GB$67,$FP$70:$GB$73,$GE$58:$GQ$61,$GE$64:$GQ$67,$GE$70:$GQ$73,$GT$58:$HF$61,$GT$64:$HF$67),MATCH($L$79,$EK$58:$EK$61,0),MATCH($A68,$EL$57:$EX$57,0),MATCH($E$35,$AE$33:$AE$48,0))*$C68</f>
        <v>0</v>
      </c>
      <c r="Z67" s="150">
        <f>INDEX(($EL$58:$EX$61,$EL$64:$EX$67,$EL$70:$EX$73,$FA$58:$FM$61,$FA$64:$FM$67,$FA$70:$FM$73,$FP$58:$GB$61,$FP$64:$GB$67,$FP$70:$GB$73,$GE$58:$GQ$61,$GE$64:$GQ$67,$GE$70:$GQ$73,$GT$58:$HF$61,$GT$64:$HF$67),MATCH($L$80,$EK$58:$EK$61,0),MATCH($A68,$EL$57:$EX$57,0),MATCH($E$35,$AE$33:$AE$48,0))*$C68</f>
        <v>0</v>
      </c>
      <c r="AA67" s="150">
        <f t="shared" si="178"/>
        <v>0</v>
      </c>
      <c r="AB67" s="150">
        <f t="shared" si="179"/>
        <v>0</v>
      </c>
      <c r="AC67" s="150"/>
      <c r="AD67" s="150"/>
      <c r="AE67" s="150"/>
      <c r="AF67" s="150"/>
      <c r="AG67" s="150"/>
      <c r="AH67" s="150"/>
      <c r="AI67" s="150"/>
      <c r="AJ67" s="150"/>
      <c r="AK67" s="150"/>
      <c r="AL67" s="150"/>
      <c r="AM67" s="150"/>
      <c r="AN67" s="150"/>
      <c r="AO67" s="150"/>
      <c r="AP67" s="150"/>
      <c r="AQ67" s="150"/>
      <c r="AR67" s="150"/>
      <c r="AS67" s="150" t="s">
        <v>314</v>
      </c>
      <c r="AT67" s="150" t="s">
        <v>312</v>
      </c>
      <c r="AU67" s="150" t="s">
        <v>309</v>
      </c>
      <c r="AV67" s="150" t="s">
        <v>313</v>
      </c>
      <c r="AW67" s="150"/>
      <c r="AX67" s="150"/>
      <c r="AY67" s="150"/>
      <c r="AZ67" s="150"/>
      <c r="BA67" s="150"/>
      <c r="BB67" s="150"/>
      <c r="BC67" s="150"/>
      <c r="BD67" s="150"/>
      <c r="BE67" s="150"/>
      <c r="BF67" s="150"/>
      <c r="BG67" s="150">
        <f t="shared" si="180"/>
        <v>1</v>
      </c>
      <c r="BH67" s="158" t="s">
        <v>18</v>
      </c>
      <c r="BI67" s="158">
        <v>0</v>
      </c>
      <c r="BJ67" s="150">
        <f t="shared" si="191"/>
        <v>0</v>
      </c>
      <c r="BK67" s="150">
        <f t="shared" si="191"/>
        <v>0</v>
      </c>
      <c r="BL67" s="150">
        <f t="shared" si="191"/>
        <v>0</v>
      </c>
      <c r="BM67" s="150">
        <f t="shared" si="191"/>
        <v>7</v>
      </c>
      <c r="BN67" s="150">
        <f t="shared" si="191"/>
        <v>7</v>
      </c>
      <c r="BO67" s="150">
        <f t="shared" si="191"/>
        <v>14</v>
      </c>
      <c r="BP67" s="150">
        <f t="shared" si="191"/>
        <v>7</v>
      </c>
      <c r="BQ67" s="150">
        <f t="shared" si="191"/>
        <v>14</v>
      </c>
      <c r="BR67" s="150">
        <f t="shared" si="191"/>
        <v>14</v>
      </c>
      <c r="BS67" s="150">
        <f t="shared" si="191"/>
        <v>21</v>
      </c>
      <c r="BT67" s="150">
        <f t="shared" si="191"/>
        <v>21</v>
      </c>
      <c r="BU67" s="150">
        <f t="shared" si="191"/>
        <v>21</v>
      </c>
      <c r="BV67" s="150"/>
      <c r="BW67" s="150" t="s">
        <v>18</v>
      </c>
      <c r="BX67" s="150">
        <v>0</v>
      </c>
      <c r="BY67" s="150">
        <f t="shared" si="182"/>
        <v>0</v>
      </c>
      <c r="BZ67" s="150">
        <f t="shared" si="182"/>
        <v>0</v>
      </c>
      <c r="CA67" s="150">
        <f t="shared" si="182"/>
        <v>7</v>
      </c>
      <c r="CB67" s="150">
        <f t="shared" si="182"/>
        <v>7</v>
      </c>
      <c r="CC67" s="150">
        <f t="shared" si="182"/>
        <v>14</v>
      </c>
      <c r="CD67" s="150">
        <f t="shared" si="182"/>
        <v>7</v>
      </c>
      <c r="CE67" s="150">
        <f t="shared" si="182"/>
        <v>14</v>
      </c>
      <c r="CF67" s="150">
        <f t="shared" si="182"/>
        <v>14</v>
      </c>
      <c r="CG67" s="150">
        <f t="shared" si="182"/>
        <v>21</v>
      </c>
      <c r="CH67" s="150">
        <f t="shared" si="182"/>
        <v>21</v>
      </c>
      <c r="CI67" s="150">
        <f t="shared" si="182"/>
        <v>21</v>
      </c>
      <c r="CJ67" s="150">
        <f t="shared" si="182"/>
        <v>21</v>
      </c>
      <c r="CK67" s="150"/>
      <c r="CL67" s="150"/>
      <c r="CM67" s="150"/>
      <c r="CN67" s="158" t="s">
        <v>18</v>
      </c>
      <c r="CO67" s="158">
        <v>0</v>
      </c>
      <c r="CP67" s="150">
        <f t="shared" si="183"/>
        <v>0</v>
      </c>
      <c r="CQ67" s="150">
        <f t="shared" si="183"/>
        <v>0</v>
      </c>
      <c r="CR67" s="150">
        <f t="shared" si="183"/>
        <v>7</v>
      </c>
      <c r="CS67" s="150">
        <f t="shared" si="183"/>
        <v>7</v>
      </c>
      <c r="CT67" s="150">
        <f t="shared" si="183"/>
        <v>14</v>
      </c>
      <c r="CU67" s="150">
        <f t="shared" si="183"/>
        <v>14</v>
      </c>
      <c r="CV67" s="150">
        <f t="shared" si="183"/>
        <v>14</v>
      </c>
      <c r="CW67" s="150">
        <f t="shared" si="183"/>
        <v>14</v>
      </c>
      <c r="CX67" s="150">
        <f t="shared" si="183"/>
        <v>21</v>
      </c>
      <c r="CY67" s="150">
        <f t="shared" si="183"/>
        <v>21</v>
      </c>
      <c r="CZ67" s="150">
        <f t="shared" si="183"/>
        <v>21</v>
      </c>
      <c r="DA67" s="150">
        <f t="shared" si="183"/>
        <v>21</v>
      </c>
      <c r="DB67" s="150"/>
      <c r="DC67" s="150" t="s">
        <v>18</v>
      </c>
      <c r="DD67" s="150">
        <v>0</v>
      </c>
      <c r="DE67" s="150">
        <f t="shared" si="192"/>
        <v>0</v>
      </c>
      <c r="DF67" s="150">
        <f t="shared" si="192"/>
        <v>0</v>
      </c>
      <c r="DG67" s="150">
        <f t="shared" si="192"/>
        <v>7</v>
      </c>
      <c r="DH67" s="150">
        <f t="shared" si="192"/>
        <v>7</v>
      </c>
      <c r="DI67" s="150">
        <f t="shared" si="192"/>
        <v>7</v>
      </c>
      <c r="DJ67" s="150">
        <f t="shared" si="192"/>
        <v>14</v>
      </c>
      <c r="DK67" s="150">
        <f t="shared" si="192"/>
        <v>14</v>
      </c>
      <c r="DL67" s="150">
        <f t="shared" si="192"/>
        <v>14</v>
      </c>
      <c r="DM67" s="150">
        <f t="shared" si="192"/>
        <v>21</v>
      </c>
      <c r="DN67" s="150">
        <f t="shared" si="192"/>
        <v>21</v>
      </c>
      <c r="DO67" s="150">
        <f t="shared" si="192"/>
        <v>21</v>
      </c>
      <c r="DP67" s="150">
        <f t="shared" si="192"/>
        <v>28</v>
      </c>
      <c r="DQ67" s="181"/>
      <c r="DR67" s="181">
        <v>72</v>
      </c>
      <c r="DS67" s="181"/>
      <c r="DT67" s="150" t="s">
        <v>18</v>
      </c>
      <c r="DU67" s="150">
        <v>0</v>
      </c>
      <c r="DV67" s="150">
        <f t="shared" si="193"/>
        <v>0</v>
      </c>
      <c r="DW67" s="150">
        <f t="shared" si="193"/>
        <v>0</v>
      </c>
      <c r="DX67" s="150">
        <f t="shared" si="193"/>
        <v>7</v>
      </c>
      <c r="DY67" s="150">
        <f t="shared" si="193"/>
        <v>14</v>
      </c>
      <c r="DZ67" s="150">
        <f t="shared" si="193"/>
        <v>7</v>
      </c>
      <c r="EA67" s="150">
        <f t="shared" si="193"/>
        <v>14</v>
      </c>
      <c r="EB67" s="150">
        <f t="shared" si="193"/>
        <v>21</v>
      </c>
      <c r="EC67" s="150">
        <f t="shared" si="193"/>
        <v>21</v>
      </c>
      <c r="ED67" s="150">
        <f t="shared" si="193"/>
        <v>21</v>
      </c>
      <c r="EE67" s="150">
        <f t="shared" si="193"/>
        <v>28</v>
      </c>
      <c r="EF67" s="150">
        <f t="shared" si="193"/>
        <v>28</v>
      </c>
      <c r="EG67" s="150">
        <f t="shared" si="193"/>
        <v>28</v>
      </c>
      <c r="EH67" s="150"/>
      <c r="EI67" s="150"/>
      <c r="EJ67" s="155"/>
      <c r="EK67" s="158" t="s">
        <v>779</v>
      </c>
      <c r="EL67" s="150">
        <v>0</v>
      </c>
      <c r="EM67" s="150">
        <f t="shared" ref="EM67:EX67" si="206">EM12/5*7</f>
        <v>0</v>
      </c>
      <c r="EN67" s="150">
        <f t="shared" si="206"/>
        <v>0</v>
      </c>
      <c r="EO67" s="150">
        <f t="shared" si="206"/>
        <v>0</v>
      </c>
      <c r="EP67" s="150">
        <f t="shared" si="206"/>
        <v>7</v>
      </c>
      <c r="EQ67" s="150">
        <f t="shared" si="206"/>
        <v>14</v>
      </c>
      <c r="ER67" s="150">
        <f t="shared" si="206"/>
        <v>14</v>
      </c>
      <c r="ES67" s="150">
        <f t="shared" si="206"/>
        <v>21</v>
      </c>
      <c r="ET67" s="150">
        <f t="shared" si="206"/>
        <v>21</v>
      </c>
      <c r="EU67" s="150">
        <f t="shared" si="206"/>
        <v>28</v>
      </c>
      <c r="EV67" s="150">
        <f t="shared" si="206"/>
        <v>28</v>
      </c>
      <c r="EW67" s="150">
        <f t="shared" si="206"/>
        <v>35</v>
      </c>
      <c r="EX67" s="150">
        <f t="shared" si="206"/>
        <v>35</v>
      </c>
      <c r="EY67" s="150"/>
      <c r="EZ67" s="158" t="s">
        <v>779</v>
      </c>
      <c r="FA67" s="150">
        <v>0</v>
      </c>
      <c r="FB67" s="150">
        <f t="shared" ref="FB67:FM67" si="207">FB12/5*7</f>
        <v>0</v>
      </c>
      <c r="FC67" s="150">
        <f t="shared" si="207"/>
        <v>0</v>
      </c>
      <c r="FD67" s="150">
        <f t="shared" si="207"/>
        <v>7</v>
      </c>
      <c r="FE67" s="150">
        <f t="shared" si="207"/>
        <v>7</v>
      </c>
      <c r="FF67" s="150">
        <f t="shared" si="207"/>
        <v>14</v>
      </c>
      <c r="FG67" s="150">
        <f t="shared" si="207"/>
        <v>21</v>
      </c>
      <c r="FH67" s="150">
        <f t="shared" si="207"/>
        <v>21</v>
      </c>
      <c r="FI67" s="150">
        <f t="shared" si="207"/>
        <v>28</v>
      </c>
      <c r="FJ67" s="150">
        <f t="shared" si="207"/>
        <v>28</v>
      </c>
      <c r="FK67" s="150">
        <f t="shared" si="207"/>
        <v>35</v>
      </c>
      <c r="FL67" s="150">
        <f t="shared" si="207"/>
        <v>35</v>
      </c>
      <c r="FM67" s="150">
        <f t="shared" si="207"/>
        <v>42</v>
      </c>
      <c r="FN67" s="150"/>
      <c r="FO67" s="158" t="s">
        <v>779</v>
      </c>
      <c r="FP67" s="150">
        <v>0</v>
      </c>
      <c r="FQ67" s="150">
        <f t="shared" ref="FQ67:GB67" si="208">FQ12/5*7</f>
        <v>0</v>
      </c>
      <c r="FR67" s="150">
        <f t="shared" si="208"/>
        <v>0</v>
      </c>
      <c r="FS67" s="150">
        <f t="shared" si="208"/>
        <v>7</v>
      </c>
      <c r="FT67" s="150">
        <f t="shared" si="208"/>
        <v>14</v>
      </c>
      <c r="FU67" s="150">
        <f t="shared" si="208"/>
        <v>14</v>
      </c>
      <c r="FV67" s="150">
        <f t="shared" si="208"/>
        <v>21</v>
      </c>
      <c r="FW67" s="150">
        <f t="shared" si="208"/>
        <v>28</v>
      </c>
      <c r="FX67" s="150">
        <f t="shared" si="208"/>
        <v>28</v>
      </c>
      <c r="FY67" s="150">
        <f t="shared" si="208"/>
        <v>35</v>
      </c>
      <c r="FZ67" s="150">
        <f t="shared" si="208"/>
        <v>35</v>
      </c>
      <c r="GA67" s="150">
        <f t="shared" si="208"/>
        <v>42</v>
      </c>
      <c r="GB67" s="150">
        <f t="shared" si="208"/>
        <v>49</v>
      </c>
      <c r="GC67" s="150"/>
      <c r="GD67" s="158" t="s">
        <v>779</v>
      </c>
      <c r="GE67" s="150">
        <v>0</v>
      </c>
      <c r="GF67" s="150">
        <f t="shared" ref="GF67:GQ67" si="209">GF12/5*7</f>
        <v>0</v>
      </c>
      <c r="GG67" s="150">
        <f t="shared" si="209"/>
        <v>0</v>
      </c>
      <c r="GH67" s="150">
        <f t="shared" si="209"/>
        <v>7</v>
      </c>
      <c r="GI67" s="150">
        <f t="shared" si="209"/>
        <v>14</v>
      </c>
      <c r="GJ67" s="150">
        <f t="shared" si="209"/>
        <v>21</v>
      </c>
      <c r="GK67" s="150">
        <f t="shared" si="209"/>
        <v>21</v>
      </c>
      <c r="GL67" s="150">
        <f t="shared" si="209"/>
        <v>28</v>
      </c>
      <c r="GM67" s="150">
        <f t="shared" si="209"/>
        <v>35</v>
      </c>
      <c r="GN67" s="150">
        <f t="shared" si="209"/>
        <v>35</v>
      </c>
      <c r="GO67" s="150">
        <f t="shared" si="209"/>
        <v>42</v>
      </c>
      <c r="GP67" s="150">
        <f t="shared" si="209"/>
        <v>49</v>
      </c>
      <c r="GQ67" s="150">
        <f t="shared" si="209"/>
        <v>49</v>
      </c>
      <c r="GR67" s="150"/>
      <c r="GS67" s="158" t="s">
        <v>779</v>
      </c>
      <c r="GT67" s="150">
        <v>0</v>
      </c>
      <c r="GU67" s="150">
        <f t="shared" ref="GU67:HF67" si="210">GU12/5*7</f>
        <v>0</v>
      </c>
      <c r="GV67" s="150">
        <f t="shared" si="210"/>
        <v>0</v>
      </c>
      <c r="GW67" s="150">
        <f t="shared" si="210"/>
        <v>7</v>
      </c>
      <c r="GX67" s="150">
        <f t="shared" si="210"/>
        <v>14</v>
      </c>
      <c r="GY67" s="150">
        <f t="shared" si="210"/>
        <v>21</v>
      </c>
      <c r="GZ67" s="150">
        <f t="shared" si="210"/>
        <v>28</v>
      </c>
      <c r="HA67" s="150">
        <f t="shared" si="210"/>
        <v>28</v>
      </c>
      <c r="HB67" s="150">
        <f t="shared" si="210"/>
        <v>35</v>
      </c>
      <c r="HC67" s="150">
        <f t="shared" si="210"/>
        <v>42</v>
      </c>
      <c r="HD67" s="150">
        <f t="shared" si="210"/>
        <v>42</v>
      </c>
      <c r="HE67" s="150">
        <f t="shared" si="210"/>
        <v>49</v>
      </c>
      <c r="HF67" s="150">
        <f t="shared" si="210"/>
        <v>56</v>
      </c>
      <c r="HG67" s="156"/>
      <c r="HH67" s="150"/>
    </row>
    <row r="68" spans="1:254" x14ac:dyDescent="0.25">
      <c r="A68" s="8"/>
      <c r="B68" s="5" t="s">
        <v>116</v>
      </c>
      <c r="C68" s="8"/>
      <c r="D68" s="6" t="s">
        <v>124</v>
      </c>
      <c r="E68" s="8" t="s">
        <v>125</v>
      </c>
      <c r="F68" s="5"/>
      <c r="G68" s="5"/>
      <c r="H68" s="5"/>
      <c r="I68" s="5"/>
      <c r="J68" s="5"/>
      <c r="K68" s="9"/>
      <c r="L68" s="7" t="str">
        <f>IF(E69=$AC$5,"-------",IF(E69=$AC$6,"-------",IF(E69=$AC$7,"PCB70",IF(E69=$AC$8,"PCS70",0))))</f>
        <v>PCB70</v>
      </c>
      <c r="M68" s="11">
        <f>INDEX(cennik!$C$2:$L$529,MATCH($L68,cennik!$B$2:$B$522,0),MATCH(M$2,cennik!$C$1:$L$1,0))</f>
        <v>751218</v>
      </c>
      <c r="N68" s="11" t="str">
        <f>INDEX(cennik!$C$2:$L$529,MATCH($L68,cennik!$B$2:$B$522,0),MATCH(N$2,cennik!$C$1:$L$1,0))</f>
        <v>szt.</v>
      </c>
      <c r="O68" s="11">
        <f>IF(E69=AC7,SUM(O69:O70),IF(E69=AC8,SUM(O69:O70),IF(E69=AC5,0,IF(E69=AC6,0,0))))</f>
        <v>0</v>
      </c>
      <c r="P68" s="34">
        <f>INDEX(cennik!$C$2:$L$529,MATCH($L68,cennik!$B$2:$B$522,0),MATCH(P$2,cennik!$C$1:$L$1,0))</f>
        <v>116.38</v>
      </c>
      <c r="Q68" s="34">
        <f>O68*P68</f>
        <v>0</v>
      </c>
      <c r="R68" s="35">
        <f t="shared" si="204"/>
        <v>0</v>
      </c>
      <c r="S68" s="34">
        <f t="shared" si="205"/>
        <v>116.38</v>
      </c>
      <c r="T68" s="34">
        <f>O68*S68</f>
        <v>0</v>
      </c>
      <c r="U68" s="34">
        <f>INDEX(cennik!$C$2:$L$529,MATCH($L68,cennik!$B$2:$B$522,0),MATCH(U$2,cennik!$C$1:$L$1,0))*O68</f>
        <v>0</v>
      </c>
      <c r="V68" s="62"/>
      <c r="W68" s="150">
        <f>INDEX(($EL$58:$EX$61,$EL$64:$EX$67,$EL$70:$EX$73,$FA$58:$FM$61,$FA$64:$FM$67,$FA$70:$FM$73,$FP$58:$GB$61,$FP$64:$GB$67,$FP$70:$GB$73,$GE$58:$GQ$61,$GE$64:$GQ$67,$GE$70:$GQ$73,$GT$58:$HF$61,$GT$64:$HF$67),MATCH($L$81,$EK$58:$EK$61,0),MATCH($A69,$EL$57:$EX$57,0),MATCH($E$35,$AE$33:$AE$48,0))*$C69</f>
        <v>0</v>
      </c>
      <c r="X68" s="150">
        <f>INDEX(($EL$58:$EX$61,$EL$64:$EX$67,$EL$70:$EX$73,$FA$58:$FM$61,$FA$64:$FM$67,$FA$70:$FM$73,$FP$58:$GB$61,$FP$64:$GB$67,$FP$70:$GB$73,$GE$58:$GQ$61,$GE$64:$GQ$67,$GE$70:$GQ$73,$GT$58:$HF$61,$GT$64:$HF$67),MATCH($L$78,$EK$58:$EK$61,0),MATCH($A69,$EL$57:$EX$57,0),MATCH($E$35,$AE$33:$AE$48,0))*$C69</f>
        <v>0</v>
      </c>
      <c r="Y68" s="150">
        <f>INDEX(($EL$58:$EX$61,$EL$64:$EX$67,$EL$70:$EX$73,$FA$58:$FM$61,$FA$64:$FM$67,$FA$70:$FM$73,$FP$58:$GB$61,$FP$64:$GB$67,$FP$70:$GB$73,$GE$58:$GQ$61,$GE$64:$GQ$67,$GE$70:$GQ$73,$GT$58:$HF$61,$GT$64:$HF$67),MATCH($L$79,$EK$58:$EK$61,0),MATCH($A69,$EL$57:$EX$57,0),MATCH($E$35,$AE$33:$AE$48,0))*$C69</f>
        <v>0</v>
      </c>
      <c r="Z68" s="150">
        <f>INDEX(($EL$58:$EX$61,$EL$64:$EX$67,$EL$70:$EX$73,$FA$58:$FM$61,$FA$64:$FM$67,$FA$70:$FM$73,$FP$58:$GB$61,$FP$64:$GB$67,$FP$70:$GB$73,$GE$58:$GQ$61,$GE$64:$GQ$67,$GE$70:$GQ$73,$GT$58:$HF$61,$GT$64:$HF$67),MATCH($L$80,$EK$58:$EK$61,0),MATCH($A69,$EL$57:$EX$57,0),MATCH($E$35,$AE$33:$AE$48,0))*$C69</f>
        <v>0</v>
      </c>
      <c r="AA68" s="150">
        <f t="shared" si="178"/>
        <v>0</v>
      </c>
      <c r="AB68" s="150">
        <f t="shared" si="179"/>
        <v>0</v>
      </c>
      <c r="AC68" s="150"/>
      <c r="AD68" s="150"/>
      <c r="AE68" s="150"/>
      <c r="AF68" s="150"/>
      <c r="AG68" s="150"/>
      <c r="AH68" s="150"/>
      <c r="AI68" s="150"/>
      <c r="AJ68" s="150"/>
      <c r="AK68" s="150"/>
      <c r="AL68" s="150"/>
      <c r="AM68" s="150"/>
      <c r="AN68" s="150"/>
      <c r="AO68" s="150"/>
      <c r="AP68" s="150"/>
      <c r="AQ68" s="150"/>
      <c r="AR68" s="150" t="s">
        <v>114</v>
      </c>
      <c r="AS68" s="150" t="s">
        <v>593</v>
      </c>
      <c r="AT68" s="150" t="s">
        <v>151</v>
      </c>
      <c r="AU68" s="150" t="s">
        <v>151</v>
      </c>
      <c r="AV68" s="150" t="s">
        <v>151</v>
      </c>
      <c r="AW68" s="150"/>
      <c r="AX68" s="150"/>
      <c r="AY68" s="150"/>
      <c r="AZ68" s="150"/>
      <c r="BA68" s="150"/>
      <c r="BB68" s="150"/>
      <c r="BC68" s="150"/>
      <c r="BD68" s="150"/>
      <c r="BE68" s="150"/>
      <c r="BF68" s="150"/>
      <c r="BG68" s="150">
        <f t="shared" si="180"/>
        <v>1</v>
      </c>
      <c r="BH68" s="150"/>
      <c r="BI68" s="150"/>
      <c r="BJ68" s="150"/>
      <c r="BK68" s="150"/>
      <c r="BL68" s="150"/>
      <c r="BM68" s="150"/>
      <c r="BN68" s="150"/>
      <c r="BO68" s="150"/>
      <c r="BP68" s="150"/>
      <c r="BQ68" s="150"/>
      <c r="BR68" s="150"/>
      <c r="BS68" s="150"/>
      <c r="BT68" s="150"/>
      <c r="BU68" s="150"/>
      <c r="BV68" s="150"/>
      <c r="BW68" s="150"/>
      <c r="BX68" s="150"/>
      <c r="BY68" s="150"/>
      <c r="BZ68" s="150"/>
      <c r="CA68" s="150"/>
      <c r="CB68" s="150"/>
      <c r="CC68" s="150"/>
      <c r="CD68" s="150"/>
      <c r="CE68" s="150"/>
      <c r="CF68" s="150"/>
      <c r="CG68" s="150"/>
      <c r="CH68" s="150"/>
      <c r="CI68" s="150"/>
      <c r="CJ68" s="150"/>
      <c r="CK68" s="150"/>
      <c r="CL68" s="150"/>
      <c r="CM68" s="150"/>
      <c r="CN68" s="150"/>
      <c r="CO68" s="150"/>
      <c r="CP68" s="150"/>
      <c r="CQ68" s="150"/>
      <c r="CR68" s="150"/>
      <c r="CS68" s="150"/>
      <c r="CT68" s="150"/>
      <c r="CU68" s="150"/>
      <c r="CV68" s="150"/>
      <c r="CW68" s="150"/>
      <c r="CX68" s="150"/>
      <c r="CY68" s="150"/>
      <c r="CZ68" s="150"/>
      <c r="DA68" s="150"/>
      <c r="DB68" s="150"/>
      <c r="DC68" s="150"/>
      <c r="DD68" s="150"/>
      <c r="DE68" s="150"/>
      <c r="DF68" s="150"/>
      <c r="DG68" s="150"/>
      <c r="DH68" s="150"/>
      <c r="DI68" s="150"/>
      <c r="DJ68" s="150"/>
      <c r="DK68" s="150"/>
      <c r="DL68" s="150"/>
      <c r="DM68" s="150"/>
      <c r="DN68" s="150"/>
      <c r="DO68" s="150"/>
      <c r="DP68" s="150"/>
      <c r="DQ68" s="181"/>
      <c r="DR68" s="181">
        <v>78</v>
      </c>
      <c r="DS68" s="181"/>
      <c r="DT68" s="150"/>
      <c r="DU68" s="150"/>
      <c r="DV68" s="150"/>
      <c r="DW68" s="150"/>
      <c r="DX68" s="150"/>
      <c r="DY68" s="150"/>
      <c r="DZ68" s="150"/>
      <c r="EA68" s="150"/>
      <c r="EB68" s="150"/>
      <c r="EC68" s="150"/>
      <c r="ED68" s="150"/>
      <c r="EE68" s="150"/>
      <c r="EF68" s="150"/>
      <c r="EG68" s="150"/>
      <c r="EH68" s="150"/>
      <c r="EI68" s="150"/>
      <c r="EJ68" s="155"/>
      <c r="EK68" s="150"/>
      <c r="EL68" s="150"/>
      <c r="EM68" s="150"/>
      <c r="EN68" s="150"/>
      <c r="EO68" s="150"/>
      <c r="EP68" s="150"/>
      <c r="EQ68" s="150"/>
      <c r="ER68" s="150"/>
      <c r="ES68" s="150"/>
      <c r="ET68" s="150"/>
      <c r="EU68" s="150"/>
      <c r="EV68" s="150"/>
      <c r="EW68" s="150"/>
      <c r="EX68" s="150"/>
      <c r="EY68" s="150"/>
      <c r="EZ68" s="150"/>
      <c r="FA68" s="150"/>
      <c r="FB68" s="150"/>
      <c r="FC68" s="150"/>
      <c r="FD68" s="150"/>
      <c r="FE68" s="150"/>
      <c r="FF68" s="150"/>
      <c r="FG68" s="150"/>
      <c r="FH68" s="150"/>
      <c r="FI68" s="150"/>
      <c r="FJ68" s="150"/>
      <c r="FK68" s="150"/>
      <c r="FL68" s="150"/>
      <c r="FM68" s="150"/>
      <c r="FN68" s="150"/>
      <c r="FO68" s="150"/>
      <c r="FP68" s="150"/>
      <c r="FQ68" s="150"/>
      <c r="FR68" s="150"/>
      <c r="FS68" s="150"/>
      <c r="FT68" s="150"/>
      <c r="FU68" s="150"/>
      <c r="FV68" s="150"/>
      <c r="FW68" s="150"/>
      <c r="FX68" s="150"/>
      <c r="FY68" s="150"/>
      <c r="FZ68" s="150"/>
      <c r="GA68" s="150"/>
      <c r="GB68" s="150"/>
      <c r="GC68" s="150"/>
      <c r="GD68" s="150"/>
      <c r="GE68" s="150"/>
      <c r="GF68" s="150"/>
      <c r="GG68" s="150"/>
      <c r="GH68" s="150"/>
      <c r="GI68" s="150"/>
      <c r="GJ68" s="150"/>
      <c r="GK68" s="150"/>
      <c r="GL68" s="150"/>
      <c r="GM68" s="150"/>
      <c r="GN68" s="150"/>
      <c r="GO68" s="150"/>
      <c r="GP68" s="150"/>
      <c r="GQ68" s="150"/>
      <c r="GR68" s="150"/>
      <c r="GS68" s="150"/>
      <c r="GT68" s="150"/>
      <c r="GU68" s="150"/>
      <c r="GV68" s="150"/>
      <c r="GW68" s="150"/>
      <c r="GX68" s="150"/>
      <c r="GY68" s="150"/>
      <c r="GZ68" s="150"/>
      <c r="HA68" s="150"/>
      <c r="HB68" s="150"/>
      <c r="HC68" s="150"/>
      <c r="HD68" s="150"/>
      <c r="HE68" s="150"/>
      <c r="HF68" s="150"/>
      <c r="HG68" s="156"/>
      <c r="HH68" s="150"/>
    </row>
    <row r="69" spans="1:254" x14ac:dyDescent="0.25">
      <c r="A69" s="8"/>
      <c r="B69" s="5" t="s">
        <v>116</v>
      </c>
      <c r="C69" s="8"/>
      <c r="D69" s="6" t="s">
        <v>307</v>
      </c>
      <c r="E69" s="8" t="s">
        <v>309</v>
      </c>
      <c r="F69" s="5"/>
      <c r="G69" s="5"/>
      <c r="H69" s="5"/>
      <c r="I69" s="5"/>
      <c r="J69" s="5"/>
      <c r="K69" s="9"/>
      <c r="L69" s="7" t="str">
        <f>IF(E69=$AC$5,"CWT70H50/3NMC",IF(E69=$AC$6,"CWT70H50/2NMC",IF(E69=$AC$7,"CWT70H50/1NMC",IF(E69=$AC$8,"CWT70H50/1NMC",0))))</f>
        <v>CWT70H50/1NMC</v>
      </c>
      <c r="M69" s="11">
        <f>INDEX(cennik!$C$2:$L$529,MATCH($L69,cennik!$B$2:$B$522,0),MATCH(M$2,cennik!$C$1:$L$1,0))</f>
        <v>867810</v>
      </c>
      <c r="N69" s="11" t="str">
        <f>INDEX(cennik!$C$2:$L$529,MATCH($L69,cennik!$B$2:$B$522,0),MATCH(N$2,cennik!$C$1:$L$1,0))</f>
        <v>szt.</v>
      </c>
      <c r="O69" s="11">
        <f>SUM(AB63:AB78)</f>
        <v>0</v>
      </c>
      <c r="P69" s="34">
        <f>INDEX(cennik!$C$2:$L$529,MATCH($L69,cennik!$B$2:$B$522,0),MATCH(P$2,cennik!$C$1:$L$1,0))</f>
        <v>50.61</v>
      </c>
      <c r="Q69" s="34">
        <f>O69*P69</f>
        <v>0</v>
      </c>
      <c r="R69" s="35">
        <f t="shared" si="204"/>
        <v>0</v>
      </c>
      <c r="S69" s="34">
        <f t="shared" si="205"/>
        <v>50.61</v>
      </c>
      <c r="T69" s="34">
        <f t="shared" ref="T69:T70" si="211">O69*S69</f>
        <v>0</v>
      </c>
      <c r="U69" s="34">
        <f>INDEX(cennik!$C$2:$L$529,MATCH($L69,cennik!$B$2:$B$522,0),MATCH(U$2,cennik!$C$1:$L$1,0))*O69</f>
        <v>0</v>
      </c>
      <c r="V69" s="62"/>
      <c r="W69" s="150">
        <f>INDEX(($EL$58:$EX$61,$EL$64:$EX$67,$EL$70:$EX$73,$FA$58:$FM$61,$FA$64:$FM$67,$FA$70:$FM$73,$FP$58:$GB$61,$FP$64:$GB$67,$FP$70:$GB$73,$GE$58:$GQ$61,$GE$64:$GQ$67,$GE$70:$GQ$73,$GT$58:$HF$61,$GT$64:$HF$67),MATCH($L$81,$EK$58:$EK$61,0),MATCH($A70,$EL$57:$EX$57,0),MATCH($E$35,$AE$33:$AE$48,0))*$C70</f>
        <v>0</v>
      </c>
      <c r="X69" s="150">
        <f>INDEX(($EL$58:$EX$61,$EL$64:$EX$67,$EL$70:$EX$73,$FA$58:$FM$61,$FA$64:$FM$67,$FA$70:$FM$73,$FP$58:$GB$61,$FP$64:$GB$67,$FP$70:$GB$73,$GE$58:$GQ$61,$GE$64:$GQ$67,$GE$70:$GQ$73,$GT$58:$HF$61,$GT$64:$HF$67),MATCH($L$78,$EK$58:$EK$61,0),MATCH($A70,$EL$57:$EX$57,0),MATCH($E$35,$AE$33:$AE$48,0))*$C70</f>
        <v>0</v>
      </c>
      <c r="Y69" s="150">
        <f>INDEX(($EL$58:$EX$61,$EL$64:$EX$67,$EL$70:$EX$73,$FA$58:$FM$61,$FA$64:$FM$67,$FA$70:$FM$73,$FP$58:$GB$61,$FP$64:$GB$67,$FP$70:$GB$73,$GE$58:$GQ$61,$GE$64:$GQ$67,$GE$70:$GQ$73,$GT$58:$HF$61,$GT$64:$HF$67),MATCH($L$79,$EK$58:$EK$61,0),MATCH($A70,$EL$57:$EX$57,0),MATCH($E$35,$AE$33:$AE$48,0))*$C70</f>
        <v>0</v>
      </c>
      <c r="Z69" s="150">
        <f>INDEX(($EL$58:$EX$61,$EL$64:$EX$67,$EL$70:$EX$73,$FA$58:$FM$61,$FA$64:$FM$67,$FA$70:$FM$73,$FP$58:$GB$61,$FP$64:$GB$67,$FP$70:$GB$73,$GE$58:$GQ$61,$GE$64:$GQ$67,$GE$70:$GQ$73,$GT$58:$HF$61,$GT$64:$HF$67),MATCH($L$80,$EK$58:$EK$61,0),MATCH($A70,$EL$57:$EX$57,0),MATCH($E$35,$AE$33:$AE$48,0))*$C70</f>
        <v>0</v>
      </c>
      <c r="AA69" s="150">
        <f t="shared" si="178"/>
        <v>0</v>
      </c>
      <c r="AB69" s="150">
        <f t="shared" si="179"/>
        <v>0</v>
      </c>
      <c r="AC69" s="150"/>
      <c r="AD69" s="150"/>
      <c r="AE69" s="150"/>
      <c r="AF69" s="150"/>
      <c r="AG69" s="150"/>
      <c r="AH69" s="150"/>
      <c r="AI69" s="150"/>
      <c r="AJ69" s="150"/>
      <c r="AK69" s="150"/>
      <c r="AL69" s="150"/>
      <c r="AM69" s="150"/>
      <c r="AN69" s="150"/>
      <c r="AO69" s="150"/>
      <c r="AP69" s="150"/>
      <c r="AQ69" s="150"/>
      <c r="AR69" s="150" t="s">
        <v>115</v>
      </c>
      <c r="AS69" s="150" t="s">
        <v>593</v>
      </c>
      <c r="AT69" s="150" t="s">
        <v>151</v>
      </c>
      <c r="AU69" s="150" t="s">
        <v>151</v>
      </c>
      <c r="AV69" s="150" t="s">
        <v>151</v>
      </c>
      <c r="AW69" s="150"/>
      <c r="AX69" s="150"/>
      <c r="AY69" s="150"/>
      <c r="AZ69" s="150"/>
      <c r="BA69" s="150"/>
      <c r="BB69" s="150"/>
      <c r="BC69" s="150"/>
      <c r="BD69" s="150"/>
      <c r="BE69" s="150"/>
      <c r="BF69" s="150"/>
      <c r="BG69" s="150">
        <f t="shared" si="180"/>
        <v>1</v>
      </c>
      <c r="BH69" s="150" t="s">
        <v>132</v>
      </c>
      <c r="BI69" s="150">
        <v>0</v>
      </c>
      <c r="BJ69" s="150">
        <v>12</v>
      </c>
      <c r="BK69" s="150">
        <v>18</v>
      </c>
      <c r="BL69" s="150">
        <v>24</v>
      </c>
      <c r="BM69" s="150">
        <v>30</v>
      </c>
      <c r="BN69" s="150">
        <v>36</v>
      </c>
      <c r="BO69" s="150">
        <v>42</v>
      </c>
      <c r="BP69" s="150">
        <v>48</v>
      </c>
      <c r="BQ69" s="150">
        <v>54</v>
      </c>
      <c r="BR69" s="150">
        <v>60</v>
      </c>
      <c r="BS69" s="150">
        <v>66</v>
      </c>
      <c r="BT69" s="150">
        <v>72</v>
      </c>
      <c r="BU69" s="150">
        <v>78</v>
      </c>
      <c r="BV69" s="150"/>
      <c r="BW69" s="150" t="s">
        <v>471</v>
      </c>
      <c r="BX69" s="150">
        <v>0</v>
      </c>
      <c r="BY69" s="150">
        <v>12</v>
      </c>
      <c r="BZ69" s="150">
        <v>18</v>
      </c>
      <c r="CA69" s="150">
        <v>24</v>
      </c>
      <c r="CB69" s="150">
        <v>30</v>
      </c>
      <c r="CC69" s="150">
        <v>36</v>
      </c>
      <c r="CD69" s="150">
        <v>42</v>
      </c>
      <c r="CE69" s="150">
        <v>48</v>
      </c>
      <c r="CF69" s="150">
        <v>54</v>
      </c>
      <c r="CG69" s="150">
        <v>60</v>
      </c>
      <c r="CH69" s="150">
        <v>66</v>
      </c>
      <c r="CI69" s="150">
        <v>72</v>
      </c>
      <c r="CJ69" s="150">
        <v>78</v>
      </c>
      <c r="CK69" s="150"/>
      <c r="CL69" s="150"/>
      <c r="CM69" s="150"/>
      <c r="CN69" s="150" t="s">
        <v>137</v>
      </c>
      <c r="CO69" s="150">
        <v>0</v>
      </c>
      <c r="CP69" s="150">
        <v>12</v>
      </c>
      <c r="CQ69" s="150">
        <v>18</v>
      </c>
      <c r="CR69" s="150">
        <v>24</v>
      </c>
      <c r="CS69" s="150">
        <v>30</v>
      </c>
      <c r="CT69" s="150">
        <v>36</v>
      </c>
      <c r="CU69" s="150">
        <v>42</v>
      </c>
      <c r="CV69" s="150">
        <v>48</v>
      </c>
      <c r="CW69" s="150">
        <v>54</v>
      </c>
      <c r="CX69" s="150">
        <v>60</v>
      </c>
      <c r="CY69" s="150">
        <v>66</v>
      </c>
      <c r="CZ69" s="150">
        <v>72</v>
      </c>
      <c r="DA69" s="150">
        <v>78</v>
      </c>
      <c r="DB69" s="150"/>
      <c r="DC69" s="150" t="s">
        <v>479</v>
      </c>
      <c r="DD69" s="150">
        <v>0</v>
      </c>
      <c r="DE69" s="150">
        <v>12</v>
      </c>
      <c r="DF69" s="150">
        <v>18</v>
      </c>
      <c r="DG69" s="150">
        <v>24</v>
      </c>
      <c r="DH69" s="150">
        <v>30</v>
      </c>
      <c r="DI69" s="150">
        <v>36</v>
      </c>
      <c r="DJ69" s="150">
        <v>42</v>
      </c>
      <c r="DK69" s="150">
        <v>48</v>
      </c>
      <c r="DL69" s="150">
        <v>54</v>
      </c>
      <c r="DM69" s="150">
        <v>60</v>
      </c>
      <c r="DN69" s="150">
        <v>66</v>
      </c>
      <c r="DO69" s="150">
        <v>72</v>
      </c>
      <c r="DP69" s="150">
        <v>78</v>
      </c>
      <c r="DQ69" s="181"/>
      <c r="DR69" s="181"/>
      <c r="DS69" s="181"/>
      <c r="DT69" s="150"/>
      <c r="DU69" s="150"/>
      <c r="DV69" s="150"/>
      <c r="DW69" s="150"/>
      <c r="DX69" s="150"/>
      <c r="DY69" s="150"/>
      <c r="DZ69" s="150"/>
      <c r="EA69" s="150"/>
      <c r="EB69" s="150"/>
      <c r="EC69" s="150"/>
      <c r="ED69" s="150"/>
      <c r="EE69" s="150"/>
      <c r="EF69" s="150"/>
      <c r="EG69" s="150"/>
      <c r="EH69" s="150"/>
      <c r="EI69" s="150"/>
      <c r="EJ69" s="155"/>
      <c r="EK69" s="150" t="s">
        <v>132</v>
      </c>
      <c r="EL69" s="150">
        <v>0</v>
      </c>
      <c r="EM69" s="150">
        <v>12</v>
      </c>
      <c r="EN69" s="150">
        <v>18</v>
      </c>
      <c r="EO69" s="150">
        <v>24</v>
      </c>
      <c r="EP69" s="150">
        <v>30</v>
      </c>
      <c r="EQ69" s="150">
        <v>36</v>
      </c>
      <c r="ER69" s="150">
        <v>42</v>
      </c>
      <c r="ES69" s="150">
        <v>48</v>
      </c>
      <c r="ET69" s="150">
        <v>54</v>
      </c>
      <c r="EU69" s="150">
        <v>60</v>
      </c>
      <c r="EV69" s="150">
        <v>66</v>
      </c>
      <c r="EW69" s="150">
        <v>72</v>
      </c>
      <c r="EX69" s="150">
        <v>78</v>
      </c>
      <c r="EY69" s="150"/>
      <c r="EZ69" s="150" t="s">
        <v>471</v>
      </c>
      <c r="FA69" s="150">
        <v>0</v>
      </c>
      <c r="FB69" s="150">
        <v>12</v>
      </c>
      <c r="FC69" s="150">
        <v>18</v>
      </c>
      <c r="FD69" s="150">
        <v>24</v>
      </c>
      <c r="FE69" s="150">
        <v>30</v>
      </c>
      <c r="FF69" s="150">
        <v>36</v>
      </c>
      <c r="FG69" s="150">
        <v>42</v>
      </c>
      <c r="FH69" s="150">
        <v>48</v>
      </c>
      <c r="FI69" s="150">
        <v>54</v>
      </c>
      <c r="FJ69" s="150">
        <v>60</v>
      </c>
      <c r="FK69" s="150">
        <v>66</v>
      </c>
      <c r="FL69" s="150">
        <v>72</v>
      </c>
      <c r="FM69" s="150">
        <v>78</v>
      </c>
      <c r="FN69" s="150"/>
      <c r="FO69" s="150" t="s">
        <v>137</v>
      </c>
      <c r="FP69" s="150">
        <v>0</v>
      </c>
      <c r="FQ69" s="150">
        <v>12</v>
      </c>
      <c r="FR69" s="150">
        <v>18</v>
      </c>
      <c r="FS69" s="150">
        <v>24</v>
      </c>
      <c r="FT69" s="150">
        <v>30</v>
      </c>
      <c r="FU69" s="150">
        <v>36</v>
      </c>
      <c r="FV69" s="150">
        <v>42</v>
      </c>
      <c r="FW69" s="150">
        <v>48</v>
      </c>
      <c r="FX69" s="150">
        <v>54</v>
      </c>
      <c r="FY69" s="150">
        <v>60</v>
      </c>
      <c r="FZ69" s="150">
        <v>66</v>
      </c>
      <c r="GA69" s="150">
        <v>72</v>
      </c>
      <c r="GB69" s="150">
        <v>78</v>
      </c>
      <c r="GC69" s="150"/>
      <c r="GD69" s="150" t="s">
        <v>479</v>
      </c>
      <c r="GE69" s="150">
        <v>0</v>
      </c>
      <c r="GF69" s="150">
        <v>12</v>
      </c>
      <c r="GG69" s="150">
        <v>18</v>
      </c>
      <c r="GH69" s="150">
        <v>24</v>
      </c>
      <c r="GI69" s="150">
        <v>30</v>
      </c>
      <c r="GJ69" s="150">
        <v>36</v>
      </c>
      <c r="GK69" s="150">
        <v>42</v>
      </c>
      <c r="GL69" s="150">
        <v>48</v>
      </c>
      <c r="GM69" s="150">
        <v>54</v>
      </c>
      <c r="GN69" s="150">
        <v>60</v>
      </c>
      <c r="GO69" s="150">
        <v>66</v>
      </c>
      <c r="GP69" s="150">
        <v>72</v>
      </c>
      <c r="GQ69" s="150">
        <v>78</v>
      </c>
      <c r="GR69" s="150"/>
      <c r="GS69" s="150"/>
      <c r="GT69" s="150"/>
      <c r="GU69" s="150"/>
      <c r="GV69" s="150"/>
      <c r="GW69" s="150"/>
      <c r="GX69" s="150"/>
      <c r="GY69" s="150"/>
      <c r="GZ69" s="150"/>
      <c r="HA69" s="150"/>
      <c r="HB69" s="150"/>
      <c r="HC69" s="150"/>
      <c r="HD69" s="150"/>
      <c r="HE69" s="150"/>
      <c r="HF69" s="150"/>
      <c r="HG69" s="156"/>
      <c r="HH69" s="150"/>
    </row>
    <row r="70" spans="1:254" x14ac:dyDescent="0.25">
      <c r="A70" s="8"/>
      <c r="B70" s="5" t="s">
        <v>116</v>
      </c>
      <c r="C70" s="8"/>
      <c r="D70" s="6" t="s">
        <v>315</v>
      </c>
      <c r="E70" s="8">
        <v>0</v>
      </c>
      <c r="F70" s="5"/>
      <c r="G70" s="5"/>
      <c r="H70" s="5"/>
      <c r="I70" s="5"/>
      <c r="J70" s="5" t="s">
        <v>412</v>
      </c>
      <c r="K70" s="9"/>
      <c r="L70" s="6" t="str">
        <f>INDEX((AS62:AV64),MATCH(G67,AR62:AR64,0),MATCH(E69,AS61:AV61,0))</f>
        <v>CWT70H50/3NMC</v>
      </c>
      <c r="M70" s="11">
        <f>INDEX(cennik!$C$2:$L$529,MATCH($L70,cennik!$B$2:$B$522,0),MATCH(M$2,cennik!$C$1:$L$1,0))</f>
        <v>867830</v>
      </c>
      <c r="N70" s="11" t="str">
        <f>INDEX(cennik!$C$2:$L$529,MATCH($L70,cennik!$B$2:$B$522,0),MATCH(N$2,cennik!$C$1:$L$1,0))</f>
        <v>szt.</v>
      </c>
      <c r="O70" s="11">
        <f>O69</f>
        <v>0</v>
      </c>
      <c r="P70" s="34">
        <f>INDEX(cennik!$C$2:$L$529,MATCH($L70,cennik!$B$2:$B$522,0),MATCH(P$2,cennik!$C$1:$L$1,0))</f>
        <v>151.83000000000001</v>
      </c>
      <c r="Q70" s="34">
        <f t="shared" ref="Q70" si="212">O70*P70</f>
        <v>0</v>
      </c>
      <c r="R70" s="35">
        <f t="shared" si="204"/>
        <v>0</v>
      </c>
      <c r="S70" s="34">
        <f t="shared" si="205"/>
        <v>151.83000000000001</v>
      </c>
      <c r="T70" s="34">
        <f t="shared" si="211"/>
        <v>0</v>
      </c>
      <c r="U70" s="34">
        <f>INDEX(cennik!$C$2:$L$529,MATCH($L70,cennik!$B$2:$B$522,0),MATCH(U$2,cennik!$C$1:$L$1,0))*O70</f>
        <v>0</v>
      </c>
      <c r="V70" s="62"/>
      <c r="W70" s="150">
        <f>INDEX(($EL$58:$EX$61,$EL$64:$EX$67,$EL$70:$EX$73,$FA$58:$FM$61,$FA$64:$FM$67,$FA$70:$FM$73,$FP$58:$GB$61,$FP$64:$GB$67,$FP$70:$GB$73,$GE$58:$GQ$61,$GE$64:$GQ$67,$GE$70:$GQ$73,$GT$58:$HF$61,$GT$64:$HF$67),MATCH($L$81,$EK$58:$EK$61,0),MATCH($A71,$EL$57:$EX$57,0),MATCH($E$35,$AE$33:$AE$48,0))*$C71</f>
        <v>0</v>
      </c>
      <c r="X70" s="150">
        <f>INDEX(($EL$58:$EX$61,$EL$64:$EX$67,$EL$70:$EX$73,$FA$58:$FM$61,$FA$64:$FM$67,$FA$70:$FM$73,$FP$58:$GB$61,$FP$64:$GB$67,$FP$70:$GB$73,$GE$58:$GQ$61,$GE$64:$GQ$67,$GE$70:$GQ$73,$GT$58:$HF$61,$GT$64:$HF$67),MATCH($L$78,$EK$58:$EK$61,0),MATCH($A71,$EL$57:$EX$57,0),MATCH($E$35,$AE$33:$AE$48,0))*$C71</f>
        <v>0</v>
      </c>
      <c r="Y70" s="150">
        <f>INDEX(($EL$58:$EX$61,$EL$64:$EX$67,$EL$70:$EX$73,$FA$58:$FM$61,$FA$64:$FM$67,$FA$70:$FM$73,$FP$58:$GB$61,$FP$64:$GB$67,$FP$70:$GB$73,$GE$58:$GQ$61,$GE$64:$GQ$67,$GE$70:$GQ$73,$GT$58:$HF$61,$GT$64:$HF$67),MATCH($L$79,$EK$58:$EK$61,0),MATCH($A71,$EL$57:$EX$57,0),MATCH($E$35,$AE$33:$AE$48,0))*$C71</f>
        <v>0</v>
      </c>
      <c r="Z70" s="150">
        <f>INDEX(($EL$58:$EX$61,$EL$64:$EX$67,$EL$70:$EX$73,$FA$58:$FM$61,$FA$64:$FM$67,$FA$70:$FM$73,$FP$58:$GB$61,$FP$64:$GB$67,$FP$70:$GB$73,$GE$58:$GQ$61,$GE$64:$GQ$67,$GE$70:$GQ$73,$GT$58:$HF$61,$GT$64:$HF$67),MATCH($L$80,$EK$58:$EK$61,0),MATCH($A71,$EL$57:$EX$57,0),MATCH($E$35,$AE$33:$AE$48,0))*$C71</f>
        <v>0</v>
      </c>
      <c r="AA70" s="150">
        <f t="shared" si="178"/>
        <v>0</v>
      </c>
      <c r="AB70" s="150">
        <f t="shared" si="179"/>
        <v>0</v>
      </c>
      <c r="AC70" s="150"/>
      <c r="AD70" s="150"/>
      <c r="AE70" s="150"/>
      <c r="AF70" s="150"/>
      <c r="AG70" s="150"/>
      <c r="AH70" s="150"/>
      <c r="AI70" s="150"/>
      <c r="AJ70" s="150"/>
      <c r="AK70" s="150"/>
      <c r="AL70" s="150"/>
      <c r="AM70" s="150"/>
      <c r="AN70" s="150"/>
      <c r="AO70" s="150"/>
      <c r="AP70" s="150"/>
      <c r="AQ70" s="150"/>
      <c r="AR70" s="150" t="s">
        <v>474</v>
      </c>
      <c r="AS70" s="150" t="s">
        <v>593</v>
      </c>
      <c r="AT70" s="150" t="s">
        <v>151</v>
      </c>
      <c r="AU70" s="150" t="s">
        <v>151</v>
      </c>
      <c r="AV70" s="150" t="s">
        <v>151</v>
      </c>
      <c r="AW70" s="150"/>
      <c r="AX70" s="150"/>
      <c r="AY70" s="150"/>
      <c r="AZ70" s="150"/>
      <c r="BA70" s="150"/>
      <c r="BB70" s="150"/>
      <c r="BC70" s="150"/>
      <c r="BD70" s="150"/>
      <c r="BE70" s="150"/>
      <c r="BF70" s="150"/>
      <c r="BG70" s="150">
        <f t="shared" si="180"/>
        <v>1</v>
      </c>
      <c r="BH70" s="150" t="s">
        <v>217</v>
      </c>
      <c r="BI70" s="150">
        <v>0</v>
      </c>
      <c r="BJ70" s="150">
        <f>IF(BJ15=0,0,IF(BJ15=5,7,IF(BJ15=10,14,IF(BJ15=15,21,IF(BJ15=20,28,0)))))</f>
        <v>0</v>
      </c>
      <c r="BK70" s="150">
        <f t="shared" ref="BK70:BU70" si="213">IF(BK15=0,0,IF(BK15=5,7,IF(BK15=10,14,IF(BK15=15,21,IF(BK15=20,28,0)))))</f>
        <v>7</v>
      </c>
      <c r="BL70" s="150">
        <f t="shared" si="213"/>
        <v>7</v>
      </c>
      <c r="BM70" s="150">
        <f t="shared" si="213"/>
        <v>0</v>
      </c>
      <c r="BN70" s="150">
        <f t="shared" si="213"/>
        <v>7</v>
      </c>
      <c r="BO70" s="150">
        <f t="shared" si="213"/>
        <v>0</v>
      </c>
      <c r="BP70" s="150">
        <f t="shared" si="213"/>
        <v>7</v>
      </c>
      <c r="BQ70" s="150">
        <f t="shared" si="213"/>
        <v>7</v>
      </c>
      <c r="BR70" s="150">
        <f t="shared" si="213"/>
        <v>14</v>
      </c>
      <c r="BS70" s="150">
        <f t="shared" si="213"/>
        <v>21</v>
      </c>
      <c r="BT70" s="150">
        <f t="shared" si="213"/>
        <v>14</v>
      </c>
      <c r="BU70" s="150">
        <f t="shared" si="213"/>
        <v>21</v>
      </c>
      <c r="BV70" s="150"/>
      <c r="BW70" s="150" t="s">
        <v>217</v>
      </c>
      <c r="BX70" s="150">
        <v>0</v>
      </c>
      <c r="BY70" s="150">
        <f t="shared" ref="BY70:CJ73" si="214">IF(BY15=0,0,IF(BY15=5,7,IF(BY15=10,14,IF(BY15=15,21,IF(BY15=20,28,0)))))</f>
        <v>0</v>
      </c>
      <c r="BZ70" s="150">
        <f t="shared" si="214"/>
        <v>7</v>
      </c>
      <c r="CA70" s="150">
        <f t="shared" si="214"/>
        <v>0</v>
      </c>
      <c r="CB70" s="150">
        <f t="shared" si="214"/>
        <v>7</v>
      </c>
      <c r="CC70" s="150">
        <f t="shared" si="214"/>
        <v>0</v>
      </c>
      <c r="CD70" s="150">
        <f t="shared" si="214"/>
        <v>14</v>
      </c>
      <c r="CE70" s="150">
        <f t="shared" si="214"/>
        <v>7</v>
      </c>
      <c r="CF70" s="150">
        <f t="shared" si="214"/>
        <v>14</v>
      </c>
      <c r="CG70" s="150">
        <f t="shared" si="214"/>
        <v>7</v>
      </c>
      <c r="CH70" s="150">
        <f t="shared" si="214"/>
        <v>14</v>
      </c>
      <c r="CI70" s="150">
        <f t="shared" si="214"/>
        <v>21</v>
      </c>
      <c r="CJ70" s="150">
        <f t="shared" si="214"/>
        <v>14</v>
      </c>
      <c r="CK70" s="150"/>
      <c r="CL70" s="150"/>
      <c r="CM70" s="150"/>
      <c r="CN70" s="150" t="s">
        <v>217</v>
      </c>
      <c r="CO70" s="150">
        <v>0</v>
      </c>
      <c r="CP70" s="150">
        <f t="shared" ref="CP70:DA73" si="215">IF(CP15=0,0,IF(CP15=5,7,IF(CP15=10,14,IF(CP15=15,21,IF(CP15=20,28,0)))))</f>
        <v>0</v>
      </c>
      <c r="CQ70" s="150">
        <f t="shared" si="215"/>
        <v>7</v>
      </c>
      <c r="CR70" s="150">
        <f t="shared" si="215"/>
        <v>0</v>
      </c>
      <c r="CS70" s="150">
        <f t="shared" si="215"/>
        <v>7</v>
      </c>
      <c r="CT70" s="150">
        <f t="shared" si="215"/>
        <v>0</v>
      </c>
      <c r="CU70" s="150">
        <f t="shared" si="215"/>
        <v>7</v>
      </c>
      <c r="CV70" s="150">
        <f t="shared" si="215"/>
        <v>14</v>
      </c>
      <c r="CW70" s="150">
        <f t="shared" si="215"/>
        <v>7</v>
      </c>
      <c r="CX70" s="150">
        <f t="shared" si="215"/>
        <v>14</v>
      </c>
      <c r="CY70" s="150">
        <f t="shared" si="215"/>
        <v>21</v>
      </c>
      <c r="CZ70" s="150">
        <f t="shared" si="215"/>
        <v>21</v>
      </c>
      <c r="DA70" s="150">
        <f t="shared" si="215"/>
        <v>28</v>
      </c>
      <c r="DB70" s="150"/>
      <c r="DC70" s="150" t="s">
        <v>217</v>
      </c>
      <c r="DD70" s="150">
        <v>0</v>
      </c>
      <c r="DE70" s="150">
        <f>IF(DE15=0,0,IF(DE15=5,7,IF(DE15=10,14,IF(DE15=15,21,IF(DE15=20,28,0)))))</f>
        <v>0</v>
      </c>
      <c r="DF70" s="150">
        <f t="shared" ref="DF70:DP70" si="216">IF(DF15=0,0,IF(DF15=5,7,IF(DF15=10,14,IF(DF15=15,21,IF(DF15=20,28,0)))))</f>
        <v>7</v>
      </c>
      <c r="DG70" s="150">
        <f t="shared" si="216"/>
        <v>0</v>
      </c>
      <c r="DH70" s="150">
        <f t="shared" si="216"/>
        <v>0</v>
      </c>
      <c r="DI70" s="150">
        <f t="shared" si="216"/>
        <v>14</v>
      </c>
      <c r="DJ70" s="150">
        <f t="shared" si="216"/>
        <v>7</v>
      </c>
      <c r="DK70" s="150">
        <f t="shared" si="216"/>
        <v>14</v>
      </c>
      <c r="DL70" s="150">
        <f t="shared" si="216"/>
        <v>14</v>
      </c>
      <c r="DM70" s="150">
        <f t="shared" si="216"/>
        <v>14</v>
      </c>
      <c r="DN70" s="150">
        <f t="shared" si="216"/>
        <v>21</v>
      </c>
      <c r="DO70" s="150">
        <f t="shared" si="216"/>
        <v>28</v>
      </c>
      <c r="DP70" s="150">
        <f t="shared" si="216"/>
        <v>28</v>
      </c>
      <c r="DQ70" s="181"/>
      <c r="DR70" s="181"/>
      <c r="DS70" s="181"/>
      <c r="DT70" s="150"/>
      <c r="DU70" s="150"/>
      <c r="DV70" s="150"/>
      <c r="DW70" s="150"/>
      <c r="DX70" s="150"/>
      <c r="DY70" s="150"/>
      <c r="DZ70" s="150"/>
      <c r="EA70" s="150"/>
      <c r="EB70" s="150"/>
      <c r="EC70" s="150"/>
      <c r="ED70" s="150"/>
      <c r="EE70" s="150"/>
      <c r="EF70" s="150"/>
      <c r="EG70" s="150"/>
      <c r="EH70" s="150"/>
      <c r="EI70" s="150"/>
      <c r="EJ70" s="155"/>
      <c r="EK70" s="150" t="s">
        <v>586</v>
      </c>
      <c r="EL70" s="150">
        <v>0</v>
      </c>
      <c r="EM70" s="150">
        <f t="shared" ref="EM70:EX70" si="217">EM15/5*7</f>
        <v>0</v>
      </c>
      <c r="EN70" s="150">
        <f t="shared" si="217"/>
        <v>7</v>
      </c>
      <c r="EO70" s="150">
        <f t="shared" si="217"/>
        <v>7</v>
      </c>
      <c r="EP70" s="150">
        <f t="shared" si="217"/>
        <v>0</v>
      </c>
      <c r="EQ70" s="150">
        <f t="shared" si="217"/>
        <v>0</v>
      </c>
      <c r="ER70" s="150">
        <f t="shared" si="217"/>
        <v>0</v>
      </c>
      <c r="ES70" s="150">
        <f t="shared" si="217"/>
        <v>0</v>
      </c>
      <c r="ET70" s="150">
        <f t="shared" si="217"/>
        <v>0</v>
      </c>
      <c r="EU70" s="150">
        <f t="shared" si="217"/>
        <v>0</v>
      </c>
      <c r="EV70" s="150">
        <f t="shared" si="217"/>
        <v>0</v>
      </c>
      <c r="EW70" s="150">
        <f t="shared" si="217"/>
        <v>0</v>
      </c>
      <c r="EX70" s="150">
        <f t="shared" si="217"/>
        <v>0</v>
      </c>
      <c r="EZ70" s="150" t="s">
        <v>586</v>
      </c>
      <c r="FA70" s="150">
        <v>0</v>
      </c>
      <c r="FB70" s="150">
        <f t="shared" ref="FB70:FM70" si="218">FB15/5*7</f>
        <v>0</v>
      </c>
      <c r="FC70" s="150">
        <f t="shared" si="218"/>
        <v>7</v>
      </c>
      <c r="FD70" s="150">
        <f t="shared" si="218"/>
        <v>0</v>
      </c>
      <c r="FE70" s="150">
        <f t="shared" si="218"/>
        <v>0</v>
      </c>
      <c r="FF70" s="150">
        <f t="shared" si="218"/>
        <v>0</v>
      </c>
      <c r="FG70" s="150">
        <f t="shared" si="218"/>
        <v>0</v>
      </c>
      <c r="FH70" s="150">
        <f t="shared" si="218"/>
        <v>0</v>
      </c>
      <c r="FI70" s="150">
        <f t="shared" si="218"/>
        <v>0</v>
      </c>
      <c r="FJ70" s="150">
        <f t="shared" si="218"/>
        <v>0</v>
      </c>
      <c r="FK70" s="150">
        <f t="shared" si="218"/>
        <v>0</v>
      </c>
      <c r="FL70" s="150">
        <f t="shared" si="218"/>
        <v>0</v>
      </c>
      <c r="FM70" s="150">
        <f t="shared" si="218"/>
        <v>0</v>
      </c>
      <c r="FO70" s="150" t="s">
        <v>586</v>
      </c>
      <c r="FP70" s="150">
        <v>0</v>
      </c>
      <c r="FQ70" s="150">
        <f t="shared" ref="FQ70:GB70" si="219">FQ15/5*7</f>
        <v>0</v>
      </c>
      <c r="FR70" s="150">
        <f t="shared" si="219"/>
        <v>7</v>
      </c>
      <c r="FS70" s="150">
        <f t="shared" si="219"/>
        <v>0</v>
      </c>
      <c r="FT70" s="150">
        <f t="shared" si="219"/>
        <v>0</v>
      </c>
      <c r="FU70" s="150">
        <f t="shared" si="219"/>
        <v>0</v>
      </c>
      <c r="FV70" s="150">
        <f t="shared" si="219"/>
        <v>0</v>
      </c>
      <c r="FW70" s="150">
        <f t="shared" si="219"/>
        <v>0</v>
      </c>
      <c r="FX70" s="150">
        <f t="shared" si="219"/>
        <v>0</v>
      </c>
      <c r="FY70" s="150">
        <f t="shared" si="219"/>
        <v>0</v>
      </c>
      <c r="FZ70" s="150">
        <f t="shared" si="219"/>
        <v>0</v>
      </c>
      <c r="GA70" s="150">
        <f t="shared" si="219"/>
        <v>0</v>
      </c>
      <c r="GB70" s="150">
        <f t="shared" si="219"/>
        <v>0</v>
      </c>
      <c r="GD70" s="150" t="s">
        <v>586</v>
      </c>
      <c r="GE70" s="150">
        <v>0</v>
      </c>
      <c r="GF70" s="150">
        <f t="shared" ref="GF70:GQ70" si="220">GF15/5*7</f>
        <v>0</v>
      </c>
      <c r="GG70" s="150">
        <f t="shared" si="220"/>
        <v>7</v>
      </c>
      <c r="GH70" s="150">
        <f t="shared" si="220"/>
        <v>0</v>
      </c>
      <c r="GI70" s="150">
        <f t="shared" si="220"/>
        <v>0</v>
      </c>
      <c r="GJ70" s="150">
        <f t="shared" si="220"/>
        <v>0</v>
      </c>
      <c r="GK70" s="150">
        <f t="shared" si="220"/>
        <v>0</v>
      </c>
      <c r="GL70" s="150">
        <f t="shared" si="220"/>
        <v>0</v>
      </c>
      <c r="GM70" s="150">
        <f t="shared" si="220"/>
        <v>0</v>
      </c>
      <c r="GN70" s="150">
        <f t="shared" si="220"/>
        <v>0</v>
      </c>
      <c r="GO70" s="150">
        <f t="shared" si="220"/>
        <v>0</v>
      </c>
      <c r="GP70" s="150">
        <f t="shared" si="220"/>
        <v>0</v>
      </c>
      <c r="GQ70" s="150">
        <f t="shared" si="220"/>
        <v>0</v>
      </c>
      <c r="GR70" s="150"/>
      <c r="GS70" s="150"/>
      <c r="GT70" s="150"/>
      <c r="GU70" s="150"/>
      <c r="GV70" s="150"/>
      <c r="GW70" s="150"/>
      <c r="GX70" s="150"/>
      <c r="GY70" s="150"/>
      <c r="GZ70" s="150"/>
      <c r="HA70" s="150"/>
      <c r="HB70" s="150"/>
      <c r="HC70" s="150"/>
      <c r="HD70" s="150"/>
      <c r="HE70" s="150"/>
      <c r="HF70" s="150"/>
      <c r="HG70" s="156"/>
      <c r="HH70" s="150"/>
    </row>
    <row r="71" spans="1:254" x14ac:dyDescent="0.25">
      <c r="A71" s="8"/>
      <c r="B71" s="5" t="s">
        <v>116</v>
      </c>
      <c r="C71" s="8"/>
      <c r="D71" s="6" t="s">
        <v>162</v>
      </c>
      <c r="E71" s="8">
        <v>0</v>
      </c>
      <c r="F71" s="5"/>
      <c r="G71" s="5"/>
      <c r="H71" s="5"/>
      <c r="I71" s="5"/>
      <c r="J71" s="5" t="s">
        <v>163</v>
      </c>
      <c r="K71" s="9"/>
      <c r="L71" s="6" t="str">
        <f>INDEX((AS68:AV70),MATCH(G67,AR68:AR70,0),MATCH(E69,AS67:AV67,0))</f>
        <v>-------</v>
      </c>
      <c r="M71" s="11" t="str">
        <f>INDEX(cennik!$C$2:$L$529,MATCH($L71,cennik!$B$2:$B$522,0),MATCH(M$2,cennik!$C$1:$L$1,0))</f>
        <v>-------</v>
      </c>
      <c r="N71" s="11">
        <f>INDEX(cennik!$C$2:$L$529,MATCH($L71,cennik!$B$2:$B$522,0),MATCH(N$2,cennik!$C$1:$L$1,0))</f>
        <v>0</v>
      </c>
      <c r="O71" s="11">
        <f>IF(L71="CWT70H50/2NMC",O70,IF(L71="CWT70H50/2,4NMC",O70,0))</f>
        <v>0</v>
      </c>
      <c r="P71" s="34">
        <f>INDEX(cennik!$C$2:$L$529,MATCH($L71,cennik!$B$2:$B$522,0),MATCH(P$2,cennik!$C$1:$L$1,0))</f>
        <v>0</v>
      </c>
      <c r="Q71" s="34">
        <f t="shared" ref="Q71:Q72" si="221">O71*P71</f>
        <v>0</v>
      </c>
      <c r="R71" s="35">
        <f t="shared" si="204"/>
        <v>0</v>
      </c>
      <c r="S71" s="34">
        <f t="shared" si="205"/>
        <v>0</v>
      </c>
      <c r="T71" s="34">
        <f t="shared" ref="T71:T72" si="222">O71*S71</f>
        <v>0</v>
      </c>
      <c r="U71" s="34">
        <f>INDEX(cennik!$C$2:$L$529,MATCH($L71,cennik!$B$2:$B$522,0),MATCH(U$2,cennik!$C$1:$L$1,0))*O71</f>
        <v>0</v>
      </c>
      <c r="V71" s="62"/>
      <c r="W71" s="150">
        <f>INDEX(($EL$58:$EX$61,$EL$64:$EX$67,$EL$70:$EX$73,$FA$58:$FM$61,$FA$64:$FM$67,$FA$70:$FM$73,$FP$58:$GB$61,$FP$64:$GB$67,$FP$70:$GB$73,$GE$58:$GQ$61,$GE$64:$GQ$67,$GE$70:$GQ$73,$GT$58:$HF$61,$GT$64:$HF$67),MATCH($L$81,$EK$58:$EK$61,0),MATCH($A72,$EL$57:$EX$57,0),MATCH($E$35,$AE$33:$AE$48,0))*$C72</f>
        <v>0</v>
      </c>
      <c r="X71" s="150">
        <f>INDEX(($EL$58:$EX$61,$EL$64:$EX$67,$EL$70:$EX$73,$FA$58:$FM$61,$FA$64:$FM$67,$FA$70:$FM$73,$FP$58:$GB$61,$FP$64:$GB$67,$FP$70:$GB$73,$GE$58:$GQ$61,$GE$64:$GQ$67,$GE$70:$GQ$73,$GT$58:$HF$61,$GT$64:$HF$67),MATCH($L$78,$EK$58:$EK$61,0),MATCH($A72,$EL$57:$EX$57,0),MATCH($E$35,$AE$33:$AE$48,0))*$C72</f>
        <v>0</v>
      </c>
      <c r="Y71" s="150">
        <f>INDEX(($EL$58:$EX$61,$EL$64:$EX$67,$EL$70:$EX$73,$FA$58:$FM$61,$FA$64:$FM$67,$FA$70:$FM$73,$FP$58:$GB$61,$FP$64:$GB$67,$FP$70:$GB$73,$GE$58:$GQ$61,$GE$64:$GQ$67,$GE$70:$GQ$73,$GT$58:$HF$61,$GT$64:$HF$67),MATCH($L$79,$EK$58:$EK$61,0),MATCH($A72,$EL$57:$EX$57,0),MATCH($E$35,$AE$33:$AE$48,0))*$C72</f>
        <v>0</v>
      </c>
      <c r="Z71" s="150">
        <f>INDEX(($EL$58:$EX$61,$EL$64:$EX$67,$EL$70:$EX$73,$FA$58:$FM$61,$FA$64:$FM$67,$FA$70:$FM$73,$FP$58:$GB$61,$FP$64:$GB$67,$FP$70:$GB$73,$GE$58:$GQ$61,$GE$64:$GQ$67,$GE$70:$GQ$73,$GT$58:$HF$61,$GT$64:$HF$67),MATCH($L$80,$EK$58:$EK$61,0),MATCH($A72,$EL$57:$EX$57,0),MATCH($E$35,$AE$33:$AE$48,0))*$C72</f>
        <v>0</v>
      </c>
      <c r="AA71" s="150">
        <f t="shared" si="178"/>
        <v>0</v>
      </c>
      <c r="AB71" s="150">
        <f t="shared" si="179"/>
        <v>0</v>
      </c>
      <c r="AC71" s="150"/>
      <c r="AD71" s="150"/>
      <c r="AE71" s="150"/>
      <c r="AF71" s="150"/>
      <c r="AG71" s="150"/>
      <c r="AH71" s="150"/>
      <c r="AI71" s="150"/>
      <c r="AJ71" s="150"/>
      <c r="AK71" s="150"/>
      <c r="AL71" s="150"/>
      <c r="AM71" s="150"/>
      <c r="AN71" s="150"/>
      <c r="AO71" s="150"/>
      <c r="AP71" s="150"/>
      <c r="AQ71" s="150"/>
      <c r="AW71" s="150"/>
      <c r="AX71" s="150"/>
      <c r="AY71" s="150"/>
      <c r="AZ71" s="150"/>
      <c r="BA71" s="150"/>
      <c r="BB71" s="150"/>
      <c r="BC71" s="150"/>
      <c r="BD71" s="150"/>
      <c r="BE71" s="150"/>
      <c r="BF71" s="150"/>
      <c r="BG71" s="150">
        <f t="shared" si="180"/>
        <v>1</v>
      </c>
      <c r="BH71" s="150" t="s">
        <v>216</v>
      </c>
      <c r="BI71" s="150">
        <v>0</v>
      </c>
      <c r="BJ71" s="150">
        <f t="shared" ref="BJ71:BU73" si="223">IF(BJ16=0,0,IF(BJ16=5,7,IF(BJ16=10,14,IF(BJ16=15,21,IF(BJ16=20,28,0)))))</f>
        <v>0</v>
      </c>
      <c r="BK71" s="150">
        <f t="shared" si="223"/>
        <v>0</v>
      </c>
      <c r="BL71" s="150">
        <f t="shared" si="223"/>
        <v>0</v>
      </c>
      <c r="BM71" s="150">
        <f t="shared" si="223"/>
        <v>14</v>
      </c>
      <c r="BN71" s="150">
        <f t="shared" si="223"/>
        <v>0</v>
      </c>
      <c r="BO71" s="150">
        <f t="shared" si="223"/>
        <v>14</v>
      </c>
      <c r="BP71" s="150">
        <f t="shared" si="223"/>
        <v>14</v>
      </c>
      <c r="BQ71" s="150">
        <f t="shared" si="223"/>
        <v>14</v>
      </c>
      <c r="BR71" s="150">
        <f t="shared" si="223"/>
        <v>7</v>
      </c>
      <c r="BS71" s="150">
        <f t="shared" si="223"/>
        <v>0</v>
      </c>
      <c r="BT71" s="150">
        <f t="shared" si="223"/>
        <v>7</v>
      </c>
      <c r="BU71" s="150">
        <f t="shared" si="223"/>
        <v>7</v>
      </c>
      <c r="BV71" s="150"/>
      <c r="BW71" s="150" t="s">
        <v>216</v>
      </c>
      <c r="BX71" s="150">
        <v>0</v>
      </c>
      <c r="BY71" s="150">
        <f t="shared" si="214"/>
        <v>0</v>
      </c>
      <c r="BZ71" s="150">
        <f t="shared" si="214"/>
        <v>0</v>
      </c>
      <c r="CA71" s="150">
        <f t="shared" si="214"/>
        <v>7</v>
      </c>
      <c r="CB71" s="150">
        <f t="shared" si="214"/>
        <v>0</v>
      </c>
      <c r="CC71" s="150">
        <f t="shared" si="214"/>
        <v>14</v>
      </c>
      <c r="CD71" s="150">
        <f t="shared" si="214"/>
        <v>0</v>
      </c>
      <c r="CE71" s="150">
        <f t="shared" si="214"/>
        <v>14</v>
      </c>
      <c r="CF71" s="150">
        <f t="shared" si="214"/>
        <v>7</v>
      </c>
      <c r="CG71" s="150">
        <f t="shared" si="214"/>
        <v>14</v>
      </c>
      <c r="CH71" s="150">
        <f t="shared" si="214"/>
        <v>7</v>
      </c>
      <c r="CI71" s="150">
        <f t="shared" si="214"/>
        <v>7</v>
      </c>
      <c r="CJ71" s="150">
        <f t="shared" si="214"/>
        <v>14</v>
      </c>
      <c r="CK71" s="150"/>
      <c r="CL71" s="150"/>
      <c r="CM71" s="150"/>
      <c r="CN71" s="150" t="s">
        <v>216</v>
      </c>
      <c r="CO71" s="150">
        <v>0</v>
      </c>
      <c r="CP71" s="150">
        <f t="shared" si="215"/>
        <v>7</v>
      </c>
      <c r="CQ71" s="150">
        <f t="shared" si="215"/>
        <v>0</v>
      </c>
      <c r="CR71" s="150">
        <f t="shared" si="215"/>
        <v>14</v>
      </c>
      <c r="CS71" s="150">
        <f t="shared" si="215"/>
        <v>0</v>
      </c>
      <c r="CT71" s="150">
        <f t="shared" si="215"/>
        <v>14</v>
      </c>
      <c r="CU71" s="150">
        <f t="shared" si="215"/>
        <v>14</v>
      </c>
      <c r="CV71" s="150">
        <f t="shared" si="215"/>
        <v>0</v>
      </c>
      <c r="CW71" s="150">
        <f t="shared" si="215"/>
        <v>14</v>
      </c>
      <c r="CX71" s="150">
        <f t="shared" si="215"/>
        <v>7</v>
      </c>
      <c r="CY71" s="150">
        <f t="shared" si="215"/>
        <v>0</v>
      </c>
      <c r="CZ71" s="150">
        <f t="shared" si="215"/>
        <v>7</v>
      </c>
      <c r="DA71" s="150">
        <f t="shared" si="215"/>
        <v>0</v>
      </c>
      <c r="DB71" s="150"/>
      <c r="DC71" s="150" t="s">
        <v>216</v>
      </c>
      <c r="DD71" s="150">
        <v>0</v>
      </c>
      <c r="DE71" s="150">
        <f t="shared" ref="DE71:DP73" si="224">IF(DE16=0,0,IF(DE16=5,7,IF(DE16=10,14,IF(DE16=15,21,IF(DE16=20,28,0)))))</f>
        <v>7</v>
      </c>
      <c r="DF71" s="150">
        <f t="shared" si="224"/>
        <v>0</v>
      </c>
      <c r="DG71" s="150">
        <f t="shared" si="224"/>
        <v>14</v>
      </c>
      <c r="DH71" s="150">
        <f t="shared" si="224"/>
        <v>14</v>
      </c>
      <c r="DI71" s="150">
        <f t="shared" si="224"/>
        <v>0</v>
      </c>
      <c r="DJ71" s="150">
        <f t="shared" si="224"/>
        <v>14</v>
      </c>
      <c r="DK71" s="150">
        <f t="shared" si="224"/>
        <v>7</v>
      </c>
      <c r="DL71" s="150">
        <f t="shared" si="224"/>
        <v>7</v>
      </c>
      <c r="DM71" s="150">
        <f t="shared" si="224"/>
        <v>14</v>
      </c>
      <c r="DN71" s="150">
        <f t="shared" si="224"/>
        <v>7</v>
      </c>
      <c r="DO71" s="150">
        <f t="shared" si="224"/>
        <v>0</v>
      </c>
      <c r="DP71" s="150">
        <f t="shared" si="224"/>
        <v>0</v>
      </c>
      <c r="DQ71" s="181"/>
      <c r="DR71" s="181"/>
      <c r="DS71" s="181"/>
      <c r="DT71" s="150"/>
      <c r="DU71" s="150"/>
      <c r="DV71" s="150"/>
      <c r="DW71" s="150"/>
      <c r="DX71" s="150"/>
      <c r="DY71" s="150"/>
      <c r="DZ71" s="150"/>
      <c r="EA71" s="150"/>
      <c r="EB71" s="150"/>
      <c r="EC71" s="150"/>
      <c r="ED71" s="150"/>
      <c r="EE71" s="150"/>
      <c r="EF71" s="150"/>
      <c r="EG71" s="150"/>
      <c r="EH71" s="150"/>
      <c r="EI71" s="150"/>
      <c r="EJ71" s="155"/>
      <c r="EK71" s="150" t="s">
        <v>522</v>
      </c>
      <c r="EL71" s="150">
        <v>0</v>
      </c>
      <c r="EM71" s="150">
        <f t="shared" ref="EM71:EX71" si="225">EM16/5*7</f>
        <v>0</v>
      </c>
      <c r="EN71" s="150">
        <f t="shared" si="225"/>
        <v>0</v>
      </c>
      <c r="EO71" s="150">
        <f t="shared" si="225"/>
        <v>0</v>
      </c>
      <c r="EP71" s="150">
        <f t="shared" si="225"/>
        <v>14</v>
      </c>
      <c r="EQ71" s="150">
        <f t="shared" si="225"/>
        <v>0</v>
      </c>
      <c r="ER71" s="150">
        <f t="shared" si="225"/>
        <v>14</v>
      </c>
      <c r="ES71" s="150">
        <f t="shared" si="225"/>
        <v>14</v>
      </c>
      <c r="ET71" s="150">
        <f t="shared" si="225"/>
        <v>14</v>
      </c>
      <c r="EU71" s="150">
        <f t="shared" si="225"/>
        <v>7</v>
      </c>
      <c r="EV71" s="150">
        <f t="shared" si="225"/>
        <v>0</v>
      </c>
      <c r="EW71" s="150">
        <f t="shared" si="225"/>
        <v>7</v>
      </c>
      <c r="EX71" s="150">
        <f t="shared" si="225"/>
        <v>7</v>
      </c>
      <c r="EY71" s="150"/>
      <c r="EZ71" s="150" t="s">
        <v>522</v>
      </c>
      <c r="FA71" s="150">
        <v>0</v>
      </c>
      <c r="FB71" s="150">
        <f t="shared" ref="FB71:FM71" si="226">FB16/5*7</f>
        <v>0</v>
      </c>
      <c r="FC71" s="150">
        <f t="shared" si="226"/>
        <v>0</v>
      </c>
      <c r="FD71" s="150">
        <f t="shared" si="226"/>
        <v>7</v>
      </c>
      <c r="FE71" s="150">
        <f t="shared" si="226"/>
        <v>0</v>
      </c>
      <c r="FF71" s="150">
        <f t="shared" si="226"/>
        <v>14</v>
      </c>
      <c r="FG71" s="150">
        <f t="shared" si="226"/>
        <v>0</v>
      </c>
      <c r="FH71" s="150">
        <f t="shared" si="226"/>
        <v>14</v>
      </c>
      <c r="FI71" s="150">
        <f t="shared" si="226"/>
        <v>7</v>
      </c>
      <c r="FJ71" s="150">
        <f t="shared" si="226"/>
        <v>14</v>
      </c>
      <c r="FK71" s="150">
        <f t="shared" si="226"/>
        <v>7</v>
      </c>
      <c r="FL71" s="150">
        <f t="shared" si="226"/>
        <v>7</v>
      </c>
      <c r="FM71" s="150">
        <f t="shared" si="226"/>
        <v>14</v>
      </c>
      <c r="FN71" s="150"/>
      <c r="FO71" s="150" t="s">
        <v>522</v>
      </c>
      <c r="FP71" s="150">
        <v>0</v>
      </c>
      <c r="FQ71" s="150">
        <f t="shared" ref="FQ71:GB71" si="227">FQ16/5*7</f>
        <v>7</v>
      </c>
      <c r="FR71" s="150">
        <f t="shared" si="227"/>
        <v>0</v>
      </c>
      <c r="FS71" s="150">
        <f t="shared" si="227"/>
        <v>14</v>
      </c>
      <c r="FT71" s="150">
        <f t="shared" si="227"/>
        <v>0</v>
      </c>
      <c r="FU71" s="150">
        <f t="shared" si="227"/>
        <v>14</v>
      </c>
      <c r="FV71" s="150">
        <f t="shared" si="227"/>
        <v>14</v>
      </c>
      <c r="FW71" s="150">
        <f t="shared" si="227"/>
        <v>0</v>
      </c>
      <c r="FX71" s="150">
        <f t="shared" si="227"/>
        <v>14</v>
      </c>
      <c r="FY71" s="150">
        <f t="shared" si="227"/>
        <v>7</v>
      </c>
      <c r="FZ71" s="150">
        <f t="shared" si="227"/>
        <v>0</v>
      </c>
      <c r="GA71" s="150">
        <f t="shared" si="227"/>
        <v>7</v>
      </c>
      <c r="GB71" s="150">
        <f t="shared" si="227"/>
        <v>0</v>
      </c>
      <c r="GC71" s="150"/>
      <c r="GD71" s="150" t="s">
        <v>522</v>
      </c>
      <c r="GE71" s="150">
        <v>0</v>
      </c>
      <c r="GF71" s="150">
        <f t="shared" ref="GF71:GQ71" si="228">GF16/5*7</f>
        <v>7</v>
      </c>
      <c r="GG71" s="150">
        <f t="shared" si="228"/>
        <v>0</v>
      </c>
      <c r="GH71" s="150">
        <f t="shared" si="228"/>
        <v>14</v>
      </c>
      <c r="GI71" s="150">
        <f t="shared" si="228"/>
        <v>14</v>
      </c>
      <c r="GJ71" s="150">
        <f t="shared" si="228"/>
        <v>0</v>
      </c>
      <c r="GK71" s="150">
        <f t="shared" si="228"/>
        <v>14</v>
      </c>
      <c r="GL71" s="150">
        <f t="shared" si="228"/>
        <v>7</v>
      </c>
      <c r="GM71" s="150">
        <f t="shared" si="228"/>
        <v>7</v>
      </c>
      <c r="GN71" s="150">
        <f t="shared" si="228"/>
        <v>14</v>
      </c>
      <c r="GO71" s="150">
        <f t="shared" si="228"/>
        <v>7</v>
      </c>
      <c r="GP71" s="150">
        <f t="shared" si="228"/>
        <v>0</v>
      </c>
      <c r="GQ71" s="150">
        <f t="shared" si="228"/>
        <v>0</v>
      </c>
      <c r="GR71" s="150"/>
      <c r="GS71" s="150"/>
      <c r="GT71" s="150"/>
      <c r="GU71" s="150"/>
      <c r="GV71" s="150"/>
      <c r="GW71" s="150"/>
      <c r="GX71" s="150"/>
      <c r="GY71" s="150"/>
      <c r="GZ71" s="150"/>
      <c r="HA71" s="150"/>
      <c r="HB71" s="150"/>
      <c r="HC71" s="150"/>
      <c r="HD71" s="150"/>
      <c r="HE71" s="150"/>
      <c r="HF71" s="150"/>
      <c r="HG71" s="156"/>
      <c r="HH71" s="150"/>
    </row>
    <row r="72" spans="1:254" x14ac:dyDescent="0.25">
      <c r="A72" s="8"/>
      <c r="B72" s="5" t="s">
        <v>116</v>
      </c>
      <c r="C72" s="8"/>
      <c r="D72" s="6" t="s">
        <v>515</v>
      </c>
      <c r="E72" s="8">
        <v>0</v>
      </c>
      <c r="F72" s="5"/>
      <c r="G72" s="5"/>
      <c r="H72" s="5"/>
      <c r="I72" s="5"/>
      <c r="J72" s="5" t="s">
        <v>412</v>
      </c>
      <c r="K72" s="9"/>
      <c r="L72" s="92" t="str">
        <f>IF(L71="CWT70H50/2NMC","LCT70H50NMC",IF(L71="CWT70H50/2,4NMC","LCT70H50NMC","-------"))</f>
        <v>-------</v>
      </c>
      <c r="M72" s="11" t="str">
        <f>INDEX(cennik!$C$2:$L$529,MATCH($L72,cennik!$B$2:$B$522,0),MATCH(M$2,cennik!$C$1:$L$1,0))</f>
        <v>-------</v>
      </c>
      <c r="N72" s="11">
        <f>INDEX(cennik!$C$2:$L$529,MATCH($L72,cennik!$B$2:$B$522,0),MATCH(N$2,cennik!$C$1:$L$1,0))</f>
        <v>0</v>
      </c>
      <c r="O72" s="11">
        <f>O71</f>
        <v>0</v>
      </c>
      <c r="P72" s="34">
        <f>INDEX(cennik!$C$2:$L$529,MATCH($L72,cennik!$B$2:$B$522,0),MATCH(P$2,cennik!$C$1:$L$1,0))</f>
        <v>0</v>
      </c>
      <c r="Q72" s="34">
        <f t="shared" si="221"/>
        <v>0</v>
      </c>
      <c r="R72" s="35">
        <f t="shared" si="204"/>
        <v>0</v>
      </c>
      <c r="S72" s="34">
        <f t="shared" si="205"/>
        <v>0</v>
      </c>
      <c r="T72" s="34">
        <f t="shared" si="222"/>
        <v>0</v>
      </c>
      <c r="U72" s="34">
        <f>INDEX(cennik!$C$2:$L$529,MATCH($L72,cennik!$B$2:$B$522,0),MATCH(U$2,cennik!$C$1:$L$1,0))*O72</f>
        <v>0</v>
      </c>
      <c r="V72" s="62"/>
      <c r="W72" s="150">
        <f>INDEX(($EL$58:$EX$61,$EL$64:$EX$67,$EL$70:$EX$73,$FA$58:$FM$61,$FA$64:$FM$67,$FA$70:$FM$73,$FP$58:$GB$61,$FP$64:$GB$67,$FP$70:$GB$73,$GE$58:$GQ$61,$GE$64:$GQ$67,$GE$70:$GQ$73,$GT$58:$HF$61,$GT$64:$HF$67),MATCH($L$81,$EK$58:$EK$61,0),MATCH($A73,$EL$57:$EX$57,0),MATCH($E$35,$AE$33:$AE$48,0))*$C73</f>
        <v>0</v>
      </c>
      <c r="X72" s="150">
        <f>INDEX(($EL$58:$EX$61,$EL$64:$EX$67,$EL$70:$EX$73,$FA$58:$FM$61,$FA$64:$FM$67,$FA$70:$FM$73,$FP$58:$GB$61,$FP$64:$GB$67,$FP$70:$GB$73,$GE$58:$GQ$61,$GE$64:$GQ$67,$GE$70:$GQ$73,$GT$58:$HF$61,$GT$64:$HF$67),MATCH($L$78,$EK$58:$EK$61,0),MATCH($A73,$EL$57:$EX$57,0),MATCH($E$35,$AE$33:$AE$48,0))*$C73</f>
        <v>0</v>
      </c>
      <c r="Y72" s="150">
        <f>INDEX(($EL$58:$EX$61,$EL$64:$EX$67,$EL$70:$EX$73,$FA$58:$FM$61,$FA$64:$FM$67,$FA$70:$FM$73,$FP$58:$GB$61,$FP$64:$GB$67,$FP$70:$GB$73,$GE$58:$GQ$61,$GE$64:$GQ$67,$GE$70:$GQ$73,$GT$58:$HF$61,$GT$64:$HF$67),MATCH($L$79,$EK$58:$EK$61,0),MATCH($A73,$EL$57:$EX$57,0),MATCH($E$35,$AE$33:$AE$48,0))*$C73</f>
        <v>0</v>
      </c>
      <c r="Z72" s="150">
        <f>INDEX(($EL$58:$EX$61,$EL$64:$EX$67,$EL$70:$EX$73,$FA$58:$FM$61,$FA$64:$FM$67,$FA$70:$FM$73,$FP$58:$GB$61,$FP$64:$GB$67,$FP$70:$GB$73,$GE$58:$GQ$61,$GE$64:$GQ$67,$GE$70:$GQ$73,$GT$58:$HF$61,$GT$64:$HF$67),MATCH($L$80,$EK$58:$EK$61,0),MATCH($A73,$EL$57:$EX$57,0),MATCH($E$35,$AE$33:$AE$48,0))*$C73</f>
        <v>0</v>
      </c>
      <c r="AA72" s="150">
        <f t="shared" si="178"/>
        <v>0</v>
      </c>
      <c r="AB72" s="150">
        <f t="shared" si="179"/>
        <v>0</v>
      </c>
      <c r="AC72" s="150"/>
      <c r="AD72" s="150"/>
      <c r="AE72" s="150"/>
      <c r="AF72" s="150"/>
      <c r="AG72" s="150"/>
      <c r="AH72" s="150"/>
      <c r="AI72" s="150"/>
      <c r="AJ72" s="150"/>
      <c r="AK72" s="150"/>
      <c r="AL72" s="150"/>
      <c r="AM72" s="150"/>
      <c r="AN72" s="150"/>
      <c r="AO72" s="150"/>
      <c r="AP72" s="150"/>
      <c r="AQ72" s="150"/>
      <c r="AR72" s="174" t="s">
        <v>435</v>
      </c>
      <c r="AW72" s="150"/>
      <c r="AX72" s="150"/>
      <c r="AY72" s="150"/>
      <c r="AZ72" s="150"/>
      <c r="BA72" s="150"/>
      <c r="BB72" s="150"/>
      <c r="BC72" s="150"/>
      <c r="BD72" s="150"/>
      <c r="BE72" s="150"/>
      <c r="BF72" s="150"/>
      <c r="BG72" s="150">
        <f t="shared" si="180"/>
        <v>1</v>
      </c>
      <c r="BH72" s="150" t="s">
        <v>17</v>
      </c>
      <c r="BI72" s="150">
        <v>0</v>
      </c>
      <c r="BJ72" s="150">
        <f t="shared" si="223"/>
        <v>7</v>
      </c>
      <c r="BK72" s="150">
        <f t="shared" si="223"/>
        <v>0</v>
      </c>
      <c r="BL72" s="150">
        <f t="shared" si="223"/>
        <v>0</v>
      </c>
      <c r="BM72" s="150">
        <f t="shared" si="223"/>
        <v>0</v>
      </c>
      <c r="BN72" s="150">
        <f t="shared" si="223"/>
        <v>7</v>
      </c>
      <c r="BO72" s="150">
        <f t="shared" si="223"/>
        <v>7</v>
      </c>
      <c r="BP72" s="150">
        <f t="shared" si="223"/>
        <v>0</v>
      </c>
      <c r="BQ72" s="150">
        <f t="shared" si="223"/>
        <v>0</v>
      </c>
      <c r="BR72" s="150">
        <f t="shared" si="223"/>
        <v>0</v>
      </c>
      <c r="BS72" s="150">
        <f t="shared" si="223"/>
        <v>0</v>
      </c>
      <c r="BT72" s="150">
        <f t="shared" si="223"/>
        <v>7</v>
      </c>
      <c r="BU72" s="150">
        <f t="shared" si="223"/>
        <v>0</v>
      </c>
      <c r="BV72" s="150"/>
      <c r="BW72" s="150" t="s">
        <v>17</v>
      </c>
      <c r="BX72" s="150">
        <v>0</v>
      </c>
      <c r="BY72" s="150">
        <f t="shared" si="214"/>
        <v>7</v>
      </c>
      <c r="BZ72" s="150">
        <f t="shared" si="214"/>
        <v>0</v>
      </c>
      <c r="CA72" s="150">
        <f t="shared" si="214"/>
        <v>7</v>
      </c>
      <c r="CB72" s="150">
        <f t="shared" si="214"/>
        <v>7</v>
      </c>
      <c r="CC72" s="150">
        <f t="shared" si="214"/>
        <v>7</v>
      </c>
      <c r="CD72" s="150">
        <f t="shared" si="214"/>
        <v>0</v>
      </c>
      <c r="CE72" s="150">
        <f t="shared" si="214"/>
        <v>0</v>
      </c>
      <c r="CF72" s="150">
        <f t="shared" si="214"/>
        <v>0</v>
      </c>
      <c r="CG72" s="150">
        <f t="shared" si="214"/>
        <v>7</v>
      </c>
      <c r="CH72" s="150">
        <f t="shared" si="214"/>
        <v>7</v>
      </c>
      <c r="CI72" s="150">
        <f t="shared" si="214"/>
        <v>0</v>
      </c>
      <c r="CJ72" s="150">
        <f t="shared" si="214"/>
        <v>7</v>
      </c>
      <c r="CK72" s="150"/>
      <c r="CL72" s="150"/>
      <c r="CM72" s="150"/>
      <c r="CN72" s="150" t="s">
        <v>17</v>
      </c>
      <c r="CO72" s="150">
        <v>0</v>
      </c>
      <c r="CP72" s="150">
        <f t="shared" si="215"/>
        <v>0</v>
      </c>
      <c r="CQ72" s="150">
        <f t="shared" si="215"/>
        <v>0</v>
      </c>
      <c r="CR72" s="150">
        <f t="shared" si="215"/>
        <v>0</v>
      </c>
      <c r="CS72" s="150">
        <f t="shared" si="215"/>
        <v>7</v>
      </c>
      <c r="CT72" s="150">
        <f t="shared" si="215"/>
        <v>7</v>
      </c>
      <c r="CU72" s="150">
        <f t="shared" si="215"/>
        <v>0</v>
      </c>
      <c r="CV72" s="150">
        <f t="shared" si="215"/>
        <v>7</v>
      </c>
      <c r="CW72" s="150">
        <f t="shared" si="215"/>
        <v>7</v>
      </c>
      <c r="CX72" s="150">
        <f t="shared" si="215"/>
        <v>7</v>
      </c>
      <c r="CY72" s="150">
        <f t="shared" si="215"/>
        <v>7</v>
      </c>
      <c r="CZ72" s="150">
        <f t="shared" si="215"/>
        <v>0</v>
      </c>
      <c r="DA72" s="150">
        <f t="shared" si="215"/>
        <v>0</v>
      </c>
      <c r="DB72" s="150"/>
      <c r="DC72" s="150" t="s">
        <v>17</v>
      </c>
      <c r="DD72" s="150">
        <v>0</v>
      </c>
      <c r="DE72" s="150">
        <f t="shared" si="224"/>
        <v>0</v>
      </c>
      <c r="DF72" s="150">
        <f t="shared" si="224"/>
        <v>0</v>
      </c>
      <c r="DG72" s="150">
        <f t="shared" si="224"/>
        <v>0</v>
      </c>
      <c r="DH72" s="150">
        <f t="shared" si="224"/>
        <v>7</v>
      </c>
      <c r="DI72" s="150">
        <f t="shared" si="224"/>
        <v>0</v>
      </c>
      <c r="DJ72" s="150">
        <f t="shared" si="224"/>
        <v>0</v>
      </c>
      <c r="DK72" s="150">
        <f t="shared" si="224"/>
        <v>0</v>
      </c>
      <c r="DL72" s="150">
        <f t="shared" si="224"/>
        <v>7</v>
      </c>
      <c r="DM72" s="150">
        <f t="shared" si="224"/>
        <v>0</v>
      </c>
      <c r="DN72" s="150">
        <f t="shared" si="224"/>
        <v>0</v>
      </c>
      <c r="DO72" s="150">
        <f t="shared" si="224"/>
        <v>0</v>
      </c>
      <c r="DP72" s="150">
        <f t="shared" si="224"/>
        <v>7</v>
      </c>
      <c r="DQ72" s="181"/>
      <c r="DR72" s="181"/>
      <c r="DS72" s="181"/>
      <c r="DT72" s="150"/>
      <c r="DU72" s="150"/>
      <c r="DV72" s="150"/>
      <c r="DW72" s="150"/>
      <c r="DX72" s="150"/>
      <c r="DY72" s="150"/>
      <c r="DZ72" s="150"/>
      <c r="EA72" s="150"/>
      <c r="EB72" s="150"/>
      <c r="EC72" s="150"/>
      <c r="ED72" s="150"/>
      <c r="EE72" s="150"/>
      <c r="EF72" s="150"/>
      <c r="EG72" s="150"/>
      <c r="EH72" s="150"/>
      <c r="EI72" s="150"/>
      <c r="EJ72" s="155"/>
      <c r="EK72" s="150" t="s">
        <v>523</v>
      </c>
      <c r="EL72" s="150">
        <v>0</v>
      </c>
      <c r="EM72" s="150">
        <f t="shared" ref="EM72:EX72" si="229">EM17/5*7</f>
        <v>7</v>
      </c>
      <c r="EN72" s="150">
        <f t="shared" si="229"/>
        <v>0</v>
      </c>
      <c r="EO72" s="150">
        <f t="shared" si="229"/>
        <v>0</v>
      </c>
      <c r="EP72" s="150">
        <f t="shared" si="229"/>
        <v>0</v>
      </c>
      <c r="EQ72" s="150">
        <f t="shared" si="229"/>
        <v>21</v>
      </c>
      <c r="ER72" s="150">
        <f t="shared" si="229"/>
        <v>7</v>
      </c>
      <c r="ES72" s="150">
        <f t="shared" si="229"/>
        <v>14</v>
      </c>
      <c r="ET72" s="150">
        <f t="shared" si="229"/>
        <v>14</v>
      </c>
      <c r="EU72" s="150">
        <f t="shared" si="229"/>
        <v>28</v>
      </c>
      <c r="EV72" s="150">
        <f t="shared" si="229"/>
        <v>42</v>
      </c>
      <c r="EW72" s="150">
        <f t="shared" si="229"/>
        <v>35</v>
      </c>
      <c r="EX72" s="150">
        <f t="shared" si="229"/>
        <v>42</v>
      </c>
      <c r="EY72" s="150"/>
      <c r="EZ72" s="150" t="s">
        <v>523</v>
      </c>
      <c r="FA72" s="150">
        <v>0</v>
      </c>
      <c r="FB72" s="150">
        <f t="shared" ref="FB72:FM72" si="230">FB17/5*7</f>
        <v>7</v>
      </c>
      <c r="FC72" s="150">
        <f t="shared" si="230"/>
        <v>0</v>
      </c>
      <c r="FD72" s="150">
        <f t="shared" si="230"/>
        <v>7</v>
      </c>
      <c r="FE72" s="150">
        <f t="shared" si="230"/>
        <v>21</v>
      </c>
      <c r="FF72" s="150">
        <f t="shared" si="230"/>
        <v>7</v>
      </c>
      <c r="FG72" s="150">
        <f t="shared" si="230"/>
        <v>28</v>
      </c>
      <c r="FH72" s="150">
        <f t="shared" si="230"/>
        <v>14</v>
      </c>
      <c r="FI72" s="150">
        <f t="shared" si="230"/>
        <v>28</v>
      </c>
      <c r="FJ72" s="150">
        <f t="shared" si="230"/>
        <v>21</v>
      </c>
      <c r="FK72" s="150">
        <f t="shared" si="230"/>
        <v>35</v>
      </c>
      <c r="FL72" s="150">
        <f t="shared" si="230"/>
        <v>42</v>
      </c>
      <c r="FM72" s="150">
        <f t="shared" si="230"/>
        <v>35</v>
      </c>
      <c r="FN72" s="150"/>
      <c r="FO72" s="150" t="s">
        <v>523</v>
      </c>
      <c r="FP72" s="150">
        <v>0</v>
      </c>
      <c r="FQ72" s="150">
        <f t="shared" ref="FQ72:GB72" si="231">FQ17/5*7</f>
        <v>0</v>
      </c>
      <c r="FR72" s="150">
        <f t="shared" si="231"/>
        <v>0</v>
      </c>
      <c r="FS72" s="150">
        <f t="shared" si="231"/>
        <v>0</v>
      </c>
      <c r="FT72" s="150">
        <f t="shared" si="231"/>
        <v>21</v>
      </c>
      <c r="FU72" s="150">
        <f t="shared" si="231"/>
        <v>7</v>
      </c>
      <c r="FV72" s="150">
        <f t="shared" si="231"/>
        <v>14</v>
      </c>
      <c r="FW72" s="150">
        <f t="shared" si="231"/>
        <v>35</v>
      </c>
      <c r="FX72" s="150">
        <f t="shared" si="231"/>
        <v>21</v>
      </c>
      <c r="FY72" s="150">
        <f t="shared" si="231"/>
        <v>35</v>
      </c>
      <c r="FZ72" s="150">
        <f t="shared" si="231"/>
        <v>49</v>
      </c>
      <c r="GA72" s="150">
        <f t="shared" si="231"/>
        <v>42</v>
      </c>
      <c r="GB72" s="150">
        <f t="shared" si="231"/>
        <v>56</v>
      </c>
      <c r="GC72" s="150"/>
      <c r="GD72" s="150" t="s">
        <v>523</v>
      </c>
      <c r="GE72" s="150">
        <v>0</v>
      </c>
      <c r="GF72" s="150">
        <f t="shared" ref="GF72:GQ72" si="232">GF17/5*7</f>
        <v>0</v>
      </c>
      <c r="GG72" s="150">
        <f t="shared" si="232"/>
        <v>0</v>
      </c>
      <c r="GH72" s="150">
        <f t="shared" si="232"/>
        <v>0</v>
      </c>
      <c r="GI72" s="150">
        <f t="shared" si="232"/>
        <v>7</v>
      </c>
      <c r="GJ72" s="150">
        <f t="shared" si="232"/>
        <v>28</v>
      </c>
      <c r="GK72" s="150">
        <f t="shared" si="232"/>
        <v>14</v>
      </c>
      <c r="GL72" s="150">
        <f t="shared" si="232"/>
        <v>28</v>
      </c>
      <c r="GM72" s="150">
        <f t="shared" si="232"/>
        <v>35</v>
      </c>
      <c r="GN72" s="150">
        <f t="shared" si="232"/>
        <v>28</v>
      </c>
      <c r="GO72" s="150">
        <f t="shared" si="232"/>
        <v>42</v>
      </c>
      <c r="GP72" s="150">
        <f t="shared" si="232"/>
        <v>56</v>
      </c>
      <c r="GQ72" s="150">
        <f t="shared" si="232"/>
        <v>63</v>
      </c>
      <c r="GR72" s="150"/>
      <c r="GS72" s="150"/>
      <c r="GT72" s="150"/>
      <c r="GU72" s="150"/>
      <c r="GV72" s="150"/>
      <c r="GW72" s="150"/>
      <c r="GX72" s="150"/>
      <c r="GY72" s="150"/>
      <c r="GZ72" s="150"/>
      <c r="HA72" s="150"/>
      <c r="HB72" s="150"/>
      <c r="HC72" s="150"/>
      <c r="HD72" s="150"/>
      <c r="HE72" s="150"/>
      <c r="HF72" s="150"/>
      <c r="HG72" s="156"/>
      <c r="HH72" s="150"/>
    </row>
    <row r="73" spans="1:254" x14ac:dyDescent="0.25">
      <c r="A73" s="8"/>
      <c r="B73" s="5" t="s">
        <v>116</v>
      </c>
      <c r="C73" s="8"/>
      <c r="D73" s="6" t="s">
        <v>511</v>
      </c>
      <c r="E73" s="4"/>
      <c r="F73" s="6"/>
      <c r="G73" s="6"/>
      <c r="H73" s="6"/>
      <c r="I73" s="6"/>
      <c r="J73" s="1"/>
      <c r="K73" s="9"/>
      <c r="L73" s="6" t="str">
        <f>IF(G67=AE24,"BDFTH120/6,4NMC",IF(G67=AE25,"BDFTH120/6,8NMC",IF(G67=AE26,"BDFTH120/6,8NMC",IF(G67=AE27,"BDFTH120/7,4NMC",0))))</f>
        <v>BDFTH120/6,8NMC</v>
      </c>
      <c r="M73" s="11">
        <f>INDEX(cennik!$C$2:$L$529,MATCH($L73,cennik!$B$2:$B$522,0),MATCH(M$2,cennik!$C$1:$L$1,0))</f>
        <v>863468</v>
      </c>
      <c r="N73" s="11" t="str">
        <f>INDEX(cennik!$C$2:$L$529,MATCH($L73,cennik!$B$2:$B$522,0),MATCH(N$2,cennik!$C$1:$L$1,0))</f>
        <v>szt.</v>
      </c>
      <c r="O73" s="11">
        <f>O69</f>
        <v>0</v>
      </c>
      <c r="P73" s="34">
        <f>INDEX(cennik!$C$2:$L$529,MATCH($L73,cennik!$B$2:$B$522,0),MATCH(P$2,cennik!$C$1:$L$1,0))</f>
        <v>424.51</v>
      </c>
      <c r="Q73" s="34">
        <f t="shared" ref="Q73:Q77" si="233">O73*P73</f>
        <v>0</v>
      </c>
      <c r="R73" s="35">
        <f t="shared" si="204"/>
        <v>0</v>
      </c>
      <c r="S73" s="34">
        <f t="shared" si="205"/>
        <v>424.51</v>
      </c>
      <c r="T73" s="34">
        <f t="shared" ref="T73:T77" si="234">O73*S73</f>
        <v>0</v>
      </c>
      <c r="U73" s="34">
        <f>INDEX(cennik!$C$2:$L$529,MATCH($L73,cennik!$B$2:$B$522,0),MATCH(U$2,cennik!$C$1:$L$1,0))*O73</f>
        <v>0</v>
      </c>
      <c r="V73" s="62"/>
      <c r="W73" s="150">
        <f>INDEX(($EL$58:$EX$61,$EL$64:$EX$67,$EL$70:$EX$73,$FA$58:$FM$61,$FA$64:$FM$67,$FA$70:$FM$73,$FP$58:$GB$61,$FP$64:$GB$67,$FP$70:$GB$73,$GE$58:$GQ$61,$GE$64:$GQ$67,$GE$70:$GQ$73,$GT$58:$HF$61,$GT$64:$HF$67),MATCH($L$81,$EK$58:$EK$61,0),MATCH($A74,$EL$57:$EX$57,0),MATCH($E$35,$AE$33:$AE$48,0))*$C74</f>
        <v>0</v>
      </c>
      <c r="X73" s="150">
        <f>INDEX(($EL$58:$EX$61,$EL$64:$EX$67,$EL$70:$EX$73,$FA$58:$FM$61,$FA$64:$FM$67,$FA$70:$FM$73,$FP$58:$GB$61,$FP$64:$GB$67,$FP$70:$GB$73,$GE$58:$GQ$61,$GE$64:$GQ$67,$GE$70:$GQ$73,$GT$58:$HF$61,$GT$64:$HF$67),MATCH($L$78,$EK$58:$EK$61,0),MATCH($A74,$EL$57:$EX$57,0),MATCH($E$35,$AE$33:$AE$48,0))*$C74</f>
        <v>0</v>
      </c>
      <c r="Y73" s="150">
        <f>INDEX(($EL$58:$EX$61,$EL$64:$EX$67,$EL$70:$EX$73,$FA$58:$FM$61,$FA$64:$FM$67,$FA$70:$FM$73,$FP$58:$GB$61,$FP$64:$GB$67,$FP$70:$GB$73,$GE$58:$GQ$61,$GE$64:$GQ$67,$GE$70:$GQ$73,$GT$58:$HF$61,$GT$64:$HF$67),MATCH($L$79,$EK$58:$EK$61,0),MATCH($A74,$EL$57:$EX$57,0),MATCH($E$35,$AE$33:$AE$48,0))*$C74</f>
        <v>0</v>
      </c>
      <c r="Z73" s="150">
        <f>INDEX(($EL$58:$EX$61,$EL$64:$EX$67,$EL$70:$EX$73,$FA$58:$FM$61,$FA$64:$FM$67,$FA$70:$FM$73,$FP$58:$GB$61,$FP$64:$GB$67,$FP$70:$GB$73,$GE$58:$GQ$61,$GE$64:$GQ$67,$GE$70:$GQ$73,$GT$58:$HF$61,$GT$64:$HF$67),MATCH($L$80,$EK$58:$EK$61,0),MATCH($A74,$EL$57:$EX$57,0),MATCH($E$35,$AE$33:$AE$48,0))*$C74</f>
        <v>0</v>
      </c>
      <c r="AA73" s="150">
        <f t="shared" si="178"/>
        <v>0</v>
      </c>
      <c r="AB73" s="150">
        <f t="shared" si="179"/>
        <v>0</v>
      </c>
      <c r="AC73" s="150"/>
      <c r="AD73" s="150"/>
      <c r="AE73" s="150"/>
      <c r="AF73" s="150"/>
      <c r="AG73" s="150"/>
      <c r="AH73" s="150"/>
      <c r="AI73" s="150"/>
      <c r="AJ73" s="150"/>
      <c r="AK73" s="150"/>
      <c r="AL73" s="150"/>
      <c r="AM73" s="150"/>
      <c r="AN73" s="150"/>
      <c r="AO73" s="150"/>
      <c r="AP73" s="150"/>
      <c r="AQ73" s="150"/>
      <c r="AR73" s="154" t="s">
        <v>717</v>
      </c>
      <c r="AS73" s="154" t="s">
        <v>1157</v>
      </c>
      <c r="AT73" s="154">
        <v>2</v>
      </c>
      <c r="AU73" s="154" t="s">
        <v>1022</v>
      </c>
      <c r="AV73" s="154">
        <v>4</v>
      </c>
      <c r="AW73" s="150">
        <v>5</v>
      </c>
      <c r="AX73" s="150"/>
      <c r="AY73" s="150"/>
      <c r="AZ73" s="150"/>
      <c r="BA73" s="150"/>
      <c r="BB73" s="150"/>
      <c r="BC73" s="150"/>
      <c r="BD73" s="150"/>
      <c r="BE73" s="150"/>
      <c r="BF73" s="150"/>
      <c r="BG73" s="150">
        <f t="shared" si="180"/>
        <v>1</v>
      </c>
      <c r="BH73" s="158" t="s">
        <v>18</v>
      </c>
      <c r="BI73" s="158">
        <v>0</v>
      </c>
      <c r="BJ73" s="150">
        <f t="shared" si="223"/>
        <v>0</v>
      </c>
      <c r="BK73" s="150">
        <f t="shared" si="223"/>
        <v>0</v>
      </c>
      <c r="BL73" s="150">
        <f t="shared" si="223"/>
        <v>0</v>
      </c>
      <c r="BM73" s="150">
        <f t="shared" si="223"/>
        <v>7</v>
      </c>
      <c r="BN73" s="150">
        <f t="shared" si="223"/>
        <v>7</v>
      </c>
      <c r="BO73" s="150">
        <f t="shared" si="223"/>
        <v>14</v>
      </c>
      <c r="BP73" s="150">
        <f t="shared" si="223"/>
        <v>14</v>
      </c>
      <c r="BQ73" s="150">
        <f t="shared" si="223"/>
        <v>14</v>
      </c>
      <c r="BR73" s="150">
        <f t="shared" si="223"/>
        <v>14</v>
      </c>
      <c r="BS73" s="150">
        <f t="shared" si="223"/>
        <v>14</v>
      </c>
      <c r="BT73" s="150">
        <f t="shared" si="223"/>
        <v>21</v>
      </c>
      <c r="BU73" s="150">
        <f t="shared" si="223"/>
        <v>21</v>
      </c>
      <c r="BV73" s="150"/>
      <c r="BW73" s="150" t="s">
        <v>18</v>
      </c>
      <c r="BX73" s="150">
        <v>0</v>
      </c>
      <c r="BY73" s="150">
        <f t="shared" si="214"/>
        <v>0</v>
      </c>
      <c r="BZ73" s="150">
        <f t="shared" si="214"/>
        <v>0</v>
      </c>
      <c r="CA73" s="150">
        <f t="shared" si="214"/>
        <v>7</v>
      </c>
      <c r="CB73" s="150">
        <f t="shared" si="214"/>
        <v>7</v>
      </c>
      <c r="CC73" s="150">
        <f t="shared" si="214"/>
        <v>14</v>
      </c>
      <c r="CD73" s="150">
        <f t="shared" si="214"/>
        <v>7</v>
      </c>
      <c r="CE73" s="150">
        <f t="shared" si="214"/>
        <v>14</v>
      </c>
      <c r="CF73" s="150">
        <f t="shared" si="214"/>
        <v>14</v>
      </c>
      <c r="CG73" s="150">
        <f t="shared" si="214"/>
        <v>21</v>
      </c>
      <c r="CH73" s="150">
        <f t="shared" si="214"/>
        <v>21</v>
      </c>
      <c r="CI73" s="150">
        <f t="shared" si="214"/>
        <v>21</v>
      </c>
      <c r="CJ73" s="150">
        <f t="shared" si="214"/>
        <v>28</v>
      </c>
      <c r="CK73" s="150"/>
      <c r="CL73" s="150"/>
      <c r="CM73" s="150"/>
      <c r="CN73" s="158" t="s">
        <v>18</v>
      </c>
      <c r="CO73" s="158">
        <v>0</v>
      </c>
      <c r="CP73" s="150">
        <f t="shared" si="215"/>
        <v>0</v>
      </c>
      <c r="CQ73" s="150">
        <f t="shared" si="215"/>
        <v>0</v>
      </c>
      <c r="CR73" s="150">
        <f t="shared" si="215"/>
        <v>7</v>
      </c>
      <c r="CS73" s="150">
        <f t="shared" si="215"/>
        <v>7</v>
      </c>
      <c r="CT73" s="150">
        <f t="shared" si="215"/>
        <v>14</v>
      </c>
      <c r="CU73" s="150">
        <f t="shared" si="215"/>
        <v>14</v>
      </c>
      <c r="CV73" s="150">
        <f t="shared" si="215"/>
        <v>14</v>
      </c>
      <c r="CW73" s="150">
        <f t="shared" si="215"/>
        <v>21</v>
      </c>
      <c r="CX73" s="150">
        <f t="shared" si="215"/>
        <v>21</v>
      </c>
      <c r="CY73" s="150">
        <f t="shared" si="215"/>
        <v>21</v>
      </c>
      <c r="CZ73" s="150">
        <f t="shared" si="215"/>
        <v>21</v>
      </c>
      <c r="DA73" s="150">
        <f t="shared" si="215"/>
        <v>21</v>
      </c>
      <c r="DB73" s="150"/>
      <c r="DC73" s="150" t="s">
        <v>18</v>
      </c>
      <c r="DD73" s="150">
        <v>0</v>
      </c>
      <c r="DE73" s="150">
        <f t="shared" si="224"/>
        <v>0</v>
      </c>
      <c r="DF73" s="150">
        <f t="shared" si="224"/>
        <v>0</v>
      </c>
      <c r="DG73" s="150">
        <f t="shared" si="224"/>
        <v>7</v>
      </c>
      <c r="DH73" s="150">
        <f t="shared" si="224"/>
        <v>14</v>
      </c>
      <c r="DI73" s="150">
        <f t="shared" si="224"/>
        <v>7</v>
      </c>
      <c r="DJ73" s="150">
        <f t="shared" si="224"/>
        <v>14</v>
      </c>
      <c r="DK73" s="150">
        <f t="shared" si="224"/>
        <v>14</v>
      </c>
      <c r="DL73" s="150">
        <f t="shared" si="224"/>
        <v>21</v>
      </c>
      <c r="DM73" s="150">
        <f t="shared" si="224"/>
        <v>21</v>
      </c>
      <c r="DN73" s="150">
        <f t="shared" si="224"/>
        <v>21</v>
      </c>
      <c r="DO73" s="150">
        <f t="shared" si="224"/>
        <v>21</v>
      </c>
      <c r="DP73" s="150">
        <f t="shared" si="224"/>
        <v>28</v>
      </c>
      <c r="DQ73" s="181"/>
      <c r="DR73" s="181"/>
      <c r="DS73" s="181"/>
      <c r="DT73" s="150"/>
      <c r="DU73" s="150"/>
      <c r="DV73" s="150"/>
      <c r="DW73" s="150"/>
      <c r="DX73" s="150"/>
      <c r="DY73" s="150"/>
      <c r="DZ73" s="150"/>
      <c r="EA73" s="150"/>
      <c r="EB73" s="150"/>
      <c r="EC73" s="150"/>
      <c r="ED73" s="150"/>
      <c r="EE73" s="150"/>
      <c r="EF73" s="150"/>
      <c r="EG73" s="150"/>
      <c r="EH73" s="150"/>
      <c r="EI73" s="150"/>
      <c r="EJ73" s="155"/>
      <c r="EK73" s="158" t="s">
        <v>779</v>
      </c>
      <c r="EL73" s="150">
        <v>0</v>
      </c>
      <c r="EM73" s="150">
        <f t="shared" ref="EM73:EX73" si="235">EM18/5*7</f>
        <v>0</v>
      </c>
      <c r="EN73" s="150">
        <f t="shared" si="235"/>
        <v>0</v>
      </c>
      <c r="EO73" s="150">
        <f t="shared" si="235"/>
        <v>0</v>
      </c>
      <c r="EP73" s="150">
        <f t="shared" si="235"/>
        <v>7</v>
      </c>
      <c r="EQ73" s="150">
        <f t="shared" si="235"/>
        <v>14</v>
      </c>
      <c r="ER73" s="150">
        <f t="shared" si="235"/>
        <v>14</v>
      </c>
      <c r="ES73" s="150">
        <f t="shared" si="235"/>
        <v>21</v>
      </c>
      <c r="ET73" s="150">
        <f t="shared" si="235"/>
        <v>21</v>
      </c>
      <c r="EU73" s="150">
        <f t="shared" si="235"/>
        <v>28</v>
      </c>
      <c r="EV73" s="150">
        <f t="shared" si="235"/>
        <v>35</v>
      </c>
      <c r="EW73" s="150">
        <f t="shared" si="235"/>
        <v>35</v>
      </c>
      <c r="EX73" s="150">
        <f t="shared" si="235"/>
        <v>42</v>
      </c>
      <c r="EY73" s="150"/>
      <c r="EZ73" s="158" t="s">
        <v>779</v>
      </c>
      <c r="FA73" s="150">
        <v>0</v>
      </c>
      <c r="FB73" s="150">
        <f t="shared" ref="FB73:FM73" si="236">FB18/5*7</f>
        <v>0</v>
      </c>
      <c r="FC73" s="150">
        <f t="shared" si="236"/>
        <v>0</v>
      </c>
      <c r="FD73" s="150">
        <f t="shared" si="236"/>
        <v>7</v>
      </c>
      <c r="FE73" s="150">
        <f t="shared" si="236"/>
        <v>14</v>
      </c>
      <c r="FF73" s="150">
        <f t="shared" si="236"/>
        <v>14</v>
      </c>
      <c r="FG73" s="150">
        <f t="shared" si="236"/>
        <v>21</v>
      </c>
      <c r="FH73" s="150">
        <f t="shared" si="236"/>
        <v>21</v>
      </c>
      <c r="FI73" s="150">
        <f t="shared" si="236"/>
        <v>28</v>
      </c>
      <c r="FJ73" s="150">
        <f t="shared" si="236"/>
        <v>28</v>
      </c>
      <c r="FK73" s="150">
        <f t="shared" si="236"/>
        <v>35</v>
      </c>
      <c r="FL73" s="150">
        <f t="shared" si="236"/>
        <v>42</v>
      </c>
      <c r="FM73" s="150">
        <f t="shared" si="236"/>
        <v>42</v>
      </c>
      <c r="FN73" s="150"/>
      <c r="FO73" s="158" t="s">
        <v>779</v>
      </c>
      <c r="FP73" s="150">
        <v>0</v>
      </c>
      <c r="FQ73" s="150">
        <f t="shared" ref="FQ73:GB73" si="237">FQ18/5*7</f>
        <v>0</v>
      </c>
      <c r="FR73" s="150">
        <f t="shared" si="237"/>
        <v>0</v>
      </c>
      <c r="FS73" s="150">
        <f t="shared" si="237"/>
        <v>7</v>
      </c>
      <c r="FT73" s="150">
        <f t="shared" si="237"/>
        <v>14</v>
      </c>
      <c r="FU73" s="150">
        <f t="shared" si="237"/>
        <v>14</v>
      </c>
      <c r="FV73" s="150">
        <f t="shared" si="237"/>
        <v>21</v>
      </c>
      <c r="FW73" s="150">
        <f t="shared" si="237"/>
        <v>28</v>
      </c>
      <c r="FX73" s="150">
        <f t="shared" si="237"/>
        <v>28</v>
      </c>
      <c r="FY73" s="150">
        <f t="shared" si="237"/>
        <v>35</v>
      </c>
      <c r="FZ73" s="150">
        <f t="shared" si="237"/>
        <v>42</v>
      </c>
      <c r="GA73" s="150">
        <f t="shared" si="237"/>
        <v>42</v>
      </c>
      <c r="GB73" s="150">
        <f t="shared" si="237"/>
        <v>49</v>
      </c>
      <c r="GC73" s="150"/>
      <c r="GD73" s="158" t="s">
        <v>779</v>
      </c>
      <c r="GE73" s="150">
        <v>0</v>
      </c>
      <c r="GF73" s="150">
        <f t="shared" ref="GF73:GQ73" si="238">GF18/5*7</f>
        <v>0</v>
      </c>
      <c r="GG73" s="150">
        <f t="shared" si="238"/>
        <v>0</v>
      </c>
      <c r="GH73" s="150">
        <f t="shared" si="238"/>
        <v>7</v>
      </c>
      <c r="GI73" s="150">
        <f t="shared" si="238"/>
        <v>14</v>
      </c>
      <c r="GJ73" s="150">
        <f t="shared" si="238"/>
        <v>21</v>
      </c>
      <c r="GK73" s="150">
        <f t="shared" si="238"/>
        <v>21</v>
      </c>
      <c r="GL73" s="150">
        <f t="shared" si="238"/>
        <v>28</v>
      </c>
      <c r="GM73" s="150">
        <f t="shared" si="238"/>
        <v>35</v>
      </c>
      <c r="GN73" s="150">
        <f t="shared" si="238"/>
        <v>35</v>
      </c>
      <c r="GO73" s="150">
        <f t="shared" si="238"/>
        <v>42</v>
      </c>
      <c r="GP73" s="150">
        <f t="shared" si="238"/>
        <v>49</v>
      </c>
      <c r="GQ73" s="150">
        <f t="shared" si="238"/>
        <v>56</v>
      </c>
      <c r="GR73" s="150"/>
      <c r="GS73" s="150"/>
      <c r="GT73" s="150"/>
      <c r="GU73" s="150"/>
      <c r="GV73" s="150"/>
      <c r="GW73" s="150"/>
      <c r="GX73" s="150"/>
      <c r="GY73" s="150"/>
      <c r="GZ73" s="150"/>
      <c r="HA73" s="150"/>
      <c r="HB73" s="150"/>
      <c r="HC73" s="150"/>
      <c r="HD73" s="150"/>
      <c r="HE73" s="150"/>
      <c r="HF73" s="150"/>
      <c r="HG73" s="156"/>
      <c r="HH73" s="150"/>
    </row>
    <row r="74" spans="1:254" ht="15.75" thickBot="1" x14ac:dyDescent="0.3">
      <c r="A74" s="8"/>
      <c r="B74" s="5" t="s">
        <v>116</v>
      </c>
      <c r="C74" s="8"/>
      <c r="D74" s="6" t="s">
        <v>787</v>
      </c>
      <c r="E74" s="8">
        <v>1</v>
      </c>
      <c r="F74" s="39" t="s">
        <v>789</v>
      </c>
      <c r="G74" s="9"/>
      <c r="H74" s="9"/>
      <c r="I74" s="9"/>
      <c r="J74" s="9"/>
      <c r="K74" s="9"/>
      <c r="L74" s="6" t="s">
        <v>293</v>
      </c>
      <c r="M74" s="11">
        <f>INDEX(cennik!$C$2:$L$529,MATCH($L74,cennik!$B$2:$B$522,0),MATCH(M$2,cennik!$C$1:$L$1,0))</f>
        <v>851122</v>
      </c>
      <c r="N74" s="11" t="str">
        <f>INDEX(cennik!$C$2:$L$529,MATCH($L74,cennik!$B$2:$B$522,0),MATCH(N$2,cennik!$C$1:$L$1,0))</f>
        <v>szt.</v>
      </c>
      <c r="O74" s="11">
        <f>O69</f>
        <v>0</v>
      </c>
      <c r="P74" s="34">
        <f>INDEX(cennik!$C$2:$L$529,MATCH($L74,cennik!$B$2:$B$522,0),MATCH(P$2,cennik!$C$1:$L$1,0))</f>
        <v>46.2</v>
      </c>
      <c r="Q74" s="34">
        <f t="shared" si="233"/>
        <v>0</v>
      </c>
      <c r="R74" s="35">
        <f t="shared" si="204"/>
        <v>0</v>
      </c>
      <c r="S74" s="34">
        <f t="shared" si="205"/>
        <v>46.2</v>
      </c>
      <c r="T74" s="34">
        <f t="shared" si="234"/>
        <v>0</v>
      </c>
      <c r="U74" s="34">
        <f>INDEX(cennik!$C$2:$L$529,MATCH($L74,cennik!$B$2:$B$522,0),MATCH(U$2,cennik!$C$1:$L$1,0))*O74</f>
        <v>0</v>
      </c>
      <c r="V74" s="62"/>
      <c r="W74" s="150">
        <f>INDEX(($EL$58:$EX$61,$EL$64:$EX$67,$EL$70:$EX$73,$FA$58:$FM$61,$FA$64:$FM$67,$FA$70:$FM$73,$FP$58:$GB$61,$FP$64:$GB$67,$FP$70:$GB$73,$GE$58:$GQ$61,$GE$64:$GQ$67,$GE$70:$GQ$73,$GT$58:$HF$61,$GT$64:$HF$67),MATCH($L$81,$EK$58:$EK$61,0),MATCH($A75,$EL$57:$EX$57,0),MATCH($E$35,$AE$33:$AE$48,0))*$C75</f>
        <v>0</v>
      </c>
      <c r="X74" s="150">
        <f>INDEX(($EL$58:$EX$61,$EL$64:$EX$67,$EL$70:$EX$73,$FA$58:$FM$61,$FA$64:$FM$67,$FA$70:$FM$73,$FP$58:$GB$61,$FP$64:$GB$67,$FP$70:$GB$73,$GE$58:$GQ$61,$GE$64:$GQ$67,$GE$70:$GQ$73,$GT$58:$HF$61,$GT$64:$HF$67),MATCH($L$78,$EK$58:$EK$61,0),MATCH($A75,$EL$57:$EX$57,0),MATCH($E$35,$AE$33:$AE$48,0))*$C75</f>
        <v>0</v>
      </c>
      <c r="Y74" s="150">
        <f>INDEX(($EL$58:$EX$61,$EL$64:$EX$67,$EL$70:$EX$73,$FA$58:$FM$61,$FA$64:$FM$67,$FA$70:$FM$73,$FP$58:$GB$61,$FP$64:$GB$67,$FP$70:$GB$73,$GE$58:$GQ$61,$GE$64:$GQ$67,$GE$70:$GQ$73,$GT$58:$HF$61,$GT$64:$HF$67),MATCH($L$79,$EK$58:$EK$61,0),MATCH($A75,$EL$57:$EX$57,0),MATCH($E$35,$AE$33:$AE$48,0))*$C75</f>
        <v>0</v>
      </c>
      <c r="Z74" s="150">
        <f>INDEX(($EL$58:$EX$61,$EL$64:$EX$67,$EL$70:$EX$73,$FA$58:$FM$61,$FA$64:$FM$67,$FA$70:$FM$73,$FP$58:$GB$61,$FP$64:$GB$67,$FP$70:$GB$73,$GE$58:$GQ$61,$GE$64:$GQ$67,$GE$70:$GQ$73,$GT$58:$HF$61,$GT$64:$HF$67),MATCH($L$80,$EK$58:$EK$61,0),MATCH($A75,$EL$57:$EX$57,0),MATCH($E$35,$AE$33:$AE$48,0))*$C75</f>
        <v>0</v>
      </c>
      <c r="AA74" s="150">
        <f t="shared" si="178"/>
        <v>0</v>
      </c>
      <c r="AB74" s="150">
        <f t="shared" si="179"/>
        <v>0</v>
      </c>
      <c r="AC74" s="150"/>
      <c r="AD74" s="150"/>
      <c r="AE74" s="150"/>
      <c r="AF74" s="150"/>
      <c r="AG74" s="150"/>
      <c r="AH74" s="150"/>
      <c r="AI74" s="150"/>
      <c r="AJ74" s="150"/>
      <c r="AK74" s="150"/>
      <c r="AL74" s="150"/>
      <c r="AM74" s="150"/>
      <c r="AN74" s="150"/>
      <c r="AO74" s="150"/>
      <c r="AP74" s="150"/>
      <c r="AQ74" s="150"/>
      <c r="AR74" s="154">
        <v>1</v>
      </c>
      <c r="AS74" s="154">
        <v>2900</v>
      </c>
      <c r="AT74" s="154">
        <v>2900</v>
      </c>
      <c r="AU74" s="154">
        <v>2700</v>
      </c>
      <c r="AV74" s="154">
        <v>2700</v>
      </c>
      <c r="AW74" s="150" t="s">
        <v>719</v>
      </c>
      <c r="AX74" s="150"/>
      <c r="AY74" s="150"/>
      <c r="AZ74" s="150"/>
      <c r="BA74" s="150"/>
      <c r="BB74" s="150"/>
      <c r="BC74" s="150"/>
      <c r="BD74" s="150"/>
      <c r="BE74" s="150"/>
      <c r="BF74" s="150"/>
      <c r="BG74" s="150">
        <f t="shared" si="180"/>
        <v>1</v>
      </c>
      <c r="BH74" s="150"/>
      <c r="BI74" s="150"/>
      <c r="BJ74" s="150"/>
      <c r="BK74" s="150"/>
      <c r="BL74" s="150"/>
      <c r="BM74" s="150"/>
      <c r="BN74" s="150"/>
      <c r="BO74" s="150"/>
      <c r="BP74" s="150"/>
      <c r="BQ74" s="150"/>
      <c r="BR74" s="150"/>
      <c r="BS74" s="150"/>
      <c r="BT74" s="150"/>
      <c r="BU74" s="150"/>
      <c r="BV74" s="150"/>
      <c r="BW74" s="150"/>
      <c r="BX74" s="150"/>
      <c r="BY74" s="150"/>
      <c r="BZ74" s="150"/>
      <c r="CA74" s="150"/>
      <c r="CB74" s="150"/>
      <c r="CC74" s="150"/>
      <c r="CD74" s="150"/>
      <c r="CE74" s="150"/>
      <c r="CF74" s="150"/>
      <c r="CG74" s="150"/>
      <c r="CH74" s="150"/>
      <c r="CI74" s="150"/>
      <c r="CJ74" s="150"/>
      <c r="CK74" s="150"/>
      <c r="CL74" s="150"/>
      <c r="CM74" s="150"/>
      <c r="CN74" s="150"/>
      <c r="CO74" s="150"/>
      <c r="CP74" s="150"/>
      <c r="CQ74" s="150"/>
      <c r="CR74" s="150"/>
      <c r="CS74" s="150"/>
      <c r="CT74" s="150"/>
      <c r="CU74" s="150"/>
      <c r="CV74" s="150"/>
      <c r="CW74" s="150"/>
      <c r="CX74" s="150"/>
      <c r="CY74" s="150"/>
      <c r="CZ74" s="150"/>
      <c r="DA74" s="150"/>
      <c r="DB74" s="150"/>
      <c r="DC74" s="150"/>
      <c r="DD74" s="150"/>
      <c r="DE74" s="150"/>
      <c r="DF74" s="150"/>
      <c r="DG74" s="150"/>
      <c r="DH74" s="150"/>
      <c r="DI74" s="150"/>
      <c r="DJ74" s="150"/>
      <c r="DK74" s="150"/>
      <c r="DL74" s="150"/>
      <c r="DM74" s="150"/>
      <c r="DN74" s="150"/>
      <c r="DO74" s="150"/>
      <c r="DP74" s="150"/>
      <c r="DQ74" s="181"/>
      <c r="DR74" s="181"/>
      <c r="DS74" s="181"/>
      <c r="DT74" s="150"/>
      <c r="DU74" s="150"/>
      <c r="DV74" s="150"/>
      <c r="DW74" s="150"/>
      <c r="DX74" s="150"/>
      <c r="DY74" s="150"/>
      <c r="DZ74" s="150"/>
      <c r="EA74" s="150"/>
      <c r="EB74" s="150"/>
      <c r="EC74" s="150"/>
      <c r="ED74" s="150"/>
      <c r="EE74" s="150"/>
      <c r="EF74" s="150"/>
      <c r="EG74" s="150"/>
      <c r="EH74" s="150"/>
      <c r="EI74" s="150"/>
      <c r="EJ74" s="159"/>
      <c r="EK74" s="160"/>
      <c r="EL74" s="160"/>
      <c r="EM74" s="160"/>
      <c r="EN74" s="160"/>
      <c r="EO74" s="160"/>
      <c r="EP74" s="160"/>
      <c r="EQ74" s="160"/>
      <c r="ER74" s="160"/>
      <c r="ES74" s="160"/>
      <c r="ET74" s="160"/>
      <c r="EU74" s="160"/>
      <c r="EV74" s="160"/>
      <c r="EW74" s="160"/>
      <c r="EX74" s="160"/>
      <c r="EY74" s="160"/>
      <c r="EZ74" s="160"/>
      <c r="FA74" s="160"/>
      <c r="FB74" s="160"/>
      <c r="FC74" s="160"/>
      <c r="FD74" s="160"/>
      <c r="FE74" s="160"/>
      <c r="FF74" s="160"/>
      <c r="FG74" s="160"/>
      <c r="FH74" s="160"/>
      <c r="FI74" s="160"/>
      <c r="FJ74" s="160"/>
      <c r="FK74" s="160"/>
      <c r="FL74" s="160"/>
      <c r="FM74" s="160"/>
      <c r="FN74" s="160"/>
      <c r="FO74" s="160"/>
      <c r="FP74" s="160"/>
      <c r="FQ74" s="160"/>
      <c r="FR74" s="160"/>
      <c r="FS74" s="160"/>
      <c r="FT74" s="160"/>
      <c r="FU74" s="160"/>
      <c r="FV74" s="160"/>
      <c r="FW74" s="160"/>
      <c r="FX74" s="160"/>
      <c r="FY74" s="160"/>
      <c r="FZ74" s="160"/>
      <c r="GA74" s="160"/>
      <c r="GB74" s="160"/>
      <c r="GC74" s="160"/>
      <c r="GD74" s="160"/>
      <c r="GE74" s="160"/>
      <c r="GF74" s="160"/>
      <c r="GG74" s="160"/>
      <c r="GH74" s="160"/>
      <c r="GI74" s="160"/>
      <c r="GJ74" s="160"/>
      <c r="GK74" s="160"/>
      <c r="GL74" s="160"/>
      <c r="GM74" s="160"/>
      <c r="GN74" s="160"/>
      <c r="GO74" s="160"/>
      <c r="GP74" s="160"/>
      <c r="GQ74" s="160"/>
      <c r="GR74" s="160"/>
      <c r="GS74" s="160"/>
      <c r="GT74" s="160"/>
      <c r="GU74" s="160"/>
      <c r="GV74" s="160"/>
      <c r="GW74" s="160"/>
      <c r="GX74" s="160"/>
      <c r="GY74" s="160"/>
      <c r="GZ74" s="160"/>
      <c r="HA74" s="160"/>
      <c r="HB74" s="160"/>
      <c r="HC74" s="160"/>
      <c r="HD74" s="160"/>
      <c r="HE74" s="160"/>
      <c r="HF74" s="160"/>
      <c r="HG74" s="161"/>
      <c r="HH74" s="150"/>
    </row>
    <row r="75" spans="1:254" x14ac:dyDescent="0.25">
      <c r="A75" s="8"/>
      <c r="B75" s="5" t="s">
        <v>116</v>
      </c>
      <c r="C75" s="8"/>
      <c r="D75" s="6" t="s">
        <v>788</v>
      </c>
      <c r="E75" s="8" t="s">
        <v>1157</v>
      </c>
      <c r="F75" s="39" t="s">
        <v>790</v>
      </c>
      <c r="G75" s="9"/>
      <c r="H75" s="9"/>
      <c r="I75" s="9"/>
      <c r="J75" s="9"/>
      <c r="K75" s="9"/>
      <c r="L75" s="6" t="s">
        <v>9</v>
      </c>
      <c r="M75" s="11">
        <f>INDEX(cennik!$C$2:$L$529,MATCH($L75,cennik!$B$2:$B$522,0),MATCH(M$2,cennik!$C$1:$L$1,0))</f>
        <v>856211</v>
      </c>
      <c r="N75" s="11" t="str">
        <f>INDEX(cennik!$C$2:$L$529,MATCH($L75,cennik!$B$2:$B$522,0),MATCH(N$2,cennik!$C$1:$L$1,0))</f>
        <v>szt.</v>
      </c>
      <c r="O75" s="11">
        <f>O69</f>
        <v>0</v>
      </c>
      <c r="P75" s="34">
        <f>INDEX(cennik!$C$2:$L$529,MATCH($L75,cennik!$B$2:$B$522,0),MATCH(P$2,cennik!$C$1:$L$1,0))</f>
        <v>25.2</v>
      </c>
      <c r="Q75" s="34">
        <f t="shared" si="233"/>
        <v>0</v>
      </c>
      <c r="R75" s="35">
        <f t="shared" si="204"/>
        <v>0</v>
      </c>
      <c r="S75" s="34">
        <f t="shared" si="205"/>
        <v>25.2</v>
      </c>
      <c r="T75" s="34">
        <f t="shared" si="234"/>
        <v>0</v>
      </c>
      <c r="U75" s="34">
        <f>INDEX(cennik!$C$2:$L$529,MATCH($L75,cennik!$B$2:$B$522,0),MATCH(U$2,cennik!$C$1:$L$1,0))*O75</f>
        <v>0</v>
      </c>
      <c r="V75" s="62"/>
      <c r="W75" s="150">
        <f>INDEX(($EL$58:$EX$61,$EL$64:$EX$67,$EL$70:$EX$73,$FA$58:$FM$61,$FA$64:$FM$67,$FA$70:$FM$73,$FP$58:$GB$61,$FP$64:$GB$67,$FP$70:$GB$73,$GE$58:$GQ$61,$GE$64:$GQ$67,$GE$70:$GQ$73,$GT$58:$HF$61,$GT$64:$HF$67),MATCH($L$81,$EK$58:$EK$61,0),MATCH($A76,$EL$57:$EX$57,0),MATCH($E$35,$AE$33:$AE$48,0))*$C76</f>
        <v>0</v>
      </c>
      <c r="X75" s="150">
        <f>INDEX(($EL$58:$EX$61,$EL$64:$EX$67,$EL$70:$EX$73,$FA$58:$FM$61,$FA$64:$FM$67,$FA$70:$FM$73,$FP$58:$GB$61,$FP$64:$GB$67,$FP$70:$GB$73,$GE$58:$GQ$61,$GE$64:$GQ$67,$GE$70:$GQ$73,$GT$58:$HF$61,$GT$64:$HF$67),MATCH($L$78,$EK$58:$EK$61,0),MATCH($A76,$EL$57:$EX$57,0),MATCH($E$35,$AE$33:$AE$48,0))*$C76</f>
        <v>0</v>
      </c>
      <c r="Y75" s="150">
        <f>INDEX(($EL$58:$EX$61,$EL$64:$EX$67,$EL$70:$EX$73,$FA$58:$FM$61,$FA$64:$FM$67,$FA$70:$FM$73,$FP$58:$GB$61,$FP$64:$GB$67,$FP$70:$GB$73,$GE$58:$GQ$61,$GE$64:$GQ$67,$GE$70:$GQ$73,$GT$58:$HF$61,$GT$64:$HF$67),MATCH($L$79,$EK$58:$EK$61,0),MATCH($A76,$EL$57:$EX$57,0),MATCH($E$35,$AE$33:$AE$48,0))*$C76</f>
        <v>0</v>
      </c>
      <c r="Z75" s="150">
        <f>INDEX(($EL$58:$EX$61,$EL$64:$EX$67,$EL$70:$EX$73,$FA$58:$FM$61,$FA$64:$FM$67,$FA$70:$FM$73,$FP$58:$GB$61,$FP$64:$GB$67,$FP$70:$GB$73,$GE$58:$GQ$61,$GE$64:$GQ$67,$GE$70:$GQ$73,$GT$58:$HF$61,$GT$64:$HF$67),MATCH($L$80,$EK$58:$EK$61,0),MATCH($A76,$EL$57:$EX$57,0),MATCH($E$35,$AE$33:$AE$48,0))*$C76</f>
        <v>0</v>
      </c>
      <c r="AA75" s="150">
        <f t="shared" si="178"/>
        <v>0</v>
      </c>
      <c r="AB75" s="150">
        <f t="shared" si="179"/>
        <v>0</v>
      </c>
      <c r="AC75" s="150"/>
      <c r="AD75" s="150"/>
      <c r="AE75" s="150"/>
      <c r="AF75" s="150"/>
      <c r="AG75" s="150"/>
      <c r="AH75" s="150"/>
      <c r="AI75" s="150"/>
      <c r="AJ75" s="150"/>
      <c r="AK75" s="150"/>
      <c r="AL75" s="150"/>
      <c r="AM75" s="150"/>
      <c r="AN75" s="150"/>
      <c r="AO75" s="150"/>
      <c r="AP75" s="150"/>
      <c r="AQ75" s="150"/>
      <c r="AR75" s="154">
        <v>2</v>
      </c>
      <c r="AS75" s="154" t="s">
        <v>719</v>
      </c>
      <c r="AT75" s="154">
        <v>2000</v>
      </c>
      <c r="AU75" s="154">
        <v>2000</v>
      </c>
      <c r="AV75" s="154" t="s">
        <v>719</v>
      </c>
      <c r="AW75" s="150" t="s">
        <v>719</v>
      </c>
      <c r="AX75" s="150"/>
      <c r="AY75" s="150"/>
      <c r="AZ75" s="150"/>
      <c r="BA75" s="150"/>
      <c r="BB75" s="150"/>
      <c r="BC75" s="150"/>
      <c r="BD75" s="150"/>
      <c r="BE75" s="150"/>
      <c r="BF75" s="150"/>
      <c r="BG75" s="150">
        <f t="shared" si="180"/>
        <v>1</v>
      </c>
      <c r="BH75" s="150"/>
      <c r="BI75" s="150"/>
      <c r="BJ75" s="150"/>
      <c r="BK75" s="150"/>
      <c r="BL75" s="150"/>
      <c r="BM75" s="150"/>
      <c r="BN75" s="150"/>
      <c r="BO75" s="150"/>
      <c r="BP75" s="150"/>
      <c r="BQ75" s="150"/>
      <c r="BR75" s="150"/>
      <c r="BS75" s="150"/>
      <c r="BT75" s="150"/>
      <c r="BU75" s="150"/>
      <c r="BV75" s="150"/>
      <c r="BW75" s="150"/>
      <c r="BX75" s="150"/>
      <c r="BY75" s="150"/>
      <c r="BZ75" s="150"/>
      <c r="CA75" s="150"/>
      <c r="CB75" s="150"/>
      <c r="CC75" s="150"/>
      <c r="CD75" s="150"/>
      <c r="CE75" s="150"/>
      <c r="CF75" s="150"/>
      <c r="CG75" s="150"/>
      <c r="CH75" s="150"/>
      <c r="CI75" s="150"/>
      <c r="CJ75" s="150"/>
      <c r="CK75" s="150"/>
      <c r="CL75" s="150"/>
      <c r="CM75" s="150"/>
      <c r="CN75" s="150"/>
      <c r="CO75" s="150"/>
      <c r="CP75" s="150"/>
      <c r="CQ75" s="150"/>
      <c r="CR75" s="150"/>
      <c r="CS75" s="150"/>
      <c r="CT75" s="150"/>
      <c r="CU75" s="150"/>
      <c r="CV75" s="150"/>
      <c r="CW75" s="150"/>
      <c r="CX75" s="150"/>
      <c r="CY75" s="150"/>
      <c r="CZ75" s="150"/>
      <c r="DA75" s="150"/>
      <c r="DB75" s="150"/>
      <c r="DC75" s="150"/>
      <c r="DD75" s="150"/>
      <c r="DE75" s="150"/>
      <c r="DF75" s="150"/>
      <c r="DG75" s="150"/>
      <c r="DH75" s="150"/>
      <c r="DI75" s="150"/>
      <c r="DJ75" s="150"/>
      <c r="DK75" s="150"/>
      <c r="DL75" s="150"/>
      <c r="DM75" s="150"/>
      <c r="DN75" s="150"/>
      <c r="DO75" s="150"/>
      <c r="DP75" s="150"/>
      <c r="DQ75" s="181"/>
      <c r="DR75" s="181"/>
      <c r="DS75" s="181"/>
      <c r="DT75" s="150"/>
      <c r="DU75" s="150"/>
      <c r="DV75" s="150"/>
      <c r="DW75" s="150"/>
      <c r="DX75" s="150"/>
      <c r="DY75" s="150"/>
      <c r="DZ75" s="150"/>
      <c r="EA75" s="150"/>
      <c r="EB75" s="150"/>
      <c r="EC75" s="150"/>
      <c r="ED75" s="150"/>
      <c r="EE75" s="150"/>
      <c r="EF75" s="150"/>
      <c r="EG75" s="150"/>
      <c r="EH75" s="150"/>
      <c r="EI75" s="150"/>
      <c r="EJ75" s="150"/>
      <c r="EK75" s="150"/>
      <c r="EL75" s="150"/>
      <c r="EM75" s="150"/>
      <c r="EN75" s="150"/>
      <c r="EO75" s="150"/>
      <c r="EP75" s="150"/>
      <c r="EQ75" s="150"/>
      <c r="ER75" s="150"/>
      <c r="ES75" s="150"/>
      <c r="ET75" s="150"/>
      <c r="EU75" s="150"/>
      <c r="EV75" s="150"/>
      <c r="EW75" s="150"/>
      <c r="EX75" s="150"/>
      <c r="EY75" s="150"/>
      <c r="EZ75" s="150"/>
      <c r="FA75" s="150"/>
      <c r="FB75" s="150"/>
      <c r="FC75" s="150"/>
      <c r="FD75" s="150"/>
      <c r="FE75" s="150"/>
      <c r="FF75" s="150"/>
      <c r="FG75" s="150"/>
      <c r="FH75" s="150"/>
      <c r="FI75" s="150"/>
      <c r="FJ75" s="150"/>
      <c r="FK75" s="150"/>
      <c r="FL75" s="150"/>
      <c r="FM75" s="150"/>
      <c r="FN75" s="150"/>
      <c r="FO75" s="150"/>
      <c r="FP75" s="150"/>
      <c r="FQ75" s="150"/>
      <c r="FR75" s="150"/>
      <c r="FS75" s="150"/>
      <c r="FT75" s="150"/>
      <c r="FU75" s="150"/>
      <c r="FV75" s="150"/>
      <c r="FW75" s="150"/>
      <c r="FX75" s="150"/>
      <c r="FY75" s="150"/>
      <c r="FZ75" s="150"/>
      <c r="GA75" s="150"/>
      <c r="GB75" s="150"/>
      <c r="GC75" s="150"/>
      <c r="GD75" s="150"/>
      <c r="GE75" s="150"/>
      <c r="GF75" s="150"/>
      <c r="GG75" s="150"/>
      <c r="GH75" s="150"/>
      <c r="GI75" s="150"/>
      <c r="GJ75" s="150"/>
      <c r="GK75" s="150"/>
      <c r="GL75" s="150"/>
      <c r="GM75" s="150"/>
      <c r="GN75" s="150"/>
      <c r="GO75" s="150"/>
      <c r="GP75" s="150"/>
      <c r="GQ75" s="150"/>
      <c r="GR75" s="150"/>
      <c r="GS75" s="150"/>
      <c r="GT75" s="150"/>
      <c r="GU75" s="150"/>
      <c r="GV75" s="150"/>
      <c r="GW75" s="150"/>
      <c r="GX75" s="150"/>
      <c r="GY75" s="150"/>
      <c r="GZ75" s="150"/>
      <c r="HA75" s="150"/>
      <c r="HB75" s="150"/>
      <c r="HC75" s="150"/>
      <c r="HD75" s="150"/>
      <c r="HE75" s="150"/>
      <c r="HF75" s="150"/>
      <c r="HG75" s="150"/>
      <c r="HH75" s="150"/>
    </row>
    <row r="76" spans="1:254" x14ac:dyDescent="0.25">
      <c r="A76" s="8"/>
      <c r="B76" s="5" t="s">
        <v>116</v>
      </c>
      <c r="C76" s="8"/>
      <c r="D76" s="6" t="s">
        <v>718</v>
      </c>
      <c r="E76" s="32">
        <f>INDEX((AS74:AW76),MATCH(E74,AR74:AR76,0),MATCH(E75,AS73:AW73,0))</f>
        <v>2900</v>
      </c>
      <c r="F76" s="9"/>
      <c r="G76" s="9"/>
      <c r="H76" s="9"/>
      <c r="I76" s="9"/>
      <c r="J76" s="29" t="s">
        <v>119</v>
      </c>
      <c r="K76" s="9"/>
      <c r="L76" s="6" t="str">
        <f>IF(E76=$AS$74,"CMP41H41/3,7MC",IF(E76=$AU$74,"CMP41H41/3,7MC",IF(E76=$AU$76,"CMP41H41/3,5MC",IF(E76=$AW$76,"CMP41H41/32,2MC","-------"))))</f>
        <v>CMP41H41/3,7MC</v>
      </c>
      <c r="M76" s="11">
        <f>INDEX(cennik!$C$2:$L$529,MATCH($L76,cennik!$B$2:$B$522,0),MATCH(M$2,cennik!$C$1:$L$1,0))</f>
        <v>852137</v>
      </c>
      <c r="N76" s="11" t="str">
        <f>INDEX(cennik!$C$2:$L$529,MATCH($L76,cennik!$B$2:$B$522,0),MATCH(N$2,cennik!$C$1:$L$1,0))</f>
        <v>szt.</v>
      </c>
      <c r="O76" s="11">
        <f>SUM(AA63:AA78)</f>
        <v>0</v>
      </c>
      <c r="P76" s="34">
        <f>INDEX(cennik!$C$2:$L$529,MATCH($L76,cennik!$B$2:$B$522,0),MATCH(P$2,cennik!$C$1:$L$1,0))</f>
        <v>77.7</v>
      </c>
      <c r="Q76" s="34">
        <f t="shared" si="233"/>
        <v>0</v>
      </c>
      <c r="R76" s="35">
        <f t="shared" si="204"/>
        <v>0</v>
      </c>
      <c r="S76" s="34">
        <f t="shared" si="205"/>
        <v>77.7</v>
      </c>
      <c r="T76" s="34">
        <f t="shared" si="234"/>
        <v>0</v>
      </c>
      <c r="U76" s="34">
        <f>INDEX(cennik!$C$2:$L$529,MATCH($L76,cennik!$B$2:$B$522,0),MATCH(U$2,cennik!$C$1:$L$1,0))*O76</f>
        <v>0</v>
      </c>
      <c r="V76" s="62"/>
      <c r="W76" s="150">
        <f>INDEX(($EL$58:$EX$61,$EL$64:$EX$67,$EL$70:$EX$73,$FA$58:$FM$61,$FA$64:$FM$67,$FA$70:$FM$73,$FP$58:$GB$61,$FP$64:$GB$67,$FP$70:$GB$73,$GE$58:$GQ$61,$GE$64:$GQ$67,$GE$70:$GQ$73,$GT$58:$HF$61,$GT$64:$HF$67),MATCH($L$81,$EK$58:$EK$61,0),MATCH($A77,$EL$57:$EX$57,0),MATCH($E$35,$AE$33:$AE$48,0))*$C77</f>
        <v>0</v>
      </c>
      <c r="X76" s="150">
        <f>INDEX(($EL$58:$EX$61,$EL$64:$EX$67,$EL$70:$EX$73,$FA$58:$FM$61,$FA$64:$FM$67,$FA$70:$FM$73,$FP$58:$GB$61,$FP$64:$GB$67,$FP$70:$GB$73,$GE$58:$GQ$61,$GE$64:$GQ$67,$GE$70:$GQ$73,$GT$58:$HF$61,$GT$64:$HF$67),MATCH($L$78,$EK$58:$EK$61,0),MATCH($A77,$EL$57:$EX$57,0),MATCH($E$35,$AE$33:$AE$48,0))*$C77</f>
        <v>0</v>
      </c>
      <c r="Y76" s="150">
        <f>INDEX(($EL$58:$EX$61,$EL$64:$EX$67,$EL$70:$EX$73,$FA$58:$FM$61,$FA$64:$FM$67,$FA$70:$FM$73,$FP$58:$GB$61,$FP$64:$GB$67,$FP$70:$GB$73,$GE$58:$GQ$61,$GE$64:$GQ$67,$GE$70:$GQ$73,$GT$58:$HF$61,$GT$64:$HF$67),MATCH($L$79,$EK$58:$EK$61,0),MATCH($A77,$EL$57:$EX$57,0),MATCH($E$35,$AE$33:$AE$48,0))*$C77</f>
        <v>0</v>
      </c>
      <c r="Z76" s="150">
        <f>INDEX(($EL$58:$EX$61,$EL$64:$EX$67,$EL$70:$EX$73,$FA$58:$FM$61,$FA$64:$FM$67,$FA$70:$FM$73,$FP$58:$GB$61,$FP$64:$GB$67,$FP$70:$GB$73,$GE$58:$GQ$61,$GE$64:$GQ$67,$GE$70:$GQ$73,$GT$58:$HF$61,$GT$64:$HF$67),MATCH($L$80,$EK$58:$EK$61,0),MATCH($A77,$EL$57:$EX$57,0),MATCH($E$35,$AE$33:$AE$48,0))*$C77</f>
        <v>0</v>
      </c>
      <c r="AA76" s="150">
        <f t="shared" si="178"/>
        <v>0</v>
      </c>
      <c r="AB76" s="150">
        <f t="shared" si="179"/>
        <v>0</v>
      </c>
      <c r="AC76" s="150"/>
      <c r="AD76" s="150"/>
      <c r="AE76" s="150"/>
      <c r="AF76" s="150"/>
      <c r="AG76" s="150"/>
      <c r="AH76" s="150"/>
      <c r="AI76" s="150"/>
      <c r="AJ76" s="150"/>
      <c r="AK76" s="150"/>
      <c r="AL76" s="150"/>
      <c r="AM76" s="150"/>
      <c r="AN76" s="150"/>
      <c r="AO76" s="150"/>
      <c r="AP76" s="150"/>
      <c r="AQ76" s="150"/>
      <c r="AR76" s="154" t="s">
        <v>725</v>
      </c>
      <c r="AS76" s="154">
        <v>2700</v>
      </c>
      <c r="AT76" s="154" t="s">
        <v>719</v>
      </c>
      <c r="AU76" s="154">
        <v>2000</v>
      </c>
      <c r="AV76" s="154" t="s">
        <v>719</v>
      </c>
      <c r="AW76" s="150">
        <v>1000</v>
      </c>
      <c r="AX76" s="150"/>
      <c r="AY76" s="150"/>
      <c r="AZ76" s="150"/>
      <c r="BA76" s="150"/>
      <c r="BB76" s="150"/>
      <c r="BC76" s="150"/>
      <c r="BD76" s="150"/>
      <c r="BE76" s="150"/>
      <c r="BF76" s="150"/>
      <c r="BG76" s="150">
        <f t="shared" si="180"/>
        <v>1</v>
      </c>
      <c r="BH76" s="150"/>
      <c r="BI76" s="150"/>
      <c r="BJ76" s="150"/>
      <c r="BK76" s="150"/>
      <c r="BL76" s="150"/>
      <c r="BM76" s="150"/>
      <c r="BN76" s="150"/>
      <c r="BO76" s="150"/>
      <c r="BP76" s="150"/>
      <c r="BQ76" s="150"/>
      <c r="BR76" s="150"/>
      <c r="BS76" s="150"/>
      <c r="BT76" s="150"/>
      <c r="BU76" s="150"/>
      <c r="BV76" s="150"/>
      <c r="BW76" s="150"/>
      <c r="BX76" s="150"/>
      <c r="BY76" s="150"/>
      <c r="BZ76" s="150"/>
      <c r="CA76" s="150"/>
      <c r="CB76" s="150"/>
      <c r="CC76" s="150"/>
      <c r="CD76" s="150"/>
      <c r="CE76" s="150"/>
      <c r="CF76" s="150"/>
      <c r="CG76" s="150"/>
      <c r="CH76" s="150"/>
      <c r="CI76" s="150"/>
      <c r="CJ76" s="150"/>
      <c r="CK76" s="150"/>
      <c r="CL76" s="150"/>
      <c r="CM76" s="150"/>
      <c r="CN76" s="150"/>
      <c r="CO76" s="150"/>
      <c r="CP76" s="150"/>
      <c r="CQ76" s="150"/>
      <c r="CR76" s="150"/>
      <c r="CS76" s="150"/>
      <c r="CT76" s="150"/>
      <c r="CU76" s="150"/>
      <c r="CV76" s="150"/>
      <c r="CW76" s="150"/>
      <c r="CX76" s="150"/>
      <c r="CY76" s="150"/>
      <c r="CZ76" s="150"/>
      <c r="DA76" s="150"/>
      <c r="DB76" s="150"/>
      <c r="DC76" s="150"/>
      <c r="DD76" s="150"/>
      <c r="DE76" s="150"/>
      <c r="DF76" s="150"/>
      <c r="DG76" s="150"/>
      <c r="DH76" s="150"/>
      <c r="DI76" s="150"/>
      <c r="DJ76" s="150"/>
      <c r="DK76" s="150"/>
      <c r="DL76" s="150"/>
      <c r="DM76" s="150"/>
      <c r="DN76" s="150"/>
      <c r="DO76" s="150"/>
      <c r="DP76" s="150"/>
      <c r="DQ76" s="181"/>
      <c r="DR76" s="181"/>
      <c r="DS76" s="181"/>
      <c r="DT76" s="150"/>
      <c r="DU76" s="150"/>
      <c r="DV76" s="150"/>
      <c r="DW76" s="150"/>
      <c r="DX76" s="150"/>
      <c r="DY76" s="150"/>
      <c r="DZ76" s="150"/>
      <c r="EA76" s="150"/>
      <c r="EB76" s="150"/>
      <c r="EC76" s="150"/>
      <c r="ED76" s="150"/>
      <c r="EE76" s="150"/>
      <c r="EF76" s="150"/>
      <c r="EG76" s="150"/>
      <c r="EH76" s="150"/>
      <c r="EI76" s="150"/>
      <c r="EJ76" s="150"/>
      <c r="EK76" s="150"/>
      <c r="EL76" s="150"/>
      <c r="EM76" s="150"/>
      <c r="EN76" s="150"/>
      <c r="EO76" s="150"/>
      <c r="EP76" s="150"/>
      <c r="EQ76" s="150"/>
      <c r="ER76" s="150"/>
      <c r="ES76" s="150"/>
      <c r="ET76" s="150"/>
      <c r="EU76" s="150"/>
      <c r="EV76" s="150"/>
      <c r="EW76" s="150"/>
      <c r="EX76" s="150"/>
      <c r="EY76" s="150"/>
      <c r="EZ76" s="150"/>
      <c r="FA76" s="150"/>
      <c r="FB76" s="150"/>
      <c r="FC76" s="150"/>
      <c r="FD76" s="150"/>
      <c r="FE76" s="150"/>
      <c r="FF76" s="150"/>
      <c r="FG76" s="150"/>
      <c r="FH76" s="150"/>
      <c r="FI76" s="150"/>
      <c r="FJ76" s="150"/>
      <c r="FK76" s="150"/>
      <c r="FL76" s="150"/>
      <c r="FM76" s="150"/>
      <c r="FN76" s="150"/>
      <c r="FO76" s="150"/>
      <c r="FP76" s="150"/>
      <c r="FQ76" s="150"/>
      <c r="FR76" s="150"/>
      <c r="FS76" s="150"/>
      <c r="FT76" s="150"/>
      <c r="FU76" s="150"/>
      <c r="FV76" s="150"/>
      <c r="FW76" s="150"/>
      <c r="FX76" s="150"/>
      <c r="FY76" s="150"/>
      <c r="FZ76" s="150"/>
      <c r="GA76" s="150"/>
      <c r="GB76" s="150"/>
      <c r="GC76" s="150"/>
      <c r="GD76" s="150"/>
      <c r="GE76" s="150"/>
      <c r="GF76" s="150"/>
      <c r="GG76" s="150"/>
      <c r="GH76" s="150"/>
      <c r="GI76" s="150"/>
      <c r="GJ76" s="150"/>
      <c r="GK76" s="150"/>
      <c r="GL76" s="150"/>
      <c r="GM76" s="150"/>
      <c r="GN76" s="150"/>
      <c r="GO76" s="150"/>
      <c r="GP76" s="150"/>
      <c r="GQ76" s="150"/>
      <c r="GR76" s="150"/>
      <c r="GS76" s="150"/>
      <c r="GT76" s="150"/>
      <c r="GU76" s="150"/>
      <c r="GV76" s="150"/>
      <c r="GW76" s="150"/>
      <c r="GX76" s="150"/>
      <c r="GY76" s="150"/>
      <c r="GZ76" s="150"/>
      <c r="HA76" s="150"/>
      <c r="HB76" s="150"/>
      <c r="HC76" s="150"/>
      <c r="HD76" s="150"/>
      <c r="HE76" s="150"/>
      <c r="HF76" s="150"/>
      <c r="HG76" s="150"/>
      <c r="HH76" s="150"/>
    </row>
    <row r="77" spans="1:254" x14ac:dyDescent="0.25">
      <c r="A77" s="8"/>
      <c r="B77" s="5" t="s">
        <v>116</v>
      </c>
      <c r="C77" s="8"/>
      <c r="D77" s="6" t="str">
        <f>IF(E69=$AC$8,"długość śruby GSW","")</f>
        <v/>
      </c>
      <c r="E77" s="38">
        <v>1600</v>
      </c>
      <c r="F77" s="9"/>
      <c r="G77" s="9"/>
      <c r="H77" s="9"/>
      <c r="I77" s="9"/>
      <c r="J77" s="29" t="str">
        <f>IF(E69=$AC$8,"[mm]","")</f>
        <v/>
      </c>
      <c r="K77" s="9"/>
      <c r="L77" s="6" t="s">
        <v>1111</v>
      </c>
      <c r="M77" s="11">
        <f>INDEX(cennik!$C$2:$L$529,MATCH($L77,cennik!$B$2:$B$522,0),MATCH(M$2,cennik!$C$1:$L$1,0))</f>
        <v>850252</v>
      </c>
      <c r="N77" s="11" t="str">
        <f>INDEX(cennik!$C$2:$L$529,MATCH($L77,cennik!$B$2:$B$522,0),MATCH(N$2,cennik!$C$1:$L$1,0))</f>
        <v>szt.</v>
      </c>
      <c r="O77" s="11">
        <f>O69*2</f>
        <v>0</v>
      </c>
      <c r="P77" s="34">
        <f>INDEX(cennik!$C$2:$L$529,MATCH($L77,cennik!$B$2:$B$522,0),MATCH(P$2,cennik!$C$1:$L$1,0))</f>
        <v>6.06</v>
      </c>
      <c r="Q77" s="34">
        <f t="shared" si="233"/>
        <v>0</v>
      </c>
      <c r="R77" s="35">
        <f t="shared" si="204"/>
        <v>0</v>
      </c>
      <c r="S77" s="34">
        <f t="shared" si="205"/>
        <v>6.06</v>
      </c>
      <c r="T77" s="34">
        <f t="shared" si="234"/>
        <v>0</v>
      </c>
      <c r="U77" s="34">
        <f>INDEX(cennik!$C$2:$L$529,MATCH($L77,cennik!$B$2:$B$522,0),MATCH(U$2,cennik!$C$1:$L$1,0))*O77</f>
        <v>0</v>
      </c>
      <c r="V77" s="62"/>
      <c r="W77" s="150">
        <f>INDEX(($EL$58:$EX$61,$EL$64:$EX$67,$EL$70:$EX$73,$FA$58:$FM$61,$FA$64:$FM$67,$FA$70:$FM$73,$FP$58:$GB$61,$FP$64:$GB$67,$FP$70:$GB$73,$GE$58:$GQ$61,$GE$64:$GQ$67,$GE$70:$GQ$73,$GT$58:$HF$61,$GT$64:$HF$67),MATCH($L$81,$EK$58:$EK$61,0),MATCH($A78,$EL$57:$EX$57,0),MATCH($E$35,$AE$33:$AE$48,0))*$C78</f>
        <v>0</v>
      </c>
      <c r="X77" s="150">
        <f>INDEX(($EL$58:$EX$61,$EL$64:$EX$67,$EL$70:$EX$73,$FA$58:$FM$61,$FA$64:$FM$67,$FA$70:$FM$73,$FP$58:$GB$61,$FP$64:$GB$67,$FP$70:$GB$73,$GE$58:$GQ$61,$GE$64:$GQ$67,$GE$70:$GQ$73,$GT$58:$HF$61,$GT$64:$HF$67),MATCH($L$78,$EK$58:$EK$61,0),MATCH($A78,$EL$57:$EX$57,0),MATCH($E$35,$AE$33:$AE$48,0))*$C78</f>
        <v>0</v>
      </c>
      <c r="Y77" s="150">
        <f>INDEX(($EL$58:$EX$61,$EL$64:$EX$67,$EL$70:$EX$73,$FA$58:$FM$61,$FA$64:$FM$67,$FA$70:$FM$73,$FP$58:$GB$61,$FP$64:$GB$67,$FP$70:$GB$73,$GE$58:$GQ$61,$GE$64:$GQ$67,$GE$70:$GQ$73,$GT$58:$HF$61,$GT$64:$HF$67),MATCH($L$79,$EK$58:$EK$61,0),MATCH($A78,$EL$57:$EX$57,0),MATCH($E$35,$AE$33:$AE$48,0))*$C78</f>
        <v>0</v>
      </c>
      <c r="Z77" s="150">
        <f>INDEX(($EL$58:$EX$61,$EL$64:$EX$67,$EL$70:$EX$73,$FA$58:$FM$61,$FA$64:$FM$67,$FA$70:$FM$73,$FP$58:$GB$61,$FP$64:$GB$67,$FP$70:$GB$73,$GE$58:$GQ$61,$GE$64:$GQ$67,$GE$70:$GQ$73,$GT$58:$HF$61,$GT$64:$HF$67),MATCH($L$80,$EK$58:$EK$61,0),MATCH($A78,$EL$57:$EX$57,0),MATCH($E$35,$AE$33:$AE$48,0))*$C78</f>
        <v>0</v>
      </c>
      <c r="AA77" s="150">
        <f t="shared" si="178"/>
        <v>0</v>
      </c>
      <c r="AB77" s="150">
        <f t="shared" si="179"/>
        <v>0</v>
      </c>
      <c r="AC77" s="150"/>
      <c r="AD77" s="150"/>
      <c r="AE77" s="150"/>
      <c r="AF77" s="150"/>
      <c r="AG77" s="150"/>
      <c r="AH77" s="150"/>
      <c r="AI77" s="150"/>
      <c r="AJ77" s="150"/>
      <c r="AK77" s="150"/>
      <c r="AL77" s="150"/>
      <c r="AM77" s="150"/>
      <c r="AN77" s="150"/>
      <c r="AO77" s="150"/>
      <c r="AP77" s="150"/>
      <c r="AQ77" s="150"/>
      <c r="AR77" s="150"/>
      <c r="AS77" s="150"/>
      <c r="AT77" s="150"/>
      <c r="AU77" s="150"/>
      <c r="AV77" s="150"/>
      <c r="AW77" s="150"/>
      <c r="AX77" s="150"/>
      <c r="AY77" s="150"/>
      <c r="AZ77" s="150"/>
      <c r="BA77" s="150"/>
      <c r="BB77" s="150"/>
      <c r="BC77" s="150"/>
      <c r="BD77" s="150"/>
      <c r="BE77" s="150"/>
      <c r="BF77" s="150"/>
      <c r="BG77" s="150">
        <f t="shared" si="180"/>
        <v>1</v>
      </c>
      <c r="BH77" s="150"/>
      <c r="BI77" s="150"/>
      <c r="BJ77" s="150"/>
      <c r="BK77" s="150"/>
      <c r="BL77" s="150"/>
      <c r="BM77" s="150"/>
      <c r="BN77" s="150"/>
      <c r="BO77" s="150"/>
      <c r="BP77" s="150"/>
      <c r="BQ77" s="150"/>
      <c r="BR77" s="150"/>
      <c r="BS77" s="150"/>
      <c r="BT77" s="150"/>
      <c r="BU77" s="150"/>
      <c r="BV77" s="150"/>
      <c r="BW77" s="150"/>
      <c r="BX77" s="150"/>
      <c r="BY77" s="150"/>
      <c r="BZ77" s="150"/>
      <c r="CA77" s="150"/>
      <c r="CB77" s="150"/>
      <c r="CC77" s="150"/>
      <c r="CD77" s="150"/>
      <c r="CE77" s="150"/>
      <c r="CF77" s="150"/>
      <c r="CG77" s="150"/>
      <c r="CH77" s="150"/>
      <c r="CI77" s="150"/>
      <c r="CJ77" s="150"/>
      <c r="CK77" s="150"/>
      <c r="CL77" s="150"/>
      <c r="CM77" s="150"/>
      <c r="CN77" s="150"/>
      <c r="CO77" s="150"/>
      <c r="CP77" s="150"/>
      <c r="CQ77" s="150"/>
      <c r="CR77" s="150"/>
      <c r="CS77" s="150"/>
      <c r="CT77" s="150"/>
      <c r="CU77" s="150"/>
      <c r="CV77" s="150"/>
      <c r="CW77" s="150"/>
      <c r="CX77" s="150"/>
      <c r="CY77" s="150"/>
      <c r="CZ77" s="150"/>
      <c r="DA77" s="150"/>
      <c r="DB77" s="150"/>
      <c r="DC77" s="150"/>
      <c r="DD77" s="150"/>
      <c r="DE77" s="150"/>
      <c r="DF77" s="150"/>
      <c r="DG77" s="150"/>
      <c r="DH77" s="150"/>
      <c r="DI77" s="150"/>
      <c r="DJ77" s="150"/>
      <c r="DK77" s="150"/>
      <c r="DL77" s="150"/>
      <c r="DM77" s="150"/>
      <c r="DN77" s="150"/>
      <c r="DO77" s="150"/>
      <c r="DP77" s="150"/>
      <c r="DQ77" s="181"/>
      <c r="DR77" s="181"/>
      <c r="DS77" s="181"/>
      <c r="DT77" s="150"/>
      <c r="DU77" s="150"/>
      <c r="DV77" s="150"/>
      <c r="DW77" s="150"/>
      <c r="DX77" s="150"/>
      <c r="DY77" s="150"/>
      <c r="DZ77" s="150"/>
      <c r="EA77" s="150"/>
      <c r="EB77" s="150"/>
      <c r="EC77" s="150"/>
      <c r="ED77" s="150"/>
      <c r="EE77" s="150"/>
      <c r="EF77" s="150"/>
      <c r="EG77" s="150"/>
      <c r="EH77" s="150"/>
      <c r="EI77" s="150"/>
      <c r="EJ77" s="150"/>
      <c r="EK77" s="150"/>
      <c r="EL77" s="150"/>
      <c r="EM77" s="150"/>
      <c r="EN77" s="150"/>
      <c r="EO77" s="150"/>
      <c r="EP77" s="150"/>
      <c r="EQ77" s="150"/>
      <c r="ER77" s="150"/>
      <c r="ES77" s="150"/>
      <c r="ET77" s="150"/>
      <c r="EU77" s="150"/>
      <c r="EV77" s="150"/>
      <c r="EW77" s="150"/>
      <c r="EX77" s="150"/>
      <c r="EY77" s="150"/>
      <c r="EZ77" s="150"/>
      <c r="FA77" s="150"/>
      <c r="FB77" s="150"/>
      <c r="FC77" s="150"/>
      <c r="FD77" s="150"/>
      <c r="FE77" s="150"/>
      <c r="FF77" s="150"/>
      <c r="FG77" s="150"/>
      <c r="FH77" s="150"/>
      <c r="FI77" s="150"/>
      <c r="FJ77" s="150"/>
      <c r="FK77" s="150"/>
      <c r="FL77" s="150"/>
      <c r="FM77" s="150"/>
      <c r="FN77" s="150"/>
      <c r="FO77" s="150"/>
      <c r="FP77" s="150"/>
      <c r="FQ77" s="150"/>
      <c r="FR77" s="150"/>
      <c r="FS77" s="150"/>
      <c r="FT77" s="150"/>
      <c r="FU77" s="150"/>
      <c r="FV77" s="150"/>
      <c r="FW77" s="150"/>
      <c r="FX77" s="150"/>
      <c r="FY77" s="150"/>
      <c r="FZ77" s="150"/>
      <c r="GA77" s="150"/>
      <c r="GB77" s="150"/>
      <c r="GC77" s="150"/>
      <c r="GD77" s="150"/>
      <c r="GE77" s="150"/>
      <c r="GF77" s="150"/>
      <c r="GG77" s="150"/>
      <c r="GH77" s="150"/>
      <c r="GI77" s="150"/>
      <c r="GJ77" s="150"/>
      <c r="GK77" s="150"/>
      <c r="GL77" s="150"/>
      <c r="GM77" s="150"/>
      <c r="GN77" s="150"/>
      <c r="GO77" s="150"/>
      <c r="GP77" s="150"/>
      <c r="GQ77" s="150"/>
      <c r="GR77" s="150"/>
      <c r="GS77" s="150"/>
      <c r="GT77" s="150"/>
      <c r="GU77" s="150"/>
      <c r="GV77" s="150"/>
      <c r="GW77" s="150"/>
      <c r="GX77" s="150"/>
      <c r="GY77" s="150"/>
      <c r="GZ77" s="150"/>
      <c r="HA77" s="150"/>
      <c r="HB77" s="150"/>
      <c r="HC77" s="150"/>
      <c r="HD77" s="150"/>
      <c r="HE77" s="150"/>
      <c r="HF77" s="150"/>
      <c r="HG77" s="150"/>
      <c r="HH77" s="150"/>
    </row>
    <row r="78" spans="1:254" x14ac:dyDescent="0.25">
      <c r="A78" s="8"/>
      <c r="B78" s="5" t="s">
        <v>116</v>
      </c>
      <c r="C78" s="8"/>
      <c r="D78" s="40" t="s">
        <v>795</v>
      </c>
      <c r="E78" s="9"/>
      <c r="F78" s="9"/>
      <c r="G78" s="9"/>
      <c r="H78" s="9"/>
      <c r="I78" s="9"/>
      <c r="J78" s="9"/>
      <c r="K78" s="9"/>
      <c r="L78" s="6" t="s">
        <v>586</v>
      </c>
      <c r="M78" s="11">
        <f>INDEX(cennik!$C$2:$L$529,MATCH($L78,cennik!$B$2:$B$522,0),MATCH(M$2,cennik!$C$1:$L$1,0))</f>
        <v>867566</v>
      </c>
      <c r="N78" s="11" t="str">
        <f>INDEX(cennik!$C$2:$L$529,MATCH($L78,cennik!$B$2:$B$522,0),MATCH(N$2,cennik!$C$1:$L$1,0))</f>
        <v>szt.</v>
      </c>
      <c r="O78" s="11">
        <f>SUM(X65:X80)</f>
        <v>0</v>
      </c>
      <c r="P78" s="34">
        <f>INDEX(cennik!$C$2:$L$529,MATCH($L78,cennik!$B$2:$B$522,0),MATCH(P$2,cennik!$C$1:$L$1,0))</f>
        <v>265.20999999999998</v>
      </c>
      <c r="Q78" s="34">
        <f t="shared" ref="Q78:Q92" si="239">O78*P78</f>
        <v>0</v>
      </c>
      <c r="R78" s="35">
        <f t="shared" si="204"/>
        <v>0</v>
      </c>
      <c r="S78" s="34">
        <f t="shared" si="205"/>
        <v>265.20999999999998</v>
      </c>
      <c r="T78" s="34">
        <f t="shared" ref="T78:T92" si="240">O78*S78</f>
        <v>0</v>
      </c>
      <c r="U78" s="34">
        <f>INDEX(cennik!$C$2:$L$529,MATCH($L78,cennik!$B$2:$B$522,0),MATCH(U$2,cennik!$C$1:$L$1,0))*O78</f>
        <v>0</v>
      </c>
      <c r="V78" s="62"/>
      <c r="W78" s="150">
        <f>INDEX(($EL$58:$EX$61,$EL$64:$EX$67,$EL$70:$EX$73,$FA$58:$FM$61,$FA$64:$FM$67,$FA$70:$FM$73,$FP$58:$GB$61,$FP$64:$GB$67,$FP$70:$GB$73,$GE$58:$GQ$61,$GE$64:$GQ$67,$GE$70:$GQ$73,$GT$58:$HF$61,$GT$64:$HF$67),MATCH($L$81,$EK$58:$EK$61,0),MATCH($A79,$EL$57:$EX$57,0),MATCH($E$35,$AE$33:$AE$48,0))*$C79</f>
        <v>0</v>
      </c>
      <c r="X78" s="150">
        <f>INDEX(($EL$58:$EX$61,$EL$64:$EX$67,$EL$70:$EX$73,$FA$58:$FM$61,$FA$64:$FM$67,$FA$70:$FM$73,$FP$58:$GB$61,$FP$64:$GB$67,$FP$70:$GB$73,$GE$58:$GQ$61,$GE$64:$GQ$67,$GE$70:$GQ$73,$GT$58:$HF$61,$GT$64:$HF$67),MATCH($L$78,$EK$58:$EK$61,0),MATCH($A79,$EL$57:$EX$57,0),MATCH($E$35,$AE$33:$AE$48,0))*$C79</f>
        <v>0</v>
      </c>
      <c r="Y78" s="150">
        <f>INDEX(($EL$58:$EX$61,$EL$64:$EX$67,$EL$70:$EX$73,$FA$58:$FM$61,$FA$64:$FM$67,$FA$70:$FM$73,$FP$58:$GB$61,$FP$64:$GB$67,$FP$70:$GB$73,$GE$58:$GQ$61,$GE$64:$GQ$67,$GE$70:$GQ$73,$GT$58:$HF$61,$GT$64:$HF$67),MATCH($L$79,$EK$58:$EK$61,0),MATCH($A79,$EL$57:$EX$57,0),MATCH($E$35,$AE$33:$AE$48,0))*$C79</f>
        <v>0</v>
      </c>
      <c r="Z78" s="150">
        <f>INDEX(($EL$58:$EX$61,$EL$64:$EX$67,$EL$70:$EX$73,$FA$58:$FM$61,$FA$64:$FM$67,$FA$70:$FM$73,$FP$58:$GB$61,$FP$64:$GB$67,$FP$70:$GB$73,$GE$58:$GQ$61,$GE$64:$GQ$67,$GE$70:$GQ$73,$GT$58:$HF$61,$GT$64:$HF$67),MATCH($L$80,$EK$58:$EK$61,0),MATCH($A79,$EL$57:$EX$57,0),MATCH($E$35,$AE$33:$AE$48,0))*$C79</f>
        <v>0</v>
      </c>
      <c r="AA78" s="150">
        <f t="shared" si="178"/>
        <v>0</v>
      </c>
      <c r="AB78" s="150">
        <f t="shared" si="179"/>
        <v>0</v>
      </c>
      <c r="AC78" s="150"/>
      <c r="AD78" s="150"/>
      <c r="AE78" s="150"/>
      <c r="AF78" s="150"/>
      <c r="AG78" s="150"/>
      <c r="AH78" s="150"/>
      <c r="AI78" s="150"/>
      <c r="AJ78" s="150"/>
      <c r="AK78" s="150"/>
      <c r="AL78" s="150"/>
      <c r="AM78" s="150"/>
      <c r="AN78" s="150"/>
      <c r="AO78" s="150"/>
      <c r="AP78" s="167" t="s">
        <v>729</v>
      </c>
      <c r="AQ78" s="150"/>
      <c r="AR78" s="150"/>
      <c r="AS78" s="150"/>
      <c r="AT78" s="150"/>
      <c r="AU78" s="150"/>
      <c r="BA78" s="150"/>
      <c r="BB78" s="150"/>
      <c r="BC78" s="150"/>
      <c r="BD78" s="150"/>
      <c r="BE78" s="150"/>
      <c r="BF78" s="150"/>
      <c r="BG78" s="150">
        <f t="shared" si="180"/>
        <v>1</v>
      </c>
      <c r="BH78" s="150"/>
      <c r="BI78" s="150"/>
      <c r="BJ78" s="150"/>
      <c r="BK78" s="150"/>
      <c r="BL78" s="150"/>
      <c r="BM78" s="150"/>
      <c r="BN78" s="150"/>
      <c r="BO78" s="150"/>
      <c r="BP78" s="150"/>
      <c r="BQ78" s="150"/>
      <c r="BR78" s="150"/>
      <c r="BS78" s="150"/>
      <c r="BT78" s="150"/>
      <c r="BU78" s="150"/>
      <c r="BV78" s="150"/>
      <c r="BW78" s="150"/>
      <c r="BX78" s="150"/>
      <c r="BY78" s="150"/>
      <c r="BZ78" s="150"/>
      <c r="CA78" s="150"/>
      <c r="CB78" s="150"/>
      <c r="CC78" s="150"/>
      <c r="CD78" s="150"/>
      <c r="CE78" s="150"/>
      <c r="CF78" s="150"/>
      <c r="CG78" s="150"/>
      <c r="CH78" s="150"/>
      <c r="CI78" s="150"/>
      <c r="CJ78" s="150"/>
      <c r="CK78" s="150"/>
      <c r="CL78" s="150"/>
      <c r="CM78" s="150"/>
      <c r="CN78" s="150"/>
      <c r="CO78" s="150"/>
      <c r="CP78" s="150"/>
      <c r="CQ78" s="150"/>
      <c r="CR78" s="150"/>
      <c r="CS78" s="150"/>
      <c r="CT78" s="150"/>
      <c r="CU78" s="150"/>
      <c r="CV78" s="150"/>
      <c r="CW78" s="150"/>
      <c r="CX78" s="150"/>
      <c r="CY78" s="150"/>
      <c r="CZ78" s="150"/>
      <c r="DA78" s="150"/>
      <c r="DB78" s="150"/>
      <c r="DC78" s="150"/>
      <c r="DD78" s="150"/>
      <c r="DE78" s="150"/>
      <c r="DF78" s="150"/>
      <c r="DG78" s="150"/>
      <c r="DH78" s="150"/>
      <c r="DI78" s="150"/>
      <c r="DJ78" s="150"/>
      <c r="DK78" s="150"/>
      <c r="DL78" s="150"/>
      <c r="DM78" s="150"/>
      <c r="DN78" s="150"/>
      <c r="DO78" s="150"/>
      <c r="DP78" s="150"/>
      <c r="DQ78" s="181"/>
      <c r="DR78" s="181"/>
      <c r="DS78" s="181"/>
      <c r="DT78" s="150"/>
      <c r="DU78" s="150"/>
      <c r="DV78" s="150"/>
      <c r="DW78" s="150"/>
      <c r="DX78" s="150"/>
      <c r="DY78" s="150"/>
      <c r="DZ78" s="150"/>
      <c r="EA78" s="150"/>
      <c r="EB78" s="150"/>
      <c r="EC78" s="150"/>
      <c r="ED78" s="150"/>
      <c r="EE78" s="150"/>
      <c r="EF78" s="150"/>
      <c r="EG78" s="150"/>
      <c r="EH78" s="150"/>
      <c r="EI78" s="150"/>
      <c r="EJ78" s="150"/>
      <c r="EK78" s="150"/>
      <c r="EL78" s="150"/>
      <c r="EM78" s="150"/>
      <c r="EN78" s="150"/>
      <c r="EO78" s="150"/>
      <c r="EP78" s="150"/>
      <c r="EQ78" s="150"/>
      <c r="ER78" s="150"/>
      <c r="ES78" s="150"/>
      <c r="ET78" s="150"/>
      <c r="EU78" s="150"/>
      <c r="EV78" s="150"/>
      <c r="EW78" s="150"/>
      <c r="EX78" s="150"/>
      <c r="EY78" s="150"/>
      <c r="EZ78" s="150"/>
      <c r="FA78" s="150"/>
      <c r="FB78" s="150"/>
      <c r="FC78" s="150"/>
      <c r="FD78" s="150"/>
      <c r="FE78" s="150"/>
      <c r="FF78" s="150"/>
      <c r="FG78" s="150"/>
      <c r="FH78" s="150"/>
      <c r="FI78" s="150"/>
      <c r="FJ78" s="150"/>
      <c r="FK78" s="150"/>
      <c r="FL78" s="150"/>
      <c r="FM78" s="150"/>
      <c r="FN78" s="150"/>
      <c r="FO78" s="150"/>
      <c r="FP78" s="150"/>
      <c r="FQ78" s="150"/>
      <c r="FR78" s="150"/>
      <c r="FS78" s="150"/>
      <c r="FT78" s="150"/>
      <c r="FU78" s="150"/>
      <c r="FV78" s="150"/>
      <c r="FW78" s="150"/>
      <c r="FX78" s="150"/>
      <c r="FY78" s="150"/>
      <c r="FZ78" s="150"/>
      <c r="GA78" s="150"/>
      <c r="GB78" s="150"/>
      <c r="GC78" s="150"/>
      <c r="GD78" s="150"/>
      <c r="GE78" s="150"/>
      <c r="GF78" s="150"/>
      <c r="GG78" s="150"/>
      <c r="GH78" s="150"/>
      <c r="GI78" s="150"/>
      <c r="GJ78" s="150"/>
      <c r="GK78" s="150"/>
      <c r="GL78" s="150"/>
      <c r="GM78" s="150"/>
      <c r="GN78" s="150"/>
      <c r="GO78" s="150"/>
      <c r="GP78" s="150"/>
      <c r="GQ78" s="150"/>
      <c r="GR78" s="150"/>
      <c r="GS78" s="150"/>
      <c r="GT78" s="150"/>
      <c r="GU78" s="150"/>
      <c r="GV78" s="150"/>
      <c r="GW78" s="150"/>
      <c r="GX78" s="150"/>
      <c r="GY78" s="150"/>
      <c r="GZ78" s="150"/>
      <c r="HA78" s="150"/>
      <c r="HB78" s="150"/>
      <c r="HC78" s="150"/>
      <c r="HD78" s="150"/>
      <c r="HE78" s="150"/>
      <c r="HF78" s="150"/>
      <c r="HG78" s="150"/>
      <c r="HH78" s="150"/>
    </row>
    <row r="79" spans="1:254" ht="15.75" thickBot="1" x14ac:dyDescent="0.3">
      <c r="A79" s="8"/>
      <c r="B79" s="5" t="s">
        <v>116</v>
      </c>
      <c r="C79" s="8"/>
      <c r="D79" s="40" t="s">
        <v>796</v>
      </c>
      <c r="E79" s="9"/>
      <c r="F79" s="9"/>
      <c r="G79" s="9"/>
      <c r="H79" s="9"/>
      <c r="I79" s="9"/>
      <c r="J79" s="9"/>
      <c r="K79" s="9"/>
      <c r="L79" s="6" t="s">
        <v>522</v>
      </c>
      <c r="M79" s="11">
        <f>INDEX(cennik!$C$2:$L$529,MATCH($L79,cennik!$B$2:$B$522,0),MATCH(M$2,cennik!$C$1:$L$1,0))</f>
        <v>867644</v>
      </c>
      <c r="N79" s="11" t="str">
        <f>INDEX(cennik!$C$2:$L$529,MATCH($L79,cennik!$B$2:$B$522,0),MATCH(N$2,cennik!$C$1:$L$1,0))</f>
        <v>szt.</v>
      </c>
      <c r="O79" s="11">
        <f>SUM(Y65:Y80)</f>
        <v>0</v>
      </c>
      <c r="P79" s="34">
        <f>INDEX(cennik!$C$2:$L$529,MATCH($L79,cennik!$B$2:$B$522,0),MATCH(P$2,cennik!$C$1:$L$1,0))</f>
        <v>176.8</v>
      </c>
      <c r="Q79" s="34">
        <f t="shared" si="239"/>
        <v>0</v>
      </c>
      <c r="R79" s="35">
        <f t="shared" si="204"/>
        <v>0</v>
      </c>
      <c r="S79" s="34">
        <f t="shared" si="205"/>
        <v>176.8</v>
      </c>
      <c r="T79" s="34">
        <f t="shared" si="240"/>
        <v>0</v>
      </c>
      <c r="U79" s="34">
        <f>INDEX(cennik!$C$2:$L$529,MATCH($L79,cennik!$B$2:$B$522,0),MATCH(U$2,cennik!$C$1:$L$1,0))*O79</f>
        <v>0</v>
      </c>
      <c r="V79" s="62"/>
      <c r="W79" s="150">
        <f>INDEX(($EL$58:$EX$61,$EL$64:$EX$67,$EL$70:$EX$73,$FA$58:$FM$61,$FA$64:$FM$67,$FA$70:$FM$73,$FP$58:$GB$61,$FP$64:$GB$67,$FP$70:$GB$73,$GE$58:$GQ$61,$GE$64:$GQ$67,$GE$70:$GQ$73,$GT$58:$HF$61,$GT$64:$HF$67),MATCH($L$81,$EK$58:$EK$61,0),MATCH($A80,$EL$57:$EX$57,0),MATCH($E$35,$AE$33:$AE$48,0))*$C80</f>
        <v>0</v>
      </c>
      <c r="X79" s="150">
        <f>INDEX(($EL$58:$EX$61,$EL$64:$EX$67,$EL$70:$EX$73,$FA$58:$FM$61,$FA$64:$FM$67,$FA$70:$FM$73,$FP$58:$GB$61,$FP$64:$GB$67,$FP$70:$GB$73,$GE$58:$GQ$61,$GE$64:$GQ$67,$GE$70:$GQ$73,$GT$58:$HF$61,$GT$64:$HF$67),MATCH($L$78,$EK$58:$EK$61,0),MATCH($A80,$EL$57:$EX$57,0),MATCH($E$35,$AE$33:$AE$48,0))*$C80</f>
        <v>0</v>
      </c>
      <c r="Y79" s="150">
        <f>INDEX(($EL$58:$EX$61,$EL$64:$EX$67,$EL$70:$EX$73,$FA$58:$FM$61,$FA$64:$FM$67,$FA$70:$FM$73,$FP$58:$GB$61,$FP$64:$GB$67,$FP$70:$GB$73,$GE$58:$GQ$61,$GE$64:$GQ$67,$GE$70:$GQ$73,$GT$58:$HF$61,$GT$64:$HF$67),MATCH($L$79,$EK$58:$EK$61,0),MATCH($A80,$EL$57:$EX$57,0),MATCH($E$35,$AE$33:$AE$48,0))*$C80</f>
        <v>0</v>
      </c>
      <c r="Z79" s="150">
        <f>INDEX(($EL$58:$EX$61,$EL$64:$EX$67,$EL$70:$EX$73,$FA$58:$FM$61,$FA$64:$FM$67,$FA$70:$FM$73,$FP$58:$GB$61,$FP$64:$GB$67,$FP$70:$GB$73,$GE$58:$GQ$61,$GE$64:$GQ$67,$GE$70:$GQ$73,$GT$58:$HF$61,$GT$64:$HF$67),MATCH($L$80,$EK$58:$EK$61,0),MATCH($A80,$EL$57:$EX$57,0),MATCH($E$35,$AE$33:$AE$48,0))*$C80</f>
        <v>0</v>
      </c>
      <c r="AA79" s="150"/>
      <c r="AB79" s="150"/>
      <c r="AC79" s="150"/>
      <c r="AD79" s="150"/>
      <c r="AE79" s="150"/>
      <c r="AF79" s="150"/>
      <c r="AG79" s="150"/>
      <c r="AH79" s="150"/>
      <c r="AI79" s="150"/>
      <c r="AJ79" s="150"/>
      <c r="AK79" s="150"/>
      <c r="AL79" s="150"/>
      <c r="AM79" s="150"/>
      <c r="AN79" s="150"/>
      <c r="AO79" s="150"/>
      <c r="AP79" s="150">
        <v>25</v>
      </c>
      <c r="AQ79" s="150" t="s">
        <v>314</v>
      </c>
      <c r="AR79" s="150" t="s">
        <v>312</v>
      </c>
      <c r="AS79" s="150" t="s">
        <v>309</v>
      </c>
      <c r="AT79" s="150" t="s">
        <v>313</v>
      </c>
      <c r="AU79" s="150"/>
      <c r="BA79" s="150"/>
      <c r="BB79" s="150"/>
      <c r="BC79" s="150"/>
      <c r="BD79" s="150"/>
      <c r="BE79" s="150"/>
      <c r="BF79" s="150"/>
      <c r="BG79" s="150"/>
      <c r="BH79" s="150"/>
      <c r="BI79" s="150"/>
      <c r="BJ79" s="150"/>
      <c r="BK79" s="150"/>
      <c r="BL79" s="150"/>
      <c r="BM79" s="150"/>
      <c r="BN79" s="150"/>
      <c r="BO79" s="150"/>
      <c r="BP79" s="150"/>
      <c r="BQ79" s="150"/>
      <c r="BR79" s="150"/>
      <c r="BS79" s="150"/>
      <c r="BT79" s="150"/>
      <c r="BU79" s="150"/>
      <c r="BV79" s="150"/>
      <c r="BW79" s="150"/>
      <c r="BX79" s="150"/>
      <c r="BY79" s="150"/>
      <c r="BZ79" s="150"/>
      <c r="CA79" s="150"/>
      <c r="CB79" s="150"/>
      <c r="CC79" s="150"/>
      <c r="CD79" s="150"/>
      <c r="CE79" s="150"/>
      <c r="CF79" s="150"/>
      <c r="CG79" s="150"/>
      <c r="CH79" s="150"/>
      <c r="CI79" s="150"/>
      <c r="CJ79" s="150"/>
      <c r="CK79" s="150"/>
      <c r="CL79" s="150"/>
      <c r="CM79" s="150"/>
      <c r="CN79" s="150"/>
      <c r="CO79" s="150"/>
      <c r="CP79" s="150"/>
      <c r="CQ79" s="150"/>
      <c r="CR79" s="150"/>
      <c r="CS79" s="150"/>
      <c r="CT79" s="150"/>
      <c r="CU79" s="150"/>
      <c r="CV79" s="150"/>
      <c r="CW79" s="150"/>
      <c r="CX79" s="150"/>
      <c r="CY79" s="150"/>
      <c r="CZ79" s="150"/>
      <c r="DA79" s="150"/>
      <c r="DB79" s="150"/>
      <c r="DC79" s="150"/>
      <c r="DD79" s="150"/>
      <c r="DE79" s="150"/>
      <c r="DF79" s="150"/>
      <c r="DG79" s="150"/>
      <c r="DH79" s="150"/>
      <c r="DI79" s="150"/>
      <c r="DJ79" s="150"/>
      <c r="DK79" s="150"/>
      <c r="DL79" s="150"/>
      <c r="DM79" s="150"/>
      <c r="DN79" s="150"/>
      <c r="DO79" s="150"/>
      <c r="DP79" s="150"/>
      <c r="DQ79" s="181"/>
      <c r="DR79" s="181"/>
      <c r="DS79" s="181"/>
      <c r="DT79" s="150"/>
      <c r="DU79" s="150"/>
      <c r="DV79" s="150"/>
      <c r="DW79" s="150"/>
      <c r="DX79" s="150"/>
      <c r="DY79" s="150"/>
      <c r="DZ79" s="150"/>
      <c r="EA79" s="150"/>
      <c r="EB79" s="150"/>
      <c r="EC79" s="150"/>
      <c r="ED79" s="150"/>
      <c r="EE79" s="150"/>
      <c r="EF79" s="150"/>
      <c r="EG79" s="150"/>
      <c r="EH79" s="150"/>
      <c r="EI79" s="150"/>
      <c r="EJ79" s="150"/>
      <c r="EK79" s="150"/>
      <c r="EL79" s="150"/>
      <c r="EM79" s="150"/>
      <c r="EN79" s="150"/>
      <c r="EO79" s="150"/>
      <c r="EP79" s="150"/>
      <c r="EQ79" s="150"/>
      <c r="ER79" s="150"/>
      <c r="ES79" s="150"/>
      <c r="ET79" s="150"/>
      <c r="EU79" s="150"/>
      <c r="EV79" s="150"/>
      <c r="EW79" s="150"/>
      <c r="EX79" s="150"/>
      <c r="EY79" s="150"/>
      <c r="EZ79" s="150"/>
      <c r="FA79" s="150"/>
      <c r="FB79" s="150"/>
      <c r="FC79" s="150"/>
      <c r="FD79" s="150"/>
      <c r="FE79" s="150"/>
      <c r="FF79" s="150"/>
      <c r="FG79" s="150"/>
      <c r="FH79" s="150"/>
      <c r="FI79" s="150"/>
      <c r="FJ79" s="150"/>
      <c r="FK79" s="150"/>
      <c r="FL79" s="150"/>
      <c r="FM79" s="150"/>
      <c r="FN79" s="150"/>
      <c r="FO79" s="150"/>
      <c r="FP79" s="150"/>
      <c r="FQ79" s="150"/>
      <c r="FR79" s="150"/>
      <c r="FS79" s="150"/>
      <c r="FT79" s="150"/>
      <c r="FU79" s="150"/>
      <c r="FV79" s="150"/>
      <c r="FW79" s="150"/>
      <c r="FX79" s="150"/>
      <c r="FY79" s="150"/>
      <c r="FZ79" s="150"/>
      <c r="GA79" s="150"/>
      <c r="GB79" s="150"/>
      <c r="GC79" s="150"/>
      <c r="GD79" s="150"/>
      <c r="GE79" s="150"/>
      <c r="GF79" s="150"/>
      <c r="GG79" s="150"/>
      <c r="GH79" s="150"/>
      <c r="GI79" s="150"/>
      <c r="GJ79" s="150"/>
      <c r="GK79" s="150"/>
      <c r="GL79" s="150"/>
      <c r="GM79" s="150"/>
      <c r="GN79" s="150"/>
      <c r="GO79" s="150"/>
      <c r="GP79" s="150"/>
      <c r="GQ79" s="150"/>
      <c r="GR79" s="150"/>
      <c r="GS79" s="150"/>
      <c r="GT79" s="150"/>
      <c r="GU79" s="150"/>
      <c r="GV79" s="150"/>
      <c r="GW79" s="150"/>
      <c r="GX79" s="150"/>
      <c r="GY79" s="150"/>
      <c r="GZ79" s="150"/>
      <c r="HA79" s="150"/>
      <c r="HB79" s="150"/>
      <c r="HC79" s="150"/>
      <c r="HD79" s="150"/>
      <c r="HE79" s="150"/>
      <c r="HF79" s="150"/>
      <c r="HG79" s="150"/>
      <c r="HH79" s="150"/>
    </row>
    <row r="80" spans="1:254" x14ac:dyDescent="0.25">
      <c r="A80" s="8"/>
      <c r="B80" s="5" t="s">
        <v>116</v>
      </c>
      <c r="C80" s="8"/>
      <c r="D80" s="40" t="s">
        <v>797</v>
      </c>
      <c r="E80" s="9"/>
      <c r="F80" s="9"/>
      <c r="G80" s="9"/>
      <c r="H80" s="9"/>
      <c r="I80" s="9"/>
      <c r="J80" s="9"/>
      <c r="K80" s="9"/>
      <c r="L80" s="6" t="s">
        <v>523</v>
      </c>
      <c r="M80" s="11">
        <f>INDEX(cennik!$C$2:$L$529,MATCH($L80,cennik!$B$2:$B$522,0),MATCH(M$2,cennik!$C$1:$L$1,0))</f>
        <v>867633</v>
      </c>
      <c r="N80" s="11" t="str">
        <f>INDEX(cennik!$C$2:$L$529,MATCH($L80,cennik!$B$2:$B$522,0),MATCH(N$2,cennik!$C$1:$L$1,0))</f>
        <v>szt.</v>
      </c>
      <c r="O80" s="11">
        <f>SUM(Z65:Z80)</f>
        <v>0</v>
      </c>
      <c r="P80" s="34">
        <f>INDEX(cennik!$C$2:$L$529,MATCH($L80,cennik!$B$2:$B$522,0),MATCH(P$2,cennik!$C$1:$L$1,0))</f>
        <v>132.6</v>
      </c>
      <c r="Q80" s="34">
        <f t="shared" si="239"/>
        <v>0</v>
      </c>
      <c r="R80" s="35">
        <f t="shared" si="204"/>
        <v>0</v>
      </c>
      <c r="S80" s="34">
        <f t="shared" si="205"/>
        <v>132.6</v>
      </c>
      <c r="T80" s="34">
        <f t="shared" si="240"/>
        <v>0</v>
      </c>
      <c r="U80" s="34">
        <f>INDEX(cennik!$C$2:$L$529,MATCH($L80,cennik!$B$2:$B$522,0),MATCH(U$2,cennik!$C$1:$L$1,0))*O80</f>
        <v>0</v>
      </c>
      <c r="V80" s="62"/>
      <c r="W80" s="150">
        <f>INDEX(($EL$58:$EX$61,$EL$64:$EX$67,$EL$70:$EX$73,$FA$58:$FM$61,$FA$64:$FM$67,$FA$70:$FM$73,$FP$58:$GB$61,$FP$64:$GB$67,$FP$70:$GB$73,$GE$58:$GQ$61,$GE$64:$GQ$67,$GE$70:$GQ$73,$GT$58:$HF$61,$GT$64:$HF$67),MATCH($L$81,$EK$58:$EK$61,0),MATCH($A81,$EL$57:$EX$57,0),MATCH($E$35,$AE$33:$AE$48,0))*$C81</f>
        <v>0</v>
      </c>
      <c r="X80" s="150">
        <f>INDEX(($EL$58:$EX$61,$EL$64:$EX$67,$EL$70:$EX$73,$FA$58:$FM$61,$FA$64:$FM$67,$FA$70:$FM$73,$FP$58:$GB$61,$FP$64:$GB$67,$FP$70:$GB$73,$GE$58:$GQ$61,$GE$64:$GQ$67,$GE$70:$GQ$73,$GT$58:$HF$61,$GT$64:$HF$67),MATCH($L$78,$EK$58:$EK$61,0),MATCH($A81,$EL$57:$EX$57,0),MATCH($E$35,$AE$33:$AE$48,0))*$C81</f>
        <v>0</v>
      </c>
      <c r="Y80" s="150">
        <f>INDEX(($EL$58:$EX$61,$EL$64:$EX$67,$EL$70:$EX$73,$FA$58:$FM$61,$FA$64:$FM$67,$FA$70:$FM$73,$FP$58:$GB$61,$FP$64:$GB$67,$FP$70:$GB$73,$GE$58:$GQ$61,$GE$64:$GQ$67,$GE$70:$GQ$73,$GT$58:$HF$61,$GT$64:$HF$67),MATCH($L$79,$EK$58:$EK$61,0),MATCH($A81,$EL$57:$EX$57,0),MATCH($E$35,$AE$33:$AE$48,0))*$C81</f>
        <v>0</v>
      </c>
      <c r="Z80" s="150">
        <f>INDEX(($EL$58:$EX$61,$EL$64:$EX$67,$EL$70:$EX$73,$FA$58:$FM$61,$FA$64:$FM$67,$FA$70:$FM$73,$FP$58:$GB$61,$FP$64:$GB$67,$FP$70:$GB$73,$GE$58:$GQ$61,$GE$64:$GQ$67,$GE$70:$GQ$73,$GT$58:$HF$61,$GT$64:$HF$67),MATCH($L$80,$EK$58:$EK$61,0),MATCH($A81,$EL$57:$EX$57,0),MATCH($E$35,$AE$33:$AE$48,0))*$C81</f>
        <v>0</v>
      </c>
      <c r="AA80" s="150"/>
      <c r="AB80" s="150"/>
      <c r="AC80" s="150"/>
      <c r="AD80" s="150"/>
      <c r="AE80" s="150"/>
      <c r="AF80" s="150"/>
      <c r="AG80" s="150"/>
      <c r="AH80" s="150"/>
      <c r="AI80" s="150"/>
      <c r="AJ80" s="150"/>
      <c r="AK80" s="150"/>
      <c r="AL80" s="150"/>
      <c r="AM80" s="150"/>
      <c r="AN80" s="150"/>
      <c r="AO80" s="150"/>
      <c r="AP80" s="150" t="s">
        <v>111</v>
      </c>
      <c r="AQ80" s="150" t="s">
        <v>590</v>
      </c>
      <c r="AR80" s="150" t="s">
        <v>589</v>
      </c>
      <c r="AS80" s="150" t="s">
        <v>588</v>
      </c>
      <c r="AT80" s="150" t="s">
        <v>588</v>
      </c>
      <c r="AU80" s="150"/>
      <c r="BA80" s="150"/>
      <c r="BB80" s="150"/>
      <c r="BC80" s="150"/>
      <c r="BD80" s="150"/>
      <c r="BE80" s="150"/>
      <c r="BF80" s="150"/>
      <c r="BG80" s="150"/>
      <c r="BH80" s="150"/>
      <c r="BI80" s="150"/>
      <c r="BJ80" s="150"/>
      <c r="BK80" s="150"/>
      <c r="BL80" s="150"/>
      <c r="BM80" s="150"/>
      <c r="BN80" s="150"/>
      <c r="BO80" s="150"/>
      <c r="BP80" s="150"/>
      <c r="BQ80" s="150"/>
      <c r="BR80" s="150"/>
      <c r="BS80" s="150"/>
      <c r="BT80" s="150"/>
      <c r="BU80" s="150"/>
      <c r="BV80" s="150"/>
      <c r="BW80" s="150"/>
      <c r="BX80" s="150"/>
      <c r="BY80" s="150"/>
      <c r="BZ80" s="150"/>
      <c r="CA80" s="150"/>
      <c r="CB80" s="150"/>
      <c r="CC80" s="150"/>
      <c r="CD80" s="150"/>
      <c r="CE80" s="150"/>
      <c r="CF80" s="150"/>
      <c r="CG80" s="150"/>
      <c r="CH80" s="150"/>
      <c r="CI80" s="150"/>
      <c r="CJ80" s="150"/>
      <c r="CK80" s="150"/>
      <c r="CL80" s="150"/>
      <c r="CM80" s="150"/>
      <c r="CN80" s="150"/>
      <c r="CO80" s="150"/>
      <c r="CP80" s="150"/>
      <c r="CQ80" s="150"/>
      <c r="CR80" s="150"/>
      <c r="CS80" s="150"/>
      <c r="CT80" s="150"/>
      <c r="CU80" s="150"/>
      <c r="CV80" s="150"/>
      <c r="CW80" s="150"/>
      <c r="CX80" s="150"/>
      <c r="CY80" s="150"/>
      <c r="CZ80" s="150"/>
      <c r="DA80" s="150"/>
      <c r="DB80" s="150"/>
      <c r="DC80" s="150"/>
      <c r="DD80" s="150"/>
      <c r="DE80" s="150"/>
      <c r="DF80" s="150"/>
      <c r="DG80" s="150"/>
      <c r="DH80" s="150"/>
      <c r="DI80" s="150"/>
      <c r="DJ80" s="150"/>
      <c r="DK80" s="150"/>
      <c r="DL80" s="150"/>
      <c r="DM80" s="150"/>
      <c r="DN80" s="150"/>
      <c r="DO80" s="150"/>
      <c r="DP80" s="150"/>
      <c r="DQ80" s="181"/>
      <c r="DR80" s="181"/>
      <c r="DS80" s="181"/>
      <c r="DT80" s="150"/>
      <c r="DU80" s="150"/>
      <c r="DV80" s="150"/>
      <c r="DW80" s="150"/>
      <c r="DX80" s="150"/>
      <c r="DY80" s="150"/>
      <c r="DZ80" s="150"/>
      <c r="EA80" s="150"/>
      <c r="EB80" s="150"/>
      <c r="EC80" s="150"/>
      <c r="ED80" s="150"/>
      <c r="EE80" s="150"/>
      <c r="EF80" s="150"/>
      <c r="EG80" s="150"/>
      <c r="EH80" s="150"/>
      <c r="EI80" s="150"/>
      <c r="EJ80" s="151"/>
      <c r="EK80" s="152"/>
      <c r="EL80" s="152"/>
      <c r="EM80" s="152"/>
      <c r="EN80" s="152"/>
      <c r="EO80" s="152"/>
      <c r="EP80" s="152"/>
      <c r="EQ80" s="152"/>
      <c r="ER80" s="152"/>
      <c r="ES80" s="152"/>
      <c r="ET80" s="152"/>
      <c r="EU80" s="152"/>
      <c r="EV80" s="152"/>
      <c r="EW80" s="152"/>
      <c r="EX80" s="152"/>
      <c r="EY80" s="152"/>
      <c r="EZ80" s="152"/>
      <c r="FA80" s="152"/>
      <c r="FB80" s="152"/>
      <c r="FC80" s="152"/>
      <c r="FD80" s="152"/>
      <c r="FE80" s="152"/>
      <c r="FF80" s="152"/>
      <c r="FG80" s="152"/>
      <c r="FH80" s="152"/>
      <c r="FI80" s="152"/>
      <c r="FJ80" s="152"/>
      <c r="FK80" s="152"/>
      <c r="FL80" s="152"/>
      <c r="FM80" s="152"/>
      <c r="FN80" s="152"/>
      <c r="FO80" s="152"/>
      <c r="FP80" s="152"/>
      <c r="FQ80" s="152"/>
      <c r="FR80" s="152"/>
      <c r="FS80" s="152"/>
      <c r="FT80" s="152"/>
      <c r="FU80" s="152"/>
      <c r="FV80" s="152"/>
      <c r="FW80" s="152"/>
      <c r="FX80" s="152"/>
      <c r="FY80" s="152"/>
      <c r="FZ80" s="152"/>
      <c r="GA80" s="152"/>
      <c r="GB80" s="152"/>
      <c r="GC80" s="152"/>
      <c r="GD80" s="152"/>
      <c r="GE80" s="152"/>
      <c r="GF80" s="152"/>
      <c r="GG80" s="152"/>
      <c r="GH80" s="152"/>
      <c r="GI80" s="152"/>
      <c r="GJ80" s="152"/>
      <c r="GK80" s="152"/>
      <c r="GL80" s="152"/>
      <c r="GM80" s="152"/>
      <c r="GN80" s="152"/>
      <c r="GO80" s="152"/>
      <c r="GP80" s="152"/>
      <c r="GQ80" s="152"/>
      <c r="GR80" s="152"/>
      <c r="GS80" s="152"/>
      <c r="GT80" s="152"/>
      <c r="GU80" s="152"/>
      <c r="GV80" s="152"/>
      <c r="GW80" s="152"/>
      <c r="GX80" s="152"/>
      <c r="GY80" s="152"/>
      <c r="GZ80" s="152"/>
      <c r="HA80" s="152"/>
      <c r="HB80" s="152"/>
      <c r="HC80" s="152"/>
      <c r="HD80" s="152"/>
      <c r="HE80" s="152"/>
      <c r="HF80" s="152"/>
      <c r="HG80" s="152"/>
      <c r="HH80" s="152"/>
      <c r="HI80" s="162"/>
      <c r="HJ80" s="162"/>
      <c r="HK80" s="162"/>
      <c r="HL80" s="162"/>
      <c r="HM80" s="162"/>
      <c r="HN80" s="162"/>
      <c r="HO80" s="162"/>
      <c r="HP80" s="162"/>
      <c r="HQ80" s="162"/>
      <c r="HR80" s="162"/>
      <c r="HS80" s="162"/>
      <c r="HT80" s="162"/>
      <c r="HU80" s="162"/>
      <c r="HV80" s="162"/>
      <c r="HW80" s="162"/>
      <c r="HX80" s="162"/>
      <c r="HY80" s="162"/>
      <c r="HZ80" s="162"/>
      <c r="IA80" s="162"/>
      <c r="IB80" s="162"/>
      <c r="IC80" s="162"/>
      <c r="ID80" s="162"/>
      <c r="IE80" s="162"/>
      <c r="IF80" s="162"/>
      <c r="IG80" s="162"/>
      <c r="IH80" s="162"/>
      <c r="II80" s="162"/>
      <c r="IJ80" s="162"/>
      <c r="IK80" s="162"/>
      <c r="IL80" s="162"/>
      <c r="IM80" s="162"/>
      <c r="IN80" s="162"/>
      <c r="IO80" s="162"/>
      <c r="IP80" s="162"/>
      <c r="IQ80" s="162"/>
      <c r="IR80" s="162"/>
      <c r="IS80" s="162"/>
      <c r="IT80" s="163"/>
    </row>
    <row r="81" spans="1:254" x14ac:dyDescent="0.25">
      <c r="A81" s="8"/>
      <c r="B81" s="5" t="s">
        <v>116</v>
      </c>
      <c r="C81" s="8"/>
      <c r="D81" s="40" t="s">
        <v>798</v>
      </c>
      <c r="E81" s="9"/>
      <c r="F81" s="9"/>
      <c r="G81" s="9"/>
      <c r="H81" s="9"/>
      <c r="I81" s="9"/>
      <c r="J81" s="9"/>
      <c r="K81" s="9"/>
      <c r="L81" s="6" t="s">
        <v>779</v>
      </c>
      <c r="M81" s="11">
        <f>INDEX(cennik!$C$2:$L$529,MATCH($L81,cennik!$B$2:$B$522,0),MATCH(M$2,cennik!$C$1:$L$1,0))</f>
        <v>856105</v>
      </c>
      <c r="N81" s="11" t="str">
        <f>INDEX(cennik!$C$2:$L$529,MATCH($L81,cennik!$B$2:$B$522,0),MATCH(N$2,cennik!$C$1:$L$1,0))</f>
        <v>szt.</v>
      </c>
      <c r="O81" s="11">
        <f>SUM(W65:W80)</f>
        <v>0</v>
      </c>
      <c r="P81" s="34">
        <f>INDEX(cennik!$C$2:$L$529,MATCH($L81,cennik!$B$2:$B$522,0),MATCH(P$2,cennik!$C$1:$L$1,0))</f>
        <v>21.81</v>
      </c>
      <c r="Q81" s="34">
        <f t="shared" si="239"/>
        <v>0</v>
      </c>
      <c r="R81" s="35">
        <f t="shared" si="204"/>
        <v>0</v>
      </c>
      <c r="S81" s="34">
        <f t="shared" si="205"/>
        <v>21.81</v>
      </c>
      <c r="T81" s="34">
        <f t="shared" si="240"/>
        <v>0</v>
      </c>
      <c r="U81" s="34">
        <f>INDEX(cennik!$C$2:$L$529,MATCH($L81,cennik!$B$2:$B$522,0),MATCH(U$2,cennik!$C$1:$L$1,0))*O81</f>
        <v>0</v>
      </c>
      <c r="V81" s="62"/>
      <c r="W81" s="150"/>
      <c r="X81" s="62"/>
      <c r="Y81" s="62"/>
      <c r="Z81" s="62"/>
      <c r="AA81" s="150"/>
      <c r="AB81" s="150"/>
      <c r="AC81" s="150"/>
      <c r="AD81" s="150"/>
      <c r="AE81" s="150"/>
      <c r="AF81" s="150"/>
      <c r="AG81" s="150"/>
      <c r="AH81" s="150"/>
      <c r="AI81" s="150"/>
      <c r="AJ81" s="150"/>
      <c r="AK81" s="150"/>
      <c r="AL81" s="150"/>
      <c r="AM81" s="150"/>
      <c r="AN81" s="150"/>
      <c r="AO81" s="150"/>
      <c r="AP81" s="150" t="s">
        <v>112</v>
      </c>
      <c r="AQ81" s="150" t="s">
        <v>590</v>
      </c>
      <c r="AR81" s="150" t="s">
        <v>589</v>
      </c>
      <c r="AS81" s="150" t="s">
        <v>588</v>
      </c>
      <c r="AT81" s="150" t="s">
        <v>588</v>
      </c>
      <c r="AU81" s="150"/>
      <c r="BA81" s="150"/>
      <c r="BB81" s="150"/>
      <c r="BC81" s="150"/>
      <c r="BD81" s="150"/>
      <c r="BE81" s="150"/>
      <c r="BF81" s="150"/>
      <c r="BG81" s="150"/>
      <c r="BH81" s="150"/>
      <c r="BI81" s="150"/>
      <c r="BJ81" s="150"/>
      <c r="BK81" s="150"/>
      <c r="BL81" s="150"/>
      <c r="BM81" s="150"/>
      <c r="BN81" s="150"/>
      <c r="BO81" s="150"/>
      <c r="BP81" s="150"/>
      <c r="BQ81" s="150"/>
      <c r="BR81" s="150"/>
      <c r="BS81" s="150"/>
      <c r="BT81" s="150"/>
      <c r="BU81" s="150"/>
      <c r="BV81" s="150"/>
      <c r="BW81" s="150"/>
      <c r="BX81" s="150"/>
      <c r="BY81" s="150"/>
      <c r="BZ81" s="150"/>
      <c r="CA81" s="150"/>
      <c r="CB81" s="150"/>
      <c r="CC81" s="150"/>
      <c r="CD81" s="150"/>
      <c r="CE81" s="150"/>
      <c r="CF81" s="150"/>
      <c r="CG81" s="150"/>
      <c r="CH81" s="150"/>
      <c r="CI81" s="150"/>
      <c r="CJ81" s="150"/>
      <c r="CK81" s="150"/>
      <c r="CL81" s="150"/>
      <c r="CM81" s="150"/>
      <c r="CN81" s="150"/>
      <c r="CO81" s="150"/>
      <c r="CP81" s="150"/>
      <c r="CQ81" s="150"/>
      <c r="CR81" s="150"/>
      <c r="CS81" s="150"/>
      <c r="CT81" s="150"/>
      <c r="CU81" s="150"/>
      <c r="CV81" s="150"/>
      <c r="CW81" s="150"/>
      <c r="CX81" s="150"/>
      <c r="CY81" s="150"/>
      <c r="CZ81" s="150"/>
      <c r="DA81" s="150"/>
      <c r="DB81" s="150"/>
      <c r="DC81" s="150"/>
      <c r="DD81" s="150"/>
      <c r="DE81" s="150"/>
      <c r="DF81" s="150"/>
      <c r="DG81" s="150"/>
      <c r="DH81" s="150"/>
      <c r="DI81" s="150"/>
      <c r="DJ81" s="150"/>
      <c r="DK81" s="150"/>
      <c r="DL81" s="150"/>
      <c r="DM81" s="150"/>
      <c r="DN81" s="150"/>
      <c r="DO81" s="150"/>
      <c r="DP81" s="150"/>
      <c r="DQ81" s="181"/>
      <c r="DR81" s="181"/>
      <c r="DS81" s="181"/>
      <c r="DT81" s="150"/>
      <c r="DU81" s="150"/>
      <c r="DV81" s="150"/>
      <c r="DW81" s="150"/>
      <c r="DX81" s="150"/>
      <c r="DY81" s="150"/>
      <c r="DZ81" s="150"/>
      <c r="EA81" s="150"/>
      <c r="EB81" s="150"/>
      <c r="EC81" s="150"/>
      <c r="ED81" s="150"/>
      <c r="EE81" s="150"/>
      <c r="EF81" s="150"/>
      <c r="EG81" s="150"/>
      <c r="EH81" s="150"/>
      <c r="EI81" s="150"/>
      <c r="EJ81" s="155"/>
      <c r="EK81" s="150"/>
      <c r="EL81" s="150"/>
      <c r="EM81" s="150" t="s">
        <v>766</v>
      </c>
      <c r="EN81" s="150"/>
      <c r="EO81" s="150"/>
      <c r="EP81" s="150"/>
      <c r="EQ81" s="150"/>
      <c r="ER81" s="150"/>
      <c r="ES81" s="150"/>
      <c r="ET81" s="150"/>
      <c r="EU81" s="150"/>
      <c r="EV81" s="150"/>
      <c r="EW81" s="150"/>
      <c r="EX81" s="150"/>
      <c r="EY81" s="150"/>
      <c r="EZ81" s="150"/>
      <c r="FA81" s="150"/>
      <c r="FB81" s="150"/>
      <c r="FC81" s="150"/>
      <c r="FD81" s="150"/>
      <c r="FE81" s="150"/>
      <c r="FF81" s="150"/>
      <c r="FG81" s="150"/>
      <c r="FH81" s="150"/>
      <c r="FI81" s="150"/>
      <c r="FJ81" s="150"/>
      <c r="FK81" s="150"/>
      <c r="FL81" s="150"/>
      <c r="FM81" s="150"/>
      <c r="FN81" s="150"/>
      <c r="FO81" s="150"/>
      <c r="FP81" s="150"/>
      <c r="FQ81" s="150"/>
      <c r="FR81" s="150"/>
      <c r="FS81" s="150"/>
      <c r="FT81" s="150"/>
      <c r="FU81" s="150"/>
      <c r="FV81" s="150"/>
      <c r="FW81" s="150"/>
      <c r="FX81" s="150"/>
      <c r="FY81" s="150"/>
      <c r="FZ81" s="150"/>
      <c r="GA81" s="150"/>
      <c r="GB81" s="150"/>
      <c r="GC81" s="150"/>
      <c r="GD81" s="150"/>
      <c r="GE81" s="150"/>
      <c r="GF81" s="150"/>
      <c r="GG81" s="150"/>
      <c r="GH81" s="150"/>
      <c r="GI81" s="150"/>
      <c r="GJ81" s="150"/>
      <c r="GK81" s="150"/>
      <c r="GL81" s="150"/>
      <c r="GM81" s="150"/>
      <c r="GN81" s="150"/>
      <c r="GO81" s="150"/>
      <c r="GP81" s="150"/>
      <c r="GQ81" s="150"/>
      <c r="GR81" s="150"/>
      <c r="GS81" s="150"/>
      <c r="GT81" s="150"/>
      <c r="GU81" s="150"/>
      <c r="GV81" s="150"/>
      <c r="GW81" s="150"/>
      <c r="GX81" s="150"/>
      <c r="GY81" s="150"/>
      <c r="GZ81" s="150"/>
      <c r="HA81" s="150"/>
      <c r="HB81" s="150"/>
      <c r="HC81" s="150"/>
      <c r="HD81" s="150"/>
      <c r="HE81" s="150"/>
      <c r="HF81" s="150"/>
      <c r="HG81" s="150"/>
      <c r="HH81" s="150"/>
      <c r="IT81" s="157"/>
    </row>
    <row r="82" spans="1:254" x14ac:dyDescent="0.25">
      <c r="A82" s="9"/>
      <c r="B82" s="6"/>
      <c r="C82" s="9"/>
      <c r="D82" s="9"/>
      <c r="E82" s="9"/>
      <c r="F82" s="9"/>
      <c r="G82" s="9"/>
      <c r="H82" s="9"/>
      <c r="I82" s="9"/>
      <c r="J82" s="9"/>
      <c r="K82" s="9"/>
      <c r="L82" s="6" t="str">
        <f>INDEX(($AH$3:$AI$12),MATCH(I67,$AG$3:$AG$12,0),MATCH(E68,$AH$2:$AI$2,0))</f>
        <v>BUF35</v>
      </c>
      <c r="M82" s="11">
        <f>INDEX(cennik!$C$2:$L$529,MATCH($L82,cennik!$B$2:$B$522,0),MATCH(M$2,cennik!$C$1:$L$1,0))</f>
        <v>897335</v>
      </c>
      <c r="N82" s="11" t="str">
        <f>INDEX(cennik!$C$2:$L$529,MATCH($L82,cennik!$B$2:$B$522,0),MATCH(N$2,cennik!$C$1:$L$1,0))</f>
        <v>szt.</v>
      </c>
      <c r="O82" s="11">
        <f>SUM((A66/6*4*C66),(A67/6*4*C67),(A68/6*4*C68),(A69/6*4*C69),(A70/6*4*C70),(A71/6*4*C71),(A72/6*4*C72),(A73/6*4*C73),(A74/6*4*C74),(A75/6*4*C75),(A76/6*4*C76),(A77/6*4*C77),(A78/6*4*C78),(A79/6*4*C79),(A80/6*4*C80),(A81/6*4*C81))</f>
        <v>0</v>
      </c>
      <c r="P82" s="34">
        <f>INDEX(cennik!$C$2:$L$529,MATCH($L82,cennik!$B$2:$B$522,0),MATCH(P$2,cennik!$C$1:$L$1,0))</f>
        <v>1.92</v>
      </c>
      <c r="Q82" s="34">
        <f t="shared" si="239"/>
        <v>0</v>
      </c>
      <c r="R82" s="35">
        <f t="shared" si="204"/>
        <v>0</v>
      </c>
      <c r="S82" s="34">
        <f t="shared" si="205"/>
        <v>1.92</v>
      </c>
      <c r="T82" s="34">
        <f t="shared" si="240"/>
        <v>0</v>
      </c>
      <c r="U82" s="34">
        <f>INDEX(cennik!$C$2:$L$529,MATCH($L82,cennik!$B$2:$B$522,0),MATCH(U$2,cennik!$C$1:$L$1,0))*O82</f>
        <v>0</v>
      </c>
      <c r="V82" s="150"/>
      <c r="W82" s="150">
        <f>INDEX(($EL$58:$EX$61,$FA$58:$FM$61,$FP$58:$GB$61,$GE$58:$GQ$61,$GT$58:$HF$61,$GT$64:$HF$67,$GE$64:$GQ$67,$GE$70:$GQ$73,$FP$64:$GB$67,$FP$70:$GB$73,$FA$70:$FM$73,$FA$64:$FM$67,$EL$64:$EX$67,$EL$70:$EX$73),MATCH($L$81,$EK$58:$EK$61,1),MATCH($A66,$EL$57:$EX$57,1),MATCH($E$67,$AE$33:$AE$48,1))*C66</f>
        <v>0</v>
      </c>
      <c r="X82" s="62"/>
      <c r="Y82" s="62"/>
      <c r="Z82" s="62"/>
      <c r="AA82" s="150"/>
      <c r="AB82" s="150"/>
      <c r="AC82" s="150"/>
      <c r="AD82" s="150"/>
      <c r="AE82" s="150"/>
      <c r="AF82" s="150"/>
      <c r="AG82" s="150"/>
      <c r="AH82" s="150"/>
      <c r="AI82" s="150"/>
      <c r="AJ82" s="150"/>
      <c r="AK82" s="150"/>
      <c r="AL82" s="150"/>
      <c r="AM82" s="150"/>
      <c r="AN82" s="150"/>
      <c r="AO82" s="150"/>
      <c r="AP82" s="150" t="s">
        <v>132</v>
      </c>
      <c r="AQ82" s="150" t="s">
        <v>590</v>
      </c>
      <c r="AR82" s="150" t="s">
        <v>589</v>
      </c>
      <c r="AS82" s="150" t="s">
        <v>588</v>
      </c>
      <c r="AT82" s="150" t="s">
        <v>588</v>
      </c>
      <c r="AU82" s="150"/>
      <c r="BA82" s="150"/>
      <c r="BB82" s="150"/>
      <c r="BC82" s="150"/>
      <c r="BD82" s="150"/>
      <c r="BE82" s="150"/>
      <c r="BF82" s="150"/>
      <c r="BG82" s="150"/>
      <c r="BH82" s="150"/>
      <c r="BI82" s="150"/>
      <c r="BJ82" s="150"/>
      <c r="BK82" s="150"/>
      <c r="BL82" s="150"/>
      <c r="BM82" s="150"/>
      <c r="BN82" s="150"/>
      <c r="BO82" s="150"/>
      <c r="BP82" s="150"/>
      <c r="BQ82" s="150"/>
      <c r="BR82" s="150"/>
      <c r="BS82" s="150"/>
      <c r="BT82" s="150"/>
      <c r="BU82" s="150"/>
      <c r="BV82" s="150"/>
      <c r="BW82" s="150"/>
      <c r="BX82" s="150"/>
      <c r="BY82" s="150"/>
      <c r="BZ82" s="150"/>
      <c r="CA82" s="150"/>
      <c r="CB82" s="150"/>
      <c r="CC82" s="150"/>
      <c r="CD82" s="150"/>
      <c r="CE82" s="150"/>
      <c r="CF82" s="150"/>
      <c r="CG82" s="150"/>
      <c r="CH82" s="150"/>
      <c r="CI82" s="150"/>
      <c r="CJ82" s="150"/>
      <c r="CK82" s="150"/>
      <c r="CL82" s="150"/>
      <c r="CM82" s="150"/>
      <c r="CN82" s="150"/>
      <c r="CO82" s="150"/>
      <c r="CP82" s="150"/>
      <c r="CQ82" s="150"/>
      <c r="CR82" s="150"/>
      <c r="CS82" s="150"/>
      <c r="CT82" s="150"/>
      <c r="CU82" s="150"/>
      <c r="CV82" s="150"/>
      <c r="CW82" s="150"/>
      <c r="CX82" s="150"/>
      <c r="CY82" s="150"/>
      <c r="CZ82" s="150"/>
      <c r="DA82" s="150"/>
      <c r="DB82" s="150"/>
      <c r="DC82" s="150"/>
      <c r="DD82" s="150"/>
      <c r="DE82" s="150"/>
      <c r="DF82" s="150"/>
      <c r="DG82" s="150"/>
      <c r="DH82" s="150"/>
      <c r="DI82" s="150"/>
      <c r="DJ82" s="150"/>
      <c r="DK82" s="150"/>
      <c r="DL82" s="150"/>
      <c r="DM82" s="150"/>
      <c r="DN82" s="150"/>
      <c r="DO82" s="150"/>
      <c r="DP82" s="150"/>
      <c r="DQ82" s="181"/>
      <c r="DR82" s="181"/>
      <c r="DS82" s="181"/>
      <c r="DT82" s="150"/>
      <c r="DU82" s="150"/>
      <c r="DV82" s="150"/>
      <c r="DW82" s="150"/>
      <c r="DX82" s="150"/>
      <c r="DY82" s="150"/>
      <c r="DZ82" s="150"/>
      <c r="EA82" s="150"/>
      <c r="EB82" s="150"/>
      <c r="EC82" s="150"/>
      <c r="ED82" s="150"/>
      <c r="EE82" s="150"/>
      <c r="EF82" s="150"/>
      <c r="EG82" s="150"/>
      <c r="EH82" s="150"/>
      <c r="EI82" s="150"/>
      <c r="EJ82" s="155"/>
      <c r="EK82" s="150"/>
      <c r="EL82" s="150"/>
      <c r="EM82" s="150"/>
      <c r="EN82" s="150"/>
      <c r="EO82" s="150"/>
      <c r="EP82" s="150"/>
      <c r="EQ82" s="150"/>
      <c r="ER82" s="150"/>
      <c r="ES82" s="150"/>
      <c r="ET82" s="150"/>
      <c r="EU82" s="150"/>
      <c r="EV82" s="150"/>
      <c r="EW82" s="150"/>
      <c r="EX82" s="150"/>
      <c r="EY82" s="150"/>
      <c r="EZ82" s="150"/>
      <c r="FA82" s="150"/>
      <c r="FB82" s="150"/>
      <c r="FC82" s="150"/>
      <c r="FD82" s="150"/>
      <c r="FE82" s="150"/>
      <c r="FF82" s="150"/>
      <c r="FG82" s="150"/>
      <c r="FH82" s="150"/>
      <c r="FI82" s="150"/>
      <c r="FJ82" s="150"/>
      <c r="FK82" s="150"/>
      <c r="FL82" s="150"/>
      <c r="FM82" s="150"/>
      <c r="FN82" s="150"/>
      <c r="FO82" s="150"/>
      <c r="FP82" s="150"/>
      <c r="FQ82" s="150"/>
      <c r="FR82" s="150"/>
      <c r="FS82" s="150"/>
      <c r="FT82" s="150"/>
      <c r="FU82" s="150"/>
      <c r="FV82" s="150"/>
      <c r="FW82" s="150"/>
      <c r="FX82" s="150"/>
      <c r="FY82" s="150"/>
      <c r="FZ82" s="150"/>
      <c r="GA82" s="150"/>
      <c r="GB82" s="150"/>
      <c r="GC82" s="150"/>
      <c r="GD82" s="150"/>
      <c r="GE82" s="150"/>
      <c r="GF82" s="150"/>
      <c r="GG82" s="150"/>
      <c r="GH82" s="150"/>
      <c r="GI82" s="150"/>
      <c r="GJ82" s="150"/>
      <c r="GK82" s="150"/>
      <c r="GL82" s="150"/>
      <c r="GM82" s="150"/>
      <c r="GN82" s="150"/>
      <c r="GO82" s="150"/>
      <c r="GP82" s="150"/>
      <c r="GQ82" s="150"/>
      <c r="GR82" s="150"/>
      <c r="GS82" s="150"/>
      <c r="GT82" s="150"/>
      <c r="GU82" s="150"/>
      <c r="GV82" s="150"/>
      <c r="GW82" s="150"/>
      <c r="GX82" s="150"/>
      <c r="GY82" s="150"/>
      <c r="GZ82" s="150"/>
      <c r="HA82" s="150"/>
      <c r="HB82" s="150"/>
      <c r="HC82" s="150"/>
      <c r="HD82" s="150"/>
      <c r="HE82" s="150"/>
      <c r="HF82" s="150"/>
      <c r="HG82" s="150"/>
      <c r="HH82" s="150"/>
      <c r="IT82" s="157"/>
    </row>
    <row r="83" spans="1:254" x14ac:dyDescent="0.2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6" t="str">
        <f>INDEX(($AH$13:$AI$13),1,MATCH(E68,$AH$2:$AI$2,0))</f>
        <v>PUF</v>
      </c>
      <c r="M83" s="11">
        <f>INDEX(cennik!$C$2:$L$529,MATCH($L83,cennik!$B$2:$B$522,0),MATCH(M$2,cennik!$C$1:$L$1,0))</f>
        <v>897300</v>
      </c>
      <c r="N83" s="11" t="str">
        <f>INDEX(cennik!$C$2:$L$529,MATCH($L83,cennik!$B$2:$B$522,0),MATCH(N$2,cennik!$C$1:$L$1,0))</f>
        <v>szt.</v>
      </c>
      <c r="O83" s="11">
        <f>SUM(((A66/6)*10)*C66,((A67/6)*10)*C67,((A68/6)*10)*C68,((A69/6)*10)*C69,((A70/6)*10)*C70,((A71/6)*10)*C71,((A72/6)*10)*C72,((A73/6)*10)*C73,((A74/6)*10)*C74,((A75/6)*10)*C75,((A76/6)*10)*C76,((A77/6)*10)*C77,((A78/6)*10)*C78,((A79/6)*10)*C79,((A80/6)*10)*C80,((A81/6)*10)*C81)</f>
        <v>0</v>
      </c>
      <c r="P83" s="34">
        <f>INDEX(cennik!$C$2:$L$529,MATCH($L83,cennik!$B$2:$B$522,0),MATCH(P$2,cennik!$C$1:$L$1,0))</f>
        <v>2.06</v>
      </c>
      <c r="Q83" s="34">
        <f t="shared" si="239"/>
        <v>0</v>
      </c>
      <c r="R83" s="35">
        <f t="shared" si="204"/>
        <v>0</v>
      </c>
      <c r="S83" s="34">
        <f t="shared" si="205"/>
        <v>2.06</v>
      </c>
      <c r="T83" s="34">
        <f t="shared" si="240"/>
        <v>0</v>
      </c>
      <c r="U83" s="34">
        <f>INDEX(cennik!$C$2:$L$529,MATCH($L83,cennik!$B$2:$B$522,0),MATCH(U$2,cennik!$C$1:$L$1,0))*O83</f>
        <v>0</v>
      </c>
      <c r="V83" s="166"/>
      <c r="W83" s="62"/>
      <c r="X83" s="62"/>
      <c r="Y83" s="62"/>
      <c r="Z83" s="62"/>
      <c r="AA83" s="150"/>
      <c r="AB83" s="150"/>
      <c r="AC83" s="150"/>
      <c r="AD83" s="150"/>
      <c r="AE83" s="150"/>
      <c r="AF83" s="150"/>
      <c r="AG83" s="150"/>
      <c r="AH83" s="150"/>
      <c r="AI83" s="150"/>
      <c r="AJ83" s="150"/>
      <c r="AK83" s="150"/>
      <c r="AL83" s="150"/>
      <c r="AM83" s="150"/>
      <c r="AN83" s="150"/>
      <c r="AO83" s="150"/>
      <c r="AP83" s="150" t="s">
        <v>470</v>
      </c>
      <c r="AQ83" s="150" t="s">
        <v>590</v>
      </c>
      <c r="AR83" s="150" t="s">
        <v>589</v>
      </c>
      <c r="AS83" s="150" t="s">
        <v>588</v>
      </c>
      <c r="AT83" s="150" t="s">
        <v>588</v>
      </c>
      <c r="AU83" s="150"/>
      <c r="BA83" s="150"/>
      <c r="BB83" s="150"/>
      <c r="BC83" s="150"/>
      <c r="BD83" s="150"/>
      <c r="BE83" s="150"/>
      <c r="BF83" s="150"/>
      <c r="BG83" s="150"/>
      <c r="BH83" s="150"/>
      <c r="BI83" s="150"/>
      <c r="BJ83" s="150"/>
      <c r="BK83" s="150"/>
      <c r="BL83" s="150"/>
      <c r="BM83" s="150"/>
      <c r="BN83" s="150"/>
      <c r="BO83" s="150"/>
      <c r="BP83" s="150"/>
      <c r="BQ83" s="150"/>
      <c r="BR83" s="150"/>
      <c r="BS83" s="150"/>
      <c r="BT83" s="150"/>
      <c r="BU83" s="150"/>
      <c r="BV83" s="150"/>
      <c r="BW83" s="150"/>
      <c r="BX83" s="150"/>
      <c r="BY83" s="150"/>
      <c r="BZ83" s="150"/>
      <c r="CA83" s="150"/>
      <c r="CB83" s="150"/>
      <c r="CC83" s="150"/>
      <c r="CD83" s="150"/>
      <c r="CE83" s="150"/>
      <c r="CF83" s="150"/>
      <c r="CG83" s="150"/>
      <c r="CH83" s="150"/>
      <c r="CI83" s="150"/>
      <c r="CJ83" s="150"/>
      <c r="CK83" s="150"/>
      <c r="CL83" s="150"/>
      <c r="CM83" s="150"/>
      <c r="CN83" s="150"/>
      <c r="CO83" s="150"/>
      <c r="CP83" s="150"/>
      <c r="CQ83" s="150"/>
      <c r="CR83" s="150"/>
      <c r="CS83" s="150"/>
      <c r="CT83" s="150"/>
      <c r="CU83" s="150"/>
      <c r="CV83" s="150"/>
      <c r="CW83" s="150"/>
      <c r="CX83" s="150"/>
      <c r="CY83" s="150"/>
      <c r="CZ83" s="150"/>
      <c r="DA83" s="150"/>
      <c r="DB83" s="150"/>
      <c r="DC83" s="150"/>
      <c r="DD83" s="150"/>
      <c r="DE83" s="150"/>
      <c r="DF83" s="150"/>
      <c r="DG83" s="150"/>
      <c r="DH83" s="150"/>
      <c r="DI83" s="150"/>
      <c r="DJ83" s="150"/>
      <c r="DK83" s="150"/>
      <c r="DL83" s="150"/>
      <c r="DM83" s="150"/>
      <c r="DN83" s="150"/>
      <c r="DO83" s="150"/>
      <c r="DP83" s="150"/>
      <c r="DQ83" s="181"/>
      <c r="DR83" s="181">
        <v>0</v>
      </c>
      <c r="DS83" s="181"/>
      <c r="DT83" s="150"/>
      <c r="DU83" s="150"/>
      <c r="DV83" s="150"/>
      <c r="DW83" s="150"/>
      <c r="DX83" s="150"/>
      <c r="DY83" s="150"/>
      <c r="DZ83" s="150"/>
      <c r="EA83" s="150"/>
      <c r="EB83" s="150"/>
      <c r="EC83" s="150"/>
      <c r="ED83" s="150"/>
      <c r="EE83" s="150"/>
      <c r="EF83" s="150"/>
      <c r="EG83" s="150"/>
      <c r="EH83" s="150"/>
      <c r="EI83" s="150"/>
      <c r="EJ83" s="155"/>
      <c r="EK83" s="150"/>
      <c r="EL83" s="150"/>
      <c r="EM83" s="150"/>
      <c r="EN83" s="150"/>
      <c r="EO83" s="150"/>
      <c r="EP83" s="150"/>
      <c r="EQ83" s="150"/>
      <c r="ER83" s="150"/>
      <c r="ES83" s="150"/>
      <c r="ET83" s="150"/>
      <c r="EU83" s="150"/>
      <c r="EV83" s="150"/>
      <c r="EW83" s="150"/>
      <c r="EX83" s="150"/>
      <c r="EY83" s="150"/>
      <c r="EZ83" s="150"/>
      <c r="FA83" s="150"/>
      <c r="FB83" s="150"/>
      <c r="FC83" s="150"/>
      <c r="FD83" s="150"/>
      <c r="FE83" s="150"/>
      <c r="FF83" s="150"/>
      <c r="FG83" s="150"/>
      <c r="FH83" s="150"/>
      <c r="FI83" s="150"/>
      <c r="FJ83" s="150"/>
      <c r="FK83" s="150"/>
      <c r="FL83" s="150"/>
      <c r="FM83" s="150"/>
      <c r="FN83" s="150"/>
      <c r="FO83" s="150"/>
      <c r="FP83" s="150"/>
      <c r="FQ83" s="150"/>
      <c r="FR83" s="150"/>
      <c r="FS83" s="150"/>
      <c r="FT83" s="150"/>
      <c r="FU83" s="150"/>
      <c r="FV83" s="150"/>
      <c r="FW83" s="150"/>
      <c r="FX83" s="150"/>
      <c r="FY83" s="150"/>
      <c r="FZ83" s="150"/>
      <c r="GA83" s="150"/>
      <c r="GB83" s="150"/>
      <c r="GC83" s="150"/>
      <c r="GD83" s="150"/>
      <c r="GE83" s="150"/>
      <c r="GF83" s="150"/>
      <c r="GG83" s="150"/>
      <c r="GH83" s="150"/>
      <c r="GI83" s="150"/>
      <c r="GJ83" s="150"/>
      <c r="GK83" s="150"/>
      <c r="GL83" s="150"/>
      <c r="GM83" s="150"/>
      <c r="GN83" s="150"/>
      <c r="GO83" s="150"/>
      <c r="GP83" s="150"/>
      <c r="GQ83" s="150"/>
      <c r="GR83" s="150"/>
      <c r="GS83" s="150"/>
      <c r="GT83" s="150"/>
      <c r="GU83" s="150"/>
      <c r="GV83" s="150"/>
      <c r="GW83" s="150"/>
      <c r="GX83" s="150"/>
      <c r="GY83" s="150"/>
      <c r="GZ83" s="150"/>
      <c r="HA83" s="150"/>
      <c r="HB83" s="150"/>
      <c r="HC83" s="150"/>
      <c r="HD83" s="150"/>
      <c r="HE83" s="150"/>
      <c r="HF83" s="150"/>
      <c r="HG83" s="150"/>
      <c r="HH83" s="150"/>
      <c r="IT83" s="157"/>
    </row>
    <row r="84" spans="1:254" x14ac:dyDescent="0.2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6" t="str">
        <f>INDEX(($AJ$3:$AJ$12),MATCH(I67,$AG$3:$AG$12,0),1)</f>
        <v>SAM8X30E</v>
      </c>
      <c r="M84" s="11">
        <f>INDEX(cennik!$C$2:$L$529,MATCH($L84,cennik!$B$2:$B$522,0),MATCH(M$2,cennik!$C$1:$L$1,0))</f>
        <v>898530</v>
      </c>
      <c r="N84" s="11" t="str">
        <f>INDEX(cennik!$C$2:$L$529,MATCH($L84,cennik!$B$2:$B$522,0),MATCH(N$2,cennik!$C$1:$L$1,0))</f>
        <v>szt.</v>
      </c>
      <c r="O84" s="11">
        <f>IF(L84="-------",0,SUM(O82:O83))</f>
        <v>0</v>
      </c>
      <c r="P84" s="34">
        <f>INDEX(cennik!$C$2:$L$529,MATCH($L84,cennik!$B$2:$B$522,0),MATCH(P$2,cennik!$C$1:$L$1,0))</f>
        <v>0.5</v>
      </c>
      <c r="Q84" s="34">
        <f t="shared" si="239"/>
        <v>0</v>
      </c>
      <c r="R84" s="35">
        <f t="shared" si="204"/>
        <v>0</v>
      </c>
      <c r="S84" s="34">
        <f t="shared" si="205"/>
        <v>0.5</v>
      </c>
      <c r="T84" s="34">
        <f t="shared" si="240"/>
        <v>0</v>
      </c>
      <c r="U84" s="34">
        <f>INDEX(cennik!$C$2:$L$529,MATCH($L84,cennik!$B$2:$B$522,0),MATCH(U$2,cennik!$C$1:$L$1,0))*O84</f>
        <v>0</v>
      </c>
      <c r="V84" s="166"/>
      <c r="W84" s="62"/>
      <c r="X84" s="62"/>
      <c r="Y84" s="62"/>
      <c r="Z84" s="62"/>
      <c r="AA84" s="150"/>
      <c r="AB84" s="150"/>
      <c r="AC84" s="150"/>
      <c r="AD84" s="150"/>
      <c r="AE84" s="150"/>
      <c r="AF84" s="150"/>
      <c r="AG84" s="150"/>
      <c r="AH84" s="150"/>
      <c r="AI84" s="150" t="s">
        <v>159</v>
      </c>
      <c r="AJ84" s="150"/>
      <c r="AK84" s="150"/>
      <c r="AL84" s="150"/>
      <c r="AM84" s="150"/>
      <c r="AN84" s="150"/>
      <c r="AO84" s="150"/>
      <c r="AP84" s="150" t="s">
        <v>472</v>
      </c>
      <c r="AQ84" s="150" t="s">
        <v>596</v>
      </c>
      <c r="AR84" s="150" t="s">
        <v>595</v>
      </c>
      <c r="AS84" s="150" t="s">
        <v>593</v>
      </c>
      <c r="AT84" s="150" t="s">
        <v>593</v>
      </c>
      <c r="AU84" s="150"/>
      <c r="BA84" s="150"/>
      <c r="BB84" s="150"/>
      <c r="BC84" s="150"/>
      <c r="BD84" s="150"/>
      <c r="BE84" s="150"/>
      <c r="BF84" s="150"/>
      <c r="BG84" s="150"/>
      <c r="BH84" s="150" t="s">
        <v>114</v>
      </c>
      <c r="BI84" s="150">
        <v>0</v>
      </c>
      <c r="BJ84" s="150">
        <v>6</v>
      </c>
      <c r="BK84" s="150">
        <v>8</v>
      </c>
      <c r="BL84" s="150">
        <v>10</v>
      </c>
      <c r="BM84" s="150">
        <v>12</v>
      </c>
      <c r="BN84" s="150">
        <v>14</v>
      </c>
      <c r="BO84" s="150">
        <v>16</v>
      </c>
      <c r="BP84" s="150">
        <v>18</v>
      </c>
      <c r="BQ84" s="150">
        <v>20</v>
      </c>
      <c r="BR84" s="150">
        <v>22</v>
      </c>
      <c r="BS84" s="150">
        <v>24</v>
      </c>
      <c r="BT84" s="150">
        <v>26</v>
      </c>
      <c r="BU84" s="150">
        <v>28</v>
      </c>
      <c r="BV84" s="150">
        <v>30</v>
      </c>
      <c r="BW84" s="150">
        <v>32</v>
      </c>
      <c r="BX84" s="150">
        <v>34</v>
      </c>
      <c r="BY84" s="150">
        <v>36</v>
      </c>
      <c r="BZ84" s="150">
        <v>38</v>
      </c>
      <c r="CA84" s="150">
        <v>40</v>
      </c>
      <c r="CB84" s="150">
        <v>42</v>
      </c>
      <c r="CC84" s="150">
        <v>44</v>
      </c>
      <c r="CD84" s="150">
        <v>46</v>
      </c>
      <c r="CE84" s="150">
        <v>48</v>
      </c>
      <c r="CF84" s="150">
        <v>50</v>
      </c>
      <c r="CG84" s="150"/>
      <c r="CH84" s="150"/>
      <c r="CI84" s="150"/>
      <c r="CJ84" s="150"/>
      <c r="CK84" s="150"/>
      <c r="CL84" s="150"/>
      <c r="CM84" s="150"/>
      <c r="CN84" s="150" t="s">
        <v>474</v>
      </c>
      <c r="CO84" s="150">
        <v>0</v>
      </c>
      <c r="CP84" s="150">
        <v>6</v>
      </c>
      <c r="CQ84" s="150">
        <v>8</v>
      </c>
      <c r="CR84" s="150">
        <v>10</v>
      </c>
      <c r="CS84" s="150">
        <v>12</v>
      </c>
      <c r="CT84" s="150">
        <v>14</v>
      </c>
      <c r="CU84" s="150">
        <v>16</v>
      </c>
      <c r="CV84" s="150">
        <v>18</v>
      </c>
      <c r="CW84" s="150">
        <v>20</v>
      </c>
      <c r="CX84" s="150">
        <v>22</v>
      </c>
      <c r="CY84" s="150">
        <v>24</v>
      </c>
      <c r="CZ84" s="150">
        <v>26</v>
      </c>
      <c r="DA84" s="150">
        <v>28</v>
      </c>
      <c r="DB84" s="150">
        <v>30</v>
      </c>
      <c r="DC84" s="150">
        <v>32</v>
      </c>
      <c r="DD84" s="150">
        <v>34</v>
      </c>
      <c r="DE84" s="150">
        <v>36</v>
      </c>
      <c r="DF84" s="150">
        <v>38</v>
      </c>
      <c r="DG84" s="150">
        <v>40</v>
      </c>
      <c r="DH84" s="150">
        <v>42</v>
      </c>
      <c r="DI84" s="150">
        <v>44</v>
      </c>
      <c r="DJ84" s="150">
        <v>46</v>
      </c>
      <c r="DK84" s="150">
        <v>48</v>
      </c>
      <c r="DL84" s="150">
        <v>50</v>
      </c>
      <c r="DM84" s="150"/>
      <c r="DN84" s="150"/>
      <c r="DO84" s="150"/>
      <c r="DP84" s="150"/>
      <c r="DQ84" s="181"/>
      <c r="DR84" s="181">
        <v>6</v>
      </c>
      <c r="DS84" s="181"/>
      <c r="DT84" s="150"/>
      <c r="DU84" s="150"/>
      <c r="DV84" s="150"/>
      <c r="DW84" s="150"/>
      <c r="DX84" s="150"/>
      <c r="DY84" s="150"/>
      <c r="DZ84" s="150"/>
      <c r="EA84" s="150"/>
      <c r="EB84" s="150"/>
      <c r="EC84" s="150"/>
      <c r="ED84" s="150"/>
      <c r="EE84" s="150"/>
      <c r="EF84" s="150"/>
      <c r="EG84" s="150"/>
      <c r="EH84" s="150"/>
      <c r="EI84" s="150"/>
      <c r="EJ84" s="155"/>
      <c r="EK84" s="150" t="s">
        <v>114</v>
      </c>
      <c r="EL84" s="150">
        <v>0</v>
      </c>
      <c r="EM84" s="150">
        <v>6</v>
      </c>
      <c r="EN84" s="150">
        <v>8</v>
      </c>
      <c r="EO84" s="150">
        <v>10</v>
      </c>
      <c r="EP84" s="150">
        <v>12</v>
      </c>
      <c r="EQ84" s="150">
        <v>14</v>
      </c>
      <c r="ER84" s="150">
        <v>16</v>
      </c>
      <c r="ES84" s="150">
        <v>18</v>
      </c>
      <c r="ET84" s="150">
        <v>20</v>
      </c>
      <c r="EU84" s="150">
        <v>22</v>
      </c>
      <c r="EV84" s="150">
        <v>24</v>
      </c>
      <c r="EW84" s="150">
        <v>26</v>
      </c>
      <c r="EX84" s="150">
        <v>28</v>
      </c>
      <c r="EY84" s="150">
        <v>30</v>
      </c>
      <c r="EZ84" s="150">
        <v>32</v>
      </c>
      <c r="FA84" s="150">
        <v>34</v>
      </c>
      <c r="FB84" s="150">
        <v>36</v>
      </c>
      <c r="FC84" s="150">
        <v>38</v>
      </c>
      <c r="FD84" s="150">
        <v>40</v>
      </c>
      <c r="FE84" s="150">
        <v>42</v>
      </c>
      <c r="FF84" s="150">
        <v>44</v>
      </c>
      <c r="FG84" s="150">
        <v>46</v>
      </c>
      <c r="FH84" s="150">
        <v>48</v>
      </c>
      <c r="FI84" s="150">
        <v>50</v>
      </c>
      <c r="FJ84" s="150"/>
      <c r="FK84" s="150" t="s">
        <v>474</v>
      </c>
      <c r="FL84" s="150">
        <v>0</v>
      </c>
      <c r="FM84" s="150">
        <v>6</v>
      </c>
      <c r="FN84" s="150">
        <v>8</v>
      </c>
      <c r="FO84" s="150">
        <v>10</v>
      </c>
      <c r="FP84" s="150">
        <v>12</v>
      </c>
      <c r="FQ84" s="150">
        <v>14</v>
      </c>
      <c r="FR84" s="150">
        <v>16</v>
      </c>
      <c r="FS84" s="150">
        <v>18</v>
      </c>
      <c r="FT84" s="150">
        <v>20</v>
      </c>
      <c r="FU84" s="150">
        <v>22</v>
      </c>
      <c r="FV84" s="150">
        <v>24</v>
      </c>
      <c r="FW84" s="150">
        <v>26</v>
      </c>
      <c r="FX84" s="150">
        <v>28</v>
      </c>
      <c r="FY84" s="150">
        <v>30</v>
      </c>
      <c r="FZ84" s="150">
        <v>32</v>
      </c>
      <c r="GA84" s="150">
        <v>34</v>
      </c>
      <c r="GB84" s="150">
        <v>36</v>
      </c>
      <c r="GC84" s="150">
        <v>38</v>
      </c>
      <c r="GD84" s="150">
        <v>40</v>
      </c>
      <c r="GE84" s="150">
        <v>42</v>
      </c>
      <c r="GF84" s="150">
        <v>44</v>
      </c>
      <c r="GG84" s="150">
        <v>46</v>
      </c>
      <c r="GH84" s="150">
        <v>48</v>
      </c>
      <c r="GI84" s="150">
        <v>50</v>
      </c>
      <c r="GJ84" s="150"/>
      <c r="GK84" s="150"/>
      <c r="GL84" s="150"/>
      <c r="GM84" s="150"/>
      <c r="GN84" s="150"/>
      <c r="GO84" s="150"/>
      <c r="GP84" s="150"/>
      <c r="GQ84" s="150"/>
      <c r="GR84" s="150" t="s">
        <v>713</v>
      </c>
      <c r="GS84" s="150">
        <v>0</v>
      </c>
      <c r="GT84" s="150">
        <v>6</v>
      </c>
      <c r="GU84" s="150">
        <v>8</v>
      </c>
      <c r="GV84" s="150">
        <v>10</v>
      </c>
      <c r="GW84" s="150">
        <v>12</v>
      </c>
      <c r="GX84" s="150">
        <v>14</v>
      </c>
      <c r="GY84" s="150">
        <v>16</v>
      </c>
      <c r="GZ84" s="150">
        <v>18</v>
      </c>
      <c r="HA84" s="150">
        <v>20</v>
      </c>
      <c r="HB84" s="150">
        <v>22</v>
      </c>
      <c r="HC84" s="150">
        <v>24</v>
      </c>
      <c r="HD84" s="150">
        <v>26</v>
      </c>
      <c r="HE84" s="150">
        <v>28</v>
      </c>
      <c r="HF84" s="150">
        <v>30</v>
      </c>
      <c r="HG84" s="150">
        <v>32</v>
      </c>
      <c r="HH84" s="150">
        <v>34</v>
      </c>
      <c r="HI84" s="154">
        <v>36</v>
      </c>
      <c r="HJ84" s="154">
        <v>38</v>
      </c>
      <c r="HK84" s="154">
        <v>40</v>
      </c>
      <c r="HL84" s="154">
        <v>42</v>
      </c>
      <c r="HM84" s="154">
        <v>44</v>
      </c>
      <c r="HN84" s="154">
        <v>46</v>
      </c>
      <c r="HO84" s="154">
        <v>48</v>
      </c>
      <c r="HP84" s="154">
        <v>50</v>
      </c>
      <c r="HS84" s="154" t="s">
        <v>715</v>
      </c>
      <c r="HT84" s="154">
        <v>0</v>
      </c>
      <c r="HU84" s="154">
        <v>6</v>
      </c>
      <c r="HV84" s="154">
        <v>8</v>
      </c>
      <c r="HW84" s="154">
        <v>10</v>
      </c>
      <c r="HX84" s="154">
        <v>12</v>
      </c>
      <c r="HY84" s="154">
        <v>14</v>
      </c>
      <c r="HZ84" s="154">
        <v>16</v>
      </c>
      <c r="IA84" s="154">
        <v>18</v>
      </c>
      <c r="IB84" s="154">
        <v>20</v>
      </c>
      <c r="IC84" s="154">
        <v>22</v>
      </c>
      <c r="ID84" s="154">
        <v>24</v>
      </c>
      <c r="IE84" s="154">
        <v>26</v>
      </c>
      <c r="IF84" s="154">
        <v>28</v>
      </c>
      <c r="IG84" s="154">
        <v>30</v>
      </c>
      <c r="IH84" s="154">
        <v>32</v>
      </c>
      <c r="II84" s="154">
        <v>34</v>
      </c>
      <c r="IJ84" s="154">
        <v>36</v>
      </c>
      <c r="IK84" s="154">
        <v>38</v>
      </c>
      <c r="IL84" s="154">
        <v>40</v>
      </c>
      <c r="IM84" s="154">
        <v>42</v>
      </c>
      <c r="IN84" s="154">
        <v>44</v>
      </c>
      <c r="IO84" s="154">
        <v>46</v>
      </c>
      <c r="IP84" s="154">
        <v>48</v>
      </c>
      <c r="IQ84" s="154">
        <v>50</v>
      </c>
      <c r="IT84" s="157"/>
    </row>
    <row r="85" spans="1:254" x14ac:dyDescent="0.2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6" t="s">
        <v>1019</v>
      </c>
      <c r="M85" s="11">
        <f>INDEX(cennik!$C$2:$L$529,MATCH($L85,cennik!$B$2:$B$522,0),MATCH(M$2,cennik!$C$1:$L$1,0))</f>
        <v>166794</v>
      </c>
      <c r="N85" s="11" t="str">
        <f>INDEX(cennik!$C$2:$L$529,MATCH($L85,cennik!$B$2:$B$522,0),MATCH(N$2,cennik!$C$1:$L$1,0))</f>
        <v>100 szt.</v>
      </c>
      <c r="O85" s="11">
        <f>ROUNDUP(O84/100,0)</f>
        <v>0</v>
      </c>
      <c r="P85" s="34">
        <f>INDEX(cennik!$C$2:$L$529,MATCH($L85,cennik!$B$2:$B$522,0),MATCH(P$2,cennik!$C$1:$L$1,0))</f>
        <v>3.95</v>
      </c>
      <c r="Q85" s="34">
        <f t="shared" si="239"/>
        <v>0</v>
      </c>
      <c r="R85" s="35">
        <f t="shared" si="204"/>
        <v>0</v>
      </c>
      <c r="S85" s="34">
        <f t="shared" si="205"/>
        <v>3.95</v>
      </c>
      <c r="T85" s="34">
        <f t="shared" si="240"/>
        <v>0</v>
      </c>
      <c r="U85" s="34">
        <f>INDEX(cennik!$C$2:$L$529,MATCH($L85,cennik!$B$2:$B$522,0),MATCH(U$2,cennik!$C$1:$L$1,0))*O85</f>
        <v>0</v>
      </c>
      <c r="V85" s="62"/>
      <c r="W85" s="62"/>
      <c r="X85" s="62"/>
      <c r="Y85" s="62"/>
      <c r="Z85" s="62"/>
      <c r="AA85" s="150"/>
      <c r="AB85" s="150"/>
      <c r="AC85" s="150"/>
      <c r="AD85" s="150"/>
      <c r="AE85" s="150"/>
      <c r="AF85" s="150"/>
      <c r="AG85" s="150"/>
      <c r="AH85" s="150"/>
      <c r="AI85" s="150" t="s">
        <v>152</v>
      </c>
      <c r="AJ85" s="150" t="s">
        <v>153</v>
      </c>
      <c r="AK85" s="150"/>
      <c r="AL85" s="150"/>
      <c r="AM85" s="150"/>
      <c r="AN85" s="150"/>
      <c r="AO85" s="150"/>
      <c r="AP85" s="150" t="s">
        <v>471</v>
      </c>
      <c r="AQ85" s="150" t="s">
        <v>596</v>
      </c>
      <c r="AR85" s="150" t="s">
        <v>595</v>
      </c>
      <c r="AS85" s="150" t="s">
        <v>593</v>
      </c>
      <c r="AT85" s="150" t="s">
        <v>593</v>
      </c>
      <c r="AU85" s="150"/>
      <c r="BA85" s="150"/>
      <c r="BB85" s="150"/>
      <c r="BC85" s="150"/>
      <c r="BD85" s="150"/>
      <c r="BE85" s="150"/>
      <c r="BF85" s="150"/>
      <c r="BG85" s="150"/>
      <c r="BH85" s="150" t="s">
        <v>217</v>
      </c>
      <c r="BI85" s="150">
        <v>0</v>
      </c>
      <c r="BJ85" s="150">
        <v>0</v>
      </c>
      <c r="BK85" s="150">
        <v>0</v>
      </c>
      <c r="BL85" s="150">
        <v>4</v>
      </c>
      <c r="BM85" s="150">
        <v>4</v>
      </c>
      <c r="BN85" s="150">
        <v>0</v>
      </c>
      <c r="BO85" s="150">
        <v>0</v>
      </c>
      <c r="BP85" s="150">
        <v>4</v>
      </c>
      <c r="BQ85" s="150">
        <v>4</v>
      </c>
      <c r="BR85" s="150">
        <v>0</v>
      </c>
      <c r="BS85" s="150">
        <v>8</v>
      </c>
      <c r="BT85" s="150">
        <v>4</v>
      </c>
      <c r="BU85" s="150">
        <v>4</v>
      </c>
      <c r="BV85" s="150">
        <v>4</v>
      </c>
      <c r="BW85" s="150">
        <v>8</v>
      </c>
      <c r="BX85" s="150">
        <v>8</v>
      </c>
      <c r="BY85" s="150">
        <v>4</v>
      </c>
      <c r="BZ85" s="150">
        <v>12</v>
      </c>
      <c r="CA85" s="150">
        <v>8</v>
      </c>
      <c r="CB85" s="150">
        <v>8</v>
      </c>
      <c r="CC85" s="150">
        <v>12</v>
      </c>
      <c r="CD85" s="150">
        <v>12</v>
      </c>
      <c r="CE85" s="150">
        <v>8</v>
      </c>
      <c r="CF85" s="150">
        <v>16</v>
      </c>
      <c r="CG85" s="150"/>
      <c r="CH85" s="150"/>
      <c r="CI85" s="150"/>
      <c r="CJ85" s="150"/>
      <c r="CK85" s="150"/>
      <c r="CL85" s="150"/>
      <c r="CM85" s="150"/>
      <c r="CN85" s="150" t="s">
        <v>217</v>
      </c>
      <c r="CO85" s="150">
        <v>0</v>
      </c>
      <c r="CP85" s="150">
        <v>0</v>
      </c>
      <c r="CQ85" s="150">
        <v>4</v>
      </c>
      <c r="CR85" s="150">
        <v>4</v>
      </c>
      <c r="CS85" s="150">
        <v>0</v>
      </c>
      <c r="CT85" s="150">
        <v>0</v>
      </c>
      <c r="CU85" s="150">
        <v>4</v>
      </c>
      <c r="CV85" s="150">
        <v>4</v>
      </c>
      <c r="CW85" s="150">
        <v>0</v>
      </c>
      <c r="CX85" s="150">
        <v>8</v>
      </c>
      <c r="CY85" s="150">
        <v>4</v>
      </c>
      <c r="CZ85" s="150">
        <v>4</v>
      </c>
      <c r="DA85" s="150">
        <v>8</v>
      </c>
      <c r="DB85" s="150">
        <v>8</v>
      </c>
      <c r="DC85" s="150">
        <v>4</v>
      </c>
      <c r="DD85" s="150">
        <v>12</v>
      </c>
      <c r="DE85" s="150">
        <v>8</v>
      </c>
      <c r="DF85" s="150">
        <v>8</v>
      </c>
      <c r="DG85" s="150">
        <v>12</v>
      </c>
      <c r="DH85" s="150">
        <v>12</v>
      </c>
      <c r="DI85" s="150">
        <v>8</v>
      </c>
      <c r="DJ85" s="150">
        <v>16</v>
      </c>
      <c r="DK85" s="150">
        <v>12</v>
      </c>
      <c r="DL85" s="150">
        <v>12</v>
      </c>
      <c r="DM85" s="150"/>
      <c r="DN85" s="150"/>
      <c r="DO85" s="150"/>
      <c r="DP85" s="150"/>
      <c r="DQ85" s="181"/>
      <c r="DR85" s="181">
        <v>8</v>
      </c>
      <c r="DS85" s="181"/>
      <c r="DT85" s="150"/>
      <c r="DU85" s="150"/>
      <c r="DV85" s="150"/>
      <c r="DW85" s="150"/>
      <c r="DX85" s="150"/>
      <c r="DY85" s="150"/>
      <c r="DZ85" s="150"/>
      <c r="EA85" s="150"/>
      <c r="EB85" s="150"/>
      <c r="EC85" s="150"/>
      <c r="ED85" s="150"/>
      <c r="EE85" s="150"/>
      <c r="EF85" s="150"/>
      <c r="EG85" s="150"/>
      <c r="EH85" s="150"/>
      <c r="EI85" s="150"/>
      <c r="EJ85" s="155"/>
      <c r="EK85" s="154" t="s">
        <v>586</v>
      </c>
      <c r="EL85" s="150">
        <v>0</v>
      </c>
      <c r="EM85" s="150">
        <v>0</v>
      </c>
      <c r="EN85" s="150">
        <v>0</v>
      </c>
      <c r="EO85" s="150">
        <v>4</v>
      </c>
      <c r="EP85" s="150">
        <v>0</v>
      </c>
      <c r="EQ85" s="150">
        <v>0</v>
      </c>
      <c r="ER85" s="150">
        <v>0</v>
      </c>
      <c r="ES85" s="150">
        <v>0</v>
      </c>
      <c r="ET85" s="150">
        <v>0</v>
      </c>
      <c r="EU85" s="150">
        <v>0</v>
      </c>
      <c r="EV85" s="150">
        <v>0</v>
      </c>
      <c r="EW85" s="150">
        <v>0</v>
      </c>
      <c r="EX85" s="150">
        <v>0</v>
      </c>
      <c r="EY85" s="150">
        <v>0</v>
      </c>
      <c r="EZ85" s="150">
        <v>0</v>
      </c>
      <c r="FA85" s="150">
        <v>0</v>
      </c>
      <c r="FB85" s="150">
        <v>0</v>
      </c>
      <c r="FC85" s="150">
        <v>0</v>
      </c>
      <c r="FD85" s="150">
        <v>0</v>
      </c>
      <c r="FE85" s="150">
        <v>0</v>
      </c>
      <c r="FF85" s="150">
        <v>0</v>
      </c>
      <c r="FG85" s="150">
        <v>0</v>
      </c>
      <c r="FH85" s="150">
        <v>0</v>
      </c>
      <c r="FI85" s="150">
        <v>0</v>
      </c>
      <c r="FK85" s="154" t="s">
        <v>586</v>
      </c>
      <c r="FL85" s="150">
        <v>0</v>
      </c>
      <c r="FM85" s="154">
        <v>0</v>
      </c>
      <c r="FN85" s="154">
        <v>4</v>
      </c>
      <c r="FO85" s="154">
        <v>4</v>
      </c>
      <c r="FP85" s="154">
        <v>0</v>
      </c>
      <c r="FQ85" s="154">
        <v>0</v>
      </c>
      <c r="FR85" s="154">
        <v>0</v>
      </c>
      <c r="FS85" s="154">
        <v>0</v>
      </c>
      <c r="FT85" s="154">
        <v>0</v>
      </c>
      <c r="FU85" s="154">
        <v>0</v>
      </c>
      <c r="FV85" s="154">
        <v>0</v>
      </c>
      <c r="FW85" s="154">
        <v>0</v>
      </c>
      <c r="FX85" s="154">
        <v>0</v>
      </c>
      <c r="FY85" s="154">
        <v>0</v>
      </c>
      <c r="FZ85" s="154">
        <v>0</v>
      </c>
      <c r="GA85" s="154">
        <v>0</v>
      </c>
      <c r="GB85" s="154">
        <v>0</v>
      </c>
      <c r="GC85" s="154">
        <v>0</v>
      </c>
      <c r="GD85" s="154">
        <v>0</v>
      </c>
      <c r="GE85" s="154">
        <v>0</v>
      </c>
      <c r="GF85" s="154">
        <v>0</v>
      </c>
      <c r="GG85" s="154">
        <v>0</v>
      </c>
      <c r="GH85" s="154">
        <v>0</v>
      </c>
      <c r="GI85" s="154">
        <v>0</v>
      </c>
      <c r="GJ85" s="150"/>
      <c r="GK85" s="150"/>
      <c r="GL85" s="150"/>
      <c r="GM85" s="150"/>
      <c r="GN85" s="150"/>
      <c r="GO85" s="150"/>
      <c r="GP85" s="150"/>
      <c r="GQ85" s="150"/>
      <c r="GR85" s="150" t="s">
        <v>586</v>
      </c>
      <c r="GS85" s="150">
        <v>0</v>
      </c>
      <c r="GT85" s="150">
        <v>0</v>
      </c>
      <c r="GU85" s="150">
        <v>4</v>
      </c>
      <c r="GV85" s="150">
        <v>4</v>
      </c>
      <c r="GW85" s="150">
        <v>0</v>
      </c>
      <c r="GX85" s="150">
        <v>0</v>
      </c>
      <c r="GY85" s="150">
        <v>0</v>
      </c>
      <c r="GZ85" s="150">
        <v>0</v>
      </c>
      <c r="HA85" s="150">
        <v>0</v>
      </c>
      <c r="HB85" s="150">
        <v>0</v>
      </c>
      <c r="HC85" s="150">
        <v>0</v>
      </c>
      <c r="HD85" s="150">
        <v>0</v>
      </c>
      <c r="HE85" s="150">
        <v>0</v>
      </c>
      <c r="HF85" s="150">
        <v>0</v>
      </c>
      <c r="HG85" s="150">
        <v>0</v>
      </c>
      <c r="HH85" s="150">
        <v>0</v>
      </c>
      <c r="HI85" s="154">
        <v>0</v>
      </c>
      <c r="HJ85" s="154">
        <v>0</v>
      </c>
      <c r="HK85" s="154">
        <v>0</v>
      </c>
      <c r="HL85" s="154">
        <v>0</v>
      </c>
      <c r="HM85" s="154">
        <v>0</v>
      </c>
      <c r="HN85" s="154">
        <v>0</v>
      </c>
      <c r="HO85" s="154">
        <v>0</v>
      </c>
      <c r="HP85" s="154">
        <v>0</v>
      </c>
      <c r="HS85" s="154" t="s">
        <v>586</v>
      </c>
      <c r="HT85" s="154">
        <v>0</v>
      </c>
      <c r="HU85" s="154">
        <v>0</v>
      </c>
      <c r="HV85" s="154">
        <v>4</v>
      </c>
      <c r="HW85" s="154">
        <v>0</v>
      </c>
      <c r="HX85" s="154">
        <v>0</v>
      </c>
      <c r="HY85" s="154">
        <v>0</v>
      </c>
      <c r="HZ85" s="154">
        <v>0</v>
      </c>
      <c r="IA85" s="154">
        <v>0</v>
      </c>
      <c r="IB85" s="154">
        <v>0</v>
      </c>
      <c r="IC85" s="154">
        <v>0</v>
      </c>
      <c r="ID85" s="154">
        <v>0</v>
      </c>
      <c r="IE85" s="154">
        <v>0</v>
      </c>
      <c r="IF85" s="154">
        <v>0</v>
      </c>
      <c r="IG85" s="154">
        <v>0</v>
      </c>
      <c r="IH85" s="154">
        <v>0</v>
      </c>
      <c r="II85" s="154">
        <v>0</v>
      </c>
      <c r="IJ85" s="154">
        <v>0</v>
      </c>
      <c r="IK85" s="154">
        <v>0</v>
      </c>
      <c r="IL85" s="154">
        <v>0</v>
      </c>
      <c r="IM85" s="154">
        <v>0</v>
      </c>
      <c r="IN85" s="154">
        <v>0</v>
      </c>
      <c r="IO85" s="154">
        <v>0</v>
      </c>
      <c r="IP85" s="154">
        <v>0</v>
      </c>
      <c r="IQ85" s="154">
        <v>0</v>
      </c>
      <c r="IT85" s="157"/>
    </row>
    <row r="86" spans="1:254" x14ac:dyDescent="0.2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6" t="s">
        <v>525</v>
      </c>
      <c r="M86" s="11">
        <f>INDEX(cennik!$C$2:$L$529,MATCH($L86,cennik!$B$2:$B$522,0),MATCH(M$2,cennik!$C$1:$L$1,0))</f>
        <v>660245</v>
      </c>
      <c r="N86" s="11" t="str">
        <f>INDEX(cennik!$C$2:$L$529,MATCH($L86,cennik!$B$2:$B$522,0),MATCH(N$2,cennik!$C$1:$L$1,0))</f>
        <v>szt.</v>
      </c>
      <c r="O86" s="11">
        <f>SUM(O82:O83)</f>
        <v>0</v>
      </c>
      <c r="P86" s="34">
        <f>INDEX(cennik!$C$2:$L$529,MATCH($L86,cennik!$B$2:$B$522,0),MATCH(P$2,cennik!$C$1:$L$1,0))</f>
        <v>1.56</v>
      </c>
      <c r="Q86" s="34">
        <f t="shared" si="239"/>
        <v>0</v>
      </c>
      <c r="R86" s="35">
        <f t="shared" si="204"/>
        <v>0</v>
      </c>
      <c r="S86" s="34">
        <f t="shared" si="205"/>
        <v>1.56</v>
      </c>
      <c r="T86" s="34">
        <f t="shared" si="240"/>
        <v>0</v>
      </c>
      <c r="U86" s="34">
        <f>INDEX(cennik!$C$2:$L$529,MATCH($L86,cennik!$B$2:$B$522,0),MATCH(U$2,cennik!$C$1:$L$1,0))*O86</f>
        <v>0</v>
      </c>
      <c r="V86" s="62"/>
      <c r="W86" s="62"/>
      <c r="X86" s="62"/>
      <c r="Y86" s="62"/>
      <c r="Z86" s="62"/>
      <c r="AA86" s="150"/>
      <c r="AB86" s="150"/>
      <c r="AC86" s="150"/>
      <c r="AD86" s="150"/>
      <c r="AE86" s="150"/>
      <c r="AF86" s="150"/>
      <c r="AG86" s="150"/>
      <c r="AH86" s="150"/>
      <c r="AI86" s="150">
        <v>50</v>
      </c>
      <c r="AJ86" s="150">
        <v>1150</v>
      </c>
      <c r="AK86" s="150"/>
      <c r="AL86" s="150"/>
      <c r="AM86" s="150"/>
      <c r="AN86" s="150"/>
      <c r="AO86" s="150"/>
      <c r="AP86" s="150" t="s">
        <v>473</v>
      </c>
      <c r="AQ86" s="150" t="s">
        <v>596</v>
      </c>
      <c r="AR86" s="150" t="s">
        <v>595</v>
      </c>
      <c r="AS86" s="150" t="s">
        <v>593</v>
      </c>
      <c r="AT86" s="150" t="s">
        <v>593</v>
      </c>
      <c r="AU86" s="150"/>
      <c r="BA86" s="150"/>
      <c r="BB86" s="150"/>
      <c r="BC86" s="150"/>
      <c r="BD86" s="150"/>
      <c r="BE86" s="150"/>
      <c r="BF86" s="150"/>
      <c r="BG86" s="150"/>
      <c r="BH86" s="150" t="s">
        <v>216</v>
      </c>
      <c r="BI86" s="150">
        <v>0</v>
      </c>
      <c r="BJ86" s="150">
        <v>0</v>
      </c>
      <c r="BK86" s="150">
        <v>4</v>
      </c>
      <c r="BL86" s="150">
        <v>0</v>
      </c>
      <c r="BM86" s="150">
        <v>0</v>
      </c>
      <c r="BN86" s="150">
        <v>4</v>
      </c>
      <c r="BO86" s="150">
        <v>8</v>
      </c>
      <c r="BP86" s="150">
        <v>0</v>
      </c>
      <c r="BQ86" s="150">
        <v>4</v>
      </c>
      <c r="BR86" s="150">
        <v>8</v>
      </c>
      <c r="BS86" s="150">
        <v>0</v>
      </c>
      <c r="BT86" s="150">
        <v>4</v>
      </c>
      <c r="BU86" s="150">
        <v>8</v>
      </c>
      <c r="BV86" s="150">
        <v>8</v>
      </c>
      <c r="BW86" s="150">
        <v>0</v>
      </c>
      <c r="BX86" s="150">
        <v>4</v>
      </c>
      <c r="BY86" s="150">
        <v>8</v>
      </c>
      <c r="BZ86" s="150">
        <v>0</v>
      </c>
      <c r="CA86" s="150">
        <v>4</v>
      </c>
      <c r="CB86" s="150">
        <v>8</v>
      </c>
      <c r="CC86" s="150">
        <v>0</v>
      </c>
      <c r="CD86" s="150">
        <v>4</v>
      </c>
      <c r="CE86" s="150">
        <v>8</v>
      </c>
      <c r="CF86" s="150">
        <v>0</v>
      </c>
      <c r="CG86" s="150"/>
      <c r="CH86" s="150"/>
      <c r="CI86" s="150"/>
      <c r="CJ86" s="150"/>
      <c r="CK86" s="150"/>
      <c r="CL86" s="150"/>
      <c r="CM86" s="150"/>
      <c r="CN86" s="150" t="s">
        <v>216</v>
      </c>
      <c r="CO86" s="150">
        <v>0</v>
      </c>
      <c r="CP86" s="150">
        <v>4</v>
      </c>
      <c r="CQ86" s="150">
        <v>0</v>
      </c>
      <c r="CR86" s="150">
        <v>0</v>
      </c>
      <c r="CS86" s="150">
        <v>4</v>
      </c>
      <c r="CT86" s="150">
        <v>8</v>
      </c>
      <c r="CU86" s="150">
        <v>0</v>
      </c>
      <c r="CV86" s="150">
        <v>4</v>
      </c>
      <c r="CW86" s="150">
        <v>8</v>
      </c>
      <c r="CX86" s="150">
        <v>0</v>
      </c>
      <c r="CY86" s="150">
        <v>4</v>
      </c>
      <c r="CZ86" s="150">
        <v>8</v>
      </c>
      <c r="DA86" s="150">
        <v>0</v>
      </c>
      <c r="DB86" s="150">
        <v>4</v>
      </c>
      <c r="DC86" s="150">
        <v>8</v>
      </c>
      <c r="DD86" s="150">
        <v>0</v>
      </c>
      <c r="DE86" s="150">
        <v>4</v>
      </c>
      <c r="DF86" s="150">
        <v>8</v>
      </c>
      <c r="DG86" s="150">
        <v>0</v>
      </c>
      <c r="DH86" s="150">
        <v>4</v>
      </c>
      <c r="DI86" s="150">
        <v>8</v>
      </c>
      <c r="DJ86" s="150">
        <v>0</v>
      </c>
      <c r="DK86" s="150">
        <v>4</v>
      </c>
      <c r="DL86" s="150">
        <v>8</v>
      </c>
      <c r="DM86" s="150"/>
      <c r="DN86" s="150"/>
      <c r="DO86" s="150"/>
      <c r="DP86" s="150"/>
      <c r="DQ86" s="181"/>
      <c r="DR86" s="181">
        <v>10</v>
      </c>
      <c r="DS86" s="181"/>
      <c r="DT86" s="150"/>
      <c r="DU86" s="150"/>
      <c r="DV86" s="150"/>
      <c r="DW86" s="150"/>
      <c r="DX86" s="150"/>
      <c r="DY86" s="150"/>
      <c r="DZ86" s="150"/>
      <c r="EA86" s="150"/>
      <c r="EB86" s="150"/>
      <c r="EC86" s="150"/>
      <c r="ED86" s="150"/>
      <c r="EE86" s="150"/>
      <c r="EF86" s="150"/>
      <c r="EG86" s="150"/>
      <c r="EH86" s="150"/>
      <c r="EI86" s="150"/>
      <c r="EJ86" s="155"/>
      <c r="EK86" s="150" t="s">
        <v>522</v>
      </c>
      <c r="EL86" s="150">
        <v>0</v>
      </c>
      <c r="EM86" s="150">
        <f t="shared" ref="EM86:FI86" si="241">BJ86</f>
        <v>0</v>
      </c>
      <c r="EN86" s="150">
        <f>BK86</f>
        <v>4</v>
      </c>
      <c r="EO86" s="150">
        <f t="shared" si="241"/>
        <v>0</v>
      </c>
      <c r="EP86" s="150">
        <f t="shared" si="241"/>
        <v>0</v>
      </c>
      <c r="EQ86" s="150">
        <f t="shared" si="241"/>
        <v>4</v>
      </c>
      <c r="ER86" s="150">
        <f t="shared" si="241"/>
        <v>8</v>
      </c>
      <c r="ES86" s="150">
        <f t="shared" si="241"/>
        <v>0</v>
      </c>
      <c r="ET86" s="150">
        <f t="shared" si="241"/>
        <v>4</v>
      </c>
      <c r="EU86" s="150">
        <f t="shared" si="241"/>
        <v>8</v>
      </c>
      <c r="EV86" s="150">
        <f t="shared" si="241"/>
        <v>0</v>
      </c>
      <c r="EW86" s="150">
        <f t="shared" si="241"/>
        <v>4</v>
      </c>
      <c r="EX86" s="150">
        <f t="shared" si="241"/>
        <v>8</v>
      </c>
      <c r="EY86" s="150">
        <f t="shared" si="241"/>
        <v>8</v>
      </c>
      <c r="EZ86" s="150">
        <f t="shared" si="241"/>
        <v>0</v>
      </c>
      <c r="FA86" s="150">
        <f t="shared" si="241"/>
        <v>4</v>
      </c>
      <c r="FB86" s="150">
        <f t="shared" si="241"/>
        <v>8</v>
      </c>
      <c r="FC86" s="150">
        <f t="shared" si="241"/>
        <v>0</v>
      </c>
      <c r="FD86" s="150">
        <f t="shared" si="241"/>
        <v>4</v>
      </c>
      <c r="FE86" s="150">
        <f t="shared" si="241"/>
        <v>8</v>
      </c>
      <c r="FF86" s="150">
        <f t="shared" si="241"/>
        <v>0</v>
      </c>
      <c r="FG86" s="150">
        <f t="shared" si="241"/>
        <v>4</v>
      </c>
      <c r="FH86" s="150">
        <f t="shared" si="241"/>
        <v>8</v>
      </c>
      <c r="FI86" s="150">
        <f t="shared" si="241"/>
        <v>0</v>
      </c>
      <c r="FJ86" s="150"/>
      <c r="FK86" s="150" t="s">
        <v>522</v>
      </c>
      <c r="FL86" s="150">
        <v>0</v>
      </c>
      <c r="FM86" s="150">
        <f>CP86</f>
        <v>4</v>
      </c>
      <c r="FN86" s="150">
        <f>CQ86</f>
        <v>0</v>
      </c>
      <c r="FO86" s="150">
        <v>0</v>
      </c>
      <c r="FP86" s="150">
        <f t="shared" ref="FP86:GI86" si="242">CS86</f>
        <v>4</v>
      </c>
      <c r="FQ86" s="150">
        <f t="shared" si="242"/>
        <v>8</v>
      </c>
      <c r="FR86" s="150">
        <f t="shared" si="242"/>
        <v>0</v>
      </c>
      <c r="FS86" s="150">
        <f t="shared" si="242"/>
        <v>4</v>
      </c>
      <c r="FT86" s="150">
        <f t="shared" si="242"/>
        <v>8</v>
      </c>
      <c r="FU86" s="150">
        <f t="shared" si="242"/>
        <v>0</v>
      </c>
      <c r="FV86" s="150">
        <f t="shared" si="242"/>
        <v>4</v>
      </c>
      <c r="FW86" s="150">
        <f t="shared" si="242"/>
        <v>8</v>
      </c>
      <c r="FX86" s="150">
        <f t="shared" si="242"/>
        <v>0</v>
      </c>
      <c r="FY86" s="150">
        <f t="shared" si="242"/>
        <v>4</v>
      </c>
      <c r="FZ86" s="150">
        <f t="shared" si="242"/>
        <v>8</v>
      </c>
      <c r="GA86" s="150">
        <f t="shared" si="242"/>
        <v>0</v>
      </c>
      <c r="GB86" s="150">
        <f t="shared" si="242"/>
        <v>4</v>
      </c>
      <c r="GC86" s="150">
        <f t="shared" si="242"/>
        <v>8</v>
      </c>
      <c r="GD86" s="150">
        <f t="shared" si="242"/>
        <v>0</v>
      </c>
      <c r="GE86" s="150">
        <f t="shared" si="242"/>
        <v>4</v>
      </c>
      <c r="GF86" s="150">
        <f t="shared" si="242"/>
        <v>8</v>
      </c>
      <c r="GG86" s="150">
        <f t="shared" si="242"/>
        <v>0</v>
      </c>
      <c r="GH86" s="150">
        <f t="shared" si="242"/>
        <v>4</v>
      </c>
      <c r="GI86" s="150">
        <f t="shared" si="242"/>
        <v>8</v>
      </c>
      <c r="GJ86" s="150"/>
      <c r="GK86" s="150"/>
      <c r="GL86" s="150"/>
      <c r="GM86" s="150"/>
      <c r="GN86" s="150"/>
      <c r="GO86" s="150"/>
      <c r="GP86" s="150"/>
      <c r="GQ86" s="150"/>
      <c r="GR86" s="150" t="s">
        <v>522</v>
      </c>
      <c r="GS86" s="150">
        <v>0</v>
      </c>
      <c r="GT86" s="150">
        <v>4</v>
      </c>
      <c r="GU86" s="150">
        <v>0</v>
      </c>
      <c r="GV86" s="150">
        <v>0</v>
      </c>
      <c r="GW86" s="150">
        <v>4</v>
      </c>
      <c r="GX86" s="150">
        <v>8</v>
      </c>
      <c r="GY86" s="150">
        <v>0</v>
      </c>
      <c r="GZ86" s="150">
        <v>8</v>
      </c>
      <c r="HA86" s="150">
        <v>12</v>
      </c>
      <c r="HB86" s="150">
        <v>4</v>
      </c>
      <c r="HC86" s="150">
        <v>8</v>
      </c>
      <c r="HD86" s="150">
        <v>12</v>
      </c>
      <c r="HE86" s="150">
        <v>16</v>
      </c>
      <c r="HF86" s="150">
        <v>8</v>
      </c>
      <c r="HG86" s="150">
        <v>12</v>
      </c>
      <c r="HH86" s="150">
        <v>16</v>
      </c>
      <c r="HI86" s="154">
        <v>12</v>
      </c>
      <c r="HJ86" s="154">
        <v>16</v>
      </c>
      <c r="HK86" s="154">
        <v>20</v>
      </c>
      <c r="HL86" s="154">
        <v>24</v>
      </c>
      <c r="HM86" s="154">
        <v>16</v>
      </c>
      <c r="HN86" s="154">
        <v>20</v>
      </c>
      <c r="HO86" s="154">
        <v>24</v>
      </c>
      <c r="HP86" s="154">
        <v>28</v>
      </c>
      <c r="HS86" s="154" t="s">
        <v>522</v>
      </c>
      <c r="HT86" s="154">
        <v>0</v>
      </c>
      <c r="HU86" s="154">
        <v>4</v>
      </c>
      <c r="HV86" s="154">
        <v>0</v>
      </c>
      <c r="HW86" s="154">
        <v>4</v>
      </c>
      <c r="HX86" s="154">
        <v>8</v>
      </c>
      <c r="HY86" s="154">
        <v>0</v>
      </c>
      <c r="HZ86" s="154">
        <v>4</v>
      </c>
      <c r="IA86" s="154">
        <v>8</v>
      </c>
      <c r="IB86" s="154">
        <v>4</v>
      </c>
      <c r="IC86" s="154">
        <v>8</v>
      </c>
      <c r="ID86" s="154">
        <v>12</v>
      </c>
      <c r="IE86" s="154">
        <v>16</v>
      </c>
      <c r="IF86" s="154">
        <v>8</v>
      </c>
      <c r="IG86" s="154">
        <v>16</v>
      </c>
      <c r="IH86" s="154">
        <v>20</v>
      </c>
      <c r="II86" s="154">
        <v>12</v>
      </c>
      <c r="IJ86" s="154">
        <v>16</v>
      </c>
      <c r="IK86" s="154">
        <v>20</v>
      </c>
      <c r="IL86" s="154">
        <v>16</v>
      </c>
      <c r="IM86" s="154">
        <v>20</v>
      </c>
      <c r="IN86" s="154">
        <v>24</v>
      </c>
      <c r="IO86" s="154">
        <v>28</v>
      </c>
      <c r="IP86" s="154">
        <v>20</v>
      </c>
      <c r="IQ86" s="154">
        <v>28</v>
      </c>
      <c r="IT86" s="157"/>
    </row>
    <row r="87" spans="1:254" x14ac:dyDescent="0.2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6" t="s">
        <v>799</v>
      </c>
      <c r="M87" s="11">
        <f>INDEX(cennik!$C$2:$L$529,MATCH($L87,cennik!$B$2:$B$522,0),MATCH(M$2,cennik!$C$1:$L$1,0))</f>
        <v>6510443</v>
      </c>
      <c r="N87" s="11" t="str">
        <f>INDEX(cennik!$C$2:$L$529,MATCH($L87,cennik!$B$2:$B$522,0),MATCH(N$2,cennik!$C$1:$L$1,0))</f>
        <v>100 szt.</v>
      </c>
      <c r="O87" s="11">
        <f>O88</f>
        <v>0</v>
      </c>
      <c r="P87" s="34">
        <f>INDEX(cennik!$C$2:$L$529,MATCH($L87,cennik!$B$2:$B$522,0),MATCH(P$2,cennik!$C$1:$L$1,0))</f>
        <v>43.51</v>
      </c>
      <c r="Q87" s="34">
        <f t="shared" ref="Q87" si="243">O87*P87</f>
        <v>0</v>
      </c>
      <c r="R87" s="35">
        <f t="shared" si="204"/>
        <v>0</v>
      </c>
      <c r="S87" s="34">
        <f t="shared" si="205"/>
        <v>43.51</v>
      </c>
      <c r="T87" s="34">
        <f t="shared" ref="T87" si="244">O87*S87</f>
        <v>0</v>
      </c>
      <c r="U87" s="34">
        <f>INDEX(cennik!$C$2:$L$529,MATCH($L87,cennik!$B$2:$B$522,0),MATCH(U$2,cennik!$C$1:$L$1,0))*O87</f>
        <v>0</v>
      </c>
      <c r="V87" s="62"/>
      <c r="W87" s="62"/>
      <c r="X87" s="62"/>
      <c r="Y87" s="62"/>
      <c r="Z87" s="150"/>
      <c r="AA87" s="150"/>
      <c r="AB87" s="150"/>
      <c r="AC87" s="150"/>
      <c r="AD87" s="150"/>
      <c r="AE87" s="150"/>
      <c r="AF87" s="150"/>
      <c r="AG87" s="150"/>
      <c r="AH87" s="150"/>
      <c r="AI87" s="150">
        <f>((AI86/2)*AJ86)+(((AI86/2)-1)*20)+100</f>
        <v>29330</v>
      </c>
      <c r="AJ87" s="150" t="s">
        <v>158</v>
      </c>
      <c r="AK87" s="150" t="s">
        <v>156</v>
      </c>
      <c r="AL87" s="150" t="s">
        <v>155</v>
      </c>
      <c r="AM87" s="150"/>
      <c r="AN87" s="150" t="s">
        <v>157</v>
      </c>
      <c r="AO87" s="150"/>
      <c r="AP87" s="150" t="s">
        <v>113</v>
      </c>
      <c r="AQ87" s="150" t="s">
        <v>596</v>
      </c>
      <c r="AR87" s="150" t="s">
        <v>595</v>
      </c>
      <c r="AS87" s="150" t="s">
        <v>593</v>
      </c>
      <c r="AT87" s="150" t="s">
        <v>593</v>
      </c>
      <c r="AU87" s="150"/>
      <c r="BA87" s="150"/>
      <c r="BB87" s="150"/>
      <c r="BC87" s="150"/>
      <c r="BD87" s="150"/>
      <c r="BE87" s="150"/>
      <c r="BF87" s="150"/>
      <c r="BG87" s="150"/>
      <c r="BH87" s="150" t="s">
        <v>17</v>
      </c>
      <c r="BI87" s="150">
        <v>0</v>
      </c>
      <c r="BJ87" s="150">
        <v>4</v>
      </c>
      <c r="BK87" s="150">
        <v>0</v>
      </c>
      <c r="BL87" s="150">
        <v>0</v>
      </c>
      <c r="BM87" s="150">
        <v>0</v>
      </c>
      <c r="BN87" s="150">
        <v>4</v>
      </c>
      <c r="BO87" s="150">
        <v>0</v>
      </c>
      <c r="BP87" s="150">
        <v>4</v>
      </c>
      <c r="BQ87" s="150">
        <v>0</v>
      </c>
      <c r="BR87" s="150">
        <v>4</v>
      </c>
      <c r="BS87" s="150">
        <v>0</v>
      </c>
      <c r="BT87" s="150">
        <v>4</v>
      </c>
      <c r="BU87" s="150">
        <v>0</v>
      </c>
      <c r="BV87" s="150">
        <v>0</v>
      </c>
      <c r="BW87" s="150">
        <v>4</v>
      </c>
      <c r="BX87" s="150">
        <v>0</v>
      </c>
      <c r="BY87" s="150">
        <v>4</v>
      </c>
      <c r="BZ87" s="150">
        <v>0</v>
      </c>
      <c r="CA87" s="150">
        <v>4</v>
      </c>
      <c r="CB87" s="150">
        <v>0</v>
      </c>
      <c r="CC87" s="150">
        <v>4</v>
      </c>
      <c r="CD87" s="150">
        <v>0</v>
      </c>
      <c r="CE87" s="150">
        <v>4</v>
      </c>
      <c r="CF87" s="150">
        <v>0</v>
      </c>
      <c r="CG87" s="150"/>
      <c r="CH87" s="150"/>
      <c r="CI87" s="150"/>
      <c r="CJ87" s="150"/>
      <c r="CK87" s="150"/>
      <c r="CL87" s="150"/>
      <c r="CM87" s="150"/>
      <c r="CN87" s="150" t="s">
        <v>17</v>
      </c>
      <c r="CO87" s="150">
        <v>0</v>
      </c>
      <c r="CP87" s="150">
        <v>0</v>
      </c>
      <c r="CQ87" s="150">
        <v>0</v>
      </c>
      <c r="CR87" s="150">
        <v>0</v>
      </c>
      <c r="CS87" s="150">
        <v>4</v>
      </c>
      <c r="CT87" s="150">
        <v>0</v>
      </c>
      <c r="CU87" s="150">
        <v>4</v>
      </c>
      <c r="CV87" s="150">
        <v>0</v>
      </c>
      <c r="CW87" s="150">
        <v>4</v>
      </c>
      <c r="CX87" s="150">
        <v>0</v>
      </c>
      <c r="CY87" s="150">
        <v>4</v>
      </c>
      <c r="CZ87" s="150">
        <v>0</v>
      </c>
      <c r="DA87" s="150">
        <v>4</v>
      </c>
      <c r="DB87" s="150">
        <v>0</v>
      </c>
      <c r="DC87" s="150">
        <v>4</v>
      </c>
      <c r="DD87" s="150">
        <v>0</v>
      </c>
      <c r="DE87" s="150">
        <v>4</v>
      </c>
      <c r="DF87" s="150">
        <v>0</v>
      </c>
      <c r="DG87" s="150">
        <v>4</v>
      </c>
      <c r="DH87" s="150">
        <v>0</v>
      </c>
      <c r="DI87" s="150">
        <v>4</v>
      </c>
      <c r="DJ87" s="150">
        <v>0</v>
      </c>
      <c r="DK87" s="150">
        <v>4</v>
      </c>
      <c r="DL87" s="150">
        <v>0</v>
      </c>
      <c r="DM87" s="150"/>
      <c r="DN87" s="150"/>
      <c r="DO87" s="150"/>
      <c r="DP87" s="150"/>
      <c r="DQ87" s="181"/>
      <c r="DR87" s="181">
        <v>12</v>
      </c>
      <c r="DS87" s="181"/>
      <c r="DT87" s="150"/>
      <c r="DU87" s="150"/>
      <c r="DV87" s="150"/>
      <c r="DW87" s="150"/>
      <c r="DX87" s="150"/>
      <c r="DY87" s="150"/>
      <c r="DZ87" s="150"/>
      <c r="EA87" s="150"/>
      <c r="EB87" s="150"/>
      <c r="EC87" s="150"/>
      <c r="ED87" s="150"/>
      <c r="EE87" s="150"/>
      <c r="EF87" s="150"/>
      <c r="EG87" s="150"/>
      <c r="EH87" s="150"/>
      <c r="EI87" s="150"/>
      <c r="EJ87" s="155"/>
      <c r="EK87" s="150" t="s">
        <v>523</v>
      </c>
      <c r="EL87" s="150">
        <v>0</v>
      </c>
      <c r="EM87" s="150">
        <f>BJ87+(BJ85*2)</f>
        <v>4</v>
      </c>
      <c r="EN87" s="150">
        <f>BK87+(BK85*2)</f>
        <v>0</v>
      </c>
      <c r="EO87" s="150">
        <v>0</v>
      </c>
      <c r="EP87" s="150">
        <f t="shared" ref="EP87:FI87" si="245">BM87+(BM85*2)</f>
        <v>8</v>
      </c>
      <c r="EQ87" s="150">
        <f t="shared" si="245"/>
        <v>4</v>
      </c>
      <c r="ER87" s="150">
        <f t="shared" si="245"/>
        <v>0</v>
      </c>
      <c r="ES87" s="150">
        <f t="shared" si="245"/>
        <v>12</v>
      </c>
      <c r="ET87" s="150">
        <f t="shared" si="245"/>
        <v>8</v>
      </c>
      <c r="EU87" s="150">
        <f t="shared" si="245"/>
        <v>4</v>
      </c>
      <c r="EV87" s="150">
        <f t="shared" si="245"/>
        <v>16</v>
      </c>
      <c r="EW87" s="150">
        <f t="shared" si="245"/>
        <v>12</v>
      </c>
      <c r="EX87" s="150">
        <f t="shared" si="245"/>
        <v>8</v>
      </c>
      <c r="EY87" s="150">
        <f t="shared" si="245"/>
        <v>8</v>
      </c>
      <c r="EZ87" s="150">
        <f t="shared" si="245"/>
        <v>20</v>
      </c>
      <c r="FA87" s="150">
        <f t="shared" si="245"/>
        <v>16</v>
      </c>
      <c r="FB87" s="150">
        <f t="shared" si="245"/>
        <v>12</v>
      </c>
      <c r="FC87" s="150">
        <f t="shared" si="245"/>
        <v>24</v>
      </c>
      <c r="FD87" s="150">
        <f t="shared" si="245"/>
        <v>20</v>
      </c>
      <c r="FE87" s="150">
        <f t="shared" si="245"/>
        <v>16</v>
      </c>
      <c r="FF87" s="150">
        <f t="shared" si="245"/>
        <v>28</v>
      </c>
      <c r="FG87" s="150">
        <f t="shared" si="245"/>
        <v>24</v>
      </c>
      <c r="FH87" s="150">
        <f t="shared" si="245"/>
        <v>20</v>
      </c>
      <c r="FI87" s="150">
        <f t="shared" si="245"/>
        <v>32</v>
      </c>
      <c r="FJ87" s="150"/>
      <c r="FK87" s="150" t="s">
        <v>523</v>
      </c>
      <c r="FL87" s="150">
        <v>0</v>
      </c>
      <c r="FM87" s="150">
        <f>CP87+(CP85*2)</f>
        <v>0</v>
      </c>
      <c r="FN87" s="150">
        <v>0</v>
      </c>
      <c r="FO87" s="150">
        <v>0</v>
      </c>
      <c r="FP87" s="150">
        <f t="shared" ref="FP87:GI87" si="246">CS87+(CS85*2)</f>
        <v>4</v>
      </c>
      <c r="FQ87" s="150">
        <f t="shared" si="246"/>
        <v>0</v>
      </c>
      <c r="FR87" s="150">
        <f t="shared" si="246"/>
        <v>12</v>
      </c>
      <c r="FS87" s="150">
        <f t="shared" si="246"/>
        <v>8</v>
      </c>
      <c r="FT87" s="150">
        <f t="shared" si="246"/>
        <v>4</v>
      </c>
      <c r="FU87" s="150">
        <f t="shared" si="246"/>
        <v>16</v>
      </c>
      <c r="FV87" s="150">
        <f t="shared" si="246"/>
        <v>12</v>
      </c>
      <c r="FW87" s="150">
        <f t="shared" si="246"/>
        <v>8</v>
      </c>
      <c r="FX87" s="150">
        <f t="shared" si="246"/>
        <v>20</v>
      </c>
      <c r="FY87" s="150">
        <f t="shared" si="246"/>
        <v>16</v>
      </c>
      <c r="FZ87" s="150">
        <f t="shared" si="246"/>
        <v>12</v>
      </c>
      <c r="GA87" s="150">
        <f t="shared" si="246"/>
        <v>24</v>
      </c>
      <c r="GB87" s="150">
        <f t="shared" si="246"/>
        <v>20</v>
      </c>
      <c r="GC87" s="150">
        <f t="shared" si="246"/>
        <v>16</v>
      </c>
      <c r="GD87" s="150">
        <f t="shared" si="246"/>
        <v>28</v>
      </c>
      <c r="GE87" s="150">
        <f t="shared" si="246"/>
        <v>24</v>
      </c>
      <c r="GF87" s="150">
        <f t="shared" si="246"/>
        <v>20</v>
      </c>
      <c r="GG87" s="150">
        <f t="shared" si="246"/>
        <v>32</v>
      </c>
      <c r="GH87" s="150">
        <f t="shared" si="246"/>
        <v>28</v>
      </c>
      <c r="GI87" s="150">
        <f t="shared" si="246"/>
        <v>24</v>
      </c>
      <c r="GJ87" s="150"/>
      <c r="GK87" s="150"/>
      <c r="GL87" s="150"/>
      <c r="GM87" s="150"/>
      <c r="GN87" s="150"/>
      <c r="GO87" s="150"/>
      <c r="GP87" s="150"/>
      <c r="GQ87" s="150"/>
      <c r="GR87" s="150" t="s">
        <v>523</v>
      </c>
      <c r="GS87" s="150">
        <v>0</v>
      </c>
      <c r="GT87" s="150">
        <v>0</v>
      </c>
      <c r="GU87" s="150">
        <v>0</v>
      </c>
      <c r="GV87" s="150">
        <v>0</v>
      </c>
      <c r="GW87" s="150">
        <v>4</v>
      </c>
      <c r="GX87" s="150">
        <v>0</v>
      </c>
      <c r="GY87" s="150">
        <v>12</v>
      </c>
      <c r="GZ87" s="150">
        <v>4</v>
      </c>
      <c r="HA87" s="150">
        <v>0</v>
      </c>
      <c r="HB87" s="150">
        <v>12</v>
      </c>
      <c r="HC87" s="150">
        <v>8</v>
      </c>
      <c r="HD87" s="150">
        <v>4</v>
      </c>
      <c r="HE87" s="150">
        <v>0</v>
      </c>
      <c r="HF87" s="150">
        <v>12</v>
      </c>
      <c r="HG87" s="150">
        <v>8</v>
      </c>
      <c r="HH87" s="150">
        <v>4</v>
      </c>
      <c r="HI87" s="154">
        <v>12</v>
      </c>
      <c r="HJ87" s="154">
        <v>8</v>
      </c>
      <c r="HK87" s="154">
        <v>4</v>
      </c>
      <c r="HL87" s="154">
        <v>0</v>
      </c>
      <c r="HM87" s="154">
        <v>12</v>
      </c>
      <c r="HN87" s="154">
        <v>8</v>
      </c>
      <c r="HO87" s="154">
        <v>4</v>
      </c>
      <c r="HP87" s="154">
        <v>0</v>
      </c>
      <c r="HS87" s="154" t="s">
        <v>523</v>
      </c>
      <c r="HT87" s="154">
        <v>0</v>
      </c>
      <c r="HU87" s="154">
        <v>0</v>
      </c>
      <c r="HV87" s="154">
        <v>0</v>
      </c>
      <c r="HW87" s="154">
        <v>4</v>
      </c>
      <c r="HX87" s="154">
        <v>0</v>
      </c>
      <c r="HY87" s="154">
        <v>12</v>
      </c>
      <c r="HZ87" s="154">
        <v>8</v>
      </c>
      <c r="IA87" s="154">
        <v>4</v>
      </c>
      <c r="IB87" s="154">
        <v>12</v>
      </c>
      <c r="IC87" s="154">
        <v>8</v>
      </c>
      <c r="ID87" s="154">
        <v>4</v>
      </c>
      <c r="IE87" s="154">
        <v>0</v>
      </c>
      <c r="IF87" s="154">
        <v>12</v>
      </c>
      <c r="IG87" s="154">
        <v>4</v>
      </c>
      <c r="IH87" s="154">
        <v>0</v>
      </c>
      <c r="II87" s="154">
        <v>12</v>
      </c>
      <c r="IJ87" s="154">
        <v>8</v>
      </c>
      <c r="IK87" s="154">
        <v>4</v>
      </c>
      <c r="IL87" s="154">
        <v>12</v>
      </c>
      <c r="IM87" s="154">
        <v>8</v>
      </c>
      <c r="IN87" s="154">
        <v>4</v>
      </c>
      <c r="IO87" s="154">
        <v>0</v>
      </c>
      <c r="IP87" s="154">
        <v>12</v>
      </c>
      <c r="IQ87" s="154">
        <v>4</v>
      </c>
      <c r="IT87" s="157"/>
    </row>
    <row r="88" spans="1:254" x14ac:dyDescent="0.2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6" t="s">
        <v>350</v>
      </c>
      <c r="M88" s="11">
        <f>INDEX(cennik!$C$2:$L$529,MATCH($L88,cennik!$B$2:$B$522,0),MATCH(M$2,cennik!$C$1:$L$1,0))</f>
        <v>651643</v>
      </c>
      <c r="N88" s="11" t="str">
        <f>INDEX(cennik!$C$2:$L$529,MATCH($L88,cennik!$B$2:$B$522,0),MATCH(N$2,cennik!$C$1:$L$1,0))</f>
        <v>100 szt.</v>
      </c>
      <c r="O88" s="11">
        <f>ROUNDUP(((O69*17)+(O76*2)+(O94*2)+(O81*4)+(O90*2)+E72+(O68*9)+(O72*12)+(O95*2))/100,0)</f>
        <v>0</v>
      </c>
      <c r="P88" s="34">
        <f>INDEX(cennik!$C$2:$L$529,MATCH($L88,cennik!$B$2:$B$522,0),MATCH(P$2,cennik!$C$1:$L$1,0))</f>
        <v>144.19</v>
      </c>
      <c r="Q88" s="34">
        <f t="shared" si="239"/>
        <v>0</v>
      </c>
      <c r="R88" s="35">
        <f t="shared" si="204"/>
        <v>0</v>
      </c>
      <c r="S88" s="34">
        <f t="shared" si="205"/>
        <v>144.19</v>
      </c>
      <c r="T88" s="34">
        <f t="shared" si="240"/>
        <v>0</v>
      </c>
      <c r="U88" s="34">
        <f>INDEX(cennik!$C$2:$L$529,MATCH($L88,cennik!$B$2:$B$522,0),MATCH(U$2,cennik!$C$1:$L$1,0))*O88</f>
        <v>0</v>
      </c>
      <c r="V88" s="62"/>
      <c r="AC88" s="150"/>
      <c r="AD88" s="150"/>
      <c r="AE88" s="150"/>
      <c r="AF88" s="150"/>
      <c r="AG88" s="150"/>
      <c r="AH88" s="150" t="s">
        <v>217</v>
      </c>
      <c r="AI88" s="150">
        <v>6600</v>
      </c>
      <c r="AJ88" s="150">
        <v>4</v>
      </c>
      <c r="AK88" s="150">
        <f>AI88*AJ88</f>
        <v>26400</v>
      </c>
      <c r="AL88" s="150">
        <v>191.1</v>
      </c>
      <c r="AM88" s="150">
        <f>AJ88*AL88</f>
        <v>764.4</v>
      </c>
      <c r="AN88" s="150">
        <f>AJ88*4</f>
        <v>16</v>
      </c>
      <c r="AO88" s="150"/>
      <c r="AP88" s="150" t="s">
        <v>137</v>
      </c>
      <c r="AQ88" s="150" t="s">
        <v>596</v>
      </c>
      <c r="AR88" s="150" t="s">
        <v>595</v>
      </c>
      <c r="AS88" s="150" t="s">
        <v>593</v>
      </c>
      <c r="AT88" s="150" t="s">
        <v>593</v>
      </c>
      <c r="AU88" s="150"/>
      <c r="BA88" s="150"/>
      <c r="BB88" s="150"/>
      <c r="BC88" s="150"/>
      <c r="BD88" s="150"/>
      <c r="BE88" s="150"/>
      <c r="BF88" s="150"/>
      <c r="BG88" s="150"/>
      <c r="BH88" s="150" t="s">
        <v>18</v>
      </c>
      <c r="BI88" s="150">
        <v>0</v>
      </c>
      <c r="BJ88" s="150">
        <v>0</v>
      </c>
      <c r="BK88" s="150">
        <v>0</v>
      </c>
      <c r="BL88" s="150">
        <v>0</v>
      </c>
      <c r="BM88" s="150">
        <v>0</v>
      </c>
      <c r="BN88" s="150">
        <v>4</v>
      </c>
      <c r="BO88" s="150">
        <v>4</v>
      </c>
      <c r="BP88" s="150">
        <v>4</v>
      </c>
      <c r="BQ88" s="150">
        <v>4</v>
      </c>
      <c r="BR88" s="150">
        <v>8</v>
      </c>
      <c r="BS88" s="150">
        <v>4</v>
      </c>
      <c r="BT88" s="150">
        <v>8</v>
      </c>
      <c r="BU88" s="150">
        <v>8</v>
      </c>
      <c r="BV88" s="150">
        <v>8</v>
      </c>
      <c r="BW88" s="150">
        <v>8</v>
      </c>
      <c r="BX88" s="150">
        <v>8</v>
      </c>
      <c r="BY88" s="150">
        <v>12</v>
      </c>
      <c r="BZ88" s="150">
        <v>8</v>
      </c>
      <c r="CA88" s="150">
        <v>12</v>
      </c>
      <c r="CB88" s="150">
        <v>12</v>
      </c>
      <c r="CC88" s="150">
        <v>12</v>
      </c>
      <c r="CD88" s="150">
        <v>12</v>
      </c>
      <c r="CE88" s="150">
        <v>16</v>
      </c>
      <c r="CF88" s="150">
        <v>12</v>
      </c>
      <c r="CG88" s="150"/>
      <c r="CH88" s="150"/>
      <c r="CI88" s="150"/>
      <c r="CJ88" s="150"/>
      <c r="CK88" s="150"/>
      <c r="CL88" s="150"/>
      <c r="CM88" s="150"/>
      <c r="CN88" s="150" t="s">
        <v>18</v>
      </c>
      <c r="CO88" s="150">
        <v>0</v>
      </c>
      <c r="CP88" s="150">
        <v>0</v>
      </c>
      <c r="CQ88" s="150">
        <v>0</v>
      </c>
      <c r="CR88" s="150">
        <v>0</v>
      </c>
      <c r="CS88" s="150">
        <v>4</v>
      </c>
      <c r="CT88" s="150">
        <v>4</v>
      </c>
      <c r="CU88" s="150">
        <v>4</v>
      </c>
      <c r="CV88" s="150">
        <v>4</v>
      </c>
      <c r="CW88" s="150">
        <v>8</v>
      </c>
      <c r="CX88" s="150">
        <v>4</v>
      </c>
      <c r="CY88" s="150">
        <v>8</v>
      </c>
      <c r="CZ88" s="150">
        <v>8</v>
      </c>
      <c r="DA88" s="150">
        <v>8</v>
      </c>
      <c r="DB88" s="150">
        <v>8</v>
      </c>
      <c r="DC88" s="150">
        <v>12</v>
      </c>
      <c r="DD88" s="150">
        <v>8</v>
      </c>
      <c r="DE88" s="150">
        <v>12</v>
      </c>
      <c r="DF88" s="150">
        <v>12</v>
      </c>
      <c r="DG88" s="150">
        <v>12</v>
      </c>
      <c r="DH88" s="150">
        <v>12</v>
      </c>
      <c r="DI88" s="150">
        <v>16</v>
      </c>
      <c r="DJ88" s="150">
        <v>12</v>
      </c>
      <c r="DK88" s="150">
        <v>16</v>
      </c>
      <c r="DL88" s="150">
        <v>16</v>
      </c>
      <c r="DM88" s="150"/>
      <c r="DN88" s="150"/>
      <c r="DO88" s="150"/>
      <c r="DP88" s="150"/>
      <c r="DQ88" s="181"/>
      <c r="DR88" s="181">
        <v>14</v>
      </c>
      <c r="DS88" s="181"/>
      <c r="DT88" s="150"/>
      <c r="DU88" s="150"/>
      <c r="DV88" s="150"/>
      <c r="DW88" s="150"/>
      <c r="DX88" s="150"/>
      <c r="DY88" s="150"/>
      <c r="DZ88" s="150"/>
      <c r="EA88" s="150"/>
      <c r="EB88" s="150"/>
      <c r="EC88" s="150"/>
      <c r="ED88" s="150"/>
      <c r="EE88" s="150"/>
      <c r="EF88" s="150"/>
      <c r="EG88" s="150"/>
      <c r="EH88" s="150"/>
      <c r="EI88" s="150"/>
      <c r="EJ88" s="155"/>
      <c r="EK88" s="158" t="s">
        <v>779</v>
      </c>
      <c r="EL88" s="150">
        <v>0</v>
      </c>
      <c r="EM88" s="150">
        <f>((SUM(EM86:EM87)/4)-1)*4</f>
        <v>0</v>
      </c>
      <c r="EN88" s="150">
        <f t="shared" ref="EN88:EX88" si="247">((SUM(EN86:EN87)/4)-1)*4</f>
        <v>0</v>
      </c>
      <c r="EO88" s="150">
        <v>0</v>
      </c>
      <c r="EP88" s="150">
        <f t="shared" si="247"/>
        <v>4</v>
      </c>
      <c r="EQ88" s="150">
        <f t="shared" si="247"/>
        <v>4</v>
      </c>
      <c r="ER88" s="150">
        <f t="shared" si="247"/>
        <v>4</v>
      </c>
      <c r="ES88" s="150">
        <f t="shared" si="247"/>
        <v>8</v>
      </c>
      <c r="ET88" s="150">
        <f t="shared" si="247"/>
        <v>8</v>
      </c>
      <c r="EU88" s="150">
        <f t="shared" si="247"/>
        <v>8</v>
      </c>
      <c r="EV88" s="150">
        <f t="shared" si="247"/>
        <v>12</v>
      </c>
      <c r="EW88" s="150">
        <f t="shared" si="247"/>
        <v>12</v>
      </c>
      <c r="EX88" s="150">
        <f t="shared" si="247"/>
        <v>12</v>
      </c>
      <c r="EY88" s="150">
        <f>((SUM(EY86:EY87)/4)-1)*4</f>
        <v>12</v>
      </c>
      <c r="EZ88" s="150">
        <f t="shared" ref="EZ88:FI88" si="248">((SUM(EZ86:EZ87)/4)-1)*4</f>
        <v>16</v>
      </c>
      <c r="FA88" s="150">
        <f t="shared" si="248"/>
        <v>16</v>
      </c>
      <c r="FB88" s="150">
        <f t="shared" si="248"/>
        <v>16</v>
      </c>
      <c r="FC88" s="150">
        <f t="shared" si="248"/>
        <v>20</v>
      </c>
      <c r="FD88" s="150">
        <f t="shared" si="248"/>
        <v>20</v>
      </c>
      <c r="FE88" s="150">
        <f t="shared" si="248"/>
        <v>20</v>
      </c>
      <c r="FF88" s="150">
        <f t="shared" si="248"/>
        <v>24</v>
      </c>
      <c r="FG88" s="150">
        <f t="shared" si="248"/>
        <v>24</v>
      </c>
      <c r="FH88" s="150">
        <f t="shared" si="248"/>
        <v>24</v>
      </c>
      <c r="FI88" s="150">
        <f t="shared" si="248"/>
        <v>28</v>
      </c>
      <c r="FJ88" s="150"/>
      <c r="FK88" s="150" t="s">
        <v>524</v>
      </c>
      <c r="FL88" s="150">
        <v>0</v>
      </c>
      <c r="FM88" s="150">
        <f>((SUM(FM86:FM87)/4)-1)*4</f>
        <v>0</v>
      </c>
      <c r="FN88" s="150">
        <v>0</v>
      </c>
      <c r="FO88" s="150">
        <v>0</v>
      </c>
      <c r="FP88" s="150">
        <f t="shared" ref="FP88:FX88" si="249">((SUM(FP86:FP87)/4)-1)*4</f>
        <v>4</v>
      </c>
      <c r="FQ88" s="150">
        <f t="shared" si="249"/>
        <v>4</v>
      </c>
      <c r="FR88" s="150">
        <f t="shared" si="249"/>
        <v>8</v>
      </c>
      <c r="FS88" s="150">
        <f t="shared" si="249"/>
        <v>8</v>
      </c>
      <c r="FT88" s="150">
        <f t="shared" si="249"/>
        <v>8</v>
      </c>
      <c r="FU88" s="150">
        <f t="shared" si="249"/>
        <v>12</v>
      </c>
      <c r="FV88" s="150">
        <f t="shared" si="249"/>
        <v>12</v>
      </c>
      <c r="FW88" s="150">
        <f t="shared" si="249"/>
        <v>12</v>
      </c>
      <c r="FX88" s="150">
        <f t="shared" si="249"/>
        <v>16</v>
      </c>
      <c r="FY88" s="150">
        <f>((SUM(FY86:FY87)/4)-1)*4</f>
        <v>16</v>
      </c>
      <c r="FZ88" s="150">
        <f t="shared" ref="FZ88:GI88" si="250">((SUM(FZ86:FZ87)/4)-1)*4</f>
        <v>16</v>
      </c>
      <c r="GA88" s="150">
        <f t="shared" si="250"/>
        <v>20</v>
      </c>
      <c r="GB88" s="150">
        <f t="shared" si="250"/>
        <v>20</v>
      </c>
      <c r="GC88" s="150">
        <f t="shared" si="250"/>
        <v>20</v>
      </c>
      <c r="GD88" s="150">
        <f t="shared" si="250"/>
        <v>24</v>
      </c>
      <c r="GE88" s="150">
        <f t="shared" si="250"/>
        <v>24</v>
      </c>
      <c r="GF88" s="150">
        <f t="shared" si="250"/>
        <v>24</v>
      </c>
      <c r="GG88" s="150">
        <f t="shared" si="250"/>
        <v>28</v>
      </c>
      <c r="GH88" s="150">
        <f t="shared" si="250"/>
        <v>28</v>
      </c>
      <c r="GI88" s="150">
        <f t="shared" si="250"/>
        <v>28</v>
      </c>
      <c r="GJ88" s="150"/>
      <c r="GK88" s="150"/>
      <c r="GL88" s="150"/>
      <c r="GM88" s="150"/>
      <c r="GN88" s="150"/>
      <c r="GO88" s="150"/>
      <c r="GP88" s="150"/>
      <c r="GQ88" s="150"/>
      <c r="GR88" s="158" t="s">
        <v>779</v>
      </c>
      <c r="GS88" s="150">
        <v>0</v>
      </c>
      <c r="GT88" s="150">
        <v>0</v>
      </c>
      <c r="GU88" s="150">
        <v>0</v>
      </c>
      <c r="GV88" s="150">
        <v>0</v>
      </c>
      <c r="GW88" s="150">
        <v>4</v>
      </c>
      <c r="GX88" s="150">
        <v>4</v>
      </c>
      <c r="GY88" s="150">
        <v>8</v>
      </c>
      <c r="GZ88" s="150">
        <v>8</v>
      </c>
      <c r="HA88" s="150">
        <v>8</v>
      </c>
      <c r="HB88" s="150">
        <v>12</v>
      </c>
      <c r="HC88" s="150">
        <v>12</v>
      </c>
      <c r="HD88" s="150">
        <v>12</v>
      </c>
      <c r="HE88" s="150">
        <v>12</v>
      </c>
      <c r="HF88" s="150">
        <v>16</v>
      </c>
      <c r="HG88" s="150">
        <v>16</v>
      </c>
      <c r="HH88" s="150">
        <v>16</v>
      </c>
      <c r="HI88" s="154">
        <v>20</v>
      </c>
      <c r="HJ88" s="154">
        <v>20</v>
      </c>
      <c r="HK88" s="154">
        <v>20</v>
      </c>
      <c r="HL88" s="154">
        <v>20</v>
      </c>
      <c r="HM88" s="154">
        <v>24</v>
      </c>
      <c r="HN88" s="154">
        <v>24</v>
      </c>
      <c r="HO88" s="154">
        <v>24</v>
      </c>
      <c r="HP88" s="154">
        <v>24</v>
      </c>
      <c r="HS88" s="154" t="s">
        <v>524</v>
      </c>
      <c r="HT88" s="154">
        <v>0</v>
      </c>
      <c r="HU88" s="154">
        <v>0</v>
      </c>
      <c r="HV88" s="154">
        <v>0</v>
      </c>
      <c r="HW88" s="154">
        <v>4</v>
      </c>
      <c r="HX88" s="154">
        <v>4</v>
      </c>
      <c r="HY88" s="154">
        <v>8</v>
      </c>
      <c r="HZ88" s="154">
        <v>8</v>
      </c>
      <c r="IA88" s="154">
        <v>8</v>
      </c>
      <c r="IB88" s="154">
        <v>12</v>
      </c>
      <c r="IC88" s="154">
        <v>12</v>
      </c>
      <c r="ID88" s="154">
        <v>12</v>
      </c>
      <c r="IE88" s="154">
        <v>12</v>
      </c>
      <c r="IF88" s="154">
        <v>16</v>
      </c>
      <c r="IG88" s="154">
        <v>16</v>
      </c>
      <c r="IH88" s="154">
        <v>16</v>
      </c>
      <c r="II88" s="154">
        <v>20</v>
      </c>
      <c r="IJ88" s="154">
        <v>20</v>
      </c>
      <c r="IK88" s="154">
        <v>20</v>
      </c>
      <c r="IL88" s="154">
        <v>24</v>
      </c>
      <c r="IM88" s="154">
        <v>24</v>
      </c>
      <c r="IN88" s="154">
        <v>24</v>
      </c>
      <c r="IO88" s="154">
        <v>24</v>
      </c>
      <c r="IP88" s="154">
        <v>28</v>
      </c>
      <c r="IQ88" s="154">
        <v>28</v>
      </c>
      <c r="IT88" s="157"/>
    </row>
    <row r="89" spans="1:254" x14ac:dyDescent="0.2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6" t="s">
        <v>128</v>
      </c>
      <c r="M89" s="11">
        <f>INDEX(cennik!$C$2:$L$529,MATCH($L89,cennik!$B$2:$B$522,0),MATCH(M$2,cennik!$C$1:$L$1,0))</f>
        <v>897303</v>
      </c>
      <c r="N89" s="11" t="str">
        <f>INDEX(cennik!$C$2:$L$529,MATCH($L89,cennik!$B$2:$B$522,0),MATCH(N$2,cennik!$C$1:$L$1,0))</f>
        <v>szt.</v>
      </c>
      <c r="O89" s="11">
        <f>0.214285714285714*SUM(O82:O83)</f>
        <v>0</v>
      </c>
      <c r="P89" s="34">
        <f>INDEX(cennik!$C$2:$L$529,MATCH($L89,cennik!$B$2:$B$522,0),MATCH(P$2,cennik!$C$1:$L$1,0))</f>
        <v>2.4</v>
      </c>
      <c r="Q89" s="34">
        <f t="shared" si="239"/>
        <v>0</v>
      </c>
      <c r="R89" s="35">
        <f t="shared" si="204"/>
        <v>0</v>
      </c>
      <c r="S89" s="34">
        <f t="shared" si="205"/>
        <v>2.4</v>
      </c>
      <c r="T89" s="34">
        <f t="shared" si="240"/>
        <v>0</v>
      </c>
      <c r="U89" s="34">
        <f>INDEX(cennik!$C$2:$L$529,MATCH($L89,cennik!$B$2:$B$522,0),MATCH(U$2,cennik!$C$1:$L$1,0))*O89</f>
        <v>0</v>
      </c>
      <c r="V89" s="62"/>
      <c r="AC89" s="150"/>
      <c r="AD89" s="150"/>
      <c r="AE89" s="150"/>
      <c r="AF89" s="150"/>
      <c r="AG89" s="150"/>
      <c r="AH89" s="150" t="s">
        <v>216</v>
      </c>
      <c r="AI89" s="150">
        <v>4400</v>
      </c>
      <c r="AJ89" s="150">
        <v>0</v>
      </c>
      <c r="AK89" s="150">
        <f>AI89*AJ89</f>
        <v>0</v>
      </c>
      <c r="AL89" s="150">
        <v>127.4</v>
      </c>
      <c r="AM89" s="150">
        <f>AJ89*AL89</f>
        <v>0</v>
      </c>
      <c r="AN89" s="150">
        <f>AJ89*4</f>
        <v>0</v>
      </c>
      <c r="AO89" s="150"/>
      <c r="AP89" s="150" t="s">
        <v>138</v>
      </c>
      <c r="AQ89" s="150" t="s">
        <v>596</v>
      </c>
      <c r="AR89" s="150" t="s">
        <v>595</v>
      </c>
      <c r="AS89" s="150" t="s">
        <v>593</v>
      </c>
      <c r="AT89" s="150" t="s">
        <v>593</v>
      </c>
      <c r="AU89" s="150"/>
      <c r="BA89" s="150"/>
      <c r="BB89" s="150"/>
      <c r="BC89" s="150"/>
      <c r="BD89" s="150"/>
      <c r="BE89" s="150"/>
      <c r="BF89" s="150"/>
      <c r="BG89" s="150"/>
      <c r="BH89" s="150"/>
      <c r="BI89" s="150"/>
      <c r="BJ89" s="150"/>
      <c r="BK89" s="150"/>
      <c r="BL89" s="150"/>
      <c r="BM89" s="150"/>
      <c r="BN89" s="150"/>
      <c r="BO89" s="150"/>
      <c r="BP89" s="150"/>
      <c r="BQ89" s="150"/>
      <c r="BR89" s="150"/>
      <c r="BS89" s="150"/>
      <c r="BT89" s="150"/>
      <c r="BU89" s="150"/>
      <c r="BV89" s="150"/>
      <c r="BW89" s="150"/>
      <c r="BX89" s="150"/>
      <c r="BY89" s="150"/>
      <c r="BZ89" s="150"/>
      <c r="CA89" s="150"/>
      <c r="CB89" s="150"/>
      <c r="CC89" s="150"/>
      <c r="CD89" s="150"/>
      <c r="CE89" s="150"/>
      <c r="CF89" s="150"/>
      <c r="CG89" s="150"/>
      <c r="CH89" s="150"/>
      <c r="CI89" s="150"/>
      <c r="CJ89" s="150"/>
      <c r="CK89" s="150"/>
      <c r="CL89" s="150"/>
      <c r="CM89" s="150"/>
      <c r="CN89" s="150"/>
      <c r="CO89" s="150"/>
      <c r="CP89" s="150"/>
      <c r="CQ89" s="150"/>
      <c r="CR89" s="150"/>
      <c r="CS89" s="150"/>
      <c r="CT89" s="150"/>
      <c r="CU89" s="150"/>
      <c r="CV89" s="150"/>
      <c r="CW89" s="150"/>
      <c r="CX89" s="150"/>
      <c r="CY89" s="150"/>
      <c r="CZ89" s="150"/>
      <c r="DA89" s="150"/>
      <c r="DB89" s="150"/>
      <c r="DC89" s="150"/>
      <c r="DD89" s="150"/>
      <c r="DE89" s="150"/>
      <c r="DF89" s="150"/>
      <c r="DG89" s="150"/>
      <c r="DH89" s="150"/>
      <c r="DI89" s="150"/>
      <c r="DJ89" s="150"/>
      <c r="DK89" s="150"/>
      <c r="DL89" s="150"/>
      <c r="DM89" s="150"/>
      <c r="DN89" s="150"/>
      <c r="DO89" s="150"/>
      <c r="DP89" s="150"/>
      <c r="DQ89" s="181"/>
      <c r="DR89" s="181">
        <v>16</v>
      </c>
      <c r="DS89" s="181"/>
      <c r="DT89" s="150"/>
      <c r="DU89" s="150"/>
      <c r="DV89" s="150"/>
      <c r="DW89" s="150"/>
      <c r="DX89" s="150"/>
      <c r="DY89" s="150"/>
      <c r="DZ89" s="150"/>
      <c r="EA89" s="150"/>
      <c r="EB89" s="150"/>
      <c r="EC89" s="150"/>
      <c r="ED89" s="150"/>
      <c r="EE89" s="150"/>
      <c r="EF89" s="150"/>
      <c r="EG89" s="150"/>
      <c r="EH89" s="150"/>
      <c r="EI89" s="150"/>
      <c r="EJ89" s="155"/>
      <c r="EK89" s="150" t="s">
        <v>700</v>
      </c>
      <c r="EL89" s="150">
        <v>0</v>
      </c>
      <c r="EM89" s="150">
        <v>0</v>
      </c>
      <c r="EN89" s="150">
        <v>0</v>
      </c>
      <c r="EO89" s="150">
        <v>0</v>
      </c>
      <c r="EP89" s="150">
        <v>4</v>
      </c>
      <c r="EQ89" s="150">
        <v>4</v>
      </c>
      <c r="ER89" s="150">
        <v>4</v>
      </c>
      <c r="ES89" s="150">
        <v>8</v>
      </c>
      <c r="ET89" s="150">
        <v>8</v>
      </c>
      <c r="EU89" s="150">
        <v>8</v>
      </c>
      <c r="EV89" s="150">
        <v>12</v>
      </c>
      <c r="EW89" s="150">
        <v>12</v>
      </c>
      <c r="EX89" s="150">
        <v>12</v>
      </c>
      <c r="EY89" s="150">
        <v>12</v>
      </c>
      <c r="EZ89" s="150">
        <v>16</v>
      </c>
      <c r="FA89" s="150">
        <v>16</v>
      </c>
      <c r="FB89" s="150">
        <v>16</v>
      </c>
      <c r="FC89" s="150">
        <v>20</v>
      </c>
      <c r="FD89" s="150">
        <v>20</v>
      </c>
      <c r="FE89" s="150">
        <v>20</v>
      </c>
      <c r="FF89" s="150">
        <v>24</v>
      </c>
      <c r="FG89" s="150">
        <v>24</v>
      </c>
      <c r="FH89" s="150">
        <v>24</v>
      </c>
      <c r="FI89" s="150">
        <v>28</v>
      </c>
      <c r="FJ89" s="150"/>
      <c r="FK89" s="150" t="s">
        <v>700</v>
      </c>
      <c r="FL89" s="150">
        <v>0</v>
      </c>
      <c r="FM89" s="150">
        <v>0</v>
      </c>
      <c r="FN89" s="150">
        <v>0</v>
      </c>
      <c r="FO89" s="150">
        <v>0</v>
      </c>
      <c r="FP89" s="150">
        <v>4</v>
      </c>
      <c r="FQ89" s="150">
        <v>4</v>
      </c>
      <c r="FR89" s="150">
        <v>8</v>
      </c>
      <c r="FS89" s="150">
        <v>8</v>
      </c>
      <c r="FT89" s="150">
        <v>8</v>
      </c>
      <c r="FU89" s="150">
        <v>12</v>
      </c>
      <c r="FV89" s="150">
        <v>12</v>
      </c>
      <c r="FW89" s="150">
        <v>12</v>
      </c>
      <c r="FX89" s="150">
        <v>16</v>
      </c>
      <c r="FY89" s="150">
        <v>16</v>
      </c>
      <c r="FZ89" s="150">
        <v>16</v>
      </c>
      <c r="GA89" s="150">
        <v>20</v>
      </c>
      <c r="GB89" s="150">
        <v>20</v>
      </c>
      <c r="GC89" s="150">
        <v>20</v>
      </c>
      <c r="GD89" s="150">
        <v>24</v>
      </c>
      <c r="GE89" s="150">
        <v>24</v>
      </c>
      <c r="GF89" s="150">
        <v>24</v>
      </c>
      <c r="GG89" s="150">
        <v>28</v>
      </c>
      <c r="GH89" s="150">
        <v>28</v>
      </c>
      <c r="GI89" s="150">
        <v>28</v>
      </c>
      <c r="GJ89" s="150"/>
      <c r="GK89" s="150"/>
      <c r="GL89" s="150"/>
      <c r="GM89" s="150"/>
      <c r="GN89" s="150"/>
      <c r="GO89" s="150"/>
      <c r="GP89" s="150"/>
      <c r="GQ89" s="150"/>
      <c r="GR89" s="150" t="s">
        <v>700</v>
      </c>
      <c r="GS89" s="150">
        <v>0</v>
      </c>
      <c r="GT89" s="150">
        <v>0</v>
      </c>
      <c r="GU89" s="150">
        <v>0</v>
      </c>
      <c r="GV89" s="150">
        <v>0</v>
      </c>
      <c r="GW89" s="150">
        <v>4</v>
      </c>
      <c r="GX89" s="150">
        <v>4</v>
      </c>
      <c r="GY89" s="150">
        <v>8</v>
      </c>
      <c r="GZ89" s="150">
        <v>8</v>
      </c>
      <c r="HA89" s="150">
        <v>8</v>
      </c>
      <c r="HB89" s="150">
        <v>12</v>
      </c>
      <c r="HC89" s="150">
        <v>12</v>
      </c>
      <c r="HD89" s="150">
        <v>12</v>
      </c>
      <c r="HE89" s="150">
        <v>12</v>
      </c>
      <c r="HF89" s="150">
        <v>16</v>
      </c>
      <c r="HG89" s="150">
        <v>16</v>
      </c>
      <c r="HH89" s="150">
        <v>16</v>
      </c>
      <c r="HI89" s="154">
        <v>20</v>
      </c>
      <c r="HJ89" s="154">
        <v>20</v>
      </c>
      <c r="HK89" s="154">
        <v>20</v>
      </c>
      <c r="HL89" s="154">
        <v>20</v>
      </c>
      <c r="HM89" s="154">
        <v>24</v>
      </c>
      <c r="HN89" s="154">
        <v>24</v>
      </c>
      <c r="HO89" s="154">
        <v>24</v>
      </c>
      <c r="HP89" s="154">
        <v>24</v>
      </c>
      <c r="HS89" s="154" t="s">
        <v>700</v>
      </c>
      <c r="HT89" s="154">
        <v>0</v>
      </c>
      <c r="HU89" s="154">
        <v>0</v>
      </c>
      <c r="HV89" s="154">
        <v>0</v>
      </c>
      <c r="HW89" s="154">
        <v>4</v>
      </c>
      <c r="HX89" s="154">
        <v>4</v>
      </c>
      <c r="HY89" s="154">
        <v>8</v>
      </c>
      <c r="HZ89" s="154">
        <v>8</v>
      </c>
      <c r="IA89" s="154">
        <v>8</v>
      </c>
      <c r="IB89" s="154">
        <v>12</v>
      </c>
      <c r="IC89" s="154">
        <v>12</v>
      </c>
      <c r="ID89" s="154">
        <v>12</v>
      </c>
      <c r="IE89" s="154">
        <v>12</v>
      </c>
      <c r="IF89" s="154">
        <v>16</v>
      </c>
      <c r="IG89" s="154">
        <v>16</v>
      </c>
      <c r="IH89" s="154">
        <v>16</v>
      </c>
      <c r="II89" s="154">
        <v>20</v>
      </c>
      <c r="IJ89" s="154">
        <v>20</v>
      </c>
      <c r="IK89" s="154">
        <v>20</v>
      </c>
      <c r="IL89" s="154">
        <v>24</v>
      </c>
      <c r="IM89" s="154">
        <v>24</v>
      </c>
      <c r="IN89" s="154">
        <v>24</v>
      </c>
      <c r="IO89" s="154">
        <v>24</v>
      </c>
      <c r="IP89" s="154">
        <v>28</v>
      </c>
      <c r="IQ89" s="154">
        <v>28</v>
      </c>
      <c r="IT89" s="157"/>
    </row>
    <row r="90" spans="1:254" x14ac:dyDescent="0.2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6" t="s">
        <v>445</v>
      </c>
      <c r="M90" s="11">
        <f>INDEX(cennik!$C$2:$L$529,MATCH($L90,cennik!$B$2:$B$522,0),MATCH(M$2,cennik!$C$1:$L$1,0))</f>
        <v>858022</v>
      </c>
      <c r="N90" s="11" t="str">
        <f>INDEX(cennik!$C$2:$L$529,MATCH($L90,cennik!$B$2:$B$522,0),MATCH(N$2,cennik!$C$1:$L$1,0))</f>
        <v>szt.</v>
      </c>
      <c r="O90" s="11">
        <f>2*O73</f>
        <v>0</v>
      </c>
      <c r="P90" s="34">
        <f>INDEX(cennik!$C$2:$L$529,MATCH($L90,cennik!$B$2:$B$522,0),MATCH(P$2,cennik!$C$1:$L$1,0))</f>
        <v>4.5</v>
      </c>
      <c r="Q90" s="34">
        <f t="shared" si="239"/>
        <v>0</v>
      </c>
      <c r="R90" s="35">
        <f t="shared" si="204"/>
        <v>0</v>
      </c>
      <c r="S90" s="34">
        <f t="shared" si="205"/>
        <v>4.5</v>
      </c>
      <c r="T90" s="34">
        <f t="shared" si="240"/>
        <v>0</v>
      </c>
      <c r="U90" s="34">
        <f>INDEX(cennik!$C$2:$L$529,MATCH($L90,cennik!$B$2:$B$522,0),MATCH(U$2,cennik!$C$1:$L$1,0))*O90</f>
        <v>0</v>
      </c>
      <c r="V90" s="62"/>
      <c r="AC90" s="150"/>
      <c r="AD90" s="150"/>
      <c r="AE90" s="150"/>
      <c r="AF90" s="150"/>
      <c r="AG90" s="150"/>
      <c r="AH90" s="150" t="s">
        <v>17</v>
      </c>
      <c r="AI90" s="150">
        <v>3300</v>
      </c>
      <c r="AJ90" s="150">
        <v>1</v>
      </c>
      <c r="AK90" s="150">
        <f>AI90*AJ90</f>
        <v>3300</v>
      </c>
      <c r="AL90" s="150">
        <v>95.55</v>
      </c>
      <c r="AM90" s="150">
        <f>AJ90*AL90</f>
        <v>95.55</v>
      </c>
      <c r="AN90" s="150">
        <f>AJ90*4</f>
        <v>4</v>
      </c>
      <c r="AO90" s="150"/>
      <c r="AP90" s="150" t="s">
        <v>478</v>
      </c>
      <c r="AQ90" s="150" t="s">
        <v>596</v>
      </c>
      <c r="AR90" s="150" t="s">
        <v>595</v>
      </c>
      <c r="AS90" s="150" t="s">
        <v>593</v>
      </c>
      <c r="AT90" s="150" t="s">
        <v>593</v>
      </c>
      <c r="AU90" s="150"/>
      <c r="BA90" s="150"/>
      <c r="BB90" s="150"/>
      <c r="BC90" s="150"/>
      <c r="BD90" s="150"/>
      <c r="BE90" s="150"/>
      <c r="BF90" s="150"/>
      <c r="BG90" s="150"/>
      <c r="BH90" s="150" t="s">
        <v>115</v>
      </c>
      <c r="BI90" s="150">
        <v>0</v>
      </c>
      <c r="BJ90" s="150">
        <v>6</v>
      </c>
      <c r="BK90" s="150">
        <v>8</v>
      </c>
      <c r="BL90" s="150">
        <v>10</v>
      </c>
      <c r="BM90" s="150">
        <v>12</v>
      </c>
      <c r="BN90" s="150">
        <v>14</v>
      </c>
      <c r="BO90" s="150">
        <v>16</v>
      </c>
      <c r="BP90" s="150">
        <v>18</v>
      </c>
      <c r="BQ90" s="150">
        <v>20</v>
      </c>
      <c r="BR90" s="150">
        <v>22</v>
      </c>
      <c r="BS90" s="150">
        <v>24</v>
      </c>
      <c r="BT90" s="150">
        <v>26</v>
      </c>
      <c r="BU90" s="150">
        <v>28</v>
      </c>
      <c r="BV90" s="150">
        <v>30</v>
      </c>
      <c r="BW90" s="150">
        <v>32</v>
      </c>
      <c r="BX90" s="150">
        <v>34</v>
      </c>
      <c r="BY90" s="150">
        <v>36</v>
      </c>
      <c r="BZ90" s="150">
        <v>38</v>
      </c>
      <c r="CA90" s="150">
        <v>40</v>
      </c>
      <c r="CB90" s="150">
        <v>42</v>
      </c>
      <c r="CC90" s="150">
        <v>44</v>
      </c>
      <c r="CD90" s="150">
        <v>46</v>
      </c>
      <c r="CE90" s="150">
        <v>48</v>
      </c>
      <c r="CF90" s="150">
        <v>50</v>
      </c>
      <c r="CG90" s="150"/>
      <c r="CH90" s="150"/>
      <c r="CI90" s="150"/>
      <c r="CJ90" s="150"/>
      <c r="CK90" s="150"/>
      <c r="CL90" s="150"/>
      <c r="CM90" s="150"/>
      <c r="CN90" s="150" t="s">
        <v>480</v>
      </c>
      <c r="CO90" s="150">
        <v>0</v>
      </c>
      <c r="CP90" s="150">
        <v>6</v>
      </c>
      <c r="CQ90" s="150">
        <v>8</v>
      </c>
      <c r="CR90" s="150">
        <v>10</v>
      </c>
      <c r="CS90" s="150">
        <v>12</v>
      </c>
      <c r="CT90" s="150">
        <v>14</v>
      </c>
      <c r="CU90" s="150">
        <v>16</v>
      </c>
      <c r="CV90" s="150">
        <v>18</v>
      </c>
      <c r="CW90" s="150">
        <v>20</v>
      </c>
      <c r="CX90" s="150">
        <v>22</v>
      </c>
      <c r="CY90" s="150">
        <v>24</v>
      </c>
      <c r="CZ90" s="150">
        <v>26</v>
      </c>
      <c r="DA90" s="150">
        <v>28</v>
      </c>
      <c r="DB90" s="150">
        <v>30</v>
      </c>
      <c r="DC90" s="150">
        <v>32</v>
      </c>
      <c r="DD90" s="150">
        <v>34</v>
      </c>
      <c r="DE90" s="150">
        <v>36</v>
      </c>
      <c r="DF90" s="150">
        <v>38</v>
      </c>
      <c r="DG90" s="150">
        <v>40</v>
      </c>
      <c r="DH90" s="150">
        <v>42</v>
      </c>
      <c r="DI90" s="150">
        <v>44</v>
      </c>
      <c r="DJ90" s="150">
        <v>46</v>
      </c>
      <c r="DK90" s="150">
        <v>48</v>
      </c>
      <c r="DL90" s="150">
        <v>50</v>
      </c>
      <c r="DM90" s="150"/>
      <c r="DN90" s="150"/>
      <c r="DO90" s="150"/>
      <c r="DP90" s="150"/>
      <c r="DQ90" s="181"/>
      <c r="DR90" s="181">
        <v>18</v>
      </c>
      <c r="DS90" s="181"/>
      <c r="DT90" s="150"/>
      <c r="DU90" s="150"/>
      <c r="DV90" s="150"/>
      <c r="DW90" s="150"/>
      <c r="DX90" s="150"/>
      <c r="DY90" s="150"/>
      <c r="DZ90" s="150"/>
      <c r="EA90" s="150"/>
      <c r="EB90" s="150"/>
      <c r="EC90" s="150"/>
      <c r="ED90" s="150"/>
      <c r="EE90" s="150"/>
      <c r="EF90" s="150"/>
      <c r="EG90" s="150"/>
      <c r="EH90" s="150"/>
      <c r="EI90" s="150"/>
      <c r="EJ90" s="155"/>
      <c r="GJ90" s="150"/>
      <c r="GK90" s="150"/>
      <c r="GL90" s="150"/>
      <c r="GM90" s="150"/>
      <c r="GN90" s="150"/>
      <c r="GO90" s="150"/>
      <c r="GP90" s="150"/>
      <c r="GQ90" s="150"/>
      <c r="GR90" s="150"/>
      <c r="GS90" s="150"/>
      <c r="GT90" s="150"/>
      <c r="GU90" s="150"/>
      <c r="GV90" s="150"/>
      <c r="GW90" s="150"/>
      <c r="GX90" s="150"/>
      <c r="GY90" s="150"/>
      <c r="GZ90" s="150"/>
      <c r="HA90" s="150"/>
      <c r="HB90" s="150"/>
      <c r="HC90" s="150"/>
      <c r="HD90" s="150"/>
      <c r="HE90" s="150"/>
      <c r="HF90" s="150"/>
      <c r="HG90" s="150"/>
      <c r="HH90" s="150"/>
      <c r="IT90" s="157"/>
    </row>
    <row r="91" spans="1:254" x14ac:dyDescent="0.2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6" t="s">
        <v>319</v>
      </c>
      <c r="M91" s="11">
        <f>INDEX(cennik!$C$2:$L$529,MATCH($L91,cennik!$B$2:$B$522,0),MATCH(M$2,cennik!$C$1:$L$1,0))</f>
        <v>890111</v>
      </c>
      <c r="N91" s="11" t="str">
        <f>INDEX(cennik!$C$2:$L$529,MATCH($L91,cennik!$B$2:$B$522,0),MATCH(N$2,cennik!$C$1:$L$1,0))</f>
        <v>100 szt.</v>
      </c>
      <c r="O91" s="11">
        <f>ROUNDUP((O67*4)/100,0)</f>
        <v>0</v>
      </c>
      <c r="P91" s="34">
        <f>INDEX(cennik!$C$2:$L$529,MATCH($L91,cennik!$B$2:$B$522,0),MATCH(P$2,cennik!$C$1:$L$1,0))</f>
        <v>174.59</v>
      </c>
      <c r="Q91" s="34">
        <f t="shared" si="239"/>
        <v>0</v>
      </c>
      <c r="R91" s="35">
        <f t="shared" si="204"/>
        <v>0</v>
      </c>
      <c r="S91" s="34">
        <f t="shared" si="205"/>
        <v>174.59</v>
      </c>
      <c r="T91" s="34">
        <f t="shared" si="240"/>
        <v>0</v>
      </c>
      <c r="U91" s="34">
        <f>INDEX(cennik!$C$2:$L$529,MATCH($L91,cennik!$B$2:$B$522,0),MATCH(U$2,cennik!$C$1:$L$1,0))*O91</f>
        <v>0</v>
      </c>
      <c r="V91" s="62"/>
      <c r="AC91" s="150"/>
      <c r="AD91" s="150"/>
      <c r="AE91" s="150"/>
      <c r="AF91" s="150"/>
      <c r="AG91" s="150"/>
      <c r="AH91" s="150"/>
      <c r="AI91" s="150" t="s">
        <v>317</v>
      </c>
      <c r="AJ91" s="150">
        <f>IF(SUM(AJ88:AJ90)=0,0,IF(SUM(AJ88:AJ90)=1,0,IF(SUM(AJ88:AJ90)&gt;1,(SUM(AJ88:AJ90)-1),0)))</f>
        <v>4</v>
      </c>
      <c r="AK91" s="150"/>
      <c r="AL91" s="150">
        <v>7.1</v>
      </c>
      <c r="AM91" s="150">
        <f>AJ91*AL91</f>
        <v>28.4</v>
      </c>
      <c r="AN91" s="150">
        <f>AJ91*4</f>
        <v>16</v>
      </c>
      <c r="AO91" s="150"/>
      <c r="AP91" s="150" t="s">
        <v>479</v>
      </c>
      <c r="AQ91" s="150" t="s">
        <v>596</v>
      </c>
      <c r="AR91" s="150" t="s">
        <v>595</v>
      </c>
      <c r="AS91" s="150" t="s">
        <v>593</v>
      </c>
      <c r="AT91" s="150" t="s">
        <v>593</v>
      </c>
      <c r="AU91" s="150"/>
      <c r="BA91" s="150"/>
      <c r="BB91" s="150"/>
      <c r="BC91" s="150"/>
      <c r="BD91" s="150"/>
      <c r="BE91" s="150"/>
      <c r="BF91" s="150"/>
      <c r="BG91" s="150"/>
      <c r="BH91" s="150" t="s">
        <v>217</v>
      </c>
      <c r="BI91" s="150">
        <v>0</v>
      </c>
      <c r="BJ91" s="150">
        <v>0</v>
      </c>
      <c r="BK91" s="150">
        <v>0</v>
      </c>
      <c r="BL91" s="150">
        <v>4</v>
      </c>
      <c r="BM91" s="150">
        <v>4</v>
      </c>
      <c r="BN91" s="150">
        <v>0</v>
      </c>
      <c r="BO91" s="150">
        <v>4</v>
      </c>
      <c r="BP91" s="150">
        <v>4</v>
      </c>
      <c r="BQ91" s="150">
        <v>4</v>
      </c>
      <c r="BR91" s="150">
        <v>0</v>
      </c>
      <c r="BS91" s="150">
        <v>8</v>
      </c>
      <c r="BT91" s="150">
        <v>4</v>
      </c>
      <c r="BU91" s="150">
        <v>4</v>
      </c>
      <c r="BV91" s="150">
        <v>8</v>
      </c>
      <c r="BW91" s="150">
        <v>8</v>
      </c>
      <c r="BX91" s="150">
        <v>4</v>
      </c>
      <c r="BY91" s="150">
        <v>12</v>
      </c>
      <c r="BZ91" s="150">
        <v>8</v>
      </c>
      <c r="CA91" s="150">
        <v>8</v>
      </c>
      <c r="CB91" s="150">
        <v>12</v>
      </c>
      <c r="CC91" s="150">
        <v>12</v>
      </c>
      <c r="CD91" s="150">
        <v>8</v>
      </c>
      <c r="CE91" s="150">
        <v>16</v>
      </c>
      <c r="CF91" s="150">
        <v>12</v>
      </c>
      <c r="CG91" s="150"/>
      <c r="CH91" s="150"/>
      <c r="CI91" s="150"/>
      <c r="CJ91" s="150"/>
      <c r="CK91" s="150"/>
      <c r="CL91" s="150"/>
      <c r="CM91" s="150"/>
      <c r="CN91" s="150" t="s">
        <v>217</v>
      </c>
      <c r="CO91" s="150">
        <v>0</v>
      </c>
      <c r="CP91" s="150">
        <v>0</v>
      </c>
      <c r="CQ91" s="150">
        <v>4</v>
      </c>
      <c r="CR91" s="150">
        <v>4</v>
      </c>
      <c r="CS91" s="150">
        <v>0</v>
      </c>
      <c r="CT91" s="150">
        <v>0</v>
      </c>
      <c r="CU91" s="150">
        <v>4</v>
      </c>
      <c r="CV91" s="150">
        <v>4</v>
      </c>
      <c r="CW91" s="150">
        <v>0</v>
      </c>
      <c r="CX91" s="150">
        <v>8</v>
      </c>
      <c r="CY91" s="150">
        <v>4</v>
      </c>
      <c r="CZ91" s="150">
        <v>4</v>
      </c>
      <c r="DA91" s="150">
        <v>8</v>
      </c>
      <c r="DB91" s="150">
        <v>4</v>
      </c>
      <c r="DC91" s="150">
        <v>12</v>
      </c>
      <c r="DD91" s="150">
        <v>8</v>
      </c>
      <c r="DE91" s="150">
        <v>8</v>
      </c>
      <c r="DF91" s="150">
        <v>12</v>
      </c>
      <c r="DG91" s="150">
        <v>12</v>
      </c>
      <c r="DH91" s="150">
        <v>8</v>
      </c>
      <c r="DI91" s="150">
        <v>16</v>
      </c>
      <c r="DJ91" s="150">
        <v>12</v>
      </c>
      <c r="DK91" s="150">
        <v>12</v>
      </c>
      <c r="DL91" s="150">
        <v>16</v>
      </c>
      <c r="DM91" s="150"/>
      <c r="DN91" s="150"/>
      <c r="DO91" s="150"/>
      <c r="DP91" s="150"/>
      <c r="DQ91" s="181"/>
      <c r="DR91" s="181">
        <v>20</v>
      </c>
      <c r="DS91" s="181"/>
      <c r="DT91" s="150"/>
      <c r="DU91" s="150"/>
      <c r="DV91" s="150"/>
      <c r="DW91" s="150"/>
      <c r="DX91" s="150"/>
      <c r="DY91" s="150"/>
      <c r="DZ91" s="150"/>
      <c r="EA91" s="150"/>
      <c r="EB91" s="150"/>
      <c r="EC91" s="150"/>
      <c r="ED91" s="150"/>
      <c r="EE91" s="150"/>
      <c r="EF91" s="150"/>
      <c r="EG91" s="150"/>
      <c r="EH91" s="150"/>
      <c r="EI91" s="150"/>
      <c r="EJ91" s="155"/>
      <c r="GJ91" s="150"/>
      <c r="GK91" s="150"/>
      <c r="GL91" s="150"/>
      <c r="GM91" s="150"/>
      <c r="GN91" s="150"/>
      <c r="GO91" s="150"/>
      <c r="GP91" s="150"/>
      <c r="GQ91" s="150"/>
      <c r="GR91" s="150" t="s">
        <v>714</v>
      </c>
      <c r="GS91" s="150">
        <v>0</v>
      </c>
      <c r="GT91" s="150">
        <v>6</v>
      </c>
      <c r="GU91" s="150">
        <v>8</v>
      </c>
      <c r="GV91" s="150">
        <v>10</v>
      </c>
      <c r="GW91" s="150">
        <v>12</v>
      </c>
      <c r="GX91" s="150">
        <v>14</v>
      </c>
      <c r="GY91" s="150">
        <v>16</v>
      </c>
      <c r="GZ91" s="150">
        <v>18</v>
      </c>
      <c r="HA91" s="150">
        <v>20</v>
      </c>
      <c r="HB91" s="150">
        <v>22</v>
      </c>
      <c r="HC91" s="150">
        <v>24</v>
      </c>
      <c r="HD91" s="150">
        <v>26</v>
      </c>
      <c r="HE91" s="150">
        <v>28</v>
      </c>
      <c r="HF91" s="150">
        <v>30</v>
      </c>
      <c r="HG91" s="150">
        <v>32</v>
      </c>
      <c r="HH91" s="150">
        <v>34</v>
      </c>
      <c r="HI91" s="154">
        <v>36</v>
      </c>
      <c r="HJ91" s="154">
        <v>38</v>
      </c>
      <c r="HK91" s="154">
        <v>40</v>
      </c>
      <c r="HL91" s="154">
        <v>42</v>
      </c>
      <c r="HM91" s="154">
        <v>44</v>
      </c>
      <c r="HN91" s="154">
        <v>46</v>
      </c>
      <c r="HO91" s="154">
        <v>48</v>
      </c>
      <c r="HP91" s="154">
        <v>50</v>
      </c>
      <c r="HS91" s="154" t="s">
        <v>762</v>
      </c>
      <c r="HT91" s="154">
        <v>0</v>
      </c>
      <c r="HU91" s="154">
        <v>6</v>
      </c>
      <c r="HV91" s="154">
        <v>8</v>
      </c>
      <c r="HW91" s="154">
        <v>10</v>
      </c>
      <c r="HX91" s="154">
        <v>12</v>
      </c>
      <c r="HY91" s="154">
        <v>14</v>
      </c>
      <c r="HZ91" s="154">
        <v>16</v>
      </c>
      <c r="IA91" s="154">
        <v>18</v>
      </c>
      <c r="IB91" s="154">
        <v>20</v>
      </c>
      <c r="IC91" s="154">
        <v>22</v>
      </c>
      <c r="ID91" s="154">
        <v>24</v>
      </c>
      <c r="IE91" s="154">
        <v>26</v>
      </c>
      <c r="IF91" s="154">
        <v>28</v>
      </c>
      <c r="IG91" s="154">
        <v>30</v>
      </c>
      <c r="IH91" s="154">
        <v>32</v>
      </c>
      <c r="II91" s="154">
        <v>34</v>
      </c>
      <c r="IJ91" s="154">
        <v>36</v>
      </c>
      <c r="IK91" s="154">
        <v>38</v>
      </c>
      <c r="IL91" s="154">
        <v>40</v>
      </c>
      <c r="IM91" s="154">
        <v>42</v>
      </c>
      <c r="IN91" s="154">
        <v>44</v>
      </c>
      <c r="IO91" s="154">
        <v>46</v>
      </c>
      <c r="IP91" s="154">
        <v>48</v>
      </c>
      <c r="IQ91" s="154">
        <v>50</v>
      </c>
      <c r="IT91" s="157"/>
    </row>
    <row r="92" spans="1:254" x14ac:dyDescent="0.2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6" t="s">
        <v>722</v>
      </c>
      <c r="M92" s="11">
        <f>INDEX(cennik!$C$2:$L$529,MATCH($L92,cennik!$B$2:$B$522,0),MATCH(M$2,cennik!$C$1:$L$1,0))</f>
        <v>890504</v>
      </c>
      <c r="N92" s="11" t="str">
        <f>INDEX(cennik!$C$2:$L$529,MATCH($L92,cennik!$B$2:$B$522,0),MATCH(N$2,cennik!$C$1:$L$1,0))</f>
        <v>szt.</v>
      </c>
      <c r="O92" s="11">
        <f>SUM(C66:C81)*14</f>
        <v>0</v>
      </c>
      <c r="P92" s="34">
        <f>INDEX(cennik!$C$2:$L$529,MATCH($L92,cennik!$B$2:$B$522,0),MATCH(P$2,cennik!$C$1:$L$1,0))</f>
        <v>4.58</v>
      </c>
      <c r="Q92" s="34">
        <f t="shared" si="239"/>
        <v>0</v>
      </c>
      <c r="R92" s="35">
        <f t="shared" ref="R92" si="251">$E$7</f>
        <v>0</v>
      </c>
      <c r="S92" s="34">
        <f>P92*((100-$E$7)/100)</f>
        <v>4.58</v>
      </c>
      <c r="T92" s="34">
        <f t="shared" si="240"/>
        <v>0</v>
      </c>
      <c r="U92" s="34">
        <f>INDEX(cennik!$C$2:$L$529,MATCH($L92,cennik!$B$2:$B$522,0),MATCH(U$2,cennik!$C$1:$L$1,0))*O92</f>
        <v>0</v>
      </c>
      <c r="V92" s="62"/>
      <c r="W92" s="150"/>
      <c r="X92" s="150"/>
      <c r="Y92" s="150"/>
      <c r="Z92" s="150"/>
      <c r="AA92" s="150"/>
      <c r="AB92" s="150"/>
      <c r="AC92" s="150"/>
      <c r="AD92" s="150"/>
      <c r="AE92" s="150"/>
      <c r="AF92" s="150"/>
      <c r="AG92" s="150"/>
      <c r="AH92" s="150"/>
      <c r="AI92" s="150"/>
      <c r="AJ92" s="150"/>
      <c r="AK92" s="150">
        <f>SUM(AK88:AK90)</f>
        <v>29700</v>
      </c>
      <c r="AL92" s="150"/>
      <c r="AM92" s="150">
        <f>SUM(AM88:AM91)</f>
        <v>888.34999999999991</v>
      </c>
      <c r="AN92" s="150"/>
      <c r="AO92" s="150"/>
      <c r="AP92" s="150" t="s">
        <v>508</v>
      </c>
      <c r="AQ92" s="150" t="s">
        <v>596</v>
      </c>
      <c r="AR92" s="150" t="s">
        <v>595</v>
      </c>
      <c r="AS92" s="150" t="s">
        <v>593</v>
      </c>
      <c r="AT92" s="150" t="s">
        <v>593</v>
      </c>
      <c r="AU92" s="150"/>
      <c r="BA92" s="150"/>
      <c r="BB92" s="150"/>
      <c r="BC92" s="150"/>
      <c r="BD92" s="150"/>
      <c r="BE92" s="150"/>
      <c r="BF92" s="150"/>
      <c r="BG92" s="150"/>
      <c r="BH92" s="150" t="s">
        <v>216</v>
      </c>
      <c r="BI92" s="150">
        <v>0</v>
      </c>
      <c r="BJ92" s="150">
        <v>0</v>
      </c>
      <c r="BK92" s="150">
        <v>4</v>
      </c>
      <c r="BL92" s="150">
        <v>0</v>
      </c>
      <c r="BM92" s="150">
        <v>0</v>
      </c>
      <c r="BN92" s="150">
        <v>4</v>
      </c>
      <c r="BO92" s="150">
        <v>0</v>
      </c>
      <c r="BP92" s="150">
        <v>0</v>
      </c>
      <c r="BQ92" s="150">
        <v>4</v>
      </c>
      <c r="BR92" s="150">
        <v>8</v>
      </c>
      <c r="BS92" s="150">
        <v>0</v>
      </c>
      <c r="BT92" s="150">
        <v>4</v>
      </c>
      <c r="BU92" s="150">
        <v>8</v>
      </c>
      <c r="BV92" s="150">
        <v>0</v>
      </c>
      <c r="BW92" s="150">
        <v>4</v>
      </c>
      <c r="BX92" s="150">
        <v>8</v>
      </c>
      <c r="BY92" s="150">
        <v>0</v>
      </c>
      <c r="BZ92" s="150">
        <v>4</v>
      </c>
      <c r="CA92" s="150">
        <v>8</v>
      </c>
      <c r="CB92" s="150">
        <v>0</v>
      </c>
      <c r="CC92" s="150">
        <v>4</v>
      </c>
      <c r="CD92" s="150">
        <v>8</v>
      </c>
      <c r="CE92" s="150">
        <v>0</v>
      </c>
      <c r="CF92" s="150">
        <v>4</v>
      </c>
      <c r="CG92" s="150"/>
      <c r="CH92" s="150"/>
      <c r="CI92" s="150"/>
      <c r="CJ92" s="150"/>
      <c r="CK92" s="150"/>
      <c r="CL92" s="150"/>
      <c r="CM92" s="150"/>
      <c r="CN92" s="150" t="s">
        <v>216</v>
      </c>
      <c r="CO92" s="150">
        <v>0</v>
      </c>
      <c r="CP92" s="150">
        <v>4</v>
      </c>
      <c r="CQ92" s="150">
        <v>0</v>
      </c>
      <c r="CR92" s="150">
        <v>0</v>
      </c>
      <c r="CS92" s="150">
        <v>4</v>
      </c>
      <c r="CT92" s="150">
        <v>8</v>
      </c>
      <c r="CU92" s="150">
        <v>0</v>
      </c>
      <c r="CV92" s="150">
        <v>4</v>
      </c>
      <c r="CW92" s="150">
        <v>8</v>
      </c>
      <c r="CX92" s="150">
        <v>0</v>
      </c>
      <c r="CY92" s="150">
        <v>4</v>
      </c>
      <c r="CZ92" s="150">
        <v>8</v>
      </c>
      <c r="DA92" s="150">
        <v>0</v>
      </c>
      <c r="DB92" s="150">
        <v>8</v>
      </c>
      <c r="DC92" s="150">
        <v>0</v>
      </c>
      <c r="DD92" s="150">
        <v>4</v>
      </c>
      <c r="DE92" s="150">
        <v>8</v>
      </c>
      <c r="DF92" s="150">
        <v>0</v>
      </c>
      <c r="DG92" s="150">
        <v>4</v>
      </c>
      <c r="DH92" s="150">
        <v>8</v>
      </c>
      <c r="DI92" s="150">
        <v>0</v>
      </c>
      <c r="DJ92" s="150">
        <v>4</v>
      </c>
      <c r="DK92" s="150">
        <v>8</v>
      </c>
      <c r="DL92" s="150">
        <v>0</v>
      </c>
      <c r="DM92" s="150"/>
      <c r="DN92" s="150"/>
      <c r="DO92" s="150"/>
      <c r="DP92" s="150"/>
      <c r="DQ92" s="181"/>
      <c r="DR92" s="181">
        <v>22</v>
      </c>
      <c r="DS92" s="181"/>
      <c r="DT92" s="150"/>
      <c r="DU92" s="150"/>
      <c r="DV92" s="150"/>
      <c r="DW92" s="150"/>
      <c r="DX92" s="150"/>
      <c r="DY92" s="150"/>
      <c r="DZ92" s="150"/>
      <c r="EA92" s="150"/>
      <c r="EB92" s="150"/>
      <c r="EC92" s="150"/>
      <c r="ED92" s="150"/>
      <c r="EE92" s="150"/>
      <c r="EF92" s="150"/>
      <c r="EG92" s="150"/>
      <c r="EH92" s="150"/>
      <c r="EI92" s="150"/>
      <c r="EJ92" s="155"/>
      <c r="EK92" s="150" t="s">
        <v>115</v>
      </c>
      <c r="EL92" s="150">
        <v>0</v>
      </c>
      <c r="EM92" s="150">
        <v>6</v>
      </c>
      <c r="EN92" s="150">
        <v>8</v>
      </c>
      <c r="EO92" s="150">
        <v>10</v>
      </c>
      <c r="EP92" s="150">
        <v>12</v>
      </c>
      <c r="EQ92" s="150">
        <v>14</v>
      </c>
      <c r="ER92" s="150">
        <v>16</v>
      </c>
      <c r="ES92" s="150">
        <v>18</v>
      </c>
      <c r="ET92" s="150">
        <v>20</v>
      </c>
      <c r="EU92" s="150">
        <v>22</v>
      </c>
      <c r="EV92" s="150">
        <v>24</v>
      </c>
      <c r="EW92" s="150">
        <v>26</v>
      </c>
      <c r="EX92" s="150">
        <v>28</v>
      </c>
      <c r="EY92" s="150">
        <v>30</v>
      </c>
      <c r="EZ92" s="150">
        <v>32</v>
      </c>
      <c r="FA92" s="150">
        <v>34</v>
      </c>
      <c r="FB92" s="150">
        <v>36</v>
      </c>
      <c r="FC92" s="150">
        <v>38</v>
      </c>
      <c r="FD92" s="150">
        <v>40</v>
      </c>
      <c r="FE92" s="150">
        <v>42</v>
      </c>
      <c r="FF92" s="150">
        <v>44</v>
      </c>
      <c r="FG92" s="150">
        <v>46</v>
      </c>
      <c r="FH92" s="150">
        <v>48</v>
      </c>
      <c r="FI92" s="150">
        <v>50</v>
      </c>
      <c r="FJ92" s="150"/>
      <c r="FK92" s="150" t="s">
        <v>480</v>
      </c>
      <c r="FL92" s="150">
        <v>0</v>
      </c>
      <c r="FM92" s="150">
        <v>6</v>
      </c>
      <c r="FN92" s="150">
        <v>8</v>
      </c>
      <c r="FO92" s="150">
        <v>10</v>
      </c>
      <c r="FP92" s="150">
        <v>12</v>
      </c>
      <c r="FQ92" s="150">
        <v>14</v>
      </c>
      <c r="FR92" s="150">
        <v>16</v>
      </c>
      <c r="FS92" s="150">
        <v>18</v>
      </c>
      <c r="FT92" s="150">
        <v>20</v>
      </c>
      <c r="FU92" s="150">
        <v>22</v>
      </c>
      <c r="FV92" s="150">
        <v>24</v>
      </c>
      <c r="FW92" s="150">
        <v>26</v>
      </c>
      <c r="FX92" s="150">
        <v>28</v>
      </c>
      <c r="FY92" s="150">
        <v>30</v>
      </c>
      <c r="FZ92" s="150">
        <v>32</v>
      </c>
      <c r="GA92" s="150">
        <v>34</v>
      </c>
      <c r="GB92" s="150">
        <v>36</v>
      </c>
      <c r="GC92" s="150">
        <v>38</v>
      </c>
      <c r="GD92" s="150">
        <v>40</v>
      </c>
      <c r="GE92" s="150">
        <v>42</v>
      </c>
      <c r="GF92" s="150">
        <v>44</v>
      </c>
      <c r="GG92" s="150">
        <v>46</v>
      </c>
      <c r="GH92" s="150">
        <v>48</v>
      </c>
      <c r="GI92" s="150">
        <v>50</v>
      </c>
      <c r="GJ92" s="150"/>
      <c r="GK92" s="150"/>
      <c r="GL92" s="150"/>
      <c r="GM92" s="150"/>
      <c r="GN92" s="150"/>
      <c r="GO92" s="150"/>
      <c r="GP92" s="150"/>
      <c r="GQ92" s="150"/>
      <c r="GR92" s="150" t="s">
        <v>586</v>
      </c>
      <c r="GS92" s="150">
        <v>0</v>
      </c>
      <c r="GT92" s="150">
        <v>0</v>
      </c>
      <c r="GU92" s="150">
        <v>4</v>
      </c>
      <c r="GV92" s="150">
        <v>4</v>
      </c>
      <c r="GW92" s="150">
        <v>0</v>
      </c>
      <c r="GX92" s="150">
        <v>0</v>
      </c>
      <c r="GY92" s="150">
        <v>0</v>
      </c>
      <c r="GZ92" s="150">
        <v>0</v>
      </c>
      <c r="HA92" s="150">
        <v>0</v>
      </c>
      <c r="HB92" s="150">
        <v>0</v>
      </c>
      <c r="HC92" s="150">
        <v>0</v>
      </c>
      <c r="HD92" s="150">
        <v>0</v>
      </c>
      <c r="HE92" s="150">
        <v>0</v>
      </c>
      <c r="HF92" s="150">
        <v>0</v>
      </c>
      <c r="HG92" s="150">
        <v>0</v>
      </c>
      <c r="HH92" s="150">
        <v>0</v>
      </c>
      <c r="HI92" s="154">
        <v>0</v>
      </c>
      <c r="HJ92" s="154">
        <v>0</v>
      </c>
      <c r="HK92" s="154">
        <v>0</v>
      </c>
      <c r="HL92" s="154">
        <v>0</v>
      </c>
      <c r="HM92" s="154">
        <v>0</v>
      </c>
      <c r="HN92" s="154">
        <v>0</v>
      </c>
      <c r="HO92" s="154">
        <v>0</v>
      </c>
      <c r="HP92" s="154">
        <v>0</v>
      </c>
      <c r="HS92" s="154" t="s">
        <v>586</v>
      </c>
      <c r="HT92" s="154">
        <v>0</v>
      </c>
      <c r="HU92" s="154">
        <v>0</v>
      </c>
      <c r="HV92" s="154">
        <v>4</v>
      </c>
      <c r="HW92" s="154">
        <v>0</v>
      </c>
      <c r="HX92" s="154">
        <v>0</v>
      </c>
      <c r="HY92" s="154">
        <v>0</v>
      </c>
      <c r="HZ92" s="154">
        <v>0</v>
      </c>
      <c r="IA92" s="154">
        <v>0</v>
      </c>
      <c r="IB92" s="154">
        <v>0</v>
      </c>
      <c r="IC92" s="154">
        <v>0</v>
      </c>
      <c r="ID92" s="154">
        <v>0</v>
      </c>
      <c r="IE92" s="154">
        <v>0</v>
      </c>
      <c r="IF92" s="154">
        <v>0</v>
      </c>
      <c r="IG92" s="154">
        <v>0</v>
      </c>
      <c r="IH92" s="154">
        <v>0</v>
      </c>
      <c r="II92" s="154">
        <v>0</v>
      </c>
      <c r="IJ92" s="154">
        <v>0</v>
      </c>
      <c r="IK92" s="154">
        <v>0</v>
      </c>
      <c r="IL92" s="154">
        <v>0</v>
      </c>
      <c r="IM92" s="154">
        <v>0</v>
      </c>
      <c r="IN92" s="154">
        <v>0</v>
      </c>
      <c r="IO92" s="154">
        <v>0</v>
      </c>
      <c r="IP92" s="154">
        <v>0</v>
      </c>
      <c r="IQ92" s="154">
        <v>0</v>
      </c>
      <c r="IT92" s="157"/>
    </row>
    <row r="93" spans="1:254" x14ac:dyDescent="0.2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6" t="s">
        <v>316</v>
      </c>
      <c r="M93" s="1"/>
      <c r="N93" s="1"/>
      <c r="O93" s="1"/>
      <c r="P93" s="1"/>
      <c r="Q93" s="1"/>
      <c r="R93" s="1"/>
      <c r="S93" s="1"/>
      <c r="T93" s="1"/>
      <c r="U93" s="1"/>
      <c r="V93" s="62"/>
      <c r="W93" s="166"/>
      <c r="X93" s="166"/>
      <c r="Y93" s="166"/>
      <c r="Z93" s="166"/>
      <c r="AA93" s="167" t="s">
        <v>311</v>
      </c>
      <c r="AB93" s="168" t="s">
        <v>318</v>
      </c>
      <c r="AC93" s="150"/>
      <c r="AD93" s="150"/>
      <c r="AE93" s="150"/>
      <c r="AF93" s="150"/>
      <c r="AG93" s="150"/>
      <c r="AH93" s="150"/>
      <c r="AI93" s="150">
        <f>(AB94-1)*3000</f>
        <v>-3000</v>
      </c>
      <c r="AJ93" s="150"/>
      <c r="AK93" s="150"/>
      <c r="AL93" s="150"/>
      <c r="AM93" s="150"/>
      <c r="AN93" s="150"/>
      <c r="AO93" s="168" t="s">
        <v>318</v>
      </c>
      <c r="AP93" s="150" t="s">
        <v>507</v>
      </c>
      <c r="AQ93" s="150" t="s">
        <v>596</v>
      </c>
      <c r="AR93" s="150" t="s">
        <v>595</v>
      </c>
      <c r="AS93" s="150" t="s">
        <v>593</v>
      </c>
      <c r="AT93" s="150" t="s">
        <v>593</v>
      </c>
      <c r="AU93" s="150"/>
      <c r="BA93" s="150"/>
      <c r="BB93" s="150"/>
      <c r="BC93" s="150"/>
      <c r="BD93" s="150"/>
      <c r="BE93" s="150"/>
      <c r="BF93" s="150"/>
      <c r="BG93" s="150"/>
      <c r="BH93" s="150" t="s">
        <v>17</v>
      </c>
      <c r="BI93" s="150">
        <v>0</v>
      </c>
      <c r="BJ93" s="150">
        <v>4</v>
      </c>
      <c r="BK93" s="150">
        <v>0</v>
      </c>
      <c r="BL93" s="150">
        <v>0</v>
      </c>
      <c r="BM93" s="150">
        <v>0</v>
      </c>
      <c r="BN93" s="150">
        <v>4</v>
      </c>
      <c r="BO93" s="150">
        <v>4</v>
      </c>
      <c r="BP93" s="150">
        <v>4</v>
      </c>
      <c r="BQ93" s="150">
        <v>0</v>
      </c>
      <c r="BR93" s="150">
        <v>4</v>
      </c>
      <c r="BS93" s="150">
        <v>0</v>
      </c>
      <c r="BT93" s="150">
        <v>4</v>
      </c>
      <c r="BU93" s="150">
        <v>0</v>
      </c>
      <c r="BV93" s="150">
        <v>4</v>
      </c>
      <c r="BW93" s="150">
        <v>0</v>
      </c>
      <c r="BX93" s="150">
        <v>4</v>
      </c>
      <c r="BY93" s="150">
        <v>0</v>
      </c>
      <c r="BZ93" s="150">
        <v>4</v>
      </c>
      <c r="CA93" s="150">
        <v>0</v>
      </c>
      <c r="CB93" s="150">
        <v>4</v>
      </c>
      <c r="CC93" s="150">
        <v>0</v>
      </c>
      <c r="CD93" s="150">
        <v>4</v>
      </c>
      <c r="CE93" s="150">
        <v>0</v>
      </c>
      <c r="CF93" s="150">
        <v>4</v>
      </c>
      <c r="CG93" s="150"/>
      <c r="CH93" s="150"/>
      <c r="CI93" s="150"/>
      <c r="CJ93" s="150"/>
      <c r="CK93" s="150"/>
      <c r="CL93" s="150"/>
      <c r="CM93" s="150"/>
      <c r="CN93" s="150" t="s">
        <v>17</v>
      </c>
      <c r="CO93" s="150">
        <v>0</v>
      </c>
      <c r="CP93" s="150">
        <v>0</v>
      </c>
      <c r="CQ93" s="150">
        <v>0</v>
      </c>
      <c r="CR93" s="150">
        <v>0</v>
      </c>
      <c r="CS93" s="150">
        <v>4</v>
      </c>
      <c r="CT93" s="150">
        <v>0</v>
      </c>
      <c r="CU93" s="150">
        <v>4</v>
      </c>
      <c r="CV93" s="150">
        <v>0</v>
      </c>
      <c r="CW93" s="150">
        <v>4</v>
      </c>
      <c r="CX93" s="150">
        <v>0</v>
      </c>
      <c r="CY93" s="150">
        <v>4</v>
      </c>
      <c r="CZ93" s="150">
        <v>0</v>
      </c>
      <c r="DA93" s="150">
        <v>4</v>
      </c>
      <c r="DB93" s="150">
        <v>4</v>
      </c>
      <c r="DC93" s="150">
        <v>0</v>
      </c>
      <c r="DD93" s="150">
        <v>4</v>
      </c>
      <c r="DE93" s="150">
        <v>0</v>
      </c>
      <c r="DF93" s="150">
        <v>4</v>
      </c>
      <c r="DG93" s="150">
        <v>0</v>
      </c>
      <c r="DH93" s="150">
        <v>4</v>
      </c>
      <c r="DI93" s="150">
        <v>0</v>
      </c>
      <c r="DJ93" s="150">
        <v>4</v>
      </c>
      <c r="DK93" s="150">
        <v>0</v>
      </c>
      <c r="DL93" s="150">
        <v>4</v>
      </c>
      <c r="DM93" s="150"/>
      <c r="DN93" s="150"/>
      <c r="DO93" s="150"/>
      <c r="DP93" s="150"/>
      <c r="DQ93" s="181"/>
      <c r="DR93" s="181">
        <v>24</v>
      </c>
      <c r="DS93" s="181"/>
      <c r="DT93" s="150"/>
      <c r="DU93" s="150"/>
      <c r="DV93" s="150"/>
      <c r="DW93" s="150"/>
      <c r="DX93" s="150"/>
      <c r="DY93" s="150"/>
      <c r="DZ93" s="150"/>
      <c r="EA93" s="150"/>
      <c r="EB93" s="150"/>
      <c r="EC93" s="150"/>
      <c r="ED93" s="150"/>
      <c r="EE93" s="150"/>
      <c r="EF93" s="150"/>
      <c r="EG93" s="150"/>
      <c r="EH93" s="150"/>
      <c r="EI93" s="150"/>
      <c r="EJ93" s="155"/>
      <c r="EK93" s="150" t="s">
        <v>586</v>
      </c>
      <c r="EL93" s="150">
        <v>0</v>
      </c>
      <c r="EM93" s="150">
        <v>0</v>
      </c>
      <c r="EN93" s="150">
        <v>0</v>
      </c>
      <c r="EO93" s="150">
        <v>4</v>
      </c>
      <c r="EP93" s="150">
        <v>0</v>
      </c>
      <c r="EQ93" s="150">
        <v>0</v>
      </c>
      <c r="ER93" s="150">
        <v>0</v>
      </c>
      <c r="ES93" s="150">
        <v>0</v>
      </c>
      <c r="ET93" s="150">
        <v>0</v>
      </c>
      <c r="EU93" s="150">
        <v>0</v>
      </c>
      <c r="EV93" s="150">
        <v>0</v>
      </c>
      <c r="EW93" s="150">
        <v>0</v>
      </c>
      <c r="EX93" s="150">
        <v>0</v>
      </c>
      <c r="EY93" s="150">
        <v>0</v>
      </c>
      <c r="EZ93" s="150">
        <v>0</v>
      </c>
      <c r="FA93" s="150">
        <v>0</v>
      </c>
      <c r="FB93" s="150">
        <v>0</v>
      </c>
      <c r="FC93" s="150">
        <v>0</v>
      </c>
      <c r="FD93" s="150">
        <v>0</v>
      </c>
      <c r="FE93" s="150">
        <v>0</v>
      </c>
      <c r="FF93" s="150">
        <v>0</v>
      </c>
      <c r="FG93" s="150">
        <v>0</v>
      </c>
      <c r="FH93" s="150">
        <v>0</v>
      </c>
      <c r="FI93" s="150">
        <v>0</v>
      </c>
      <c r="FK93" s="154" t="s">
        <v>586</v>
      </c>
      <c r="FL93" s="150">
        <v>0</v>
      </c>
      <c r="FM93" s="150">
        <v>0</v>
      </c>
      <c r="FN93" s="150">
        <v>4</v>
      </c>
      <c r="FO93" s="150">
        <v>4</v>
      </c>
      <c r="FP93" s="150">
        <v>0</v>
      </c>
      <c r="FQ93" s="150">
        <v>0</v>
      </c>
      <c r="FR93" s="150">
        <v>0</v>
      </c>
      <c r="FS93" s="150">
        <v>0</v>
      </c>
      <c r="FT93" s="150">
        <v>0</v>
      </c>
      <c r="FU93" s="150">
        <v>0</v>
      </c>
      <c r="FV93" s="150">
        <v>0</v>
      </c>
      <c r="FW93" s="150">
        <v>0</v>
      </c>
      <c r="FX93" s="150">
        <v>0</v>
      </c>
      <c r="FY93" s="150">
        <v>0</v>
      </c>
      <c r="FZ93" s="150">
        <v>0</v>
      </c>
      <c r="GA93" s="150">
        <v>0</v>
      </c>
      <c r="GB93" s="150">
        <v>0</v>
      </c>
      <c r="GC93" s="150">
        <v>0</v>
      </c>
      <c r="GD93" s="150">
        <v>0</v>
      </c>
      <c r="GE93" s="150">
        <v>0</v>
      </c>
      <c r="GF93" s="150">
        <v>0</v>
      </c>
      <c r="GG93" s="150">
        <v>0</v>
      </c>
      <c r="GH93" s="150">
        <v>0</v>
      </c>
      <c r="GI93" s="150">
        <v>0</v>
      </c>
      <c r="GJ93" s="150"/>
      <c r="GK93" s="150"/>
      <c r="GL93" s="150"/>
      <c r="GM93" s="150"/>
      <c r="GN93" s="150"/>
      <c r="GO93" s="150"/>
      <c r="GP93" s="150"/>
      <c r="GQ93" s="150"/>
      <c r="GR93" s="150" t="s">
        <v>522</v>
      </c>
      <c r="GS93" s="150">
        <v>0</v>
      </c>
      <c r="GT93" s="150">
        <v>4</v>
      </c>
      <c r="GU93" s="150">
        <v>0</v>
      </c>
      <c r="GV93" s="150">
        <v>0</v>
      </c>
      <c r="GW93" s="150">
        <v>4</v>
      </c>
      <c r="GX93" s="150">
        <v>0</v>
      </c>
      <c r="GY93" s="150">
        <v>4</v>
      </c>
      <c r="GZ93" s="150">
        <v>8</v>
      </c>
      <c r="HA93" s="150">
        <v>12</v>
      </c>
      <c r="HB93" s="150">
        <v>4</v>
      </c>
      <c r="HC93" s="150">
        <v>8</v>
      </c>
      <c r="HD93" s="150">
        <v>16</v>
      </c>
      <c r="HE93" s="150">
        <v>8</v>
      </c>
      <c r="HF93" s="150">
        <v>12</v>
      </c>
      <c r="HG93" s="150">
        <v>16</v>
      </c>
      <c r="HH93" s="150">
        <v>20</v>
      </c>
      <c r="HI93" s="154">
        <v>12</v>
      </c>
      <c r="HJ93" s="154">
        <v>20</v>
      </c>
      <c r="HK93" s="154">
        <v>24</v>
      </c>
      <c r="HL93" s="154">
        <v>16</v>
      </c>
      <c r="HM93" s="154">
        <v>20</v>
      </c>
      <c r="HN93" s="154">
        <v>24</v>
      </c>
      <c r="HO93" s="154">
        <v>28</v>
      </c>
      <c r="HP93" s="154">
        <v>20</v>
      </c>
      <c r="HS93" s="154" t="s">
        <v>522</v>
      </c>
      <c r="HT93" s="154">
        <v>0</v>
      </c>
      <c r="HU93" s="154">
        <v>4</v>
      </c>
      <c r="HV93" s="154">
        <v>0</v>
      </c>
      <c r="HW93" s="154">
        <v>4</v>
      </c>
      <c r="HX93" s="154">
        <v>8</v>
      </c>
      <c r="HY93" s="154">
        <v>0</v>
      </c>
      <c r="HZ93" s="154">
        <v>8</v>
      </c>
      <c r="IA93" s="154">
        <v>12</v>
      </c>
      <c r="IB93" s="154">
        <v>4</v>
      </c>
      <c r="IC93" s="154">
        <v>8</v>
      </c>
      <c r="ID93" s="154">
        <v>16</v>
      </c>
      <c r="IE93" s="154">
        <v>8</v>
      </c>
      <c r="IF93" s="154">
        <v>12</v>
      </c>
      <c r="IG93" s="154">
        <v>16</v>
      </c>
      <c r="IH93" s="154">
        <v>20</v>
      </c>
      <c r="II93" s="154">
        <v>16</v>
      </c>
      <c r="IJ93" s="154">
        <v>20</v>
      </c>
      <c r="IK93" s="154">
        <v>24</v>
      </c>
      <c r="IL93" s="154">
        <v>16</v>
      </c>
      <c r="IM93" s="154">
        <v>24</v>
      </c>
      <c r="IN93" s="154">
        <v>28</v>
      </c>
      <c r="IO93" s="154">
        <v>20</v>
      </c>
      <c r="IP93" s="154">
        <v>24</v>
      </c>
      <c r="IQ93" s="154">
        <v>32</v>
      </c>
      <c r="IT93" s="157"/>
    </row>
    <row r="94" spans="1:254" x14ac:dyDescent="0.2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6" t="str">
        <f>IF(E76=AS74,"CWT70H50/3,2NMC",IF(E76=AU74,"CWT70H50/3NMC",IF(E76=AT75,"CWT70H50/2,4NMC",IF(E76=AW76,"CWT70H50/2NMC","-------"))))</f>
        <v>CWT70H50/3,2NMC</v>
      </c>
      <c r="M94" s="11">
        <f>INDEX(cennik!$C$2:$L$529,MATCH($L94,cennik!$B$2:$B$522,0),MATCH(M$2,cennik!$C$1:$L$1,0))</f>
        <v>867832</v>
      </c>
      <c r="N94" s="11" t="str">
        <f>INDEX(cennik!$C$2:$L$529,MATCH($L94,cennik!$B$2:$B$522,0),MATCH(N$2,cennik!$C$1:$L$1,0))</f>
        <v>szt.</v>
      </c>
      <c r="O94" s="11">
        <f>E70*2</f>
        <v>0</v>
      </c>
      <c r="P94" s="34">
        <f>INDEX(cennik!$C$2:$L$529,MATCH($L94,cennik!$B$2:$B$522,0),MATCH(P$2,cennik!$C$1:$L$1,0))</f>
        <v>161.94999999999999</v>
      </c>
      <c r="Q94" s="34">
        <f>O94*P94</f>
        <v>0</v>
      </c>
      <c r="R94" s="35">
        <f>$E$71</f>
        <v>0</v>
      </c>
      <c r="S94" s="34">
        <f>P94*((100-$E$71)/100)</f>
        <v>161.94999999999999</v>
      </c>
      <c r="T94" s="34">
        <f>O94*S94</f>
        <v>0</v>
      </c>
      <c r="U94" s="34">
        <f>INDEX(cennik!$C$2:$L$529,MATCH($L94,cennik!$B$2:$B$522,0),MATCH(U$2,cennik!$C$1:$L$1,0))*O94</f>
        <v>0</v>
      </c>
      <c r="V94" s="62"/>
      <c r="W94" s="166"/>
      <c r="X94" s="166"/>
      <c r="Y94" s="166"/>
      <c r="Z94" s="166"/>
      <c r="AA94" s="150">
        <f t="shared" ref="AA94:AA109" si="252">(VLOOKUP(AO94,$AY$5:$BA$9,3,1))*C98</f>
        <v>0</v>
      </c>
      <c r="AB94" s="150">
        <f t="shared" ref="AB94:AB109" si="253"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*C98</f>
        <v>0</v>
      </c>
      <c r="AC94" s="150"/>
      <c r="AD94" s="150"/>
      <c r="AE94" s="150"/>
      <c r="AF94" s="150"/>
      <c r="AG94" s="150"/>
      <c r="AH94" s="150"/>
      <c r="AI94" s="150"/>
      <c r="AJ94" s="150"/>
      <c r="AK94" s="150"/>
      <c r="AL94" s="150"/>
      <c r="AM94" s="150"/>
      <c r="AN94" s="150"/>
      <c r="AO94" s="150">
        <f t="shared" ref="AO94:AO109" si="254"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</f>
        <v>1</v>
      </c>
      <c r="AP94" s="150" t="s">
        <v>763</v>
      </c>
      <c r="AQ94" s="150" t="s">
        <v>596</v>
      </c>
      <c r="AR94" s="150" t="s">
        <v>595</v>
      </c>
      <c r="AS94" s="150" t="s">
        <v>593</v>
      </c>
      <c r="AT94" s="150" t="s">
        <v>593</v>
      </c>
      <c r="AU94" s="150"/>
      <c r="AV94" s="150"/>
      <c r="AW94" s="150"/>
      <c r="AX94" s="150"/>
      <c r="AY94" s="150"/>
      <c r="AZ94" s="150"/>
      <c r="BA94" s="150"/>
      <c r="BB94" s="150"/>
      <c r="BC94" s="150"/>
      <c r="BD94" s="150"/>
      <c r="BE94" s="150"/>
      <c r="BF94" s="150"/>
      <c r="BG94" s="150"/>
      <c r="BH94" s="150" t="s">
        <v>18</v>
      </c>
      <c r="BI94" s="150">
        <v>0</v>
      </c>
      <c r="BJ94" s="150">
        <v>0</v>
      </c>
      <c r="BK94" s="150">
        <v>0</v>
      </c>
      <c r="BL94" s="150">
        <v>0</v>
      </c>
      <c r="BM94" s="150">
        <v>0</v>
      </c>
      <c r="BN94" s="150">
        <v>4</v>
      </c>
      <c r="BO94" s="150">
        <v>4</v>
      </c>
      <c r="BP94" s="150">
        <v>4</v>
      </c>
      <c r="BQ94" s="150">
        <v>4</v>
      </c>
      <c r="BR94" s="150">
        <v>8</v>
      </c>
      <c r="BS94" s="150">
        <v>4</v>
      </c>
      <c r="BT94" s="150">
        <v>8</v>
      </c>
      <c r="BU94" s="150">
        <v>8</v>
      </c>
      <c r="BV94" s="150">
        <v>8</v>
      </c>
      <c r="BW94" s="150">
        <v>8</v>
      </c>
      <c r="BX94" s="150">
        <v>12</v>
      </c>
      <c r="BY94" s="150">
        <v>8</v>
      </c>
      <c r="BZ94" s="150">
        <v>12</v>
      </c>
      <c r="CA94" s="150">
        <v>12</v>
      </c>
      <c r="CB94" s="150">
        <v>12</v>
      </c>
      <c r="CC94" s="150">
        <v>12</v>
      </c>
      <c r="CD94" s="150">
        <v>16</v>
      </c>
      <c r="CE94" s="150">
        <v>12</v>
      </c>
      <c r="CF94" s="150">
        <v>16</v>
      </c>
      <c r="CG94" s="150"/>
      <c r="CH94" s="150"/>
      <c r="CI94" s="150"/>
      <c r="CJ94" s="150"/>
      <c r="CK94" s="150"/>
      <c r="CL94" s="150"/>
      <c r="CM94" s="150"/>
      <c r="CN94" s="150" t="s">
        <v>18</v>
      </c>
      <c r="CO94" s="150">
        <v>0</v>
      </c>
      <c r="CP94" s="150">
        <v>0</v>
      </c>
      <c r="CQ94" s="150">
        <v>0</v>
      </c>
      <c r="CR94" s="150">
        <v>0</v>
      </c>
      <c r="CS94" s="150">
        <v>4</v>
      </c>
      <c r="CT94" s="150">
        <v>4</v>
      </c>
      <c r="CU94" s="150">
        <v>4</v>
      </c>
      <c r="CV94" s="150">
        <v>4</v>
      </c>
      <c r="CW94" s="150">
        <v>8</v>
      </c>
      <c r="CX94" s="150">
        <v>4</v>
      </c>
      <c r="CY94" s="150">
        <v>8</v>
      </c>
      <c r="CZ94" s="150">
        <v>8</v>
      </c>
      <c r="DA94" s="150">
        <v>8</v>
      </c>
      <c r="DB94" s="150">
        <v>12</v>
      </c>
      <c r="DC94" s="150">
        <v>8</v>
      </c>
      <c r="DD94" s="150">
        <v>12</v>
      </c>
      <c r="DE94" s="150">
        <v>12</v>
      </c>
      <c r="DF94" s="150">
        <v>12</v>
      </c>
      <c r="DG94" s="150">
        <v>12</v>
      </c>
      <c r="DH94" s="150">
        <v>16</v>
      </c>
      <c r="DI94" s="150">
        <v>12</v>
      </c>
      <c r="DJ94" s="150">
        <v>16</v>
      </c>
      <c r="DK94" s="150">
        <v>16</v>
      </c>
      <c r="DL94" s="150">
        <v>16</v>
      </c>
      <c r="DM94" s="150"/>
      <c r="DN94" s="150"/>
      <c r="DO94" s="150"/>
      <c r="DP94" s="150"/>
      <c r="DQ94" s="181"/>
      <c r="DR94" s="181">
        <v>26</v>
      </c>
      <c r="DS94" s="181"/>
      <c r="DT94" s="150"/>
      <c r="DU94" s="150"/>
      <c r="DV94" s="150"/>
      <c r="DW94" s="150"/>
      <c r="DX94" s="150"/>
      <c r="DY94" s="150"/>
      <c r="DZ94" s="150"/>
      <c r="EA94" s="150"/>
      <c r="EB94" s="150"/>
      <c r="EC94" s="150"/>
      <c r="ED94" s="150"/>
      <c r="EE94" s="150"/>
      <c r="EF94" s="150"/>
      <c r="EG94" s="150"/>
      <c r="EH94" s="150"/>
      <c r="EI94" s="150"/>
      <c r="EJ94" s="155"/>
      <c r="EK94" s="150" t="s">
        <v>522</v>
      </c>
      <c r="EL94" s="150">
        <v>0</v>
      </c>
      <c r="EM94" s="150">
        <f t="shared" ref="EM94:FI94" si="255">BJ92</f>
        <v>0</v>
      </c>
      <c r="EN94" s="150">
        <f t="shared" si="255"/>
        <v>4</v>
      </c>
      <c r="EO94" s="150">
        <f t="shared" si="255"/>
        <v>0</v>
      </c>
      <c r="EP94" s="150">
        <f t="shared" si="255"/>
        <v>0</v>
      </c>
      <c r="EQ94" s="150">
        <f t="shared" si="255"/>
        <v>4</v>
      </c>
      <c r="ER94" s="150">
        <f t="shared" si="255"/>
        <v>0</v>
      </c>
      <c r="ES94" s="150">
        <f t="shared" si="255"/>
        <v>0</v>
      </c>
      <c r="ET94" s="150">
        <f t="shared" si="255"/>
        <v>4</v>
      </c>
      <c r="EU94" s="150">
        <f t="shared" si="255"/>
        <v>8</v>
      </c>
      <c r="EV94" s="150">
        <f t="shared" si="255"/>
        <v>0</v>
      </c>
      <c r="EW94" s="150">
        <f t="shared" si="255"/>
        <v>4</v>
      </c>
      <c r="EX94" s="150">
        <f t="shared" si="255"/>
        <v>8</v>
      </c>
      <c r="EY94" s="150">
        <f t="shared" si="255"/>
        <v>0</v>
      </c>
      <c r="EZ94" s="150">
        <f t="shared" si="255"/>
        <v>4</v>
      </c>
      <c r="FA94" s="150">
        <f t="shared" si="255"/>
        <v>8</v>
      </c>
      <c r="FB94" s="150">
        <f t="shared" si="255"/>
        <v>0</v>
      </c>
      <c r="FC94" s="150">
        <f t="shared" si="255"/>
        <v>4</v>
      </c>
      <c r="FD94" s="150">
        <f t="shared" si="255"/>
        <v>8</v>
      </c>
      <c r="FE94" s="150">
        <f t="shared" si="255"/>
        <v>0</v>
      </c>
      <c r="FF94" s="150">
        <f t="shared" si="255"/>
        <v>4</v>
      </c>
      <c r="FG94" s="150">
        <f t="shared" si="255"/>
        <v>8</v>
      </c>
      <c r="FH94" s="150">
        <f t="shared" si="255"/>
        <v>0</v>
      </c>
      <c r="FI94" s="150">
        <f t="shared" si="255"/>
        <v>4</v>
      </c>
      <c r="FJ94" s="150"/>
      <c r="FK94" s="150" t="s">
        <v>522</v>
      </c>
      <c r="FL94" s="150">
        <v>0</v>
      </c>
      <c r="FM94" s="150">
        <f>CP92</f>
        <v>4</v>
      </c>
      <c r="FN94" s="150">
        <f>CQ92</f>
        <v>0</v>
      </c>
      <c r="FO94" s="150">
        <v>0</v>
      </c>
      <c r="FP94" s="150">
        <f t="shared" ref="FP94:GI94" si="256">CS92</f>
        <v>4</v>
      </c>
      <c r="FQ94" s="150">
        <f t="shared" si="256"/>
        <v>8</v>
      </c>
      <c r="FR94" s="150">
        <f t="shared" si="256"/>
        <v>0</v>
      </c>
      <c r="FS94" s="150">
        <f t="shared" si="256"/>
        <v>4</v>
      </c>
      <c r="FT94" s="150">
        <f t="shared" si="256"/>
        <v>8</v>
      </c>
      <c r="FU94" s="150">
        <f t="shared" si="256"/>
        <v>0</v>
      </c>
      <c r="FV94" s="150">
        <f t="shared" si="256"/>
        <v>4</v>
      </c>
      <c r="FW94" s="150">
        <f t="shared" si="256"/>
        <v>8</v>
      </c>
      <c r="FX94" s="150">
        <f t="shared" si="256"/>
        <v>0</v>
      </c>
      <c r="FY94" s="150">
        <f t="shared" si="256"/>
        <v>8</v>
      </c>
      <c r="FZ94" s="150">
        <f t="shared" si="256"/>
        <v>0</v>
      </c>
      <c r="GA94" s="150">
        <f t="shared" si="256"/>
        <v>4</v>
      </c>
      <c r="GB94" s="150">
        <f t="shared" si="256"/>
        <v>8</v>
      </c>
      <c r="GC94" s="150">
        <f t="shared" si="256"/>
        <v>0</v>
      </c>
      <c r="GD94" s="150">
        <f t="shared" si="256"/>
        <v>4</v>
      </c>
      <c r="GE94" s="150">
        <f t="shared" si="256"/>
        <v>8</v>
      </c>
      <c r="GF94" s="150">
        <f t="shared" si="256"/>
        <v>0</v>
      </c>
      <c r="GG94" s="150">
        <f t="shared" si="256"/>
        <v>4</v>
      </c>
      <c r="GH94" s="150">
        <f t="shared" si="256"/>
        <v>8</v>
      </c>
      <c r="GI94" s="150">
        <f t="shared" si="256"/>
        <v>0</v>
      </c>
      <c r="GJ94" s="150"/>
      <c r="GK94" s="150"/>
      <c r="GL94" s="150"/>
      <c r="GM94" s="150"/>
      <c r="GN94" s="150"/>
      <c r="GO94" s="150"/>
      <c r="GP94" s="150"/>
      <c r="GQ94" s="150"/>
      <c r="GR94" s="150" t="s">
        <v>523</v>
      </c>
      <c r="GS94" s="150">
        <v>0</v>
      </c>
      <c r="GT94" s="150">
        <v>0</v>
      </c>
      <c r="GU94" s="150">
        <v>0</v>
      </c>
      <c r="GV94" s="150">
        <v>0</v>
      </c>
      <c r="GW94" s="150">
        <v>4</v>
      </c>
      <c r="GX94" s="150">
        <v>12</v>
      </c>
      <c r="GY94" s="150">
        <v>8</v>
      </c>
      <c r="GZ94" s="150">
        <v>4</v>
      </c>
      <c r="HA94" s="150">
        <v>0</v>
      </c>
      <c r="HB94" s="150">
        <v>12</v>
      </c>
      <c r="HC94" s="150">
        <v>8</v>
      </c>
      <c r="HD94" s="150">
        <v>0</v>
      </c>
      <c r="HE94" s="150">
        <v>12</v>
      </c>
      <c r="HF94" s="150">
        <v>8</v>
      </c>
      <c r="HG94" s="150">
        <v>4</v>
      </c>
      <c r="HH94" s="150">
        <v>0</v>
      </c>
      <c r="HI94" s="154">
        <v>12</v>
      </c>
      <c r="HJ94" s="154">
        <v>4</v>
      </c>
      <c r="HK94" s="154">
        <v>0</v>
      </c>
      <c r="HL94" s="154">
        <v>12</v>
      </c>
      <c r="HM94" s="154">
        <v>8</v>
      </c>
      <c r="HN94" s="154">
        <v>4</v>
      </c>
      <c r="HO94" s="154">
        <v>0</v>
      </c>
      <c r="HP94" s="154">
        <v>12</v>
      </c>
      <c r="HS94" s="154" t="s">
        <v>523</v>
      </c>
      <c r="HT94" s="154">
        <v>0</v>
      </c>
      <c r="HU94" s="154">
        <v>0</v>
      </c>
      <c r="HV94" s="154">
        <v>0</v>
      </c>
      <c r="HW94" s="154">
        <v>4</v>
      </c>
      <c r="HX94" s="154">
        <v>0</v>
      </c>
      <c r="HY94" s="154">
        <v>12</v>
      </c>
      <c r="HZ94" s="154">
        <v>4</v>
      </c>
      <c r="IA94" s="154">
        <v>0</v>
      </c>
      <c r="IB94" s="154">
        <v>12</v>
      </c>
      <c r="IC94" s="154">
        <v>8</v>
      </c>
      <c r="ID94" s="154">
        <v>0</v>
      </c>
      <c r="IE94" s="154">
        <v>12</v>
      </c>
      <c r="IF94" s="154">
        <v>8</v>
      </c>
      <c r="IG94" s="154">
        <v>4</v>
      </c>
      <c r="IH94" s="154">
        <v>0</v>
      </c>
      <c r="II94" s="154">
        <v>8</v>
      </c>
      <c r="IJ94" s="154">
        <v>4</v>
      </c>
      <c r="IK94" s="154">
        <v>0</v>
      </c>
      <c r="IL94" s="154">
        <v>12</v>
      </c>
      <c r="IM94" s="154">
        <v>4</v>
      </c>
      <c r="IN94" s="154">
        <v>0</v>
      </c>
      <c r="IO94" s="154">
        <v>12</v>
      </c>
      <c r="IP94" s="154">
        <v>8</v>
      </c>
      <c r="IQ94" s="154">
        <v>0</v>
      </c>
      <c r="IT94" s="157"/>
    </row>
    <row r="95" spans="1:254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6" t="s">
        <v>591</v>
      </c>
      <c r="M95" s="11">
        <f>INDEX(cennik!$C$2:$L$529,MATCH($L95,cennik!$B$2:$B$522,0),MATCH(M$2,cennik!$C$1:$L$1,0))</f>
        <v>867810</v>
      </c>
      <c r="N95" s="11" t="str">
        <f>INDEX(cennik!$C$2:$L$529,MATCH($L95,cennik!$B$2:$B$522,0),MATCH(N$2,cennik!$C$1:$L$1,0))</f>
        <v>szt.</v>
      </c>
      <c r="O95" s="11">
        <f>E70*4</f>
        <v>0</v>
      </c>
      <c r="P95" s="34">
        <f>INDEX(cennik!$C$2:$L$529,MATCH($L95,cennik!$B$2:$B$522,0),MATCH(P$2,cennik!$C$1:$L$1,0))</f>
        <v>50.61</v>
      </c>
      <c r="Q95" s="34">
        <f>O95*P95</f>
        <v>0</v>
      </c>
      <c r="R95" s="35">
        <f>$E$71</f>
        <v>0</v>
      </c>
      <c r="S95" s="34">
        <f>P95*((100-$E$71)/100)</f>
        <v>50.61</v>
      </c>
      <c r="T95" s="34">
        <f>O95*S95</f>
        <v>0</v>
      </c>
      <c r="U95" s="34">
        <f>INDEX(cennik!$C$2:$L$529,MATCH($L95,cennik!$B$2:$B$522,0),MATCH(U$2,cennik!$C$1:$L$1,0))*O95</f>
        <v>0</v>
      </c>
      <c r="V95" s="62"/>
      <c r="W95" s="158" t="s">
        <v>18</v>
      </c>
      <c r="X95" s="150" t="s">
        <v>217</v>
      </c>
      <c r="Y95" s="150" t="s">
        <v>216</v>
      </c>
      <c r="Z95" s="150" t="s">
        <v>17</v>
      </c>
      <c r="AA95" s="150">
        <f t="shared" si="252"/>
        <v>0</v>
      </c>
      <c r="AB95" s="150">
        <f t="shared" si="253"/>
        <v>0</v>
      </c>
      <c r="AC95" s="150"/>
      <c r="AD95" s="150"/>
      <c r="AE95" s="150"/>
      <c r="AF95" s="150"/>
      <c r="AG95" s="150"/>
      <c r="AI95" s="150" t="s">
        <v>314</v>
      </c>
      <c r="AJ95" s="150" t="s">
        <v>312</v>
      </c>
      <c r="AK95" s="150" t="s">
        <v>309</v>
      </c>
      <c r="AL95" s="150" t="s">
        <v>313</v>
      </c>
      <c r="AM95" s="150"/>
      <c r="AN95" s="150"/>
      <c r="AO95" s="150">
        <f t="shared" si="254"/>
        <v>1</v>
      </c>
      <c r="AP95" s="150" t="s">
        <v>764</v>
      </c>
      <c r="AQ95" s="150" t="s">
        <v>596</v>
      </c>
      <c r="AR95" s="150" t="s">
        <v>595</v>
      </c>
      <c r="AS95" s="150" t="s">
        <v>593</v>
      </c>
      <c r="AT95" s="150" t="s">
        <v>593</v>
      </c>
      <c r="AU95" s="150"/>
      <c r="AX95" s="150"/>
      <c r="AY95" s="150"/>
      <c r="AZ95" s="150"/>
      <c r="BA95" s="150"/>
      <c r="BB95" s="150"/>
      <c r="BC95" s="150"/>
      <c r="BD95" s="150"/>
      <c r="BE95" s="150"/>
      <c r="BF95" s="150"/>
      <c r="BG95" s="150"/>
      <c r="BH95" s="150"/>
      <c r="BI95" s="150"/>
      <c r="BJ95" s="150"/>
      <c r="BK95" s="150"/>
      <c r="BL95" s="150"/>
      <c r="BM95" s="150"/>
      <c r="BN95" s="150"/>
      <c r="BO95" s="150"/>
      <c r="BP95" s="150"/>
      <c r="BQ95" s="150"/>
      <c r="BR95" s="150"/>
      <c r="BS95" s="150"/>
      <c r="BT95" s="150"/>
      <c r="BU95" s="150"/>
      <c r="BV95" s="150"/>
      <c r="BW95" s="150"/>
      <c r="BX95" s="150"/>
      <c r="BY95" s="150"/>
      <c r="BZ95" s="150"/>
      <c r="CA95" s="150"/>
      <c r="CB95" s="150"/>
      <c r="CC95" s="150"/>
      <c r="CD95" s="150"/>
      <c r="CE95" s="150"/>
      <c r="CF95" s="150"/>
      <c r="CG95" s="150"/>
      <c r="CH95" s="150"/>
      <c r="CI95" s="150"/>
      <c r="CJ95" s="150"/>
      <c r="CK95" s="150"/>
      <c r="CL95" s="150"/>
      <c r="CM95" s="150"/>
      <c r="CN95" s="150"/>
      <c r="CO95" s="150"/>
      <c r="CP95" s="150"/>
      <c r="CQ95" s="150"/>
      <c r="CR95" s="150"/>
      <c r="CS95" s="150"/>
      <c r="CT95" s="150"/>
      <c r="CU95" s="150"/>
      <c r="CV95" s="150"/>
      <c r="CW95" s="150"/>
      <c r="CX95" s="150"/>
      <c r="CY95" s="150"/>
      <c r="CZ95" s="150"/>
      <c r="DA95" s="150"/>
      <c r="DB95" s="150"/>
      <c r="DC95" s="150"/>
      <c r="DD95" s="150"/>
      <c r="DE95" s="150"/>
      <c r="DF95" s="150"/>
      <c r="DG95" s="150"/>
      <c r="DH95" s="150"/>
      <c r="DI95" s="150"/>
      <c r="DJ95" s="150"/>
      <c r="DK95" s="150"/>
      <c r="DL95" s="150"/>
      <c r="DM95" s="150"/>
      <c r="DN95" s="150"/>
      <c r="DO95" s="150"/>
      <c r="DP95" s="150"/>
      <c r="DQ95" s="181"/>
      <c r="DR95" s="181">
        <v>28</v>
      </c>
      <c r="DS95" s="181"/>
      <c r="DT95" s="150"/>
      <c r="DU95" s="150"/>
      <c r="DV95" s="150"/>
      <c r="DW95" s="150"/>
      <c r="DX95" s="150"/>
      <c r="DY95" s="150"/>
      <c r="DZ95" s="150"/>
      <c r="EA95" s="150"/>
      <c r="EB95" s="150"/>
      <c r="EC95" s="150"/>
      <c r="ED95" s="150"/>
      <c r="EE95" s="150"/>
      <c r="EF95" s="150"/>
      <c r="EG95" s="150"/>
      <c r="EH95" s="150"/>
      <c r="EI95" s="150"/>
      <c r="EJ95" s="155"/>
      <c r="EK95" s="150" t="s">
        <v>523</v>
      </c>
      <c r="EL95" s="150">
        <v>0</v>
      </c>
      <c r="EM95" s="150">
        <f>BJ93+(BJ91*2)</f>
        <v>4</v>
      </c>
      <c r="EN95" s="150">
        <f>BK93+(BK91*2)</f>
        <v>0</v>
      </c>
      <c r="EO95" s="150">
        <v>0</v>
      </c>
      <c r="EP95" s="150">
        <f t="shared" ref="EP95:FI95" si="257">BM93+(BM91*2)</f>
        <v>8</v>
      </c>
      <c r="EQ95" s="150">
        <f t="shared" si="257"/>
        <v>4</v>
      </c>
      <c r="ER95" s="150">
        <f t="shared" si="257"/>
        <v>12</v>
      </c>
      <c r="ES95" s="150">
        <f t="shared" si="257"/>
        <v>12</v>
      </c>
      <c r="ET95" s="150">
        <f t="shared" si="257"/>
        <v>8</v>
      </c>
      <c r="EU95" s="150">
        <f t="shared" si="257"/>
        <v>4</v>
      </c>
      <c r="EV95" s="150">
        <f t="shared" si="257"/>
        <v>16</v>
      </c>
      <c r="EW95" s="150">
        <f t="shared" si="257"/>
        <v>12</v>
      </c>
      <c r="EX95" s="150">
        <f t="shared" si="257"/>
        <v>8</v>
      </c>
      <c r="EY95" s="150">
        <f t="shared" si="257"/>
        <v>20</v>
      </c>
      <c r="EZ95" s="150">
        <f t="shared" si="257"/>
        <v>16</v>
      </c>
      <c r="FA95" s="150">
        <f t="shared" si="257"/>
        <v>12</v>
      </c>
      <c r="FB95" s="150">
        <f t="shared" si="257"/>
        <v>24</v>
      </c>
      <c r="FC95" s="150">
        <f t="shared" si="257"/>
        <v>20</v>
      </c>
      <c r="FD95" s="150">
        <f t="shared" si="257"/>
        <v>16</v>
      </c>
      <c r="FE95" s="150">
        <f t="shared" si="257"/>
        <v>28</v>
      </c>
      <c r="FF95" s="150">
        <f t="shared" si="257"/>
        <v>24</v>
      </c>
      <c r="FG95" s="150">
        <f t="shared" si="257"/>
        <v>20</v>
      </c>
      <c r="FH95" s="150">
        <f t="shared" si="257"/>
        <v>32</v>
      </c>
      <c r="FI95" s="150">
        <f t="shared" si="257"/>
        <v>28</v>
      </c>
      <c r="FJ95" s="150"/>
      <c r="FK95" s="150" t="s">
        <v>523</v>
      </c>
      <c r="FL95" s="150">
        <v>0</v>
      </c>
      <c r="FM95" s="150">
        <f>CP93+(CP91*2)</f>
        <v>0</v>
      </c>
      <c r="FN95" s="150">
        <v>0</v>
      </c>
      <c r="FO95" s="150">
        <v>0</v>
      </c>
      <c r="FP95" s="150">
        <f t="shared" ref="FP95:GI95" si="258">CS93+(CS91*2)</f>
        <v>4</v>
      </c>
      <c r="FQ95" s="150">
        <f t="shared" si="258"/>
        <v>0</v>
      </c>
      <c r="FR95" s="150">
        <f t="shared" si="258"/>
        <v>12</v>
      </c>
      <c r="FS95" s="150">
        <f t="shared" si="258"/>
        <v>8</v>
      </c>
      <c r="FT95" s="150">
        <f t="shared" si="258"/>
        <v>4</v>
      </c>
      <c r="FU95" s="150">
        <f t="shared" si="258"/>
        <v>16</v>
      </c>
      <c r="FV95" s="150">
        <f t="shared" si="258"/>
        <v>12</v>
      </c>
      <c r="FW95" s="150">
        <f t="shared" si="258"/>
        <v>8</v>
      </c>
      <c r="FX95" s="150">
        <f t="shared" si="258"/>
        <v>20</v>
      </c>
      <c r="FY95" s="150">
        <f t="shared" si="258"/>
        <v>12</v>
      </c>
      <c r="FZ95" s="150">
        <f t="shared" si="258"/>
        <v>24</v>
      </c>
      <c r="GA95" s="150">
        <f t="shared" si="258"/>
        <v>20</v>
      </c>
      <c r="GB95" s="150">
        <f t="shared" si="258"/>
        <v>16</v>
      </c>
      <c r="GC95" s="150">
        <f t="shared" si="258"/>
        <v>28</v>
      </c>
      <c r="GD95" s="150">
        <f t="shared" si="258"/>
        <v>24</v>
      </c>
      <c r="GE95" s="150">
        <f t="shared" si="258"/>
        <v>20</v>
      </c>
      <c r="GF95" s="150">
        <f t="shared" si="258"/>
        <v>32</v>
      </c>
      <c r="GG95" s="150">
        <f t="shared" si="258"/>
        <v>28</v>
      </c>
      <c r="GH95" s="150">
        <f t="shared" si="258"/>
        <v>24</v>
      </c>
      <c r="GI95" s="150">
        <f t="shared" si="258"/>
        <v>36</v>
      </c>
      <c r="GJ95" s="150"/>
      <c r="GK95" s="150"/>
      <c r="GL95" s="150"/>
      <c r="GM95" s="150"/>
      <c r="GN95" s="150"/>
      <c r="GO95" s="150"/>
      <c r="GP95" s="150"/>
      <c r="GQ95" s="150"/>
      <c r="GR95" s="158" t="s">
        <v>779</v>
      </c>
      <c r="GS95" s="150">
        <v>0</v>
      </c>
      <c r="GT95" s="150">
        <v>0</v>
      </c>
      <c r="GU95" s="150">
        <v>0</v>
      </c>
      <c r="GV95" s="150">
        <v>0</v>
      </c>
      <c r="GW95" s="150">
        <v>4</v>
      </c>
      <c r="GX95" s="150">
        <v>8</v>
      </c>
      <c r="GY95" s="150">
        <v>8</v>
      </c>
      <c r="GZ95" s="150">
        <v>8</v>
      </c>
      <c r="HA95" s="150">
        <v>8</v>
      </c>
      <c r="HB95" s="150">
        <v>12</v>
      </c>
      <c r="HC95" s="150">
        <v>12</v>
      </c>
      <c r="HD95" s="150">
        <v>12</v>
      </c>
      <c r="HE95" s="150">
        <v>16</v>
      </c>
      <c r="HF95" s="150">
        <v>16</v>
      </c>
      <c r="HG95" s="150">
        <v>16</v>
      </c>
      <c r="HH95" s="150">
        <v>16</v>
      </c>
      <c r="HI95" s="154">
        <v>20</v>
      </c>
      <c r="HJ95" s="154">
        <v>20</v>
      </c>
      <c r="HK95" s="154">
        <v>20</v>
      </c>
      <c r="HL95" s="154">
        <v>24</v>
      </c>
      <c r="HM95" s="154">
        <v>24</v>
      </c>
      <c r="HN95" s="154">
        <v>24</v>
      </c>
      <c r="HO95" s="154">
        <v>24</v>
      </c>
      <c r="HP95" s="154">
        <v>28</v>
      </c>
      <c r="HS95" s="154" t="s">
        <v>524</v>
      </c>
      <c r="HT95" s="154">
        <v>0</v>
      </c>
      <c r="HU95" s="154">
        <v>0</v>
      </c>
      <c r="HV95" s="154">
        <v>0</v>
      </c>
      <c r="HW95" s="154">
        <v>4</v>
      </c>
      <c r="HX95" s="154">
        <v>4</v>
      </c>
      <c r="HY95" s="154">
        <v>8</v>
      </c>
      <c r="HZ95" s="154">
        <v>8</v>
      </c>
      <c r="IA95" s="154">
        <v>8</v>
      </c>
      <c r="IB95" s="154">
        <v>12</v>
      </c>
      <c r="IC95" s="154">
        <v>12</v>
      </c>
      <c r="ID95" s="154">
        <v>12</v>
      </c>
      <c r="IE95" s="154">
        <v>16</v>
      </c>
      <c r="IF95" s="154">
        <v>16</v>
      </c>
      <c r="IG95" s="154">
        <v>16</v>
      </c>
      <c r="IH95" s="154">
        <v>16</v>
      </c>
      <c r="II95" s="154">
        <v>20</v>
      </c>
      <c r="IJ95" s="154">
        <v>20</v>
      </c>
      <c r="IK95" s="154">
        <v>20</v>
      </c>
      <c r="IL95" s="154">
        <v>24</v>
      </c>
      <c r="IM95" s="154">
        <v>24</v>
      </c>
      <c r="IN95" s="154">
        <v>24</v>
      </c>
      <c r="IO95" s="154">
        <v>28</v>
      </c>
      <c r="IP95" s="154">
        <v>28</v>
      </c>
      <c r="IQ95" s="154">
        <v>28</v>
      </c>
      <c r="IT95" s="157"/>
    </row>
    <row r="96" spans="1:254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9"/>
      <c r="M96" s="11"/>
      <c r="N96" s="11"/>
      <c r="O96" s="11"/>
      <c r="P96" s="34"/>
      <c r="Q96" s="34"/>
      <c r="R96" s="34"/>
      <c r="S96" s="34"/>
      <c r="T96" s="34">
        <f>SUM(T67:T95)</f>
        <v>0</v>
      </c>
      <c r="U96" s="34">
        <f>SUM(U67:U95)</f>
        <v>0</v>
      </c>
      <c r="V96" s="62"/>
      <c r="W96" s="170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96" s="170">
        <f>INDEX(($EL$85:$FI$89,$EL$93:$FI$97,$FL$85:$GI$89,$FL$93:$GI$97,$GS$85:$HP$89,$GS$92:$HP$96,$HT$85:$IQ$89,$HT$92:$IQ$96,$HT$99:$IQ$103),MATCH($L$110,$EK$85:$EK$89,0),MATCH($A98,$EL$84:$FI$84,0),MATCH($G$99,$AE$24:$AE$32,0))*$C98</f>
        <v>0</v>
      </c>
      <c r="Y96" s="170">
        <f>INDEX(($EL$85:$FI$89,$EL$93:$FI$97,$FL$85:$GI$89,$FL$93:$GI$97,$GS$85:$HP$89,$GS$92:$HP$96,$HT$85:$IQ$89,$HT$92:$IQ$96,$HT$99:$IQ$103),MATCH($L$111,$EK$85:$EK$89,0),MATCH($A98,$EL$84:$FI$84,0),MATCH($G$99,$AE$24:$AE$32,0))*$C98</f>
        <v>0</v>
      </c>
      <c r="Z96" s="170">
        <f>INDEX(($EL$85:$FI$89,$EL$93:$FI$97,$FL$85:$GI$89,$FL$93:$GI$97,$GS$85:$HP$89,$GS$92:$HP$96,$HT$85:$IQ$89,$HT$92:$IQ$96,$HT$99:$IQ$103),MATCH($L$112,$EK$85:$EK$89,0),MATCH($A98,$EL$84:$FI$84,0),MATCH($G$99,$AE$24:$AE$32,0))*$C98</f>
        <v>0</v>
      </c>
      <c r="AA96" s="150">
        <f t="shared" si="252"/>
        <v>0</v>
      </c>
      <c r="AB96" s="150">
        <f t="shared" si="253"/>
        <v>0</v>
      </c>
      <c r="AC96" s="150"/>
      <c r="AD96" s="150"/>
      <c r="AE96" s="150"/>
      <c r="AF96" s="150"/>
      <c r="AG96" s="150"/>
      <c r="AH96" s="150">
        <v>25</v>
      </c>
      <c r="AI96" s="150" t="s">
        <v>731</v>
      </c>
      <c r="AJ96" s="150" t="s">
        <v>732</v>
      </c>
      <c r="AK96" s="150" t="s">
        <v>733</v>
      </c>
      <c r="AL96" s="150" t="s">
        <v>734</v>
      </c>
      <c r="AM96" s="150"/>
      <c r="AN96" s="150"/>
      <c r="AO96" s="150">
        <f t="shared" si="254"/>
        <v>1</v>
      </c>
      <c r="AP96" s="150" t="s">
        <v>832</v>
      </c>
      <c r="AQ96" s="150" t="s">
        <v>596</v>
      </c>
      <c r="AR96" s="150" t="s">
        <v>595</v>
      </c>
      <c r="AS96" s="150" t="s">
        <v>593</v>
      </c>
      <c r="AT96" s="150" t="s">
        <v>593</v>
      </c>
      <c r="AU96" s="150"/>
      <c r="BG96" s="150"/>
      <c r="BH96" s="150"/>
      <c r="BI96" s="150"/>
      <c r="BJ96" s="150"/>
      <c r="BK96" s="150"/>
      <c r="BL96" s="150"/>
      <c r="BM96" s="150"/>
      <c r="BN96" s="150"/>
      <c r="BO96" s="150"/>
      <c r="BP96" s="150"/>
      <c r="BQ96" s="150"/>
      <c r="BR96" s="150"/>
      <c r="BS96" s="150"/>
      <c r="BT96" s="150"/>
      <c r="BU96" s="150"/>
      <c r="BV96" s="150"/>
      <c r="BW96" s="150"/>
      <c r="BX96" s="150"/>
      <c r="BY96" s="150"/>
      <c r="BZ96" s="150"/>
      <c r="CA96" s="150"/>
      <c r="CB96" s="150"/>
      <c r="CC96" s="150"/>
      <c r="CD96" s="150"/>
      <c r="CE96" s="150"/>
      <c r="CF96" s="150"/>
      <c r="CG96" s="150"/>
      <c r="CH96" s="150"/>
      <c r="CI96" s="150"/>
      <c r="CJ96" s="150"/>
      <c r="CK96" s="150"/>
      <c r="CL96" s="150"/>
      <c r="CM96" s="150"/>
      <c r="CN96" s="150"/>
      <c r="CO96" s="150"/>
      <c r="CP96" s="150"/>
      <c r="CQ96" s="150"/>
      <c r="CR96" s="150"/>
      <c r="CS96" s="150"/>
      <c r="CT96" s="150"/>
      <c r="CU96" s="150"/>
      <c r="CV96" s="150"/>
      <c r="CW96" s="150"/>
      <c r="CX96" s="150"/>
      <c r="CY96" s="150"/>
      <c r="CZ96" s="150"/>
      <c r="DA96" s="150"/>
      <c r="DB96" s="150"/>
      <c r="DC96" s="150"/>
      <c r="DD96" s="150"/>
      <c r="DE96" s="150"/>
      <c r="DF96" s="150"/>
      <c r="DG96" s="150"/>
      <c r="DH96" s="150"/>
      <c r="DI96" s="150"/>
      <c r="DJ96" s="150"/>
      <c r="DK96" s="150"/>
      <c r="DL96" s="150"/>
      <c r="DM96" s="150"/>
      <c r="DN96" s="150"/>
      <c r="DO96" s="150"/>
      <c r="DP96" s="150"/>
      <c r="DQ96" s="181"/>
      <c r="DR96" s="181">
        <v>30</v>
      </c>
      <c r="DS96" s="181"/>
      <c r="DT96" s="150"/>
      <c r="DU96" s="150"/>
      <c r="DV96" s="150"/>
      <c r="DW96" s="150"/>
      <c r="DX96" s="150"/>
      <c r="DY96" s="150"/>
      <c r="DZ96" s="150"/>
      <c r="EA96" s="150"/>
      <c r="EB96" s="150"/>
      <c r="EC96" s="150"/>
      <c r="ED96" s="150"/>
      <c r="EE96" s="150"/>
      <c r="EF96" s="150"/>
      <c r="EG96" s="150"/>
      <c r="EH96" s="150"/>
      <c r="EI96" s="150"/>
      <c r="EJ96" s="155"/>
      <c r="EK96" s="158" t="s">
        <v>779</v>
      </c>
      <c r="EL96" s="150">
        <v>0</v>
      </c>
      <c r="EM96" s="150">
        <f>((SUM(EM94:EM95)/4)-1)*4</f>
        <v>0</v>
      </c>
      <c r="EN96" s="150">
        <f t="shared" ref="EN96:EX96" si="259">((SUM(EN94:EN95)/4)-1)*4</f>
        <v>0</v>
      </c>
      <c r="EO96" s="150">
        <v>0</v>
      </c>
      <c r="EP96" s="150">
        <f t="shared" si="259"/>
        <v>4</v>
      </c>
      <c r="EQ96" s="150">
        <f t="shared" si="259"/>
        <v>4</v>
      </c>
      <c r="ER96" s="150">
        <f t="shared" si="259"/>
        <v>8</v>
      </c>
      <c r="ES96" s="150">
        <f t="shared" si="259"/>
        <v>8</v>
      </c>
      <c r="ET96" s="150">
        <f t="shared" si="259"/>
        <v>8</v>
      </c>
      <c r="EU96" s="150">
        <f t="shared" si="259"/>
        <v>8</v>
      </c>
      <c r="EV96" s="150">
        <f t="shared" si="259"/>
        <v>12</v>
      </c>
      <c r="EW96" s="150">
        <f t="shared" si="259"/>
        <v>12</v>
      </c>
      <c r="EX96" s="150">
        <f t="shared" si="259"/>
        <v>12</v>
      </c>
      <c r="EY96" s="150">
        <f>((SUM(EY94:EY95)/4)-1)*4</f>
        <v>16</v>
      </c>
      <c r="EZ96" s="150">
        <f t="shared" ref="EZ96:FI96" si="260">((SUM(EZ94:EZ95)/4)-1)*4</f>
        <v>16</v>
      </c>
      <c r="FA96" s="150">
        <f t="shared" si="260"/>
        <v>16</v>
      </c>
      <c r="FB96" s="150">
        <f t="shared" si="260"/>
        <v>20</v>
      </c>
      <c r="FC96" s="150">
        <f t="shared" si="260"/>
        <v>20</v>
      </c>
      <c r="FD96" s="150">
        <f t="shared" si="260"/>
        <v>20</v>
      </c>
      <c r="FE96" s="150">
        <f t="shared" si="260"/>
        <v>24</v>
      </c>
      <c r="FF96" s="150">
        <f t="shared" si="260"/>
        <v>24</v>
      </c>
      <c r="FG96" s="150">
        <f t="shared" si="260"/>
        <v>24</v>
      </c>
      <c r="FH96" s="150">
        <f t="shared" si="260"/>
        <v>28</v>
      </c>
      <c r="FI96" s="150">
        <f t="shared" si="260"/>
        <v>28</v>
      </c>
      <c r="FJ96" s="150"/>
      <c r="FK96" s="150" t="s">
        <v>524</v>
      </c>
      <c r="FL96" s="150">
        <v>0</v>
      </c>
      <c r="FM96" s="150">
        <f>((SUM(FM94:FM95)/4)-1)*4</f>
        <v>0</v>
      </c>
      <c r="FN96" s="150">
        <v>0</v>
      </c>
      <c r="FO96" s="150">
        <v>0</v>
      </c>
      <c r="FP96" s="150">
        <f t="shared" ref="FP96:FX96" si="261">((SUM(FP94:FP95)/4)-1)*4</f>
        <v>4</v>
      </c>
      <c r="FQ96" s="150">
        <f t="shared" si="261"/>
        <v>4</v>
      </c>
      <c r="FR96" s="150">
        <f t="shared" si="261"/>
        <v>8</v>
      </c>
      <c r="FS96" s="150">
        <f t="shared" si="261"/>
        <v>8</v>
      </c>
      <c r="FT96" s="150">
        <f t="shared" si="261"/>
        <v>8</v>
      </c>
      <c r="FU96" s="150">
        <f t="shared" si="261"/>
        <v>12</v>
      </c>
      <c r="FV96" s="150">
        <f t="shared" si="261"/>
        <v>12</v>
      </c>
      <c r="FW96" s="150">
        <f t="shared" si="261"/>
        <v>12</v>
      </c>
      <c r="FX96" s="150">
        <f t="shared" si="261"/>
        <v>16</v>
      </c>
      <c r="FY96" s="150">
        <f>((SUM(FY94:FY95)/4)-1)*4</f>
        <v>16</v>
      </c>
      <c r="FZ96" s="150">
        <f t="shared" ref="FZ96:GI96" si="262">((SUM(FZ94:FZ95)/4)-1)*4</f>
        <v>20</v>
      </c>
      <c r="GA96" s="150">
        <f t="shared" si="262"/>
        <v>20</v>
      </c>
      <c r="GB96" s="150">
        <f t="shared" si="262"/>
        <v>20</v>
      </c>
      <c r="GC96" s="150">
        <f t="shared" si="262"/>
        <v>24</v>
      </c>
      <c r="GD96" s="150">
        <f t="shared" si="262"/>
        <v>24</v>
      </c>
      <c r="GE96" s="150">
        <f t="shared" si="262"/>
        <v>24</v>
      </c>
      <c r="GF96" s="150">
        <f t="shared" si="262"/>
        <v>28</v>
      </c>
      <c r="GG96" s="150">
        <f t="shared" si="262"/>
        <v>28</v>
      </c>
      <c r="GH96" s="150">
        <f t="shared" si="262"/>
        <v>28</v>
      </c>
      <c r="GI96" s="150">
        <f t="shared" si="262"/>
        <v>32</v>
      </c>
      <c r="GJ96" s="150"/>
      <c r="GK96" s="150"/>
      <c r="GL96" s="150"/>
      <c r="GM96" s="150"/>
      <c r="GN96" s="150"/>
      <c r="GO96" s="150"/>
      <c r="GP96" s="150"/>
      <c r="GQ96" s="150"/>
      <c r="GR96" s="150" t="s">
        <v>700</v>
      </c>
      <c r="GS96" s="150">
        <v>0</v>
      </c>
      <c r="GT96" s="150">
        <v>0</v>
      </c>
      <c r="GU96" s="150">
        <v>0</v>
      </c>
      <c r="GV96" s="150">
        <v>0</v>
      </c>
      <c r="GW96" s="150">
        <v>4</v>
      </c>
      <c r="GX96" s="150">
        <v>8</v>
      </c>
      <c r="GY96" s="150">
        <v>8</v>
      </c>
      <c r="GZ96" s="150">
        <v>8</v>
      </c>
      <c r="HA96" s="150">
        <v>8</v>
      </c>
      <c r="HB96" s="150">
        <v>12</v>
      </c>
      <c r="HC96" s="150">
        <v>12</v>
      </c>
      <c r="HD96" s="150">
        <v>12</v>
      </c>
      <c r="HE96" s="150">
        <v>16</v>
      </c>
      <c r="HF96" s="150">
        <v>16</v>
      </c>
      <c r="HG96" s="150">
        <v>16</v>
      </c>
      <c r="HH96" s="150">
        <v>16</v>
      </c>
      <c r="HI96" s="154">
        <v>20</v>
      </c>
      <c r="HJ96" s="154">
        <v>20</v>
      </c>
      <c r="HK96" s="154">
        <v>20</v>
      </c>
      <c r="HL96" s="154">
        <v>24</v>
      </c>
      <c r="HM96" s="154">
        <v>24</v>
      </c>
      <c r="HN96" s="154">
        <v>24</v>
      </c>
      <c r="HO96" s="154">
        <v>24</v>
      </c>
      <c r="HP96" s="154">
        <v>28</v>
      </c>
      <c r="HS96" s="154" t="s">
        <v>700</v>
      </c>
      <c r="HT96" s="154">
        <v>0</v>
      </c>
      <c r="HU96" s="154">
        <v>0</v>
      </c>
      <c r="HV96" s="154">
        <v>0</v>
      </c>
      <c r="HW96" s="154">
        <v>4</v>
      </c>
      <c r="HX96" s="154">
        <v>4</v>
      </c>
      <c r="HY96" s="154">
        <v>8</v>
      </c>
      <c r="HZ96" s="154">
        <v>8</v>
      </c>
      <c r="IA96" s="154">
        <v>8</v>
      </c>
      <c r="IB96" s="154">
        <v>12</v>
      </c>
      <c r="IC96" s="154">
        <v>12</v>
      </c>
      <c r="ID96" s="154">
        <v>12</v>
      </c>
      <c r="IE96" s="154">
        <v>16</v>
      </c>
      <c r="IF96" s="154">
        <v>16</v>
      </c>
      <c r="IG96" s="154">
        <v>16</v>
      </c>
      <c r="IH96" s="154">
        <v>16</v>
      </c>
      <c r="II96" s="154">
        <v>20</v>
      </c>
      <c r="IJ96" s="154">
        <v>20</v>
      </c>
      <c r="IK96" s="154">
        <v>20</v>
      </c>
      <c r="IL96" s="154">
        <v>24</v>
      </c>
      <c r="IM96" s="154">
        <v>24</v>
      </c>
      <c r="IN96" s="154">
        <v>24</v>
      </c>
      <c r="IO96" s="154">
        <v>28</v>
      </c>
      <c r="IP96" s="154">
        <v>28</v>
      </c>
      <c r="IQ96" s="154">
        <v>28</v>
      </c>
      <c r="IT96" s="157"/>
    </row>
    <row r="97" spans="1:254" ht="51.75" x14ac:dyDescent="0.25">
      <c r="A97" s="3" t="s">
        <v>443</v>
      </c>
      <c r="B97" s="3"/>
      <c r="C97" s="3" t="s">
        <v>444</v>
      </c>
      <c r="D97" s="9"/>
      <c r="E97" s="9"/>
      <c r="F97" s="9"/>
      <c r="G97" s="9"/>
      <c r="H97" s="9"/>
      <c r="I97" s="9"/>
      <c r="J97" s="9"/>
      <c r="K97" s="9"/>
      <c r="L97" s="360" t="str">
        <f>INDEX((AI96:AL97),MATCH(E106,AH96:AH97,0),MATCH(E101,AI95:AL95,0))</f>
        <v>KONSTRUKCJA W-V2G2-30°</v>
      </c>
      <c r="M97" s="360"/>
      <c r="N97" s="360"/>
      <c r="O97" s="360"/>
      <c r="P97" s="360"/>
      <c r="Q97" s="360"/>
      <c r="R97" s="360"/>
      <c r="S97" s="360"/>
      <c r="T97" s="360"/>
      <c r="U97" s="360"/>
      <c r="V97" s="62"/>
      <c r="W97" s="170">
        <f>INDEX(($EL$85:$FI$89,$EL$93:$FI$97,$FL$85:$GI$89,$FL$93:$GI$97,$GS$85:$HP$89,$GS$92:$HP$96,$HT$85:$IQ$89,$HT$92:$IQ$96,$HT$99:$IQ$103),MATCH($L$113,$EK$85:$EK$89,0),MATCH($A99,$EL$84:$FI$84,0),MATCH($G$99,$AE$24:$AE$32,0))*$C99</f>
        <v>0</v>
      </c>
      <c r="X97" s="170">
        <f>INDEX(($EL$85:$FI$89,$EL$93:$FI$97,$FL$85:$GI$89,$FL$93:$GI$97,$GS$85:$HP$89,$GS$92:$HP$96,$HT$85:$IQ$89,$HT$92:$IQ$96,$HT$99:$IQ$103),MATCH($L$110,$EK$85:$EK$89,0),MATCH($A99,$EL$84:$FI$84,0),MATCH($G$99,$AE$24:$AE$32,0))*$C99</f>
        <v>0</v>
      </c>
      <c r="Y97" s="170">
        <f>INDEX(($EL$85:$FI$89,$EL$93:$FI$97,$FL$85:$GI$89,$FL$93:$GI$97,$GS$85:$HP$89,$GS$92:$HP$96,$HT$85:$IQ$89,$HT$92:$IQ$96,$HT$99:$IQ$103),MATCH($L$111,$EK$85:$EK$89,0),MATCH($A99,$EL$84:$FI$84,0),MATCH($G$99,$AE$24:$AE$32,0))*$C99</f>
        <v>0</v>
      </c>
      <c r="Z97" s="170">
        <f>INDEX(($EL$85:$FI$89,$EL$93:$FI$97,$FL$85:$GI$89,$FL$93:$GI$97,$GS$85:$HP$89,$GS$92:$HP$96,$HT$85:$IQ$89,$HT$92:$IQ$96,$HT$99:$IQ$103),MATCH($L$112,$EK$85:$EK$89,0),MATCH($A99,$EL$84:$FI$84,0),MATCH($G$99,$AE$24:$AE$32,0))*$C99</f>
        <v>0</v>
      </c>
      <c r="AA97" s="150">
        <f t="shared" si="252"/>
        <v>0</v>
      </c>
      <c r="AB97" s="150">
        <f t="shared" si="253"/>
        <v>0</v>
      </c>
      <c r="AD97" s="150"/>
      <c r="AE97" s="150"/>
      <c r="AF97" s="150"/>
      <c r="AG97" s="150"/>
      <c r="AH97" s="150">
        <v>30</v>
      </c>
      <c r="AI97" s="150" t="s">
        <v>735</v>
      </c>
      <c r="AJ97" s="150" t="s">
        <v>736</v>
      </c>
      <c r="AK97" s="150" t="s">
        <v>737</v>
      </c>
      <c r="AL97" s="150" t="s">
        <v>738</v>
      </c>
      <c r="AM97" s="150"/>
      <c r="AN97" s="150"/>
      <c r="AO97" s="150">
        <f t="shared" si="254"/>
        <v>1</v>
      </c>
      <c r="AP97" s="150" t="s">
        <v>833</v>
      </c>
      <c r="AQ97" s="150" t="s">
        <v>596</v>
      </c>
      <c r="AR97" s="150" t="s">
        <v>595</v>
      </c>
      <c r="AS97" s="150" t="s">
        <v>593</v>
      </c>
      <c r="AT97" s="150" t="s">
        <v>593</v>
      </c>
      <c r="AU97" s="150"/>
      <c r="BG97" s="150"/>
      <c r="BH97" s="150"/>
      <c r="BI97" s="150"/>
      <c r="BJ97" s="150"/>
      <c r="BK97" s="150"/>
      <c r="BL97" s="150"/>
      <c r="BM97" s="150"/>
      <c r="BN97" s="150"/>
      <c r="BO97" s="150"/>
      <c r="BP97" s="150"/>
      <c r="BQ97" s="150"/>
      <c r="BR97" s="150"/>
      <c r="BS97" s="150"/>
      <c r="BT97" s="150"/>
      <c r="BU97" s="150"/>
      <c r="BV97" s="150"/>
      <c r="BW97" s="150"/>
      <c r="BX97" s="150"/>
      <c r="BY97" s="150"/>
      <c r="BZ97" s="150"/>
      <c r="CA97" s="150"/>
      <c r="CB97" s="150"/>
      <c r="CC97" s="150"/>
      <c r="CD97" s="150"/>
      <c r="CE97" s="150"/>
      <c r="CF97" s="150"/>
      <c r="CG97" s="150"/>
      <c r="CH97" s="150"/>
      <c r="CI97" s="150"/>
      <c r="CJ97" s="150"/>
      <c r="CK97" s="150"/>
      <c r="CL97" s="150"/>
      <c r="CM97" s="150"/>
      <c r="CN97" s="150"/>
      <c r="CO97" s="150"/>
      <c r="CP97" s="150"/>
      <c r="CQ97" s="150"/>
      <c r="CR97" s="150"/>
      <c r="CS97" s="150"/>
      <c r="CT97" s="150"/>
      <c r="CU97" s="150"/>
      <c r="CV97" s="150"/>
      <c r="CW97" s="150"/>
      <c r="CX97" s="150"/>
      <c r="CY97" s="150"/>
      <c r="CZ97" s="150"/>
      <c r="DA97" s="150"/>
      <c r="DB97" s="150"/>
      <c r="DC97" s="150"/>
      <c r="DD97" s="150"/>
      <c r="DE97" s="150"/>
      <c r="DF97" s="150"/>
      <c r="DG97" s="150"/>
      <c r="DH97" s="150"/>
      <c r="DI97" s="150"/>
      <c r="DJ97" s="150"/>
      <c r="DK97" s="150"/>
      <c r="DL97" s="150"/>
      <c r="DM97" s="150"/>
      <c r="DN97" s="150"/>
      <c r="DO97" s="150"/>
      <c r="DP97" s="150"/>
      <c r="DQ97" s="181"/>
      <c r="DR97" s="181">
        <v>32</v>
      </c>
      <c r="DS97" s="181"/>
      <c r="DT97" s="150"/>
      <c r="DU97" s="150"/>
      <c r="DV97" s="150"/>
      <c r="DW97" s="150"/>
      <c r="DX97" s="150"/>
      <c r="DY97" s="150"/>
      <c r="DZ97" s="150"/>
      <c r="EA97" s="150"/>
      <c r="EB97" s="150"/>
      <c r="EC97" s="150"/>
      <c r="ED97" s="150"/>
      <c r="EE97" s="150"/>
      <c r="EF97" s="150"/>
      <c r="EG97" s="150"/>
      <c r="EH97" s="150"/>
      <c r="EI97" s="150"/>
      <c r="EJ97" s="155"/>
      <c r="EK97" s="150" t="s">
        <v>700</v>
      </c>
      <c r="EL97" s="150">
        <v>0</v>
      </c>
      <c r="EM97" s="150">
        <v>0</v>
      </c>
      <c r="EN97" s="150">
        <v>0</v>
      </c>
      <c r="EO97" s="150">
        <v>0</v>
      </c>
      <c r="EP97" s="150">
        <v>4</v>
      </c>
      <c r="EQ97" s="150">
        <v>4</v>
      </c>
      <c r="ER97" s="150">
        <v>8</v>
      </c>
      <c r="ES97" s="150">
        <v>8</v>
      </c>
      <c r="ET97" s="150">
        <v>8</v>
      </c>
      <c r="EU97" s="150">
        <v>8</v>
      </c>
      <c r="EV97" s="150">
        <v>12</v>
      </c>
      <c r="EW97" s="150">
        <v>12</v>
      </c>
      <c r="EX97" s="150">
        <v>12</v>
      </c>
      <c r="EY97" s="150">
        <v>16</v>
      </c>
      <c r="EZ97" s="150">
        <v>16</v>
      </c>
      <c r="FA97" s="150">
        <v>16</v>
      </c>
      <c r="FB97" s="150">
        <v>20</v>
      </c>
      <c r="FC97" s="150">
        <v>20</v>
      </c>
      <c r="FD97" s="150">
        <v>20</v>
      </c>
      <c r="FE97" s="150">
        <v>24</v>
      </c>
      <c r="FF97" s="150">
        <v>24</v>
      </c>
      <c r="FG97" s="150">
        <v>24</v>
      </c>
      <c r="FH97" s="150">
        <v>28</v>
      </c>
      <c r="FI97" s="150">
        <v>28</v>
      </c>
      <c r="FJ97" s="150"/>
      <c r="FK97" s="150" t="s">
        <v>700</v>
      </c>
      <c r="FL97" s="150">
        <v>0</v>
      </c>
      <c r="FM97" s="150">
        <v>0</v>
      </c>
      <c r="FN97" s="150">
        <v>0</v>
      </c>
      <c r="FO97" s="150">
        <v>0</v>
      </c>
      <c r="FP97" s="150">
        <v>4</v>
      </c>
      <c r="FQ97" s="150">
        <v>4</v>
      </c>
      <c r="FR97" s="150">
        <v>8</v>
      </c>
      <c r="FS97" s="150">
        <v>8</v>
      </c>
      <c r="FT97" s="150">
        <v>8</v>
      </c>
      <c r="FU97" s="150">
        <v>12</v>
      </c>
      <c r="FV97" s="150">
        <v>12</v>
      </c>
      <c r="FW97" s="150">
        <v>12</v>
      </c>
      <c r="FX97" s="150">
        <v>16</v>
      </c>
      <c r="FY97" s="150">
        <v>16</v>
      </c>
      <c r="FZ97" s="150">
        <v>20</v>
      </c>
      <c r="GA97" s="150">
        <v>20</v>
      </c>
      <c r="GB97" s="150">
        <v>20</v>
      </c>
      <c r="GC97" s="150">
        <v>24</v>
      </c>
      <c r="GD97" s="150">
        <v>24</v>
      </c>
      <c r="GE97" s="150">
        <v>24</v>
      </c>
      <c r="GF97" s="150">
        <v>28</v>
      </c>
      <c r="GG97" s="150">
        <v>28</v>
      </c>
      <c r="GH97" s="150">
        <v>28</v>
      </c>
      <c r="GI97" s="150">
        <v>32</v>
      </c>
      <c r="GJ97" s="150"/>
      <c r="GK97" s="150"/>
      <c r="GL97" s="150"/>
      <c r="GM97" s="150"/>
      <c r="GN97" s="150"/>
      <c r="GO97" s="150"/>
      <c r="GP97" s="150"/>
      <c r="GQ97" s="150"/>
      <c r="GR97" s="150"/>
      <c r="GS97" s="150"/>
      <c r="GT97" s="150"/>
      <c r="GU97" s="150"/>
      <c r="GV97" s="150"/>
      <c r="GW97" s="150"/>
      <c r="GX97" s="150"/>
      <c r="GY97" s="150"/>
      <c r="GZ97" s="150"/>
      <c r="HA97" s="150"/>
      <c r="HB97" s="150"/>
      <c r="HC97" s="150"/>
      <c r="HD97" s="150"/>
      <c r="HE97" s="150"/>
      <c r="HF97" s="150"/>
      <c r="HG97" s="150"/>
      <c r="HH97" s="150"/>
      <c r="IT97" s="157"/>
    </row>
    <row r="98" spans="1:254" x14ac:dyDescent="0.25">
      <c r="A98" s="8"/>
      <c r="B98" s="5" t="s">
        <v>116</v>
      </c>
      <c r="C98" s="8"/>
      <c r="D98" s="9"/>
      <c r="E98" s="1"/>
      <c r="F98" s="9"/>
      <c r="G98" s="9"/>
      <c r="H98" s="9"/>
      <c r="I98" s="9"/>
      <c r="J98" s="9"/>
      <c r="K98" s="9"/>
      <c r="L98" s="5" t="s">
        <v>103</v>
      </c>
      <c r="M98" s="5" t="s">
        <v>104</v>
      </c>
      <c r="N98" s="5" t="s">
        <v>107</v>
      </c>
      <c r="O98" s="5" t="s">
        <v>290</v>
      </c>
      <c r="P98" s="5" t="s">
        <v>446</v>
      </c>
      <c r="Q98" s="5" t="s">
        <v>448</v>
      </c>
      <c r="R98" s="5" t="s">
        <v>409</v>
      </c>
      <c r="S98" s="5" t="s">
        <v>447</v>
      </c>
      <c r="T98" s="5" t="s">
        <v>449</v>
      </c>
      <c r="U98" s="5" t="s">
        <v>106</v>
      </c>
      <c r="V98" s="62"/>
      <c r="W98" s="170">
        <f>INDEX(($EL$85:$FI$89,$EL$93:$FI$97,$FL$85:$GI$89,$FL$93:$GI$97,$GS$85:$HP$89,$GS$92:$HP$96,$HT$85:$IQ$89,$HT$92:$IQ$96,$HT$99:$IQ$103),MATCH($L$113,$EK$85:$EK$89,0),MATCH($A100,$EL$84:$FI$84,0),MATCH($G$99,$AE$24:$AE$32,0))*$C100</f>
        <v>0</v>
      </c>
      <c r="X98" s="170">
        <f>INDEX(($EL$85:$FI$89,$EL$93:$FI$97,$FL$85:$GI$89,$FL$93:$GI$97,$GS$85:$HP$89,$GS$92:$HP$96,$HT$85:$IQ$89,$HT$92:$IQ$96,$HT$99:$IQ$103),MATCH($L$110,$EK$85:$EK$89,0),MATCH($A100,$EL$84:$FI$84,0),MATCH($G$99,$AE$24:$AE$32,0))*$C100</f>
        <v>0</v>
      </c>
      <c r="Y98" s="170">
        <f>INDEX(($EL$85:$FI$89,$EL$93:$FI$97,$FL$85:$GI$89,$FL$93:$GI$97,$GS$85:$HP$89,$GS$92:$HP$96,$HT$85:$IQ$89,$HT$92:$IQ$96,$HT$99:$IQ$103),MATCH($L$111,$EK$85:$EK$89,0),MATCH($A100,$EL$84:$FI$84,0),MATCH($G$99,$AE$24:$AE$32,0))*$C100</f>
        <v>0</v>
      </c>
      <c r="Z98" s="170">
        <f>INDEX(($EL$85:$FI$89,$EL$93:$FI$97,$FL$85:$GI$89,$FL$93:$GI$97,$GS$85:$HP$89,$GS$92:$HP$96,$HT$85:$IQ$89,$HT$92:$IQ$96,$HT$99:$IQ$103),MATCH($L$112,$EK$85:$EK$89,0),MATCH($A100,$EL$84:$FI$84,0),MATCH($G$99,$AE$24:$AE$32,0))*$C100</f>
        <v>0</v>
      </c>
      <c r="AA98" s="150">
        <f t="shared" si="252"/>
        <v>0</v>
      </c>
      <c r="AB98" s="150">
        <f t="shared" si="253"/>
        <v>0</v>
      </c>
      <c r="AD98" s="150"/>
      <c r="AE98" s="150"/>
      <c r="AF98" s="150"/>
      <c r="AG98" s="150"/>
      <c r="AH98" s="150"/>
      <c r="AI98" s="150"/>
      <c r="AJ98" s="150"/>
      <c r="AK98" s="150"/>
      <c r="AL98" s="150"/>
      <c r="AM98" s="150"/>
      <c r="AN98" s="150"/>
      <c r="AO98" s="150">
        <f t="shared" si="254"/>
        <v>1</v>
      </c>
      <c r="AU98" s="150"/>
      <c r="BG98" s="150"/>
      <c r="BH98" s="150"/>
      <c r="BI98" s="150"/>
      <c r="BJ98" s="150"/>
      <c r="BK98" s="150"/>
      <c r="BL98" s="150"/>
      <c r="BM98" s="150"/>
      <c r="BN98" s="150"/>
      <c r="BO98" s="150"/>
      <c r="BP98" s="150"/>
      <c r="BQ98" s="150"/>
      <c r="BR98" s="150"/>
      <c r="BS98" s="150"/>
      <c r="BT98" s="150"/>
      <c r="BU98" s="150"/>
      <c r="BV98" s="150"/>
      <c r="BW98" s="150"/>
      <c r="BX98" s="150"/>
      <c r="BY98" s="150"/>
      <c r="BZ98" s="150"/>
      <c r="CA98" s="150"/>
      <c r="CB98" s="150"/>
      <c r="CC98" s="150"/>
      <c r="CD98" s="150"/>
      <c r="CE98" s="150"/>
      <c r="CF98" s="150"/>
      <c r="CG98" s="150"/>
      <c r="CH98" s="150"/>
      <c r="CI98" s="150"/>
      <c r="CJ98" s="150"/>
      <c r="CK98" s="150"/>
      <c r="CL98" s="150"/>
      <c r="CM98" s="150"/>
      <c r="CN98" s="150"/>
      <c r="CO98" s="150"/>
      <c r="CP98" s="150"/>
      <c r="CQ98" s="150"/>
      <c r="CR98" s="150"/>
      <c r="CS98" s="150"/>
      <c r="CT98" s="150"/>
      <c r="CU98" s="150"/>
      <c r="CV98" s="150"/>
      <c r="CW98" s="150"/>
      <c r="CX98" s="150"/>
      <c r="CY98" s="150"/>
      <c r="CZ98" s="150"/>
      <c r="DA98" s="150"/>
      <c r="DB98" s="150"/>
      <c r="DC98" s="150"/>
      <c r="DD98" s="150"/>
      <c r="DE98" s="150"/>
      <c r="DF98" s="150"/>
      <c r="DG98" s="150"/>
      <c r="DH98" s="150"/>
      <c r="DI98" s="150"/>
      <c r="DJ98" s="150"/>
      <c r="DK98" s="150"/>
      <c r="DL98" s="150"/>
      <c r="DM98" s="150"/>
      <c r="DN98" s="150"/>
      <c r="DO98" s="150"/>
      <c r="DP98" s="150"/>
      <c r="DQ98" s="181"/>
      <c r="DR98" s="181">
        <v>34</v>
      </c>
      <c r="DS98" s="181"/>
      <c r="DT98" s="150"/>
      <c r="DU98" s="150"/>
      <c r="DV98" s="150"/>
      <c r="DW98" s="150"/>
      <c r="DX98" s="150"/>
      <c r="DY98" s="150"/>
      <c r="DZ98" s="150"/>
      <c r="EA98" s="150"/>
      <c r="EB98" s="150"/>
      <c r="EC98" s="150"/>
      <c r="ED98" s="150"/>
      <c r="EE98" s="150"/>
      <c r="EF98" s="150"/>
      <c r="EG98" s="150"/>
      <c r="EH98" s="150"/>
      <c r="EI98" s="150"/>
      <c r="EJ98" s="155"/>
      <c r="EK98" s="150"/>
      <c r="EL98" s="150"/>
      <c r="EM98" s="150"/>
      <c r="EN98" s="150"/>
      <c r="EO98" s="150"/>
      <c r="EP98" s="150"/>
      <c r="EQ98" s="150"/>
      <c r="ER98" s="150"/>
      <c r="ES98" s="150"/>
      <c r="ET98" s="150"/>
      <c r="EU98" s="150"/>
      <c r="EV98" s="150"/>
      <c r="EW98" s="150"/>
      <c r="EX98" s="150"/>
      <c r="EY98" s="150"/>
      <c r="EZ98" s="150"/>
      <c r="FA98" s="150"/>
      <c r="FB98" s="150"/>
      <c r="FC98" s="150"/>
      <c r="FD98" s="150"/>
      <c r="FE98" s="150"/>
      <c r="FF98" s="150"/>
      <c r="FG98" s="150"/>
      <c r="FH98" s="150"/>
      <c r="FI98" s="150"/>
      <c r="FJ98" s="150"/>
      <c r="FK98" s="150"/>
      <c r="FL98" s="150"/>
      <c r="FM98" s="150"/>
      <c r="FN98" s="150"/>
      <c r="FO98" s="150"/>
      <c r="FP98" s="150"/>
      <c r="FQ98" s="150"/>
      <c r="FR98" s="150"/>
      <c r="FS98" s="150"/>
      <c r="FT98" s="150"/>
      <c r="FU98" s="150"/>
      <c r="FV98" s="150"/>
      <c r="FW98" s="150"/>
      <c r="FX98" s="150"/>
      <c r="FY98" s="150"/>
      <c r="FZ98" s="150"/>
      <c r="GA98" s="150"/>
      <c r="GB98" s="150"/>
      <c r="GC98" s="150"/>
      <c r="GD98" s="150"/>
      <c r="GE98" s="150"/>
      <c r="GF98" s="150"/>
      <c r="GG98" s="150"/>
      <c r="GH98" s="150"/>
      <c r="GI98" s="150"/>
      <c r="GJ98" s="150"/>
      <c r="GK98" s="150"/>
      <c r="GL98" s="150"/>
      <c r="GM98" s="150"/>
      <c r="GN98" s="150"/>
      <c r="GO98" s="150"/>
      <c r="GP98" s="150"/>
      <c r="GQ98" s="150"/>
      <c r="GR98" s="150"/>
      <c r="GS98" s="150"/>
      <c r="GT98" s="150"/>
      <c r="GU98" s="150"/>
      <c r="GV98" s="150"/>
      <c r="GW98" s="150"/>
      <c r="GX98" s="150"/>
      <c r="GY98" s="150"/>
      <c r="GZ98" s="150"/>
      <c r="HA98" s="150"/>
      <c r="HB98" s="150"/>
      <c r="HC98" s="150"/>
      <c r="HD98" s="150"/>
      <c r="HE98" s="150"/>
      <c r="HF98" s="150"/>
      <c r="HG98" s="150"/>
      <c r="HH98" s="150"/>
      <c r="HS98" s="154" t="s">
        <v>767</v>
      </c>
      <c r="HT98" s="154">
        <v>0</v>
      </c>
      <c r="HU98" s="154">
        <v>6</v>
      </c>
      <c r="HV98" s="154">
        <v>8</v>
      </c>
      <c r="HW98" s="154">
        <v>10</v>
      </c>
      <c r="HX98" s="154">
        <v>12</v>
      </c>
      <c r="HY98" s="154">
        <v>14</v>
      </c>
      <c r="HZ98" s="154">
        <v>16</v>
      </c>
      <c r="IA98" s="154">
        <v>18</v>
      </c>
      <c r="IB98" s="154">
        <v>20</v>
      </c>
      <c r="IC98" s="154">
        <v>22</v>
      </c>
      <c r="ID98" s="154">
        <v>24</v>
      </c>
      <c r="IE98" s="154">
        <v>26</v>
      </c>
      <c r="IF98" s="154">
        <v>28</v>
      </c>
      <c r="IG98" s="154">
        <v>30</v>
      </c>
      <c r="IH98" s="154">
        <v>32</v>
      </c>
      <c r="II98" s="154">
        <v>34</v>
      </c>
      <c r="IJ98" s="154">
        <v>36</v>
      </c>
      <c r="IK98" s="154">
        <v>38</v>
      </c>
      <c r="IL98" s="154">
        <v>40</v>
      </c>
      <c r="IM98" s="154">
        <v>42</v>
      </c>
      <c r="IN98" s="154">
        <v>44</v>
      </c>
      <c r="IO98" s="154">
        <v>46</v>
      </c>
      <c r="IP98" s="154">
        <v>48</v>
      </c>
      <c r="IQ98" s="154">
        <v>50</v>
      </c>
      <c r="IT98" s="157"/>
    </row>
    <row r="99" spans="1:254" x14ac:dyDescent="0.25">
      <c r="A99" s="8"/>
      <c r="B99" s="5" t="s">
        <v>116</v>
      </c>
      <c r="C99" s="8"/>
      <c r="D99" s="6" t="s">
        <v>118</v>
      </c>
      <c r="E99" s="8" t="s">
        <v>507</v>
      </c>
      <c r="F99" s="5" t="s">
        <v>116</v>
      </c>
      <c r="G99" s="8" t="s">
        <v>480</v>
      </c>
      <c r="H99" s="5" t="s">
        <v>116</v>
      </c>
      <c r="I99" s="8">
        <v>35</v>
      </c>
      <c r="J99" s="5" t="s">
        <v>119</v>
      </c>
      <c r="K99" s="9"/>
      <c r="L99" s="7" t="str">
        <f>IF(E101=$AC$5,"-------",IF(E101=$AC$6,"-------",IF(E101=$AC$7,"-------",IF(E101=$AC$8,IF(E110=$DS$10,"GSW76X1600N",IF(E110=$DS$11,"GSW76X2200N","")),0))))</f>
        <v>-------</v>
      </c>
      <c r="M99" s="11" t="str">
        <f>INDEX(cennik!$C$2:$L$529,MATCH($L99,cennik!$B$2:$B$522,0),MATCH(M$2,cennik!$C$1:$L$1,0))</f>
        <v>-------</v>
      </c>
      <c r="N99" s="11">
        <f>INDEX(cennik!$C$2:$L$529,MATCH($L99,cennik!$B$2:$B$522,0),MATCH(N$2,cennik!$C$1:$L$1,0))</f>
        <v>0</v>
      </c>
      <c r="O99" s="11">
        <f>IF(L99="-------",0,SUM(O101:O102))</f>
        <v>0</v>
      </c>
      <c r="P99" s="34">
        <f>INDEX(cennik!$C$2:$L$529,MATCH($L99,cennik!$B$2:$B$522,0),MATCH(P$2,cennik!$C$1:$L$1,0))</f>
        <v>0</v>
      </c>
      <c r="Q99" s="34">
        <f>O99*P99</f>
        <v>0</v>
      </c>
      <c r="R99" s="35">
        <f t="shared" ref="R99:R124" si="263">$E$103</f>
        <v>0</v>
      </c>
      <c r="S99" s="34">
        <f t="shared" ref="S99:S124" si="264">P99*((100-$E$103)/100)</f>
        <v>0</v>
      </c>
      <c r="T99" s="34">
        <f>O99*S99</f>
        <v>0</v>
      </c>
      <c r="U99" s="34">
        <f>INDEX(cennik!$C$2:$L$529,MATCH($L99,cennik!$B$2:$B$522,0),MATCH(U$2,cennik!$C$1:$L$1,0))*O99</f>
        <v>0</v>
      </c>
      <c r="V99" s="62"/>
      <c r="W99" s="170">
        <f>INDEX(($EL$85:$FI$89,$EL$93:$FI$97,$FL$85:$GI$89,$FL$93:$GI$97,$GS$85:$HP$89,$GS$92:$HP$96,$HT$85:$IQ$89,$HT$92:$IQ$96,$HT$99:$IQ$103),MATCH($L$113,$EK$85:$EK$89,0),MATCH($A101,$EL$84:$FI$84,0),MATCH($G$99,$AE$24:$AE$32,0))*$C101</f>
        <v>0</v>
      </c>
      <c r="X99" s="170">
        <f>INDEX(($EL$85:$FI$89,$EL$93:$FI$97,$FL$85:$GI$89,$FL$93:$GI$97,$GS$85:$HP$89,$GS$92:$HP$96,$HT$85:$IQ$89,$HT$92:$IQ$96,$HT$99:$IQ$103),MATCH($L$110,$EK$85:$EK$89,0),MATCH($A101,$EL$84:$FI$84,0),MATCH($G$99,$AE$24:$AE$32,0))*$C101</f>
        <v>0</v>
      </c>
      <c r="Y99" s="170">
        <f>INDEX(($EL$85:$FI$89,$EL$93:$FI$97,$FL$85:$GI$89,$FL$93:$GI$97,$GS$85:$HP$89,$GS$92:$HP$96,$HT$85:$IQ$89,$HT$92:$IQ$96,$HT$99:$IQ$103),MATCH($L$111,$EK$85:$EK$89,0),MATCH($A101,$EL$84:$FI$84,0),MATCH($G$99,$AE$24:$AE$32,0))*$C101</f>
        <v>0</v>
      </c>
      <c r="Z99" s="170">
        <f>INDEX(($EL$85:$FI$89,$EL$93:$FI$97,$FL$85:$GI$89,$FL$93:$GI$97,$GS$85:$HP$89,$GS$92:$HP$96,$HT$85:$IQ$89,$HT$92:$IQ$96,$HT$99:$IQ$103),MATCH($L$112,$EK$85:$EK$89,0),MATCH($A101,$EL$84:$FI$84,0),MATCH($G$99,$AE$24:$AE$32,0))*$C101</f>
        <v>0</v>
      </c>
      <c r="AA99" s="150">
        <f t="shared" si="252"/>
        <v>0</v>
      </c>
      <c r="AB99" s="150">
        <f t="shared" si="253"/>
        <v>0</v>
      </c>
      <c r="AC99" s="150"/>
      <c r="AD99" s="150"/>
      <c r="AE99" s="150"/>
      <c r="AF99" s="150"/>
      <c r="AG99" s="150"/>
      <c r="AH99" s="150"/>
      <c r="AI99" s="150"/>
      <c r="AJ99" s="150"/>
      <c r="AK99" s="150"/>
      <c r="AL99" s="150"/>
      <c r="AM99" s="150"/>
      <c r="AN99" s="150"/>
      <c r="AO99" s="150">
        <f t="shared" si="254"/>
        <v>1</v>
      </c>
      <c r="AP99" s="167" t="s">
        <v>730</v>
      </c>
      <c r="AQ99" s="150"/>
      <c r="AR99" s="150"/>
      <c r="AS99" s="150"/>
      <c r="AT99" s="150"/>
      <c r="AU99" s="150"/>
      <c r="AV99" s="167" t="s">
        <v>843</v>
      </c>
      <c r="BG99" s="150"/>
      <c r="BH99" s="150"/>
      <c r="BI99" s="150"/>
      <c r="BJ99" s="150"/>
      <c r="BK99" s="150"/>
      <c r="BL99" s="150"/>
      <c r="BM99" s="150"/>
      <c r="BN99" s="150"/>
      <c r="BO99" s="150"/>
      <c r="BP99" s="150"/>
      <c r="BQ99" s="150"/>
      <c r="BR99" s="150"/>
      <c r="BS99" s="150"/>
      <c r="BT99" s="150"/>
      <c r="BU99" s="150"/>
      <c r="BV99" s="150"/>
      <c r="BW99" s="150"/>
      <c r="BX99" s="150"/>
      <c r="BY99" s="150"/>
      <c r="BZ99" s="150"/>
      <c r="CA99" s="150"/>
      <c r="CB99" s="150"/>
      <c r="CC99" s="150"/>
      <c r="CD99" s="150"/>
      <c r="CE99" s="150"/>
      <c r="CF99" s="150"/>
      <c r="CG99" s="150"/>
      <c r="CH99" s="150"/>
      <c r="CI99" s="150"/>
      <c r="CJ99" s="150"/>
      <c r="CK99" s="150"/>
      <c r="CL99" s="150"/>
      <c r="CM99" s="150"/>
      <c r="CN99" s="150"/>
      <c r="CO99" s="150"/>
      <c r="CP99" s="150"/>
      <c r="CQ99" s="150"/>
      <c r="CR99" s="150"/>
      <c r="CS99" s="150"/>
      <c r="CT99" s="150"/>
      <c r="CU99" s="150"/>
      <c r="CV99" s="150"/>
      <c r="CW99" s="150"/>
      <c r="CX99" s="150"/>
      <c r="CY99" s="150"/>
      <c r="CZ99" s="150"/>
      <c r="DA99" s="150"/>
      <c r="DB99" s="150"/>
      <c r="DC99" s="150"/>
      <c r="DD99" s="150"/>
      <c r="DE99" s="150"/>
      <c r="DF99" s="150"/>
      <c r="DG99" s="150"/>
      <c r="DH99" s="150"/>
      <c r="DI99" s="150"/>
      <c r="DJ99" s="150"/>
      <c r="DK99" s="150"/>
      <c r="DL99" s="150"/>
      <c r="DM99" s="150"/>
      <c r="DN99" s="150"/>
      <c r="DO99" s="150"/>
      <c r="DP99" s="150"/>
      <c r="DQ99" s="181"/>
      <c r="DR99" s="181">
        <v>36</v>
      </c>
      <c r="DS99" s="181"/>
      <c r="DT99" s="150"/>
      <c r="DU99" s="150"/>
      <c r="DV99" s="150"/>
      <c r="DW99" s="150"/>
      <c r="DX99" s="150"/>
      <c r="DY99" s="150"/>
      <c r="DZ99" s="150"/>
      <c r="EA99" s="150"/>
      <c r="EB99" s="150"/>
      <c r="EC99" s="150"/>
      <c r="ED99" s="150"/>
      <c r="EE99" s="150"/>
      <c r="EF99" s="150"/>
      <c r="EG99" s="150"/>
      <c r="EH99" s="150"/>
      <c r="EI99" s="150"/>
      <c r="EJ99" s="155"/>
      <c r="EK99" s="150"/>
      <c r="EL99" s="150"/>
      <c r="EM99" s="150"/>
      <c r="EN99" s="150"/>
      <c r="EO99" s="150"/>
      <c r="EP99" s="150"/>
      <c r="EQ99" s="150"/>
      <c r="ER99" s="150"/>
      <c r="ES99" s="150"/>
      <c r="ET99" s="150"/>
      <c r="EU99" s="150"/>
      <c r="EV99" s="150"/>
      <c r="EW99" s="150"/>
      <c r="EX99" s="150"/>
      <c r="EY99" s="150"/>
      <c r="EZ99" s="150"/>
      <c r="FA99" s="150"/>
      <c r="FB99" s="150"/>
      <c r="FC99" s="150"/>
      <c r="FD99" s="150"/>
      <c r="FE99" s="150"/>
      <c r="FF99" s="150"/>
      <c r="FG99" s="150"/>
      <c r="FH99" s="150"/>
      <c r="FI99" s="150"/>
      <c r="FJ99" s="150"/>
      <c r="FK99" s="150"/>
      <c r="FL99" s="150"/>
      <c r="FM99" s="150"/>
      <c r="FN99" s="150"/>
      <c r="FO99" s="150"/>
      <c r="FP99" s="150"/>
      <c r="FQ99" s="150"/>
      <c r="FR99" s="150"/>
      <c r="FS99" s="150"/>
      <c r="FT99" s="150"/>
      <c r="FU99" s="150"/>
      <c r="FV99" s="150"/>
      <c r="FW99" s="150"/>
      <c r="FX99" s="150"/>
      <c r="FY99" s="150"/>
      <c r="FZ99" s="150"/>
      <c r="GA99" s="150"/>
      <c r="GB99" s="150"/>
      <c r="GC99" s="150"/>
      <c r="GD99" s="150"/>
      <c r="GE99" s="150"/>
      <c r="GF99" s="150"/>
      <c r="GG99" s="150"/>
      <c r="GH99" s="150"/>
      <c r="GI99" s="150"/>
      <c r="GJ99" s="150"/>
      <c r="GK99" s="150"/>
      <c r="GL99" s="150"/>
      <c r="GM99" s="150"/>
      <c r="GN99" s="150"/>
      <c r="GO99" s="150"/>
      <c r="GP99" s="150"/>
      <c r="GQ99" s="150"/>
      <c r="GR99" s="150"/>
      <c r="GS99" s="150"/>
      <c r="GT99" s="150"/>
      <c r="GU99" s="150"/>
      <c r="GV99" s="150"/>
      <c r="GW99" s="150"/>
      <c r="GX99" s="150"/>
      <c r="GY99" s="150"/>
      <c r="GZ99" s="150"/>
      <c r="HA99" s="150"/>
      <c r="HB99" s="150"/>
      <c r="HC99" s="150"/>
      <c r="HD99" s="150"/>
      <c r="HE99" s="150"/>
      <c r="HF99" s="150"/>
      <c r="HG99" s="150"/>
      <c r="HH99" s="150"/>
      <c r="HS99" s="154" t="s">
        <v>586</v>
      </c>
      <c r="HT99" s="154">
        <v>0</v>
      </c>
      <c r="HU99" s="154">
        <v>0</v>
      </c>
      <c r="HV99" s="154">
        <v>4</v>
      </c>
      <c r="HW99" s="154">
        <v>0</v>
      </c>
      <c r="HX99" s="154">
        <v>0</v>
      </c>
      <c r="HY99" s="154">
        <v>0</v>
      </c>
      <c r="HZ99" s="154">
        <v>0</v>
      </c>
      <c r="IA99" s="154">
        <v>0</v>
      </c>
      <c r="IB99" s="154">
        <v>0</v>
      </c>
      <c r="IC99" s="154">
        <v>0</v>
      </c>
      <c r="ID99" s="154">
        <v>0</v>
      </c>
      <c r="IE99" s="154">
        <v>0</v>
      </c>
      <c r="IF99" s="154">
        <v>0</v>
      </c>
      <c r="IG99" s="154">
        <v>0</v>
      </c>
      <c r="IH99" s="154">
        <v>0</v>
      </c>
      <c r="II99" s="154">
        <v>0</v>
      </c>
      <c r="IJ99" s="154">
        <v>0</v>
      </c>
      <c r="IK99" s="154">
        <v>0</v>
      </c>
      <c r="IL99" s="154">
        <v>0</v>
      </c>
      <c r="IM99" s="154">
        <v>0</v>
      </c>
      <c r="IN99" s="154">
        <v>0</v>
      </c>
      <c r="IO99" s="154">
        <v>0</v>
      </c>
      <c r="IP99" s="154">
        <v>0</v>
      </c>
      <c r="IQ99" s="154">
        <v>0</v>
      </c>
      <c r="IT99" s="157"/>
    </row>
    <row r="100" spans="1:254" x14ac:dyDescent="0.25">
      <c r="A100" s="8"/>
      <c r="B100" s="5" t="s">
        <v>116</v>
      </c>
      <c r="C100" s="8"/>
      <c r="D100" s="6" t="s">
        <v>124</v>
      </c>
      <c r="E100" s="8" t="s">
        <v>125</v>
      </c>
      <c r="F100" s="5"/>
      <c r="G100" s="5"/>
      <c r="H100" s="5"/>
      <c r="I100" s="5"/>
      <c r="J100" s="5"/>
      <c r="K100" s="9"/>
      <c r="L100" s="7" t="str">
        <f>IF(E101=$AC$5,"-------",IF(E101=$AC$6,"-------",IF(E101=$AC$7,"PCB70",IF(E101=$AC$8,"PCS70",0))))</f>
        <v>-------</v>
      </c>
      <c r="M100" s="11" t="str">
        <f>INDEX(cennik!$C$2:$L$529,MATCH($L100,cennik!$B$2:$B$522,0),MATCH(M$2,cennik!$C$1:$L$1,0))</f>
        <v>-------</v>
      </c>
      <c r="N100" s="11">
        <f>INDEX(cennik!$C$2:$L$529,MATCH($L100,cennik!$B$2:$B$522,0),MATCH(N$2,cennik!$C$1:$L$1,0))</f>
        <v>0</v>
      </c>
      <c r="O100" s="11">
        <f>IF(E101=AC7,SUM(O101:O102),IF(E101=AC8,SUM(O101:O102),IF(E101=AC5,0,IF(E101=AC6,0,0))))</f>
        <v>0</v>
      </c>
      <c r="P100" s="34">
        <f>INDEX(cennik!$C$2:$L$529,MATCH($L100,cennik!$B$2:$B$522,0),MATCH(P$2,cennik!$C$1:$L$1,0))</f>
        <v>0</v>
      </c>
      <c r="Q100" s="34">
        <f t="shared" ref="Q100:Q102" si="265">O100*P100</f>
        <v>0</v>
      </c>
      <c r="R100" s="35">
        <f t="shared" si="263"/>
        <v>0</v>
      </c>
      <c r="S100" s="34">
        <f t="shared" si="264"/>
        <v>0</v>
      </c>
      <c r="T100" s="34">
        <f>O100*S100</f>
        <v>0</v>
      </c>
      <c r="U100" s="34">
        <f>INDEX(cennik!$C$2:$L$529,MATCH($L100,cennik!$B$2:$B$522,0),MATCH(U$2,cennik!$C$1:$L$1,0))*O100</f>
        <v>0</v>
      </c>
      <c r="V100" s="62"/>
      <c r="W100" s="170">
        <f>INDEX(($EL$85:$FI$89,$EL$93:$FI$97,$FL$85:$GI$89,$FL$93:$GI$97,$GS$85:$HP$89,$GS$92:$HP$96,$HT$85:$IQ$89,$HT$92:$IQ$96,$HT$99:$IQ$103),MATCH($L$113,$EK$85:$EK$89,0),MATCH($A102,$EL$84:$FI$84,0),MATCH($G$99,$AE$24:$AE$32,0))*$C102</f>
        <v>0</v>
      </c>
      <c r="X100" s="170">
        <f>INDEX(($EL$85:$FI$89,$EL$93:$FI$97,$FL$85:$GI$89,$FL$93:$GI$97,$GS$85:$HP$89,$GS$92:$HP$96,$HT$85:$IQ$89,$HT$92:$IQ$96,$HT$99:$IQ$103),MATCH($L$110,$EK$85:$EK$89,0),MATCH($A102,$EL$84:$FI$84,0),MATCH($G$99,$AE$24:$AE$32,0))*$C102</f>
        <v>0</v>
      </c>
      <c r="Y100" s="170">
        <f>INDEX(($EL$85:$FI$89,$EL$93:$FI$97,$FL$85:$GI$89,$FL$93:$GI$97,$GS$85:$HP$89,$GS$92:$HP$96,$HT$85:$IQ$89,$HT$92:$IQ$96,$HT$99:$IQ$103),MATCH($L$111,$EK$85:$EK$89,0),MATCH($A102,$EL$84:$FI$84,0),MATCH($G$99,$AE$24:$AE$32,0))*$C102</f>
        <v>0</v>
      </c>
      <c r="Z100" s="170">
        <f>INDEX(($EL$85:$FI$89,$EL$93:$FI$97,$FL$85:$GI$89,$FL$93:$GI$97,$GS$85:$HP$89,$GS$92:$HP$96,$HT$85:$IQ$89,$HT$92:$IQ$96,$HT$99:$IQ$103),MATCH($L$112,$EK$85:$EK$89,0),MATCH($A102,$EL$84:$FI$84,0),MATCH($G$99,$AE$24:$AE$32,0))*$C102</f>
        <v>0</v>
      </c>
      <c r="AA100" s="150">
        <f t="shared" si="252"/>
        <v>0</v>
      </c>
      <c r="AB100" s="150">
        <f t="shared" si="253"/>
        <v>0</v>
      </c>
      <c r="AC100" s="150"/>
      <c r="AD100" s="150"/>
      <c r="AE100" s="150"/>
      <c r="AF100" s="150"/>
      <c r="AG100" s="150"/>
      <c r="AH100" s="150"/>
      <c r="AI100" s="150"/>
      <c r="AJ100" s="150"/>
      <c r="AK100" s="150"/>
      <c r="AL100" s="150"/>
      <c r="AM100" s="150"/>
      <c r="AN100" s="150"/>
      <c r="AO100" s="150">
        <f t="shared" si="254"/>
        <v>1</v>
      </c>
      <c r="AP100" s="150">
        <v>30</v>
      </c>
      <c r="AQ100" s="150" t="s">
        <v>314</v>
      </c>
      <c r="AR100" s="150" t="s">
        <v>312</v>
      </c>
      <c r="AS100" s="150" t="s">
        <v>309</v>
      </c>
      <c r="AT100" s="150" t="s">
        <v>313</v>
      </c>
      <c r="AU100" s="150"/>
      <c r="AV100" s="150">
        <v>30</v>
      </c>
      <c r="AW100" s="150" t="s">
        <v>314</v>
      </c>
      <c r="AX100" s="150" t="s">
        <v>312</v>
      </c>
      <c r="AY100" s="150" t="s">
        <v>309</v>
      </c>
      <c r="AZ100" s="150" t="s">
        <v>313</v>
      </c>
      <c r="BG100" s="150"/>
      <c r="BH100" s="150"/>
      <c r="BI100" s="150"/>
      <c r="BJ100" s="150"/>
      <c r="BK100" s="150"/>
      <c r="BL100" s="150"/>
      <c r="BM100" s="150"/>
      <c r="BN100" s="150"/>
      <c r="BO100" s="150"/>
      <c r="BP100" s="150"/>
      <c r="BQ100" s="150"/>
      <c r="BR100" s="150"/>
      <c r="BS100" s="150"/>
      <c r="BT100" s="150"/>
      <c r="BU100" s="150"/>
      <c r="BV100" s="150"/>
      <c r="BW100" s="150"/>
      <c r="BX100" s="150"/>
      <c r="BY100" s="150"/>
      <c r="BZ100" s="150"/>
      <c r="CA100" s="150"/>
      <c r="CB100" s="150"/>
      <c r="CC100" s="150"/>
      <c r="CD100" s="150"/>
      <c r="CE100" s="150"/>
      <c r="CF100" s="150"/>
      <c r="CG100" s="150"/>
      <c r="CH100" s="150"/>
      <c r="CI100" s="150"/>
      <c r="CJ100" s="150"/>
      <c r="CK100" s="150"/>
      <c r="CL100" s="150"/>
      <c r="CM100" s="150"/>
      <c r="CN100" s="150"/>
      <c r="CO100" s="150"/>
      <c r="CP100" s="150"/>
      <c r="CQ100" s="150"/>
      <c r="CR100" s="150"/>
      <c r="CS100" s="150"/>
      <c r="CT100" s="150"/>
      <c r="CU100" s="150"/>
      <c r="CV100" s="150"/>
      <c r="CW100" s="150"/>
      <c r="CX100" s="150"/>
      <c r="CY100" s="150"/>
      <c r="CZ100" s="150"/>
      <c r="DA100" s="150"/>
      <c r="DB100" s="150"/>
      <c r="DC100" s="150"/>
      <c r="DD100" s="150"/>
      <c r="DE100" s="150"/>
      <c r="DF100" s="150"/>
      <c r="DG100" s="150"/>
      <c r="DH100" s="150"/>
      <c r="DI100" s="150"/>
      <c r="DJ100" s="150"/>
      <c r="DK100" s="150"/>
      <c r="DL100" s="150"/>
      <c r="DM100" s="150"/>
      <c r="DN100" s="150"/>
      <c r="DO100" s="150"/>
      <c r="DP100" s="150"/>
      <c r="DQ100" s="181"/>
      <c r="DR100" s="181">
        <v>38</v>
      </c>
      <c r="DS100" s="181"/>
      <c r="DT100" s="150"/>
      <c r="DU100" s="150"/>
      <c r="DV100" s="150"/>
      <c r="DW100" s="150"/>
      <c r="DX100" s="150"/>
      <c r="DY100" s="150"/>
      <c r="DZ100" s="150"/>
      <c r="EA100" s="150"/>
      <c r="EB100" s="150"/>
      <c r="EC100" s="150"/>
      <c r="ED100" s="150"/>
      <c r="EE100" s="150"/>
      <c r="EF100" s="150"/>
      <c r="EG100" s="150"/>
      <c r="EH100" s="150"/>
      <c r="EI100" s="150"/>
      <c r="EJ100" s="155"/>
      <c r="EK100" s="150"/>
      <c r="EL100" s="150"/>
      <c r="EM100" s="150"/>
      <c r="EN100" s="150"/>
      <c r="EO100" s="150"/>
      <c r="EP100" s="150"/>
      <c r="EQ100" s="150"/>
      <c r="ER100" s="150"/>
      <c r="ES100" s="150"/>
      <c r="ET100" s="150"/>
      <c r="EU100" s="150"/>
      <c r="EV100" s="150"/>
      <c r="EW100" s="150"/>
      <c r="EX100" s="150"/>
      <c r="EY100" s="150"/>
      <c r="EZ100" s="150"/>
      <c r="FA100" s="150"/>
      <c r="FB100" s="150"/>
      <c r="FC100" s="150"/>
      <c r="FD100" s="150"/>
      <c r="FE100" s="150"/>
      <c r="FF100" s="150"/>
      <c r="FG100" s="150"/>
      <c r="FH100" s="150"/>
      <c r="FI100" s="150"/>
      <c r="FJ100" s="150"/>
      <c r="FK100" s="150"/>
      <c r="FL100" s="150"/>
      <c r="FM100" s="150"/>
      <c r="FN100" s="150"/>
      <c r="FO100" s="150"/>
      <c r="FP100" s="150"/>
      <c r="FQ100" s="150"/>
      <c r="FR100" s="150"/>
      <c r="FS100" s="150"/>
      <c r="FT100" s="150"/>
      <c r="FU100" s="150"/>
      <c r="FV100" s="150"/>
      <c r="FW100" s="150"/>
      <c r="FX100" s="150"/>
      <c r="FY100" s="150"/>
      <c r="FZ100" s="150"/>
      <c r="GA100" s="150"/>
      <c r="GB100" s="150"/>
      <c r="GC100" s="150"/>
      <c r="GD100" s="150"/>
      <c r="GE100" s="150"/>
      <c r="GF100" s="150"/>
      <c r="GG100" s="150"/>
      <c r="GH100" s="150"/>
      <c r="GI100" s="150"/>
      <c r="GJ100" s="150"/>
      <c r="GK100" s="150"/>
      <c r="GL100" s="150"/>
      <c r="GM100" s="150"/>
      <c r="GN100" s="150"/>
      <c r="GO100" s="150"/>
      <c r="GP100" s="150"/>
      <c r="GQ100" s="150"/>
      <c r="GR100" s="150"/>
      <c r="GS100" s="150"/>
      <c r="GT100" s="150"/>
      <c r="GU100" s="150"/>
      <c r="GV100" s="150"/>
      <c r="GW100" s="150"/>
      <c r="GX100" s="150"/>
      <c r="GY100" s="150"/>
      <c r="GZ100" s="150"/>
      <c r="HA100" s="150"/>
      <c r="HB100" s="150"/>
      <c r="HC100" s="150"/>
      <c r="HD100" s="150"/>
      <c r="HE100" s="150"/>
      <c r="HF100" s="150"/>
      <c r="HG100" s="150"/>
      <c r="HH100" s="150"/>
      <c r="HS100" s="154" t="s">
        <v>522</v>
      </c>
      <c r="HT100" s="154">
        <v>0</v>
      </c>
      <c r="HU100" s="154">
        <v>4</v>
      </c>
      <c r="HV100" s="154">
        <v>0</v>
      </c>
      <c r="HW100" s="154">
        <v>4</v>
      </c>
      <c r="HX100" s="154">
        <v>8</v>
      </c>
      <c r="HY100" s="154">
        <v>4</v>
      </c>
      <c r="HZ100" s="154">
        <v>8</v>
      </c>
      <c r="IA100" s="154">
        <v>12</v>
      </c>
      <c r="IB100" s="154">
        <v>4</v>
      </c>
      <c r="IC100" s="154">
        <v>12</v>
      </c>
      <c r="ID100" s="154">
        <v>16</v>
      </c>
      <c r="IE100" s="154">
        <v>8</v>
      </c>
      <c r="IF100" s="154">
        <v>16</v>
      </c>
      <c r="IG100" s="154">
        <v>20</v>
      </c>
      <c r="IH100" s="154">
        <v>12</v>
      </c>
      <c r="II100" s="154">
        <v>20</v>
      </c>
      <c r="IJ100" s="154">
        <v>24</v>
      </c>
      <c r="IK100" s="154">
        <v>16</v>
      </c>
      <c r="IL100" s="154">
        <v>20</v>
      </c>
      <c r="IM100" s="154">
        <v>28</v>
      </c>
      <c r="IN100" s="154">
        <v>20</v>
      </c>
      <c r="IO100" s="154">
        <v>24</v>
      </c>
      <c r="IP100" s="154">
        <v>32</v>
      </c>
      <c r="IQ100" s="154">
        <v>24</v>
      </c>
      <c r="IT100" s="157"/>
    </row>
    <row r="101" spans="1:254" x14ac:dyDescent="0.25">
      <c r="A101" s="8"/>
      <c r="B101" s="5" t="s">
        <v>116</v>
      </c>
      <c r="C101" s="8"/>
      <c r="D101" s="6" t="s">
        <v>307</v>
      </c>
      <c r="E101" s="8" t="s">
        <v>314</v>
      </c>
      <c r="F101" s="5"/>
      <c r="G101" s="5"/>
      <c r="H101" s="5"/>
      <c r="I101" s="5"/>
      <c r="J101" s="5"/>
      <c r="K101" s="9"/>
      <c r="L101" s="7" t="str">
        <f>IF(E101=$AC$5,"CT70H50/3NMC",IF(E101=$AC$6,"CT70H50/2NMC",IF(E101=$AC$7,"CT70H50/1NMC",IF(E101=$AC$8,"CT70H50/1NMC",0))))</f>
        <v>CT70H50/3NMC</v>
      </c>
      <c r="M101" s="11">
        <f>INDEX(cennik!$C$2:$L$529,MATCH($L101,cennik!$B$2:$B$522,0),MATCH(M$2,cennik!$C$1:$L$1,0))</f>
        <v>864530</v>
      </c>
      <c r="N101" s="11" t="str">
        <f>INDEX(cennik!$C$2:$L$529,MATCH($L101,cennik!$B$2:$B$522,0),MATCH(N$2,cennik!$C$1:$L$1,0))</f>
        <v>szt.</v>
      </c>
      <c r="O101" s="11">
        <f>SUM(AB94:AB109)</f>
        <v>0</v>
      </c>
      <c r="P101" s="34">
        <f>INDEX(cennik!$C$2:$L$529,MATCH($L101,cennik!$B$2:$B$522,0),MATCH(P$2,cennik!$C$1:$L$1,0))</f>
        <v>136.47999999999999</v>
      </c>
      <c r="Q101" s="34">
        <f t="shared" si="265"/>
        <v>0</v>
      </c>
      <c r="R101" s="35">
        <f t="shared" si="263"/>
        <v>0</v>
      </c>
      <c r="S101" s="34">
        <f t="shared" si="264"/>
        <v>136.47999999999999</v>
      </c>
      <c r="T101" s="34">
        <f t="shared" ref="T101:T102" si="266">O101*S101</f>
        <v>0</v>
      </c>
      <c r="U101" s="34">
        <f>INDEX(cennik!$C$2:$L$529,MATCH($L101,cennik!$B$2:$B$522,0),MATCH(U$2,cennik!$C$1:$L$1,0))*O101</f>
        <v>0</v>
      </c>
      <c r="V101" s="62"/>
      <c r="W101" s="170">
        <f>INDEX(($EL$85:$FI$89,$EL$93:$FI$97,$FL$85:$GI$89,$FL$93:$GI$97,$GS$85:$HP$89,$GS$92:$HP$96,$HT$85:$IQ$89,$HT$92:$IQ$96,$HT$99:$IQ$103),MATCH($L$113,$EK$85:$EK$89,0),MATCH($A103,$EL$84:$FI$84,0),MATCH($G$99,$AE$24:$AE$32,0))*$C103</f>
        <v>0</v>
      </c>
      <c r="X101" s="170">
        <f>INDEX(($EL$85:$FI$89,$EL$93:$FI$97,$FL$85:$GI$89,$FL$93:$GI$97,$GS$85:$HP$89,$GS$92:$HP$96,$HT$85:$IQ$89,$HT$92:$IQ$96,$HT$99:$IQ$103),MATCH($L$110,$EK$85:$EK$89,0),MATCH($A103,$EL$84:$FI$84,0),MATCH($G$99,$AE$24:$AE$32,0))*$C103</f>
        <v>0</v>
      </c>
      <c r="Y101" s="170">
        <f>INDEX(($EL$85:$FI$89,$EL$93:$FI$97,$FL$85:$GI$89,$FL$93:$GI$97,$GS$85:$HP$89,$GS$92:$HP$96,$HT$85:$IQ$89,$HT$92:$IQ$96,$HT$99:$IQ$103),MATCH($L$111,$EK$85:$EK$89,0),MATCH($A103,$EL$84:$FI$84,0),MATCH($G$99,$AE$24:$AE$32,0))*$C103</f>
        <v>0</v>
      </c>
      <c r="Z101" s="170">
        <f>INDEX(($EL$85:$FI$89,$EL$93:$FI$97,$FL$85:$GI$89,$FL$93:$GI$97,$GS$85:$HP$89,$GS$92:$HP$96,$HT$85:$IQ$89,$HT$92:$IQ$96,$HT$99:$IQ$103),MATCH($L$112,$EK$85:$EK$89,0),MATCH($A103,$EL$84:$FI$84,0),MATCH($G$99,$AE$24:$AE$32,0))*$C103</f>
        <v>0</v>
      </c>
      <c r="AA101" s="150">
        <f t="shared" si="252"/>
        <v>0</v>
      </c>
      <c r="AB101" s="150">
        <f t="shared" si="253"/>
        <v>0</v>
      </c>
      <c r="AC101" s="150"/>
      <c r="AD101" s="150"/>
      <c r="AE101" s="150"/>
      <c r="AF101" s="150"/>
      <c r="AG101" s="150"/>
      <c r="AH101" s="150"/>
      <c r="AI101" s="167" t="s">
        <v>436</v>
      </c>
      <c r="AJ101" s="150"/>
      <c r="AK101" s="150"/>
      <c r="AL101" s="150"/>
      <c r="AM101" s="150"/>
      <c r="AN101" s="150"/>
      <c r="AO101" s="150">
        <f t="shared" si="254"/>
        <v>1</v>
      </c>
      <c r="AP101" s="150" t="s">
        <v>111</v>
      </c>
      <c r="AQ101" s="150" t="s">
        <v>590</v>
      </c>
      <c r="AR101" s="150" t="s">
        <v>589</v>
      </c>
      <c r="AS101" s="150" t="s">
        <v>588</v>
      </c>
      <c r="AT101" s="150" t="s">
        <v>588</v>
      </c>
      <c r="AU101" s="150"/>
      <c r="AV101" s="150" t="s">
        <v>111</v>
      </c>
      <c r="AW101" s="150" t="s">
        <v>151</v>
      </c>
      <c r="AX101" s="150" t="s">
        <v>151</v>
      </c>
      <c r="AY101" s="150" t="s">
        <v>151</v>
      </c>
      <c r="AZ101" s="150" t="s">
        <v>151</v>
      </c>
      <c r="BA101" s="150"/>
      <c r="BB101" s="150"/>
      <c r="BC101" s="150"/>
      <c r="BD101" s="150"/>
      <c r="BE101" s="150"/>
      <c r="BF101" s="150"/>
      <c r="BG101" s="150"/>
      <c r="BH101" s="150"/>
      <c r="BI101" s="150"/>
      <c r="BJ101" s="150"/>
      <c r="BK101" s="150"/>
      <c r="BL101" s="150"/>
      <c r="BM101" s="150"/>
      <c r="BN101" s="150"/>
      <c r="BO101" s="150"/>
      <c r="BP101" s="150"/>
      <c r="BQ101" s="150"/>
      <c r="BR101" s="150"/>
      <c r="BS101" s="150"/>
      <c r="BT101" s="150"/>
      <c r="BU101" s="150"/>
      <c r="BV101" s="150"/>
      <c r="BW101" s="150"/>
      <c r="BX101" s="150"/>
      <c r="BY101" s="150"/>
      <c r="BZ101" s="150"/>
      <c r="CA101" s="150"/>
      <c r="CB101" s="150"/>
      <c r="CC101" s="150"/>
      <c r="CD101" s="150"/>
      <c r="CE101" s="150"/>
      <c r="CF101" s="150"/>
      <c r="CG101" s="150"/>
      <c r="CH101" s="150"/>
      <c r="CI101" s="150"/>
      <c r="CJ101" s="150"/>
      <c r="CK101" s="150"/>
      <c r="CL101" s="150"/>
      <c r="CM101" s="150"/>
      <c r="CN101" s="150"/>
      <c r="CO101" s="150"/>
      <c r="CP101" s="150"/>
      <c r="CQ101" s="150"/>
      <c r="CR101" s="150"/>
      <c r="CS101" s="150"/>
      <c r="CT101" s="150"/>
      <c r="CU101" s="150"/>
      <c r="CV101" s="150"/>
      <c r="CW101" s="150"/>
      <c r="CX101" s="150"/>
      <c r="CY101" s="150"/>
      <c r="CZ101" s="150"/>
      <c r="DA101" s="150"/>
      <c r="DB101" s="150"/>
      <c r="DC101" s="150"/>
      <c r="DD101" s="150"/>
      <c r="DE101" s="150"/>
      <c r="DF101" s="150"/>
      <c r="DG101" s="150"/>
      <c r="DH101" s="150"/>
      <c r="DI101" s="150"/>
      <c r="DJ101" s="150"/>
      <c r="DK101" s="150"/>
      <c r="DL101" s="150"/>
      <c r="DM101" s="150"/>
      <c r="DN101" s="150"/>
      <c r="DO101" s="150"/>
      <c r="DP101" s="150"/>
      <c r="DQ101" s="181"/>
      <c r="DR101" s="181">
        <v>40</v>
      </c>
      <c r="DS101" s="181"/>
      <c r="DT101" s="150"/>
      <c r="DU101" s="150"/>
      <c r="DV101" s="150"/>
      <c r="DW101" s="150"/>
      <c r="DX101" s="150"/>
      <c r="DY101" s="150"/>
      <c r="DZ101" s="150"/>
      <c r="EA101" s="150"/>
      <c r="EB101" s="150"/>
      <c r="EC101" s="150"/>
      <c r="ED101" s="150"/>
      <c r="EE101" s="150"/>
      <c r="EF101" s="150"/>
      <c r="EG101" s="150"/>
      <c r="EH101" s="150"/>
      <c r="EI101" s="150"/>
      <c r="EJ101" s="155"/>
      <c r="EK101" s="150"/>
      <c r="EL101" s="150"/>
      <c r="EM101" s="150"/>
      <c r="EN101" s="150"/>
      <c r="EO101" s="150"/>
      <c r="EP101" s="150"/>
      <c r="EQ101" s="150"/>
      <c r="ER101" s="150"/>
      <c r="ES101" s="150"/>
      <c r="ET101" s="150"/>
      <c r="EU101" s="150"/>
      <c r="EV101" s="150"/>
      <c r="EW101" s="150"/>
      <c r="EX101" s="150"/>
      <c r="EY101" s="150"/>
      <c r="EZ101" s="150"/>
      <c r="FA101" s="150"/>
      <c r="FB101" s="150"/>
      <c r="FC101" s="150"/>
      <c r="FD101" s="150"/>
      <c r="FE101" s="150"/>
      <c r="FF101" s="150"/>
      <c r="FG101" s="150"/>
      <c r="FH101" s="150"/>
      <c r="FI101" s="150"/>
      <c r="FJ101" s="150"/>
      <c r="FK101" s="150"/>
      <c r="FL101" s="150"/>
      <c r="FM101" s="150"/>
      <c r="FN101" s="150"/>
      <c r="FO101" s="150"/>
      <c r="FP101" s="150"/>
      <c r="FQ101" s="150"/>
      <c r="FR101" s="150"/>
      <c r="FS101" s="150"/>
      <c r="FT101" s="150"/>
      <c r="FU101" s="150"/>
      <c r="FV101" s="150"/>
      <c r="FW101" s="150"/>
      <c r="FX101" s="150"/>
      <c r="FY101" s="150"/>
      <c r="FZ101" s="150"/>
      <c r="GA101" s="150"/>
      <c r="GB101" s="150"/>
      <c r="GC101" s="150"/>
      <c r="GD101" s="150"/>
      <c r="GE101" s="150"/>
      <c r="GF101" s="150"/>
      <c r="GG101" s="150"/>
      <c r="GH101" s="150"/>
      <c r="GI101" s="150"/>
      <c r="GJ101" s="150"/>
      <c r="GK101" s="150"/>
      <c r="GL101" s="150"/>
      <c r="GM101" s="150"/>
      <c r="GN101" s="150"/>
      <c r="GO101" s="150"/>
      <c r="GP101" s="150"/>
      <c r="GQ101" s="150"/>
      <c r="GR101" s="150"/>
      <c r="GS101" s="150"/>
      <c r="GT101" s="150"/>
      <c r="GU101" s="150"/>
      <c r="GV101" s="150"/>
      <c r="GW101" s="150"/>
      <c r="GX101" s="150"/>
      <c r="GY101" s="150"/>
      <c r="GZ101" s="150"/>
      <c r="HA101" s="150"/>
      <c r="HB101" s="150"/>
      <c r="HC101" s="150"/>
      <c r="HD101" s="150"/>
      <c r="HE101" s="150"/>
      <c r="HF101" s="150"/>
      <c r="HG101" s="150"/>
      <c r="HH101" s="150"/>
      <c r="HS101" s="154" t="s">
        <v>523</v>
      </c>
      <c r="HT101" s="154">
        <v>0</v>
      </c>
      <c r="HU101" s="154">
        <v>0</v>
      </c>
      <c r="HV101" s="154">
        <v>0</v>
      </c>
      <c r="HW101" s="154">
        <v>4</v>
      </c>
      <c r="HX101" s="154">
        <v>0</v>
      </c>
      <c r="HY101" s="154">
        <v>8</v>
      </c>
      <c r="HZ101" s="154">
        <v>4</v>
      </c>
      <c r="IA101" s="154">
        <v>0</v>
      </c>
      <c r="IB101" s="154">
        <v>12</v>
      </c>
      <c r="IC101" s="154">
        <v>4</v>
      </c>
      <c r="ID101" s="154">
        <v>0</v>
      </c>
      <c r="IE101" s="154">
        <v>12</v>
      </c>
      <c r="IF101" s="154">
        <v>4</v>
      </c>
      <c r="IG101" s="154">
        <v>0</v>
      </c>
      <c r="IH101" s="154">
        <v>12</v>
      </c>
      <c r="II101" s="154">
        <v>4</v>
      </c>
      <c r="IJ101" s="154">
        <v>0</v>
      </c>
      <c r="IK101" s="154">
        <v>12</v>
      </c>
      <c r="IL101" s="154">
        <v>8</v>
      </c>
      <c r="IM101" s="154">
        <v>0</v>
      </c>
      <c r="IN101" s="154">
        <v>12</v>
      </c>
      <c r="IO101" s="154">
        <v>8</v>
      </c>
      <c r="IP101" s="154">
        <v>0</v>
      </c>
      <c r="IQ101" s="154">
        <v>12</v>
      </c>
      <c r="IT101" s="157"/>
    </row>
    <row r="102" spans="1:254" x14ac:dyDescent="0.25">
      <c r="A102" s="8"/>
      <c r="B102" s="5" t="s">
        <v>116</v>
      </c>
      <c r="C102" s="8"/>
      <c r="D102" s="6" t="s">
        <v>315</v>
      </c>
      <c r="E102" s="8">
        <v>0</v>
      </c>
      <c r="F102" s="5"/>
      <c r="G102" s="5"/>
      <c r="H102" s="5"/>
      <c r="I102" s="5"/>
      <c r="J102" s="5" t="s">
        <v>412</v>
      </c>
      <c r="K102" s="9"/>
      <c r="L102" s="6" t="str">
        <f>INDEX((AQ80:AT97,AQ101:AT118),MATCH(E99,AP80:AP97,0),MATCH(E101,AQ79:AT79,0),MATCH(E106,DS6:DS7,0))</f>
        <v>CWT70H50/4,4NMC</v>
      </c>
      <c r="M102" s="11">
        <f>INDEX(cennik!$C$2:$L$529,MATCH($L102,cennik!$B$2:$B$522,0),MATCH(M$2,cennik!$C$1:$L$1,0))</f>
        <v>867844</v>
      </c>
      <c r="N102" s="11" t="str">
        <f>INDEX(cennik!$C$2:$L$529,MATCH($L102,cennik!$B$2:$B$522,0),MATCH(N$2,cennik!$C$1:$L$1,0))</f>
        <v>szt.</v>
      </c>
      <c r="O102" s="11">
        <f>O101</f>
        <v>0</v>
      </c>
      <c r="P102" s="34">
        <f>INDEX(cennik!$C$2:$L$529,MATCH($L102,cennik!$B$2:$B$522,0),MATCH(P$2,cennik!$C$1:$L$1,0))</f>
        <v>222.68</v>
      </c>
      <c r="Q102" s="34">
        <f t="shared" si="265"/>
        <v>0</v>
      </c>
      <c r="R102" s="35">
        <f t="shared" si="263"/>
        <v>0</v>
      </c>
      <c r="S102" s="34">
        <f t="shared" si="264"/>
        <v>222.68</v>
      </c>
      <c r="T102" s="34">
        <f t="shared" si="266"/>
        <v>0</v>
      </c>
      <c r="U102" s="34">
        <f>INDEX(cennik!$C$2:$L$529,MATCH($L102,cennik!$B$2:$B$522,0),MATCH(U$2,cennik!$C$1:$L$1,0))*O102</f>
        <v>0</v>
      </c>
      <c r="V102" s="62"/>
      <c r="W102" s="170">
        <f>INDEX(($EL$85:$FI$89,$EL$93:$FI$97,$FL$85:$GI$89,$FL$93:$GI$97,$GS$85:$HP$89,$GS$92:$HP$96,$HT$85:$IQ$89,$HT$92:$IQ$96,$HT$99:$IQ$103),MATCH($L$113,$EK$85:$EK$89,0),MATCH($A104,$EL$84:$FI$84,0),MATCH($G$99,$AE$24:$AE$32,0))*$C104</f>
        <v>0</v>
      </c>
      <c r="X102" s="170">
        <f>INDEX(($EL$85:$FI$89,$EL$93:$FI$97,$FL$85:$GI$89,$FL$93:$GI$97,$GS$85:$HP$89,$GS$92:$HP$96,$HT$85:$IQ$89,$HT$92:$IQ$96,$HT$99:$IQ$103),MATCH($L$110,$EK$85:$EK$89,0),MATCH($A104,$EL$84:$FI$84,0),MATCH($G$99,$AE$24:$AE$32,0))*$C104</f>
        <v>0</v>
      </c>
      <c r="Y102" s="170">
        <f>INDEX(($EL$85:$FI$89,$EL$93:$FI$97,$FL$85:$GI$89,$FL$93:$GI$97,$GS$85:$HP$89,$GS$92:$HP$96,$HT$85:$IQ$89,$HT$92:$IQ$96,$HT$99:$IQ$103),MATCH($L$111,$EK$85:$EK$89,0),MATCH($A104,$EL$84:$FI$84,0),MATCH($G$99,$AE$24:$AE$32,0))*$C104</f>
        <v>0</v>
      </c>
      <c r="Z102" s="170">
        <f>INDEX(($EL$85:$FI$89,$EL$93:$FI$97,$FL$85:$GI$89,$FL$93:$GI$97,$GS$85:$HP$89,$GS$92:$HP$96,$HT$85:$IQ$89,$HT$92:$IQ$96,$HT$99:$IQ$103),MATCH($L$112,$EK$85:$EK$89,0),MATCH($A104,$EL$84:$FI$84,0),MATCH($G$99,$AE$24:$AE$32,0))*$C104</f>
        <v>0</v>
      </c>
      <c r="AA102" s="150">
        <f t="shared" si="252"/>
        <v>0</v>
      </c>
      <c r="AB102" s="150">
        <f t="shared" si="253"/>
        <v>0</v>
      </c>
      <c r="AC102" s="150"/>
      <c r="AD102" s="150"/>
      <c r="AE102" s="150"/>
      <c r="AF102" s="150"/>
      <c r="AG102" s="150"/>
      <c r="AH102" s="150"/>
      <c r="AI102" s="150" t="s">
        <v>717</v>
      </c>
      <c r="AJ102" s="150" t="s">
        <v>1157</v>
      </c>
      <c r="AK102" s="150">
        <v>2</v>
      </c>
      <c r="AL102" s="150" t="s">
        <v>1022</v>
      </c>
      <c r="AM102" s="150">
        <v>4</v>
      </c>
      <c r="AN102" s="150">
        <v>5</v>
      </c>
      <c r="AO102" s="150">
        <f t="shared" si="254"/>
        <v>1</v>
      </c>
      <c r="AP102" s="150" t="s">
        <v>112</v>
      </c>
      <c r="AQ102" s="150" t="s">
        <v>590</v>
      </c>
      <c r="AR102" s="150" t="s">
        <v>589</v>
      </c>
      <c r="AS102" s="150" t="s">
        <v>588</v>
      </c>
      <c r="AT102" s="150" t="s">
        <v>588</v>
      </c>
      <c r="AU102" s="150"/>
      <c r="AV102" s="150" t="s">
        <v>112</v>
      </c>
      <c r="AW102" s="150" t="s">
        <v>151</v>
      </c>
      <c r="AX102" s="150" t="s">
        <v>151</v>
      </c>
      <c r="AY102" s="150" t="s">
        <v>151</v>
      </c>
      <c r="AZ102" s="150" t="s">
        <v>151</v>
      </c>
      <c r="BA102" s="150"/>
      <c r="BB102" s="150"/>
      <c r="BC102" s="150"/>
      <c r="BD102" s="150"/>
      <c r="BE102" s="150"/>
      <c r="BF102" s="150"/>
      <c r="BG102" s="150"/>
      <c r="BH102" s="150"/>
      <c r="BI102" s="150"/>
      <c r="BJ102" s="150"/>
      <c r="BK102" s="150"/>
      <c r="BL102" s="150"/>
      <c r="BM102" s="150"/>
      <c r="BN102" s="150"/>
      <c r="BO102" s="150"/>
      <c r="BP102" s="150"/>
      <c r="BQ102" s="150"/>
      <c r="BR102" s="150"/>
      <c r="BS102" s="150"/>
      <c r="BT102" s="150"/>
      <c r="BU102" s="150"/>
      <c r="BV102" s="150"/>
      <c r="BW102" s="150"/>
      <c r="BX102" s="150"/>
      <c r="BY102" s="150"/>
      <c r="BZ102" s="150"/>
      <c r="CA102" s="150"/>
      <c r="CB102" s="150"/>
      <c r="CC102" s="150"/>
      <c r="CD102" s="150"/>
      <c r="CE102" s="150"/>
      <c r="CF102" s="150"/>
      <c r="CG102" s="150"/>
      <c r="CH102" s="150"/>
      <c r="CI102" s="150"/>
      <c r="CJ102" s="150"/>
      <c r="CK102" s="150"/>
      <c r="CL102" s="150"/>
      <c r="CM102" s="150"/>
      <c r="CN102" s="150"/>
      <c r="CO102" s="150"/>
      <c r="CP102" s="150"/>
      <c r="CQ102" s="150"/>
      <c r="CR102" s="150"/>
      <c r="CS102" s="150"/>
      <c r="CT102" s="150"/>
      <c r="CU102" s="150"/>
      <c r="CV102" s="150"/>
      <c r="CW102" s="150"/>
      <c r="CX102" s="150"/>
      <c r="CY102" s="150"/>
      <c r="CZ102" s="150"/>
      <c r="DA102" s="150"/>
      <c r="DB102" s="150"/>
      <c r="DC102" s="150"/>
      <c r="DD102" s="150"/>
      <c r="DE102" s="150"/>
      <c r="DF102" s="150"/>
      <c r="DG102" s="150"/>
      <c r="DH102" s="150"/>
      <c r="DI102" s="150"/>
      <c r="DJ102" s="150"/>
      <c r="DK102" s="150"/>
      <c r="DL102" s="150"/>
      <c r="DM102" s="150"/>
      <c r="DN102" s="150"/>
      <c r="DO102" s="150"/>
      <c r="DP102" s="150"/>
      <c r="DQ102" s="181"/>
      <c r="DR102" s="181">
        <v>42</v>
      </c>
      <c r="DS102" s="181"/>
      <c r="DT102" s="150"/>
      <c r="DU102" s="150"/>
      <c r="DV102" s="150"/>
      <c r="DW102" s="150"/>
      <c r="DX102" s="150"/>
      <c r="DY102" s="150"/>
      <c r="DZ102" s="150"/>
      <c r="EA102" s="150"/>
      <c r="EB102" s="150"/>
      <c r="EC102" s="150"/>
      <c r="ED102" s="150"/>
      <c r="EE102" s="150"/>
      <c r="EF102" s="150"/>
      <c r="EG102" s="150"/>
      <c r="EH102" s="150"/>
      <c r="EI102" s="150"/>
      <c r="EJ102" s="155"/>
      <c r="EK102" s="150"/>
      <c r="EL102" s="150"/>
      <c r="EM102" s="150"/>
      <c r="EN102" s="150"/>
      <c r="EO102" s="150"/>
      <c r="EP102" s="150"/>
      <c r="EQ102" s="150"/>
      <c r="ER102" s="150"/>
      <c r="ES102" s="150"/>
      <c r="ET102" s="150"/>
      <c r="EU102" s="150"/>
      <c r="EV102" s="150"/>
      <c r="EW102" s="150"/>
      <c r="EX102" s="150"/>
      <c r="EY102" s="150"/>
      <c r="EZ102" s="150"/>
      <c r="FA102" s="150"/>
      <c r="FB102" s="150"/>
      <c r="FC102" s="150"/>
      <c r="FD102" s="150"/>
      <c r="FE102" s="150"/>
      <c r="FF102" s="150"/>
      <c r="FG102" s="150"/>
      <c r="FH102" s="150"/>
      <c r="FI102" s="150"/>
      <c r="FJ102" s="150"/>
      <c r="FK102" s="150"/>
      <c r="FL102" s="150"/>
      <c r="FM102" s="150"/>
      <c r="FN102" s="150"/>
      <c r="FO102" s="150"/>
      <c r="FP102" s="150"/>
      <c r="FQ102" s="150"/>
      <c r="FR102" s="150"/>
      <c r="FS102" s="150"/>
      <c r="FT102" s="150"/>
      <c r="FU102" s="150"/>
      <c r="FV102" s="150"/>
      <c r="FW102" s="150"/>
      <c r="FX102" s="150"/>
      <c r="FY102" s="150"/>
      <c r="FZ102" s="150"/>
      <c r="GA102" s="150"/>
      <c r="GB102" s="150"/>
      <c r="GC102" s="150"/>
      <c r="GD102" s="150"/>
      <c r="GE102" s="150"/>
      <c r="GF102" s="150"/>
      <c r="GG102" s="150"/>
      <c r="GH102" s="150"/>
      <c r="GI102" s="150"/>
      <c r="GJ102" s="150"/>
      <c r="GK102" s="150"/>
      <c r="GL102" s="150"/>
      <c r="GM102" s="150"/>
      <c r="GN102" s="150"/>
      <c r="GO102" s="150"/>
      <c r="GP102" s="150"/>
      <c r="GQ102" s="150"/>
      <c r="GR102" s="150"/>
      <c r="GS102" s="150"/>
      <c r="GT102" s="150"/>
      <c r="GU102" s="150"/>
      <c r="GV102" s="150"/>
      <c r="GW102" s="150"/>
      <c r="GX102" s="150"/>
      <c r="GY102" s="150"/>
      <c r="GZ102" s="150"/>
      <c r="HA102" s="150"/>
      <c r="HB102" s="150"/>
      <c r="HC102" s="150"/>
      <c r="HD102" s="150"/>
      <c r="HE102" s="150"/>
      <c r="HF102" s="150"/>
      <c r="HG102" s="150"/>
      <c r="HH102" s="150"/>
      <c r="HS102" s="154" t="s">
        <v>524</v>
      </c>
      <c r="HT102" s="154">
        <v>0</v>
      </c>
      <c r="HU102" s="154">
        <v>0</v>
      </c>
      <c r="HV102" s="154">
        <v>0</v>
      </c>
      <c r="HW102" s="154">
        <v>4</v>
      </c>
      <c r="HX102" s="154">
        <v>4</v>
      </c>
      <c r="HY102" s="154">
        <v>8</v>
      </c>
      <c r="HZ102" s="154">
        <v>8</v>
      </c>
      <c r="IA102" s="154">
        <v>8</v>
      </c>
      <c r="IB102" s="154">
        <v>12</v>
      </c>
      <c r="IC102" s="154">
        <v>12</v>
      </c>
      <c r="ID102" s="154">
        <v>12</v>
      </c>
      <c r="IE102" s="154">
        <v>16</v>
      </c>
      <c r="IF102" s="154">
        <v>16</v>
      </c>
      <c r="IG102" s="154">
        <v>16</v>
      </c>
      <c r="IH102" s="154">
        <v>20</v>
      </c>
      <c r="II102" s="154">
        <v>20</v>
      </c>
      <c r="IJ102" s="154">
        <v>20</v>
      </c>
      <c r="IK102" s="154">
        <v>24</v>
      </c>
      <c r="IL102" s="154">
        <v>24</v>
      </c>
      <c r="IM102" s="154">
        <v>24</v>
      </c>
      <c r="IN102" s="154">
        <v>28</v>
      </c>
      <c r="IO102" s="154">
        <v>28</v>
      </c>
      <c r="IP102" s="154">
        <v>28</v>
      </c>
      <c r="IQ102" s="154">
        <v>32</v>
      </c>
      <c r="IT102" s="157"/>
    </row>
    <row r="103" spans="1:254" x14ac:dyDescent="0.25">
      <c r="A103" s="8"/>
      <c r="B103" s="5" t="s">
        <v>116</v>
      </c>
      <c r="C103" s="8"/>
      <c r="D103" s="6" t="s">
        <v>162</v>
      </c>
      <c r="E103" s="8">
        <v>0</v>
      </c>
      <c r="F103" s="5"/>
      <c r="G103" s="5"/>
      <c r="H103" s="5"/>
      <c r="I103" s="5"/>
      <c r="J103" s="5" t="s">
        <v>163</v>
      </c>
      <c r="K103" s="9"/>
      <c r="L103" s="6" t="str">
        <f>IF(E106=25,"-------",IF(E106=30,(INDEX((AW101:AZ118),MATCH(E99,AV101:AV118,0),MATCH(E101,AW100:AZ100,0))),0))</f>
        <v>-------</v>
      </c>
      <c r="M103" s="11" t="str">
        <f>INDEX(cennik!$C$2:$L$529,MATCH($L103,cennik!$B$2:$B$522,0),MATCH(M$2,cennik!$C$1:$L$1,0))</f>
        <v>-------</v>
      </c>
      <c r="N103" s="11">
        <f>INDEX(cennik!$C$2:$L$529,MATCH($L103,cennik!$B$2:$B$522,0),MATCH(N$2,cennik!$C$1:$L$1,0))</f>
        <v>0</v>
      </c>
      <c r="O103" s="24">
        <f>IF(L103="CWT70H50/2,4NMC",O102,0)</f>
        <v>0</v>
      </c>
      <c r="P103" s="34">
        <f>INDEX(cennik!$C$2:$L$529,MATCH($L103,cennik!$B$2:$B$522,0),MATCH(P$2,cennik!$C$1:$L$1,0))</f>
        <v>0</v>
      </c>
      <c r="Q103" s="34">
        <f t="shared" ref="Q103:Q104" si="267">O103*P103</f>
        <v>0</v>
      </c>
      <c r="R103" s="35">
        <f t="shared" si="263"/>
        <v>0</v>
      </c>
      <c r="S103" s="34">
        <f t="shared" si="264"/>
        <v>0</v>
      </c>
      <c r="T103" s="34">
        <f t="shared" ref="T103:T104" si="268">O103*S103</f>
        <v>0</v>
      </c>
      <c r="U103" s="34">
        <f>INDEX(cennik!$C$2:$L$529,MATCH($L103,cennik!$B$2:$B$522,0),MATCH(U$2,cennik!$C$1:$L$1,0))*O103</f>
        <v>0</v>
      </c>
      <c r="V103" s="62"/>
      <c r="W103" s="170">
        <f>INDEX(($EL$85:$FI$89,$EL$93:$FI$97,$FL$85:$GI$89,$FL$93:$GI$97,$GS$85:$HP$89,$GS$92:$HP$96,$HT$85:$IQ$89,$HT$92:$IQ$96,$HT$99:$IQ$103),MATCH($L$113,$EK$85:$EK$89,0),MATCH($A105,$EL$84:$FI$84,0),MATCH($G$99,$AE$24:$AE$32,0))*$C105</f>
        <v>0</v>
      </c>
      <c r="X103" s="170">
        <f>INDEX(($EL$85:$FI$89,$EL$93:$FI$97,$FL$85:$GI$89,$FL$93:$GI$97,$GS$85:$HP$89,$GS$92:$HP$96,$HT$85:$IQ$89,$HT$92:$IQ$96,$HT$99:$IQ$103),MATCH($L$110,$EK$85:$EK$89,0),MATCH($A105,$EL$84:$FI$84,0),MATCH($G$99,$AE$24:$AE$32,0))*$C105</f>
        <v>0</v>
      </c>
      <c r="Y103" s="170">
        <f>INDEX(($EL$85:$FI$89,$EL$93:$FI$97,$FL$85:$GI$89,$FL$93:$GI$97,$GS$85:$HP$89,$GS$92:$HP$96,$HT$85:$IQ$89,$HT$92:$IQ$96,$HT$99:$IQ$103),MATCH($L$111,$EK$85:$EK$89,0),MATCH($A105,$EL$84:$FI$84,0),MATCH($G$99,$AE$24:$AE$32,0))*$C105</f>
        <v>0</v>
      </c>
      <c r="Z103" s="170">
        <f>INDEX(($EL$85:$FI$89,$EL$93:$FI$97,$FL$85:$GI$89,$FL$93:$GI$97,$GS$85:$HP$89,$GS$92:$HP$96,$HT$85:$IQ$89,$HT$92:$IQ$96,$HT$99:$IQ$103),MATCH($L$112,$EK$85:$EK$89,0),MATCH($A105,$EL$84:$FI$84,0),MATCH($G$99,$AE$24:$AE$32,0))*$C105</f>
        <v>0</v>
      </c>
      <c r="AA103" s="150">
        <f t="shared" si="252"/>
        <v>0</v>
      </c>
      <c r="AB103" s="150">
        <f t="shared" si="253"/>
        <v>0</v>
      </c>
      <c r="AC103" s="150"/>
      <c r="AD103" s="150"/>
      <c r="AE103" s="150"/>
      <c r="AF103" s="150"/>
      <c r="AG103" s="150"/>
      <c r="AH103" s="150"/>
      <c r="AI103" s="150">
        <v>1</v>
      </c>
      <c r="AJ103" s="150">
        <v>2900</v>
      </c>
      <c r="AK103" s="150">
        <v>2900</v>
      </c>
      <c r="AL103" s="150">
        <v>2700</v>
      </c>
      <c r="AM103" s="150">
        <v>2700</v>
      </c>
      <c r="AN103" s="150" t="s">
        <v>719</v>
      </c>
      <c r="AO103" s="150">
        <f t="shared" si="254"/>
        <v>1</v>
      </c>
      <c r="AP103" s="150" t="s">
        <v>132</v>
      </c>
      <c r="AQ103" s="150" t="s">
        <v>590</v>
      </c>
      <c r="AR103" s="150" t="s">
        <v>589</v>
      </c>
      <c r="AS103" s="150" t="s">
        <v>588</v>
      </c>
      <c r="AT103" s="150" t="s">
        <v>588</v>
      </c>
      <c r="AU103" s="150"/>
      <c r="AV103" s="150" t="s">
        <v>132</v>
      </c>
      <c r="AW103" s="150" t="s">
        <v>151</v>
      </c>
      <c r="AX103" s="150" t="s">
        <v>151</v>
      </c>
      <c r="AY103" s="150" t="s">
        <v>151</v>
      </c>
      <c r="AZ103" s="150" t="s">
        <v>151</v>
      </c>
      <c r="BA103" s="150"/>
      <c r="BB103" s="150"/>
      <c r="BC103" s="150"/>
      <c r="BD103" s="150"/>
      <c r="BE103" s="150"/>
      <c r="BF103" s="150"/>
      <c r="BG103" s="150"/>
      <c r="BH103" s="150"/>
      <c r="BI103" s="150"/>
      <c r="BJ103" s="150"/>
      <c r="BK103" s="150"/>
      <c r="BL103" s="150"/>
      <c r="BM103" s="150"/>
      <c r="BN103" s="150"/>
      <c r="BO103" s="150"/>
      <c r="BP103" s="150"/>
      <c r="BQ103" s="150"/>
      <c r="BR103" s="150"/>
      <c r="BS103" s="150"/>
      <c r="BT103" s="150"/>
      <c r="BU103" s="150"/>
      <c r="BV103" s="150"/>
      <c r="BW103" s="150"/>
      <c r="BX103" s="150"/>
      <c r="BY103" s="150"/>
      <c r="BZ103" s="150"/>
      <c r="CA103" s="150"/>
      <c r="CB103" s="150"/>
      <c r="CC103" s="150"/>
      <c r="CD103" s="150"/>
      <c r="CE103" s="150"/>
      <c r="CF103" s="150"/>
      <c r="CG103" s="150"/>
      <c r="CH103" s="150"/>
      <c r="CI103" s="150"/>
      <c r="CJ103" s="150"/>
      <c r="CK103" s="150"/>
      <c r="CL103" s="150"/>
      <c r="CM103" s="150"/>
      <c r="CN103" s="150"/>
      <c r="CO103" s="150"/>
      <c r="CP103" s="150"/>
      <c r="CQ103" s="150"/>
      <c r="CR103" s="150"/>
      <c r="CS103" s="150"/>
      <c r="CT103" s="150"/>
      <c r="CU103" s="150"/>
      <c r="CV103" s="150"/>
      <c r="CW103" s="150"/>
      <c r="CX103" s="150"/>
      <c r="CY103" s="150"/>
      <c r="CZ103" s="150"/>
      <c r="DA103" s="150"/>
      <c r="DB103" s="150"/>
      <c r="DC103" s="150"/>
      <c r="DD103" s="150"/>
      <c r="DE103" s="150"/>
      <c r="DF103" s="150"/>
      <c r="DG103" s="150"/>
      <c r="DH103" s="150"/>
      <c r="DI103" s="150"/>
      <c r="DJ103" s="150"/>
      <c r="DK103" s="150"/>
      <c r="DL103" s="150"/>
      <c r="DM103" s="150"/>
      <c r="DN103" s="150"/>
      <c r="DO103" s="150"/>
      <c r="DP103" s="150"/>
      <c r="DQ103" s="181"/>
      <c r="DR103" s="181">
        <v>44</v>
      </c>
      <c r="DS103" s="181"/>
      <c r="DT103" s="150"/>
      <c r="DU103" s="150"/>
      <c r="DV103" s="150"/>
      <c r="DW103" s="150"/>
      <c r="DX103" s="150"/>
      <c r="DY103" s="150"/>
      <c r="DZ103" s="150"/>
      <c r="EA103" s="150"/>
      <c r="EB103" s="150"/>
      <c r="EC103" s="150"/>
      <c r="ED103" s="150"/>
      <c r="EE103" s="150"/>
      <c r="EF103" s="150"/>
      <c r="EG103" s="150"/>
      <c r="EH103" s="150"/>
      <c r="EI103" s="150"/>
      <c r="EJ103" s="155"/>
      <c r="EK103" s="150"/>
      <c r="EL103" s="150"/>
      <c r="EM103" s="150"/>
      <c r="EN103" s="150"/>
      <c r="EO103" s="150"/>
      <c r="EP103" s="150"/>
      <c r="EQ103" s="150"/>
      <c r="ER103" s="150"/>
      <c r="ES103" s="150"/>
      <c r="ET103" s="150"/>
      <c r="EU103" s="150"/>
      <c r="EV103" s="150"/>
      <c r="EW103" s="150"/>
      <c r="EX103" s="150"/>
      <c r="EY103" s="150"/>
      <c r="EZ103" s="150"/>
      <c r="FA103" s="150"/>
      <c r="FB103" s="150"/>
      <c r="FC103" s="150"/>
      <c r="FD103" s="150"/>
      <c r="FE103" s="150"/>
      <c r="FF103" s="150"/>
      <c r="FG103" s="150"/>
      <c r="FH103" s="150"/>
      <c r="FI103" s="150"/>
      <c r="FJ103" s="150"/>
      <c r="FK103" s="150"/>
      <c r="FL103" s="150"/>
      <c r="FM103" s="150"/>
      <c r="FN103" s="150"/>
      <c r="FO103" s="150"/>
      <c r="FP103" s="150"/>
      <c r="FQ103" s="150"/>
      <c r="FR103" s="150"/>
      <c r="FS103" s="150"/>
      <c r="FT103" s="150"/>
      <c r="FU103" s="150"/>
      <c r="FV103" s="150"/>
      <c r="FW103" s="150"/>
      <c r="FX103" s="150"/>
      <c r="FY103" s="150"/>
      <c r="FZ103" s="150"/>
      <c r="GA103" s="150"/>
      <c r="GB103" s="150"/>
      <c r="GC103" s="150"/>
      <c r="GD103" s="150"/>
      <c r="GE103" s="150"/>
      <c r="GF103" s="150"/>
      <c r="GG103" s="150"/>
      <c r="GH103" s="150"/>
      <c r="GI103" s="150"/>
      <c r="GJ103" s="150"/>
      <c r="GK103" s="150"/>
      <c r="GL103" s="150"/>
      <c r="GM103" s="150"/>
      <c r="GN103" s="150"/>
      <c r="GO103" s="150"/>
      <c r="GP103" s="150"/>
      <c r="GQ103" s="150"/>
      <c r="GR103" s="150"/>
      <c r="GS103" s="150"/>
      <c r="GT103" s="150"/>
      <c r="GU103" s="150"/>
      <c r="GV103" s="150"/>
      <c r="GW103" s="150"/>
      <c r="GX103" s="150"/>
      <c r="GY103" s="150"/>
      <c r="GZ103" s="150"/>
      <c r="HA103" s="150"/>
      <c r="HB103" s="150"/>
      <c r="HC103" s="150"/>
      <c r="HD103" s="150"/>
      <c r="HE103" s="150"/>
      <c r="HF103" s="150"/>
      <c r="HG103" s="150"/>
      <c r="HH103" s="150"/>
      <c r="HS103" s="154" t="s">
        <v>700</v>
      </c>
      <c r="HT103" s="154">
        <v>0</v>
      </c>
      <c r="HU103" s="154">
        <v>0</v>
      </c>
      <c r="HV103" s="154">
        <v>0</v>
      </c>
      <c r="HW103" s="154">
        <v>4</v>
      </c>
      <c r="HX103" s="154">
        <v>4</v>
      </c>
      <c r="HY103" s="154">
        <v>8</v>
      </c>
      <c r="HZ103" s="154">
        <v>8</v>
      </c>
      <c r="IA103" s="154">
        <v>8</v>
      </c>
      <c r="IB103" s="154">
        <v>12</v>
      </c>
      <c r="IC103" s="154">
        <v>12</v>
      </c>
      <c r="ID103" s="154">
        <v>12</v>
      </c>
      <c r="IE103" s="154">
        <v>16</v>
      </c>
      <c r="IF103" s="154">
        <v>16</v>
      </c>
      <c r="IG103" s="154">
        <v>16</v>
      </c>
      <c r="IH103" s="154">
        <v>20</v>
      </c>
      <c r="II103" s="154">
        <v>20</v>
      </c>
      <c r="IJ103" s="154">
        <v>20</v>
      </c>
      <c r="IK103" s="154">
        <v>24</v>
      </c>
      <c r="IL103" s="154">
        <v>24</v>
      </c>
      <c r="IM103" s="154">
        <v>24</v>
      </c>
      <c r="IN103" s="154">
        <v>28</v>
      </c>
      <c r="IO103" s="154">
        <v>28</v>
      </c>
      <c r="IP103" s="154">
        <v>28</v>
      </c>
      <c r="IQ103" s="154">
        <v>32</v>
      </c>
      <c r="IT103" s="157"/>
    </row>
    <row r="104" spans="1:254" x14ac:dyDescent="0.25">
      <c r="A104" s="8"/>
      <c r="B104" s="5" t="s">
        <v>116</v>
      </c>
      <c r="C104" s="8"/>
      <c r="D104" s="6" t="s">
        <v>515</v>
      </c>
      <c r="E104" s="8">
        <v>0</v>
      </c>
      <c r="F104" s="5"/>
      <c r="G104" s="5"/>
      <c r="H104" s="5"/>
      <c r="I104" s="5"/>
      <c r="J104" s="5" t="s">
        <v>412</v>
      </c>
      <c r="K104" s="9"/>
      <c r="L104" s="6" t="str">
        <f>IF(L103="CWT70H50/2,4NMC","LCT70H50NMC","-------")</f>
        <v>-------</v>
      </c>
      <c r="M104" s="11" t="str">
        <f>INDEX(cennik!$C$2:$L$529,MATCH($L104,cennik!$B$2:$B$522,0),MATCH(M$2,cennik!$C$1:$L$1,0))</f>
        <v>-------</v>
      </c>
      <c r="N104" s="11">
        <f>INDEX(cennik!$C$2:$L$529,MATCH($L104,cennik!$B$2:$B$522,0),MATCH(N$2,cennik!$C$1:$L$1,0))</f>
        <v>0</v>
      </c>
      <c r="O104" s="24">
        <f>O103</f>
        <v>0</v>
      </c>
      <c r="P104" s="34">
        <f>INDEX(cennik!$C$2:$L$529,MATCH($L104,cennik!$B$2:$B$522,0),MATCH(P$2,cennik!$C$1:$L$1,0))</f>
        <v>0</v>
      </c>
      <c r="Q104" s="34">
        <f t="shared" si="267"/>
        <v>0</v>
      </c>
      <c r="R104" s="35">
        <f t="shared" si="263"/>
        <v>0</v>
      </c>
      <c r="S104" s="34">
        <f t="shared" si="264"/>
        <v>0</v>
      </c>
      <c r="T104" s="34">
        <f t="shared" si="268"/>
        <v>0</v>
      </c>
      <c r="U104" s="34">
        <f>INDEX(cennik!$C$2:$L$529,MATCH($L104,cennik!$B$2:$B$522,0),MATCH(U$2,cennik!$C$1:$L$1,0))*O104</f>
        <v>0</v>
      </c>
      <c r="V104" s="62"/>
      <c r="W104" s="170">
        <f>INDEX(($EL$85:$FI$89,$EL$93:$FI$97,$FL$85:$GI$89,$FL$93:$GI$97,$GS$85:$HP$89,$GS$92:$HP$96,$HT$85:$IQ$89,$HT$92:$IQ$96,$HT$99:$IQ$103),MATCH($L$113,$EK$85:$EK$89,0),MATCH($A106,$EL$84:$FI$84,0),MATCH($G$99,$AE$24:$AE$32,0))*$C106</f>
        <v>0</v>
      </c>
      <c r="X104" s="170">
        <f>INDEX(($EL$85:$FI$89,$EL$93:$FI$97,$FL$85:$GI$89,$FL$93:$GI$97,$GS$85:$HP$89,$GS$92:$HP$96,$HT$85:$IQ$89,$HT$92:$IQ$96,$HT$99:$IQ$103),MATCH($L$110,$EK$85:$EK$89,0),MATCH($A106,$EL$84:$FI$84,0),MATCH($G$99,$AE$24:$AE$32,0))*$C106</f>
        <v>0</v>
      </c>
      <c r="Y104" s="170">
        <f>INDEX(($EL$85:$FI$89,$EL$93:$FI$97,$FL$85:$GI$89,$FL$93:$GI$97,$GS$85:$HP$89,$GS$92:$HP$96,$HT$85:$IQ$89,$HT$92:$IQ$96,$HT$99:$IQ$103),MATCH($L$111,$EK$85:$EK$89,0),MATCH($A106,$EL$84:$FI$84,0),MATCH($G$99,$AE$24:$AE$32,0))*$C106</f>
        <v>0</v>
      </c>
      <c r="Z104" s="170">
        <f>INDEX(($EL$85:$FI$89,$EL$93:$FI$97,$FL$85:$GI$89,$FL$93:$GI$97,$GS$85:$HP$89,$GS$92:$HP$96,$HT$85:$IQ$89,$HT$92:$IQ$96,$HT$99:$IQ$103),MATCH($L$112,$EK$85:$EK$89,0),MATCH($A106,$EL$84:$FI$84,0),MATCH($G$99,$AE$24:$AE$32,0))*$C106</f>
        <v>0</v>
      </c>
      <c r="AA104" s="150">
        <f t="shared" si="252"/>
        <v>0</v>
      </c>
      <c r="AB104" s="150">
        <f t="shared" si="253"/>
        <v>0</v>
      </c>
      <c r="AC104" s="150"/>
      <c r="AD104" s="150"/>
      <c r="AE104" s="150"/>
      <c r="AF104" s="150"/>
      <c r="AG104" s="150"/>
      <c r="AH104" s="150"/>
      <c r="AI104" s="150">
        <v>2</v>
      </c>
      <c r="AJ104" s="150" t="s">
        <v>719</v>
      </c>
      <c r="AK104" s="150">
        <v>2000</v>
      </c>
      <c r="AL104" s="150">
        <v>2000</v>
      </c>
      <c r="AM104" s="150" t="s">
        <v>719</v>
      </c>
      <c r="AN104" s="150" t="s">
        <v>719</v>
      </c>
      <c r="AO104" s="150">
        <f t="shared" si="254"/>
        <v>1</v>
      </c>
      <c r="AP104" s="150" t="s">
        <v>470</v>
      </c>
      <c r="AQ104" s="150" t="s">
        <v>590</v>
      </c>
      <c r="AR104" s="150" t="s">
        <v>589</v>
      </c>
      <c r="AS104" s="150" t="s">
        <v>588</v>
      </c>
      <c r="AT104" s="150" t="s">
        <v>588</v>
      </c>
      <c r="AU104" s="150"/>
      <c r="AV104" s="150" t="s">
        <v>470</v>
      </c>
      <c r="AW104" s="150" t="s">
        <v>151</v>
      </c>
      <c r="AX104" s="150" t="s">
        <v>151</v>
      </c>
      <c r="AY104" s="150" t="s">
        <v>151</v>
      </c>
      <c r="AZ104" s="150" t="s">
        <v>151</v>
      </c>
      <c r="BA104" s="150"/>
      <c r="BB104" s="150"/>
      <c r="BC104" s="150"/>
      <c r="BD104" s="150"/>
      <c r="BE104" s="150"/>
      <c r="BF104" s="150"/>
      <c r="BG104" s="150"/>
      <c r="BH104" s="150"/>
      <c r="BI104" s="150"/>
      <c r="BJ104" s="150"/>
      <c r="BK104" s="150"/>
      <c r="BL104" s="150"/>
      <c r="BM104" s="150"/>
      <c r="BN104" s="150"/>
      <c r="BO104" s="150"/>
      <c r="BP104" s="150"/>
      <c r="BQ104" s="150"/>
      <c r="BR104" s="150"/>
      <c r="BS104" s="150"/>
      <c r="BT104" s="150"/>
      <c r="BU104" s="150"/>
      <c r="BV104" s="150"/>
      <c r="BW104" s="150"/>
      <c r="BX104" s="150"/>
      <c r="BY104" s="150"/>
      <c r="BZ104" s="150"/>
      <c r="CA104" s="150"/>
      <c r="CB104" s="150"/>
      <c r="CC104" s="150"/>
      <c r="CD104" s="150"/>
      <c r="CE104" s="150"/>
      <c r="CF104" s="150"/>
      <c r="CG104" s="150"/>
      <c r="CH104" s="150"/>
      <c r="CI104" s="150"/>
      <c r="CJ104" s="150"/>
      <c r="CK104" s="150"/>
      <c r="CL104" s="150"/>
      <c r="CM104" s="150"/>
      <c r="CN104" s="150"/>
      <c r="CO104" s="150"/>
      <c r="CP104" s="150"/>
      <c r="CQ104" s="150"/>
      <c r="CR104" s="150"/>
      <c r="CS104" s="150"/>
      <c r="CT104" s="150"/>
      <c r="CU104" s="150"/>
      <c r="CV104" s="150"/>
      <c r="CW104" s="150"/>
      <c r="CX104" s="150"/>
      <c r="CY104" s="150"/>
      <c r="CZ104" s="150"/>
      <c r="DA104" s="150"/>
      <c r="DB104" s="150"/>
      <c r="DC104" s="150"/>
      <c r="DD104" s="150"/>
      <c r="DE104" s="150"/>
      <c r="DF104" s="150"/>
      <c r="DG104" s="150"/>
      <c r="DH104" s="150"/>
      <c r="DI104" s="150"/>
      <c r="DJ104" s="150"/>
      <c r="DK104" s="150"/>
      <c r="DL104" s="150"/>
      <c r="DM104" s="150"/>
      <c r="DN104" s="150"/>
      <c r="DO104" s="150"/>
      <c r="DP104" s="150"/>
      <c r="DQ104" s="181"/>
      <c r="DR104" s="181">
        <v>46</v>
      </c>
      <c r="DS104" s="181"/>
      <c r="DT104" s="150"/>
      <c r="DU104" s="150"/>
      <c r="DV104" s="150"/>
      <c r="DW104" s="150"/>
      <c r="DX104" s="150"/>
      <c r="DY104" s="150"/>
      <c r="DZ104" s="150"/>
      <c r="EA104" s="150"/>
      <c r="EB104" s="150"/>
      <c r="EC104" s="150"/>
      <c r="ED104" s="150"/>
      <c r="EE104" s="150"/>
      <c r="EF104" s="150"/>
      <c r="EG104" s="150"/>
      <c r="EH104" s="150"/>
      <c r="EI104" s="150"/>
      <c r="EJ104" s="155"/>
      <c r="EK104" s="150"/>
      <c r="EL104" s="150"/>
      <c r="EM104" s="150"/>
      <c r="EN104" s="150"/>
      <c r="EO104" s="150"/>
      <c r="EP104" s="150"/>
      <c r="EQ104" s="150"/>
      <c r="ER104" s="150"/>
      <c r="ES104" s="150"/>
      <c r="ET104" s="150"/>
      <c r="EU104" s="150"/>
      <c r="EV104" s="150"/>
      <c r="EW104" s="150"/>
      <c r="EX104" s="150"/>
      <c r="EY104" s="150"/>
      <c r="EZ104" s="150"/>
      <c r="FA104" s="150"/>
      <c r="FB104" s="150"/>
      <c r="FC104" s="150"/>
      <c r="FD104" s="150"/>
      <c r="FE104" s="150"/>
      <c r="FF104" s="150"/>
      <c r="FG104" s="150"/>
      <c r="FH104" s="150"/>
      <c r="FI104" s="150"/>
      <c r="FJ104" s="150"/>
      <c r="FK104" s="150"/>
      <c r="FL104" s="150"/>
      <c r="FM104" s="150"/>
      <c r="FN104" s="150"/>
      <c r="FO104" s="150"/>
      <c r="FP104" s="150"/>
      <c r="FQ104" s="150"/>
      <c r="FR104" s="150"/>
      <c r="FS104" s="150"/>
      <c r="FT104" s="150"/>
      <c r="FU104" s="150"/>
      <c r="FV104" s="150"/>
      <c r="FW104" s="150"/>
      <c r="FX104" s="150"/>
      <c r="FY104" s="150"/>
      <c r="FZ104" s="150"/>
      <c r="GA104" s="150"/>
      <c r="GB104" s="150"/>
      <c r="GC104" s="150"/>
      <c r="GD104" s="150"/>
      <c r="GE104" s="150"/>
      <c r="GF104" s="150"/>
      <c r="GG104" s="150"/>
      <c r="GH104" s="150"/>
      <c r="GI104" s="150"/>
      <c r="GJ104" s="150"/>
      <c r="GK104" s="150"/>
      <c r="GL104" s="150"/>
      <c r="GM104" s="150"/>
      <c r="GN104" s="150"/>
      <c r="GO104" s="150"/>
      <c r="GP104" s="150"/>
      <c r="GQ104" s="150"/>
      <c r="GR104" s="150"/>
      <c r="GS104" s="150"/>
      <c r="GT104" s="150"/>
      <c r="GU104" s="150"/>
      <c r="GV104" s="150"/>
      <c r="GW104" s="150"/>
      <c r="GX104" s="150"/>
      <c r="GY104" s="150"/>
      <c r="GZ104" s="150"/>
      <c r="HA104" s="150"/>
      <c r="HB104" s="150"/>
      <c r="HC104" s="150"/>
      <c r="HD104" s="150"/>
      <c r="HE104" s="150"/>
      <c r="HF104" s="150"/>
      <c r="HG104" s="150"/>
      <c r="HH104" s="150"/>
      <c r="IT104" s="157"/>
    </row>
    <row r="105" spans="1:254" ht="15.75" thickBot="1" x14ac:dyDescent="0.3">
      <c r="A105" s="8"/>
      <c r="B105" s="5" t="s">
        <v>116</v>
      </c>
      <c r="C105" s="8"/>
      <c r="D105" s="6" t="s">
        <v>511</v>
      </c>
      <c r="E105" s="4"/>
      <c r="F105" s="6"/>
      <c r="G105" s="6"/>
      <c r="H105" s="6"/>
      <c r="I105" s="6"/>
      <c r="J105" s="1"/>
      <c r="K105" s="9"/>
      <c r="L105" s="6" t="str">
        <f>IF(E99=AE33,"BDFCH100/2,75NMC",IF(E99=AE34,"BDFCH100/2,75NMC",IF(E99=AE35,"BDFCH100/3,2NMC",IF(E99=AE36,"BDFCH100/3,2NMC",IF(E99=AE37,"BDFCH120/3,6NMC",IF(E99=AE38,"BDFCH120/3,6NMC",IF(E99=AE39,"BDFCH120/3,6NMC",IF(E99=AE40,"BDFCH120/3,6NMC",IF(E99=AE41,"BDFCH120/3,6NMC",IF(E99=AE42,"BDFCH120/3,6NMC",IF(E99=AE43,"BDFCH120/3,6NMC",IF(E99=AE44,"BDFCH120/4,4NMC",IF(E99=AE45,"BDFCH120/4,4NMC",IF(E99=AE46,"BDFCH120/4,4NMC",IF(E99=AE47,"BDFCH120/4,4NMC",IF(E99=AE48,"BDFCH120/4,4NMC",IF(E99=AE49,"BDFCH120/4,4NMC",IF(E99=AE50,"BDFCH120/4,4NMC",IF(E99=AE51,"BDFCH120/4,4NMC",IF(E99=AE51,"BDFCH120/4,4NMC",IF(E99=AE52,"BDFCH120/4,4NMC",0)))))))))))))))))))))</f>
        <v>BDFCH120/4,4NMC</v>
      </c>
      <c r="M105" s="11">
        <f>INDEX(cennik!$C$2:$L$529,MATCH($L105,cennik!$B$2:$B$522,0),MATCH(M$2,cennik!$C$1:$L$1,0))</f>
        <v>863343</v>
      </c>
      <c r="N105" s="11" t="str">
        <f>INDEX(cennik!$C$2:$L$529,MATCH($L105,cennik!$B$2:$B$522,0),MATCH(N$2,cennik!$C$1:$L$1,0))</f>
        <v>szt.</v>
      </c>
      <c r="O105" s="11">
        <f>O101</f>
        <v>0</v>
      </c>
      <c r="P105" s="34">
        <f>INDEX(cennik!$C$2:$L$529,MATCH($L105,cennik!$B$2:$B$522,0),MATCH(P$2,cennik!$C$1:$L$1,0))</f>
        <v>181</v>
      </c>
      <c r="Q105" s="34">
        <f>O105*P105</f>
        <v>0</v>
      </c>
      <c r="R105" s="35">
        <f t="shared" si="263"/>
        <v>0</v>
      </c>
      <c r="S105" s="34">
        <f t="shared" si="264"/>
        <v>181</v>
      </c>
      <c r="T105" s="34">
        <f>O105*S105</f>
        <v>0</v>
      </c>
      <c r="U105" s="34">
        <f>INDEX(cennik!$C$2:$L$529,MATCH($L105,cennik!$B$2:$B$522,0),MATCH(U$2,cennik!$C$1:$L$1,0))*O105</f>
        <v>0</v>
      </c>
      <c r="V105" s="62"/>
      <c r="W105" s="170">
        <f>INDEX(($EL$85:$FI$89,$EL$93:$FI$97,$FL$85:$GI$89,$FL$93:$GI$97,$GS$85:$HP$89,$GS$92:$HP$96,$HT$85:$IQ$89,$HT$92:$IQ$96,$HT$99:$IQ$103),MATCH($L$113,$EK$85:$EK$89,0),MATCH($A107,$EL$84:$FI$84,0),MATCH($G$99,$AE$24:$AE$32,0))*$C107</f>
        <v>0</v>
      </c>
      <c r="X105" s="170">
        <f>INDEX(($EL$85:$FI$89,$EL$93:$FI$97,$FL$85:$GI$89,$FL$93:$GI$97,$GS$85:$HP$89,$GS$92:$HP$96,$HT$85:$IQ$89,$HT$92:$IQ$96,$HT$99:$IQ$103),MATCH($L$110,$EK$85:$EK$89,0),MATCH($A107,$EL$84:$FI$84,0),MATCH($G$99,$AE$24:$AE$32,0))*$C107</f>
        <v>0</v>
      </c>
      <c r="Y105" s="170">
        <f>INDEX(($EL$85:$FI$89,$EL$93:$FI$97,$FL$85:$GI$89,$FL$93:$GI$97,$GS$85:$HP$89,$GS$92:$HP$96,$HT$85:$IQ$89,$HT$92:$IQ$96,$HT$99:$IQ$103),MATCH($L$111,$EK$85:$EK$89,0),MATCH($A107,$EL$84:$FI$84,0),MATCH($G$99,$AE$24:$AE$32,0))*$C107</f>
        <v>0</v>
      </c>
      <c r="Z105" s="170">
        <f>INDEX(($EL$85:$FI$89,$EL$93:$FI$97,$FL$85:$GI$89,$FL$93:$GI$97,$GS$85:$HP$89,$GS$92:$HP$96,$HT$85:$IQ$89,$HT$92:$IQ$96,$HT$99:$IQ$103),MATCH($L$112,$EK$85:$EK$89,0),MATCH($A107,$EL$84:$FI$84,0),MATCH($G$99,$AE$24:$AE$32,0))*$C107</f>
        <v>0</v>
      </c>
      <c r="AA105" s="150">
        <f t="shared" si="252"/>
        <v>0</v>
      </c>
      <c r="AB105" s="150">
        <f t="shared" si="253"/>
        <v>0</v>
      </c>
      <c r="AC105" s="150"/>
      <c r="AD105" s="150"/>
      <c r="AE105" s="150"/>
      <c r="AF105" s="150"/>
      <c r="AG105" s="150"/>
      <c r="AH105" s="150"/>
      <c r="AI105" s="150" t="s">
        <v>725</v>
      </c>
      <c r="AJ105" s="150">
        <v>2700</v>
      </c>
      <c r="AK105" s="150" t="s">
        <v>719</v>
      </c>
      <c r="AL105" s="150">
        <v>2000</v>
      </c>
      <c r="AM105" s="150" t="s">
        <v>719</v>
      </c>
      <c r="AN105" s="150">
        <v>1000</v>
      </c>
      <c r="AO105" s="150">
        <f t="shared" si="254"/>
        <v>1</v>
      </c>
      <c r="AP105" s="150" t="s">
        <v>472</v>
      </c>
      <c r="AQ105" s="150" t="s">
        <v>596</v>
      </c>
      <c r="AR105" s="150" t="s">
        <v>595</v>
      </c>
      <c r="AS105" s="150" t="s">
        <v>593</v>
      </c>
      <c r="AT105" s="150" t="s">
        <v>593</v>
      </c>
      <c r="AU105" s="150"/>
      <c r="AV105" s="150" t="s">
        <v>472</v>
      </c>
      <c r="AW105" s="150" t="s">
        <v>151</v>
      </c>
      <c r="AX105" s="150" t="s">
        <v>151</v>
      </c>
      <c r="AY105" s="150" t="s">
        <v>151</v>
      </c>
      <c r="AZ105" s="150" t="s">
        <v>151</v>
      </c>
      <c r="BA105" s="150"/>
      <c r="BB105" s="150"/>
      <c r="BC105" s="150"/>
      <c r="BD105" s="150"/>
      <c r="BE105" s="150"/>
      <c r="BF105" s="150"/>
      <c r="BG105" s="150"/>
      <c r="BH105" s="150"/>
      <c r="BI105" s="150"/>
      <c r="BJ105" s="150"/>
      <c r="BK105" s="150"/>
      <c r="BL105" s="150"/>
      <c r="BM105" s="150"/>
      <c r="BN105" s="150"/>
      <c r="BO105" s="150"/>
      <c r="BP105" s="150"/>
      <c r="BQ105" s="150"/>
      <c r="BR105" s="150"/>
      <c r="BS105" s="150"/>
      <c r="BT105" s="150"/>
      <c r="BU105" s="150"/>
      <c r="BV105" s="150"/>
      <c r="BW105" s="150"/>
      <c r="BX105" s="150"/>
      <c r="BY105" s="150"/>
      <c r="BZ105" s="150"/>
      <c r="CA105" s="150"/>
      <c r="CB105" s="150"/>
      <c r="CC105" s="150"/>
      <c r="CD105" s="150"/>
      <c r="CE105" s="150"/>
      <c r="CF105" s="150"/>
      <c r="CG105" s="150"/>
      <c r="CH105" s="150"/>
      <c r="CI105" s="150"/>
      <c r="CJ105" s="150"/>
      <c r="CK105" s="150"/>
      <c r="CL105" s="150"/>
      <c r="CM105" s="150"/>
      <c r="CN105" s="150"/>
      <c r="CO105" s="150"/>
      <c r="CP105" s="150"/>
      <c r="CQ105" s="150"/>
      <c r="CR105" s="150"/>
      <c r="CS105" s="150"/>
      <c r="CT105" s="150"/>
      <c r="CU105" s="150"/>
      <c r="CV105" s="150"/>
      <c r="CW105" s="150"/>
      <c r="CX105" s="150"/>
      <c r="CY105" s="150"/>
      <c r="CZ105" s="150"/>
      <c r="DA105" s="150"/>
      <c r="DB105" s="150"/>
      <c r="DC105" s="150"/>
      <c r="DD105" s="150"/>
      <c r="DE105" s="150"/>
      <c r="DF105" s="150"/>
      <c r="DG105" s="150"/>
      <c r="DH105" s="150"/>
      <c r="DI105" s="150"/>
      <c r="DJ105" s="150"/>
      <c r="DK105" s="150"/>
      <c r="DL105" s="150"/>
      <c r="DM105" s="150"/>
      <c r="DN105" s="150"/>
      <c r="DO105" s="150"/>
      <c r="DP105" s="150"/>
      <c r="DQ105" s="181"/>
      <c r="DR105" s="181">
        <v>48</v>
      </c>
      <c r="DS105" s="181"/>
      <c r="DT105" s="150"/>
      <c r="DU105" s="150"/>
      <c r="DV105" s="150"/>
      <c r="DW105" s="150"/>
      <c r="DX105" s="150"/>
      <c r="DY105" s="150"/>
      <c r="DZ105" s="150"/>
      <c r="EA105" s="150"/>
      <c r="EB105" s="150"/>
      <c r="EC105" s="150"/>
      <c r="ED105" s="150"/>
      <c r="EE105" s="150"/>
      <c r="EF105" s="150"/>
      <c r="EG105" s="150"/>
      <c r="EH105" s="150"/>
      <c r="EI105" s="150"/>
      <c r="EJ105" s="159"/>
      <c r="EK105" s="160"/>
      <c r="EL105" s="160"/>
      <c r="EM105" s="160"/>
      <c r="EN105" s="160"/>
      <c r="EO105" s="160"/>
      <c r="EP105" s="160"/>
      <c r="EQ105" s="160"/>
      <c r="ER105" s="160"/>
      <c r="ES105" s="160"/>
      <c r="ET105" s="160"/>
      <c r="EU105" s="160"/>
      <c r="EV105" s="160"/>
      <c r="EW105" s="160"/>
      <c r="EX105" s="160"/>
      <c r="EY105" s="160"/>
      <c r="EZ105" s="160"/>
      <c r="FA105" s="160"/>
      <c r="FB105" s="160"/>
      <c r="FC105" s="160"/>
      <c r="FD105" s="160"/>
      <c r="FE105" s="160"/>
      <c r="FF105" s="160"/>
      <c r="FG105" s="160"/>
      <c r="FH105" s="160"/>
      <c r="FI105" s="160"/>
      <c r="FJ105" s="160"/>
      <c r="FK105" s="160"/>
      <c r="FL105" s="160"/>
      <c r="FM105" s="160"/>
      <c r="FN105" s="160"/>
      <c r="FO105" s="160"/>
      <c r="FP105" s="160"/>
      <c r="FQ105" s="160"/>
      <c r="FR105" s="160"/>
      <c r="FS105" s="160"/>
      <c r="FT105" s="160"/>
      <c r="FU105" s="160"/>
      <c r="FV105" s="160"/>
      <c r="FW105" s="160"/>
      <c r="FX105" s="160"/>
      <c r="FY105" s="160"/>
      <c r="FZ105" s="160"/>
      <c r="GA105" s="160"/>
      <c r="GB105" s="160"/>
      <c r="GC105" s="160"/>
      <c r="GD105" s="160"/>
      <c r="GE105" s="160"/>
      <c r="GF105" s="160"/>
      <c r="GG105" s="160"/>
      <c r="GH105" s="160"/>
      <c r="GI105" s="160"/>
      <c r="GJ105" s="160"/>
      <c r="GK105" s="160"/>
      <c r="GL105" s="160"/>
      <c r="GM105" s="160"/>
      <c r="GN105" s="160"/>
      <c r="GO105" s="160"/>
      <c r="GP105" s="160"/>
      <c r="GQ105" s="160"/>
      <c r="GR105" s="160"/>
      <c r="GS105" s="160"/>
      <c r="GT105" s="160"/>
      <c r="GU105" s="160"/>
      <c r="GV105" s="160"/>
      <c r="GW105" s="160"/>
      <c r="GX105" s="160"/>
      <c r="GY105" s="160"/>
      <c r="GZ105" s="160"/>
      <c r="HA105" s="160"/>
      <c r="HB105" s="160"/>
      <c r="HC105" s="160"/>
      <c r="HD105" s="160"/>
      <c r="HE105" s="160"/>
      <c r="HF105" s="160"/>
      <c r="HG105" s="160"/>
      <c r="HH105" s="160"/>
      <c r="HI105" s="164"/>
      <c r="HJ105" s="164"/>
      <c r="HK105" s="164"/>
      <c r="HL105" s="164"/>
      <c r="HM105" s="164"/>
      <c r="HN105" s="164"/>
      <c r="HO105" s="164"/>
      <c r="HP105" s="164"/>
      <c r="HQ105" s="164"/>
      <c r="HR105" s="164"/>
      <c r="HS105" s="164"/>
      <c r="HT105" s="164"/>
      <c r="HU105" s="164"/>
      <c r="HV105" s="164"/>
      <c r="HW105" s="164"/>
      <c r="HX105" s="164"/>
      <c r="HY105" s="164"/>
      <c r="HZ105" s="164"/>
      <c r="IA105" s="164"/>
      <c r="IB105" s="164"/>
      <c r="IC105" s="164"/>
      <c r="ID105" s="164"/>
      <c r="IE105" s="164"/>
      <c r="IF105" s="164"/>
      <c r="IG105" s="164"/>
      <c r="IH105" s="164"/>
      <c r="II105" s="164"/>
      <c r="IJ105" s="164"/>
      <c r="IK105" s="164"/>
      <c r="IL105" s="164"/>
      <c r="IM105" s="164"/>
      <c r="IN105" s="164"/>
      <c r="IO105" s="164"/>
      <c r="IP105" s="164"/>
      <c r="IQ105" s="164"/>
      <c r="IR105" s="164"/>
      <c r="IS105" s="164"/>
      <c r="IT105" s="165"/>
    </row>
    <row r="106" spans="1:254" x14ac:dyDescent="0.25">
      <c r="A106" s="8"/>
      <c r="B106" s="5" t="s">
        <v>116</v>
      </c>
      <c r="C106" s="8"/>
      <c r="D106" s="6" t="s">
        <v>310</v>
      </c>
      <c r="E106" s="8">
        <v>30</v>
      </c>
      <c r="F106" s="9"/>
      <c r="G106" s="9"/>
      <c r="H106" s="9"/>
      <c r="I106" s="9"/>
      <c r="J106" s="9"/>
      <c r="K106" s="9"/>
      <c r="L106" s="6" t="str">
        <f>IF(E99=AE33,"CMP41H41/1MC",IF(E99=AE34,"CMP41H41/1MC",IF(E99=AE35,"CMP41H41/1MC",IF(E99=AE36,"CMP41H41/1MC",IF(E99=AE37,"CMP41H41/1,5MC",IF(E99=AE38,"CMP41H41/1,5MC",IF(E99=AE39,"CMP41H41/1,5MC",IF(E99=AE40,"CMP41H41/1,5MC",IF(E99=AE41,"CMP41H41/1,5MC",IF(E99=AE42,"CMP41H41/1,5MC",IF(E99=AE43,"CMP41H41/1,5MC",IF(E99=AE44,"CMP41H41/1,5MC",IF(E99=AE45,"CMP41H41/1,5MC",IF(E99=AE46,"CMP41H41/1,5MC",IF(E99=AE47,"CMP41H41/1,7MC",IF(E99=AE48,"CMP41H41/1,7MC",IF(E99=AE49,"CMP41H41/1,7MC",IF(E99=AE50,"CMP41H41/1,7MC",IF(E99=AE51,"CMP41H41/1,7MC",IF(E99=AE51,"CMP41H41/1,7MC",IF(E99=AE52,"CMP41H41/1,7MC",0)))))))))))))))))))))</f>
        <v>CMP41H41/1,5MC</v>
      </c>
      <c r="M106" s="11">
        <f>INDEX(cennik!$C$2:$L$529,MATCH($L106,cennik!$B$2:$B$522,0),MATCH(M$2,cennik!$C$1:$L$1,0))</f>
        <v>856215</v>
      </c>
      <c r="N106" s="11" t="str">
        <f>INDEX(cennik!$C$2:$L$529,MATCH($L106,cennik!$B$2:$B$522,0),MATCH(N$2,cennik!$C$1:$L$1,0))</f>
        <v>szt.</v>
      </c>
      <c r="O106" s="11">
        <f>O101</f>
        <v>0</v>
      </c>
      <c r="P106" s="34">
        <f>INDEX(cennik!$C$2:$L$529,MATCH($L106,cennik!$B$2:$B$522,0),MATCH(P$2,cennik!$C$1:$L$1,0))</f>
        <v>31.5</v>
      </c>
      <c r="Q106" s="34">
        <f>O106*P106</f>
        <v>0</v>
      </c>
      <c r="R106" s="35">
        <f t="shared" si="263"/>
        <v>0</v>
      </c>
      <c r="S106" s="34">
        <f t="shared" si="264"/>
        <v>31.5</v>
      </c>
      <c r="T106" s="34">
        <f>O106*S106</f>
        <v>0</v>
      </c>
      <c r="U106" s="34">
        <f>INDEX(cennik!$C$2:$L$529,MATCH($L106,cennik!$B$2:$B$522,0),MATCH(U$2,cennik!$C$1:$L$1,0))*O106</f>
        <v>0</v>
      </c>
      <c r="V106" s="62"/>
      <c r="W106" s="170">
        <f>INDEX(($EL$85:$FI$89,$EL$93:$FI$97,$FL$85:$GI$89,$FL$93:$GI$97,$GS$85:$HP$89,$GS$92:$HP$96,$HT$85:$IQ$89,$HT$92:$IQ$96,$HT$99:$IQ$103),MATCH($L$113,$EK$85:$EK$89,0),MATCH($A108,$EL$84:$FI$84,0),MATCH($G$99,$AE$24:$AE$32,0))*$C108</f>
        <v>0</v>
      </c>
      <c r="X106" s="170">
        <f>INDEX(($EL$85:$FI$89,$EL$93:$FI$97,$FL$85:$GI$89,$FL$93:$GI$97,$GS$85:$HP$89,$GS$92:$HP$96,$HT$85:$IQ$89,$HT$92:$IQ$96,$HT$99:$IQ$103),MATCH($L$110,$EK$85:$EK$89,0),MATCH($A108,$EL$84:$FI$84,0),MATCH($G$99,$AE$24:$AE$32,0))*$C108</f>
        <v>0</v>
      </c>
      <c r="Y106" s="170">
        <f>INDEX(($EL$85:$FI$89,$EL$93:$FI$97,$FL$85:$GI$89,$FL$93:$GI$97,$GS$85:$HP$89,$GS$92:$HP$96,$HT$85:$IQ$89,$HT$92:$IQ$96,$HT$99:$IQ$103),MATCH($L$111,$EK$85:$EK$89,0),MATCH($A108,$EL$84:$FI$84,0),MATCH($G$99,$AE$24:$AE$32,0))*$C108</f>
        <v>0</v>
      </c>
      <c r="Z106" s="170">
        <f>INDEX(($EL$85:$FI$89,$EL$93:$FI$97,$FL$85:$GI$89,$FL$93:$GI$97,$GS$85:$HP$89,$GS$92:$HP$96,$HT$85:$IQ$89,$HT$92:$IQ$96,$HT$99:$IQ$103),MATCH($L$112,$EK$85:$EK$89,0),MATCH($A108,$EL$84:$FI$84,0),MATCH($G$99,$AE$24:$AE$32,0))*$C108</f>
        <v>0</v>
      </c>
      <c r="AA106" s="150">
        <f t="shared" si="252"/>
        <v>0</v>
      </c>
      <c r="AB106" s="150">
        <f t="shared" si="253"/>
        <v>0</v>
      </c>
      <c r="AC106" s="150"/>
      <c r="AD106" s="150"/>
      <c r="AE106" s="150"/>
      <c r="AF106" s="150"/>
      <c r="AG106" s="150"/>
      <c r="AH106" s="150"/>
      <c r="AI106" s="150"/>
      <c r="AJ106" s="150"/>
      <c r="AK106" s="150"/>
      <c r="AL106" s="150"/>
      <c r="AM106" s="150"/>
      <c r="AN106" s="150"/>
      <c r="AO106" s="150">
        <f t="shared" si="254"/>
        <v>1</v>
      </c>
      <c r="AP106" s="150" t="s">
        <v>471</v>
      </c>
      <c r="AQ106" s="150" t="s">
        <v>596</v>
      </c>
      <c r="AR106" s="150" t="s">
        <v>595</v>
      </c>
      <c r="AS106" s="150" t="s">
        <v>593</v>
      </c>
      <c r="AT106" s="150" t="s">
        <v>593</v>
      </c>
      <c r="AU106" s="150"/>
      <c r="AV106" s="150" t="s">
        <v>471</v>
      </c>
      <c r="AW106" s="150" t="s">
        <v>151</v>
      </c>
      <c r="AX106" s="150" t="s">
        <v>151</v>
      </c>
      <c r="AY106" s="150" t="s">
        <v>151</v>
      </c>
      <c r="AZ106" s="150" t="s">
        <v>151</v>
      </c>
      <c r="BA106" s="150"/>
      <c r="BB106" s="150"/>
      <c r="BC106" s="150"/>
      <c r="BD106" s="150"/>
      <c r="BE106" s="150"/>
      <c r="BF106" s="150"/>
      <c r="BG106" s="150"/>
      <c r="BH106" s="150"/>
      <c r="BI106" s="150"/>
      <c r="BJ106" s="150"/>
      <c r="BK106" s="150"/>
      <c r="BL106" s="150"/>
      <c r="BM106" s="150"/>
      <c r="BN106" s="150"/>
      <c r="BO106" s="150"/>
      <c r="BP106" s="150"/>
      <c r="BQ106" s="150"/>
      <c r="BR106" s="150"/>
      <c r="BS106" s="150"/>
      <c r="BT106" s="150"/>
      <c r="BU106" s="150"/>
      <c r="BV106" s="150"/>
      <c r="BW106" s="150"/>
      <c r="BX106" s="150"/>
      <c r="BY106" s="150"/>
      <c r="BZ106" s="150"/>
      <c r="CA106" s="150"/>
      <c r="CB106" s="150"/>
      <c r="CC106" s="150"/>
      <c r="CD106" s="150"/>
      <c r="CE106" s="150"/>
      <c r="CF106" s="150"/>
      <c r="CG106" s="150"/>
      <c r="CH106" s="150"/>
      <c r="CI106" s="150"/>
      <c r="CJ106" s="150"/>
      <c r="CK106" s="150"/>
      <c r="CL106" s="150"/>
      <c r="CM106" s="150"/>
      <c r="CN106" s="150"/>
      <c r="CO106" s="150"/>
      <c r="CP106" s="150"/>
      <c r="CQ106" s="150"/>
      <c r="CR106" s="150"/>
      <c r="CS106" s="150"/>
      <c r="CT106" s="150"/>
      <c r="CU106" s="150"/>
      <c r="CV106" s="150"/>
      <c r="CW106" s="150"/>
      <c r="CX106" s="150"/>
      <c r="CY106" s="150"/>
      <c r="CZ106" s="150"/>
      <c r="DA106" s="150"/>
      <c r="DB106" s="150"/>
      <c r="DC106" s="150"/>
      <c r="DD106" s="150"/>
      <c r="DE106" s="150"/>
      <c r="DF106" s="150"/>
      <c r="DG106" s="150"/>
      <c r="DH106" s="150"/>
      <c r="DI106" s="150"/>
      <c r="DJ106" s="150"/>
      <c r="DK106" s="150"/>
      <c r="DL106" s="150"/>
      <c r="DM106" s="150"/>
      <c r="DN106" s="150"/>
      <c r="DO106" s="150"/>
      <c r="DP106" s="150"/>
      <c r="DQ106" s="181"/>
      <c r="DR106" s="181">
        <v>50</v>
      </c>
      <c r="DS106" s="181"/>
      <c r="DT106" s="150"/>
      <c r="DU106" s="150"/>
      <c r="DV106" s="150"/>
      <c r="DW106" s="150"/>
      <c r="DX106" s="150"/>
      <c r="DY106" s="150"/>
      <c r="DZ106" s="150"/>
      <c r="EA106" s="150"/>
      <c r="EB106" s="150"/>
      <c r="EC106" s="150"/>
      <c r="ED106" s="150"/>
      <c r="EE106" s="150"/>
      <c r="EF106" s="150"/>
      <c r="EG106" s="150"/>
      <c r="EH106" s="150"/>
      <c r="EI106" s="150"/>
      <c r="EJ106" s="150"/>
      <c r="EK106" s="150"/>
      <c r="EL106" s="150"/>
      <c r="EM106" s="150"/>
      <c r="EN106" s="150"/>
      <c r="EO106" s="150"/>
      <c r="EP106" s="150"/>
      <c r="EQ106" s="150"/>
      <c r="ER106" s="150"/>
      <c r="ES106" s="150"/>
      <c r="ET106" s="150"/>
      <c r="EU106" s="150"/>
      <c r="EV106" s="150"/>
      <c r="EW106" s="150"/>
      <c r="EX106" s="150"/>
      <c r="EY106" s="150"/>
      <c r="EZ106" s="150"/>
      <c r="FA106" s="150"/>
      <c r="FB106" s="150"/>
      <c r="FC106" s="150"/>
      <c r="FD106" s="150"/>
      <c r="FE106" s="150"/>
      <c r="FF106" s="150"/>
      <c r="FG106" s="150"/>
      <c r="FH106" s="150"/>
      <c r="FI106" s="150"/>
      <c r="FJ106" s="150"/>
      <c r="FK106" s="150"/>
      <c r="FL106" s="150"/>
      <c r="FM106" s="150"/>
      <c r="FN106" s="150"/>
      <c r="FO106" s="150"/>
      <c r="FP106" s="150"/>
      <c r="FQ106" s="150"/>
      <c r="FR106" s="150"/>
      <c r="FS106" s="150"/>
      <c r="FT106" s="150"/>
      <c r="FU106" s="150"/>
      <c r="FV106" s="150"/>
      <c r="FW106" s="150"/>
      <c r="FX106" s="150"/>
      <c r="FY106" s="150"/>
      <c r="FZ106" s="150"/>
      <c r="GA106" s="150"/>
      <c r="GB106" s="150"/>
      <c r="GC106" s="150"/>
      <c r="GD106" s="150"/>
      <c r="GE106" s="150"/>
      <c r="GF106" s="150"/>
      <c r="GG106" s="150"/>
      <c r="GH106" s="150"/>
      <c r="GI106" s="150"/>
      <c r="GJ106" s="150"/>
      <c r="GK106" s="150"/>
      <c r="GL106" s="150"/>
      <c r="GM106" s="150"/>
      <c r="GN106" s="150"/>
      <c r="GO106" s="150"/>
      <c r="GP106" s="150"/>
      <c r="GQ106" s="150"/>
      <c r="GR106" s="150"/>
      <c r="GS106" s="150"/>
      <c r="GT106" s="150"/>
      <c r="GU106" s="150"/>
      <c r="GV106" s="150"/>
      <c r="GW106" s="150"/>
      <c r="GX106" s="150"/>
      <c r="GY106" s="150"/>
      <c r="GZ106" s="150"/>
      <c r="HA106" s="150"/>
      <c r="HB106" s="150"/>
      <c r="HC106" s="150"/>
      <c r="HD106" s="150"/>
      <c r="HE106" s="150"/>
      <c r="HF106" s="150"/>
      <c r="HG106" s="150"/>
      <c r="HH106" s="150"/>
    </row>
    <row r="107" spans="1:254" x14ac:dyDescent="0.25">
      <c r="A107" s="8"/>
      <c r="B107" s="5" t="s">
        <v>116</v>
      </c>
      <c r="C107" s="8"/>
      <c r="D107" s="6" t="s">
        <v>787</v>
      </c>
      <c r="E107" s="8">
        <v>1</v>
      </c>
      <c r="F107" s="39" t="s">
        <v>789</v>
      </c>
      <c r="G107" s="9"/>
      <c r="H107" s="9"/>
      <c r="I107" s="9"/>
      <c r="J107" s="9"/>
      <c r="K107" s="9"/>
      <c r="L107" s="6" t="str">
        <f>IF(L105="BDFCH100/2,75NMC","-------",IF(L105="BDFCH100/3,2NMC","-------",IF(L105="BDFCH120/3,6NMC","-------",IF(L105="BDFCH120/4,4NMC","CMP41H41/1,2MC","-------"))))</f>
        <v>CMP41H41/1,2MC</v>
      </c>
      <c r="M107" s="11">
        <f>INDEX(cennik!$C$2:$L$529,MATCH($L107,cennik!$B$2:$B$522,0),MATCH(M$2,cennik!$C$1:$L$1,0))</f>
        <v>856211</v>
      </c>
      <c r="N107" s="11" t="str">
        <f>INDEX(cennik!$C$2:$L$529,MATCH($L107,cennik!$B$2:$B$522,0),MATCH(N$2,cennik!$C$1:$L$1,0))</f>
        <v>szt.</v>
      </c>
      <c r="O107" s="24">
        <f>IF(L107="CMP41H41/1,2MC",O106,0)</f>
        <v>0</v>
      </c>
      <c r="P107" s="34">
        <f>INDEX(cennik!$C$2:$L$529,MATCH($L107,cennik!$B$2:$B$522,0),MATCH(P$2,cennik!$C$1:$L$1,0))</f>
        <v>25.2</v>
      </c>
      <c r="Q107" s="34">
        <f t="shared" ref="Q107" si="269">O107*P107</f>
        <v>0</v>
      </c>
      <c r="R107" s="35">
        <f t="shared" si="263"/>
        <v>0</v>
      </c>
      <c r="S107" s="34">
        <f t="shared" si="264"/>
        <v>25.2</v>
      </c>
      <c r="T107" s="34">
        <f t="shared" ref="T107" si="270">O107*S107</f>
        <v>0</v>
      </c>
      <c r="U107" s="34">
        <f>INDEX(cennik!$C$2:$L$529,MATCH($L107,cennik!$B$2:$B$522,0),MATCH(U$2,cennik!$C$1:$L$1,0))*O107</f>
        <v>0</v>
      </c>
      <c r="V107" s="62"/>
      <c r="W107" s="170">
        <f>INDEX(($EL$85:$FI$89,$EL$93:$FI$97,$FL$85:$GI$89,$FL$93:$GI$97,$GS$85:$HP$89,$GS$92:$HP$96,$HT$85:$IQ$89,$HT$92:$IQ$96,$HT$99:$IQ$103),MATCH($L$113,$EK$85:$EK$89,0),MATCH($A109,$EL$84:$FI$84,0),MATCH($G$99,$AE$24:$AE$32,0))*$C109</f>
        <v>0</v>
      </c>
      <c r="X107" s="170">
        <f>INDEX(($EL$85:$FI$89,$EL$93:$FI$97,$FL$85:$GI$89,$FL$93:$GI$97,$GS$85:$HP$89,$GS$92:$HP$96,$HT$85:$IQ$89,$HT$92:$IQ$96,$HT$99:$IQ$103),MATCH($L$110,$EK$85:$EK$89,0),MATCH($A109,$EL$84:$FI$84,0),MATCH($G$99,$AE$24:$AE$32,0))*$C109</f>
        <v>0</v>
      </c>
      <c r="Y107" s="170">
        <f>INDEX(($EL$85:$FI$89,$EL$93:$FI$97,$FL$85:$GI$89,$FL$93:$GI$97,$GS$85:$HP$89,$GS$92:$HP$96,$HT$85:$IQ$89,$HT$92:$IQ$96,$HT$99:$IQ$103),MATCH($L$111,$EK$85:$EK$89,0),MATCH($A109,$EL$84:$FI$84,0),MATCH($G$99,$AE$24:$AE$32,0))*$C109</f>
        <v>0</v>
      </c>
      <c r="Z107" s="170">
        <f>INDEX(($EL$85:$FI$89,$EL$93:$FI$97,$FL$85:$GI$89,$FL$93:$GI$97,$GS$85:$HP$89,$GS$92:$HP$96,$HT$85:$IQ$89,$HT$92:$IQ$96,$HT$99:$IQ$103),MATCH($L$112,$EK$85:$EK$89,0),MATCH($A109,$EL$84:$FI$84,0),MATCH($G$99,$AE$24:$AE$32,0))*$C109</f>
        <v>0</v>
      </c>
      <c r="AA107" s="150">
        <f t="shared" si="252"/>
        <v>0</v>
      </c>
      <c r="AB107" s="150">
        <f t="shared" si="253"/>
        <v>0</v>
      </c>
      <c r="AC107" s="150"/>
      <c r="AD107" s="150"/>
      <c r="AE107" s="150"/>
      <c r="AF107" s="150"/>
      <c r="AG107" s="150"/>
      <c r="AH107" s="150"/>
      <c r="AI107" s="150"/>
      <c r="AJ107" s="150"/>
      <c r="AK107" s="150"/>
      <c r="AL107" s="150"/>
      <c r="AM107" s="150"/>
      <c r="AN107" s="150"/>
      <c r="AO107" s="150">
        <f t="shared" si="254"/>
        <v>1</v>
      </c>
      <c r="AP107" s="150" t="s">
        <v>473</v>
      </c>
      <c r="AQ107" s="150" t="s">
        <v>596</v>
      </c>
      <c r="AR107" s="150" t="s">
        <v>595</v>
      </c>
      <c r="AS107" s="150" t="s">
        <v>593</v>
      </c>
      <c r="AT107" s="150" t="s">
        <v>593</v>
      </c>
      <c r="AU107" s="150"/>
      <c r="AV107" s="150" t="s">
        <v>473</v>
      </c>
      <c r="AW107" s="150" t="s">
        <v>151</v>
      </c>
      <c r="AX107" s="150" t="s">
        <v>151</v>
      </c>
      <c r="AY107" s="150" t="s">
        <v>151</v>
      </c>
      <c r="AZ107" s="150" t="s">
        <v>151</v>
      </c>
      <c r="BA107" s="150"/>
      <c r="BB107" s="150"/>
      <c r="BC107" s="150"/>
      <c r="BD107" s="150"/>
      <c r="BE107" s="150"/>
      <c r="BF107" s="150"/>
      <c r="BG107" s="150"/>
      <c r="BH107" s="150"/>
      <c r="BI107" s="150"/>
      <c r="BJ107" s="150"/>
      <c r="BK107" s="150"/>
      <c r="BL107" s="150"/>
      <c r="BM107" s="150"/>
      <c r="BN107" s="150"/>
      <c r="BO107" s="150"/>
      <c r="BP107" s="150"/>
      <c r="BQ107" s="150"/>
      <c r="BR107" s="150"/>
      <c r="BS107" s="150"/>
      <c r="BT107" s="150"/>
      <c r="BU107" s="150"/>
      <c r="BV107" s="150"/>
      <c r="BW107" s="150"/>
      <c r="BX107" s="150"/>
      <c r="BY107" s="150"/>
      <c r="BZ107" s="150"/>
      <c r="CA107" s="150"/>
      <c r="CB107" s="150"/>
      <c r="CC107" s="150"/>
      <c r="CD107" s="150"/>
      <c r="CE107" s="150"/>
      <c r="CF107" s="150"/>
      <c r="CG107" s="150"/>
      <c r="CH107" s="150"/>
      <c r="CI107" s="150"/>
      <c r="CJ107" s="150"/>
      <c r="CK107" s="150"/>
      <c r="CL107" s="150"/>
      <c r="CM107" s="150"/>
      <c r="CN107" s="150"/>
      <c r="CO107" s="150"/>
      <c r="CP107" s="150"/>
      <c r="CQ107" s="150"/>
      <c r="CR107" s="150"/>
      <c r="CS107" s="150"/>
      <c r="CT107" s="150"/>
      <c r="CU107" s="150"/>
      <c r="CV107" s="150"/>
      <c r="CW107" s="150"/>
      <c r="CX107" s="150"/>
      <c r="CY107" s="150"/>
      <c r="CZ107" s="150"/>
      <c r="DA107" s="150"/>
      <c r="DB107" s="150"/>
      <c r="DC107" s="150"/>
      <c r="DD107" s="150"/>
      <c r="DE107" s="150"/>
      <c r="DF107" s="150"/>
      <c r="DG107" s="150"/>
      <c r="DH107" s="150"/>
      <c r="DI107" s="150"/>
      <c r="DJ107" s="150"/>
      <c r="DK107" s="150"/>
      <c r="DL107" s="150"/>
      <c r="DM107" s="150"/>
      <c r="DN107" s="150"/>
      <c r="DO107" s="150"/>
      <c r="DP107" s="150"/>
      <c r="DQ107" s="181"/>
      <c r="DR107" s="181"/>
      <c r="DS107" s="181"/>
      <c r="DT107" s="150"/>
      <c r="DU107" s="150"/>
      <c r="DV107" s="150"/>
      <c r="DW107" s="150"/>
      <c r="DX107" s="150"/>
      <c r="DY107" s="150"/>
      <c r="DZ107" s="150"/>
      <c r="EA107" s="150"/>
      <c r="EB107" s="150"/>
      <c r="EC107" s="150"/>
      <c r="ED107" s="150"/>
      <c r="EE107" s="150"/>
      <c r="EF107" s="150"/>
      <c r="EG107" s="150"/>
      <c r="EH107" s="150"/>
      <c r="EI107" s="150"/>
      <c r="EJ107" s="150"/>
      <c r="EK107" s="150"/>
      <c r="EL107" s="150"/>
      <c r="EM107" s="150"/>
      <c r="EN107" s="150"/>
      <c r="EO107" s="150"/>
      <c r="EP107" s="150"/>
      <c r="EQ107" s="150"/>
      <c r="ER107" s="150"/>
      <c r="ES107" s="150"/>
      <c r="ET107" s="150"/>
      <c r="EU107" s="150"/>
      <c r="EV107" s="150"/>
      <c r="EW107" s="150"/>
      <c r="EX107" s="150"/>
      <c r="EY107" s="150"/>
      <c r="EZ107" s="150"/>
      <c r="FA107" s="150"/>
      <c r="FB107" s="150"/>
      <c r="FC107" s="150"/>
      <c r="FD107" s="150"/>
      <c r="FE107" s="150"/>
      <c r="FF107" s="150"/>
      <c r="FG107" s="150"/>
      <c r="FH107" s="150"/>
      <c r="FI107" s="150"/>
      <c r="FJ107" s="150"/>
      <c r="FK107" s="150"/>
      <c r="FL107" s="150"/>
      <c r="FM107" s="150"/>
      <c r="FN107" s="150"/>
      <c r="FO107" s="150"/>
      <c r="FP107" s="150"/>
      <c r="FQ107" s="150"/>
      <c r="FR107" s="150"/>
      <c r="FS107" s="150"/>
      <c r="FT107" s="150"/>
      <c r="FU107" s="150"/>
      <c r="FV107" s="150"/>
      <c r="FW107" s="150"/>
      <c r="FX107" s="150"/>
      <c r="FY107" s="150"/>
      <c r="FZ107" s="150"/>
      <c r="GA107" s="150"/>
      <c r="GB107" s="150"/>
      <c r="GC107" s="150"/>
      <c r="GD107" s="150"/>
      <c r="GE107" s="150"/>
      <c r="GF107" s="150"/>
      <c r="GG107" s="150"/>
      <c r="GH107" s="150"/>
      <c r="GI107" s="150"/>
      <c r="GJ107" s="150"/>
      <c r="GK107" s="150"/>
      <c r="GL107" s="150"/>
      <c r="GM107" s="150"/>
      <c r="GN107" s="150"/>
      <c r="GO107" s="150"/>
      <c r="GP107" s="150"/>
      <c r="GQ107" s="150"/>
      <c r="GR107" s="150"/>
      <c r="GS107" s="150"/>
      <c r="GT107" s="150"/>
      <c r="GU107" s="150"/>
      <c r="GV107" s="150"/>
      <c r="GW107" s="150"/>
      <c r="GX107" s="150"/>
      <c r="GY107" s="150"/>
      <c r="GZ107" s="150"/>
      <c r="HA107" s="150"/>
      <c r="HB107" s="150"/>
      <c r="HC107" s="150"/>
      <c r="HD107" s="150"/>
      <c r="HE107" s="150"/>
      <c r="HF107" s="150"/>
      <c r="HG107" s="150"/>
      <c r="HH107" s="150"/>
    </row>
    <row r="108" spans="1:254" x14ac:dyDescent="0.25">
      <c r="A108" s="8"/>
      <c r="B108" s="5" t="s">
        <v>116</v>
      </c>
      <c r="C108" s="8"/>
      <c r="D108" s="6" t="s">
        <v>788</v>
      </c>
      <c r="E108" s="8" t="s">
        <v>1157</v>
      </c>
      <c r="F108" s="39" t="s">
        <v>790</v>
      </c>
      <c r="G108" s="9"/>
      <c r="H108" s="9"/>
      <c r="I108" s="9"/>
      <c r="J108" s="9"/>
      <c r="K108" s="9"/>
      <c r="L108" s="6" t="str">
        <f>IF(E109=$AJ$103,"CMP41H41/3,5MC",IF(E109=$AL$103,"CMP41H41/3,5MC",IF(E109=$AL$105,"CMP41H41/3MC",IF(E109=$AN$105,"CMP41H41/2,2MC","-------"))))</f>
        <v>CMP41H41/3,5MC</v>
      </c>
      <c r="M108" s="11">
        <f>INDEX(cennik!$C$2:$L$529,MATCH($L108,cennik!$B$2:$B$522,0),MATCH(M$2,cennik!$C$1:$L$1,0))</f>
        <v>851135</v>
      </c>
      <c r="N108" s="11" t="str">
        <f>INDEX(cennik!$C$2:$L$529,MATCH($L108,cennik!$B$2:$B$522,0),MATCH(N$2,cennik!$C$1:$L$1,0))</f>
        <v>szt.</v>
      </c>
      <c r="O108" s="11">
        <f>SUM(AA94:AA109)</f>
        <v>0</v>
      </c>
      <c r="P108" s="34">
        <f>INDEX(cennik!$C$2:$L$529,MATCH($L108,cennik!$B$2:$B$522,0),MATCH(P$2,cennik!$C$1:$L$1,0))</f>
        <v>73.5</v>
      </c>
      <c r="Q108" s="34">
        <f t="shared" ref="Q108:Q109" si="271">O108*P108</f>
        <v>0</v>
      </c>
      <c r="R108" s="35">
        <f t="shared" si="263"/>
        <v>0</v>
      </c>
      <c r="S108" s="34">
        <f t="shared" si="264"/>
        <v>73.5</v>
      </c>
      <c r="T108" s="34">
        <f t="shared" ref="T108:T109" si="272">O108*S108</f>
        <v>0</v>
      </c>
      <c r="U108" s="34">
        <f>INDEX(cennik!$C$2:$L$529,MATCH($L108,cennik!$B$2:$B$522,0),MATCH(U$2,cennik!$C$1:$L$1,0))*O108</f>
        <v>0</v>
      </c>
      <c r="V108" s="150"/>
      <c r="W108" s="170">
        <f>INDEX(($EL$85:$FI$89,$EL$93:$FI$97,$FL$85:$GI$89,$FL$93:$GI$97,$GS$85:$HP$89,$GS$92:$HP$96,$HT$85:$IQ$89,$HT$92:$IQ$96,$HT$99:$IQ$103),MATCH($L$113,$EK$85:$EK$89,0),MATCH($A110,$EL$84:$FI$84,0),MATCH($G$99,$AE$24:$AE$32,0))*$C110</f>
        <v>0</v>
      </c>
      <c r="X108" s="170">
        <f>INDEX(($EL$85:$FI$89,$EL$93:$FI$97,$FL$85:$GI$89,$FL$93:$GI$97,$GS$85:$HP$89,$GS$92:$HP$96,$HT$85:$IQ$89,$HT$92:$IQ$96,$HT$99:$IQ$103),MATCH($L$110,$EK$85:$EK$89,0),MATCH($A110,$EL$84:$FI$84,0),MATCH($G$99,$AE$24:$AE$32,0))*$C110</f>
        <v>0</v>
      </c>
      <c r="Y108" s="170">
        <f>INDEX(($EL$85:$FI$89,$EL$93:$FI$97,$FL$85:$GI$89,$FL$93:$GI$97,$GS$85:$HP$89,$GS$92:$HP$96,$HT$85:$IQ$89,$HT$92:$IQ$96,$HT$99:$IQ$103),MATCH($L$111,$EK$85:$EK$89,0),MATCH($A110,$EL$84:$FI$84,0),MATCH($G$99,$AE$24:$AE$32,0))*$C110</f>
        <v>0</v>
      </c>
      <c r="Z108" s="170">
        <f>INDEX(($EL$85:$FI$89,$EL$93:$FI$97,$FL$85:$GI$89,$FL$93:$GI$97,$GS$85:$HP$89,$GS$92:$HP$96,$HT$85:$IQ$89,$HT$92:$IQ$96,$HT$99:$IQ$103),MATCH($L$112,$EK$85:$EK$89,0),MATCH($A110,$EL$84:$FI$84,0),MATCH($G$99,$AE$24:$AE$32,0))*$C110</f>
        <v>0</v>
      </c>
      <c r="AA108" s="150">
        <f t="shared" si="252"/>
        <v>0</v>
      </c>
      <c r="AB108" s="150">
        <f t="shared" si="253"/>
        <v>0</v>
      </c>
      <c r="AC108" s="150"/>
      <c r="AD108" s="150"/>
      <c r="AE108" s="150"/>
      <c r="AF108" s="150"/>
      <c r="AG108" s="150"/>
      <c r="AH108" s="150"/>
      <c r="AI108" s="150"/>
      <c r="AJ108" s="150"/>
      <c r="AK108" s="150"/>
      <c r="AL108" s="150"/>
      <c r="AM108" s="150"/>
      <c r="AN108" s="150"/>
      <c r="AO108" s="150">
        <f t="shared" si="254"/>
        <v>1</v>
      </c>
      <c r="AP108" s="150" t="s">
        <v>113</v>
      </c>
      <c r="AQ108" s="150" t="s">
        <v>596</v>
      </c>
      <c r="AR108" s="150" t="s">
        <v>595</v>
      </c>
      <c r="AS108" s="150" t="s">
        <v>593</v>
      </c>
      <c r="AT108" s="150" t="s">
        <v>593</v>
      </c>
      <c r="AU108" s="150"/>
      <c r="AV108" s="150" t="s">
        <v>113</v>
      </c>
      <c r="AW108" s="150" t="s">
        <v>151</v>
      </c>
      <c r="AX108" s="150" t="s">
        <v>151</v>
      </c>
      <c r="AY108" s="150" t="s">
        <v>151</v>
      </c>
      <c r="AZ108" s="150" t="s">
        <v>151</v>
      </c>
      <c r="BA108" s="150"/>
      <c r="BB108" s="150"/>
      <c r="BC108" s="150"/>
      <c r="BD108" s="150"/>
      <c r="BE108" s="150"/>
      <c r="BF108" s="150"/>
      <c r="BG108" s="150"/>
      <c r="BH108" s="150"/>
      <c r="BI108" s="150"/>
      <c r="BJ108" s="150"/>
      <c r="BK108" s="150"/>
      <c r="BL108" s="150"/>
      <c r="BM108" s="150"/>
      <c r="BN108" s="150"/>
      <c r="BO108" s="150"/>
      <c r="BP108" s="150"/>
      <c r="BQ108" s="150"/>
      <c r="BR108" s="150"/>
      <c r="BS108" s="150"/>
      <c r="BT108" s="150"/>
      <c r="BU108" s="150"/>
      <c r="BV108" s="150"/>
      <c r="BW108" s="150"/>
      <c r="BX108" s="150"/>
      <c r="BY108" s="150"/>
      <c r="BZ108" s="150"/>
      <c r="CA108" s="150"/>
      <c r="CB108" s="150"/>
      <c r="CC108" s="150"/>
      <c r="CD108" s="150"/>
      <c r="CE108" s="150"/>
      <c r="CF108" s="150"/>
      <c r="CG108" s="150"/>
      <c r="CH108" s="150"/>
      <c r="CI108" s="150"/>
      <c r="CJ108" s="150"/>
      <c r="CK108" s="150"/>
      <c r="CL108" s="150"/>
      <c r="CM108" s="150"/>
      <c r="CN108" s="150"/>
      <c r="CO108" s="150"/>
      <c r="CP108" s="150"/>
      <c r="CQ108" s="150"/>
      <c r="CR108" s="150"/>
      <c r="CS108" s="150"/>
      <c r="CT108" s="150"/>
      <c r="CU108" s="150"/>
      <c r="CV108" s="150"/>
      <c r="CW108" s="150"/>
      <c r="CX108" s="150"/>
      <c r="CY108" s="150"/>
      <c r="CZ108" s="150"/>
      <c r="DA108" s="150"/>
      <c r="DB108" s="150"/>
      <c r="DC108" s="150"/>
      <c r="DD108" s="150"/>
      <c r="DE108" s="150"/>
      <c r="DF108" s="150"/>
      <c r="DG108" s="150"/>
      <c r="DH108" s="150"/>
      <c r="DI108" s="150"/>
      <c r="DJ108" s="150"/>
      <c r="DK108" s="150"/>
      <c r="DL108" s="150"/>
      <c r="DM108" s="150"/>
      <c r="DN108" s="150"/>
      <c r="DO108" s="150"/>
      <c r="DP108" s="150"/>
      <c r="DQ108" s="181"/>
      <c r="DR108" s="181"/>
      <c r="DS108" s="181"/>
      <c r="DT108" s="150"/>
      <c r="DU108" s="150"/>
      <c r="DV108" s="150"/>
      <c r="DW108" s="150"/>
      <c r="DX108" s="150"/>
      <c r="DY108" s="150"/>
      <c r="DZ108" s="150"/>
      <c r="EA108" s="150"/>
      <c r="EB108" s="150"/>
      <c r="EC108" s="150"/>
      <c r="ED108" s="150"/>
      <c r="EE108" s="150"/>
      <c r="EF108" s="150"/>
      <c r="EG108" s="150"/>
      <c r="EH108" s="150"/>
      <c r="EI108" s="150"/>
      <c r="EJ108" s="150" t="s">
        <v>769</v>
      </c>
      <c r="EK108" s="150"/>
      <c r="EL108" s="150"/>
      <c r="EM108" s="150"/>
      <c r="EN108" s="150"/>
      <c r="EO108" s="150"/>
      <c r="EP108" s="150"/>
      <c r="EQ108" s="150"/>
      <c r="ER108" s="150"/>
      <c r="ES108" s="150"/>
      <c r="ET108" s="150"/>
      <c r="EU108" s="150"/>
      <c r="EV108" s="150"/>
      <c r="EW108" s="150"/>
      <c r="EX108" s="150"/>
      <c r="EY108" s="150"/>
      <c r="EZ108" s="150"/>
      <c r="FA108" s="150"/>
      <c r="FB108" s="150"/>
      <c r="FC108" s="150"/>
      <c r="FD108" s="150"/>
      <c r="FE108" s="150"/>
      <c r="FF108" s="150"/>
      <c r="FG108" s="150"/>
      <c r="FH108" s="150"/>
      <c r="FI108" s="150"/>
      <c r="FJ108" s="150"/>
      <c r="FK108" s="150"/>
      <c r="FL108" s="150"/>
      <c r="FM108" s="150"/>
      <c r="FN108" s="150"/>
      <c r="FO108" s="150"/>
      <c r="FP108" s="150"/>
      <c r="FQ108" s="150"/>
      <c r="FR108" s="150"/>
      <c r="FS108" s="150"/>
      <c r="FT108" s="150"/>
      <c r="FU108" s="150"/>
      <c r="FV108" s="150"/>
      <c r="FW108" s="150"/>
      <c r="FX108" s="150"/>
      <c r="FY108" s="150"/>
      <c r="FZ108" s="150"/>
      <c r="GA108" s="150"/>
      <c r="GB108" s="150"/>
      <c r="GC108" s="150"/>
      <c r="GD108" s="150"/>
      <c r="GE108" s="150"/>
      <c r="GF108" s="150"/>
      <c r="GG108" s="150"/>
      <c r="GH108" s="150"/>
      <c r="GI108" s="150"/>
      <c r="GJ108" s="150"/>
      <c r="GK108" s="150"/>
      <c r="GL108" s="150"/>
      <c r="GM108" s="150"/>
      <c r="GN108" s="150"/>
      <c r="GO108" s="150"/>
      <c r="GP108" s="150"/>
      <c r="GQ108" s="150"/>
      <c r="GR108" s="150"/>
      <c r="GS108" s="150"/>
      <c r="GT108" s="150"/>
      <c r="GU108" s="150"/>
      <c r="GV108" s="150"/>
      <c r="GW108" s="150"/>
      <c r="GX108" s="150"/>
      <c r="GY108" s="150"/>
      <c r="GZ108" s="150"/>
      <c r="HA108" s="150"/>
      <c r="HB108" s="150"/>
      <c r="HC108" s="150"/>
      <c r="HD108" s="150"/>
      <c r="HE108" s="150"/>
      <c r="HF108" s="150"/>
      <c r="HG108" s="150"/>
      <c r="HH108" s="150"/>
    </row>
    <row r="109" spans="1:254" ht="15.75" thickBot="1" x14ac:dyDescent="0.3">
      <c r="A109" s="8"/>
      <c r="B109" s="5" t="s">
        <v>116</v>
      </c>
      <c r="C109" s="8"/>
      <c r="D109" s="6" t="s">
        <v>718</v>
      </c>
      <c r="E109" s="32">
        <f>INDEX((AJ103:AN105),MATCH(E107,AI103:AI105,0),MATCH(E108,AJ102:AN102,0))</f>
        <v>2900</v>
      </c>
      <c r="F109" s="9"/>
      <c r="G109" s="9"/>
      <c r="H109" s="9"/>
      <c r="I109" s="9"/>
      <c r="J109" s="29" t="s">
        <v>119</v>
      </c>
      <c r="K109" s="9"/>
      <c r="L109" s="6" t="s">
        <v>1111</v>
      </c>
      <c r="M109" s="11">
        <f>INDEX(cennik!$C$2:$L$529,MATCH($L109,cennik!$B$2:$B$522,0),MATCH(M$2,cennik!$C$1:$L$1,0))</f>
        <v>850252</v>
      </c>
      <c r="N109" s="11" t="str">
        <f>INDEX(cennik!$C$2:$L$529,MATCH($L109,cennik!$B$2:$B$522,0),MATCH(N$2,cennik!$C$1:$L$1,0))</f>
        <v>szt.</v>
      </c>
      <c r="O109" s="11">
        <f>O101+O107</f>
        <v>0</v>
      </c>
      <c r="P109" s="34">
        <f>INDEX(cennik!$C$2:$L$529,MATCH($L109,cennik!$B$2:$B$522,0),MATCH(P$2,cennik!$C$1:$L$1,0))</f>
        <v>6.06</v>
      </c>
      <c r="Q109" s="34">
        <f t="shared" si="271"/>
        <v>0</v>
      </c>
      <c r="R109" s="35">
        <f t="shared" si="263"/>
        <v>0</v>
      </c>
      <c r="S109" s="34">
        <f t="shared" si="264"/>
        <v>6.06</v>
      </c>
      <c r="T109" s="34">
        <f t="shared" si="272"/>
        <v>0</v>
      </c>
      <c r="U109" s="34">
        <f>INDEX(cennik!$C$2:$L$529,MATCH($L109,cennik!$B$2:$B$522,0),MATCH(U$2,cennik!$C$1:$L$1,0))*O109</f>
        <v>0</v>
      </c>
      <c r="V109" s="150"/>
      <c r="W109" s="170">
        <f>INDEX(($EL$85:$FI$89,$EL$93:$FI$97,$FL$85:$GI$89,$FL$93:$GI$97,$GS$85:$HP$89,$GS$92:$HP$96,$HT$85:$IQ$89,$HT$92:$IQ$96,$HT$99:$IQ$103),MATCH($L$113,$EK$85:$EK$89,0),MATCH($A111,$EL$84:$FI$84,0),MATCH($G$99,$AE$24:$AE$32,0))*$C111</f>
        <v>0</v>
      </c>
      <c r="X109" s="170">
        <f>INDEX(($EL$85:$FI$89,$EL$93:$FI$97,$FL$85:$GI$89,$FL$93:$GI$97,$GS$85:$HP$89,$GS$92:$HP$96,$HT$85:$IQ$89,$HT$92:$IQ$96,$HT$99:$IQ$103),MATCH($L$110,$EK$85:$EK$89,0),MATCH($A111,$EL$84:$FI$84,0),MATCH($G$99,$AE$24:$AE$32,0))*$C111</f>
        <v>0</v>
      </c>
      <c r="Y109" s="170">
        <f>INDEX(($EL$85:$FI$89,$EL$93:$FI$97,$FL$85:$GI$89,$FL$93:$GI$97,$GS$85:$HP$89,$GS$92:$HP$96,$HT$85:$IQ$89,$HT$92:$IQ$96,$HT$99:$IQ$103),MATCH($L$111,$EK$85:$EK$89,0),MATCH($A111,$EL$84:$FI$84,0),MATCH($G$99,$AE$24:$AE$32,0))*$C111</f>
        <v>0</v>
      </c>
      <c r="Z109" s="170">
        <f>INDEX(($EL$85:$FI$89,$EL$93:$FI$97,$FL$85:$GI$89,$FL$93:$GI$97,$GS$85:$HP$89,$GS$92:$HP$96,$HT$85:$IQ$89,$HT$92:$IQ$96,$HT$99:$IQ$103),MATCH($L$112,$EK$85:$EK$89,0),MATCH($A111,$EL$84:$FI$84,0),MATCH($G$99,$AE$24:$AE$32,0))*$C111</f>
        <v>0</v>
      </c>
      <c r="AA109" s="150">
        <f t="shared" si="252"/>
        <v>0</v>
      </c>
      <c r="AB109" s="150">
        <f t="shared" si="253"/>
        <v>0</v>
      </c>
      <c r="AC109" s="150"/>
      <c r="AD109" s="150"/>
      <c r="AE109" s="150"/>
      <c r="AF109" s="150"/>
      <c r="AG109" s="150"/>
      <c r="AH109" s="150"/>
      <c r="AI109" s="150"/>
      <c r="AJ109" s="150"/>
      <c r="AK109" s="150"/>
      <c r="AL109" s="150"/>
      <c r="AM109" s="150"/>
      <c r="AN109" s="150"/>
      <c r="AO109" s="150">
        <f t="shared" si="254"/>
        <v>1</v>
      </c>
      <c r="AP109" s="150" t="s">
        <v>137</v>
      </c>
      <c r="AQ109" s="150" t="s">
        <v>596</v>
      </c>
      <c r="AR109" s="150" t="s">
        <v>595</v>
      </c>
      <c r="AS109" s="150" t="s">
        <v>593</v>
      </c>
      <c r="AT109" s="150" t="s">
        <v>593</v>
      </c>
      <c r="AU109" s="150"/>
      <c r="AV109" s="150" t="s">
        <v>137</v>
      </c>
      <c r="AW109" s="150" t="s">
        <v>151</v>
      </c>
      <c r="AX109" s="150" t="s">
        <v>151</v>
      </c>
      <c r="AY109" s="150" t="s">
        <v>151</v>
      </c>
      <c r="AZ109" s="150" t="s">
        <v>151</v>
      </c>
      <c r="BA109" s="150"/>
      <c r="BB109" s="150"/>
      <c r="BC109" s="150"/>
      <c r="BD109" s="150"/>
      <c r="BE109" s="150"/>
      <c r="BF109" s="150"/>
      <c r="BG109" s="150"/>
      <c r="BH109" s="150"/>
      <c r="BI109" s="150"/>
      <c r="BJ109" s="150"/>
      <c r="BK109" s="150"/>
      <c r="BL109" s="150"/>
      <c r="BM109" s="150"/>
      <c r="BN109" s="150"/>
      <c r="BO109" s="150"/>
      <c r="BP109" s="150"/>
      <c r="BQ109" s="150"/>
      <c r="BR109" s="150"/>
      <c r="BS109" s="150"/>
      <c r="BT109" s="150"/>
      <c r="BU109" s="150"/>
      <c r="BV109" s="150"/>
      <c r="BW109" s="150"/>
      <c r="BX109" s="150"/>
      <c r="BY109" s="150"/>
      <c r="BZ109" s="150"/>
      <c r="CA109" s="150"/>
      <c r="CB109" s="150"/>
      <c r="CC109" s="150"/>
      <c r="CD109" s="150"/>
      <c r="CE109" s="150"/>
      <c r="CF109" s="150"/>
      <c r="CG109" s="150"/>
      <c r="CH109" s="150"/>
      <c r="CI109" s="150"/>
      <c r="CJ109" s="150"/>
      <c r="CK109" s="150"/>
      <c r="CL109" s="150"/>
      <c r="CM109" s="150"/>
      <c r="CN109" s="150"/>
      <c r="CO109" s="150"/>
      <c r="CP109" s="150"/>
      <c r="CQ109" s="150"/>
      <c r="CR109" s="150"/>
      <c r="CS109" s="150"/>
      <c r="CT109" s="150"/>
      <c r="CU109" s="150"/>
      <c r="CV109" s="150"/>
      <c r="CW109" s="150"/>
      <c r="CX109" s="150"/>
      <c r="CY109" s="150"/>
      <c r="CZ109" s="150"/>
      <c r="DA109" s="150"/>
      <c r="DB109" s="150"/>
      <c r="DC109" s="150"/>
      <c r="DD109" s="150"/>
      <c r="DE109" s="150"/>
      <c r="DF109" s="150"/>
      <c r="DG109" s="150"/>
      <c r="DH109" s="150"/>
      <c r="DI109" s="150"/>
      <c r="DJ109" s="150"/>
      <c r="DK109" s="150"/>
      <c r="DL109" s="150"/>
      <c r="DM109" s="150"/>
      <c r="DN109" s="150"/>
      <c r="DO109" s="150"/>
      <c r="DP109" s="150"/>
      <c r="DQ109" s="181"/>
      <c r="DR109" s="181"/>
      <c r="DS109" s="181"/>
      <c r="DT109" s="150"/>
      <c r="DU109" s="150"/>
      <c r="DV109" s="150"/>
      <c r="DW109" s="150"/>
      <c r="DX109" s="150"/>
      <c r="DY109" s="150"/>
      <c r="DZ109" s="150"/>
      <c r="EA109" s="150"/>
      <c r="EB109" s="150"/>
      <c r="EC109" s="150"/>
      <c r="ED109" s="150"/>
      <c r="EE109" s="150"/>
      <c r="EF109" s="150"/>
      <c r="EG109" s="150"/>
      <c r="EH109" s="150"/>
      <c r="EI109" s="150"/>
      <c r="EJ109" s="150"/>
      <c r="EK109" s="150"/>
      <c r="EL109" s="150"/>
      <c r="EM109" s="150"/>
      <c r="EN109" s="150"/>
      <c r="EO109" s="150"/>
      <c r="EP109" s="150"/>
      <c r="EQ109" s="150"/>
      <c r="ER109" s="150"/>
      <c r="ES109" s="150"/>
      <c r="ET109" s="150"/>
      <c r="EU109" s="150"/>
      <c r="EV109" s="150"/>
      <c r="EW109" s="150"/>
      <c r="EX109" s="150"/>
      <c r="EY109" s="150"/>
      <c r="EZ109" s="150"/>
      <c r="FA109" s="150"/>
      <c r="FB109" s="150"/>
      <c r="FC109" s="150"/>
      <c r="FD109" s="150"/>
      <c r="FE109" s="150"/>
      <c r="FF109" s="150"/>
      <c r="FG109" s="150"/>
      <c r="FH109" s="150"/>
      <c r="FI109" s="150"/>
      <c r="FJ109" s="150"/>
      <c r="FK109" s="150"/>
      <c r="FL109" s="150"/>
      <c r="FM109" s="150"/>
      <c r="FN109" s="150"/>
      <c r="FO109" s="150"/>
      <c r="FP109" s="150"/>
      <c r="FQ109" s="150"/>
      <c r="FR109" s="150"/>
      <c r="FS109" s="150"/>
      <c r="FT109" s="150"/>
      <c r="FU109" s="150"/>
      <c r="FV109" s="150"/>
      <c r="FW109" s="150"/>
      <c r="FX109" s="150"/>
      <c r="FY109" s="150"/>
      <c r="FZ109" s="150"/>
      <c r="GA109" s="150"/>
      <c r="GB109" s="150"/>
      <c r="GC109" s="150"/>
      <c r="GD109" s="150"/>
      <c r="GE109" s="150"/>
      <c r="GF109" s="150"/>
      <c r="GG109" s="150"/>
      <c r="GH109" s="150"/>
      <c r="GI109" s="150"/>
      <c r="GJ109" s="150"/>
      <c r="GK109" s="150"/>
      <c r="GL109" s="150"/>
      <c r="GM109" s="150"/>
      <c r="GN109" s="150"/>
      <c r="GO109" s="150"/>
      <c r="GP109" s="150"/>
      <c r="GQ109" s="150"/>
      <c r="GR109" s="150"/>
      <c r="GS109" s="150"/>
      <c r="GT109" s="150"/>
      <c r="GU109" s="150"/>
      <c r="GV109" s="150"/>
      <c r="GW109" s="150"/>
      <c r="GX109" s="150"/>
      <c r="GY109" s="150"/>
      <c r="GZ109" s="150"/>
      <c r="HA109" s="150"/>
      <c r="HB109" s="150"/>
      <c r="HC109" s="150"/>
      <c r="HD109" s="150"/>
      <c r="HE109" s="150"/>
      <c r="HF109" s="150"/>
      <c r="HG109" s="150"/>
      <c r="HH109" s="150"/>
    </row>
    <row r="110" spans="1:254" x14ac:dyDescent="0.25">
      <c r="A110" s="8"/>
      <c r="B110" s="5" t="s">
        <v>116</v>
      </c>
      <c r="C110" s="8"/>
      <c r="D110" s="6" t="str">
        <f>IF(E101=$AC$8,"długość śruby GSW","")</f>
        <v/>
      </c>
      <c r="E110" s="38">
        <v>1600</v>
      </c>
      <c r="F110" s="9"/>
      <c r="G110" s="9"/>
      <c r="H110" s="9"/>
      <c r="I110" s="9"/>
      <c r="J110" s="29" t="str">
        <f>IF(E101=$AC$8,"[mm]","")</f>
        <v/>
      </c>
      <c r="K110" s="9"/>
      <c r="L110" s="6" t="s">
        <v>586</v>
      </c>
      <c r="M110" s="11">
        <f>INDEX(cennik!$C$2:$L$529,MATCH($L110,cennik!$B$2:$B$522,0),MATCH(M$2,cennik!$C$1:$L$1,0))</f>
        <v>867566</v>
      </c>
      <c r="N110" s="11" t="str">
        <f>INDEX(cennik!$C$2:$L$529,MATCH($L110,cennik!$B$2:$B$522,0),MATCH(N$2,cennik!$C$1:$L$1,0))</f>
        <v>szt.</v>
      </c>
      <c r="O110" s="11">
        <f>SUM(X96:X111)</f>
        <v>0</v>
      </c>
      <c r="P110" s="34">
        <f>INDEX(cennik!$C$2:$L$529,MATCH($L110,cennik!$B$2:$B$522,0),MATCH(P$2,cennik!$C$1:$L$1,0))</f>
        <v>265.20999999999998</v>
      </c>
      <c r="Q110" s="34">
        <f t="shared" ref="Q110:Q124" si="273">O110*P110</f>
        <v>0</v>
      </c>
      <c r="R110" s="35">
        <f t="shared" si="263"/>
        <v>0</v>
      </c>
      <c r="S110" s="34">
        <f t="shared" si="264"/>
        <v>265.20999999999998</v>
      </c>
      <c r="T110" s="34">
        <f t="shared" ref="T110:T124" si="274">O110*S110</f>
        <v>0</v>
      </c>
      <c r="U110" s="34">
        <f>INDEX(cennik!$C$2:$L$529,MATCH($L110,cennik!$B$2:$B$522,0),MATCH(U$2,cennik!$C$1:$L$1,0))*O110</f>
        <v>0</v>
      </c>
      <c r="V110" s="166"/>
      <c r="W110" s="170">
        <f>INDEX(($EL$85:$FI$89,$EL$93:$FI$97,$FL$85:$GI$89,$FL$93:$GI$97,$GS$85:$HP$89,$GS$92:$HP$96,$HT$85:$IQ$89,$HT$92:$IQ$96,$HT$99:$IQ$103),MATCH($L$113,$EK$85:$EK$89,0),MATCH($A112,$EL$84:$FI$84,0),MATCH($G$99,$AE$24:$AE$32,0))*$C112</f>
        <v>0</v>
      </c>
      <c r="X110" s="170">
        <f>INDEX(($EL$85:$FI$89,$EL$93:$FI$97,$FL$85:$GI$89,$FL$93:$GI$97,$GS$85:$HP$89,$GS$92:$HP$96,$HT$85:$IQ$89,$HT$92:$IQ$96,$HT$99:$IQ$103),MATCH($L$110,$EK$85:$EK$89,0),MATCH($A112,$EL$84:$FI$84,0),MATCH($G$99,$AE$24:$AE$32,0))*$C112</f>
        <v>0</v>
      </c>
      <c r="Y110" s="170">
        <f>INDEX(($EL$85:$FI$89,$EL$93:$FI$97,$FL$85:$GI$89,$FL$93:$GI$97,$GS$85:$HP$89,$GS$92:$HP$96,$HT$85:$IQ$89,$HT$92:$IQ$96,$HT$99:$IQ$103),MATCH($L$111,$EK$85:$EK$89,0),MATCH($A112,$EL$84:$FI$84,0),MATCH($G$99,$AE$24:$AE$32,0))*$C112</f>
        <v>0</v>
      </c>
      <c r="Z110" s="170">
        <f>INDEX(($EL$85:$FI$89,$EL$93:$FI$97,$FL$85:$GI$89,$FL$93:$GI$97,$GS$85:$HP$89,$GS$92:$HP$96,$HT$85:$IQ$89,$HT$92:$IQ$96,$HT$99:$IQ$103),MATCH($L$112,$EK$85:$EK$89,0),MATCH($A112,$EL$84:$FI$84,0),MATCH($G$99,$AE$24:$AE$32,0))*$C112</f>
        <v>0</v>
      </c>
      <c r="AA110" s="150"/>
      <c r="AB110" s="150"/>
      <c r="AC110" s="150"/>
      <c r="AD110" s="150"/>
      <c r="AE110" s="150"/>
      <c r="AF110" s="150"/>
      <c r="AG110" s="150"/>
      <c r="AH110" s="150"/>
      <c r="AI110" s="150"/>
      <c r="AJ110" s="150"/>
      <c r="AK110" s="150"/>
      <c r="AL110" s="150"/>
      <c r="AM110" s="150"/>
      <c r="AN110" s="150"/>
      <c r="AO110" s="150"/>
      <c r="AP110" s="150" t="s">
        <v>138</v>
      </c>
      <c r="AQ110" s="150" t="s">
        <v>596</v>
      </c>
      <c r="AR110" s="150" t="s">
        <v>595</v>
      </c>
      <c r="AS110" s="150" t="s">
        <v>593</v>
      </c>
      <c r="AT110" s="150" t="s">
        <v>593</v>
      </c>
      <c r="AU110" s="150"/>
      <c r="AV110" s="150" t="s">
        <v>138</v>
      </c>
      <c r="AW110" s="150" t="s">
        <v>151</v>
      </c>
      <c r="AX110" s="150" t="s">
        <v>151</v>
      </c>
      <c r="AY110" s="150" t="s">
        <v>151</v>
      </c>
      <c r="AZ110" s="150" t="s">
        <v>151</v>
      </c>
      <c r="BA110" s="150"/>
      <c r="BB110" s="150"/>
      <c r="BC110" s="150"/>
      <c r="BD110" s="150"/>
      <c r="BE110" s="150"/>
      <c r="BF110" s="150"/>
      <c r="BG110" s="150"/>
      <c r="BH110" s="150"/>
      <c r="BI110" s="150"/>
      <c r="BJ110" s="150"/>
      <c r="BK110" s="150"/>
      <c r="BL110" s="150"/>
      <c r="BM110" s="150"/>
      <c r="BN110" s="150"/>
      <c r="BO110" s="150"/>
      <c r="BP110" s="150"/>
      <c r="BQ110" s="150"/>
      <c r="BR110" s="150"/>
      <c r="BS110" s="150"/>
      <c r="BT110" s="150"/>
      <c r="BU110" s="150"/>
      <c r="BV110" s="150"/>
      <c r="BW110" s="150"/>
      <c r="BX110" s="150"/>
      <c r="BY110" s="150"/>
      <c r="BZ110" s="150"/>
      <c r="CA110" s="150"/>
      <c r="CB110" s="150"/>
      <c r="CC110" s="150"/>
      <c r="CD110" s="150"/>
      <c r="CE110" s="150"/>
      <c r="CF110" s="150"/>
      <c r="CG110" s="150"/>
      <c r="CH110" s="150"/>
      <c r="CI110" s="150"/>
      <c r="CJ110" s="150"/>
      <c r="CK110" s="150"/>
      <c r="CL110" s="150"/>
      <c r="CM110" s="150"/>
      <c r="CN110" s="150"/>
      <c r="CO110" s="150"/>
      <c r="CP110" s="150"/>
      <c r="CQ110" s="150"/>
      <c r="CR110" s="150"/>
      <c r="CS110" s="150"/>
      <c r="CT110" s="150"/>
      <c r="CU110" s="150"/>
      <c r="CV110" s="150"/>
      <c r="CW110" s="150"/>
      <c r="CX110" s="150"/>
      <c r="CY110" s="150"/>
      <c r="CZ110" s="150"/>
      <c r="DA110" s="150"/>
      <c r="DB110" s="150"/>
      <c r="DC110" s="150"/>
      <c r="DD110" s="150"/>
      <c r="DE110" s="150"/>
      <c r="DF110" s="150"/>
      <c r="DG110" s="150"/>
      <c r="DH110" s="150"/>
      <c r="DI110" s="150"/>
      <c r="DJ110" s="150"/>
      <c r="DK110" s="150"/>
      <c r="DL110" s="150"/>
      <c r="DM110" s="150"/>
      <c r="DN110" s="150"/>
      <c r="DO110" s="150"/>
      <c r="DP110" s="150"/>
      <c r="DQ110" s="181"/>
      <c r="DR110" s="181">
        <v>0</v>
      </c>
      <c r="DS110" s="181"/>
      <c r="DT110" s="150"/>
      <c r="DU110" s="150"/>
      <c r="DV110" s="150"/>
      <c r="DW110" s="150"/>
      <c r="DX110" s="150"/>
      <c r="DY110" s="150"/>
      <c r="DZ110" s="150"/>
      <c r="EA110" s="150"/>
      <c r="EB110" s="150"/>
      <c r="EC110" s="150"/>
      <c r="ED110" s="150"/>
      <c r="EE110" s="150"/>
      <c r="EF110" s="150"/>
      <c r="EG110" s="150"/>
      <c r="EH110" s="150"/>
      <c r="EI110" s="150"/>
      <c r="EJ110" s="151"/>
      <c r="EK110" s="152"/>
      <c r="EL110" s="152"/>
      <c r="EM110" s="152"/>
      <c r="EN110" s="152"/>
      <c r="EO110" s="152"/>
      <c r="EP110" s="152"/>
      <c r="EQ110" s="152"/>
      <c r="ER110" s="152"/>
      <c r="ES110" s="152"/>
      <c r="ET110" s="152"/>
      <c r="EU110" s="152"/>
      <c r="EV110" s="152"/>
      <c r="EW110" s="152"/>
      <c r="EX110" s="152"/>
      <c r="EY110" s="152"/>
      <c r="EZ110" s="152"/>
      <c r="FA110" s="152"/>
      <c r="FB110" s="152"/>
      <c r="FC110" s="152"/>
      <c r="FD110" s="152"/>
      <c r="FE110" s="152"/>
      <c r="FF110" s="152"/>
      <c r="FG110" s="152"/>
      <c r="FH110" s="152"/>
      <c r="FI110" s="152"/>
      <c r="FJ110" s="152"/>
      <c r="FK110" s="152"/>
      <c r="FL110" s="152"/>
      <c r="FM110" s="152"/>
      <c r="FN110" s="152"/>
      <c r="FO110" s="152"/>
      <c r="FP110" s="152"/>
      <c r="FQ110" s="152"/>
      <c r="FR110" s="152"/>
      <c r="FS110" s="152"/>
      <c r="FT110" s="152"/>
      <c r="FU110" s="152"/>
      <c r="FV110" s="152"/>
      <c r="FW110" s="152"/>
      <c r="FX110" s="152"/>
      <c r="FY110" s="152"/>
      <c r="FZ110" s="152"/>
      <c r="GA110" s="152"/>
      <c r="GB110" s="152"/>
      <c r="GC110" s="152"/>
      <c r="GD110" s="152"/>
      <c r="GE110" s="152"/>
      <c r="GF110" s="152"/>
      <c r="GG110" s="152"/>
      <c r="GH110" s="152"/>
      <c r="GI110" s="152"/>
      <c r="GJ110" s="152"/>
      <c r="GK110" s="152"/>
      <c r="GL110" s="152"/>
      <c r="GM110" s="152"/>
      <c r="GN110" s="152"/>
      <c r="GO110" s="152"/>
      <c r="GP110" s="152"/>
      <c r="GQ110" s="152"/>
      <c r="GR110" s="152"/>
      <c r="GS110" s="152"/>
      <c r="GT110" s="152"/>
      <c r="GU110" s="152"/>
      <c r="GV110" s="152"/>
      <c r="GW110" s="152"/>
      <c r="GX110" s="152"/>
      <c r="GY110" s="152"/>
      <c r="GZ110" s="152"/>
      <c r="HA110" s="152"/>
      <c r="HB110" s="152"/>
      <c r="HC110" s="152"/>
      <c r="HD110" s="152"/>
      <c r="HE110" s="152"/>
      <c r="HF110" s="152"/>
      <c r="HG110" s="152"/>
      <c r="HH110" s="152"/>
      <c r="HI110" s="162"/>
      <c r="HJ110" s="162"/>
      <c r="HK110" s="162"/>
      <c r="HL110" s="162"/>
      <c r="HM110" s="162"/>
      <c r="HN110" s="162"/>
      <c r="HO110" s="162"/>
      <c r="HP110" s="162"/>
      <c r="HQ110" s="162"/>
      <c r="HR110" s="162"/>
      <c r="HS110" s="162"/>
      <c r="HT110" s="162"/>
      <c r="HU110" s="162"/>
      <c r="HV110" s="162"/>
      <c r="HW110" s="162"/>
      <c r="HX110" s="162"/>
      <c r="HY110" s="162"/>
      <c r="HZ110" s="162"/>
      <c r="IA110" s="162"/>
      <c r="IB110" s="162"/>
      <c r="IC110" s="162"/>
      <c r="ID110" s="162"/>
      <c r="IE110" s="162"/>
      <c r="IF110" s="162"/>
      <c r="IG110" s="162"/>
      <c r="IH110" s="162"/>
      <c r="II110" s="162"/>
      <c r="IJ110" s="162"/>
      <c r="IK110" s="162"/>
      <c r="IL110" s="162"/>
      <c r="IM110" s="162"/>
      <c r="IN110" s="162"/>
      <c r="IO110" s="162"/>
      <c r="IP110" s="162"/>
      <c r="IQ110" s="162"/>
      <c r="IR110" s="163"/>
    </row>
    <row r="111" spans="1:254" x14ac:dyDescent="0.25">
      <c r="A111" s="8"/>
      <c r="B111" s="5" t="s">
        <v>116</v>
      </c>
      <c r="C111" s="8"/>
      <c r="D111" s="40" t="s">
        <v>795</v>
      </c>
      <c r="E111" s="9"/>
      <c r="F111" s="9"/>
      <c r="G111" s="9"/>
      <c r="H111" s="9"/>
      <c r="I111" s="9"/>
      <c r="J111" s="9"/>
      <c r="K111" s="9"/>
      <c r="L111" s="6" t="s">
        <v>522</v>
      </c>
      <c r="M111" s="11">
        <f>INDEX(cennik!$C$2:$L$529,MATCH($L111,cennik!$B$2:$B$522,0),MATCH(M$2,cennik!$C$1:$L$1,0))</f>
        <v>867644</v>
      </c>
      <c r="N111" s="11" t="str">
        <f>INDEX(cennik!$C$2:$L$529,MATCH($L111,cennik!$B$2:$B$522,0),MATCH(N$2,cennik!$C$1:$L$1,0))</f>
        <v>szt.</v>
      </c>
      <c r="O111" s="11">
        <f>SUM(Y96:Y111)</f>
        <v>0</v>
      </c>
      <c r="P111" s="34">
        <f>INDEX(cennik!$C$2:$L$529,MATCH($L111,cennik!$B$2:$B$522,0),MATCH(P$2,cennik!$C$1:$L$1,0))</f>
        <v>176.8</v>
      </c>
      <c r="Q111" s="34">
        <f t="shared" si="273"/>
        <v>0</v>
      </c>
      <c r="R111" s="35">
        <f t="shared" si="263"/>
        <v>0</v>
      </c>
      <c r="S111" s="34">
        <f t="shared" si="264"/>
        <v>176.8</v>
      </c>
      <c r="T111" s="34">
        <f t="shared" si="274"/>
        <v>0</v>
      </c>
      <c r="U111" s="34">
        <f>INDEX(cennik!$C$2:$L$529,MATCH($L111,cennik!$B$2:$B$522,0),MATCH(U$2,cennik!$C$1:$L$1,0))*O111</f>
        <v>0</v>
      </c>
      <c r="V111" s="166"/>
      <c r="W111" s="170">
        <f>INDEX(($EL$85:$FI$89,$EL$93:$FI$97,$FL$85:$GI$89,$FL$93:$GI$97,$GS$85:$HP$89,$GS$92:$HP$96,$HT$85:$IQ$89,$HT$92:$IQ$96,$HT$99:$IQ$103),MATCH($L$113,$EK$85:$EK$89,0),MATCH($A113,$EL$84:$FI$84,0),MATCH($G$99,$AE$24:$AE$32,0))*$C113</f>
        <v>0</v>
      </c>
      <c r="X111" s="170">
        <f>INDEX(($EL$85:$FI$89,$EL$93:$FI$97,$FL$85:$GI$89,$FL$93:$GI$97,$GS$85:$HP$89,$GS$92:$HP$96,$HT$85:$IQ$89,$HT$92:$IQ$96,$HT$99:$IQ$103),MATCH($L$110,$EK$85:$EK$89,0),MATCH($A113,$EL$84:$FI$84,0),MATCH($G$99,$AE$24:$AE$32,0))*$C113</f>
        <v>0</v>
      </c>
      <c r="Y111" s="170">
        <f>INDEX(($EL$85:$FI$89,$EL$93:$FI$97,$FL$85:$GI$89,$FL$93:$GI$97,$GS$85:$HP$89,$GS$92:$HP$96,$HT$85:$IQ$89,$HT$92:$IQ$96,$HT$99:$IQ$103),MATCH($L$111,$EK$85:$EK$89,0),MATCH($A113,$EL$84:$FI$84,0),MATCH($G$99,$AE$24:$AE$32,0))*$C113</f>
        <v>0</v>
      </c>
      <c r="Z111" s="170">
        <f>INDEX(($EL$85:$FI$89,$EL$93:$FI$97,$FL$85:$GI$89,$FL$93:$GI$97,$GS$85:$HP$89,$GS$92:$HP$96,$HT$85:$IQ$89,$HT$92:$IQ$96,$HT$99:$IQ$103),MATCH($L$112,$EK$85:$EK$89,0),MATCH($A113,$EL$84:$FI$84,0),MATCH($G$99,$AE$24:$AE$32,0))*$C113</f>
        <v>0</v>
      </c>
      <c r="AA111" s="150"/>
      <c r="AB111" s="150"/>
      <c r="AC111" s="150"/>
      <c r="AD111" s="150"/>
      <c r="AE111" s="150"/>
      <c r="AF111" s="150"/>
      <c r="AG111" s="150"/>
      <c r="AH111" s="150" t="s">
        <v>159</v>
      </c>
      <c r="AI111" s="150"/>
      <c r="AJ111" s="150"/>
      <c r="AK111" s="150"/>
      <c r="AL111" s="150"/>
      <c r="AM111" s="150"/>
      <c r="AP111" s="150" t="s">
        <v>478</v>
      </c>
      <c r="AQ111" s="150" t="s">
        <v>596</v>
      </c>
      <c r="AR111" s="150" t="s">
        <v>595</v>
      </c>
      <c r="AS111" s="150" t="s">
        <v>594</v>
      </c>
      <c r="AT111" s="150" t="s">
        <v>594</v>
      </c>
      <c r="AU111" s="150"/>
      <c r="AV111" s="150" t="s">
        <v>478</v>
      </c>
      <c r="AW111" s="150" t="s">
        <v>151</v>
      </c>
      <c r="AX111" s="150" t="s">
        <v>151</v>
      </c>
      <c r="AY111" s="150" t="s">
        <v>151</v>
      </c>
      <c r="AZ111" s="150" t="s">
        <v>151</v>
      </c>
      <c r="BA111" s="150"/>
      <c r="BB111" s="150"/>
      <c r="BC111" s="150"/>
      <c r="BD111" s="150"/>
      <c r="BE111" s="150"/>
      <c r="BF111" s="150"/>
      <c r="BG111" s="150"/>
      <c r="BH111" s="150" t="s">
        <v>114</v>
      </c>
      <c r="BI111" s="150">
        <v>0</v>
      </c>
      <c r="BJ111" s="150">
        <v>9</v>
      </c>
      <c r="BK111" s="150">
        <v>12</v>
      </c>
      <c r="BL111" s="150">
        <v>15</v>
      </c>
      <c r="BM111" s="150">
        <v>18</v>
      </c>
      <c r="BN111" s="150">
        <v>21</v>
      </c>
      <c r="BO111" s="150">
        <v>24</v>
      </c>
      <c r="BP111" s="150">
        <v>27</v>
      </c>
      <c r="BQ111" s="150">
        <v>30</v>
      </c>
      <c r="BR111" s="150">
        <v>33</v>
      </c>
      <c r="BS111" s="150">
        <v>36</v>
      </c>
      <c r="BT111" s="150">
        <v>39</v>
      </c>
      <c r="BU111" s="150">
        <v>42</v>
      </c>
      <c r="BV111" s="150">
        <v>45</v>
      </c>
      <c r="BW111" s="150">
        <v>48</v>
      </c>
      <c r="BX111" s="150">
        <v>51</v>
      </c>
      <c r="BY111" s="150">
        <v>54</v>
      </c>
      <c r="BZ111" s="150">
        <v>57</v>
      </c>
      <c r="CA111" s="150">
        <v>60</v>
      </c>
      <c r="CB111" s="150">
        <v>63</v>
      </c>
      <c r="CC111" s="150">
        <v>66</v>
      </c>
      <c r="CD111" s="150">
        <v>69</v>
      </c>
      <c r="CE111" s="150">
        <v>72</v>
      </c>
      <c r="CF111" s="150">
        <v>75</v>
      </c>
      <c r="CG111" s="150"/>
      <c r="CH111" s="150"/>
      <c r="CI111" s="150"/>
      <c r="CJ111" s="150"/>
      <c r="CK111" s="150"/>
      <c r="CL111" s="150"/>
      <c r="CM111" s="150"/>
      <c r="CN111" s="150" t="s">
        <v>474</v>
      </c>
      <c r="CO111" s="150">
        <v>0</v>
      </c>
      <c r="CP111" s="150">
        <v>9</v>
      </c>
      <c r="CQ111" s="150">
        <v>12</v>
      </c>
      <c r="CR111" s="150">
        <v>15</v>
      </c>
      <c r="CS111" s="150">
        <v>18</v>
      </c>
      <c r="CT111" s="150">
        <v>21</v>
      </c>
      <c r="CU111" s="150">
        <v>24</v>
      </c>
      <c r="CV111" s="150">
        <v>27</v>
      </c>
      <c r="CW111" s="150">
        <v>30</v>
      </c>
      <c r="CX111" s="150">
        <v>33</v>
      </c>
      <c r="CY111" s="150">
        <v>36</v>
      </c>
      <c r="CZ111" s="150">
        <v>39</v>
      </c>
      <c r="DA111" s="150">
        <v>42</v>
      </c>
      <c r="DB111" s="150">
        <v>45</v>
      </c>
      <c r="DC111" s="150">
        <v>48</v>
      </c>
      <c r="DD111" s="150">
        <v>51</v>
      </c>
      <c r="DE111" s="150">
        <v>54</v>
      </c>
      <c r="DF111" s="150">
        <v>57</v>
      </c>
      <c r="DG111" s="150">
        <v>60</v>
      </c>
      <c r="DH111" s="150">
        <v>63</v>
      </c>
      <c r="DI111" s="150">
        <v>66</v>
      </c>
      <c r="DJ111" s="150">
        <v>69</v>
      </c>
      <c r="DK111" s="150">
        <v>72</v>
      </c>
      <c r="DL111" s="150">
        <v>75</v>
      </c>
      <c r="DM111" s="150"/>
      <c r="DN111" s="150"/>
      <c r="DO111" s="150"/>
      <c r="DP111" s="150"/>
      <c r="DQ111" s="181"/>
      <c r="DR111" s="181">
        <v>9</v>
      </c>
      <c r="DS111" s="181"/>
      <c r="DT111" s="150"/>
      <c r="DU111" s="150"/>
      <c r="DV111" s="150"/>
      <c r="DW111" s="150"/>
      <c r="DX111" s="150"/>
      <c r="DY111" s="150"/>
      <c r="DZ111" s="150"/>
      <c r="EA111" s="150"/>
      <c r="EB111" s="150"/>
      <c r="EC111" s="150"/>
      <c r="ED111" s="150"/>
      <c r="EE111" s="150"/>
      <c r="EF111" s="150"/>
      <c r="EG111" s="150"/>
      <c r="EH111" s="150"/>
      <c r="EI111" s="150"/>
      <c r="EJ111" s="155"/>
      <c r="EK111" s="150" t="s">
        <v>114</v>
      </c>
      <c r="EL111" s="150">
        <v>0</v>
      </c>
      <c r="EM111" s="150">
        <v>9</v>
      </c>
      <c r="EN111" s="150">
        <v>12</v>
      </c>
      <c r="EO111" s="150">
        <v>15</v>
      </c>
      <c r="EP111" s="150">
        <v>18</v>
      </c>
      <c r="EQ111" s="150">
        <v>21</v>
      </c>
      <c r="ER111" s="150">
        <v>24</v>
      </c>
      <c r="ES111" s="150">
        <v>27</v>
      </c>
      <c r="ET111" s="150">
        <v>30</v>
      </c>
      <c r="EU111" s="150">
        <v>33</v>
      </c>
      <c r="EV111" s="150">
        <v>36</v>
      </c>
      <c r="EW111" s="150">
        <v>39</v>
      </c>
      <c r="EX111" s="150">
        <v>42</v>
      </c>
      <c r="EY111" s="150">
        <v>45</v>
      </c>
      <c r="EZ111" s="150">
        <v>48</v>
      </c>
      <c r="FA111" s="150">
        <v>51</v>
      </c>
      <c r="FB111" s="150">
        <v>54</v>
      </c>
      <c r="FC111" s="150">
        <v>57</v>
      </c>
      <c r="FD111" s="150">
        <v>60</v>
      </c>
      <c r="FE111" s="150">
        <v>63</v>
      </c>
      <c r="FF111" s="150">
        <v>66</v>
      </c>
      <c r="FG111" s="150">
        <v>69</v>
      </c>
      <c r="FH111" s="150">
        <v>72</v>
      </c>
      <c r="FI111" s="150">
        <v>75</v>
      </c>
      <c r="FJ111" s="150"/>
      <c r="FK111" s="150" t="s">
        <v>474</v>
      </c>
      <c r="FL111" s="150">
        <v>0</v>
      </c>
      <c r="FM111" s="150">
        <v>9</v>
      </c>
      <c r="FN111" s="150">
        <v>12</v>
      </c>
      <c r="FO111" s="150">
        <v>15</v>
      </c>
      <c r="FP111" s="150">
        <v>18</v>
      </c>
      <c r="FQ111" s="150">
        <v>21</v>
      </c>
      <c r="FR111" s="150">
        <v>24</v>
      </c>
      <c r="FS111" s="150">
        <v>27</v>
      </c>
      <c r="FT111" s="150">
        <v>30</v>
      </c>
      <c r="FU111" s="150">
        <v>33</v>
      </c>
      <c r="FV111" s="150">
        <v>36</v>
      </c>
      <c r="FW111" s="150">
        <v>39</v>
      </c>
      <c r="FX111" s="150">
        <v>42</v>
      </c>
      <c r="FY111" s="150">
        <v>45</v>
      </c>
      <c r="FZ111" s="150">
        <v>48</v>
      </c>
      <c r="GA111" s="150">
        <v>51</v>
      </c>
      <c r="GB111" s="150">
        <v>54</v>
      </c>
      <c r="GC111" s="150">
        <v>57</v>
      </c>
      <c r="GD111" s="150">
        <v>60</v>
      </c>
      <c r="GE111" s="150">
        <v>63</v>
      </c>
      <c r="GF111" s="150">
        <v>66</v>
      </c>
      <c r="GG111" s="150">
        <v>69</v>
      </c>
      <c r="GH111" s="150">
        <v>72</v>
      </c>
      <c r="GI111" s="150">
        <v>75</v>
      </c>
      <c r="GJ111" s="150"/>
      <c r="GK111" s="150"/>
      <c r="GL111" s="150"/>
      <c r="GM111" s="150"/>
      <c r="GN111" s="150"/>
      <c r="GO111" s="150"/>
      <c r="GP111" s="150"/>
      <c r="GQ111" s="150"/>
      <c r="GR111" s="150" t="s">
        <v>713</v>
      </c>
      <c r="GS111" s="150">
        <v>0</v>
      </c>
      <c r="GT111" s="150">
        <v>9</v>
      </c>
      <c r="GU111" s="150">
        <v>12</v>
      </c>
      <c r="GV111" s="150">
        <v>15</v>
      </c>
      <c r="GW111" s="150">
        <v>18</v>
      </c>
      <c r="GX111" s="150">
        <v>21</v>
      </c>
      <c r="GY111" s="150">
        <v>24</v>
      </c>
      <c r="GZ111" s="150">
        <v>27</v>
      </c>
      <c r="HA111" s="150">
        <v>30</v>
      </c>
      <c r="HB111" s="150">
        <v>33</v>
      </c>
      <c r="HC111" s="150">
        <v>36</v>
      </c>
      <c r="HD111" s="150">
        <v>39</v>
      </c>
      <c r="HE111" s="150">
        <v>42</v>
      </c>
      <c r="HF111" s="150">
        <v>45</v>
      </c>
      <c r="HG111" s="150">
        <v>48</v>
      </c>
      <c r="HH111" s="150">
        <v>51</v>
      </c>
      <c r="HI111" s="154">
        <v>54</v>
      </c>
      <c r="HJ111" s="154">
        <v>57</v>
      </c>
      <c r="HK111" s="154">
        <v>60</v>
      </c>
      <c r="HL111" s="154">
        <v>63</v>
      </c>
      <c r="HM111" s="154">
        <v>66</v>
      </c>
      <c r="HN111" s="154">
        <v>69</v>
      </c>
      <c r="HO111" s="154">
        <v>72</v>
      </c>
      <c r="HP111" s="154">
        <v>75</v>
      </c>
      <c r="HS111" s="154" t="s">
        <v>715</v>
      </c>
      <c r="HT111" s="154">
        <v>0</v>
      </c>
      <c r="HU111" s="154">
        <v>9</v>
      </c>
      <c r="HV111" s="154">
        <v>12</v>
      </c>
      <c r="HW111" s="154">
        <v>15</v>
      </c>
      <c r="HX111" s="154">
        <v>18</v>
      </c>
      <c r="HY111" s="154">
        <v>21</v>
      </c>
      <c r="HZ111" s="154">
        <v>24</v>
      </c>
      <c r="IA111" s="154">
        <v>27</v>
      </c>
      <c r="IB111" s="154">
        <v>30</v>
      </c>
      <c r="IC111" s="154">
        <v>33</v>
      </c>
      <c r="ID111" s="154">
        <v>36</v>
      </c>
      <c r="IE111" s="154">
        <v>39</v>
      </c>
      <c r="IF111" s="154">
        <v>42</v>
      </c>
      <c r="IG111" s="154">
        <v>45</v>
      </c>
      <c r="IH111" s="154">
        <v>48</v>
      </c>
      <c r="II111" s="154">
        <v>51</v>
      </c>
      <c r="IJ111" s="154">
        <v>54</v>
      </c>
      <c r="IK111" s="154">
        <v>57</v>
      </c>
      <c r="IL111" s="154">
        <v>60</v>
      </c>
      <c r="IM111" s="154">
        <v>63</v>
      </c>
      <c r="IN111" s="154">
        <v>66</v>
      </c>
      <c r="IO111" s="154">
        <v>69</v>
      </c>
      <c r="IP111" s="154">
        <v>72</v>
      </c>
      <c r="IQ111" s="154">
        <v>75</v>
      </c>
      <c r="IR111" s="157"/>
    </row>
    <row r="112" spans="1:254" x14ac:dyDescent="0.25">
      <c r="A112" s="8"/>
      <c r="B112" s="5" t="s">
        <v>116</v>
      </c>
      <c r="C112" s="8"/>
      <c r="D112" s="40" t="s">
        <v>796</v>
      </c>
      <c r="E112" s="9"/>
      <c r="F112" s="9"/>
      <c r="G112" s="9"/>
      <c r="H112" s="9"/>
      <c r="I112" s="9"/>
      <c r="J112" s="9"/>
      <c r="K112" s="9"/>
      <c r="L112" s="6" t="s">
        <v>523</v>
      </c>
      <c r="M112" s="11">
        <f>INDEX(cennik!$C$2:$L$529,MATCH($L112,cennik!$B$2:$B$522,0),MATCH(M$2,cennik!$C$1:$L$1,0))</f>
        <v>867633</v>
      </c>
      <c r="N112" s="11" t="str">
        <f>INDEX(cennik!$C$2:$L$529,MATCH($L112,cennik!$B$2:$B$522,0),MATCH(N$2,cennik!$C$1:$L$1,0))</f>
        <v>szt.</v>
      </c>
      <c r="O112" s="11">
        <f>SUM(Z96:Z111)</f>
        <v>0</v>
      </c>
      <c r="P112" s="34">
        <f>INDEX(cennik!$C$2:$L$529,MATCH($L112,cennik!$B$2:$B$522,0),MATCH(P$2,cennik!$C$1:$L$1,0))</f>
        <v>132.6</v>
      </c>
      <c r="Q112" s="34">
        <f t="shared" si="273"/>
        <v>0</v>
      </c>
      <c r="R112" s="35">
        <f t="shared" si="263"/>
        <v>0</v>
      </c>
      <c r="S112" s="34">
        <f t="shared" si="264"/>
        <v>132.6</v>
      </c>
      <c r="T112" s="34">
        <f t="shared" si="274"/>
        <v>0</v>
      </c>
      <c r="U112" s="34">
        <f>INDEX(cennik!$C$2:$L$529,MATCH($L112,cennik!$B$2:$B$522,0),MATCH(U$2,cennik!$C$1:$L$1,0))*O112</f>
        <v>0</v>
      </c>
      <c r="V112" s="62"/>
      <c r="W112" s="62"/>
      <c r="X112" s="62"/>
      <c r="Y112" s="62"/>
      <c r="Z112" s="62"/>
      <c r="AA112" s="150"/>
      <c r="AB112" s="150"/>
      <c r="AC112" s="150"/>
      <c r="AD112" s="150"/>
      <c r="AE112" s="150"/>
      <c r="AF112" s="150"/>
      <c r="AG112" s="150"/>
      <c r="AH112" s="150" t="s">
        <v>152</v>
      </c>
      <c r="AI112" s="150" t="s">
        <v>153</v>
      </c>
      <c r="AJ112" s="150"/>
      <c r="AK112" s="150"/>
      <c r="AL112" s="150"/>
      <c r="AM112" s="150"/>
      <c r="AP112" s="150" t="s">
        <v>479</v>
      </c>
      <c r="AQ112" s="150" t="s">
        <v>596</v>
      </c>
      <c r="AR112" s="150" t="s">
        <v>595</v>
      </c>
      <c r="AS112" s="150" t="s">
        <v>594</v>
      </c>
      <c r="AT112" s="150" t="s">
        <v>594</v>
      </c>
      <c r="AV112" s="150" t="s">
        <v>479</v>
      </c>
      <c r="AW112" s="150" t="s">
        <v>151</v>
      </c>
      <c r="AX112" s="150" t="s">
        <v>151</v>
      </c>
      <c r="AY112" s="150" t="s">
        <v>151</v>
      </c>
      <c r="AZ112" s="150" t="s">
        <v>151</v>
      </c>
      <c r="BA112" s="150"/>
      <c r="BB112" s="150"/>
      <c r="BC112" s="150"/>
      <c r="BD112" s="150"/>
      <c r="BE112" s="150"/>
      <c r="BF112" s="150"/>
      <c r="BG112" s="150"/>
      <c r="BH112" s="150" t="s">
        <v>217</v>
      </c>
      <c r="BI112" s="150">
        <f>(BI85/2)*3</f>
        <v>0</v>
      </c>
      <c r="BJ112" s="150">
        <v>0</v>
      </c>
      <c r="BK112" s="150">
        <v>0</v>
      </c>
      <c r="BL112" s="150">
        <v>6</v>
      </c>
      <c r="BM112" s="150">
        <v>6</v>
      </c>
      <c r="BN112" s="150">
        <v>0</v>
      </c>
      <c r="BO112" s="150">
        <v>0</v>
      </c>
      <c r="BP112" s="150">
        <v>6</v>
      </c>
      <c r="BQ112" s="150">
        <v>6</v>
      </c>
      <c r="BR112" s="150">
        <v>0</v>
      </c>
      <c r="BS112" s="150">
        <v>12</v>
      </c>
      <c r="BT112" s="150">
        <v>6</v>
      </c>
      <c r="BU112" s="150">
        <v>6</v>
      </c>
      <c r="BV112" s="150">
        <v>12</v>
      </c>
      <c r="BW112" s="150">
        <v>12</v>
      </c>
      <c r="BX112" s="150">
        <v>12</v>
      </c>
      <c r="BY112" s="150">
        <v>18</v>
      </c>
      <c r="BZ112" s="150">
        <v>18</v>
      </c>
      <c r="CA112" s="150">
        <v>12</v>
      </c>
      <c r="CB112" s="150">
        <v>12</v>
      </c>
      <c r="CC112" s="150">
        <v>18</v>
      </c>
      <c r="CD112" s="150">
        <v>18</v>
      </c>
      <c r="CE112" s="150">
        <v>12</v>
      </c>
      <c r="CF112" s="150">
        <v>24</v>
      </c>
      <c r="CG112" s="150"/>
      <c r="CH112" s="150"/>
      <c r="CI112" s="150"/>
      <c r="CJ112" s="150"/>
      <c r="CK112" s="150"/>
      <c r="CL112" s="150"/>
      <c r="CM112" s="150"/>
      <c r="CN112" s="150" t="s">
        <v>217</v>
      </c>
      <c r="CO112" s="150">
        <v>0</v>
      </c>
      <c r="CP112" s="150">
        <f>IF(CP85=0,0,IF(CP85&gt;0,(CP85/4)*6,0))</f>
        <v>0</v>
      </c>
      <c r="CQ112" s="150">
        <f t="shared" ref="CQ112:DL112" si="275">IF(CQ85=0,0,IF(CQ85&gt;0,(CQ85/4)*6,0))</f>
        <v>6</v>
      </c>
      <c r="CR112" s="150">
        <f t="shared" si="275"/>
        <v>6</v>
      </c>
      <c r="CS112" s="150">
        <f t="shared" si="275"/>
        <v>0</v>
      </c>
      <c r="CT112" s="150">
        <f t="shared" si="275"/>
        <v>0</v>
      </c>
      <c r="CU112" s="150">
        <f t="shared" si="275"/>
        <v>6</v>
      </c>
      <c r="CV112" s="150">
        <f t="shared" si="275"/>
        <v>6</v>
      </c>
      <c r="CW112" s="150">
        <f t="shared" si="275"/>
        <v>0</v>
      </c>
      <c r="CX112" s="150">
        <f t="shared" si="275"/>
        <v>12</v>
      </c>
      <c r="CY112" s="150">
        <f t="shared" si="275"/>
        <v>6</v>
      </c>
      <c r="CZ112" s="150">
        <f t="shared" si="275"/>
        <v>6</v>
      </c>
      <c r="DA112" s="150">
        <f t="shared" si="275"/>
        <v>12</v>
      </c>
      <c r="DB112" s="150">
        <f t="shared" si="275"/>
        <v>12</v>
      </c>
      <c r="DC112" s="150">
        <f t="shared" si="275"/>
        <v>6</v>
      </c>
      <c r="DD112" s="150">
        <f t="shared" si="275"/>
        <v>18</v>
      </c>
      <c r="DE112" s="150">
        <f t="shared" si="275"/>
        <v>12</v>
      </c>
      <c r="DF112" s="150">
        <f t="shared" si="275"/>
        <v>12</v>
      </c>
      <c r="DG112" s="150">
        <f t="shared" si="275"/>
        <v>18</v>
      </c>
      <c r="DH112" s="150">
        <f t="shared" si="275"/>
        <v>18</v>
      </c>
      <c r="DI112" s="150">
        <f t="shared" si="275"/>
        <v>12</v>
      </c>
      <c r="DJ112" s="150">
        <f t="shared" si="275"/>
        <v>24</v>
      </c>
      <c r="DK112" s="150">
        <f t="shared" si="275"/>
        <v>18</v>
      </c>
      <c r="DL112" s="150">
        <f t="shared" si="275"/>
        <v>18</v>
      </c>
      <c r="DM112" s="150"/>
      <c r="DN112" s="150"/>
      <c r="DO112" s="150"/>
      <c r="DP112" s="150"/>
      <c r="DQ112" s="181"/>
      <c r="DR112" s="181">
        <v>12</v>
      </c>
      <c r="DS112" s="181"/>
      <c r="DT112" s="150"/>
      <c r="DU112" s="150"/>
      <c r="DV112" s="150"/>
      <c r="DW112" s="150"/>
      <c r="DX112" s="150"/>
      <c r="DY112" s="150"/>
      <c r="DZ112" s="150"/>
      <c r="EA112" s="150"/>
      <c r="EB112" s="150"/>
      <c r="EC112" s="150"/>
      <c r="ED112" s="150"/>
      <c r="EE112" s="150"/>
      <c r="EF112" s="150"/>
      <c r="EG112" s="150"/>
      <c r="EH112" s="150"/>
      <c r="EI112" s="150"/>
      <c r="EJ112" s="155"/>
      <c r="EK112" s="154" t="s">
        <v>586</v>
      </c>
      <c r="EL112" s="150">
        <v>0</v>
      </c>
      <c r="EM112" s="150">
        <f>EM85/4*6</f>
        <v>0</v>
      </c>
      <c r="EN112" s="150">
        <f t="shared" ref="EN112:FI112" si="276">EN85/4*6</f>
        <v>0</v>
      </c>
      <c r="EO112" s="150">
        <f t="shared" si="276"/>
        <v>6</v>
      </c>
      <c r="EP112" s="150">
        <f t="shared" si="276"/>
        <v>0</v>
      </c>
      <c r="EQ112" s="150">
        <f t="shared" si="276"/>
        <v>0</v>
      </c>
      <c r="ER112" s="150">
        <f t="shared" si="276"/>
        <v>0</v>
      </c>
      <c r="ES112" s="150">
        <f t="shared" si="276"/>
        <v>0</v>
      </c>
      <c r="ET112" s="150">
        <f t="shared" si="276"/>
        <v>0</v>
      </c>
      <c r="EU112" s="150">
        <f t="shared" si="276"/>
        <v>0</v>
      </c>
      <c r="EV112" s="150">
        <f t="shared" si="276"/>
        <v>0</v>
      </c>
      <c r="EW112" s="150">
        <f t="shared" si="276"/>
        <v>0</v>
      </c>
      <c r="EX112" s="150">
        <f t="shared" si="276"/>
        <v>0</v>
      </c>
      <c r="EY112" s="150">
        <f t="shared" si="276"/>
        <v>0</v>
      </c>
      <c r="EZ112" s="150">
        <f t="shared" si="276"/>
        <v>0</v>
      </c>
      <c r="FA112" s="150">
        <f t="shared" si="276"/>
        <v>0</v>
      </c>
      <c r="FB112" s="150">
        <f t="shared" si="276"/>
        <v>0</v>
      </c>
      <c r="FC112" s="150">
        <f t="shared" si="276"/>
        <v>0</v>
      </c>
      <c r="FD112" s="150">
        <f t="shared" si="276"/>
        <v>0</v>
      </c>
      <c r="FE112" s="150">
        <f t="shared" si="276"/>
        <v>0</v>
      </c>
      <c r="FF112" s="150">
        <f t="shared" si="276"/>
        <v>0</v>
      </c>
      <c r="FG112" s="150">
        <f t="shared" si="276"/>
        <v>0</v>
      </c>
      <c r="FH112" s="150">
        <f t="shared" si="276"/>
        <v>0</v>
      </c>
      <c r="FI112" s="150">
        <f t="shared" si="276"/>
        <v>0</v>
      </c>
      <c r="FK112" s="154" t="s">
        <v>586</v>
      </c>
      <c r="FL112" s="150">
        <v>0</v>
      </c>
      <c r="FM112" s="150">
        <f>FM85/4*6</f>
        <v>0</v>
      </c>
      <c r="FN112" s="150">
        <f t="shared" ref="FN112:GI112" si="277">FN85/4*6</f>
        <v>6</v>
      </c>
      <c r="FO112" s="150">
        <f t="shared" si="277"/>
        <v>6</v>
      </c>
      <c r="FP112" s="150">
        <f t="shared" si="277"/>
        <v>0</v>
      </c>
      <c r="FQ112" s="150">
        <f t="shared" si="277"/>
        <v>0</v>
      </c>
      <c r="FR112" s="150">
        <f t="shared" si="277"/>
        <v>0</v>
      </c>
      <c r="FS112" s="150">
        <f t="shared" si="277"/>
        <v>0</v>
      </c>
      <c r="FT112" s="150">
        <f t="shared" si="277"/>
        <v>0</v>
      </c>
      <c r="FU112" s="150">
        <f t="shared" si="277"/>
        <v>0</v>
      </c>
      <c r="FV112" s="150">
        <f t="shared" si="277"/>
        <v>0</v>
      </c>
      <c r="FW112" s="150">
        <f t="shared" si="277"/>
        <v>0</v>
      </c>
      <c r="FX112" s="150">
        <f t="shared" si="277"/>
        <v>0</v>
      </c>
      <c r="FY112" s="150">
        <f t="shared" si="277"/>
        <v>0</v>
      </c>
      <c r="FZ112" s="150">
        <f t="shared" si="277"/>
        <v>0</v>
      </c>
      <c r="GA112" s="150">
        <f t="shared" si="277"/>
        <v>0</v>
      </c>
      <c r="GB112" s="150">
        <f t="shared" si="277"/>
        <v>0</v>
      </c>
      <c r="GC112" s="150">
        <f t="shared" si="277"/>
        <v>0</v>
      </c>
      <c r="GD112" s="150">
        <f t="shared" si="277"/>
        <v>0</v>
      </c>
      <c r="GE112" s="150">
        <f t="shared" si="277"/>
        <v>0</v>
      </c>
      <c r="GF112" s="150">
        <f t="shared" si="277"/>
        <v>0</v>
      </c>
      <c r="GG112" s="150">
        <f t="shared" si="277"/>
        <v>0</v>
      </c>
      <c r="GH112" s="150">
        <f t="shared" si="277"/>
        <v>0</v>
      </c>
      <c r="GI112" s="150">
        <f t="shared" si="277"/>
        <v>0</v>
      </c>
      <c r="GJ112" s="150"/>
      <c r="GK112" s="150"/>
      <c r="GL112" s="150"/>
      <c r="GM112" s="150"/>
      <c r="GN112" s="150"/>
      <c r="GO112" s="150"/>
      <c r="GP112" s="150"/>
      <c r="GQ112" s="150"/>
      <c r="GR112" s="150" t="s">
        <v>586</v>
      </c>
      <c r="GS112" s="150">
        <v>0</v>
      </c>
      <c r="GT112" s="150">
        <f>GT85/4*6</f>
        <v>0</v>
      </c>
      <c r="GU112" s="150">
        <f t="shared" ref="GU112:HP112" si="278">GU85/4*6</f>
        <v>6</v>
      </c>
      <c r="GV112" s="150">
        <f t="shared" si="278"/>
        <v>6</v>
      </c>
      <c r="GW112" s="150">
        <f t="shared" si="278"/>
        <v>0</v>
      </c>
      <c r="GX112" s="150">
        <f t="shared" si="278"/>
        <v>0</v>
      </c>
      <c r="GY112" s="150">
        <f t="shared" si="278"/>
        <v>0</v>
      </c>
      <c r="GZ112" s="150">
        <f t="shared" si="278"/>
        <v>0</v>
      </c>
      <c r="HA112" s="150">
        <f t="shared" si="278"/>
        <v>0</v>
      </c>
      <c r="HB112" s="150">
        <f t="shared" si="278"/>
        <v>0</v>
      </c>
      <c r="HC112" s="150">
        <f t="shared" si="278"/>
        <v>0</v>
      </c>
      <c r="HD112" s="150">
        <f t="shared" si="278"/>
        <v>0</v>
      </c>
      <c r="HE112" s="150">
        <f t="shared" si="278"/>
        <v>0</v>
      </c>
      <c r="HF112" s="150">
        <f t="shared" si="278"/>
        <v>0</v>
      </c>
      <c r="HG112" s="150">
        <f t="shared" si="278"/>
        <v>0</v>
      </c>
      <c r="HH112" s="150">
        <f t="shared" si="278"/>
        <v>0</v>
      </c>
      <c r="HI112" s="150">
        <f t="shared" si="278"/>
        <v>0</v>
      </c>
      <c r="HJ112" s="150">
        <f t="shared" si="278"/>
        <v>0</v>
      </c>
      <c r="HK112" s="150">
        <f t="shared" si="278"/>
        <v>0</v>
      </c>
      <c r="HL112" s="150">
        <f t="shared" si="278"/>
        <v>0</v>
      </c>
      <c r="HM112" s="150">
        <f t="shared" si="278"/>
        <v>0</v>
      </c>
      <c r="HN112" s="150">
        <f t="shared" si="278"/>
        <v>0</v>
      </c>
      <c r="HO112" s="150">
        <f t="shared" si="278"/>
        <v>0</v>
      </c>
      <c r="HP112" s="150">
        <f t="shared" si="278"/>
        <v>0</v>
      </c>
      <c r="HS112" s="154" t="s">
        <v>586</v>
      </c>
      <c r="HT112" s="154">
        <v>0</v>
      </c>
      <c r="HU112" s="150">
        <f>HU85/4*6</f>
        <v>0</v>
      </c>
      <c r="HV112" s="150">
        <f t="shared" ref="HV112:IQ112" si="279">HV85/4*6</f>
        <v>6</v>
      </c>
      <c r="HW112" s="150">
        <f t="shared" si="279"/>
        <v>0</v>
      </c>
      <c r="HX112" s="150">
        <f t="shared" si="279"/>
        <v>0</v>
      </c>
      <c r="HY112" s="150">
        <f t="shared" si="279"/>
        <v>0</v>
      </c>
      <c r="HZ112" s="150">
        <f t="shared" si="279"/>
        <v>0</v>
      </c>
      <c r="IA112" s="150">
        <f t="shared" si="279"/>
        <v>0</v>
      </c>
      <c r="IB112" s="150">
        <f t="shared" si="279"/>
        <v>0</v>
      </c>
      <c r="IC112" s="150">
        <f t="shared" si="279"/>
        <v>0</v>
      </c>
      <c r="ID112" s="150">
        <f t="shared" si="279"/>
        <v>0</v>
      </c>
      <c r="IE112" s="150">
        <f t="shared" si="279"/>
        <v>0</v>
      </c>
      <c r="IF112" s="150">
        <f t="shared" si="279"/>
        <v>0</v>
      </c>
      <c r="IG112" s="150">
        <f t="shared" si="279"/>
        <v>0</v>
      </c>
      <c r="IH112" s="150">
        <f t="shared" si="279"/>
        <v>0</v>
      </c>
      <c r="II112" s="150">
        <f t="shared" si="279"/>
        <v>0</v>
      </c>
      <c r="IJ112" s="150">
        <f t="shared" si="279"/>
        <v>0</v>
      </c>
      <c r="IK112" s="150">
        <f t="shared" si="279"/>
        <v>0</v>
      </c>
      <c r="IL112" s="150">
        <f t="shared" si="279"/>
        <v>0</v>
      </c>
      <c r="IM112" s="150">
        <f t="shared" si="279"/>
        <v>0</v>
      </c>
      <c r="IN112" s="150">
        <f t="shared" si="279"/>
        <v>0</v>
      </c>
      <c r="IO112" s="150">
        <f t="shared" si="279"/>
        <v>0</v>
      </c>
      <c r="IP112" s="150">
        <f t="shared" si="279"/>
        <v>0</v>
      </c>
      <c r="IQ112" s="150">
        <f t="shared" si="279"/>
        <v>0</v>
      </c>
      <c r="IR112" s="157"/>
    </row>
    <row r="113" spans="1:252" x14ac:dyDescent="0.25">
      <c r="A113" s="8"/>
      <c r="B113" s="5" t="s">
        <v>116</v>
      </c>
      <c r="C113" s="8"/>
      <c r="D113" s="40" t="s">
        <v>797</v>
      </c>
      <c r="E113" s="9"/>
      <c r="F113" s="9"/>
      <c r="G113" s="9"/>
      <c r="H113" s="9"/>
      <c r="I113" s="9"/>
      <c r="J113" s="9"/>
      <c r="K113" s="9"/>
      <c r="L113" s="6" t="s">
        <v>779</v>
      </c>
      <c r="M113" s="11">
        <f>INDEX(cennik!$C$2:$L$529,MATCH($L113,cennik!$B$2:$B$522,0),MATCH(M$2,cennik!$C$1:$L$1,0))</f>
        <v>856105</v>
      </c>
      <c r="N113" s="11" t="str">
        <f>INDEX(cennik!$C$2:$L$529,MATCH($L113,cennik!$B$2:$B$522,0),MATCH(N$2,cennik!$C$1:$L$1,0))</f>
        <v>szt.</v>
      </c>
      <c r="O113" s="11">
        <f>SUM(W96:W111)</f>
        <v>0</v>
      </c>
      <c r="P113" s="34">
        <f>INDEX(cennik!$C$2:$L$529,MATCH($L113,cennik!$B$2:$B$522,0),MATCH(P$2,cennik!$C$1:$L$1,0))</f>
        <v>21.81</v>
      </c>
      <c r="Q113" s="34">
        <f t="shared" si="273"/>
        <v>0</v>
      </c>
      <c r="R113" s="35">
        <f t="shared" si="263"/>
        <v>0</v>
      </c>
      <c r="S113" s="34">
        <f t="shared" si="264"/>
        <v>21.81</v>
      </c>
      <c r="T113" s="34">
        <f t="shared" si="274"/>
        <v>0</v>
      </c>
      <c r="U113" s="34">
        <f>INDEX(cennik!$C$2:$L$529,MATCH($L113,cennik!$B$2:$B$522,0),MATCH(U$2,cennik!$C$1:$L$1,0))*O113</f>
        <v>0</v>
      </c>
      <c r="V113" s="62"/>
      <c r="W113" s="62"/>
      <c r="X113" s="62"/>
      <c r="Y113" s="62"/>
      <c r="Z113" s="62"/>
      <c r="AA113" s="150"/>
      <c r="AB113" s="150"/>
      <c r="AC113" s="150"/>
      <c r="AD113" s="150"/>
      <c r="AE113" s="150"/>
      <c r="AF113" s="150"/>
      <c r="AG113" s="150"/>
      <c r="AH113" s="150">
        <v>75</v>
      </c>
      <c r="AI113" s="150">
        <v>1150</v>
      </c>
      <c r="AJ113" s="150"/>
      <c r="AK113" s="150"/>
      <c r="AL113" s="150"/>
      <c r="AM113" s="150"/>
      <c r="AP113" s="150" t="s">
        <v>508</v>
      </c>
      <c r="AQ113" s="150" t="s">
        <v>596</v>
      </c>
      <c r="AR113" s="150" t="s">
        <v>595</v>
      </c>
      <c r="AS113" s="150" t="s">
        <v>594</v>
      </c>
      <c r="AT113" s="150" t="s">
        <v>594</v>
      </c>
      <c r="AV113" s="150" t="s">
        <v>508</v>
      </c>
      <c r="AW113" s="150" t="s">
        <v>151</v>
      </c>
      <c r="AX113" s="150" t="s">
        <v>151</v>
      </c>
      <c r="AY113" s="150" t="s">
        <v>151</v>
      </c>
      <c r="AZ113" s="150" t="s">
        <v>151</v>
      </c>
      <c r="BG113" s="150"/>
      <c r="BH113" s="150" t="s">
        <v>216</v>
      </c>
      <c r="BI113" s="150">
        <f>(BI86/2)*3</f>
        <v>0</v>
      </c>
      <c r="BJ113" s="150">
        <v>0</v>
      </c>
      <c r="BK113" s="150">
        <v>6</v>
      </c>
      <c r="BL113" s="150">
        <v>0</v>
      </c>
      <c r="BM113" s="150">
        <v>0</v>
      </c>
      <c r="BN113" s="150">
        <v>6</v>
      </c>
      <c r="BO113" s="150">
        <v>12</v>
      </c>
      <c r="BP113" s="150">
        <v>0</v>
      </c>
      <c r="BQ113" s="150">
        <v>6</v>
      </c>
      <c r="BR113" s="150">
        <v>12</v>
      </c>
      <c r="BS113" s="150">
        <v>0</v>
      </c>
      <c r="BT113" s="150">
        <v>6</v>
      </c>
      <c r="BU113" s="150">
        <v>12</v>
      </c>
      <c r="BV113" s="150">
        <v>0</v>
      </c>
      <c r="BW113" s="150">
        <v>0</v>
      </c>
      <c r="BX113" s="150">
        <v>6</v>
      </c>
      <c r="BY113" s="150">
        <v>0</v>
      </c>
      <c r="BZ113" s="150">
        <v>0</v>
      </c>
      <c r="CA113" s="150">
        <v>6</v>
      </c>
      <c r="CB113" s="150">
        <v>12</v>
      </c>
      <c r="CC113" s="150">
        <v>0</v>
      </c>
      <c r="CD113" s="150">
        <v>6</v>
      </c>
      <c r="CE113" s="150">
        <v>12</v>
      </c>
      <c r="CF113" s="150">
        <v>0</v>
      </c>
      <c r="CG113" s="150"/>
      <c r="CH113" s="150"/>
      <c r="CI113" s="150"/>
      <c r="CJ113" s="150"/>
      <c r="CK113" s="150"/>
      <c r="CL113" s="150"/>
      <c r="CM113" s="150"/>
      <c r="CN113" s="150" t="s">
        <v>216</v>
      </c>
      <c r="CO113" s="150">
        <v>0</v>
      </c>
      <c r="CP113" s="150">
        <f t="shared" ref="CP113:DL115" si="280">IF(CP86=0,0,IF(CP86&gt;0,(CP86/4)*6,0))</f>
        <v>6</v>
      </c>
      <c r="CQ113" s="150">
        <f t="shared" si="280"/>
        <v>0</v>
      </c>
      <c r="CR113" s="150">
        <f t="shared" si="280"/>
        <v>0</v>
      </c>
      <c r="CS113" s="150">
        <f t="shared" si="280"/>
        <v>6</v>
      </c>
      <c r="CT113" s="150">
        <f t="shared" si="280"/>
        <v>12</v>
      </c>
      <c r="CU113" s="150">
        <f t="shared" si="280"/>
        <v>0</v>
      </c>
      <c r="CV113" s="150">
        <f t="shared" si="280"/>
        <v>6</v>
      </c>
      <c r="CW113" s="150">
        <f t="shared" si="280"/>
        <v>12</v>
      </c>
      <c r="CX113" s="150">
        <f t="shared" si="280"/>
        <v>0</v>
      </c>
      <c r="CY113" s="150">
        <f t="shared" si="280"/>
        <v>6</v>
      </c>
      <c r="CZ113" s="150">
        <f t="shared" si="280"/>
        <v>12</v>
      </c>
      <c r="DA113" s="150">
        <f t="shared" si="280"/>
        <v>0</v>
      </c>
      <c r="DB113" s="150">
        <f t="shared" si="280"/>
        <v>6</v>
      </c>
      <c r="DC113" s="150">
        <f t="shared" si="280"/>
        <v>12</v>
      </c>
      <c r="DD113" s="150">
        <f t="shared" si="280"/>
        <v>0</v>
      </c>
      <c r="DE113" s="150">
        <f t="shared" si="280"/>
        <v>6</v>
      </c>
      <c r="DF113" s="150">
        <f t="shared" si="280"/>
        <v>12</v>
      </c>
      <c r="DG113" s="150">
        <f t="shared" si="280"/>
        <v>0</v>
      </c>
      <c r="DH113" s="150">
        <f t="shared" si="280"/>
        <v>6</v>
      </c>
      <c r="DI113" s="150">
        <f t="shared" si="280"/>
        <v>12</v>
      </c>
      <c r="DJ113" s="150">
        <f t="shared" si="280"/>
        <v>0</v>
      </c>
      <c r="DK113" s="150">
        <f t="shared" si="280"/>
        <v>6</v>
      </c>
      <c r="DL113" s="150">
        <f t="shared" si="280"/>
        <v>12</v>
      </c>
      <c r="DM113" s="150"/>
      <c r="DN113" s="150"/>
      <c r="DO113" s="150"/>
      <c r="DP113" s="150"/>
      <c r="DQ113" s="181"/>
      <c r="DR113" s="181">
        <v>15</v>
      </c>
      <c r="DS113" s="181"/>
      <c r="DT113" s="150"/>
      <c r="DU113" s="150"/>
      <c r="DV113" s="150"/>
      <c r="DW113" s="150"/>
      <c r="DX113" s="150"/>
      <c r="DY113" s="150"/>
      <c r="DZ113" s="150"/>
      <c r="EA113" s="150"/>
      <c r="EB113" s="150"/>
      <c r="EC113" s="150"/>
      <c r="ED113" s="150"/>
      <c r="EE113" s="150"/>
      <c r="EF113" s="150"/>
      <c r="EG113" s="150"/>
      <c r="EH113" s="150"/>
      <c r="EI113" s="150"/>
      <c r="EJ113" s="155"/>
      <c r="EK113" s="150" t="s">
        <v>522</v>
      </c>
      <c r="EL113" s="150">
        <v>0</v>
      </c>
      <c r="EM113" s="150">
        <f>EM86/4*6</f>
        <v>0</v>
      </c>
      <c r="EN113" s="150">
        <f t="shared" ref="EN113:FI113" si="281">EN86/4*6</f>
        <v>6</v>
      </c>
      <c r="EO113" s="150">
        <f t="shared" si="281"/>
        <v>0</v>
      </c>
      <c r="EP113" s="150">
        <f t="shared" si="281"/>
        <v>0</v>
      </c>
      <c r="EQ113" s="150">
        <f t="shared" si="281"/>
        <v>6</v>
      </c>
      <c r="ER113" s="150">
        <f t="shared" si="281"/>
        <v>12</v>
      </c>
      <c r="ES113" s="150">
        <f t="shared" si="281"/>
        <v>0</v>
      </c>
      <c r="ET113" s="150">
        <f t="shared" si="281"/>
        <v>6</v>
      </c>
      <c r="EU113" s="150">
        <f t="shared" si="281"/>
        <v>12</v>
      </c>
      <c r="EV113" s="150">
        <f t="shared" si="281"/>
        <v>0</v>
      </c>
      <c r="EW113" s="150">
        <f t="shared" si="281"/>
        <v>6</v>
      </c>
      <c r="EX113" s="150">
        <f t="shared" si="281"/>
        <v>12</v>
      </c>
      <c r="EY113" s="150">
        <f t="shared" si="281"/>
        <v>12</v>
      </c>
      <c r="EZ113" s="150">
        <f t="shared" si="281"/>
        <v>0</v>
      </c>
      <c r="FA113" s="150">
        <f t="shared" si="281"/>
        <v>6</v>
      </c>
      <c r="FB113" s="150">
        <f t="shared" si="281"/>
        <v>12</v>
      </c>
      <c r="FC113" s="150">
        <f t="shared" si="281"/>
        <v>0</v>
      </c>
      <c r="FD113" s="150">
        <f t="shared" si="281"/>
        <v>6</v>
      </c>
      <c r="FE113" s="150">
        <f t="shared" si="281"/>
        <v>12</v>
      </c>
      <c r="FF113" s="150">
        <f t="shared" si="281"/>
        <v>0</v>
      </c>
      <c r="FG113" s="150">
        <f t="shared" si="281"/>
        <v>6</v>
      </c>
      <c r="FH113" s="150">
        <f t="shared" si="281"/>
        <v>12</v>
      </c>
      <c r="FI113" s="150">
        <f t="shared" si="281"/>
        <v>0</v>
      </c>
      <c r="FJ113" s="150"/>
      <c r="FK113" s="150" t="s">
        <v>522</v>
      </c>
      <c r="FL113" s="150">
        <v>0</v>
      </c>
      <c r="FM113" s="150">
        <f>FM86/4*6</f>
        <v>6</v>
      </c>
      <c r="FN113" s="150">
        <f t="shared" ref="FN113:GI113" si="282">FN86/4*6</f>
        <v>0</v>
      </c>
      <c r="FO113" s="150">
        <f t="shared" si="282"/>
        <v>0</v>
      </c>
      <c r="FP113" s="150">
        <f t="shared" si="282"/>
        <v>6</v>
      </c>
      <c r="FQ113" s="150">
        <f t="shared" si="282"/>
        <v>12</v>
      </c>
      <c r="FR113" s="150">
        <f t="shared" si="282"/>
        <v>0</v>
      </c>
      <c r="FS113" s="150">
        <f t="shared" si="282"/>
        <v>6</v>
      </c>
      <c r="FT113" s="150">
        <f t="shared" si="282"/>
        <v>12</v>
      </c>
      <c r="FU113" s="150">
        <f t="shared" si="282"/>
        <v>0</v>
      </c>
      <c r="FV113" s="150">
        <f t="shared" si="282"/>
        <v>6</v>
      </c>
      <c r="FW113" s="150">
        <f t="shared" si="282"/>
        <v>12</v>
      </c>
      <c r="FX113" s="150">
        <f t="shared" si="282"/>
        <v>0</v>
      </c>
      <c r="FY113" s="150">
        <f t="shared" si="282"/>
        <v>6</v>
      </c>
      <c r="FZ113" s="150">
        <f t="shared" si="282"/>
        <v>12</v>
      </c>
      <c r="GA113" s="150">
        <f t="shared" si="282"/>
        <v>0</v>
      </c>
      <c r="GB113" s="150">
        <f t="shared" si="282"/>
        <v>6</v>
      </c>
      <c r="GC113" s="150">
        <f t="shared" si="282"/>
        <v>12</v>
      </c>
      <c r="GD113" s="150">
        <f t="shared" si="282"/>
        <v>0</v>
      </c>
      <c r="GE113" s="150">
        <f t="shared" si="282"/>
        <v>6</v>
      </c>
      <c r="GF113" s="150">
        <f t="shared" si="282"/>
        <v>12</v>
      </c>
      <c r="GG113" s="150">
        <f t="shared" si="282"/>
        <v>0</v>
      </c>
      <c r="GH113" s="150">
        <f t="shared" si="282"/>
        <v>6</v>
      </c>
      <c r="GI113" s="150">
        <f t="shared" si="282"/>
        <v>12</v>
      </c>
      <c r="GJ113" s="150"/>
      <c r="GK113" s="150"/>
      <c r="GL113" s="150"/>
      <c r="GM113" s="150"/>
      <c r="GN113" s="150"/>
      <c r="GO113" s="150"/>
      <c r="GP113" s="150"/>
      <c r="GQ113" s="150"/>
      <c r="GR113" s="150" t="s">
        <v>522</v>
      </c>
      <c r="GS113" s="150">
        <v>0</v>
      </c>
      <c r="GT113" s="150">
        <f t="shared" ref="GT113:HP113" si="283">GT86/4*6</f>
        <v>6</v>
      </c>
      <c r="GU113" s="150">
        <f t="shared" si="283"/>
        <v>0</v>
      </c>
      <c r="GV113" s="150">
        <f t="shared" si="283"/>
        <v>0</v>
      </c>
      <c r="GW113" s="150">
        <f t="shared" si="283"/>
        <v>6</v>
      </c>
      <c r="GX113" s="150">
        <f t="shared" si="283"/>
        <v>12</v>
      </c>
      <c r="GY113" s="150">
        <f t="shared" si="283"/>
        <v>0</v>
      </c>
      <c r="GZ113" s="150">
        <f t="shared" si="283"/>
        <v>12</v>
      </c>
      <c r="HA113" s="150">
        <f t="shared" si="283"/>
        <v>18</v>
      </c>
      <c r="HB113" s="150">
        <f t="shared" si="283"/>
        <v>6</v>
      </c>
      <c r="HC113" s="150">
        <f t="shared" si="283"/>
        <v>12</v>
      </c>
      <c r="HD113" s="150">
        <f t="shared" si="283"/>
        <v>18</v>
      </c>
      <c r="HE113" s="150">
        <f t="shared" si="283"/>
        <v>24</v>
      </c>
      <c r="HF113" s="150">
        <f t="shared" si="283"/>
        <v>12</v>
      </c>
      <c r="HG113" s="150">
        <f t="shared" si="283"/>
        <v>18</v>
      </c>
      <c r="HH113" s="150">
        <f t="shared" si="283"/>
        <v>24</v>
      </c>
      <c r="HI113" s="150">
        <f t="shared" si="283"/>
        <v>18</v>
      </c>
      <c r="HJ113" s="150">
        <f t="shared" si="283"/>
        <v>24</v>
      </c>
      <c r="HK113" s="150">
        <f t="shared" si="283"/>
        <v>30</v>
      </c>
      <c r="HL113" s="150">
        <f t="shared" si="283"/>
        <v>36</v>
      </c>
      <c r="HM113" s="150">
        <f t="shared" si="283"/>
        <v>24</v>
      </c>
      <c r="HN113" s="150">
        <f t="shared" si="283"/>
        <v>30</v>
      </c>
      <c r="HO113" s="150">
        <f t="shared" si="283"/>
        <v>36</v>
      </c>
      <c r="HP113" s="150">
        <f t="shared" si="283"/>
        <v>42</v>
      </c>
      <c r="HS113" s="154" t="s">
        <v>522</v>
      </c>
      <c r="HT113" s="154">
        <v>0</v>
      </c>
      <c r="HU113" s="150">
        <f t="shared" ref="HU113:IQ113" si="284">HU86/4*6</f>
        <v>6</v>
      </c>
      <c r="HV113" s="150">
        <f t="shared" si="284"/>
        <v>0</v>
      </c>
      <c r="HW113" s="150">
        <f t="shared" si="284"/>
        <v>6</v>
      </c>
      <c r="HX113" s="150">
        <f t="shared" si="284"/>
        <v>12</v>
      </c>
      <c r="HY113" s="150">
        <f t="shared" si="284"/>
        <v>0</v>
      </c>
      <c r="HZ113" s="150">
        <f t="shared" si="284"/>
        <v>6</v>
      </c>
      <c r="IA113" s="150">
        <f t="shared" si="284"/>
        <v>12</v>
      </c>
      <c r="IB113" s="150">
        <f t="shared" si="284"/>
        <v>6</v>
      </c>
      <c r="IC113" s="150">
        <f t="shared" si="284"/>
        <v>12</v>
      </c>
      <c r="ID113" s="150">
        <f t="shared" si="284"/>
        <v>18</v>
      </c>
      <c r="IE113" s="150">
        <f t="shared" si="284"/>
        <v>24</v>
      </c>
      <c r="IF113" s="150">
        <f t="shared" si="284"/>
        <v>12</v>
      </c>
      <c r="IG113" s="150">
        <f t="shared" si="284"/>
        <v>24</v>
      </c>
      <c r="IH113" s="150">
        <f t="shared" si="284"/>
        <v>30</v>
      </c>
      <c r="II113" s="150">
        <f t="shared" si="284"/>
        <v>18</v>
      </c>
      <c r="IJ113" s="150">
        <f t="shared" si="284"/>
        <v>24</v>
      </c>
      <c r="IK113" s="150">
        <f t="shared" si="284"/>
        <v>30</v>
      </c>
      <c r="IL113" s="150">
        <f t="shared" si="284"/>
        <v>24</v>
      </c>
      <c r="IM113" s="150">
        <f t="shared" si="284"/>
        <v>30</v>
      </c>
      <c r="IN113" s="150">
        <f t="shared" si="284"/>
        <v>36</v>
      </c>
      <c r="IO113" s="150">
        <f t="shared" si="284"/>
        <v>42</v>
      </c>
      <c r="IP113" s="150">
        <f t="shared" si="284"/>
        <v>30</v>
      </c>
      <c r="IQ113" s="150">
        <f t="shared" si="284"/>
        <v>42</v>
      </c>
      <c r="IR113" s="157"/>
    </row>
    <row r="114" spans="1:252" x14ac:dyDescent="0.25">
      <c r="A114" s="9"/>
      <c r="B114" s="6"/>
      <c r="C114" s="9"/>
      <c r="D114" s="40" t="s">
        <v>798</v>
      </c>
      <c r="E114" s="9"/>
      <c r="F114" s="9"/>
      <c r="G114" s="9"/>
      <c r="H114" s="9"/>
      <c r="I114" s="9"/>
      <c r="J114" s="9"/>
      <c r="K114" s="9"/>
      <c r="L114" s="6" t="str">
        <f>INDEX(($AH$3:$AI$12),MATCH(I99,$AG$3:$AG$12,0),MATCH(E100,$AH$2:$AI$2,0))</f>
        <v>BUF35</v>
      </c>
      <c r="M114" s="11">
        <f>INDEX(cennik!$C$2:$L$529,MATCH($L114,cennik!$B$2:$B$522,0),MATCH(M$2,cennik!$C$1:$L$1,0))</f>
        <v>897335</v>
      </c>
      <c r="N114" s="11" t="str">
        <f>INDEX(cennik!$C$2:$L$529,MATCH($L114,cennik!$B$2:$B$522,0),MATCH(N$2,cennik!$C$1:$L$1,0))</f>
        <v>szt.</v>
      </c>
      <c r="O114" s="11">
        <f>SUM((C98*8),(C99*8),(C100*8),(C101*8),(C102*8),(C103*8),(C104*8),(C105*8),(C106*8),(C107*8),(C108*8),(C109*8),(C110*8),(C111*8),(C112*8),(C113*8))</f>
        <v>0</v>
      </c>
      <c r="P114" s="34">
        <f>INDEX(cennik!$C$2:$L$529,MATCH($L114,cennik!$B$2:$B$522,0),MATCH(P$2,cennik!$C$1:$L$1,0))</f>
        <v>1.92</v>
      </c>
      <c r="Q114" s="34">
        <f t="shared" si="273"/>
        <v>0</v>
      </c>
      <c r="R114" s="35">
        <f t="shared" si="263"/>
        <v>0</v>
      </c>
      <c r="S114" s="34">
        <f t="shared" si="264"/>
        <v>1.92</v>
      </c>
      <c r="T114" s="34">
        <f t="shared" si="274"/>
        <v>0</v>
      </c>
      <c r="U114" s="34">
        <f>INDEX(cennik!$C$2:$L$529,MATCH($L114,cennik!$B$2:$B$522,0),MATCH(U$2,cennik!$C$1:$L$1,0))*O114</f>
        <v>0</v>
      </c>
      <c r="V114" s="62"/>
      <c r="W114" s="150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114" s="150"/>
      <c r="Y114" s="150"/>
      <c r="Z114" s="150"/>
      <c r="AA114" s="150"/>
      <c r="AB114" s="150"/>
      <c r="AC114" s="150"/>
      <c r="AD114" s="150"/>
      <c r="AE114" s="150"/>
      <c r="AF114" s="150"/>
      <c r="AG114" s="150"/>
      <c r="AH114" s="150">
        <f>((AH113/3)*AI113)+(((AH113/3)-1)*20)+100</f>
        <v>29330</v>
      </c>
      <c r="AI114" s="150" t="s">
        <v>158</v>
      </c>
      <c r="AJ114" s="150" t="s">
        <v>156</v>
      </c>
      <c r="AK114" s="150" t="s">
        <v>155</v>
      </c>
      <c r="AL114" s="150"/>
      <c r="AM114" s="150" t="s">
        <v>157</v>
      </c>
      <c r="AP114" s="150" t="s">
        <v>507</v>
      </c>
      <c r="AQ114" s="150" t="s">
        <v>596</v>
      </c>
      <c r="AR114" s="150" t="s">
        <v>595</v>
      </c>
      <c r="AS114" s="150" t="s">
        <v>594</v>
      </c>
      <c r="AT114" s="150" t="s">
        <v>594</v>
      </c>
      <c r="AV114" s="150" t="s">
        <v>507</v>
      </c>
      <c r="AW114" s="150" t="s">
        <v>151</v>
      </c>
      <c r="AX114" s="150" t="s">
        <v>151</v>
      </c>
      <c r="AY114" s="150" t="s">
        <v>151</v>
      </c>
      <c r="AZ114" s="150" t="s">
        <v>151</v>
      </c>
      <c r="BG114" s="150"/>
      <c r="BH114" s="150" t="s">
        <v>17</v>
      </c>
      <c r="BI114" s="150">
        <f>(BI87/2)*3</f>
        <v>0</v>
      </c>
      <c r="BJ114" s="150">
        <v>6</v>
      </c>
      <c r="BK114" s="150">
        <v>0</v>
      </c>
      <c r="BL114" s="150">
        <v>0</v>
      </c>
      <c r="BM114" s="150">
        <v>0</v>
      </c>
      <c r="BN114" s="150">
        <v>6</v>
      </c>
      <c r="BO114" s="150">
        <v>0</v>
      </c>
      <c r="BP114" s="150">
        <v>6</v>
      </c>
      <c r="BQ114" s="150">
        <v>0</v>
      </c>
      <c r="BR114" s="150">
        <v>6</v>
      </c>
      <c r="BS114" s="150">
        <v>0</v>
      </c>
      <c r="BT114" s="150">
        <v>6</v>
      </c>
      <c r="BU114" s="150">
        <v>0</v>
      </c>
      <c r="BV114" s="150">
        <v>6</v>
      </c>
      <c r="BW114" s="150">
        <v>6</v>
      </c>
      <c r="BX114" s="150">
        <v>0</v>
      </c>
      <c r="BY114" s="150">
        <v>0</v>
      </c>
      <c r="BZ114" s="150">
        <v>0</v>
      </c>
      <c r="CA114" s="150">
        <v>6</v>
      </c>
      <c r="CB114" s="150">
        <v>0</v>
      </c>
      <c r="CC114" s="150">
        <v>6</v>
      </c>
      <c r="CD114" s="150">
        <v>0</v>
      </c>
      <c r="CE114" s="150">
        <v>6</v>
      </c>
      <c r="CF114" s="150">
        <v>0</v>
      </c>
      <c r="CG114" s="150"/>
      <c r="CH114" s="150"/>
      <c r="CI114" s="150"/>
      <c r="CJ114" s="150"/>
      <c r="CK114" s="150"/>
      <c r="CL114" s="150"/>
      <c r="CM114" s="150"/>
      <c r="CN114" s="150" t="s">
        <v>17</v>
      </c>
      <c r="CO114" s="150">
        <v>0</v>
      </c>
      <c r="CP114" s="150">
        <f t="shared" si="280"/>
        <v>0</v>
      </c>
      <c r="CQ114" s="150">
        <f t="shared" si="280"/>
        <v>0</v>
      </c>
      <c r="CR114" s="150">
        <f t="shared" si="280"/>
        <v>0</v>
      </c>
      <c r="CS114" s="150">
        <f t="shared" si="280"/>
        <v>6</v>
      </c>
      <c r="CT114" s="150">
        <f t="shared" si="280"/>
        <v>0</v>
      </c>
      <c r="CU114" s="150">
        <f t="shared" si="280"/>
        <v>6</v>
      </c>
      <c r="CV114" s="150">
        <f t="shared" si="280"/>
        <v>0</v>
      </c>
      <c r="CW114" s="150">
        <f t="shared" si="280"/>
        <v>6</v>
      </c>
      <c r="CX114" s="150">
        <f t="shared" si="280"/>
        <v>0</v>
      </c>
      <c r="CY114" s="150">
        <f t="shared" si="280"/>
        <v>6</v>
      </c>
      <c r="CZ114" s="150">
        <f t="shared" si="280"/>
        <v>0</v>
      </c>
      <c r="DA114" s="150">
        <f t="shared" si="280"/>
        <v>6</v>
      </c>
      <c r="DB114" s="150">
        <f t="shared" si="280"/>
        <v>0</v>
      </c>
      <c r="DC114" s="150">
        <f t="shared" si="280"/>
        <v>6</v>
      </c>
      <c r="DD114" s="150">
        <f t="shared" si="280"/>
        <v>0</v>
      </c>
      <c r="DE114" s="150">
        <f t="shared" si="280"/>
        <v>6</v>
      </c>
      <c r="DF114" s="150">
        <f t="shared" si="280"/>
        <v>0</v>
      </c>
      <c r="DG114" s="150">
        <f t="shared" si="280"/>
        <v>6</v>
      </c>
      <c r="DH114" s="150">
        <f t="shared" si="280"/>
        <v>0</v>
      </c>
      <c r="DI114" s="150">
        <f t="shared" si="280"/>
        <v>6</v>
      </c>
      <c r="DJ114" s="150">
        <f t="shared" si="280"/>
        <v>0</v>
      </c>
      <c r="DK114" s="150">
        <f t="shared" si="280"/>
        <v>6</v>
      </c>
      <c r="DL114" s="150">
        <f t="shared" si="280"/>
        <v>0</v>
      </c>
      <c r="DM114" s="150"/>
      <c r="DN114" s="150"/>
      <c r="DO114" s="150"/>
      <c r="DP114" s="150"/>
      <c r="DQ114" s="181"/>
      <c r="DR114" s="181">
        <v>18</v>
      </c>
      <c r="DS114" s="181"/>
      <c r="DT114" s="150"/>
      <c r="DU114" s="150"/>
      <c r="DV114" s="150"/>
      <c r="DW114" s="150"/>
      <c r="DX114" s="150"/>
      <c r="DY114" s="150"/>
      <c r="DZ114" s="150"/>
      <c r="EA114" s="150"/>
      <c r="EB114" s="150"/>
      <c r="EC114" s="150"/>
      <c r="ED114" s="150"/>
      <c r="EE114" s="150"/>
      <c r="EF114" s="150"/>
      <c r="EG114" s="150"/>
      <c r="EH114" s="150"/>
      <c r="EI114" s="150"/>
      <c r="EJ114" s="155"/>
      <c r="EK114" s="150" t="s">
        <v>523</v>
      </c>
      <c r="EL114" s="150">
        <v>0</v>
      </c>
      <c r="EM114" s="150">
        <f>EM87/4*6</f>
        <v>6</v>
      </c>
      <c r="EN114" s="150">
        <f t="shared" ref="EN114:FI114" si="285">EN87/4*6</f>
        <v>0</v>
      </c>
      <c r="EO114" s="150">
        <f t="shared" si="285"/>
        <v>0</v>
      </c>
      <c r="EP114" s="150">
        <f t="shared" si="285"/>
        <v>12</v>
      </c>
      <c r="EQ114" s="150">
        <f t="shared" si="285"/>
        <v>6</v>
      </c>
      <c r="ER114" s="150">
        <f t="shared" si="285"/>
        <v>0</v>
      </c>
      <c r="ES114" s="150">
        <f t="shared" si="285"/>
        <v>18</v>
      </c>
      <c r="ET114" s="150">
        <f t="shared" si="285"/>
        <v>12</v>
      </c>
      <c r="EU114" s="150">
        <f t="shared" si="285"/>
        <v>6</v>
      </c>
      <c r="EV114" s="150">
        <f t="shared" si="285"/>
        <v>24</v>
      </c>
      <c r="EW114" s="150">
        <f t="shared" si="285"/>
        <v>18</v>
      </c>
      <c r="EX114" s="150">
        <f t="shared" si="285"/>
        <v>12</v>
      </c>
      <c r="EY114" s="150">
        <f t="shared" si="285"/>
        <v>12</v>
      </c>
      <c r="EZ114" s="150">
        <f t="shared" si="285"/>
        <v>30</v>
      </c>
      <c r="FA114" s="150">
        <f t="shared" si="285"/>
        <v>24</v>
      </c>
      <c r="FB114" s="150">
        <f t="shared" si="285"/>
        <v>18</v>
      </c>
      <c r="FC114" s="150">
        <f t="shared" si="285"/>
        <v>36</v>
      </c>
      <c r="FD114" s="150">
        <f t="shared" si="285"/>
        <v>30</v>
      </c>
      <c r="FE114" s="150">
        <f t="shared" si="285"/>
        <v>24</v>
      </c>
      <c r="FF114" s="150">
        <f t="shared" si="285"/>
        <v>42</v>
      </c>
      <c r="FG114" s="150">
        <f t="shared" si="285"/>
        <v>36</v>
      </c>
      <c r="FH114" s="150">
        <f t="shared" si="285"/>
        <v>30</v>
      </c>
      <c r="FI114" s="150">
        <f t="shared" si="285"/>
        <v>48</v>
      </c>
      <c r="FJ114" s="150"/>
      <c r="FK114" s="150" t="s">
        <v>523</v>
      </c>
      <c r="FL114" s="150">
        <v>0</v>
      </c>
      <c r="FM114" s="150">
        <f>FM87/4*6</f>
        <v>0</v>
      </c>
      <c r="FN114" s="150">
        <f t="shared" ref="FN114:GI114" si="286">FN87/4*6</f>
        <v>0</v>
      </c>
      <c r="FO114" s="150">
        <f t="shared" si="286"/>
        <v>0</v>
      </c>
      <c r="FP114" s="150">
        <f t="shared" si="286"/>
        <v>6</v>
      </c>
      <c r="FQ114" s="150">
        <f t="shared" si="286"/>
        <v>0</v>
      </c>
      <c r="FR114" s="150">
        <f t="shared" si="286"/>
        <v>18</v>
      </c>
      <c r="FS114" s="150">
        <f t="shared" si="286"/>
        <v>12</v>
      </c>
      <c r="FT114" s="150">
        <f t="shared" si="286"/>
        <v>6</v>
      </c>
      <c r="FU114" s="150">
        <f t="shared" si="286"/>
        <v>24</v>
      </c>
      <c r="FV114" s="150">
        <f t="shared" si="286"/>
        <v>18</v>
      </c>
      <c r="FW114" s="150">
        <f t="shared" si="286"/>
        <v>12</v>
      </c>
      <c r="FX114" s="150">
        <f t="shared" si="286"/>
        <v>30</v>
      </c>
      <c r="FY114" s="150">
        <f t="shared" si="286"/>
        <v>24</v>
      </c>
      <c r="FZ114" s="150">
        <f t="shared" si="286"/>
        <v>18</v>
      </c>
      <c r="GA114" s="150">
        <f t="shared" si="286"/>
        <v>36</v>
      </c>
      <c r="GB114" s="150">
        <f t="shared" si="286"/>
        <v>30</v>
      </c>
      <c r="GC114" s="150">
        <f t="shared" si="286"/>
        <v>24</v>
      </c>
      <c r="GD114" s="150">
        <f t="shared" si="286"/>
        <v>42</v>
      </c>
      <c r="GE114" s="150">
        <f t="shared" si="286"/>
        <v>36</v>
      </c>
      <c r="GF114" s="150">
        <f t="shared" si="286"/>
        <v>30</v>
      </c>
      <c r="GG114" s="150">
        <f t="shared" si="286"/>
        <v>48</v>
      </c>
      <c r="GH114" s="150">
        <f t="shared" si="286"/>
        <v>42</v>
      </c>
      <c r="GI114" s="150">
        <f t="shared" si="286"/>
        <v>36</v>
      </c>
      <c r="GJ114" s="150"/>
      <c r="GK114" s="150"/>
      <c r="GL114" s="150"/>
      <c r="GM114" s="150"/>
      <c r="GN114" s="150"/>
      <c r="GO114" s="150"/>
      <c r="GP114" s="150"/>
      <c r="GQ114" s="150"/>
      <c r="GR114" s="150" t="s">
        <v>523</v>
      </c>
      <c r="GS114" s="150">
        <v>0</v>
      </c>
      <c r="GT114" s="150">
        <f t="shared" ref="GT114:HP114" si="287">GT87/4*6</f>
        <v>0</v>
      </c>
      <c r="GU114" s="150">
        <f t="shared" si="287"/>
        <v>0</v>
      </c>
      <c r="GV114" s="150">
        <f t="shared" si="287"/>
        <v>0</v>
      </c>
      <c r="GW114" s="150">
        <f t="shared" si="287"/>
        <v>6</v>
      </c>
      <c r="GX114" s="150">
        <f t="shared" si="287"/>
        <v>0</v>
      </c>
      <c r="GY114" s="150">
        <f t="shared" si="287"/>
        <v>18</v>
      </c>
      <c r="GZ114" s="150">
        <f t="shared" si="287"/>
        <v>6</v>
      </c>
      <c r="HA114" s="150">
        <f t="shared" si="287"/>
        <v>0</v>
      </c>
      <c r="HB114" s="150">
        <f t="shared" si="287"/>
        <v>18</v>
      </c>
      <c r="HC114" s="150">
        <f t="shared" si="287"/>
        <v>12</v>
      </c>
      <c r="HD114" s="150">
        <f t="shared" si="287"/>
        <v>6</v>
      </c>
      <c r="HE114" s="150">
        <f t="shared" si="287"/>
        <v>0</v>
      </c>
      <c r="HF114" s="150">
        <f t="shared" si="287"/>
        <v>18</v>
      </c>
      <c r="HG114" s="150">
        <f t="shared" si="287"/>
        <v>12</v>
      </c>
      <c r="HH114" s="150">
        <f t="shared" si="287"/>
        <v>6</v>
      </c>
      <c r="HI114" s="150">
        <f t="shared" si="287"/>
        <v>18</v>
      </c>
      <c r="HJ114" s="150">
        <f t="shared" si="287"/>
        <v>12</v>
      </c>
      <c r="HK114" s="150">
        <f t="shared" si="287"/>
        <v>6</v>
      </c>
      <c r="HL114" s="150">
        <f t="shared" si="287"/>
        <v>0</v>
      </c>
      <c r="HM114" s="150">
        <f t="shared" si="287"/>
        <v>18</v>
      </c>
      <c r="HN114" s="150">
        <f t="shared" si="287"/>
        <v>12</v>
      </c>
      <c r="HO114" s="150">
        <f t="shared" si="287"/>
        <v>6</v>
      </c>
      <c r="HP114" s="150">
        <f t="shared" si="287"/>
        <v>0</v>
      </c>
      <c r="HS114" s="154" t="s">
        <v>523</v>
      </c>
      <c r="HT114" s="154">
        <v>0</v>
      </c>
      <c r="HU114" s="150">
        <f t="shared" ref="HU114:IQ114" si="288">HU87/4*6</f>
        <v>0</v>
      </c>
      <c r="HV114" s="150">
        <f t="shared" si="288"/>
        <v>0</v>
      </c>
      <c r="HW114" s="150">
        <f t="shared" si="288"/>
        <v>6</v>
      </c>
      <c r="HX114" s="150">
        <f t="shared" si="288"/>
        <v>0</v>
      </c>
      <c r="HY114" s="150">
        <f t="shared" si="288"/>
        <v>18</v>
      </c>
      <c r="HZ114" s="150">
        <f t="shared" si="288"/>
        <v>12</v>
      </c>
      <c r="IA114" s="150">
        <f t="shared" si="288"/>
        <v>6</v>
      </c>
      <c r="IB114" s="150">
        <f t="shared" si="288"/>
        <v>18</v>
      </c>
      <c r="IC114" s="150">
        <f t="shared" si="288"/>
        <v>12</v>
      </c>
      <c r="ID114" s="150">
        <f t="shared" si="288"/>
        <v>6</v>
      </c>
      <c r="IE114" s="150">
        <f t="shared" si="288"/>
        <v>0</v>
      </c>
      <c r="IF114" s="150">
        <f t="shared" si="288"/>
        <v>18</v>
      </c>
      <c r="IG114" s="150">
        <f t="shared" si="288"/>
        <v>6</v>
      </c>
      <c r="IH114" s="150">
        <f t="shared" si="288"/>
        <v>0</v>
      </c>
      <c r="II114" s="150">
        <f t="shared" si="288"/>
        <v>18</v>
      </c>
      <c r="IJ114" s="150">
        <f t="shared" si="288"/>
        <v>12</v>
      </c>
      <c r="IK114" s="150">
        <f t="shared" si="288"/>
        <v>6</v>
      </c>
      <c r="IL114" s="150">
        <f t="shared" si="288"/>
        <v>18</v>
      </c>
      <c r="IM114" s="150">
        <f t="shared" si="288"/>
        <v>12</v>
      </c>
      <c r="IN114" s="150">
        <f t="shared" si="288"/>
        <v>6</v>
      </c>
      <c r="IO114" s="150">
        <f t="shared" si="288"/>
        <v>0</v>
      </c>
      <c r="IP114" s="150">
        <f t="shared" si="288"/>
        <v>18</v>
      </c>
      <c r="IQ114" s="150">
        <f t="shared" si="288"/>
        <v>6</v>
      </c>
      <c r="IR114" s="157"/>
    </row>
    <row r="115" spans="1:252" x14ac:dyDescent="0.2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6" t="str">
        <f>INDEX(($AH$13:$AI$13),1,MATCH(E100,$AH$2:$AI$2,0))</f>
        <v>PUF</v>
      </c>
      <c r="M115" s="11">
        <f>INDEX(cennik!$C$2:$L$529,MATCH($L115,cennik!$B$2:$B$522,0),MATCH(M$2,cennik!$C$1:$L$1,0))</f>
        <v>897300</v>
      </c>
      <c r="N115" s="11" t="str">
        <f>INDEX(cennik!$C$2:$L$529,MATCH($L115,cennik!$B$2:$B$522,0),MATCH(N$2,cennik!$C$1:$L$1,0))</f>
        <v>szt.</v>
      </c>
      <c r="O115" s="11">
        <f>SUM((((A98/2)-1)*4)*C98,(((A99/2)-1)*4)*C99,(((A100/2)-1)*4)*C100,(((A101/2)-1)*4)*C101,(((A102/2)-1)*4)*C102,(((A103/2)-1)*4)*C103,(((A104/2)-1)*4)*C104,(((A105/2)-1)*4)*C105,(((A106/2)-1)*4)*C106,(((A107/2)-1)*4)*C107,(((A108/2)-1)*4)*C108,(((A109/2)-1)*4)*C109,(((A110/2)-1)*4)*C110,(((A111/2)-1)*4)*C111,(((A112/2)-1)*4)*C112,(((A113/2)-1)*4)*C113)</f>
        <v>0</v>
      </c>
      <c r="P115" s="34">
        <f>INDEX(cennik!$C$2:$L$529,MATCH($L115,cennik!$B$2:$B$522,0),MATCH(P$2,cennik!$C$1:$L$1,0))</f>
        <v>2.06</v>
      </c>
      <c r="Q115" s="34">
        <f t="shared" si="273"/>
        <v>0</v>
      </c>
      <c r="R115" s="35">
        <f t="shared" si="263"/>
        <v>0</v>
      </c>
      <c r="S115" s="34">
        <f t="shared" si="264"/>
        <v>2.06</v>
      </c>
      <c r="T115" s="34">
        <f t="shared" si="274"/>
        <v>0</v>
      </c>
      <c r="U115" s="34">
        <f>INDEX(cennik!$C$2:$L$529,MATCH($L115,cennik!$B$2:$B$522,0),MATCH(U$2,cennik!$C$1:$L$1,0))*O115</f>
        <v>0</v>
      </c>
      <c r="V115" s="62"/>
      <c r="W115" s="150"/>
      <c r="X115" s="150"/>
      <c r="Y115" s="150"/>
      <c r="Z115" s="150"/>
      <c r="AA115" s="150"/>
      <c r="AB115" s="150"/>
      <c r="AC115" s="150"/>
      <c r="AD115" s="150"/>
      <c r="AE115" s="150"/>
      <c r="AF115" s="150"/>
      <c r="AG115" s="150" t="s">
        <v>217</v>
      </c>
      <c r="AH115" s="150">
        <v>6600</v>
      </c>
      <c r="AI115" s="150">
        <v>4</v>
      </c>
      <c r="AJ115" s="150">
        <f>AH115*AI115</f>
        <v>26400</v>
      </c>
      <c r="AK115" s="150">
        <v>191.1</v>
      </c>
      <c r="AL115" s="150">
        <f>AI115*AK115</f>
        <v>764.4</v>
      </c>
      <c r="AM115" s="150">
        <f>AI115*6</f>
        <v>24</v>
      </c>
      <c r="AP115" s="150" t="s">
        <v>763</v>
      </c>
      <c r="AQ115" s="150" t="s">
        <v>593</v>
      </c>
      <c r="AR115" s="150" t="s">
        <v>596</v>
      </c>
      <c r="AS115" s="150" t="s">
        <v>594</v>
      </c>
      <c r="AT115" s="150" t="s">
        <v>594</v>
      </c>
      <c r="AV115" s="150" t="s">
        <v>763</v>
      </c>
      <c r="AW115" s="150" t="s">
        <v>593</v>
      </c>
      <c r="AX115" s="150" t="s">
        <v>151</v>
      </c>
      <c r="AY115" s="150" t="s">
        <v>151</v>
      </c>
      <c r="AZ115" s="150" t="s">
        <v>151</v>
      </c>
      <c r="BG115" s="150"/>
      <c r="BH115" s="150" t="s">
        <v>18</v>
      </c>
      <c r="BI115" s="150">
        <f>(BI88/2)*3</f>
        <v>0</v>
      </c>
      <c r="BJ115" s="150">
        <v>0</v>
      </c>
      <c r="BK115" s="150">
        <v>0</v>
      </c>
      <c r="BL115" s="150">
        <v>0</v>
      </c>
      <c r="BM115" s="150">
        <v>0</v>
      </c>
      <c r="BN115" s="150">
        <v>6</v>
      </c>
      <c r="BO115" s="150">
        <v>6</v>
      </c>
      <c r="BP115" s="150">
        <v>6</v>
      </c>
      <c r="BQ115" s="150">
        <v>6</v>
      </c>
      <c r="BR115" s="150">
        <v>12</v>
      </c>
      <c r="BS115" s="150">
        <v>6</v>
      </c>
      <c r="BT115" s="150">
        <v>12</v>
      </c>
      <c r="BU115" s="150">
        <v>12</v>
      </c>
      <c r="BV115" s="150">
        <v>12</v>
      </c>
      <c r="BW115" s="150">
        <v>12</v>
      </c>
      <c r="BX115" s="150">
        <v>12</v>
      </c>
      <c r="BY115" s="150">
        <v>12</v>
      </c>
      <c r="BZ115" s="150">
        <v>12</v>
      </c>
      <c r="CA115" s="150">
        <v>18</v>
      </c>
      <c r="CB115" s="150">
        <v>18</v>
      </c>
      <c r="CC115" s="150">
        <v>18</v>
      </c>
      <c r="CD115" s="150">
        <v>18</v>
      </c>
      <c r="CE115" s="150">
        <v>24</v>
      </c>
      <c r="CF115" s="150">
        <v>18</v>
      </c>
      <c r="CG115" s="150"/>
      <c r="CH115" s="150"/>
      <c r="CI115" s="150"/>
      <c r="CJ115" s="150"/>
      <c r="CK115" s="150"/>
      <c r="CL115" s="150"/>
      <c r="CM115" s="150"/>
      <c r="CN115" s="150" t="s">
        <v>18</v>
      </c>
      <c r="CO115" s="150">
        <v>0</v>
      </c>
      <c r="CP115" s="150">
        <f t="shared" si="280"/>
        <v>0</v>
      </c>
      <c r="CQ115" s="150">
        <f t="shared" si="280"/>
        <v>0</v>
      </c>
      <c r="CR115" s="150">
        <f t="shared" si="280"/>
        <v>0</v>
      </c>
      <c r="CS115" s="150">
        <f t="shared" si="280"/>
        <v>6</v>
      </c>
      <c r="CT115" s="150">
        <f t="shared" si="280"/>
        <v>6</v>
      </c>
      <c r="CU115" s="150">
        <f t="shared" si="280"/>
        <v>6</v>
      </c>
      <c r="CV115" s="150">
        <f t="shared" si="280"/>
        <v>6</v>
      </c>
      <c r="CW115" s="150">
        <f t="shared" si="280"/>
        <v>12</v>
      </c>
      <c r="CX115" s="150">
        <f t="shared" si="280"/>
        <v>6</v>
      </c>
      <c r="CY115" s="150">
        <f t="shared" si="280"/>
        <v>12</v>
      </c>
      <c r="CZ115" s="150">
        <f t="shared" si="280"/>
        <v>12</v>
      </c>
      <c r="DA115" s="150">
        <f t="shared" si="280"/>
        <v>12</v>
      </c>
      <c r="DB115" s="150">
        <f t="shared" si="280"/>
        <v>12</v>
      </c>
      <c r="DC115" s="150">
        <f t="shared" si="280"/>
        <v>18</v>
      </c>
      <c r="DD115" s="150">
        <f t="shared" si="280"/>
        <v>12</v>
      </c>
      <c r="DE115" s="150">
        <f t="shared" si="280"/>
        <v>18</v>
      </c>
      <c r="DF115" s="150">
        <f t="shared" si="280"/>
        <v>18</v>
      </c>
      <c r="DG115" s="150">
        <f t="shared" si="280"/>
        <v>18</v>
      </c>
      <c r="DH115" s="150">
        <f t="shared" si="280"/>
        <v>18</v>
      </c>
      <c r="DI115" s="150">
        <f t="shared" si="280"/>
        <v>24</v>
      </c>
      <c r="DJ115" s="150">
        <f t="shared" si="280"/>
        <v>18</v>
      </c>
      <c r="DK115" s="150">
        <f t="shared" si="280"/>
        <v>24</v>
      </c>
      <c r="DL115" s="150">
        <f t="shared" si="280"/>
        <v>24</v>
      </c>
      <c r="DM115" s="150"/>
      <c r="DN115" s="150"/>
      <c r="DO115" s="150"/>
      <c r="DP115" s="150"/>
      <c r="DQ115" s="181"/>
      <c r="DR115" s="181">
        <v>21</v>
      </c>
      <c r="DS115" s="181"/>
      <c r="DT115" s="150"/>
      <c r="DU115" s="150"/>
      <c r="DV115" s="150"/>
      <c r="DW115" s="150"/>
      <c r="DX115" s="150"/>
      <c r="DY115" s="150"/>
      <c r="DZ115" s="150"/>
      <c r="EA115" s="150"/>
      <c r="EB115" s="150"/>
      <c r="EC115" s="150"/>
      <c r="ED115" s="150"/>
      <c r="EE115" s="150"/>
      <c r="EF115" s="150"/>
      <c r="EG115" s="150"/>
      <c r="EH115" s="150"/>
      <c r="EI115" s="150"/>
      <c r="EJ115" s="155"/>
      <c r="EK115" s="158" t="s">
        <v>779</v>
      </c>
      <c r="EL115" s="150">
        <v>0</v>
      </c>
      <c r="EM115" s="150">
        <f>((SUM(EM113:EM114)/6)-1)*6</f>
        <v>0</v>
      </c>
      <c r="EN115" s="150">
        <f t="shared" ref="EN115:FI115" si="289">((SUM(EN113:EN114)/6)-1)*6</f>
        <v>0</v>
      </c>
      <c r="EO115" s="150">
        <v>0</v>
      </c>
      <c r="EP115" s="150">
        <f t="shared" si="289"/>
        <v>6</v>
      </c>
      <c r="EQ115" s="150">
        <f t="shared" si="289"/>
        <v>6</v>
      </c>
      <c r="ER115" s="150">
        <f t="shared" si="289"/>
        <v>6</v>
      </c>
      <c r="ES115" s="150">
        <f t="shared" si="289"/>
        <v>12</v>
      </c>
      <c r="ET115" s="150">
        <f t="shared" si="289"/>
        <v>12</v>
      </c>
      <c r="EU115" s="150">
        <f t="shared" si="289"/>
        <v>12</v>
      </c>
      <c r="EV115" s="150">
        <f t="shared" si="289"/>
        <v>18</v>
      </c>
      <c r="EW115" s="150">
        <f t="shared" si="289"/>
        <v>18</v>
      </c>
      <c r="EX115" s="150">
        <f t="shared" si="289"/>
        <v>18</v>
      </c>
      <c r="EY115" s="150">
        <f t="shared" si="289"/>
        <v>18</v>
      </c>
      <c r="EZ115" s="150">
        <f t="shared" si="289"/>
        <v>24</v>
      </c>
      <c r="FA115" s="150">
        <f t="shared" si="289"/>
        <v>24</v>
      </c>
      <c r="FB115" s="150">
        <f t="shared" si="289"/>
        <v>24</v>
      </c>
      <c r="FC115" s="150">
        <f t="shared" si="289"/>
        <v>30</v>
      </c>
      <c r="FD115" s="150">
        <f t="shared" si="289"/>
        <v>30</v>
      </c>
      <c r="FE115" s="150">
        <f t="shared" si="289"/>
        <v>30</v>
      </c>
      <c r="FF115" s="150">
        <f t="shared" si="289"/>
        <v>36</v>
      </c>
      <c r="FG115" s="150">
        <f t="shared" si="289"/>
        <v>36</v>
      </c>
      <c r="FH115" s="150">
        <f t="shared" si="289"/>
        <v>36</v>
      </c>
      <c r="FI115" s="150">
        <f t="shared" si="289"/>
        <v>42</v>
      </c>
      <c r="FJ115" s="150"/>
      <c r="FK115" s="158" t="s">
        <v>779</v>
      </c>
      <c r="FL115" s="150">
        <v>0</v>
      </c>
      <c r="FM115" s="150">
        <f>((SUM(FM113:FM114)/6)-1)*6</f>
        <v>0</v>
      </c>
      <c r="FN115" s="150">
        <v>0</v>
      </c>
      <c r="FO115" s="150">
        <v>0</v>
      </c>
      <c r="FP115" s="150">
        <f t="shared" ref="FP115:GI115" si="290">((SUM(FP113:FP114)/6)-1)*6</f>
        <v>6</v>
      </c>
      <c r="FQ115" s="150">
        <f t="shared" si="290"/>
        <v>6</v>
      </c>
      <c r="FR115" s="150">
        <f t="shared" si="290"/>
        <v>12</v>
      </c>
      <c r="FS115" s="150">
        <f t="shared" si="290"/>
        <v>12</v>
      </c>
      <c r="FT115" s="150">
        <f t="shared" si="290"/>
        <v>12</v>
      </c>
      <c r="FU115" s="150">
        <f t="shared" si="290"/>
        <v>18</v>
      </c>
      <c r="FV115" s="150">
        <f t="shared" si="290"/>
        <v>18</v>
      </c>
      <c r="FW115" s="150">
        <f t="shared" si="290"/>
        <v>18</v>
      </c>
      <c r="FX115" s="150">
        <f t="shared" si="290"/>
        <v>24</v>
      </c>
      <c r="FY115" s="150">
        <f t="shared" si="290"/>
        <v>24</v>
      </c>
      <c r="FZ115" s="150">
        <f t="shared" si="290"/>
        <v>24</v>
      </c>
      <c r="GA115" s="150">
        <f t="shared" si="290"/>
        <v>30</v>
      </c>
      <c r="GB115" s="150">
        <f t="shared" si="290"/>
        <v>30</v>
      </c>
      <c r="GC115" s="150">
        <f t="shared" si="290"/>
        <v>30</v>
      </c>
      <c r="GD115" s="150">
        <f t="shared" si="290"/>
        <v>36</v>
      </c>
      <c r="GE115" s="150">
        <f t="shared" si="290"/>
        <v>36</v>
      </c>
      <c r="GF115" s="150">
        <f t="shared" si="290"/>
        <v>36</v>
      </c>
      <c r="GG115" s="150">
        <f t="shared" si="290"/>
        <v>42</v>
      </c>
      <c r="GH115" s="150">
        <f t="shared" si="290"/>
        <v>42</v>
      </c>
      <c r="GI115" s="150">
        <f t="shared" si="290"/>
        <v>42</v>
      </c>
      <c r="GJ115" s="150"/>
      <c r="GK115" s="150"/>
      <c r="GL115" s="150"/>
      <c r="GM115" s="150"/>
      <c r="GN115" s="150"/>
      <c r="GO115" s="150"/>
      <c r="GP115" s="150"/>
      <c r="GQ115" s="150"/>
      <c r="GR115" s="158" t="s">
        <v>779</v>
      </c>
      <c r="GS115" s="150">
        <v>0</v>
      </c>
      <c r="GT115" s="150">
        <f t="shared" ref="GT115:HP115" si="291">GT88/4*6</f>
        <v>0</v>
      </c>
      <c r="GU115" s="150">
        <f t="shared" si="291"/>
        <v>0</v>
      </c>
      <c r="GV115" s="150">
        <f t="shared" si="291"/>
        <v>0</v>
      </c>
      <c r="GW115" s="150">
        <f t="shared" si="291"/>
        <v>6</v>
      </c>
      <c r="GX115" s="150">
        <f t="shared" si="291"/>
        <v>6</v>
      </c>
      <c r="GY115" s="150">
        <f t="shared" si="291"/>
        <v>12</v>
      </c>
      <c r="GZ115" s="150">
        <f t="shared" si="291"/>
        <v>12</v>
      </c>
      <c r="HA115" s="150">
        <f t="shared" si="291"/>
        <v>12</v>
      </c>
      <c r="HB115" s="150">
        <f t="shared" si="291"/>
        <v>18</v>
      </c>
      <c r="HC115" s="150">
        <f t="shared" si="291"/>
        <v>18</v>
      </c>
      <c r="HD115" s="150">
        <f t="shared" si="291"/>
        <v>18</v>
      </c>
      <c r="HE115" s="150">
        <f t="shared" si="291"/>
        <v>18</v>
      </c>
      <c r="HF115" s="150">
        <f t="shared" si="291"/>
        <v>24</v>
      </c>
      <c r="HG115" s="150">
        <f t="shared" si="291"/>
        <v>24</v>
      </c>
      <c r="HH115" s="150">
        <f t="shared" si="291"/>
        <v>24</v>
      </c>
      <c r="HI115" s="150">
        <f t="shared" si="291"/>
        <v>30</v>
      </c>
      <c r="HJ115" s="150">
        <f t="shared" si="291"/>
        <v>30</v>
      </c>
      <c r="HK115" s="150">
        <f t="shared" si="291"/>
        <v>30</v>
      </c>
      <c r="HL115" s="150">
        <f t="shared" si="291"/>
        <v>30</v>
      </c>
      <c r="HM115" s="150">
        <f t="shared" si="291"/>
        <v>36</v>
      </c>
      <c r="HN115" s="150">
        <f t="shared" si="291"/>
        <v>36</v>
      </c>
      <c r="HO115" s="150">
        <f t="shared" si="291"/>
        <v>36</v>
      </c>
      <c r="HP115" s="150">
        <f t="shared" si="291"/>
        <v>36</v>
      </c>
      <c r="HS115" s="154" t="s">
        <v>524</v>
      </c>
      <c r="HT115" s="154">
        <v>0</v>
      </c>
      <c r="HU115" s="150">
        <f t="shared" ref="HU115:IQ115" si="292">HU88/4*6</f>
        <v>0</v>
      </c>
      <c r="HV115" s="150">
        <f t="shared" si="292"/>
        <v>0</v>
      </c>
      <c r="HW115" s="150">
        <f t="shared" si="292"/>
        <v>6</v>
      </c>
      <c r="HX115" s="150">
        <f t="shared" si="292"/>
        <v>6</v>
      </c>
      <c r="HY115" s="150">
        <f t="shared" si="292"/>
        <v>12</v>
      </c>
      <c r="HZ115" s="150">
        <f t="shared" si="292"/>
        <v>12</v>
      </c>
      <c r="IA115" s="150">
        <f t="shared" si="292"/>
        <v>12</v>
      </c>
      <c r="IB115" s="150">
        <f t="shared" si="292"/>
        <v>18</v>
      </c>
      <c r="IC115" s="150">
        <f t="shared" si="292"/>
        <v>18</v>
      </c>
      <c r="ID115" s="150">
        <f t="shared" si="292"/>
        <v>18</v>
      </c>
      <c r="IE115" s="150">
        <f t="shared" si="292"/>
        <v>18</v>
      </c>
      <c r="IF115" s="150">
        <f t="shared" si="292"/>
        <v>24</v>
      </c>
      <c r="IG115" s="150">
        <f t="shared" si="292"/>
        <v>24</v>
      </c>
      <c r="IH115" s="150">
        <f t="shared" si="292"/>
        <v>24</v>
      </c>
      <c r="II115" s="150">
        <f t="shared" si="292"/>
        <v>30</v>
      </c>
      <c r="IJ115" s="150">
        <f t="shared" si="292"/>
        <v>30</v>
      </c>
      <c r="IK115" s="150">
        <f t="shared" si="292"/>
        <v>30</v>
      </c>
      <c r="IL115" s="150">
        <f t="shared" si="292"/>
        <v>36</v>
      </c>
      <c r="IM115" s="150">
        <f t="shared" si="292"/>
        <v>36</v>
      </c>
      <c r="IN115" s="150">
        <f t="shared" si="292"/>
        <v>36</v>
      </c>
      <c r="IO115" s="150">
        <f t="shared" si="292"/>
        <v>36</v>
      </c>
      <c r="IP115" s="150">
        <f t="shared" si="292"/>
        <v>42</v>
      </c>
      <c r="IQ115" s="150">
        <f t="shared" si="292"/>
        <v>42</v>
      </c>
      <c r="IR115" s="157"/>
    </row>
    <row r="116" spans="1:252" x14ac:dyDescent="0.2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6" t="str">
        <f>INDEX(($AJ$3:$AJ$12),MATCH(I99,$AG$3:$AG$12,0),1)</f>
        <v>SAM8X30E</v>
      </c>
      <c r="M116" s="11">
        <f>INDEX(cennik!$C$2:$L$529,MATCH($L116,cennik!$B$2:$B$522,0),MATCH(M$2,cennik!$C$1:$L$1,0))</f>
        <v>898530</v>
      </c>
      <c r="N116" s="11" t="str">
        <f>INDEX(cennik!$C$2:$L$529,MATCH($L116,cennik!$B$2:$B$522,0),MATCH(N$2,cennik!$C$1:$L$1,0))</f>
        <v>szt.</v>
      </c>
      <c r="O116" s="11">
        <f>SUM(O114:O115)</f>
        <v>0</v>
      </c>
      <c r="P116" s="34">
        <f>INDEX(cennik!$C$2:$L$529,MATCH($L116,cennik!$B$2:$B$522,0),MATCH(P$2,cennik!$C$1:$L$1,0))</f>
        <v>0.5</v>
      </c>
      <c r="Q116" s="34">
        <f t="shared" si="273"/>
        <v>0</v>
      </c>
      <c r="R116" s="35">
        <f t="shared" si="263"/>
        <v>0</v>
      </c>
      <c r="S116" s="34">
        <f t="shared" si="264"/>
        <v>0.5</v>
      </c>
      <c r="T116" s="34">
        <f t="shared" si="274"/>
        <v>0</v>
      </c>
      <c r="U116" s="34">
        <f>INDEX(cennik!$C$2:$L$529,MATCH($L116,cennik!$B$2:$B$522,0),MATCH(U$2,cennik!$C$1:$L$1,0))*O116</f>
        <v>0</v>
      </c>
      <c r="V116" s="62"/>
      <c r="AC116" s="150"/>
      <c r="AD116" s="150"/>
      <c r="AE116" s="150"/>
      <c r="AF116" s="150"/>
      <c r="AG116" s="150" t="s">
        <v>216</v>
      </c>
      <c r="AH116" s="150">
        <v>4400</v>
      </c>
      <c r="AI116" s="150">
        <v>0</v>
      </c>
      <c r="AJ116" s="150">
        <f>AH116*AI116</f>
        <v>0</v>
      </c>
      <c r="AK116" s="150">
        <v>127.4</v>
      </c>
      <c r="AL116" s="150">
        <f>AI116*AK116</f>
        <v>0</v>
      </c>
      <c r="AM116" s="150">
        <f>AI116*6</f>
        <v>0</v>
      </c>
      <c r="AP116" s="150" t="s">
        <v>764</v>
      </c>
      <c r="AQ116" s="150" t="s">
        <v>593</v>
      </c>
      <c r="AR116" s="150" t="s">
        <v>596</v>
      </c>
      <c r="AS116" s="150" t="s">
        <v>594</v>
      </c>
      <c r="AT116" s="150" t="s">
        <v>594</v>
      </c>
      <c r="AV116" s="150" t="s">
        <v>764</v>
      </c>
      <c r="AW116" s="150" t="s">
        <v>593</v>
      </c>
      <c r="AX116" s="150" t="s">
        <v>151</v>
      </c>
      <c r="AY116" s="150" t="s">
        <v>151</v>
      </c>
      <c r="AZ116" s="150" t="s">
        <v>151</v>
      </c>
      <c r="BG116" s="150"/>
      <c r="BH116" s="150"/>
      <c r="BI116" s="150"/>
      <c r="BJ116" s="150"/>
      <c r="BK116" s="150"/>
      <c r="BL116" s="150"/>
      <c r="BM116" s="150"/>
      <c r="BN116" s="150"/>
      <c r="BO116" s="150"/>
      <c r="BP116" s="150"/>
      <c r="BQ116" s="150"/>
      <c r="BR116" s="150"/>
      <c r="BS116" s="150"/>
      <c r="BT116" s="150"/>
      <c r="BU116" s="150"/>
      <c r="BV116" s="150"/>
      <c r="BW116" s="150"/>
      <c r="BX116" s="150"/>
      <c r="BY116" s="150"/>
      <c r="BZ116" s="150"/>
      <c r="CA116" s="150"/>
      <c r="CB116" s="150"/>
      <c r="CC116" s="150"/>
      <c r="CD116" s="150"/>
      <c r="CE116" s="150"/>
      <c r="CF116" s="150"/>
      <c r="CG116" s="150"/>
      <c r="CH116" s="150"/>
      <c r="CI116" s="150"/>
      <c r="CJ116" s="150"/>
      <c r="CK116" s="150"/>
      <c r="CL116" s="150"/>
      <c r="CM116" s="150"/>
      <c r="CN116" s="150"/>
      <c r="CO116" s="150"/>
      <c r="CP116" s="150"/>
      <c r="CQ116" s="150"/>
      <c r="CR116" s="150"/>
      <c r="CS116" s="150"/>
      <c r="CT116" s="150"/>
      <c r="CU116" s="150"/>
      <c r="CV116" s="150"/>
      <c r="CW116" s="150"/>
      <c r="CX116" s="150"/>
      <c r="CY116" s="150"/>
      <c r="CZ116" s="150"/>
      <c r="DA116" s="150"/>
      <c r="DB116" s="150"/>
      <c r="DC116" s="150"/>
      <c r="DD116" s="150"/>
      <c r="DE116" s="150"/>
      <c r="DF116" s="150"/>
      <c r="DG116" s="150"/>
      <c r="DH116" s="150"/>
      <c r="DI116" s="150"/>
      <c r="DJ116" s="150"/>
      <c r="DK116" s="150"/>
      <c r="DL116" s="150"/>
      <c r="DM116" s="150"/>
      <c r="DN116" s="150"/>
      <c r="DO116" s="150"/>
      <c r="DP116" s="150"/>
      <c r="DQ116" s="181"/>
      <c r="DR116" s="181">
        <v>24</v>
      </c>
      <c r="DS116" s="181"/>
      <c r="DT116" s="150"/>
      <c r="DU116" s="150"/>
      <c r="DV116" s="150"/>
      <c r="DW116" s="150"/>
      <c r="DX116" s="150"/>
      <c r="DY116" s="150"/>
      <c r="DZ116" s="150"/>
      <c r="EA116" s="150"/>
      <c r="EB116" s="150"/>
      <c r="EC116" s="150"/>
      <c r="ED116" s="150"/>
      <c r="EE116" s="150"/>
      <c r="EF116" s="150"/>
      <c r="EG116" s="150"/>
      <c r="EH116" s="150"/>
      <c r="EI116" s="150"/>
      <c r="EJ116" s="155"/>
      <c r="GJ116" s="150"/>
      <c r="GK116" s="150"/>
      <c r="GL116" s="150"/>
      <c r="GM116" s="150"/>
      <c r="GN116" s="150"/>
      <c r="GO116" s="150"/>
      <c r="GP116" s="150"/>
      <c r="GQ116" s="150"/>
      <c r="GR116" s="150" t="s">
        <v>700</v>
      </c>
      <c r="GS116" s="150">
        <v>0</v>
      </c>
      <c r="GT116" s="150">
        <f t="shared" ref="GT116:HP116" si="293">GT89/4*6</f>
        <v>0</v>
      </c>
      <c r="GU116" s="150">
        <f t="shared" si="293"/>
        <v>0</v>
      </c>
      <c r="GV116" s="150">
        <f t="shared" si="293"/>
        <v>0</v>
      </c>
      <c r="GW116" s="150">
        <f t="shared" si="293"/>
        <v>6</v>
      </c>
      <c r="GX116" s="150">
        <f t="shared" si="293"/>
        <v>6</v>
      </c>
      <c r="GY116" s="150">
        <f t="shared" si="293"/>
        <v>12</v>
      </c>
      <c r="GZ116" s="150">
        <f t="shared" si="293"/>
        <v>12</v>
      </c>
      <c r="HA116" s="150">
        <f t="shared" si="293"/>
        <v>12</v>
      </c>
      <c r="HB116" s="150">
        <f t="shared" si="293"/>
        <v>18</v>
      </c>
      <c r="HC116" s="150">
        <f t="shared" si="293"/>
        <v>18</v>
      </c>
      <c r="HD116" s="150">
        <f t="shared" si="293"/>
        <v>18</v>
      </c>
      <c r="HE116" s="150">
        <f t="shared" si="293"/>
        <v>18</v>
      </c>
      <c r="HF116" s="150">
        <f t="shared" si="293"/>
        <v>24</v>
      </c>
      <c r="HG116" s="150">
        <f t="shared" si="293"/>
        <v>24</v>
      </c>
      <c r="HH116" s="150">
        <f t="shared" si="293"/>
        <v>24</v>
      </c>
      <c r="HI116" s="150">
        <f t="shared" si="293"/>
        <v>30</v>
      </c>
      <c r="HJ116" s="150">
        <f t="shared" si="293"/>
        <v>30</v>
      </c>
      <c r="HK116" s="150">
        <f t="shared" si="293"/>
        <v>30</v>
      </c>
      <c r="HL116" s="150">
        <f t="shared" si="293"/>
        <v>30</v>
      </c>
      <c r="HM116" s="150">
        <f t="shared" si="293"/>
        <v>36</v>
      </c>
      <c r="HN116" s="150">
        <f t="shared" si="293"/>
        <v>36</v>
      </c>
      <c r="HO116" s="150">
        <f t="shared" si="293"/>
        <v>36</v>
      </c>
      <c r="HP116" s="150">
        <f t="shared" si="293"/>
        <v>36</v>
      </c>
      <c r="HS116" s="154" t="s">
        <v>700</v>
      </c>
      <c r="HT116" s="154">
        <v>0</v>
      </c>
      <c r="HU116" s="150">
        <f t="shared" ref="HU116:IQ116" si="294">HU89/4*6</f>
        <v>0</v>
      </c>
      <c r="HV116" s="150">
        <f t="shared" si="294"/>
        <v>0</v>
      </c>
      <c r="HW116" s="150">
        <f t="shared" si="294"/>
        <v>6</v>
      </c>
      <c r="HX116" s="150">
        <f t="shared" si="294"/>
        <v>6</v>
      </c>
      <c r="HY116" s="150">
        <f t="shared" si="294"/>
        <v>12</v>
      </c>
      <c r="HZ116" s="150">
        <f t="shared" si="294"/>
        <v>12</v>
      </c>
      <c r="IA116" s="150">
        <f t="shared" si="294"/>
        <v>12</v>
      </c>
      <c r="IB116" s="150">
        <f t="shared" si="294"/>
        <v>18</v>
      </c>
      <c r="IC116" s="150">
        <f t="shared" si="294"/>
        <v>18</v>
      </c>
      <c r="ID116" s="150">
        <f t="shared" si="294"/>
        <v>18</v>
      </c>
      <c r="IE116" s="150">
        <f t="shared" si="294"/>
        <v>18</v>
      </c>
      <c r="IF116" s="150">
        <f t="shared" si="294"/>
        <v>24</v>
      </c>
      <c r="IG116" s="150">
        <f t="shared" si="294"/>
        <v>24</v>
      </c>
      <c r="IH116" s="150">
        <f t="shared" si="294"/>
        <v>24</v>
      </c>
      <c r="II116" s="150">
        <f t="shared" si="294"/>
        <v>30</v>
      </c>
      <c r="IJ116" s="150">
        <f t="shared" si="294"/>
        <v>30</v>
      </c>
      <c r="IK116" s="150">
        <f t="shared" si="294"/>
        <v>30</v>
      </c>
      <c r="IL116" s="150">
        <f t="shared" si="294"/>
        <v>36</v>
      </c>
      <c r="IM116" s="150">
        <f t="shared" si="294"/>
        <v>36</v>
      </c>
      <c r="IN116" s="150">
        <f t="shared" si="294"/>
        <v>36</v>
      </c>
      <c r="IO116" s="150">
        <f t="shared" si="294"/>
        <v>36</v>
      </c>
      <c r="IP116" s="150">
        <f t="shared" si="294"/>
        <v>42</v>
      </c>
      <c r="IQ116" s="150">
        <f t="shared" si="294"/>
        <v>42</v>
      </c>
      <c r="IR116" s="157"/>
    </row>
    <row r="117" spans="1:252" x14ac:dyDescent="0.2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6" t="s">
        <v>1019</v>
      </c>
      <c r="M117" s="11">
        <f>INDEX(cennik!$C$2:$L$529,MATCH($L117,cennik!$B$2:$B$522,0),MATCH(M$2,cennik!$C$1:$L$1,0))</f>
        <v>166794</v>
      </c>
      <c r="N117" s="11" t="str">
        <f>INDEX(cennik!$C$2:$L$529,MATCH($L117,cennik!$B$2:$B$522,0),MATCH(N$2,cennik!$C$1:$L$1,0))</f>
        <v>100 szt.</v>
      </c>
      <c r="O117" s="11">
        <f>ROUNDUP(O116/100,0)</f>
        <v>0</v>
      </c>
      <c r="P117" s="34">
        <f>INDEX(cennik!$C$2:$L$529,MATCH($L117,cennik!$B$2:$B$522,0),MATCH(P$2,cennik!$C$1:$L$1,0))</f>
        <v>3.95</v>
      </c>
      <c r="Q117" s="34">
        <f t="shared" si="273"/>
        <v>0</v>
      </c>
      <c r="R117" s="35">
        <f t="shared" si="263"/>
        <v>0</v>
      </c>
      <c r="S117" s="34">
        <f t="shared" si="264"/>
        <v>3.95</v>
      </c>
      <c r="T117" s="34">
        <f t="shared" si="274"/>
        <v>0</v>
      </c>
      <c r="U117" s="34">
        <f>INDEX(cennik!$C$2:$L$529,MATCH($L117,cennik!$B$2:$B$522,0),MATCH(U$2,cennik!$C$1:$L$1,0))*O117</f>
        <v>0</v>
      </c>
      <c r="V117" s="62"/>
      <c r="AC117" s="150"/>
      <c r="AD117" s="150"/>
      <c r="AE117" s="150"/>
      <c r="AF117" s="150"/>
      <c r="AG117" s="150" t="s">
        <v>17</v>
      </c>
      <c r="AH117" s="150">
        <v>3300</v>
      </c>
      <c r="AI117" s="150">
        <v>1</v>
      </c>
      <c r="AJ117" s="150">
        <f>AH117*AI117</f>
        <v>3300</v>
      </c>
      <c r="AK117" s="150">
        <v>95.55</v>
      </c>
      <c r="AL117" s="150">
        <f>AI117*AK117</f>
        <v>95.55</v>
      </c>
      <c r="AM117" s="150">
        <f>AI117*6</f>
        <v>6</v>
      </c>
      <c r="AP117" s="150" t="s">
        <v>832</v>
      </c>
      <c r="AQ117" s="150" t="s">
        <v>593</v>
      </c>
      <c r="AR117" s="150" t="s">
        <v>596</v>
      </c>
      <c r="AS117" s="150" t="s">
        <v>594</v>
      </c>
      <c r="AT117" s="150" t="s">
        <v>594</v>
      </c>
      <c r="AV117" s="150" t="s">
        <v>832</v>
      </c>
      <c r="AW117" s="150" t="s">
        <v>593</v>
      </c>
      <c r="AX117" s="150" t="s">
        <v>151</v>
      </c>
      <c r="AY117" s="150" t="s">
        <v>151</v>
      </c>
      <c r="AZ117" s="150" t="s">
        <v>151</v>
      </c>
      <c r="BG117" s="150"/>
      <c r="BH117" s="150" t="s">
        <v>115</v>
      </c>
      <c r="BI117" s="150">
        <v>0</v>
      </c>
      <c r="BJ117" s="150">
        <v>9</v>
      </c>
      <c r="BK117" s="150">
        <v>12</v>
      </c>
      <c r="BL117" s="150">
        <v>15</v>
      </c>
      <c r="BM117" s="150">
        <v>18</v>
      </c>
      <c r="BN117" s="150">
        <v>21</v>
      </c>
      <c r="BO117" s="150">
        <v>24</v>
      </c>
      <c r="BP117" s="150">
        <v>27</v>
      </c>
      <c r="BQ117" s="150">
        <v>30</v>
      </c>
      <c r="BR117" s="150">
        <v>33</v>
      </c>
      <c r="BS117" s="150">
        <v>36</v>
      </c>
      <c r="BT117" s="150">
        <v>39</v>
      </c>
      <c r="BU117" s="150">
        <v>42</v>
      </c>
      <c r="BV117" s="150">
        <v>45</v>
      </c>
      <c r="BW117" s="150">
        <v>48</v>
      </c>
      <c r="BX117" s="150">
        <v>51</v>
      </c>
      <c r="BY117" s="150">
        <v>54</v>
      </c>
      <c r="BZ117" s="150">
        <v>57</v>
      </c>
      <c r="CA117" s="150">
        <v>60</v>
      </c>
      <c r="CB117" s="150">
        <v>63</v>
      </c>
      <c r="CC117" s="150">
        <v>66</v>
      </c>
      <c r="CD117" s="150">
        <v>69</v>
      </c>
      <c r="CE117" s="150">
        <v>72</v>
      </c>
      <c r="CF117" s="150">
        <v>75</v>
      </c>
      <c r="CG117" s="150"/>
      <c r="CH117" s="150"/>
      <c r="CI117" s="150"/>
      <c r="CJ117" s="150"/>
      <c r="CK117" s="150"/>
      <c r="CL117" s="150"/>
      <c r="CM117" s="150"/>
      <c r="CN117" s="150" t="s">
        <v>480</v>
      </c>
      <c r="CO117" s="150">
        <v>0</v>
      </c>
      <c r="CP117" s="150">
        <v>9</v>
      </c>
      <c r="CQ117" s="150">
        <v>12</v>
      </c>
      <c r="CR117" s="150">
        <v>15</v>
      </c>
      <c r="CS117" s="150">
        <v>18</v>
      </c>
      <c r="CT117" s="150">
        <v>21</v>
      </c>
      <c r="CU117" s="150">
        <v>24</v>
      </c>
      <c r="CV117" s="150">
        <v>27</v>
      </c>
      <c r="CW117" s="150">
        <v>30</v>
      </c>
      <c r="CX117" s="150">
        <v>33</v>
      </c>
      <c r="CY117" s="150">
        <v>36</v>
      </c>
      <c r="CZ117" s="150">
        <v>39</v>
      </c>
      <c r="DA117" s="150">
        <v>42</v>
      </c>
      <c r="DB117" s="150">
        <v>45</v>
      </c>
      <c r="DC117" s="150">
        <v>48</v>
      </c>
      <c r="DD117" s="150">
        <v>51</v>
      </c>
      <c r="DE117" s="150">
        <v>54</v>
      </c>
      <c r="DF117" s="150">
        <v>57</v>
      </c>
      <c r="DG117" s="150">
        <v>60</v>
      </c>
      <c r="DH117" s="150">
        <v>63</v>
      </c>
      <c r="DI117" s="150">
        <v>66</v>
      </c>
      <c r="DJ117" s="150">
        <v>69</v>
      </c>
      <c r="DK117" s="150">
        <v>72</v>
      </c>
      <c r="DL117" s="150">
        <v>75</v>
      </c>
      <c r="DM117" s="150"/>
      <c r="DN117" s="150"/>
      <c r="DO117" s="150"/>
      <c r="DP117" s="150"/>
      <c r="DQ117" s="181"/>
      <c r="DR117" s="181">
        <v>27</v>
      </c>
      <c r="DS117" s="181"/>
      <c r="DT117" s="150"/>
      <c r="DU117" s="150"/>
      <c r="DV117" s="150"/>
      <c r="DW117" s="150"/>
      <c r="DX117" s="150"/>
      <c r="DY117" s="150"/>
      <c r="DZ117" s="150"/>
      <c r="EA117" s="150"/>
      <c r="EB117" s="150"/>
      <c r="EC117" s="150"/>
      <c r="ED117" s="150"/>
      <c r="EE117" s="150"/>
      <c r="EF117" s="150"/>
      <c r="EG117" s="150"/>
      <c r="EH117" s="150"/>
      <c r="EI117" s="150"/>
      <c r="EJ117" s="155"/>
      <c r="EK117" s="150" t="s">
        <v>115</v>
      </c>
      <c r="EL117" s="150">
        <v>0</v>
      </c>
      <c r="EM117" s="150">
        <v>9</v>
      </c>
      <c r="EN117" s="150">
        <v>12</v>
      </c>
      <c r="EO117" s="150">
        <v>15</v>
      </c>
      <c r="EP117" s="150">
        <v>18</v>
      </c>
      <c r="EQ117" s="150">
        <v>21</v>
      </c>
      <c r="ER117" s="150">
        <v>24</v>
      </c>
      <c r="ES117" s="150">
        <v>27</v>
      </c>
      <c r="ET117" s="150">
        <v>30</v>
      </c>
      <c r="EU117" s="150">
        <v>33</v>
      </c>
      <c r="EV117" s="150">
        <v>36</v>
      </c>
      <c r="EW117" s="150">
        <v>39</v>
      </c>
      <c r="EX117" s="150">
        <v>42</v>
      </c>
      <c r="EY117" s="150">
        <v>45</v>
      </c>
      <c r="EZ117" s="150">
        <v>48</v>
      </c>
      <c r="FA117" s="150">
        <v>51</v>
      </c>
      <c r="FB117" s="150">
        <v>54</v>
      </c>
      <c r="FC117" s="150">
        <v>57</v>
      </c>
      <c r="FD117" s="150">
        <v>60</v>
      </c>
      <c r="FE117" s="150">
        <v>63</v>
      </c>
      <c r="FF117" s="150">
        <v>66</v>
      </c>
      <c r="FG117" s="150">
        <v>69</v>
      </c>
      <c r="FH117" s="150">
        <v>72</v>
      </c>
      <c r="FI117" s="150">
        <v>75</v>
      </c>
      <c r="FJ117" s="150"/>
      <c r="FK117" s="150" t="s">
        <v>480</v>
      </c>
      <c r="FL117" s="150">
        <v>0</v>
      </c>
      <c r="FM117" s="150">
        <v>9</v>
      </c>
      <c r="FN117" s="150">
        <v>12</v>
      </c>
      <c r="FO117" s="150">
        <v>15</v>
      </c>
      <c r="FP117" s="150">
        <v>18</v>
      </c>
      <c r="FQ117" s="150">
        <v>21</v>
      </c>
      <c r="FR117" s="150">
        <v>24</v>
      </c>
      <c r="FS117" s="150">
        <v>27</v>
      </c>
      <c r="FT117" s="150">
        <v>30</v>
      </c>
      <c r="FU117" s="150">
        <v>33</v>
      </c>
      <c r="FV117" s="150">
        <v>36</v>
      </c>
      <c r="FW117" s="150">
        <v>39</v>
      </c>
      <c r="FX117" s="150">
        <v>42</v>
      </c>
      <c r="FY117" s="150">
        <v>45</v>
      </c>
      <c r="FZ117" s="150">
        <v>48</v>
      </c>
      <c r="GA117" s="150">
        <v>51</v>
      </c>
      <c r="GB117" s="150">
        <v>54</v>
      </c>
      <c r="GC117" s="150">
        <v>57</v>
      </c>
      <c r="GD117" s="150">
        <v>60</v>
      </c>
      <c r="GE117" s="150">
        <v>63</v>
      </c>
      <c r="GF117" s="150">
        <v>66</v>
      </c>
      <c r="GG117" s="150">
        <v>69</v>
      </c>
      <c r="GH117" s="150">
        <v>72</v>
      </c>
      <c r="GI117" s="150">
        <v>75</v>
      </c>
      <c r="GJ117" s="150"/>
      <c r="GK117" s="150"/>
      <c r="GL117" s="150"/>
      <c r="GM117" s="150"/>
      <c r="GN117" s="150"/>
      <c r="GO117" s="150"/>
      <c r="GP117" s="150"/>
      <c r="GQ117" s="150"/>
      <c r="GR117" s="150"/>
      <c r="GS117" s="150"/>
      <c r="GT117" s="150"/>
      <c r="GU117" s="150"/>
      <c r="GV117" s="150"/>
      <c r="GW117" s="150"/>
      <c r="GX117" s="150"/>
      <c r="GY117" s="150"/>
      <c r="GZ117" s="150"/>
      <c r="HA117" s="150"/>
      <c r="HB117" s="150"/>
      <c r="HC117" s="150"/>
      <c r="HD117" s="150"/>
      <c r="HE117" s="150"/>
      <c r="HF117" s="150"/>
      <c r="HG117" s="150"/>
      <c r="HH117" s="150"/>
      <c r="IR117" s="157"/>
    </row>
    <row r="118" spans="1:252" x14ac:dyDescent="0.2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6" t="s">
        <v>525</v>
      </c>
      <c r="M118" s="11">
        <f>INDEX(cennik!$C$2:$L$529,MATCH($L118,cennik!$B$2:$B$522,0),MATCH(M$2,cennik!$C$1:$L$1,0))</f>
        <v>660245</v>
      </c>
      <c r="N118" s="11" t="str">
        <f>INDEX(cennik!$C$2:$L$529,MATCH($L118,cennik!$B$2:$B$522,0),MATCH(N$2,cennik!$C$1:$L$1,0))</f>
        <v>szt.</v>
      </c>
      <c r="O118" s="11">
        <f>O116</f>
        <v>0</v>
      </c>
      <c r="P118" s="34">
        <f>INDEX(cennik!$C$2:$L$529,MATCH($L118,cennik!$B$2:$B$522,0),MATCH(P$2,cennik!$C$1:$L$1,0))</f>
        <v>1.56</v>
      </c>
      <c r="Q118" s="34">
        <f t="shared" si="273"/>
        <v>0</v>
      </c>
      <c r="R118" s="35">
        <f t="shared" si="263"/>
        <v>0</v>
      </c>
      <c r="S118" s="34">
        <f t="shared" si="264"/>
        <v>1.56</v>
      </c>
      <c r="T118" s="34">
        <f t="shared" si="274"/>
        <v>0</v>
      </c>
      <c r="U118" s="34">
        <f>INDEX(cennik!$C$2:$L$529,MATCH($L118,cennik!$B$2:$B$522,0),MATCH(U$2,cennik!$C$1:$L$1,0))*O118</f>
        <v>0</v>
      </c>
      <c r="V118" s="62"/>
      <c r="AC118" s="150"/>
      <c r="AD118" s="150"/>
      <c r="AE118" s="150"/>
      <c r="AF118" s="150"/>
      <c r="AG118" s="150"/>
      <c r="AH118" s="150" t="s">
        <v>317</v>
      </c>
      <c r="AI118" s="150">
        <f>IF(SUM(AI115:AI117)=0,0,IF(SUM(AI115:AI117)=1,0,IF(SUM(AI115:AI117)&gt;1,(SUM(AI115:AI117)-1),0)))</f>
        <v>4</v>
      </c>
      <c r="AJ118" s="150"/>
      <c r="AK118" s="150">
        <v>7.1</v>
      </c>
      <c r="AL118" s="150">
        <f>AI118*AK118</f>
        <v>28.4</v>
      </c>
      <c r="AM118" s="150">
        <f>AI118*6</f>
        <v>24</v>
      </c>
      <c r="AP118" s="150" t="s">
        <v>833</v>
      </c>
      <c r="AQ118" s="150" t="s">
        <v>593</v>
      </c>
      <c r="AR118" s="150" t="s">
        <v>596</v>
      </c>
      <c r="AS118" s="150" t="s">
        <v>594</v>
      </c>
      <c r="AT118" s="150" t="s">
        <v>594</v>
      </c>
      <c r="AV118" s="150" t="s">
        <v>833</v>
      </c>
      <c r="AW118" s="150" t="s">
        <v>593</v>
      </c>
      <c r="AX118" s="150" t="s">
        <v>151</v>
      </c>
      <c r="AY118" s="150" t="s">
        <v>151</v>
      </c>
      <c r="AZ118" s="150" t="s">
        <v>151</v>
      </c>
      <c r="BA118" s="150"/>
      <c r="BB118" s="150"/>
      <c r="BC118" s="150"/>
      <c r="BD118" s="150"/>
      <c r="BE118" s="150"/>
      <c r="BF118" s="150"/>
      <c r="BG118" s="150"/>
      <c r="BH118" s="150" t="s">
        <v>217</v>
      </c>
      <c r="BI118" s="150">
        <f>(BI91/2)*3</f>
        <v>0</v>
      </c>
      <c r="BJ118" s="150">
        <v>0</v>
      </c>
      <c r="BK118" s="150">
        <v>0</v>
      </c>
      <c r="BL118" s="150">
        <v>6</v>
      </c>
      <c r="BM118" s="150">
        <v>6</v>
      </c>
      <c r="BN118" s="150">
        <v>0</v>
      </c>
      <c r="BO118" s="150">
        <v>0</v>
      </c>
      <c r="BP118" s="150">
        <v>6</v>
      </c>
      <c r="BQ118" s="150">
        <v>6</v>
      </c>
      <c r="BR118" s="150">
        <v>0</v>
      </c>
      <c r="BS118" s="150">
        <v>12</v>
      </c>
      <c r="BT118" s="150">
        <v>6</v>
      </c>
      <c r="BU118" s="150">
        <v>6</v>
      </c>
      <c r="BV118" s="150">
        <v>12</v>
      </c>
      <c r="BW118" s="150">
        <v>12</v>
      </c>
      <c r="BX118" s="150">
        <v>6</v>
      </c>
      <c r="BY118" s="150">
        <v>18</v>
      </c>
      <c r="BZ118" s="150">
        <v>12</v>
      </c>
      <c r="CA118" s="150">
        <v>12</v>
      </c>
      <c r="CB118" s="150">
        <v>18</v>
      </c>
      <c r="CC118" s="150">
        <v>18</v>
      </c>
      <c r="CD118" s="150">
        <v>12</v>
      </c>
      <c r="CE118" s="150">
        <v>24</v>
      </c>
      <c r="CF118" s="150">
        <v>18</v>
      </c>
      <c r="CG118" s="150"/>
      <c r="CH118" s="150"/>
      <c r="CI118" s="150"/>
      <c r="CJ118" s="150"/>
      <c r="CK118" s="150"/>
      <c r="CL118" s="150"/>
      <c r="CM118" s="150"/>
      <c r="CN118" s="150" t="s">
        <v>217</v>
      </c>
      <c r="CO118" s="150">
        <v>0</v>
      </c>
      <c r="CP118" s="150">
        <f>IF(CP91=0,0,IF(CP91&gt;0,(CP91/4)*6,0))</f>
        <v>0</v>
      </c>
      <c r="CQ118" s="150">
        <f t="shared" ref="CQ118:DL118" si="295">IF(CQ91=0,0,IF(CQ91&gt;0,(CQ91/4)*6,0))</f>
        <v>6</v>
      </c>
      <c r="CR118" s="150">
        <f t="shared" si="295"/>
        <v>6</v>
      </c>
      <c r="CS118" s="150">
        <f t="shared" si="295"/>
        <v>0</v>
      </c>
      <c r="CT118" s="150">
        <f t="shared" si="295"/>
        <v>0</v>
      </c>
      <c r="CU118" s="150">
        <f t="shared" si="295"/>
        <v>6</v>
      </c>
      <c r="CV118" s="150">
        <f t="shared" si="295"/>
        <v>6</v>
      </c>
      <c r="CW118" s="150">
        <f t="shared" si="295"/>
        <v>0</v>
      </c>
      <c r="CX118" s="150">
        <f t="shared" si="295"/>
        <v>12</v>
      </c>
      <c r="CY118" s="150">
        <f t="shared" si="295"/>
        <v>6</v>
      </c>
      <c r="CZ118" s="150">
        <v>12</v>
      </c>
      <c r="DA118" s="150">
        <f t="shared" si="295"/>
        <v>12</v>
      </c>
      <c r="DB118" s="150">
        <f t="shared" si="295"/>
        <v>6</v>
      </c>
      <c r="DC118" s="150">
        <f t="shared" si="295"/>
        <v>18</v>
      </c>
      <c r="DD118" s="150">
        <f t="shared" si="295"/>
        <v>12</v>
      </c>
      <c r="DE118" s="150">
        <f t="shared" si="295"/>
        <v>12</v>
      </c>
      <c r="DF118" s="150">
        <f t="shared" si="295"/>
        <v>18</v>
      </c>
      <c r="DG118" s="150">
        <f t="shared" si="295"/>
        <v>18</v>
      </c>
      <c r="DH118" s="150">
        <f t="shared" si="295"/>
        <v>12</v>
      </c>
      <c r="DI118" s="150">
        <f t="shared" si="295"/>
        <v>24</v>
      </c>
      <c r="DJ118" s="150">
        <f t="shared" si="295"/>
        <v>18</v>
      </c>
      <c r="DK118" s="150">
        <f t="shared" si="295"/>
        <v>18</v>
      </c>
      <c r="DL118" s="150">
        <f t="shared" si="295"/>
        <v>24</v>
      </c>
      <c r="DM118" s="150"/>
      <c r="DN118" s="150"/>
      <c r="DO118" s="150"/>
      <c r="DP118" s="150"/>
      <c r="DQ118" s="181"/>
      <c r="DR118" s="181">
        <v>30</v>
      </c>
      <c r="DS118" s="181"/>
      <c r="DT118" s="150"/>
      <c r="DU118" s="150"/>
      <c r="DV118" s="150"/>
      <c r="DW118" s="150"/>
      <c r="DX118" s="150"/>
      <c r="DY118" s="150"/>
      <c r="DZ118" s="150"/>
      <c r="EA118" s="150"/>
      <c r="EB118" s="150"/>
      <c r="EC118" s="150"/>
      <c r="ED118" s="150"/>
      <c r="EE118" s="150"/>
      <c r="EF118" s="150"/>
      <c r="EG118" s="150"/>
      <c r="EH118" s="150"/>
      <c r="EI118" s="150"/>
      <c r="EJ118" s="155"/>
      <c r="EK118" s="154" t="s">
        <v>586</v>
      </c>
      <c r="EL118" s="150">
        <v>0</v>
      </c>
      <c r="EM118" s="150">
        <f>EM93/4*6</f>
        <v>0</v>
      </c>
      <c r="EN118" s="150">
        <f t="shared" ref="EN118:FI118" si="296">EN93/4*6</f>
        <v>0</v>
      </c>
      <c r="EO118" s="150">
        <f t="shared" si="296"/>
        <v>6</v>
      </c>
      <c r="EP118" s="150">
        <f t="shared" si="296"/>
        <v>0</v>
      </c>
      <c r="EQ118" s="150">
        <f t="shared" si="296"/>
        <v>0</v>
      </c>
      <c r="ER118" s="150">
        <f t="shared" si="296"/>
        <v>0</v>
      </c>
      <c r="ES118" s="150">
        <f t="shared" si="296"/>
        <v>0</v>
      </c>
      <c r="ET118" s="150">
        <f t="shared" si="296"/>
        <v>0</v>
      </c>
      <c r="EU118" s="150">
        <f t="shared" si="296"/>
        <v>0</v>
      </c>
      <c r="EV118" s="150">
        <f t="shared" si="296"/>
        <v>0</v>
      </c>
      <c r="EW118" s="150">
        <f t="shared" si="296"/>
        <v>0</v>
      </c>
      <c r="EX118" s="150">
        <f t="shared" si="296"/>
        <v>0</v>
      </c>
      <c r="EY118" s="150">
        <f t="shared" si="296"/>
        <v>0</v>
      </c>
      <c r="EZ118" s="150">
        <f t="shared" si="296"/>
        <v>0</v>
      </c>
      <c r="FA118" s="150">
        <f t="shared" si="296"/>
        <v>0</v>
      </c>
      <c r="FB118" s="150">
        <f t="shared" si="296"/>
        <v>0</v>
      </c>
      <c r="FC118" s="150">
        <f t="shared" si="296"/>
        <v>0</v>
      </c>
      <c r="FD118" s="150">
        <f t="shared" si="296"/>
        <v>0</v>
      </c>
      <c r="FE118" s="150">
        <f t="shared" si="296"/>
        <v>0</v>
      </c>
      <c r="FF118" s="150">
        <f t="shared" si="296"/>
        <v>0</v>
      </c>
      <c r="FG118" s="150">
        <f t="shared" si="296"/>
        <v>0</v>
      </c>
      <c r="FH118" s="150">
        <f t="shared" si="296"/>
        <v>0</v>
      </c>
      <c r="FI118" s="150">
        <f t="shared" si="296"/>
        <v>0</v>
      </c>
      <c r="FK118" s="154" t="s">
        <v>586</v>
      </c>
      <c r="FL118" s="150">
        <v>0</v>
      </c>
      <c r="FM118" s="150">
        <f>FM93/4*6</f>
        <v>0</v>
      </c>
      <c r="FN118" s="150">
        <f t="shared" ref="FN118:GI118" si="297">FN93/4*6</f>
        <v>6</v>
      </c>
      <c r="FO118" s="150">
        <f t="shared" si="297"/>
        <v>6</v>
      </c>
      <c r="FP118" s="150">
        <f t="shared" si="297"/>
        <v>0</v>
      </c>
      <c r="FQ118" s="150">
        <f t="shared" si="297"/>
        <v>0</v>
      </c>
      <c r="FR118" s="150">
        <f t="shared" si="297"/>
        <v>0</v>
      </c>
      <c r="FS118" s="150">
        <f t="shared" si="297"/>
        <v>0</v>
      </c>
      <c r="FT118" s="150">
        <f t="shared" si="297"/>
        <v>0</v>
      </c>
      <c r="FU118" s="150">
        <f t="shared" si="297"/>
        <v>0</v>
      </c>
      <c r="FV118" s="150">
        <f t="shared" si="297"/>
        <v>0</v>
      </c>
      <c r="FW118" s="150">
        <f t="shared" si="297"/>
        <v>0</v>
      </c>
      <c r="FX118" s="150">
        <f t="shared" si="297"/>
        <v>0</v>
      </c>
      <c r="FY118" s="150">
        <f t="shared" si="297"/>
        <v>0</v>
      </c>
      <c r="FZ118" s="150">
        <f t="shared" si="297"/>
        <v>0</v>
      </c>
      <c r="GA118" s="150">
        <f t="shared" si="297"/>
        <v>0</v>
      </c>
      <c r="GB118" s="150">
        <f t="shared" si="297"/>
        <v>0</v>
      </c>
      <c r="GC118" s="150">
        <f t="shared" si="297"/>
        <v>0</v>
      </c>
      <c r="GD118" s="150">
        <f t="shared" si="297"/>
        <v>0</v>
      </c>
      <c r="GE118" s="150">
        <f t="shared" si="297"/>
        <v>0</v>
      </c>
      <c r="GF118" s="150">
        <f t="shared" si="297"/>
        <v>0</v>
      </c>
      <c r="GG118" s="150">
        <f t="shared" si="297"/>
        <v>0</v>
      </c>
      <c r="GH118" s="150">
        <f t="shared" si="297"/>
        <v>0</v>
      </c>
      <c r="GI118" s="150">
        <f t="shared" si="297"/>
        <v>0</v>
      </c>
      <c r="GJ118" s="150"/>
      <c r="GK118" s="150"/>
      <c r="GL118" s="150"/>
      <c r="GM118" s="150"/>
      <c r="GN118" s="150"/>
      <c r="GO118" s="150"/>
      <c r="GP118" s="150"/>
      <c r="GQ118" s="150"/>
      <c r="GR118" s="150" t="s">
        <v>714</v>
      </c>
      <c r="GS118" s="150">
        <v>0</v>
      </c>
      <c r="GT118" s="150">
        <v>9</v>
      </c>
      <c r="GU118" s="150">
        <v>12</v>
      </c>
      <c r="GV118" s="150">
        <v>15</v>
      </c>
      <c r="GW118" s="150">
        <v>18</v>
      </c>
      <c r="GX118" s="150">
        <v>21</v>
      </c>
      <c r="GY118" s="150">
        <v>24</v>
      </c>
      <c r="GZ118" s="150">
        <v>27</v>
      </c>
      <c r="HA118" s="150">
        <v>30</v>
      </c>
      <c r="HB118" s="150">
        <v>33</v>
      </c>
      <c r="HC118" s="150">
        <v>36</v>
      </c>
      <c r="HD118" s="150">
        <v>39</v>
      </c>
      <c r="HE118" s="150">
        <v>42</v>
      </c>
      <c r="HF118" s="150">
        <v>45</v>
      </c>
      <c r="HG118" s="150">
        <v>48</v>
      </c>
      <c r="HH118" s="150">
        <v>51</v>
      </c>
      <c r="HI118" s="154">
        <v>54</v>
      </c>
      <c r="HJ118" s="154">
        <v>57</v>
      </c>
      <c r="HK118" s="154">
        <v>60</v>
      </c>
      <c r="HL118" s="154">
        <v>63</v>
      </c>
      <c r="HM118" s="154">
        <v>66</v>
      </c>
      <c r="HN118" s="154">
        <v>69</v>
      </c>
      <c r="HO118" s="154">
        <v>72</v>
      </c>
      <c r="HP118" s="154">
        <v>75</v>
      </c>
      <c r="HS118" s="154" t="s">
        <v>762</v>
      </c>
      <c r="HT118" s="154">
        <v>0</v>
      </c>
      <c r="HU118" s="154">
        <v>9</v>
      </c>
      <c r="HV118" s="154">
        <v>12</v>
      </c>
      <c r="HW118" s="154">
        <v>15</v>
      </c>
      <c r="HX118" s="154">
        <v>18</v>
      </c>
      <c r="HY118" s="154">
        <v>21</v>
      </c>
      <c r="HZ118" s="154">
        <v>24</v>
      </c>
      <c r="IA118" s="154">
        <v>27</v>
      </c>
      <c r="IB118" s="154">
        <v>30</v>
      </c>
      <c r="IC118" s="154">
        <v>33</v>
      </c>
      <c r="ID118" s="154">
        <v>36</v>
      </c>
      <c r="IE118" s="154">
        <v>39</v>
      </c>
      <c r="IF118" s="154">
        <v>42</v>
      </c>
      <c r="IG118" s="154">
        <v>45</v>
      </c>
      <c r="IH118" s="154">
        <v>48</v>
      </c>
      <c r="II118" s="154">
        <v>51</v>
      </c>
      <c r="IJ118" s="154">
        <v>54</v>
      </c>
      <c r="IK118" s="154">
        <v>57</v>
      </c>
      <c r="IL118" s="154">
        <v>60</v>
      </c>
      <c r="IM118" s="154">
        <v>63</v>
      </c>
      <c r="IN118" s="154">
        <v>66</v>
      </c>
      <c r="IO118" s="154">
        <v>69</v>
      </c>
      <c r="IP118" s="154">
        <v>72</v>
      </c>
      <c r="IQ118" s="154">
        <v>75</v>
      </c>
      <c r="IR118" s="157"/>
    </row>
    <row r="119" spans="1:252" x14ac:dyDescent="0.2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6" t="s">
        <v>799</v>
      </c>
      <c r="M119" s="11">
        <f>INDEX(cennik!$C$2:$L$529,MATCH($L119,cennik!$B$2:$B$522,0),MATCH(M$2,cennik!$C$1:$L$1,0))</f>
        <v>6510443</v>
      </c>
      <c r="N119" s="11" t="str">
        <f>INDEX(cennik!$C$2:$L$529,MATCH($L119,cennik!$B$2:$B$522,0),MATCH(N$2,cennik!$C$1:$L$1,0))</f>
        <v>100 szt.</v>
      </c>
      <c r="O119" s="11">
        <f>O120</f>
        <v>0</v>
      </c>
      <c r="P119" s="34">
        <f>INDEX(cennik!$C$2:$L$529,MATCH($L119,cennik!$B$2:$B$522,0),MATCH(P$2,cennik!$C$1:$L$1,0))</f>
        <v>43.51</v>
      </c>
      <c r="Q119" s="34">
        <f t="shared" ref="Q119" si="298">O119*P119</f>
        <v>0</v>
      </c>
      <c r="R119" s="35">
        <f t="shared" si="263"/>
        <v>0</v>
      </c>
      <c r="S119" s="34">
        <f t="shared" si="264"/>
        <v>43.51</v>
      </c>
      <c r="T119" s="34">
        <f t="shared" ref="T119" si="299">O119*S119</f>
        <v>0</v>
      </c>
      <c r="U119" s="34">
        <f>INDEX(cennik!$C$2:$L$529,MATCH($L119,cennik!$B$2:$B$522,0),MATCH(U$2,cennik!$C$1:$L$1,0))*O119</f>
        <v>0</v>
      </c>
      <c r="V119" s="62"/>
      <c r="AC119" s="150"/>
      <c r="AD119" s="150"/>
      <c r="AE119" s="150"/>
      <c r="AF119" s="150"/>
      <c r="AG119" s="150"/>
      <c r="AH119" s="150"/>
      <c r="AI119" s="150"/>
      <c r="AJ119" s="150">
        <f>SUM(AJ115:AJ117)</f>
        <v>29700</v>
      </c>
      <c r="AK119" s="150"/>
      <c r="AL119" s="150">
        <f>SUM(AL115:AL118)</f>
        <v>888.34999999999991</v>
      </c>
      <c r="AM119" s="150"/>
      <c r="AX119" s="150"/>
      <c r="AY119" s="150"/>
      <c r="AZ119" s="150"/>
      <c r="BA119" s="150"/>
      <c r="BB119" s="150"/>
      <c r="BC119" s="150"/>
      <c r="BD119" s="150"/>
      <c r="BE119" s="150"/>
      <c r="BF119" s="150"/>
      <c r="BG119" s="150"/>
      <c r="BH119" s="150" t="s">
        <v>216</v>
      </c>
      <c r="BI119" s="150">
        <f>(BI92/2)*3</f>
        <v>0</v>
      </c>
      <c r="BJ119" s="150">
        <v>0</v>
      </c>
      <c r="BK119" s="150">
        <v>6</v>
      </c>
      <c r="BL119" s="150">
        <v>0</v>
      </c>
      <c r="BM119" s="150">
        <v>0</v>
      </c>
      <c r="BN119" s="150">
        <v>6</v>
      </c>
      <c r="BO119" s="150">
        <v>12</v>
      </c>
      <c r="BP119" s="150">
        <v>0</v>
      </c>
      <c r="BQ119" s="150">
        <v>6</v>
      </c>
      <c r="BR119" s="150">
        <v>12</v>
      </c>
      <c r="BS119" s="150">
        <v>0</v>
      </c>
      <c r="BT119" s="150">
        <v>6</v>
      </c>
      <c r="BU119" s="150">
        <v>12</v>
      </c>
      <c r="BV119" s="150">
        <v>0</v>
      </c>
      <c r="BW119" s="150">
        <v>6</v>
      </c>
      <c r="BX119" s="150">
        <v>12</v>
      </c>
      <c r="BY119" s="150">
        <v>0</v>
      </c>
      <c r="BZ119" s="150">
        <v>6</v>
      </c>
      <c r="CA119" s="150">
        <v>12</v>
      </c>
      <c r="CB119" s="150">
        <v>0</v>
      </c>
      <c r="CC119" s="150">
        <v>6</v>
      </c>
      <c r="CD119" s="150">
        <v>12</v>
      </c>
      <c r="CE119" s="150">
        <v>0</v>
      </c>
      <c r="CF119" s="150">
        <v>6</v>
      </c>
      <c r="CG119" s="150"/>
      <c r="CH119" s="150"/>
      <c r="CI119" s="150"/>
      <c r="CJ119" s="150"/>
      <c r="CK119" s="150"/>
      <c r="CL119" s="150"/>
      <c r="CM119" s="150"/>
      <c r="CN119" s="150" t="s">
        <v>216</v>
      </c>
      <c r="CO119" s="150">
        <v>0</v>
      </c>
      <c r="CP119" s="150">
        <f t="shared" ref="CP119:DL121" si="300">IF(CP92=0,0,IF(CP92&gt;0,(CP92/4)*6,0))</f>
        <v>6</v>
      </c>
      <c r="CQ119" s="150">
        <f t="shared" si="300"/>
        <v>0</v>
      </c>
      <c r="CR119" s="150">
        <f t="shared" si="300"/>
        <v>0</v>
      </c>
      <c r="CS119" s="150">
        <f t="shared" si="300"/>
        <v>6</v>
      </c>
      <c r="CT119" s="150">
        <f t="shared" si="300"/>
        <v>12</v>
      </c>
      <c r="CU119" s="150">
        <f t="shared" si="300"/>
        <v>0</v>
      </c>
      <c r="CV119" s="150">
        <f t="shared" si="300"/>
        <v>6</v>
      </c>
      <c r="CW119" s="150">
        <f t="shared" si="300"/>
        <v>12</v>
      </c>
      <c r="CX119" s="150">
        <f t="shared" si="300"/>
        <v>0</v>
      </c>
      <c r="CY119" s="150">
        <f t="shared" si="300"/>
        <v>6</v>
      </c>
      <c r="CZ119" s="150">
        <v>0</v>
      </c>
      <c r="DA119" s="150">
        <f t="shared" si="300"/>
        <v>0</v>
      </c>
      <c r="DB119" s="150">
        <f t="shared" si="300"/>
        <v>12</v>
      </c>
      <c r="DC119" s="150">
        <f t="shared" si="300"/>
        <v>0</v>
      </c>
      <c r="DD119" s="150">
        <f t="shared" si="300"/>
        <v>6</v>
      </c>
      <c r="DE119" s="150">
        <f t="shared" si="300"/>
        <v>12</v>
      </c>
      <c r="DF119" s="150">
        <f t="shared" si="300"/>
        <v>0</v>
      </c>
      <c r="DG119" s="150">
        <f t="shared" si="300"/>
        <v>6</v>
      </c>
      <c r="DH119" s="150">
        <f t="shared" si="300"/>
        <v>12</v>
      </c>
      <c r="DI119" s="150">
        <f t="shared" si="300"/>
        <v>0</v>
      </c>
      <c r="DJ119" s="150">
        <f t="shared" si="300"/>
        <v>6</v>
      </c>
      <c r="DK119" s="150">
        <f t="shared" si="300"/>
        <v>12</v>
      </c>
      <c r="DL119" s="150">
        <f t="shared" si="300"/>
        <v>0</v>
      </c>
      <c r="DM119" s="150"/>
      <c r="DN119" s="150"/>
      <c r="DO119" s="150"/>
      <c r="DP119" s="150"/>
      <c r="DQ119" s="181"/>
      <c r="DR119" s="181">
        <v>33</v>
      </c>
      <c r="DS119" s="181"/>
      <c r="DT119" s="150"/>
      <c r="DU119" s="150"/>
      <c r="DV119" s="150"/>
      <c r="DW119" s="150"/>
      <c r="DX119" s="150"/>
      <c r="DY119" s="150"/>
      <c r="DZ119" s="150"/>
      <c r="EA119" s="150"/>
      <c r="EB119" s="150"/>
      <c r="EC119" s="150"/>
      <c r="ED119" s="150"/>
      <c r="EE119" s="150"/>
      <c r="EF119" s="150"/>
      <c r="EG119" s="150"/>
      <c r="EH119" s="150"/>
      <c r="EI119" s="150"/>
      <c r="EJ119" s="155"/>
      <c r="EK119" s="150" t="s">
        <v>522</v>
      </c>
      <c r="EL119" s="150">
        <v>0</v>
      </c>
      <c r="EM119" s="150">
        <f>EM94/4*6</f>
        <v>0</v>
      </c>
      <c r="EN119" s="150">
        <f t="shared" ref="EN119:FI119" si="301">EN94/4*6</f>
        <v>6</v>
      </c>
      <c r="EO119" s="150">
        <f t="shared" si="301"/>
        <v>0</v>
      </c>
      <c r="EP119" s="150">
        <f t="shared" si="301"/>
        <v>0</v>
      </c>
      <c r="EQ119" s="150">
        <f t="shared" si="301"/>
        <v>6</v>
      </c>
      <c r="ER119" s="150">
        <f t="shared" si="301"/>
        <v>0</v>
      </c>
      <c r="ES119" s="150">
        <f t="shared" si="301"/>
        <v>0</v>
      </c>
      <c r="ET119" s="150">
        <f t="shared" si="301"/>
        <v>6</v>
      </c>
      <c r="EU119" s="150">
        <f t="shared" si="301"/>
        <v>12</v>
      </c>
      <c r="EV119" s="150">
        <f t="shared" si="301"/>
        <v>0</v>
      </c>
      <c r="EW119" s="150">
        <f t="shared" si="301"/>
        <v>6</v>
      </c>
      <c r="EX119" s="150">
        <f t="shared" si="301"/>
        <v>12</v>
      </c>
      <c r="EY119" s="150">
        <f t="shared" si="301"/>
        <v>0</v>
      </c>
      <c r="EZ119" s="150">
        <f t="shared" si="301"/>
        <v>6</v>
      </c>
      <c r="FA119" s="150">
        <f t="shared" si="301"/>
        <v>12</v>
      </c>
      <c r="FB119" s="150">
        <f t="shared" si="301"/>
        <v>0</v>
      </c>
      <c r="FC119" s="150">
        <f t="shared" si="301"/>
        <v>6</v>
      </c>
      <c r="FD119" s="150">
        <f t="shared" si="301"/>
        <v>12</v>
      </c>
      <c r="FE119" s="150">
        <f t="shared" si="301"/>
        <v>0</v>
      </c>
      <c r="FF119" s="150">
        <f t="shared" si="301"/>
        <v>6</v>
      </c>
      <c r="FG119" s="150">
        <f t="shared" si="301"/>
        <v>12</v>
      </c>
      <c r="FH119" s="150">
        <f t="shared" si="301"/>
        <v>0</v>
      </c>
      <c r="FI119" s="150">
        <f t="shared" si="301"/>
        <v>6</v>
      </c>
      <c r="FJ119" s="150"/>
      <c r="FK119" s="150" t="s">
        <v>522</v>
      </c>
      <c r="FL119" s="150">
        <v>0</v>
      </c>
      <c r="FM119" s="150">
        <f>FM94/4*6</f>
        <v>6</v>
      </c>
      <c r="FN119" s="150">
        <f t="shared" ref="FN119:GI119" si="302">FN94/4*6</f>
        <v>0</v>
      </c>
      <c r="FO119" s="150">
        <f t="shared" si="302"/>
        <v>0</v>
      </c>
      <c r="FP119" s="150">
        <f t="shared" si="302"/>
        <v>6</v>
      </c>
      <c r="FQ119" s="150">
        <f t="shared" si="302"/>
        <v>12</v>
      </c>
      <c r="FR119" s="150">
        <f t="shared" si="302"/>
        <v>0</v>
      </c>
      <c r="FS119" s="150">
        <f t="shared" si="302"/>
        <v>6</v>
      </c>
      <c r="FT119" s="150">
        <f t="shared" si="302"/>
        <v>12</v>
      </c>
      <c r="FU119" s="150">
        <f t="shared" si="302"/>
        <v>0</v>
      </c>
      <c r="FV119" s="150">
        <f t="shared" si="302"/>
        <v>6</v>
      </c>
      <c r="FW119" s="150">
        <f t="shared" si="302"/>
        <v>12</v>
      </c>
      <c r="FX119" s="150">
        <f t="shared" si="302"/>
        <v>0</v>
      </c>
      <c r="FY119" s="150">
        <f t="shared" si="302"/>
        <v>12</v>
      </c>
      <c r="FZ119" s="150">
        <f t="shared" si="302"/>
        <v>0</v>
      </c>
      <c r="GA119" s="150">
        <f t="shared" si="302"/>
        <v>6</v>
      </c>
      <c r="GB119" s="150">
        <f t="shared" si="302"/>
        <v>12</v>
      </c>
      <c r="GC119" s="150">
        <f t="shared" si="302"/>
        <v>0</v>
      </c>
      <c r="GD119" s="150">
        <f t="shared" si="302"/>
        <v>6</v>
      </c>
      <c r="GE119" s="150">
        <f t="shared" si="302"/>
        <v>12</v>
      </c>
      <c r="GF119" s="150">
        <f t="shared" si="302"/>
        <v>0</v>
      </c>
      <c r="GG119" s="150">
        <f t="shared" si="302"/>
        <v>6</v>
      </c>
      <c r="GH119" s="150">
        <f t="shared" si="302"/>
        <v>12</v>
      </c>
      <c r="GI119" s="150">
        <f t="shared" si="302"/>
        <v>0</v>
      </c>
      <c r="GJ119" s="150"/>
      <c r="GK119" s="150"/>
      <c r="GL119" s="150"/>
      <c r="GM119" s="150"/>
      <c r="GN119" s="150"/>
      <c r="GO119" s="150"/>
      <c r="GP119" s="150"/>
      <c r="GQ119" s="150"/>
      <c r="GR119" s="150" t="s">
        <v>586</v>
      </c>
      <c r="GS119" s="150">
        <v>0</v>
      </c>
      <c r="GT119" s="150">
        <f>GT92/4*6</f>
        <v>0</v>
      </c>
      <c r="GU119" s="150">
        <f t="shared" ref="GU119:HP119" si="303">GU92/4*6</f>
        <v>6</v>
      </c>
      <c r="GV119" s="150">
        <f t="shared" si="303"/>
        <v>6</v>
      </c>
      <c r="GW119" s="150">
        <f t="shared" si="303"/>
        <v>0</v>
      </c>
      <c r="GX119" s="150">
        <f t="shared" si="303"/>
        <v>0</v>
      </c>
      <c r="GY119" s="150">
        <f t="shared" si="303"/>
        <v>0</v>
      </c>
      <c r="GZ119" s="150">
        <f t="shared" si="303"/>
        <v>0</v>
      </c>
      <c r="HA119" s="150">
        <f t="shared" si="303"/>
        <v>0</v>
      </c>
      <c r="HB119" s="150">
        <f t="shared" si="303"/>
        <v>0</v>
      </c>
      <c r="HC119" s="150">
        <f t="shared" si="303"/>
        <v>0</v>
      </c>
      <c r="HD119" s="150">
        <f t="shared" si="303"/>
        <v>0</v>
      </c>
      <c r="HE119" s="150">
        <f t="shared" si="303"/>
        <v>0</v>
      </c>
      <c r="HF119" s="150">
        <f t="shared" si="303"/>
        <v>0</v>
      </c>
      <c r="HG119" s="150">
        <f t="shared" si="303"/>
        <v>0</v>
      </c>
      <c r="HH119" s="150">
        <f t="shared" si="303"/>
        <v>0</v>
      </c>
      <c r="HI119" s="150">
        <f t="shared" si="303"/>
        <v>0</v>
      </c>
      <c r="HJ119" s="150">
        <f t="shared" si="303"/>
        <v>0</v>
      </c>
      <c r="HK119" s="150">
        <f t="shared" si="303"/>
        <v>0</v>
      </c>
      <c r="HL119" s="150">
        <f t="shared" si="303"/>
        <v>0</v>
      </c>
      <c r="HM119" s="150">
        <f t="shared" si="303"/>
        <v>0</v>
      </c>
      <c r="HN119" s="150">
        <f t="shared" si="303"/>
        <v>0</v>
      </c>
      <c r="HO119" s="150">
        <f t="shared" si="303"/>
        <v>0</v>
      </c>
      <c r="HP119" s="150">
        <f t="shared" si="303"/>
        <v>0</v>
      </c>
      <c r="HS119" s="154" t="s">
        <v>586</v>
      </c>
      <c r="HT119" s="154">
        <v>0</v>
      </c>
      <c r="HU119" s="150">
        <f>HU92/4*6</f>
        <v>0</v>
      </c>
      <c r="HV119" s="150">
        <f t="shared" ref="HV119:IQ119" si="304">HV92/4*6</f>
        <v>6</v>
      </c>
      <c r="HW119" s="150">
        <f t="shared" si="304"/>
        <v>0</v>
      </c>
      <c r="HX119" s="150">
        <f t="shared" si="304"/>
        <v>0</v>
      </c>
      <c r="HY119" s="150">
        <f t="shared" si="304"/>
        <v>0</v>
      </c>
      <c r="HZ119" s="150">
        <f t="shared" si="304"/>
        <v>0</v>
      </c>
      <c r="IA119" s="150">
        <f t="shared" si="304"/>
        <v>0</v>
      </c>
      <c r="IB119" s="150">
        <f t="shared" si="304"/>
        <v>0</v>
      </c>
      <c r="IC119" s="150">
        <f t="shared" si="304"/>
        <v>0</v>
      </c>
      <c r="ID119" s="150">
        <f t="shared" si="304"/>
        <v>0</v>
      </c>
      <c r="IE119" s="150">
        <f t="shared" si="304"/>
        <v>0</v>
      </c>
      <c r="IF119" s="150">
        <f t="shared" si="304"/>
        <v>0</v>
      </c>
      <c r="IG119" s="150">
        <f t="shared" si="304"/>
        <v>0</v>
      </c>
      <c r="IH119" s="150">
        <f t="shared" si="304"/>
        <v>0</v>
      </c>
      <c r="II119" s="150">
        <f t="shared" si="304"/>
        <v>0</v>
      </c>
      <c r="IJ119" s="150">
        <f t="shared" si="304"/>
        <v>0</v>
      </c>
      <c r="IK119" s="150">
        <f t="shared" si="304"/>
        <v>0</v>
      </c>
      <c r="IL119" s="150">
        <f t="shared" si="304"/>
        <v>0</v>
      </c>
      <c r="IM119" s="150">
        <f t="shared" si="304"/>
        <v>0</v>
      </c>
      <c r="IN119" s="150">
        <f t="shared" si="304"/>
        <v>0</v>
      </c>
      <c r="IO119" s="150">
        <f t="shared" si="304"/>
        <v>0</v>
      </c>
      <c r="IP119" s="150">
        <f t="shared" si="304"/>
        <v>0</v>
      </c>
      <c r="IQ119" s="150">
        <f t="shared" si="304"/>
        <v>0</v>
      </c>
      <c r="IR119" s="157"/>
    </row>
    <row r="120" spans="1:252" x14ac:dyDescent="0.2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6" t="s">
        <v>350</v>
      </c>
      <c r="M120" s="11">
        <f>INDEX(cennik!$C$2:$L$529,MATCH($L120,cennik!$B$2:$B$522,0),MATCH(M$2,cennik!$C$1:$L$1,0))</f>
        <v>651643</v>
      </c>
      <c r="N120" s="11" t="str">
        <f>INDEX(cennik!$C$2:$L$529,MATCH($L120,cennik!$B$2:$B$522,0),MATCH(N$2,cennik!$C$1:$L$1,0))</f>
        <v>100 szt.</v>
      </c>
      <c r="O120" s="11">
        <f>ROUNDUP(((O101*11)+(O108*2)+(O100*9)+(O113*8)+E104+(O126*2)+(O107*3)+(O127*2))/100,0)</f>
        <v>0</v>
      </c>
      <c r="P120" s="34">
        <f>INDEX(cennik!$C$2:$L$529,MATCH($L120,cennik!$B$2:$B$522,0),MATCH(P$2,cennik!$C$1:$L$1,0))</f>
        <v>144.19</v>
      </c>
      <c r="Q120" s="34">
        <f t="shared" si="273"/>
        <v>0</v>
      </c>
      <c r="R120" s="35">
        <f t="shared" si="263"/>
        <v>0</v>
      </c>
      <c r="S120" s="34">
        <f t="shared" si="264"/>
        <v>144.19</v>
      </c>
      <c r="T120" s="34">
        <f t="shared" si="274"/>
        <v>0</v>
      </c>
      <c r="U120" s="34">
        <f>INDEX(cennik!$C$2:$L$529,MATCH($L120,cennik!$B$2:$B$522,0),MATCH(U$2,cennik!$C$1:$L$1,0))*O120</f>
        <v>0</v>
      </c>
      <c r="V120" s="62"/>
      <c r="AC120" s="150"/>
      <c r="AD120" s="150"/>
      <c r="AE120" s="150"/>
      <c r="AF120" s="150"/>
      <c r="AG120" s="150"/>
      <c r="AH120" s="150">
        <f>(AB122-1)*3150</f>
        <v>-3150</v>
      </c>
      <c r="AI120" s="150"/>
      <c r="AJ120" s="150"/>
      <c r="AK120" s="150"/>
      <c r="AL120" s="150"/>
      <c r="AM120" s="150"/>
      <c r="AX120" s="150"/>
      <c r="AY120" s="150"/>
      <c r="AZ120" s="150"/>
      <c r="BA120" s="150"/>
      <c r="BB120" s="150"/>
      <c r="BC120" s="150"/>
      <c r="BD120" s="150"/>
      <c r="BE120" s="150"/>
      <c r="BF120" s="150"/>
      <c r="BG120" s="150"/>
      <c r="BH120" s="150" t="s">
        <v>17</v>
      </c>
      <c r="BI120" s="150">
        <f>(BI93/2)*3</f>
        <v>0</v>
      </c>
      <c r="BJ120" s="150">
        <v>6</v>
      </c>
      <c r="BK120" s="150">
        <v>0</v>
      </c>
      <c r="BL120" s="150">
        <v>0</v>
      </c>
      <c r="BM120" s="150">
        <v>0</v>
      </c>
      <c r="BN120" s="150">
        <v>6</v>
      </c>
      <c r="BO120" s="150">
        <v>0</v>
      </c>
      <c r="BP120" s="150">
        <v>6</v>
      </c>
      <c r="BQ120" s="150">
        <v>0</v>
      </c>
      <c r="BR120" s="150">
        <v>6</v>
      </c>
      <c r="BS120" s="150">
        <v>0</v>
      </c>
      <c r="BT120" s="150">
        <v>6</v>
      </c>
      <c r="BU120" s="150">
        <v>0</v>
      </c>
      <c r="BV120" s="150">
        <v>6</v>
      </c>
      <c r="BW120" s="150">
        <v>0</v>
      </c>
      <c r="BX120" s="150">
        <v>6</v>
      </c>
      <c r="BY120" s="150">
        <v>0</v>
      </c>
      <c r="BZ120" s="150">
        <v>6</v>
      </c>
      <c r="CA120" s="150">
        <v>0</v>
      </c>
      <c r="CB120" s="150">
        <v>6</v>
      </c>
      <c r="CC120" s="150">
        <v>0</v>
      </c>
      <c r="CD120" s="150">
        <v>6</v>
      </c>
      <c r="CE120" s="150">
        <v>0</v>
      </c>
      <c r="CF120" s="150">
        <v>6</v>
      </c>
      <c r="CG120" s="150"/>
      <c r="CH120" s="150"/>
      <c r="CI120" s="150"/>
      <c r="CJ120" s="150"/>
      <c r="CK120" s="150"/>
      <c r="CL120" s="150"/>
      <c r="CM120" s="150"/>
      <c r="CN120" s="150" t="s">
        <v>17</v>
      </c>
      <c r="CO120" s="150">
        <v>0</v>
      </c>
      <c r="CP120" s="150">
        <f t="shared" si="300"/>
        <v>0</v>
      </c>
      <c r="CQ120" s="150">
        <f t="shared" si="300"/>
        <v>0</v>
      </c>
      <c r="CR120" s="150">
        <f t="shared" si="300"/>
        <v>0</v>
      </c>
      <c r="CS120" s="150">
        <f t="shared" si="300"/>
        <v>6</v>
      </c>
      <c r="CT120" s="150">
        <f t="shared" si="300"/>
        <v>0</v>
      </c>
      <c r="CU120" s="150">
        <f t="shared" si="300"/>
        <v>6</v>
      </c>
      <c r="CV120" s="150">
        <f t="shared" si="300"/>
        <v>0</v>
      </c>
      <c r="CW120" s="150">
        <f t="shared" si="300"/>
        <v>6</v>
      </c>
      <c r="CX120" s="150">
        <f t="shared" si="300"/>
        <v>0</v>
      </c>
      <c r="CY120" s="150">
        <f t="shared" si="300"/>
        <v>6</v>
      </c>
      <c r="CZ120" s="150">
        <v>6</v>
      </c>
      <c r="DA120" s="150">
        <f t="shared" si="300"/>
        <v>6</v>
      </c>
      <c r="DB120" s="150">
        <f t="shared" si="300"/>
        <v>6</v>
      </c>
      <c r="DC120" s="150">
        <f t="shared" si="300"/>
        <v>0</v>
      </c>
      <c r="DD120" s="150">
        <f t="shared" si="300"/>
        <v>6</v>
      </c>
      <c r="DE120" s="150">
        <f t="shared" si="300"/>
        <v>0</v>
      </c>
      <c r="DF120" s="150">
        <f t="shared" si="300"/>
        <v>6</v>
      </c>
      <c r="DG120" s="150">
        <f t="shared" si="300"/>
        <v>0</v>
      </c>
      <c r="DH120" s="150">
        <f t="shared" si="300"/>
        <v>6</v>
      </c>
      <c r="DI120" s="150">
        <f t="shared" si="300"/>
        <v>0</v>
      </c>
      <c r="DJ120" s="150">
        <f t="shared" si="300"/>
        <v>6</v>
      </c>
      <c r="DK120" s="150">
        <f t="shared" si="300"/>
        <v>0</v>
      </c>
      <c r="DL120" s="150">
        <f t="shared" si="300"/>
        <v>6</v>
      </c>
      <c r="DM120" s="150"/>
      <c r="DN120" s="150"/>
      <c r="DO120" s="150"/>
      <c r="DP120" s="150"/>
      <c r="DQ120" s="181"/>
      <c r="DR120" s="181">
        <v>36</v>
      </c>
      <c r="DS120" s="181"/>
      <c r="DT120" s="150"/>
      <c r="DU120" s="150"/>
      <c r="DV120" s="150"/>
      <c r="DW120" s="150"/>
      <c r="DX120" s="150"/>
      <c r="DY120" s="150"/>
      <c r="DZ120" s="150"/>
      <c r="EA120" s="150"/>
      <c r="EB120" s="150"/>
      <c r="EC120" s="150"/>
      <c r="ED120" s="150"/>
      <c r="EE120" s="150"/>
      <c r="EF120" s="150"/>
      <c r="EG120" s="150"/>
      <c r="EH120" s="150"/>
      <c r="EI120" s="150"/>
      <c r="EJ120" s="155"/>
      <c r="EK120" s="150" t="s">
        <v>523</v>
      </c>
      <c r="EL120" s="150">
        <v>0</v>
      </c>
      <c r="EM120" s="150">
        <f>EM95/4*6</f>
        <v>6</v>
      </c>
      <c r="EN120" s="150">
        <f t="shared" ref="EN120:FI120" si="305">EN95/4*6</f>
        <v>0</v>
      </c>
      <c r="EO120" s="150">
        <f t="shared" si="305"/>
        <v>0</v>
      </c>
      <c r="EP120" s="150">
        <f t="shared" si="305"/>
        <v>12</v>
      </c>
      <c r="EQ120" s="150">
        <f t="shared" si="305"/>
        <v>6</v>
      </c>
      <c r="ER120" s="150">
        <f t="shared" si="305"/>
        <v>18</v>
      </c>
      <c r="ES120" s="150">
        <f t="shared" si="305"/>
        <v>18</v>
      </c>
      <c r="ET120" s="150">
        <f t="shared" si="305"/>
        <v>12</v>
      </c>
      <c r="EU120" s="150">
        <f t="shared" si="305"/>
        <v>6</v>
      </c>
      <c r="EV120" s="150">
        <f t="shared" si="305"/>
        <v>24</v>
      </c>
      <c r="EW120" s="150">
        <f t="shared" si="305"/>
        <v>18</v>
      </c>
      <c r="EX120" s="150">
        <f t="shared" si="305"/>
        <v>12</v>
      </c>
      <c r="EY120" s="150">
        <f t="shared" si="305"/>
        <v>30</v>
      </c>
      <c r="EZ120" s="150">
        <f t="shared" si="305"/>
        <v>24</v>
      </c>
      <c r="FA120" s="150">
        <f t="shared" si="305"/>
        <v>18</v>
      </c>
      <c r="FB120" s="150">
        <f t="shared" si="305"/>
        <v>36</v>
      </c>
      <c r="FC120" s="150">
        <f t="shared" si="305"/>
        <v>30</v>
      </c>
      <c r="FD120" s="150">
        <f t="shared" si="305"/>
        <v>24</v>
      </c>
      <c r="FE120" s="150">
        <f t="shared" si="305"/>
        <v>42</v>
      </c>
      <c r="FF120" s="150">
        <f t="shared" si="305"/>
        <v>36</v>
      </c>
      <c r="FG120" s="150">
        <f t="shared" si="305"/>
        <v>30</v>
      </c>
      <c r="FH120" s="150">
        <f t="shared" si="305"/>
        <v>48</v>
      </c>
      <c r="FI120" s="150">
        <f t="shared" si="305"/>
        <v>42</v>
      </c>
      <c r="FJ120" s="150"/>
      <c r="FK120" s="150" t="s">
        <v>523</v>
      </c>
      <c r="FL120" s="150">
        <v>0</v>
      </c>
      <c r="FM120" s="150">
        <f>FM95/4*6</f>
        <v>0</v>
      </c>
      <c r="FN120" s="150">
        <f t="shared" ref="FN120:GI120" si="306">FN95/4*6</f>
        <v>0</v>
      </c>
      <c r="FO120" s="150">
        <f t="shared" si="306"/>
        <v>0</v>
      </c>
      <c r="FP120" s="150">
        <f t="shared" si="306"/>
        <v>6</v>
      </c>
      <c r="FQ120" s="150">
        <f t="shared" si="306"/>
        <v>0</v>
      </c>
      <c r="FR120" s="150">
        <f t="shared" si="306"/>
        <v>18</v>
      </c>
      <c r="FS120" s="150">
        <f t="shared" si="306"/>
        <v>12</v>
      </c>
      <c r="FT120" s="150">
        <f t="shared" si="306"/>
        <v>6</v>
      </c>
      <c r="FU120" s="150">
        <f t="shared" si="306"/>
        <v>24</v>
      </c>
      <c r="FV120" s="150">
        <f t="shared" si="306"/>
        <v>18</v>
      </c>
      <c r="FW120" s="150">
        <f t="shared" si="306"/>
        <v>12</v>
      </c>
      <c r="FX120" s="150">
        <f t="shared" si="306"/>
        <v>30</v>
      </c>
      <c r="FY120" s="150">
        <f t="shared" si="306"/>
        <v>18</v>
      </c>
      <c r="FZ120" s="150">
        <f t="shared" si="306"/>
        <v>36</v>
      </c>
      <c r="GA120" s="150">
        <f t="shared" si="306"/>
        <v>30</v>
      </c>
      <c r="GB120" s="150">
        <f t="shared" si="306"/>
        <v>24</v>
      </c>
      <c r="GC120" s="150">
        <f t="shared" si="306"/>
        <v>42</v>
      </c>
      <c r="GD120" s="150">
        <f t="shared" si="306"/>
        <v>36</v>
      </c>
      <c r="GE120" s="150">
        <f t="shared" si="306"/>
        <v>30</v>
      </c>
      <c r="GF120" s="150">
        <f t="shared" si="306"/>
        <v>48</v>
      </c>
      <c r="GG120" s="150">
        <f t="shared" si="306"/>
        <v>42</v>
      </c>
      <c r="GH120" s="150">
        <f t="shared" si="306"/>
        <v>36</v>
      </c>
      <c r="GI120" s="150">
        <f t="shared" si="306"/>
        <v>54</v>
      </c>
      <c r="GJ120" s="150"/>
      <c r="GK120" s="150"/>
      <c r="GL120" s="150"/>
      <c r="GM120" s="150"/>
      <c r="GN120" s="150"/>
      <c r="GO120" s="150"/>
      <c r="GP120" s="150"/>
      <c r="GQ120" s="150"/>
      <c r="GR120" s="150" t="s">
        <v>522</v>
      </c>
      <c r="GS120" s="150">
        <v>0</v>
      </c>
      <c r="GT120" s="150">
        <f t="shared" ref="GT120:HP120" si="307">GT93/4*6</f>
        <v>6</v>
      </c>
      <c r="GU120" s="150">
        <f t="shared" si="307"/>
        <v>0</v>
      </c>
      <c r="GV120" s="150">
        <f t="shared" si="307"/>
        <v>0</v>
      </c>
      <c r="GW120" s="150">
        <f t="shared" si="307"/>
        <v>6</v>
      </c>
      <c r="GX120" s="150">
        <f t="shared" si="307"/>
        <v>0</v>
      </c>
      <c r="GY120" s="150">
        <f t="shared" si="307"/>
        <v>6</v>
      </c>
      <c r="GZ120" s="150">
        <f t="shared" si="307"/>
        <v>12</v>
      </c>
      <c r="HA120" s="150">
        <f t="shared" si="307"/>
        <v>18</v>
      </c>
      <c r="HB120" s="150">
        <f t="shared" si="307"/>
        <v>6</v>
      </c>
      <c r="HC120" s="150">
        <f t="shared" si="307"/>
        <v>12</v>
      </c>
      <c r="HD120" s="150">
        <f t="shared" si="307"/>
        <v>24</v>
      </c>
      <c r="HE120" s="150">
        <f t="shared" si="307"/>
        <v>12</v>
      </c>
      <c r="HF120" s="150">
        <f t="shared" si="307"/>
        <v>18</v>
      </c>
      <c r="HG120" s="150">
        <f t="shared" si="307"/>
        <v>24</v>
      </c>
      <c r="HH120" s="150">
        <f t="shared" si="307"/>
        <v>30</v>
      </c>
      <c r="HI120" s="150">
        <f t="shared" si="307"/>
        <v>18</v>
      </c>
      <c r="HJ120" s="150">
        <f t="shared" si="307"/>
        <v>30</v>
      </c>
      <c r="HK120" s="150">
        <f t="shared" si="307"/>
        <v>36</v>
      </c>
      <c r="HL120" s="150">
        <f t="shared" si="307"/>
        <v>24</v>
      </c>
      <c r="HM120" s="150">
        <f t="shared" si="307"/>
        <v>30</v>
      </c>
      <c r="HN120" s="150">
        <f t="shared" si="307"/>
        <v>36</v>
      </c>
      <c r="HO120" s="150">
        <f t="shared" si="307"/>
        <v>42</v>
      </c>
      <c r="HP120" s="150">
        <f t="shared" si="307"/>
        <v>30</v>
      </c>
      <c r="HS120" s="154" t="s">
        <v>522</v>
      </c>
      <c r="HT120" s="154">
        <v>0</v>
      </c>
      <c r="HU120" s="150">
        <f t="shared" ref="HU120:IQ120" si="308">HU93/4*6</f>
        <v>6</v>
      </c>
      <c r="HV120" s="150">
        <f t="shared" si="308"/>
        <v>0</v>
      </c>
      <c r="HW120" s="150">
        <f t="shared" si="308"/>
        <v>6</v>
      </c>
      <c r="HX120" s="150">
        <f t="shared" si="308"/>
        <v>12</v>
      </c>
      <c r="HY120" s="150">
        <f t="shared" si="308"/>
        <v>0</v>
      </c>
      <c r="HZ120" s="150">
        <f t="shared" si="308"/>
        <v>12</v>
      </c>
      <c r="IA120" s="150">
        <f t="shared" si="308"/>
        <v>18</v>
      </c>
      <c r="IB120" s="150">
        <f t="shared" si="308"/>
        <v>6</v>
      </c>
      <c r="IC120" s="150">
        <f t="shared" si="308"/>
        <v>12</v>
      </c>
      <c r="ID120" s="150">
        <f t="shared" si="308"/>
        <v>24</v>
      </c>
      <c r="IE120" s="150">
        <f t="shared" si="308"/>
        <v>12</v>
      </c>
      <c r="IF120" s="150">
        <f t="shared" si="308"/>
        <v>18</v>
      </c>
      <c r="IG120" s="150">
        <f t="shared" si="308"/>
        <v>24</v>
      </c>
      <c r="IH120" s="150">
        <f t="shared" si="308"/>
        <v>30</v>
      </c>
      <c r="II120" s="150">
        <f t="shared" si="308"/>
        <v>24</v>
      </c>
      <c r="IJ120" s="150">
        <f t="shared" si="308"/>
        <v>30</v>
      </c>
      <c r="IK120" s="150">
        <f t="shared" si="308"/>
        <v>36</v>
      </c>
      <c r="IL120" s="150">
        <f t="shared" si="308"/>
        <v>24</v>
      </c>
      <c r="IM120" s="150">
        <f t="shared" si="308"/>
        <v>36</v>
      </c>
      <c r="IN120" s="150">
        <f t="shared" si="308"/>
        <v>42</v>
      </c>
      <c r="IO120" s="150">
        <f t="shared" si="308"/>
        <v>30</v>
      </c>
      <c r="IP120" s="150">
        <f t="shared" si="308"/>
        <v>36</v>
      </c>
      <c r="IQ120" s="150">
        <f t="shared" si="308"/>
        <v>48</v>
      </c>
      <c r="IR120" s="157"/>
    </row>
    <row r="121" spans="1:252" x14ac:dyDescent="0.2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6" t="s">
        <v>128</v>
      </c>
      <c r="M121" s="11">
        <f>INDEX(cennik!$C$2:$L$529,MATCH($L121,cennik!$B$2:$B$522,0),MATCH(M$2,cennik!$C$1:$L$1,0))</f>
        <v>897303</v>
      </c>
      <c r="N121" s="11" t="str">
        <f>INDEX(cennik!$C$2:$L$529,MATCH($L121,cennik!$B$2:$B$522,0),MATCH(N$2,cennik!$C$1:$L$1,0))</f>
        <v>szt.</v>
      </c>
      <c r="O121" s="11">
        <f>SUM((IF(MOD((A98/2),2)=0,(A98/2)/2,IF(MOD((A98/2),2)=1,FLOOR((A98/2)/2,1)+1,0))*C98*2),(IF(MOD((A99/2),2)=0,(A99/2)/2,IF(MOD((A99/2),2)=1,FLOOR((A99/2)/2,1)+1,0))*C99*2),(IF(MOD((A100/2),2)=0,(A100/2)/2,IF(MOD((A100/2),2)=1,FLOOR((A100/2)/2,1)+1,0))*C100*2),(IF(MOD((A101/2),2)=0,(A101/2)/2,IF(MOD((A101/2),2)=1,FLOOR((A101/2)/2,1)+1,0))*C101*2),(IF(MOD((A102/2),2)=0,(A102/2)/2,IF(MOD((A102/2),2)=1,FLOOR((A102/2)/2,1)+1,0))*C102*2),(IF(MOD((A103/2),2)=0,(A103/2)/2,IF(MOD((A103/2),2)=1,FLOOR((A103/2)/2,1)+1,0))*C103*2),(IF(MOD((A104/2),2)=0,(A104/2)/2,IF(MOD((A104/2),2)=1,FLOOR((A104/2)/2,1)+1,0))*C104*2),(IF(MOD((A105/2),2)=0,(A105/2)/2,IF(MOD((A105/2),2)=1,FLOOR((A105/2)/2,1)+1,0))*C105*2),(IF(MOD((A106/2),2)=0,(A106/2)/2,IF(MOD((A106/2),2)=1,FLOOR((A106/2)/2,1)+1,0))*C106*2),(IF(MOD((A107/2),2)=0,(A107/2)/2,IF(MOD((A107/2),2)=1,FLOOR((A107/2)/2,1)+1,0))*C107*2),(IF(MOD((A108/2),2)=0,(A108/2)/2,IF(MOD((A108/2),2)=1,FLOOR((A108/2)/2,1)+1,0))*C108*2),(IF(MOD((A109/2),2)=0,(A109/2)/2,IF(MOD((A109/2),2)=1,FLOOR((A109/2)/2,1)+1,0))*C109*2),(IF(MOD((A110/2),2)=0,(A110/2)/2,IF(MOD((A110/2),2)=1,FLOOR((A110/2)/2,1)+1,0))*C110*2),(IF(MOD((A111/2),2)=0,(A111/2)/2,IF(MOD((A111/2),2)=1,FLOOR((A111/2)/2,1)+1,0))*C111*2),(IF(MOD((A112/2),2)=0,(A112/2)/2,IF(MOD((A112/2),2)=1,FLOOR((A112/2)/2,1)+1,0))*C112*2),(IF(MOD((A113/2),2)=0,(A113/2)/2,IF(MOD((A113/2),2)=1,FLOOR((A113/2)/2,1)+1,0))*C113*2))</f>
        <v>0</v>
      </c>
      <c r="P121" s="34">
        <f>INDEX(cennik!$C$2:$L$529,MATCH($L121,cennik!$B$2:$B$522,0),MATCH(P$2,cennik!$C$1:$L$1,0))</f>
        <v>2.4</v>
      </c>
      <c r="Q121" s="34">
        <f t="shared" si="273"/>
        <v>0</v>
      </c>
      <c r="R121" s="35">
        <f t="shared" si="263"/>
        <v>0</v>
      </c>
      <c r="S121" s="34">
        <f t="shared" si="264"/>
        <v>2.4</v>
      </c>
      <c r="T121" s="34">
        <f t="shared" si="274"/>
        <v>0</v>
      </c>
      <c r="U121" s="34">
        <f>INDEX(cennik!$C$2:$L$529,MATCH($L121,cennik!$B$2:$B$522,0),MATCH(U$2,cennik!$C$1:$L$1,0))*O121</f>
        <v>0</v>
      </c>
      <c r="V121" s="62"/>
      <c r="W121" s="166"/>
      <c r="X121" s="166"/>
      <c r="Y121" s="166"/>
      <c r="Z121" s="166"/>
      <c r="AA121" s="167" t="s">
        <v>311</v>
      </c>
      <c r="AB121" s="168" t="s">
        <v>318</v>
      </c>
      <c r="AC121" s="150"/>
      <c r="AD121" s="150"/>
      <c r="AE121" s="150"/>
      <c r="AF121" s="150"/>
      <c r="AG121" s="150"/>
      <c r="AH121" s="150"/>
      <c r="AI121" s="150"/>
      <c r="AJ121" s="150">
        <f>2*6.6</f>
        <v>13.2</v>
      </c>
      <c r="AK121" s="150"/>
      <c r="AL121" s="150"/>
      <c r="AM121" s="150"/>
      <c r="AO121" s="168" t="s">
        <v>318</v>
      </c>
      <c r="AP121" s="167" t="s">
        <v>739</v>
      </c>
      <c r="AQ121" s="150"/>
      <c r="AX121" s="150"/>
      <c r="AY121" s="150"/>
      <c r="AZ121" s="150"/>
      <c r="BA121" s="150"/>
      <c r="BB121" s="150"/>
      <c r="BC121" s="150"/>
      <c r="BD121" s="150"/>
      <c r="BE121" s="150"/>
      <c r="BF121" s="150"/>
      <c r="BG121" s="150"/>
      <c r="BH121" s="150" t="s">
        <v>18</v>
      </c>
      <c r="BI121" s="150">
        <f>(BI94/2)*3</f>
        <v>0</v>
      </c>
      <c r="BJ121" s="150">
        <v>0</v>
      </c>
      <c r="BK121" s="150">
        <v>0</v>
      </c>
      <c r="BL121" s="150">
        <v>0</v>
      </c>
      <c r="BM121" s="150">
        <v>0</v>
      </c>
      <c r="BN121" s="150">
        <v>6</v>
      </c>
      <c r="BO121" s="150">
        <v>6</v>
      </c>
      <c r="BP121" s="150">
        <v>6</v>
      </c>
      <c r="BQ121" s="150">
        <v>6</v>
      </c>
      <c r="BR121" s="150">
        <v>12</v>
      </c>
      <c r="BS121" s="150">
        <v>6</v>
      </c>
      <c r="BT121" s="150">
        <v>12</v>
      </c>
      <c r="BU121" s="150">
        <v>12</v>
      </c>
      <c r="BV121" s="150">
        <v>12</v>
      </c>
      <c r="BW121" s="150">
        <v>12</v>
      </c>
      <c r="BX121" s="150">
        <v>18</v>
      </c>
      <c r="BY121" s="150">
        <v>12</v>
      </c>
      <c r="BZ121" s="150">
        <v>18</v>
      </c>
      <c r="CA121" s="150">
        <v>18</v>
      </c>
      <c r="CB121" s="150">
        <v>18</v>
      </c>
      <c r="CC121" s="150">
        <v>18</v>
      </c>
      <c r="CD121" s="150">
        <v>24</v>
      </c>
      <c r="CE121" s="150">
        <v>18</v>
      </c>
      <c r="CF121" s="150">
        <v>24</v>
      </c>
      <c r="CG121" s="150"/>
      <c r="CH121" s="150"/>
      <c r="CI121" s="150"/>
      <c r="CJ121" s="150"/>
      <c r="CK121" s="150"/>
      <c r="CL121" s="150"/>
      <c r="CM121" s="150"/>
      <c r="CN121" s="150" t="s">
        <v>18</v>
      </c>
      <c r="CO121" s="150">
        <v>0</v>
      </c>
      <c r="CP121" s="150">
        <f t="shared" si="300"/>
        <v>0</v>
      </c>
      <c r="CQ121" s="150">
        <f t="shared" si="300"/>
        <v>0</v>
      </c>
      <c r="CR121" s="150">
        <f t="shared" si="300"/>
        <v>0</v>
      </c>
      <c r="CS121" s="150">
        <f t="shared" si="300"/>
        <v>6</v>
      </c>
      <c r="CT121" s="150">
        <f t="shared" si="300"/>
        <v>6</v>
      </c>
      <c r="CU121" s="150">
        <f t="shared" si="300"/>
        <v>6</v>
      </c>
      <c r="CV121" s="150">
        <f t="shared" si="300"/>
        <v>6</v>
      </c>
      <c r="CW121" s="150">
        <f t="shared" si="300"/>
        <v>12</v>
      </c>
      <c r="CX121" s="150">
        <f t="shared" si="300"/>
        <v>6</v>
      </c>
      <c r="CY121" s="150">
        <f t="shared" si="300"/>
        <v>12</v>
      </c>
      <c r="CZ121" s="150">
        <v>12</v>
      </c>
      <c r="DA121" s="150">
        <f t="shared" si="300"/>
        <v>12</v>
      </c>
      <c r="DB121" s="150">
        <f t="shared" si="300"/>
        <v>18</v>
      </c>
      <c r="DC121" s="150">
        <f t="shared" si="300"/>
        <v>12</v>
      </c>
      <c r="DD121" s="150">
        <f t="shared" si="300"/>
        <v>18</v>
      </c>
      <c r="DE121" s="150">
        <f t="shared" si="300"/>
        <v>18</v>
      </c>
      <c r="DF121" s="150">
        <f t="shared" si="300"/>
        <v>18</v>
      </c>
      <c r="DG121" s="150">
        <f t="shared" si="300"/>
        <v>18</v>
      </c>
      <c r="DH121" s="150">
        <f t="shared" si="300"/>
        <v>24</v>
      </c>
      <c r="DI121" s="150">
        <f t="shared" si="300"/>
        <v>18</v>
      </c>
      <c r="DJ121" s="150">
        <f t="shared" si="300"/>
        <v>24</v>
      </c>
      <c r="DK121" s="150">
        <f t="shared" si="300"/>
        <v>24</v>
      </c>
      <c r="DL121" s="150">
        <f t="shared" si="300"/>
        <v>24</v>
      </c>
      <c r="DM121" s="150"/>
      <c r="DN121" s="150"/>
      <c r="DO121" s="150"/>
      <c r="DP121" s="150"/>
      <c r="DQ121" s="181"/>
      <c r="DR121" s="181">
        <v>39</v>
      </c>
      <c r="DS121" s="181"/>
      <c r="DT121" s="150"/>
      <c r="DU121" s="150"/>
      <c r="DV121" s="150"/>
      <c r="DW121" s="150"/>
      <c r="DX121" s="150"/>
      <c r="DY121" s="150"/>
      <c r="DZ121" s="150"/>
      <c r="EA121" s="150"/>
      <c r="EB121" s="150"/>
      <c r="EC121" s="150"/>
      <c r="ED121" s="150"/>
      <c r="EE121" s="150"/>
      <c r="EF121" s="150"/>
      <c r="EG121" s="150"/>
      <c r="EH121" s="150"/>
      <c r="EI121" s="150"/>
      <c r="EJ121" s="155"/>
      <c r="EK121" s="158" t="s">
        <v>779</v>
      </c>
      <c r="EL121" s="150">
        <v>0</v>
      </c>
      <c r="EM121" s="150">
        <f>((SUM(EM119:EM120)/6)-1)*6</f>
        <v>0</v>
      </c>
      <c r="EN121" s="150">
        <f>((SUM(EN119:EN120)/6)-1)*6</f>
        <v>0</v>
      </c>
      <c r="EO121" s="150">
        <v>0</v>
      </c>
      <c r="EP121" s="150">
        <f t="shared" ref="EP121:FI121" si="309">((SUM(EP119:EP120)/6)-1)*6</f>
        <v>6</v>
      </c>
      <c r="EQ121" s="150">
        <f t="shared" si="309"/>
        <v>6</v>
      </c>
      <c r="ER121" s="150">
        <f t="shared" si="309"/>
        <v>12</v>
      </c>
      <c r="ES121" s="150">
        <f t="shared" si="309"/>
        <v>12</v>
      </c>
      <c r="ET121" s="150">
        <f t="shared" si="309"/>
        <v>12</v>
      </c>
      <c r="EU121" s="150">
        <f t="shared" si="309"/>
        <v>12</v>
      </c>
      <c r="EV121" s="150">
        <f t="shared" si="309"/>
        <v>18</v>
      </c>
      <c r="EW121" s="150">
        <f t="shared" si="309"/>
        <v>18</v>
      </c>
      <c r="EX121" s="150">
        <f t="shared" si="309"/>
        <v>18</v>
      </c>
      <c r="EY121" s="150">
        <f t="shared" si="309"/>
        <v>24</v>
      </c>
      <c r="EZ121" s="150">
        <f t="shared" si="309"/>
        <v>24</v>
      </c>
      <c r="FA121" s="150">
        <f t="shared" si="309"/>
        <v>24</v>
      </c>
      <c r="FB121" s="150">
        <f t="shared" si="309"/>
        <v>30</v>
      </c>
      <c r="FC121" s="150">
        <f t="shared" si="309"/>
        <v>30</v>
      </c>
      <c r="FD121" s="150">
        <f t="shared" si="309"/>
        <v>30</v>
      </c>
      <c r="FE121" s="150">
        <f t="shared" si="309"/>
        <v>36</v>
      </c>
      <c r="FF121" s="150">
        <f t="shared" si="309"/>
        <v>36</v>
      </c>
      <c r="FG121" s="150">
        <f t="shared" si="309"/>
        <v>36</v>
      </c>
      <c r="FH121" s="150">
        <f t="shared" si="309"/>
        <v>42</v>
      </c>
      <c r="FI121" s="150">
        <f t="shared" si="309"/>
        <v>42</v>
      </c>
      <c r="FJ121" s="150"/>
      <c r="FK121" s="158" t="s">
        <v>779</v>
      </c>
      <c r="FL121" s="150">
        <v>0</v>
      </c>
      <c r="FM121" s="150">
        <f>((SUM(FM119:FM120)/6)-1)*6</f>
        <v>0</v>
      </c>
      <c r="FN121" s="150">
        <v>0</v>
      </c>
      <c r="FO121" s="150">
        <v>0</v>
      </c>
      <c r="FP121" s="150">
        <f t="shared" ref="FP121:GI121" si="310">((SUM(FP119:FP120)/6)-1)*6</f>
        <v>6</v>
      </c>
      <c r="FQ121" s="150">
        <f t="shared" si="310"/>
        <v>6</v>
      </c>
      <c r="FR121" s="150">
        <f t="shared" si="310"/>
        <v>12</v>
      </c>
      <c r="FS121" s="150">
        <f t="shared" si="310"/>
        <v>12</v>
      </c>
      <c r="FT121" s="150">
        <f t="shared" si="310"/>
        <v>12</v>
      </c>
      <c r="FU121" s="150">
        <f t="shared" si="310"/>
        <v>18</v>
      </c>
      <c r="FV121" s="150">
        <f t="shared" si="310"/>
        <v>18</v>
      </c>
      <c r="FW121" s="150">
        <f t="shared" si="310"/>
        <v>18</v>
      </c>
      <c r="FX121" s="150">
        <f t="shared" si="310"/>
        <v>24</v>
      </c>
      <c r="FY121" s="150">
        <f t="shared" si="310"/>
        <v>24</v>
      </c>
      <c r="FZ121" s="150">
        <f t="shared" si="310"/>
        <v>30</v>
      </c>
      <c r="GA121" s="150">
        <f t="shared" si="310"/>
        <v>30</v>
      </c>
      <c r="GB121" s="150">
        <f t="shared" si="310"/>
        <v>30</v>
      </c>
      <c r="GC121" s="150">
        <f t="shared" si="310"/>
        <v>36</v>
      </c>
      <c r="GD121" s="150">
        <f t="shared" si="310"/>
        <v>36</v>
      </c>
      <c r="GE121" s="150">
        <f t="shared" si="310"/>
        <v>36</v>
      </c>
      <c r="GF121" s="150">
        <f t="shared" si="310"/>
        <v>42</v>
      </c>
      <c r="GG121" s="150">
        <f t="shared" si="310"/>
        <v>42</v>
      </c>
      <c r="GH121" s="150">
        <f t="shared" si="310"/>
        <v>42</v>
      </c>
      <c r="GI121" s="150">
        <f t="shared" si="310"/>
        <v>48</v>
      </c>
      <c r="GJ121" s="150"/>
      <c r="GK121" s="150"/>
      <c r="GL121" s="150"/>
      <c r="GM121" s="150"/>
      <c r="GN121" s="150"/>
      <c r="GO121" s="150"/>
      <c r="GP121" s="150"/>
      <c r="GQ121" s="150"/>
      <c r="GR121" s="150" t="s">
        <v>523</v>
      </c>
      <c r="GS121" s="150">
        <v>0</v>
      </c>
      <c r="GT121" s="150">
        <f t="shared" ref="GT121:HP121" si="311">GT94/4*6</f>
        <v>0</v>
      </c>
      <c r="GU121" s="150">
        <f t="shared" si="311"/>
        <v>0</v>
      </c>
      <c r="GV121" s="150">
        <f t="shared" si="311"/>
        <v>0</v>
      </c>
      <c r="GW121" s="150">
        <f t="shared" si="311"/>
        <v>6</v>
      </c>
      <c r="GX121" s="150">
        <f t="shared" si="311"/>
        <v>18</v>
      </c>
      <c r="GY121" s="150">
        <f t="shared" si="311"/>
        <v>12</v>
      </c>
      <c r="GZ121" s="150">
        <f t="shared" si="311"/>
        <v>6</v>
      </c>
      <c r="HA121" s="150">
        <f t="shared" si="311"/>
        <v>0</v>
      </c>
      <c r="HB121" s="150">
        <f t="shared" si="311"/>
        <v>18</v>
      </c>
      <c r="HC121" s="150">
        <f t="shared" si="311"/>
        <v>12</v>
      </c>
      <c r="HD121" s="150">
        <f t="shared" si="311"/>
        <v>0</v>
      </c>
      <c r="HE121" s="150">
        <f t="shared" si="311"/>
        <v>18</v>
      </c>
      <c r="HF121" s="150">
        <f t="shared" si="311"/>
        <v>12</v>
      </c>
      <c r="HG121" s="150">
        <f t="shared" si="311"/>
        <v>6</v>
      </c>
      <c r="HH121" s="150">
        <f t="shared" si="311"/>
        <v>0</v>
      </c>
      <c r="HI121" s="150">
        <f t="shared" si="311"/>
        <v>18</v>
      </c>
      <c r="HJ121" s="150">
        <f t="shared" si="311"/>
        <v>6</v>
      </c>
      <c r="HK121" s="150">
        <f t="shared" si="311"/>
        <v>0</v>
      </c>
      <c r="HL121" s="150">
        <f t="shared" si="311"/>
        <v>18</v>
      </c>
      <c r="HM121" s="150">
        <f t="shared" si="311"/>
        <v>12</v>
      </c>
      <c r="HN121" s="150">
        <f t="shared" si="311"/>
        <v>6</v>
      </c>
      <c r="HO121" s="150">
        <f t="shared" si="311"/>
        <v>0</v>
      </c>
      <c r="HP121" s="150">
        <f t="shared" si="311"/>
        <v>18</v>
      </c>
      <c r="HS121" s="154" t="s">
        <v>523</v>
      </c>
      <c r="HT121" s="154">
        <v>0</v>
      </c>
      <c r="HU121" s="150">
        <f t="shared" ref="HU121:IQ121" si="312">HU94/4*6</f>
        <v>0</v>
      </c>
      <c r="HV121" s="150">
        <f t="shared" si="312"/>
        <v>0</v>
      </c>
      <c r="HW121" s="150">
        <f t="shared" si="312"/>
        <v>6</v>
      </c>
      <c r="HX121" s="150">
        <f t="shared" si="312"/>
        <v>0</v>
      </c>
      <c r="HY121" s="150">
        <f t="shared" si="312"/>
        <v>18</v>
      </c>
      <c r="HZ121" s="150">
        <f t="shared" si="312"/>
        <v>6</v>
      </c>
      <c r="IA121" s="150">
        <f t="shared" si="312"/>
        <v>0</v>
      </c>
      <c r="IB121" s="150">
        <f t="shared" si="312"/>
        <v>18</v>
      </c>
      <c r="IC121" s="150">
        <f t="shared" si="312"/>
        <v>12</v>
      </c>
      <c r="ID121" s="150">
        <f t="shared" si="312"/>
        <v>0</v>
      </c>
      <c r="IE121" s="150">
        <f t="shared" si="312"/>
        <v>18</v>
      </c>
      <c r="IF121" s="150">
        <f t="shared" si="312"/>
        <v>12</v>
      </c>
      <c r="IG121" s="150">
        <f t="shared" si="312"/>
        <v>6</v>
      </c>
      <c r="IH121" s="150">
        <f t="shared" si="312"/>
        <v>0</v>
      </c>
      <c r="II121" s="150">
        <f t="shared" si="312"/>
        <v>12</v>
      </c>
      <c r="IJ121" s="150">
        <f t="shared" si="312"/>
        <v>6</v>
      </c>
      <c r="IK121" s="150">
        <f t="shared" si="312"/>
        <v>0</v>
      </c>
      <c r="IL121" s="150">
        <f t="shared" si="312"/>
        <v>18</v>
      </c>
      <c r="IM121" s="150">
        <f t="shared" si="312"/>
        <v>6</v>
      </c>
      <c r="IN121" s="150">
        <f t="shared" si="312"/>
        <v>0</v>
      </c>
      <c r="IO121" s="150">
        <f t="shared" si="312"/>
        <v>18</v>
      </c>
      <c r="IP121" s="150">
        <f t="shared" si="312"/>
        <v>12</v>
      </c>
      <c r="IQ121" s="150">
        <f t="shared" si="312"/>
        <v>0</v>
      </c>
      <c r="IR121" s="157"/>
    </row>
    <row r="122" spans="1:252" x14ac:dyDescent="0.25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6" t="s">
        <v>527</v>
      </c>
      <c r="M122" s="11">
        <f>INDEX(cennik!$C$2:$L$529,MATCH($L122,cennik!$B$2:$B$522,0),MATCH(M$2,cennik!$C$1:$L$1,0))</f>
        <v>897311</v>
      </c>
      <c r="N122" s="11" t="str">
        <f>INDEX(cennik!$C$2:$L$529,MATCH($L122,cennik!$B$2:$B$522,0),MATCH(N$2,cennik!$C$1:$L$1,0))</f>
        <v>szt.</v>
      </c>
      <c r="O122" s="11">
        <f>SUM(((INT(((A98/2)+1)/3))*4*C98),((INT(((A99/2)+1)/3))*4*C99),((INT(((A100/2)+1)/3))*4*C100),((INT(((A101/2)+1)/3))*4*C101),((INT(((A102/2)+1)/3))*4*C102),((INT(((A103/2)+1)/3))*4*C103),((INT(((A104/2)+1)/3))*4*C104),((INT(((A105/2)+1)/3))*4*C105),((INT(((A106/2)+1)/3))*4*C106),((INT(((A107/2)+1)/3))*4*C107),((INT(((A108/2)+1)/3))*4*C108),((INT(((A109/2)+1)/3))*4*C109),((INT(((A110/2)+1)/3))*4*C110),((INT(((A111/2)+1)/3))*4*C111),((INT(((A112/2)+1)/3))*4*C112),((INT(((A113/2)+1)/3))*4*C113))</f>
        <v>0</v>
      </c>
      <c r="P122" s="34">
        <f>INDEX(cennik!$C$2:$L$529,MATCH($L122,cennik!$B$2:$B$522,0),MATCH(P$2,cennik!$C$1:$L$1,0))</f>
        <v>5.49</v>
      </c>
      <c r="Q122" s="34">
        <f t="shared" si="273"/>
        <v>0</v>
      </c>
      <c r="R122" s="35">
        <f t="shared" si="263"/>
        <v>0</v>
      </c>
      <c r="S122" s="34">
        <f t="shared" si="264"/>
        <v>5.49</v>
      </c>
      <c r="T122" s="34">
        <f t="shared" si="274"/>
        <v>0</v>
      </c>
      <c r="U122" s="34">
        <f>INDEX(cennik!$C$2:$L$529,MATCH($L122,cennik!$B$2:$B$522,0),MATCH(U$2,cennik!$C$1:$L$1,0))*O122</f>
        <v>0</v>
      </c>
      <c r="V122" s="62"/>
      <c r="W122" s="166"/>
      <c r="X122" s="166"/>
      <c r="Y122" s="166"/>
      <c r="Z122" s="166"/>
      <c r="AA122" s="150">
        <f t="shared" ref="AA122:AA137" si="313">(VLOOKUP(AO122,$AY$5:$BA$9,3,1))*C130</f>
        <v>0</v>
      </c>
      <c r="AB122" s="150">
        <f t="shared" ref="AB122:AB137" si="314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*C130</f>
        <v>0</v>
      </c>
      <c r="AC122" s="150"/>
      <c r="AD122" s="150"/>
      <c r="AE122" s="150"/>
      <c r="AF122" s="150"/>
      <c r="AG122" s="150"/>
      <c r="AH122" s="150"/>
      <c r="AI122" s="150"/>
      <c r="AJ122" s="150"/>
      <c r="AK122" s="150"/>
      <c r="AL122" s="150"/>
      <c r="AM122" s="150"/>
      <c r="AN122" s="150"/>
      <c r="AO122" s="150">
        <f t="shared" ref="AO122:AO137" si="315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</f>
        <v>1</v>
      </c>
      <c r="AP122" s="150"/>
      <c r="AQ122" s="150" t="s">
        <v>314</v>
      </c>
      <c r="AR122" s="154" t="s">
        <v>312</v>
      </c>
      <c r="AS122" s="154" t="s">
        <v>309</v>
      </c>
      <c r="AT122" s="154" t="s">
        <v>313</v>
      </c>
      <c r="AX122" s="150"/>
      <c r="AY122" s="150"/>
      <c r="AZ122" s="150"/>
      <c r="BA122" s="150"/>
      <c r="BB122" s="150"/>
      <c r="BC122" s="150"/>
      <c r="BD122" s="150"/>
      <c r="BE122" s="150"/>
      <c r="BF122" s="150"/>
      <c r="BG122" s="150"/>
      <c r="BH122" s="150"/>
      <c r="BI122" s="150"/>
      <c r="BJ122" s="150"/>
      <c r="BK122" s="150"/>
      <c r="BL122" s="150"/>
      <c r="BM122" s="150"/>
      <c r="BN122" s="150"/>
      <c r="BO122" s="150"/>
      <c r="BP122" s="150"/>
      <c r="BQ122" s="150"/>
      <c r="BR122" s="150"/>
      <c r="BS122" s="150"/>
      <c r="BT122" s="150"/>
      <c r="BU122" s="150"/>
      <c r="BV122" s="150"/>
      <c r="BW122" s="150"/>
      <c r="BX122" s="150"/>
      <c r="BY122" s="150"/>
      <c r="BZ122" s="150"/>
      <c r="CA122" s="150"/>
      <c r="CB122" s="150"/>
      <c r="CC122" s="150"/>
      <c r="CD122" s="150"/>
      <c r="CE122" s="150"/>
      <c r="CF122" s="150"/>
      <c r="CG122" s="150"/>
      <c r="CH122" s="150"/>
      <c r="CI122" s="150"/>
      <c r="CJ122" s="150"/>
      <c r="CK122" s="150"/>
      <c r="CL122" s="150"/>
      <c r="CM122" s="150"/>
      <c r="CN122" s="150"/>
      <c r="CO122" s="150"/>
      <c r="CP122" s="150"/>
      <c r="CQ122" s="150"/>
      <c r="CR122" s="150"/>
      <c r="CS122" s="150"/>
      <c r="CT122" s="150"/>
      <c r="CU122" s="150"/>
      <c r="CV122" s="150"/>
      <c r="CW122" s="150"/>
      <c r="CX122" s="150"/>
      <c r="CY122" s="150"/>
      <c r="CZ122" s="150"/>
      <c r="DA122" s="150"/>
      <c r="DB122" s="150"/>
      <c r="DC122" s="150"/>
      <c r="DD122" s="150"/>
      <c r="DE122" s="150"/>
      <c r="DF122" s="150"/>
      <c r="DG122" s="150"/>
      <c r="DH122" s="150"/>
      <c r="DI122" s="150"/>
      <c r="DJ122" s="150"/>
      <c r="DK122" s="150"/>
      <c r="DL122" s="150"/>
      <c r="DM122" s="150"/>
      <c r="DN122" s="150"/>
      <c r="DO122" s="150"/>
      <c r="DP122" s="150"/>
      <c r="DQ122" s="181"/>
      <c r="DR122" s="181">
        <v>42</v>
      </c>
      <c r="DS122" s="181"/>
      <c r="DT122" s="150"/>
      <c r="DU122" s="150"/>
      <c r="DV122" s="150"/>
      <c r="DW122" s="150"/>
      <c r="DX122" s="150"/>
      <c r="DY122" s="150"/>
      <c r="DZ122" s="150"/>
      <c r="EA122" s="150"/>
      <c r="EB122" s="150"/>
      <c r="EC122" s="150"/>
      <c r="ED122" s="150"/>
      <c r="EE122" s="150"/>
      <c r="EF122" s="150"/>
      <c r="EG122" s="150"/>
      <c r="EH122" s="150"/>
      <c r="EI122" s="150"/>
      <c r="EJ122" s="155"/>
      <c r="GJ122" s="150"/>
      <c r="GK122" s="150"/>
      <c r="GL122" s="150"/>
      <c r="GM122" s="150"/>
      <c r="GN122" s="150"/>
      <c r="GO122" s="150"/>
      <c r="GP122" s="150"/>
      <c r="GQ122" s="150"/>
      <c r="GR122" s="158" t="s">
        <v>779</v>
      </c>
      <c r="GS122" s="150">
        <v>0</v>
      </c>
      <c r="GT122" s="150">
        <f t="shared" ref="GT122:HO122" si="316">GT95/4*6</f>
        <v>0</v>
      </c>
      <c r="GU122" s="150">
        <f t="shared" si="316"/>
        <v>0</v>
      </c>
      <c r="GV122" s="150">
        <f t="shared" si="316"/>
        <v>0</v>
      </c>
      <c r="GW122" s="150">
        <f t="shared" si="316"/>
        <v>6</v>
      </c>
      <c r="GX122" s="150">
        <f t="shared" si="316"/>
        <v>12</v>
      </c>
      <c r="GY122" s="150">
        <f t="shared" si="316"/>
        <v>12</v>
      </c>
      <c r="GZ122" s="150">
        <f t="shared" si="316"/>
        <v>12</v>
      </c>
      <c r="HA122" s="150">
        <f t="shared" si="316"/>
        <v>12</v>
      </c>
      <c r="HB122" s="150">
        <f t="shared" si="316"/>
        <v>18</v>
      </c>
      <c r="HC122" s="150">
        <f t="shared" si="316"/>
        <v>18</v>
      </c>
      <c r="HD122" s="150">
        <f t="shared" si="316"/>
        <v>18</v>
      </c>
      <c r="HE122" s="150">
        <f t="shared" si="316"/>
        <v>24</v>
      </c>
      <c r="HF122" s="150">
        <f t="shared" si="316"/>
        <v>24</v>
      </c>
      <c r="HG122" s="150">
        <f t="shared" si="316"/>
        <v>24</v>
      </c>
      <c r="HH122" s="150">
        <f t="shared" si="316"/>
        <v>24</v>
      </c>
      <c r="HI122" s="150">
        <f t="shared" si="316"/>
        <v>30</v>
      </c>
      <c r="HJ122" s="150">
        <f t="shared" si="316"/>
        <v>30</v>
      </c>
      <c r="HK122" s="150">
        <f t="shared" si="316"/>
        <v>30</v>
      </c>
      <c r="HL122" s="150">
        <f t="shared" si="316"/>
        <v>36</v>
      </c>
      <c r="HM122" s="150">
        <f t="shared" si="316"/>
        <v>36</v>
      </c>
      <c r="HN122" s="150">
        <f t="shared" si="316"/>
        <v>36</v>
      </c>
      <c r="HO122" s="150">
        <f t="shared" si="316"/>
        <v>36</v>
      </c>
      <c r="HP122" s="150">
        <f>HP95/4*6</f>
        <v>42</v>
      </c>
      <c r="HS122" s="154" t="s">
        <v>524</v>
      </c>
      <c r="HT122" s="154">
        <v>0</v>
      </c>
      <c r="HU122" s="150">
        <f t="shared" ref="HU122:IQ122" si="317">HU95/4*6</f>
        <v>0</v>
      </c>
      <c r="HV122" s="150">
        <f t="shared" si="317"/>
        <v>0</v>
      </c>
      <c r="HW122" s="150">
        <f t="shared" si="317"/>
        <v>6</v>
      </c>
      <c r="HX122" s="150">
        <f t="shared" si="317"/>
        <v>6</v>
      </c>
      <c r="HY122" s="150">
        <f t="shared" si="317"/>
        <v>12</v>
      </c>
      <c r="HZ122" s="150">
        <f t="shared" si="317"/>
        <v>12</v>
      </c>
      <c r="IA122" s="150">
        <f t="shared" si="317"/>
        <v>12</v>
      </c>
      <c r="IB122" s="150">
        <f t="shared" si="317"/>
        <v>18</v>
      </c>
      <c r="IC122" s="150">
        <f t="shared" si="317"/>
        <v>18</v>
      </c>
      <c r="ID122" s="150">
        <f t="shared" si="317"/>
        <v>18</v>
      </c>
      <c r="IE122" s="150">
        <f t="shared" si="317"/>
        <v>24</v>
      </c>
      <c r="IF122" s="150">
        <f t="shared" si="317"/>
        <v>24</v>
      </c>
      <c r="IG122" s="150">
        <f t="shared" si="317"/>
        <v>24</v>
      </c>
      <c r="IH122" s="150">
        <f t="shared" si="317"/>
        <v>24</v>
      </c>
      <c r="II122" s="150">
        <f t="shared" si="317"/>
        <v>30</v>
      </c>
      <c r="IJ122" s="150">
        <f t="shared" si="317"/>
        <v>30</v>
      </c>
      <c r="IK122" s="150">
        <f t="shared" si="317"/>
        <v>30</v>
      </c>
      <c r="IL122" s="150">
        <f t="shared" si="317"/>
        <v>36</v>
      </c>
      <c r="IM122" s="150">
        <f t="shared" si="317"/>
        <v>36</v>
      </c>
      <c r="IN122" s="150">
        <f t="shared" si="317"/>
        <v>36</v>
      </c>
      <c r="IO122" s="150">
        <f t="shared" si="317"/>
        <v>42</v>
      </c>
      <c r="IP122" s="150">
        <f t="shared" si="317"/>
        <v>42</v>
      </c>
      <c r="IQ122" s="150">
        <f t="shared" si="317"/>
        <v>42</v>
      </c>
      <c r="IR122" s="157"/>
    </row>
    <row r="123" spans="1:252" x14ac:dyDescent="0.2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6" t="s">
        <v>319</v>
      </c>
      <c r="M123" s="11">
        <f>INDEX(cennik!$C$2:$L$529,MATCH($L123,cennik!$B$2:$B$522,0),MATCH(M$2,cennik!$C$1:$L$1,0))</f>
        <v>890111</v>
      </c>
      <c r="N123" s="11" t="str">
        <f>INDEX(cennik!$C$2:$L$529,MATCH($L123,cennik!$B$2:$B$522,0),MATCH(N$2,cennik!$C$1:$L$1,0))</f>
        <v>100 szt.</v>
      </c>
      <c r="O123" s="11">
        <f>ROUNDUP((O99*4)/100,0)</f>
        <v>0</v>
      </c>
      <c r="P123" s="34">
        <f>INDEX(cennik!$C$2:$L$529,MATCH($L123,cennik!$B$2:$B$522,0),MATCH(P$2,cennik!$C$1:$L$1,0))</f>
        <v>174.59</v>
      </c>
      <c r="Q123" s="34">
        <f t="shared" si="273"/>
        <v>0</v>
      </c>
      <c r="R123" s="35">
        <f t="shared" si="263"/>
        <v>0</v>
      </c>
      <c r="S123" s="34">
        <f t="shared" si="264"/>
        <v>174.59</v>
      </c>
      <c r="T123" s="34">
        <f t="shared" si="274"/>
        <v>0</v>
      </c>
      <c r="U123" s="34">
        <f>INDEX(cennik!$C$2:$L$529,MATCH($L123,cennik!$B$2:$B$522,0),MATCH(U$2,cennik!$C$1:$L$1,0))*O123</f>
        <v>0</v>
      </c>
      <c r="V123" s="62"/>
      <c r="W123" s="158" t="s">
        <v>18</v>
      </c>
      <c r="X123" s="150" t="s">
        <v>217</v>
      </c>
      <c r="Y123" s="150" t="s">
        <v>216</v>
      </c>
      <c r="Z123" s="150" t="s">
        <v>17</v>
      </c>
      <c r="AA123" s="150">
        <f t="shared" si="313"/>
        <v>0</v>
      </c>
      <c r="AB123" s="150">
        <f t="shared" si="314"/>
        <v>0</v>
      </c>
      <c r="AC123" s="150"/>
      <c r="AD123" s="150"/>
      <c r="AE123" s="150"/>
      <c r="AF123" s="150"/>
      <c r="AG123" s="150"/>
      <c r="AH123" s="150"/>
      <c r="AI123" s="150"/>
      <c r="AJ123" s="150"/>
      <c r="AK123" s="150"/>
      <c r="AL123" s="150"/>
      <c r="AM123" s="150"/>
      <c r="AN123" s="150"/>
      <c r="AO123" s="150">
        <f t="shared" si="315"/>
        <v>1</v>
      </c>
      <c r="AP123" s="150" t="s">
        <v>111</v>
      </c>
      <c r="AQ123" s="150" t="s">
        <v>596</v>
      </c>
      <c r="AR123" s="154" t="s">
        <v>595</v>
      </c>
      <c r="AS123" s="154" t="s">
        <v>593</v>
      </c>
      <c r="AT123" s="154" t="s">
        <v>593</v>
      </c>
      <c r="AX123" s="150"/>
      <c r="AY123" s="150"/>
      <c r="AZ123" s="150"/>
      <c r="BA123" s="150"/>
      <c r="BB123" s="150"/>
      <c r="BC123" s="150"/>
      <c r="BD123" s="150"/>
      <c r="BE123" s="150"/>
      <c r="BF123" s="150"/>
      <c r="BG123" s="150"/>
      <c r="BH123" s="150"/>
      <c r="BI123" s="150"/>
      <c r="BJ123" s="150"/>
      <c r="BK123" s="150"/>
      <c r="BL123" s="150"/>
      <c r="BM123" s="150"/>
      <c r="BN123" s="150"/>
      <c r="BO123" s="150"/>
      <c r="BP123" s="150"/>
      <c r="BQ123" s="150"/>
      <c r="BR123" s="150"/>
      <c r="BS123" s="150"/>
      <c r="BT123" s="150"/>
      <c r="BU123" s="150"/>
      <c r="BV123" s="150"/>
      <c r="BW123" s="150"/>
      <c r="BX123" s="150"/>
      <c r="BY123" s="150"/>
      <c r="BZ123" s="150"/>
      <c r="CA123" s="150"/>
      <c r="CB123" s="150"/>
      <c r="CC123" s="150"/>
      <c r="CD123" s="150"/>
      <c r="CE123" s="150"/>
      <c r="CF123" s="150"/>
      <c r="CG123" s="150"/>
      <c r="CH123" s="150"/>
      <c r="CI123" s="150"/>
      <c r="CJ123" s="150"/>
      <c r="CK123" s="150"/>
      <c r="CL123" s="150"/>
      <c r="CM123" s="150"/>
      <c r="CN123" s="150"/>
      <c r="CO123" s="150"/>
      <c r="CP123" s="150"/>
      <c r="CQ123" s="150"/>
      <c r="CR123" s="150"/>
      <c r="CS123" s="150"/>
      <c r="CT123" s="150"/>
      <c r="CU123" s="150"/>
      <c r="CV123" s="150"/>
      <c r="CW123" s="150"/>
      <c r="CX123" s="150"/>
      <c r="CY123" s="150"/>
      <c r="CZ123" s="150"/>
      <c r="DA123" s="150"/>
      <c r="DB123" s="150"/>
      <c r="DC123" s="150"/>
      <c r="DD123" s="150"/>
      <c r="DE123" s="150"/>
      <c r="DF123" s="150"/>
      <c r="DG123" s="150"/>
      <c r="DH123" s="150"/>
      <c r="DI123" s="150"/>
      <c r="DJ123" s="150"/>
      <c r="DK123" s="150"/>
      <c r="DL123" s="150"/>
      <c r="DM123" s="150"/>
      <c r="DN123" s="150"/>
      <c r="DO123" s="150"/>
      <c r="DP123" s="150"/>
      <c r="DQ123" s="181"/>
      <c r="DR123" s="181">
        <v>45</v>
      </c>
      <c r="DS123" s="181"/>
      <c r="DT123" s="150"/>
      <c r="DU123" s="150"/>
      <c r="DV123" s="150"/>
      <c r="DW123" s="150"/>
      <c r="DX123" s="150"/>
      <c r="DY123" s="150"/>
      <c r="DZ123" s="150"/>
      <c r="EA123" s="150"/>
      <c r="EB123" s="150"/>
      <c r="EC123" s="150"/>
      <c r="ED123" s="150"/>
      <c r="EE123" s="150"/>
      <c r="EF123" s="150"/>
      <c r="EG123" s="150"/>
      <c r="EH123" s="150"/>
      <c r="EI123" s="150"/>
      <c r="EJ123" s="155"/>
      <c r="GJ123" s="150"/>
      <c r="GK123" s="150"/>
      <c r="GL123" s="150"/>
      <c r="GM123" s="150"/>
      <c r="GN123" s="150"/>
      <c r="GO123" s="150"/>
      <c r="GP123" s="150"/>
      <c r="GQ123" s="150"/>
      <c r="GR123" s="150" t="s">
        <v>700</v>
      </c>
      <c r="GS123" s="150">
        <v>0</v>
      </c>
      <c r="GT123" s="150">
        <f t="shared" ref="GT123:HP123" si="318">GT96/4*6</f>
        <v>0</v>
      </c>
      <c r="GU123" s="150">
        <f t="shared" si="318"/>
        <v>0</v>
      </c>
      <c r="GV123" s="150">
        <f t="shared" si="318"/>
        <v>0</v>
      </c>
      <c r="GW123" s="150">
        <f t="shared" si="318"/>
        <v>6</v>
      </c>
      <c r="GX123" s="150">
        <f t="shared" si="318"/>
        <v>12</v>
      </c>
      <c r="GY123" s="150">
        <f t="shared" si="318"/>
        <v>12</v>
      </c>
      <c r="GZ123" s="150">
        <f t="shared" si="318"/>
        <v>12</v>
      </c>
      <c r="HA123" s="150">
        <f t="shared" si="318"/>
        <v>12</v>
      </c>
      <c r="HB123" s="150">
        <f t="shared" si="318"/>
        <v>18</v>
      </c>
      <c r="HC123" s="150">
        <f t="shared" si="318"/>
        <v>18</v>
      </c>
      <c r="HD123" s="150">
        <f t="shared" si="318"/>
        <v>18</v>
      </c>
      <c r="HE123" s="150">
        <f t="shared" si="318"/>
        <v>24</v>
      </c>
      <c r="HF123" s="150">
        <f t="shared" si="318"/>
        <v>24</v>
      </c>
      <c r="HG123" s="150">
        <f t="shared" si="318"/>
        <v>24</v>
      </c>
      <c r="HH123" s="150">
        <f t="shared" si="318"/>
        <v>24</v>
      </c>
      <c r="HI123" s="150">
        <f t="shared" si="318"/>
        <v>30</v>
      </c>
      <c r="HJ123" s="150">
        <f t="shared" si="318"/>
        <v>30</v>
      </c>
      <c r="HK123" s="150">
        <f t="shared" si="318"/>
        <v>30</v>
      </c>
      <c r="HL123" s="150">
        <f t="shared" si="318"/>
        <v>36</v>
      </c>
      <c r="HM123" s="150">
        <f t="shared" si="318"/>
        <v>36</v>
      </c>
      <c r="HN123" s="150">
        <f t="shared" si="318"/>
        <v>36</v>
      </c>
      <c r="HO123" s="150">
        <f t="shared" si="318"/>
        <v>36</v>
      </c>
      <c r="HP123" s="150">
        <f t="shared" si="318"/>
        <v>42</v>
      </c>
      <c r="HS123" s="154" t="s">
        <v>700</v>
      </c>
      <c r="HT123" s="154">
        <v>0</v>
      </c>
      <c r="HU123" s="150">
        <f t="shared" ref="HU123:IQ123" si="319">HU96/4*6</f>
        <v>0</v>
      </c>
      <c r="HV123" s="150">
        <f t="shared" si="319"/>
        <v>0</v>
      </c>
      <c r="HW123" s="150">
        <f t="shared" si="319"/>
        <v>6</v>
      </c>
      <c r="HX123" s="150">
        <f t="shared" si="319"/>
        <v>6</v>
      </c>
      <c r="HY123" s="150">
        <f t="shared" si="319"/>
        <v>12</v>
      </c>
      <c r="HZ123" s="150">
        <f t="shared" si="319"/>
        <v>12</v>
      </c>
      <c r="IA123" s="150">
        <f t="shared" si="319"/>
        <v>12</v>
      </c>
      <c r="IB123" s="150">
        <f t="shared" si="319"/>
        <v>18</v>
      </c>
      <c r="IC123" s="150">
        <f t="shared" si="319"/>
        <v>18</v>
      </c>
      <c r="ID123" s="150">
        <f t="shared" si="319"/>
        <v>18</v>
      </c>
      <c r="IE123" s="150">
        <f t="shared" si="319"/>
        <v>24</v>
      </c>
      <c r="IF123" s="150">
        <f t="shared" si="319"/>
        <v>24</v>
      </c>
      <c r="IG123" s="150">
        <f t="shared" si="319"/>
        <v>24</v>
      </c>
      <c r="IH123" s="150">
        <f t="shared" si="319"/>
        <v>24</v>
      </c>
      <c r="II123" s="150">
        <f t="shared" si="319"/>
        <v>30</v>
      </c>
      <c r="IJ123" s="150">
        <f t="shared" si="319"/>
        <v>30</v>
      </c>
      <c r="IK123" s="150">
        <f t="shared" si="319"/>
        <v>30</v>
      </c>
      <c r="IL123" s="150">
        <f t="shared" si="319"/>
        <v>36</v>
      </c>
      <c r="IM123" s="150">
        <f t="shared" si="319"/>
        <v>36</v>
      </c>
      <c r="IN123" s="150">
        <f t="shared" si="319"/>
        <v>36</v>
      </c>
      <c r="IO123" s="150">
        <f t="shared" si="319"/>
        <v>42</v>
      </c>
      <c r="IP123" s="150">
        <f t="shared" si="319"/>
        <v>42</v>
      </c>
      <c r="IQ123" s="150">
        <f t="shared" si="319"/>
        <v>42</v>
      </c>
      <c r="IR123" s="157"/>
    </row>
    <row r="124" spans="1:252" x14ac:dyDescent="0.2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6" t="s">
        <v>722</v>
      </c>
      <c r="M124" s="11">
        <f>INDEX(cennik!$C$2:$L$529,MATCH($L124,cennik!$B$2:$B$522,0),MATCH(M$2,cennik!$C$1:$L$1,0))</f>
        <v>890504</v>
      </c>
      <c r="N124" s="11" t="str">
        <f>INDEX(cennik!$C$2:$L$529,MATCH($L124,cennik!$B$2:$B$522,0),MATCH(N$2,cennik!$C$1:$L$1,0))</f>
        <v>szt.</v>
      </c>
      <c r="O124" s="11">
        <f>SUM(C98:C113)*8</f>
        <v>0</v>
      </c>
      <c r="P124" s="34">
        <f>INDEX(cennik!$C$2:$L$529,MATCH($L124,cennik!$B$2:$B$522,0),MATCH(P$2,cennik!$C$1:$L$1,0))</f>
        <v>4.58</v>
      </c>
      <c r="Q124" s="34">
        <f t="shared" si="273"/>
        <v>0</v>
      </c>
      <c r="R124" s="35">
        <f t="shared" si="263"/>
        <v>0</v>
      </c>
      <c r="S124" s="34">
        <f t="shared" si="264"/>
        <v>4.58</v>
      </c>
      <c r="T124" s="34">
        <f t="shared" si="274"/>
        <v>0</v>
      </c>
      <c r="U124" s="34">
        <f>INDEX(cennik!$C$2:$L$529,MATCH($L124,cennik!$B$2:$B$522,0),MATCH(U$2,cennik!$C$1:$L$1,0))*O124</f>
        <v>0</v>
      </c>
      <c r="V124" s="62"/>
      <c r="W124" s="170">
        <f>(INDEX(($EL$112:$FI$115,$EL$118:$FI$121,$FL$112:$GI$115,$FL$118:$GI$121,$GS$112:$HP$116,$GS$119:$HP$123,$HT$112:$IQ$116,$HT$119:$IQ$123,$HT$126:$IQ$130),MATCH($L$145,$EK$112:$EK$115,0),MATCH(A130,$EL$111:$FI$111,0),MATCH($G$131,$AE$24:$AE$32,0)))*C130</f>
        <v>0</v>
      </c>
      <c r="X124" s="170">
        <f>(INDEX(($EL$112:$FI$115,$EL$118:$FI$121,$FL$112:$GI$115,$FL$118:$GI$121,$GS$112:$HP$116,$GS$119:$HP$123,$HT$112:$IQ$116,$HT$119:$IQ$123,$HT$126:$IQ$130),MATCH($L$142,$EK$112:$EK$115,0),MATCH(A130,$EL$111:$FI$111,0),MATCH($G$131,$AE$24:$AE$32,0)))*C130</f>
        <v>0</v>
      </c>
      <c r="Y124" s="170">
        <f>(INDEX(($EL$112:$FI$115,$EL$118:$FI$121,$FL$112:$GI$115,$FL$118:$GI$121,$GS$112:$HP$116,$GS$119:$HP$123,$HT$112:$IQ$116,$HT$119:$IQ$123,$HT$126:$IQ$130),MATCH($L$143,$EK$112:$EK$115,0),MATCH(A130,$EL$111:$FI$111,0),MATCH($G$131,$AE$24:$AE$32,0)))*C130</f>
        <v>0</v>
      </c>
      <c r="Z124" s="170">
        <f>(INDEX(($EL$112:$FI$115,$EL$118:$FI$121,$FL$112:$GI$115,$FL$118:$GI$121,$GS$112:$HP$116,$GS$119:$HP$123,$HT$112:$IQ$116,$HT$119:$IQ$123,$HT$126:$IQ$130),MATCH($L$144,$EK$112:$EK$115,0),MATCH(A130,$EL$111:$FI$111,0),MATCH($G$131,$AE$24:$AE$32,0)))*C130</f>
        <v>0</v>
      </c>
      <c r="AA124" s="150">
        <f t="shared" si="313"/>
        <v>0</v>
      </c>
      <c r="AB124" s="150">
        <f t="shared" si="314"/>
        <v>0</v>
      </c>
      <c r="AC124" s="150"/>
      <c r="AD124" s="150"/>
      <c r="AE124" s="150"/>
      <c r="AF124" s="150"/>
      <c r="AG124" s="150"/>
      <c r="AH124" s="150"/>
      <c r="AI124" s="150"/>
      <c r="AJ124" s="150"/>
      <c r="AK124" s="150"/>
      <c r="AL124" s="150"/>
      <c r="AM124" s="150"/>
      <c r="AN124" s="150"/>
      <c r="AO124" s="150">
        <f t="shared" si="315"/>
        <v>1</v>
      </c>
      <c r="AP124" s="150" t="s">
        <v>112</v>
      </c>
      <c r="AQ124" s="150" t="s">
        <v>596</v>
      </c>
      <c r="AR124" s="154" t="s">
        <v>595</v>
      </c>
      <c r="AS124" s="154" t="s">
        <v>593</v>
      </c>
      <c r="AT124" s="154" t="s">
        <v>593</v>
      </c>
      <c r="AX124" s="150"/>
      <c r="AY124" s="150"/>
      <c r="AZ124" s="150"/>
      <c r="BA124" s="150"/>
      <c r="BB124" s="150"/>
      <c r="BC124" s="150"/>
      <c r="BD124" s="150"/>
      <c r="BE124" s="150"/>
      <c r="BF124" s="150"/>
      <c r="BG124" s="150"/>
      <c r="BH124" s="150"/>
      <c r="BI124" s="150"/>
      <c r="BJ124" s="150"/>
      <c r="BK124" s="150"/>
      <c r="BL124" s="150"/>
      <c r="BM124" s="150"/>
      <c r="BN124" s="150"/>
      <c r="BO124" s="150"/>
      <c r="BP124" s="150"/>
      <c r="BQ124" s="150"/>
      <c r="BR124" s="150"/>
      <c r="BS124" s="150"/>
      <c r="BT124" s="150"/>
      <c r="BU124" s="150"/>
      <c r="BV124" s="150"/>
      <c r="BW124" s="150"/>
      <c r="BX124" s="150"/>
      <c r="BY124" s="150"/>
      <c r="BZ124" s="150"/>
      <c r="CA124" s="150"/>
      <c r="CB124" s="150"/>
      <c r="CC124" s="150"/>
      <c r="CD124" s="150"/>
      <c r="CE124" s="150"/>
      <c r="CF124" s="150"/>
      <c r="CG124" s="150"/>
      <c r="CH124" s="150"/>
      <c r="CI124" s="150"/>
      <c r="CJ124" s="150"/>
      <c r="CK124" s="150"/>
      <c r="CL124" s="150"/>
      <c r="CM124" s="150"/>
      <c r="CN124" s="150"/>
      <c r="CO124" s="150"/>
      <c r="CP124" s="150"/>
      <c r="CQ124" s="150"/>
      <c r="CR124" s="150"/>
      <c r="CS124" s="150"/>
      <c r="CT124" s="150"/>
      <c r="CU124" s="150"/>
      <c r="CV124" s="150"/>
      <c r="CW124" s="150"/>
      <c r="CX124" s="150"/>
      <c r="CY124" s="150"/>
      <c r="CZ124" s="150"/>
      <c r="DA124" s="150"/>
      <c r="DB124" s="150"/>
      <c r="DC124" s="150"/>
      <c r="DD124" s="150"/>
      <c r="DE124" s="150"/>
      <c r="DF124" s="150"/>
      <c r="DG124" s="150"/>
      <c r="DH124" s="150"/>
      <c r="DI124" s="150"/>
      <c r="DJ124" s="150"/>
      <c r="DK124" s="150"/>
      <c r="DL124" s="150"/>
      <c r="DM124" s="150"/>
      <c r="DN124" s="150"/>
      <c r="DO124" s="150"/>
      <c r="DP124" s="150"/>
      <c r="DQ124" s="181"/>
      <c r="DR124" s="181">
        <v>48</v>
      </c>
      <c r="DS124" s="181"/>
      <c r="DT124" s="150"/>
      <c r="DU124" s="150"/>
      <c r="DV124" s="150"/>
      <c r="DW124" s="150"/>
      <c r="DX124" s="150"/>
      <c r="DY124" s="150"/>
      <c r="DZ124" s="150"/>
      <c r="EA124" s="150"/>
      <c r="EB124" s="150"/>
      <c r="EC124" s="150"/>
      <c r="ED124" s="150"/>
      <c r="EE124" s="150"/>
      <c r="EF124" s="150"/>
      <c r="EG124" s="150"/>
      <c r="EH124" s="150"/>
      <c r="EI124" s="150"/>
      <c r="EJ124" s="155"/>
      <c r="EK124" s="150"/>
      <c r="EL124" s="150"/>
      <c r="EM124" s="150"/>
      <c r="EN124" s="150"/>
      <c r="EO124" s="150"/>
      <c r="EP124" s="150"/>
      <c r="EQ124" s="150"/>
      <c r="ER124" s="150"/>
      <c r="ES124" s="150"/>
      <c r="ET124" s="150"/>
      <c r="EU124" s="150"/>
      <c r="EV124" s="150"/>
      <c r="EW124" s="150"/>
      <c r="EX124" s="150"/>
      <c r="EY124" s="150"/>
      <c r="EZ124" s="150"/>
      <c r="FA124" s="150"/>
      <c r="FB124" s="150"/>
      <c r="FC124" s="150"/>
      <c r="FD124" s="150"/>
      <c r="FE124" s="150"/>
      <c r="FF124" s="150"/>
      <c r="FG124" s="150"/>
      <c r="FH124" s="150"/>
      <c r="FI124" s="150"/>
      <c r="FJ124" s="150"/>
      <c r="FK124" s="150"/>
      <c r="FL124" s="150"/>
      <c r="FM124" s="150"/>
      <c r="FN124" s="150"/>
      <c r="FO124" s="150"/>
      <c r="FP124" s="150"/>
      <c r="FQ124" s="150"/>
      <c r="FR124" s="150"/>
      <c r="FS124" s="150"/>
      <c r="FT124" s="150"/>
      <c r="FU124" s="150"/>
      <c r="FV124" s="150"/>
      <c r="FW124" s="150"/>
      <c r="FX124" s="150"/>
      <c r="FY124" s="150"/>
      <c r="FZ124" s="150"/>
      <c r="GA124" s="150"/>
      <c r="GB124" s="150"/>
      <c r="GC124" s="150"/>
      <c r="GD124" s="150"/>
      <c r="GE124" s="150"/>
      <c r="GF124" s="150"/>
      <c r="GG124" s="150"/>
      <c r="GH124" s="150"/>
      <c r="GI124" s="150"/>
      <c r="GJ124" s="150"/>
      <c r="GK124" s="150"/>
      <c r="GL124" s="150"/>
      <c r="GM124" s="150"/>
      <c r="GN124" s="150"/>
      <c r="GO124" s="150"/>
      <c r="GP124" s="150"/>
      <c r="GQ124" s="150"/>
      <c r="GR124" s="150"/>
      <c r="GS124" s="150"/>
      <c r="GT124" s="150"/>
      <c r="GU124" s="150"/>
      <c r="GV124" s="150"/>
      <c r="GW124" s="150"/>
      <c r="GX124" s="150"/>
      <c r="GY124" s="150"/>
      <c r="GZ124" s="150"/>
      <c r="HA124" s="150"/>
      <c r="HB124" s="150"/>
      <c r="HC124" s="150"/>
      <c r="HD124" s="150"/>
      <c r="HE124" s="150"/>
      <c r="HF124" s="150"/>
      <c r="HG124" s="150"/>
      <c r="HH124" s="150"/>
      <c r="IR124" s="157"/>
    </row>
    <row r="125" spans="1:252" x14ac:dyDescent="0.2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6" t="s">
        <v>316</v>
      </c>
      <c r="M125" s="1"/>
      <c r="N125" s="1"/>
      <c r="O125" s="1"/>
      <c r="P125" s="1"/>
      <c r="Q125" s="1"/>
      <c r="R125" s="1"/>
      <c r="S125" s="34"/>
      <c r="T125" s="1"/>
      <c r="U125" s="1"/>
      <c r="V125" s="62"/>
      <c r="W125" s="170">
        <f>(INDEX(($EL$112:$FI$115,$EL$118:$FI$121,$FL$112:$GI$115,$FL$118:$GI$121,$GS$112:$HP$116,$GS$119:$HP$123,$HT$112:$IQ$116,$HT$119:$IQ$123,$HT$126:$IQ$130),MATCH($L$145,$EK$112:$EK$115,0),MATCH(A131,$EL$111:$FI$111,0),MATCH($G$131,$AE$24:$AE$32,0)))*C131</f>
        <v>0</v>
      </c>
      <c r="X125" s="170">
        <f>(INDEX(($EL$112:$FI$115,$EL$118:$FI$121,$FL$112:$GI$115,$FL$118:$GI$121,$GS$112:$HP$116,$GS$119:$HP$123,$HT$112:$IQ$116,$HT$119:$IQ$123,$HT$126:$IQ$130),MATCH($L$142,$EK$112:$EK$115,0),MATCH(A131,$EL$111:$FI$111,0),MATCH($G$131,$AE$24:$AE$32,0)))*C131</f>
        <v>0</v>
      </c>
      <c r="Y125" s="170">
        <f>(INDEX(($EL$112:$FI$115,$EL$118:$FI$121,$FL$112:$GI$115,$FL$118:$GI$121,$GS$112:$HP$116,$GS$119:$HP$123,$HT$112:$IQ$116,$HT$119:$IQ$123,$HT$126:$IQ$130),MATCH($L$143,$EK$112:$EK$115,0),MATCH(A131,$EL$111:$FI$111,0),MATCH($G$131,$AE$24:$AE$32,0)))*C131</f>
        <v>0</v>
      </c>
      <c r="Z125" s="170">
        <f>(INDEX(($EL$112:$FI$115,$EL$118:$FI$121,$FL$112:$GI$115,$FL$118:$GI$121,$GS$112:$HP$116,$GS$119:$HP$123,$HT$112:$IQ$116,$HT$119:$IQ$123,$HT$126:$IQ$130),MATCH($L$144,$EK$112:$EK$115,0),MATCH(A131,$EL$111:$FI$111,0),MATCH($G$131,$AE$24:$AE$32,0)))*C131</f>
        <v>0</v>
      </c>
      <c r="AA125" s="150">
        <f t="shared" si="313"/>
        <v>0</v>
      </c>
      <c r="AB125" s="150">
        <f t="shared" si="314"/>
        <v>0</v>
      </c>
      <c r="AC125" s="150"/>
      <c r="AD125" s="150"/>
      <c r="AE125" s="150"/>
      <c r="AF125" s="150"/>
      <c r="AG125" s="150"/>
      <c r="AH125" s="150"/>
      <c r="AI125" s="150"/>
      <c r="AJ125" s="150"/>
      <c r="AK125" s="150"/>
      <c r="AL125" s="150"/>
      <c r="AM125" s="150"/>
      <c r="AN125" s="150"/>
      <c r="AO125" s="150">
        <f t="shared" si="315"/>
        <v>1</v>
      </c>
      <c r="AP125" s="150" t="s">
        <v>132</v>
      </c>
      <c r="AQ125" s="150" t="s">
        <v>596</v>
      </c>
      <c r="AR125" s="154" t="s">
        <v>595</v>
      </c>
      <c r="AS125" s="154" t="s">
        <v>594</v>
      </c>
      <c r="AT125" s="154" t="s">
        <v>594</v>
      </c>
      <c r="AX125" s="150"/>
      <c r="AY125" s="150"/>
      <c r="AZ125" s="150"/>
      <c r="BA125" s="150"/>
      <c r="BB125" s="150"/>
      <c r="BC125" s="150"/>
      <c r="BD125" s="150"/>
      <c r="BE125" s="150"/>
      <c r="BF125" s="150"/>
      <c r="BG125" s="150"/>
      <c r="BH125" s="150"/>
      <c r="BI125" s="150"/>
      <c r="BJ125" s="150"/>
      <c r="BK125" s="150"/>
      <c r="BL125" s="150"/>
      <c r="BM125" s="150"/>
      <c r="BN125" s="150"/>
      <c r="BO125" s="150"/>
      <c r="BP125" s="150"/>
      <c r="BQ125" s="150"/>
      <c r="BR125" s="150"/>
      <c r="BS125" s="150"/>
      <c r="BT125" s="150"/>
      <c r="BU125" s="150"/>
      <c r="BV125" s="150"/>
      <c r="BW125" s="150"/>
      <c r="BX125" s="150"/>
      <c r="BY125" s="150"/>
      <c r="BZ125" s="150"/>
      <c r="CA125" s="150"/>
      <c r="CB125" s="150"/>
      <c r="CC125" s="150"/>
      <c r="CD125" s="150"/>
      <c r="CE125" s="150"/>
      <c r="CF125" s="150"/>
      <c r="CG125" s="150"/>
      <c r="CH125" s="150"/>
      <c r="CI125" s="150"/>
      <c r="CJ125" s="150"/>
      <c r="CK125" s="150"/>
      <c r="CL125" s="150"/>
      <c r="CM125" s="150"/>
      <c r="CN125" s="150"/>
      <c r="CO125" s="150"/>
      <c r="CP125" s="150"/>
      <c r="CQ125" s="150"/>
      <c r="CR125" s="150"/>
      <c r="CS125" s="150"/>
      <c r="CT125" s="150"/>
      <c r="CU125" s="150"/>
      <c r="CV125" s="150"/>
      <c r="CW125" s="150"/>
      <c r="CX125" s="150"/>
      <c r="CY125" s="150"/>
      <c r="CZ125" s="150"/>
      <c r="DA125" s="150"/>
      <c r="DB125" s="150"/>
      <c r="DC125" s="150"/>
      <c r="DD125" s="150"/>
      <c r="DE125" s="150"/>
      <c r="DF125" s="150"/>
      <c r="DG125" s="150"/>
      <c r="DH125" s="150"/>
      <c r="DI125" s="150"/>
      <c r="DJ125" s="150"/>
      <c r="DK125" s="150"/>
      <c r="DL125" s="150"/>
      <c r="DM125" s="150"/>
      <c r="DN125" s="150"/>
      <c r="DO125" s="150"/>
      <c r="DP125" s="150"/>
      <c r="DQ125" s="181"/>
      <c r="DR125" s="181">
        <v>51</v>
      </c>
      <c r="DS125" s="181"/>
      <c r="DT125" s="150"/>
      <c r="DU125" s="150"/>
      <c r="DV125" s="150"/>
      <c r="DW125" s="150"/>
      <c r="DX125" s="150"/>
      <c r="DY125" s="150"/>
      <c r="DZ125" s="150"/>
      <c r="EA125" s="150"/>
      <c r="EB125" s="150"/>
      <c r="EC125" s="150"/>
      <c r="ED125" s="150"/>
      <c r="EE125" s="150"/>
      <c r="EF125" s="150"/>
      <c r="EG125" s="150"/>
      <c r="EH125" s="150"/>
      <c r="EI125" s="150"/>
      <c r="EJ125" s="155"/>
      <c r="EK125" s="150"/>
      <c r="EL125" s="150"/>
      <c r="EM125" s="150"/>
      <c r="EN125" s="150"/>
      <c r="EO125" s="150"/>
      <c r="EP125" s="150"/>
      <c r="EQ125" s="150"/>
      <c r="ER125" s="150"/>
      <c r="ES125" s="150"/>
      <c r="ET125" s="150"/>
      <c r="EU125" s="150"/>
      <c r="EV125" s="150"/>
      <c r="EW125" s="150"/>
      <c r="EX125" s="150"/>
      <c r="EY125" s="150"/>
      <c r="EZ125" s="150"/>
      <c r="FA125" s="150"/>
      <c r="FB125" s="150"/>
      <c r="FC125" s="150"/>
      <c r="FD125" s="150"/>
      <c r="FE125" s="150"/>
      <c r="FF125" s="150"/>
      <c r="FG125" s="150"/>
      <c r="FH125" s="150"/>
      <c r="FI125" s="150"/>
      <c r="FJ125" s="150"/>
      <c r="FK125" s="150"/>
      <c r="FL125" s="150"/>
      <c r="FM125" s="150"/>
      <c r="FN125" s="150"/>
      <c r="FO125" s="150"/>
      <c r="FP125" s="150"/>
      <c r="FQ125" s="150"/>
      <c r="FR125" s="150"/>
      <c r="FS125" s="150"/>
      <c r="FT125" s="150"/>
      <c r="FU125" s="150"/>
      <c r="FV125" s="150"/>
      <c r="FW125" s="150"/>
      <c r="FX125" s="150"/>
      <c r="FY125" s="150"/>
      <c r="FZ125" s="150"/>
      <c r="GA125" s="150"/>
      <c r="GB125" s="150"/>
      <c r="GC125" s="150"/>
      <c r="GD125" s="150"/>
      <c r="GE125" s="150"/>
      <c r="GF125" s="150"/>
      <c r="GG125" s="150"/>
      <c r="GH125" s="150"/>
      <c r="GI125" s="150"/>
      <c r="GJ125" s="150"/>
      <c r="GK125" s="150"/>
      <c r="GL125" s="150"/>
      <c r="GM125" s="150"/>
      <c r="GN125" s="150"/>
      <c r="GO125" s="150"/>
      <c r="GP125" s="150"/>
      <c r="GQ125" s="150"/>
      <c r="GR125" s="150"/>
      <c r="GS125" s="150"/>
      <c r="GT125" s="150"/>
      <c r="GU125" s="150"/>
      <c r="GV125" s="150"/>
      <c r="GW125" s="150"/>
      <c r="GX125" s="150"/>
      <c r="GY125" s="150"/>
      <c r="GZ125" s="150"/>
      <c r="HA125" s="150"/>
      <c r="HB125" s="150"/>
      <c r="HC125" s="150"/>
      <c r="HD125" s="150"/>
      <c r="HE125" s="150"/>
      <c r="HF125" s="150"/>
      <c r="HG125" s="150"/>
      <c r="HH125" s="150"/>
      <c r="HS125" s="154" t="s">
        <v>767</v>
      </c>
      <c r="HT125" s="154">
        <v>0</v>
      </c>
      <c r="HU125" s="154">
        <v>9</v>
      </c>
      <c r="HV125" s="154">
        <v>12</v>
      </c>
      <c r="HW125" s="154">
        <v>15</v>
      </c>
      <c r="HX125" s="154">
        <v>18</v>
      </c>
      <c r="HY125" s="154">
        <v>21</v>
      </c>
      <c r="HZ125" s="154">
        <v>24</v>
      </c>
      <c r="IA125" s="154">
        <v>27</v>
      </c>
      <c r="IB125" s="154">
        <v>30</v>
      </c>
      <c r="IC125" s="154">
        <v>33</v>
      </c>
      <c r="ID125" s="154">
        <v>36</v>
      </c>
      <c r="IE125" s="154">
        <v>39</v>
      </c>
      <c r="IF125" s="154">
        <v>42</v>
      </c>
      <c r="IG125" s="154">
        <v>45</v>
      </c>
      <c r="IH125" s="154">
        <v>48</v>
      </c>
      <c r="II125" s="154">
        <v>51</v>
      </c>
      <c r="IJ125" s="154">
        <v>54</v>
      </c>
      <c r="IK125" s="154">
        <v>57</v>
      </c>
      <c r="IL125" s="154">
        <v>60</v>
      </c>
      <c r="IM125" s="154">
        <v>63</v>
      </c>
      <c r="IN125" s="154">
        <v>66</v>
      </c>
      <c r="IO125" s="154">
        <v>69</v>
      </c>
      <c r="IP125" s="154">
        <v>72</v>
      </c>
      <c r="IQ125" s="154">
        <v>75</v>
      </c>
      <c r="IR125" s="157"/>
    </row>
    <row r="126" spans="1:252" x14ac:dyDescent="0.2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6" t="str">
        <f>IF(E109=AJ103,"CWT70H50/3,2NMC",IF(E109=AL103,"CWT70H50/3NMC",IF(E109=AK104,"CWT70H50/2,4NMC",IF(E109=AN105,"CWT70H50/2NMC","-------"))))</f>
        <v>CWT70H50/3,2NMC</v>
      </c>
      <c r="M126" s="11">
        <f>INDEX(cennik!$C$2:$L$529,MATCH($L126,cennik!$B$2:$B$522,0),MATCH(M$2,cennik!$C$1:$L$1,0))</f>
        <v>867832</v>
      </c>
      <c r="N126" s="11" t="str">
        <f>INDEX(cennik!$C$2:$L$529,MATCH($L126,cennik!$B$2:$B$522,0),MATCH(N$2,cennik!$C$1:$L$1,0))</f>
        <v>szt.</v>
      </c>
      <c r="O126" s="11">
        <f>E102*2</f>
        <v>0</v>
      </c>
      <c r="P126" s="34">
        <f>INDEX(cennik!$C$2:$L$529,MATCH($L126,cennik!$B$2:$B$522,0),MATCH(P$2,cennik!$C$1:$L$1,0))</f>
        <v>161.94999999999999</v>
      </c>
      <c r="Q126" s="34">
        <f>O126*P126</f>
        <v>0</v>
      </c>
      <c r="R126" s="35">
        <f>$E$103</f>
        <v>0</v>
      </c>
      <c r="S126" s="34">
        <f>P126*((100-$E$103)/100)</f>
        <v>161.94999999999999</v>
      </c>
      <c r="T126" s="34">
        <f>O126*S126</f>
        <v>0</v>
      </c>
      <c r="U126" s="34">
        <f>INDEX(cennik!$C$2:$L$529,MATCH($L126,cennik!$B$2:$B$522,0),MATCH(U$2,cennik!$C$1:$L$1,0))*O126</f>
        <v>0</v>
      </c>
      <c r="V126" s="62"/>
      <c r="W126" s="170">
        <f>(INDEX(($EL$112:$FI$115,$EL$118:$FI$121,$FL$112:$GI$115,$FL$118:$GI$121,$GS$112:$HP$116,$GS$119:$HP$123,$HT$112:$IQ$116,$HT$119:$IQ$123,$HT$126:$IQ$130),MATCH($L$145,$EK$112:$EK$115,0),MATCH(A132,$EL$111:$FI$111,0),MATCH($G$131,$AE$24:$AE$32,0)))*C132</f>
        <v>0</v>
      </c>
      <c r="X126" s="170">
        <f>(INDEX(($EL$112:$FI$115,$EL$118:$FI$121,$FL$112:$GI$115,$FL$118:$GI$121,$GS$112:$HP$116,$GS$119:$HP$123,$HT$112:$IQ$116,$HT$119:$IQ$123,$HT$126:$IQ$130),MATCH($L$142,$EK$112:$EK$115,0),MATCH(A132,$EL$111:$FI$111,0),MATCH($G$131,$AE$24:$AE$32,0)))*C132</f>
        <v>0</v>
      </c>
      <c r="Y126" s="170">
        <f>(INDEX(($EL$112:$FI$115,$EL$118:$FI$121,$FL$112:$GI$115,$FL$118:$GI$121,$GS$112:$HP$116,$GS$119:$HP$123,$HT$112:$IQ$116,$HT$119:$IQ$123,$HT$126:$IQ$130),MATCH($L$143,$EK$112:$EK$115,0),MATCH(A132,$EL$111:$FI$111,0),MATCH($G$131,$AE$24:$AE$32,0)))*C132</f>
        <v>0</v>
      </c>
      <c r="Z126" s="170">
        <f>(INDEX(($EL$112:$FI$115,$EL$118:$FI$121,$FL$112:$GI$115,$FL$118:$GI$121,$GS$112:$HP$116,$GS$119:$HP$123,$HT$112:$IQ$116,$HT$119:$IQ$123,$HT$126:$IQ$130),MATCH($L$144,$EK$112:$EK$115,0),MATCH(A132,$EL$111:$FI$111,0),MATCH($G$131,$AE$24:$AE$32,0)))*C132</f>
        <v>0</v>
      </c>
      <c r="AA126" s="150">
        <f t="shared" si="313"/>
        <v>0</v>
      </c>
      <c r="AB126" s="150">
        <f t="shared" si="314"/>
        <v>0</v>
      </c>
      <c r="AC126" s="150"/>
      <c r="AD126" s="150"/>
      <c r="AE126" s="150"/>
      <c r="AF126" s="150"/>
      <c r="AG126" s="150"/>
      <c r="AH126" s="150"/>
      <c r="AI126" s="150"/>
      <c r="AJ126" s="150"/>
      <c r="AK126" s="150"/>
      <c r="AL126" s="150"/>
      <c r="AM126" s="150"/>
      <c r="AN126" s="150"/>
      <c r="AO126" s="150">
        <f t="shared" si="315"/>
        <v>1</v>
      </c>
      <c r="AP126" s="150" t="s">
        <v>470</v>
      </c>
      <c r="AQ126" s="150" t="s">
        <v>596</v>
      </c>
      <c r="AR126" s="154" t="s">
        <v>595</v>
      </c>
      <c r="AS126" s="154" t="s">
        <v>594</v>
      </c>
      <c r="AT126" s="154" t="s">
        <v>594</v>
      </c>
      <c r="AX126" s="150"/>
      <c r="AY126" s="150"/>
      <c r="AZ126" s="150"/>
      <c r="BA126" s="150"/>
      <c r="BB126" s="150"/>
      <c r="BC126" s="150"/>
      <c r="BD126" s="150"/>
      <c r="BE126" s="150"/>
      <c r="BF126" s="150"/>
      <c r="BG126" s="150"/>
      <c r="BH126" s="150"/>
      <c r="BI126" s="150"/>
      <c r="BJ126" s="150"/>
      <c r="BK126" s="150"/>
      <c r="BL126" s="150"/>
      <c r="BM126" s="150"/>
      <c r="BN126" s="150"/>
      <c r="BO126" s="150"/>
      <c r="BP126" s="150"/>
      <c r="BQ126" s="150"/>
      <c r="BR126" s="150"/>
      <c r="BS126" s="150"/>
      <c r="BT126" s="150"/>
      <c r="BU126" s="150"/>
      <c r="BV126" s="150"/>
      <c r="BW126" s="150"/>
      <c r="BX126" s="150"/>
      <c r="BY126" s="150"/>
      <c r="BZ126" s="150"/>
      <c r="CA126" s="150"/>
      <c r="CB126" s="150"/>
      <c r="CC126" s="150"/>
      <c r="CD126" s="150"/>
      <c r="CE126" s="150"/>
      <c r="CF126" s="150"/>
      <c r="CG126" s="150"/>
      <c r="CH126" s="150"/>
      <c r="CI126" s="150"/>
      <c r="CJ126" s="150"/>
      <c r="CK126" s="150"/>
      <c r="CL126" s="150"/>
      <c r="CM126" s="150"/>
      <c r="CN126" s="150"/>
      <c r="CO126" s="150"/>
      <c r="CP126" s="150"/>
      <c r="CQ126" s="150"/>
      <c r="CR126" s="150"/>
      <c r="CS126" s="150"/>
      <c r="CT126" s="150"/>
      <c r="CU126" s="150"/>
      <c r="CV126" s="150"/>
      <c r="CW126" s="150"/>
      <c r="CX126" s="150"/>
      <c r="CY126" s="150"/>
      <c r="CZ126" s="150"/>
      <c r="DA126" s="150"/>
      <c r="DB126" s="150"/>
      <c r="DC126" s="150"/>
      <c r="DD126" s="150"/>
      <c r="DE126" s="150"/>
      <c r="DF126" s="150"/>
      <c r="DG126" s="150"/>
      <c r="DH126" s="150"/>
      <c r="DI126" s="150"/>
      <c r="DJ126" s="150"/>
      <c r="DK126" s="150"/>
      <c r="DL126" s="150"/>
      <c r="DM126" s="150"/>
      <c r="DN126" s="150"/>
      <c r="DO126" s="150"/>
      <c r="DP126" s="150"/>
      <c r="DQ126" s="181"/>
      <c r="DR126" s="181">
        <v>54</v>
      </c>
      <c r="DS126" s="181"/>
      <c r="DT126" s="150"/>
      <c r="DU126" s="150"/>
      <c r="DV126" s="150"/>
      <c r="DW126" s="150"/>
      <c r="DX126" s="150"/>
      <c r="DY126" s="150"/>
      <c r="DZ126" s="150"/>
      <c r="EA126" s="150"/>
      <c r="EB126" s="150"/>
      <c r="EC126" s="150"/>
      <c r="ED126" s="150"/>
      <c r="EE126" s="150"/>
      <c r="EF126" s="150"/>
      <c r="EG126" s="150"/>
      <c r="EH126" s="150"/>
      <c r="EI126" s="150"/>
      <c r="EJ126" s="155"/>
      <c r="EK126" s="150"/>
      <c r="EL126" s="150"/>
      <c r="EM126" s="150"/>
      <c r="EN126" s="150"/>
      <c r="EO126" s="150"/>
      <c r="EP126" s="150"/>
      <c r="EQ126" s="150"/>
      <c r="ER126" s="150"/>
      <c r="ES126" s="150"/>
      <c r="ET126" s="150"/>
      <c r="EU126" s="150"/>
      <c r="EV126" s="150"/>
      <c r="EW126" s="150"/>
      <c r="EX126" s="150"/>
      <c r="EY126" s="150"/>
      <c r="EZ126" s="150"/>
      <c r="FA126" s="150"/>
      <c r="FB126" s="150"/>
      <c r="FC126" s="150"/>
      <c r="FD126" s="150"/>
      <c r="FE126" s="150"/>
      <c r="FF126" s="150"/>
      <c r="FG126" s="150"/>
      <c r="FH126" s="150"/>
      <c r="FI126" s="150"/>
      <c r="FJ126" s="150"/>
      <c r="FK126" s="150"/>
      <c r="FL126" s="150"/>
      <c r="FM126" s="150"/>
      <c r="FN126" s="150"/>
      <c r="FO126" s="150"/>
      <c r="FP126" s="150"/>
      <c r="FQ126" s="150"/>
      <c r="FR126" s="150"/>
      <c r="FS126" s="150"/>
      <c r="FT126" s="150"/>
      <c r="FU126" s="150"/>
      <c r="FV126" s="150"/>
      <c r="FW126" s="150"/>
      <c r="FX126" s="150"/>
      <c r="FY126" s="150"/>
      <c r="FZ126" s="150"/>
      <c r="GA126" s="150"/>
      <c r="GB126" s="150"/>
      <c r="GC126" s="150"/>
      <c r="GD126" s="150"/>
      <c r="GE126" s="150"/>
      <c r="GF126" s="150"/>
      <c r="GG126" s="150"/>
      <c r="GH126" s="150"/>
      <c r="GI126" s="150"/>
      <c r="GJ126" s="150"/>
      <c r="GK126" s="150"/>
      <c r="GL126" s="150"/>
      <c r="GM126" s="150"/>
      <c r="GN126" s="150"/>
      <c r="GO126" s="150"/>
      <c r="GP126" s="150"/>
      <c r="GQ126" s="150"/>
      <c r="GR126" s="150"/>
      <c r="GS126" s="150"/>
      <c r="GT126" s="150"/>
      <c r="GU126" s="150"/>
      <c r="GV126" s="150"/>
      <c r="GW126" s="150"/>
      <c r="GX126" s="150"/>
      <c r="GY126" s="150"/>
      <c r="GZ126" s="150"/>
      <c r="HA126" s="150"/>
      <c r="HB126" s="150"/>
      <c r="HC126" s="150"/>
      <c r="HD126" s="150"/>
      <c r="HE126" s="150"/>
      <c r="HF126" s="150"/>
      <c r="HG126" s="150"/>
      <c r="HH126" s="150"/>
      <c r="HS126" s="154" t="s">
        <v>586</v>
      </c>
      <c r="HT126" s="154">
        <v>0</v>
      </c>
      <c r="HU126" s="150">
        <f>HU99/4*6</f>
        <v>0</v>
      </c>
      <c r="HV126" s="150">
        <f t="shared" ref="HV126:IQ126" si="320">HV99/4*6</f>
        <v>6</v>
      </c>
      <c r="HW126" s="150">
        <f t="shared" si="320"/>
        <v>0</v>
      </c>
      <c r="HX126" s="150">
        <f t="shared" si="320"/>
        <v>0</v>
      </c>
      <c r="HY126" s="150">
        <f t="shared" si="320"/>
        <v>0</v>
      </c>
      <c r="HZ126" s="150">
        <f t="shared" si="320"/>
        <v>0</v>
      </c>
      <c r="IA126" s="150">
        <f t="shared" si="320"/>
        <v>0</v>
      </c>
      <c r="IB126" s="150">
        <f t="shared" si="320"/>
        <v>0</v>
      </c>
      <c r="IC126" s="150">
        <f t="shared" si="320"/>
        <v>0</v>
      </c>
      <c r="ID126" s="150">
        <f t="shared" si="320"/>
        <v>0</v>
      </c>
      <c r="IE126" s="150">
        <f t="shared" si="320"/>
        <v>0</v>
      </c>
      <c r="IF126" s="150">
        <f t="shared" si="320"/>
        <v>0</v>
      </c>
      <c r="IG126" s="150">
        <f t="shared" si="320"/>
        <v>0</v>
      </c>
      <c r="IH126" s="150">
        <f t="shared" si="320"/>
        <v>0</v>
      </c>
      <c r="II126" s="150">
        <f t="shared" si="320"/>
        <v>0</v>
      </c>
      <c r="IJ126" s="150">
        <f t="shared" si="320"/>
        <v>0</v>
      </c>
      <c r="IK126" s="150">
        <f t="shared" si="320"/>
        <v>0</v>
      </c>
      <c r="IL126" s="150">
        <f t="shared" si="320"/>
        <v>0</v>
      </c>
      <c r="IM126" s="150">
        <f t="shared" si="320"/>
        <v>0</v>
      </c>
      <c r="IN126" s="150">
        <f t="shared" si="320"/>
        <v>0</v>
      </c>
      <c r="IO126" s="150">
        <f t="shared" si="320"/>
        <v>0</v>
      </c>
      <c r="IP126" s="150">
        <f t="shared" si="320"/>
        <v>0</v>
      </c>
      <c r="IQ126" s="150">
        <f t="shared" si="320"/>
        <v>0</v>
      </c>
      <c r="IR126" s="157"/>
    </row>
    <row r="127" spans="1:252" x14ac:dyDescent="0.2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6" t="s">
        <v>591</v>
      </c>
      <c r="M127" s="11">
        <f>INDEX(cennik!$C$2:$L$529,MATCH($L127,cennik!$B$2:$B$522,0),MATCH(M$2,cennik!$C$1:$L$1,0))</f>
        <v>867810</v>
      </c>
      <c r="N127" s="11" t="str">
        <f>INDEX(cennik!$C$2:$L$529,MATCH($L127,cennik!$B$2:$B$522,0),MATCH(N$2,cennik!$C$1:$L$1,0))</f>
        <v>szt.</v>
      </c>
      <c r="O127" s="11">
        <f>E102*4</f>
        <v>0</v>
      </c>
      <c r="P127" s="34">
        <f>INDEX(cennik!$C$2:$L$529,MATCH($L127,cennik!$B$2:$B$522,0),MATCH(P$2,cennik!$C$1:$L$1,0))</f>
        <v>50.61</v>
      </c>
      <c r="Q127" s="34">
        <f>O127*P127</f>
        <v>0</v>
      </c>
      <c r="R127" s="35">
        <f>$E$103</f>
        <v>0</v>
      </c>
      <c r="S127" s="34">
        <f>P127*((100-$E$103)/100)</f>
        <v>50.61</v>
      </c>
      <c r="T127" s="34">
        <f>O127*S127</f>
        <v>0</v>
      </c>
      <c r="U127" s="34">
        <f>INDEX(cennik!$C$2:$L$529,MATCH($L127,cennik!$B$2:$B$522,0),MATCH(U$2,cennik!$C$1:$L$1,0))*O127</f>
        <v>0</v>
      </c>
      <c r="V127" s="62"/>
      <c r="W127" s="170">
        <f>(INDEX(($EL$112:$FI$115,$EL$118:$FI$121,$FL$112:$GI$115,$FL$118:$GI$121,$GS$112:$HP$116,$GS$119:$HP$123,$HT$112:$IQ$116,$HT$119:$IQ$123,$HT$126:$IQ$130),MATCH($L$145,$EK$112:$EK$115,0),MATCH(A133,$EL$111:$FI$111,0),MATCH($G$131,$AE$24:$AE$32,0)))*C133</f>
        <v>0</v>
      </c>
      <c r="X127" s="170">
        <f>(INDEX(($EL$112:$FI$115,$EL$118:$FI$121,$FL$112:$GI$115,$FL$118:$GI$121,$GS$112:$HP$116,$GS$119:$HP$123,$HT$112:$IQ$116,$HT$119:$IQ$123,$HT$126:$IQ$130),MATCH($L$142,$EK$112:$EK$115,0),MATCH(A133,$EL$111:$FI$111,0),MATCH($G$131,$AE$24:$AE$32,0)))*C133</f>
        <v>0</v>
      </c>
      <c r="Y127" s="170">
        <f>(INDEX(($EL$112:$FI$115,$EL$118:$FI$121,$FL$112:$GI$115,$FL$118:$GI$121,$GS$112:$HP$116,$GS$119:$HP$123,$HT$112:$IQ$116,$HT$119:$IQ$123,$HT$126:$IQ$130),MATCH($L$143,$EK$112:$EK$115,0),MATCH(A133,$EL$111:$FI$111,0),MATCH($G$131,$AE$24:$AE$32,0)))*C133</f>
        <v>0</v>
      </c>
      <c r="Z127" s="170">
        <f>(INDEX(($EL$112:$FI$115,$EL$118:$FI$121,$FL$112:$GI$115,$FL$118:$GI$121,$GS$112:$HP$116,$GS$119:$HP$123,$HT$112:$IQ$116,$HT$119:$IQ$123,$HT$126:$IQ$130),MATCH($L$144,$EK$112:$EK$115,0),MATCH(A133,$EL$111:$FI$111,0),MATCH($G$131,$AE$24:$AE$32,0)))*C133</f>
        <v>0</v>
      </c>
      <c r="AA127" s="150">
        <f t="shared" si="313"/>
        <v>0</v>
      </c>
      <c r="AB127" s="150">
        <f t="shared" si="314"/>
        <v>0</v>
      </c>
      <c r="AC127" s="150"/>
      <c r="AD127" s="150"/>
      <c r="AE127" s="150"/>
      <c r="AF127" s="150"/>
      <c r="AG127" s="150"/>
      <c r="AH127" s="150"/>
      <c r="AI127" s="150"/>
      <c r="AJ127" s="150"/>
      <c r="AK127" s="150"/>
      <c r="AL127" s="150"/>
      <c r="AM127" s="150"/>
      <c r="AN127" s="150"/>
      <c r="AO127" s="150">
        <f t="shared" si="315"/>
        <v>1</v>
      </c>
      <c r="AP127" s="150" t="s">
        <v>472</v>
      </c>
      <c r="AQ127" s="150" t="s">
        <v>596</v>
      </c>
      <c r="AR127" s="154" t="s">
        <v>595</v>
      </c>
      <c r="AS127" s="154" t="s">
        <v>594</v>
      </c>
      <c r="AT127" s="154" t="s">
        <v>594</v>
      </c>
      <c r="AX127" s="150"/>
      <c r="AY127" s="150"/>
      <c r="AZ127" s="150"/>
      <c r="BA127" s="150"/>
      <c r="BB127" s="150"/>
      <c r="BC127" s="150"/>
      <c r="BD127" s="150"/>
      <c r="BE127" s="150"/>
      <c r="BF127" s="150"/>
      <c r="BG127" s="150"/>
      <c r="BH127" s="150"/>
      <c r="BI127" s="150"/>
      <c r="BJ127" s="150"/>
      <c r="BK127" s="150"/>
      <c r="BL127" s="150"/>
      <c r="BM127" s="150"/>
      <c r="BN127" s="150"/>
      <c r="BO127" s="150"/>
      <c r="BP127" s="150"/>
      <c r="BQ127" s="150"/>
      <c r="BR127" s="150"/>
      <c r="BS127" s="150"/>
      <c r="BT127" s="150"/>
      <c r="BU127" s="150"/>
      <c r="BV127" s="150"/>
      <c r="BW127" s="150"/>
      <c r="BX127" s="150"/>
      <c r="BY127" s="150"/>
      <c r="BZ127" s="150"/>
      <c r="CA127" s="150"/>
      <c r="CB127" s="150"/>
      <c r="CC127" s="150"/>
      <c r="CD127" s="150"/>
      <c r="CE127" s="150"/>
      <c r="CF127" s="150"/>
      <c r="CG127" s="150"/>
      <c r="CH127" s="150"/>
      <c r="CI127" s="150"/>
      <c r="CJ127" s="150"/>
      <c r="CK127" s="150"/>
      <c r="CL127" s="150"/>
      <c r="CM127" s="150"/>
      <c r="CN127" s="150"/>
      <c r="CO127" s="150"/>
      <c r="CP127" s="150"/>
      <c r="CQ127" s="150"/>
      <c r="CR127" s="150"/>
      <c r="CS127" s="150"/>
      <c r="CT127" s="150"/>
      <c r="CU127" s="150"/>
      <c r="CV127" s="150"/>
      <c r="CW127" s="150"/>
      <c r="CX127" s="150"/>
      <c r="CY127" s="150"/>
      <c r="CZ127" s="150"/>
      <c r="DA127" s="150"/>
      <c r="DB127" s="150"/>
      <c r="DC127" s="150"/>
      <c r="DD127" s="150"/>
      <c r="DE127" s="150"/>
      <c r="DF127" s="150"/>
      <c r="DG127" s="150"/>
      <c r="DH127" s="150"/>
      <c r="DI127" s="150"/>
      <c r="DJ127" s="150"/>
      <c r="DK127" s="150"/>
      <c r="DL127" s="150"/>
      <c r="DM127" s="150"/>
      <c r="DN127" s="150"/>
      <c r="DO127" s="150"/>
      <c r="DP127" s="150"/>
      <c r="DQ127" s="181"/>
      <c r="DR127" s="181">
        <v>57</v>
      </c>
      <c r="DS127" s="181"/>
      <c r="DT127" s="150"/>
      <c r="DU127" s="150"/>
      <c r="DV127" s="150"/>
      <c r="DW127" s="150"/>
      <c r="DX127" s="150"/>
      <c r="DY127" s="150"/>
      <c r="DZ127" s="150"/>
      <c r="EA127" s="150"/>
      <c r="EB127" s="150"/>
      <c r="EC127" s="150"/>
      <c r="ED127" s="150"/>
      <c r="EE127" s="150"/>
      <c r="EF127" s="150"/>
      <c r="EG127" s="150"/>
      <c r="EH127" s="150"/>
      <c r="EI127" s="150"/>
      <c r="EJ127" s="155"/>
      <c r="EK127" s="150"/>
      <c r="EL127" s="150"/>
      <c r="EM127" s="150"/>
      <c r="EN127" s="150"/>
      <c r="EO127" s="150"/>
      <c r="EP127" s="150"/>
      <c r="EQ127" s="150"/>
      <c r="ER127" s="150"/>
      <c r="ES127" s="150"/>
      <c r="ET127" s="150"/>
      <c r="EU127" s="150"/>
      <c r="EV127" s="150"/>
      <c r="EW127" s="150"/>
      <c r="EX127" s="150"/>
      <c r="EY127" s="150"/>
      <c r="EZ127" s="150"/>
      <c r="FA127" s="150"/>
      <c r="FB127" s="150"/>
      <c r="FC127" s="150"/>
      <c r="FD127" s="150"/>
      <c r="FE127" s="150"/>
      <c r="FF127" s="150"/>
      <c r="FG127" s="150"/>
      <c r="FH127" s="150"/>
      <c r="FI127" s="150"/>
      <c r="FJ127" s="150"/>
      <c r="FK127" s="150"/>
      <c r="FL127" s="150"/>
      <c r="FM127" s="150"/>
      <c r="FN127" s="150"/>
      <c r="FO127" s="150"/>
      <c r="FP127" s="150"/>
      <c r="FQ127" s="150"/>
      <c r="FR127" s="150"/>
      <c r="FS127" s="150"/>
      <c r="FT127" s="150"/>
      <c r="FU127" s="150"/>
      <c r="FV127" s="150"/>
      <c r="FW127" s="150"/>
      <c r="FX127" s="150"/>
      <c r="FY127" s="150"/>
      <c r="FZ127" s="150"/>
      <c r="GA127" s="150"/>
      <c r="GB127" s="150"/>
      <c r="GC127" s="150"/>
      <c r="GD127" s="150"/>
      <c r="GE127" s="150"/>
      <c r="GF127" s="150"/>
      <c r="GG127" s="150"/>
      <c r="GH127" s="150"/>
      <c r="GI127" s="150"/>
      <c r="GJ127" s="150"/>
      <c r="GK127" s="150"/>
      <c r="GL127" s="150"/>
      <c r="GM127" s="150"/>
      <c r="GN127" s="150"/>
      <c r="GO127" s="150"/>
      <c r="GP127" s="150"/>
      <c r="GQ127" s="150"/>
      <c r="GR127" s="150"/>
      <c r="GS127" s="150"/>
      <c r="GT127" s="150"/>
      <c r="GU127" s="150"/>
      <c r="GV127" s="150"/>
      <c r="GW127" s="150"/>
      <c r="GX127" s="150"/>
      <c r="GY127" s="150"/>
      <c r="GZ127" s="150"/>
      <c r="HA127" s="150"/>
      <c r="HB127" s="150"/>
      <c r="HC127" s="150"/>
      <c r="HD127" s="150"/>
      <c r="HE127" s="150"/>
      <c r="HF127" s="150"/>
      <c r="HG127" s="150"/>
      <c r="HH127" s="150"/>
      <c r="HS127" s="154" t="s">
        <v>522</v>
      </c>
      <c r="HT127" s="154">
        <v>0</v>
      </c>
      <c r="HU127" s="150">
        <f t="shared" ref="HU127:IQ127" si="321">HU100/4*6</f>
        <v>6</v>
      </c>
      <c r="HV127" s="150">
        <f t="shared" si="321"/>
        <v>0</v>
      </c>
      <c r="HW127" s="150">
        <f t="shared" si="321"/>
        <v>6</v>
      </c>
      <c r="HX127" s="150">
        <f t="shared" si="321"/>
        <v>12</v>
      </c>
      <c r="HY127" s="150">
        <f t="shared" si="321"/>
        <v>6</v>
      </c>
      <c r="HZ127" s="150">
        <f t="shared" si="321"/>
        <v>12</v>
      </c>
      <c r="IA127" s="150">
        <f t="shared" si="321"/>
        <v>18</v>
      </c>
      <c r="IB127" s="150">
        <f t="shared" si="321"/>
        <v>6</v>
      </c>
      <c r="IC127" s="150">
        <f t="shared" si="321"/>
        <v>18</v>
      </c>
      <c r="ID127" s="150">
        <f t="shared" si="321"/>
        <v>24</v>
      </c>
      <c r="IE127" s="150">
        <f t="shared" si="321"/>
        <v>12</v>
      </c>
      <c r="IF127" s="150">
        <f t="shared" si="321"/>
        <v>24</v>
      </c>
      <c r="IG127" s="150">
        <f t="shared" si="321"/>
        <v>30</v>
      </c>
      <c r="IH127" s="150">
        <f t="shared" si="321"/>
        <v>18</v>
      </c>
      <c r="II127" s="150">
        <f t="shared" si="321"/>
        <v>30</v>
      </c>
      <c r="IJ127" s="150">
        <f t="shared" si="321"/>
        <v>36</v>
      </c>
      <c r="IK127" s="150">
        <f t="shared" si="321"/>
        <v>24</v>
      </c>
      <c r="IL127" s="150">
        <f t="shared" si="321"/>
        <v>30</v>
      </c>
      <c r="IM127" s="150">
        <f t="shared" si="321"/>
        <v>42</v>
      </c>
      <c r="IN127" s="150">
        <f t="shared" si="321"/>
        <v>30</v>
      </c>
      <c r="IO127" s="150">
        <f t="shared" si="321"/>
        <v>36</v>
      </c>
      <c r="IP127" s="150">
        <f t="shared" si="321"/>
        <v>48</v>
      </c>
      <c r="IQ127" s="150">
        <f t="shared" si="321"/>
        <v>36</v>
      </c>
      <c r="IR127" s="157"/>
    </row>
    <row r="128" spans="1:252" x14ac:dyDescent="0.2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24"/>
      <c r="N128" s="24"/>
      <c r="O128" s="24"/>
      <c r="P128" s="24"/>
      <c r="Q128" s="24"/>
      <c r="R128" s="24"/>
      <c r="S128" s="24"/>
      <c r="T128" s="34">
        <f>SUM(T99:T127)</f>
        <v>0</v>
      </c>
      <c r="U128" s="34">
        <f>SUM(U99:U127)</f>
        <v>0</v>
      </c>
      <c r="V128" s="62"/>
      <c r="W128" s="170">
        <f>(INDEX(($EL$112:$FI$115,$EL$118:$FI$121,$FL$112:$GI$115,$FL$118:$GI$121,$GS$112:$HP$116,$GS$119:$HP$123,$HT$112:$IQ$116,$HT$119:$IQ$123,$HT$126:$IQ$130),MATCH($L$145,$EK$112:$EK$115,0),MATCH(A134,$EL$111:$FI$111,0),MATCH($G$131,$AE$24:$AE$32,0)))*C134</f>
        <v>0</v>
      </c>
      <c r="X128" s="170">
        <f>(INDEX(($EL$112:$FI$115,$EL$118:$FI$121,$FL$112:$GI$115,$FL$118:$GI$121,$GS$112:$HP$116,$GS$119:$HP$123,$HT$112:$IQ$116,$HT$119:$IQ$123,$HT$126:$IQ$130),MATCH($L$142,$EK$112:$EK$115,0),MATCH(A134,$EL$111:$FI$111,0),MATCH($G$131,$AE$24:$AE$32,0)))*C134</f>
        <v>0</v>
      </c>
      <c r="Y128" s="170">
        <f>(INDEX(($EL$112:$FI$115,$EL$118:$FI$121,$FL$112:$GI$115,$FL$118:$GI$121,$GS$112:$HP$116,$GS$119:$HP$123,$HT$112:$IQ$116,$HT$119:$IQ$123,$HT$126:$IQ$130),MATCH($L$143,$EK$112:$EK$115,0),MATCH(A134,$EL$111:$FI$111,0),MATCH($G$131,$AE$24:$AE$32,0)))*C134</f>
        <v>0</v>
      </c>
      <c r="Z128" s="170">
        <f>(INDEX(($EL$112:$FI$115,$EL$118:$FI$121,$FL$112:$GI$115,$FL$118:$GI$121,$GS$112:$HP$116,$GS$119:$HP$123,$HT$112:$IQ$116,$HT$119:$IQ$123,$HT$126:$IQ$130),MATCH($L$144,$EK$112:$EK$115,0),MATCH(A134,$EL$111:$FI$111,0),MATCH($G$131,$AE$24:$AE$32,0)))*C134</f>
        <v>0</v>
      </c>
      <c r="AA128" s="150">
        <f t="shared" si="313"/>
        <v>0</v>
      </c>
      <c r="AB128" s="150">
        <f t="shared" si="314"/>
        <v>0</v>
      </c>
      <c r="AC128" s="150"/>
      <c r="AD128" s="150"/>
      <c r="AE128" s="150"/>
      <c r="AF128" s="150"/>
      <c r="AG128" s="150"/>
      <c r="AH128" s="150"/>
      <c r="AI128" s="150"/>
      <c r="AJ128" s="150"/>
      <c r="AK128" s="150"/>
      <c r="AL128" s="150"/>
      <c r="AM128" s="150"/>
      <c r="AN128" s="150"/>
      <c r="AO128" s="150">
        <f t="shared" si="315"/>
        <v>1</v>
      </c>
      <c r="AP128" s="150" t="s">
        <v>471</v>
      </c>
      <c r="AQ128" s="150" t="s">
        <v>594</v>
      </c>
      <c r="AR128" s="154" t="s">
        <v>596</v>
      </c>
      <c r="AS128" s="154" t="s">
        <v>594</v>
      </c>
      <c r="AT128" s="154" t="s">
        <v>594</v>
      </c>
      <c r="AU128" s="150"/>
      <c r="AV128" s="150"/>
      <c r="AW128" s="150"/>
      <c r="AX128" s="150"/>
      <c r="AY128" s="150"/>
      <c r="AZ128" s="150"/>
      <c r="BA128" s="150"/>
      <c r="BB128" s="150"/>
      <c r="BC128" s="150"/>
      <c r="BD128" s="150"/>
      <c r="BE128" s="150"/>
      <c r="BF128" s="150"/>
      <c r="BG128" s="150"/>
      <c r="BH128" s="150"/>
      <c r="BI128" s="150"/>
      <c r="BJ128" s="150"/>
      <c r="BK128" s="150"/>
      <c r="BL128" s="150"/>
      <c r="BM128" s="150"/>
      <c r="BN128" s="150"/>
      <c r="BO128" s="150"/>
      <c r="BP128" s="150"/>
      <c r="BQ128" s="150"/>
      <c r="BR128" s="150"/>
      <c r="BS128" s="150"/>
      <c r="BT128" s="150"/>
      <c r="BU128" s="150"/>
      <c r="BV128" s="150"/>
      <c r="BW128" s="150"/>
      <c r="BX128" s="150"/>
      <c r="BY128" s="150"/>
      <c r="BZ128" s="150"/>
      <c r="CA128" s="150"/>
      <c r="CB128" s="150"/>
      <c r="CC128" s="150"/>
      <c r="CD128" s="150"/>
      <c r="CE128" s="150"/>
      <c r="CF128" s="150"/>
      <c r="CG128" s="150"/>
      <c r="CH128" s="150"/>
      <c r="CI128" s="150"/>
      <c r="CJ128" s="150"/>
      <c r="CK128" s="150"/>
      <c r="CL128" s="150"/>
      <c r="CM128" s="150"/>
      <c r="CN128" s="150"/>
      <c r="CO128" s="150"/>
      <c r="CP128" s="150"/>
      <c r="CQ128" s="150"/>
      <c r="CR128" s="150"/>
      <c r="CS128" s="150"/>
      <c r="CT128" s="150"/>
      <c r="CU128" s="150"/>
      <c r="CV128" s="150"/>
      <c r="CW128" s="150"/>
      <c r="CX128" s="150"/>
      <c r="CY128" s="150"/>
      <c r="CZ128" s="150"/>
      <c r="DA128" s="150"/>
      <c r="DB128" s="150"/>
      <c r="DC128" s="150"/>
      <c r="DD128" s="150"/>
      <c r="DE128" s="150"/>
      <c r="DF128" s="150"/>
      <c r="DG128" s="150"/>
      <c r="DH128" s="150"/>
      <c r="DI128" s="150"/>
      <c r="DJ128" s="150"/>
      <c r="DK128" s="150"/>
      <c r="DL128" s="150"/>
      <c r="DM128" s="150"/>
      <c r="DN128" s="150"/>
      <c r="DO128" s="150"/>
      <c r="DP128" s="150"/>
      <c r="DQ128" s="181"/>
      <c r="DR128" s="181">
        <v>60</v>
      </c>
      <c r="DS128" s="181"/>
      <c r="DT128" s="150"/>
      <c r="DU128" s="150"/>
      <c r="DV128" s="150"/>
      <c r="DW128" s="150"/>
      <c r="DX128" s="150"/>
      <c r="DY128" s="150"/>
      <c r="DZ128" s="150"/>
      <c r="EA128" s="150"/>
      <c r="EB128" s="150"/>
      <c r="EC128" s="150"/>
      <c r="ED128" s="150"/>
      <c r="EE128" s="150"/>
      <c r="EF128" s="150"/>
      <c r="EG128" s="150"/>
      <c r="EH128" s="150"/>
      <c r="EI128" s="150"/>
      <c r="EJ128" s="155"/>
      <c r="EK128" s="150"/>
      <c r="EL128" s="150"/>
      <c r="EM128" s="150"/>
      <c r="EN128" s="150"/>
      <c r="EO128" s="150"/>
      <c r="EP128" s="150"/>
      <c r="EQ128" s="150"/>
      <c r="ER128" s="150"/>
      <c r="ES128" s="150"/>
      <c r="ET128" s="150"/>
      <c r="EU128" s="150"/>
      <c r="EV128" s="150"/>
      <c r="EW128" s="150"/>
      <c r="EX128" s="150"/>
      <c r="EY128" s="150"/>
      <c r="EZ128" s="150"/>
      <c r="FA128" s="150"/>
      <c r="FB128" s="150"/>
      <c r="FC128" s="150"/>
      <c r="FD128" s="150"/>
      <c r="FE128" s="150"/>
      <c r="FF128" s="150"/>
      <c r="FG128" s="150"/>
      <c r="FH128" s="150"/>
      <c r="FI128" s="150"/>
      <c r="FJ128" s="150"/>
      <c r="FK128" s="150"/>
      <c r="FL128" s="150"/>
      <c r="FM128" s="150"/>
      <c r="FN128" s="150"/>
      <c r="FO128" s="150"/>
      <c r="FP128" s="150"/>
      <c r="FQ128" s="150"/>
      <c r="FR128" s="150"/>
      <c r="FS128" s="150"/>
      <c r="FT128" s="150"/>
      <c r="FU128" s="150"/>
      <c r="FV128" s="150"/>
      <c r="FW128" s="150"/>
      <c r="FX128" s="150"/>
      <c r="FY128" s="150"/>
      <c r="FZ128" s="150"/>
      <c r="GA128" s="150"/>
      <c r="GB128" s="150"/>
      <c r="GC128" s="150"/>
      <c r="GD128" s="150"/>
      <c r="GE128" s="150"/>
      <c r="GF128" s="150"/>
      <c r="GG128" s="150"/>
      <c r="GH128" s="150"/>
      <c r="GI128" s="150"/>
      <c r="GJ128" s="150"/>
      <c r="GK128" s="150"/>
      <c r="GL128" s="150"/>
      <c r="GM128" s="150"/>
      <c r="GN128" s="150"/>
      <c r="GO128" s="150"/>
      <c r="GP128" s="150"/>
      <c r="GQ128" s="150"/>
      <c r="GR128" s="150"/>
      <c r="GS128" s="150"/>
      <c r="GT128" s="150"/>
      <c r="GU128" s="150"/>
      <c r="GV128" s="150"/>
      <c r="GW128" s="150"/>
      <c r="GX128" s="150"/>
      <c r="GY128" s="150"/>
      <c r="GZ128" s="150"/>
      <c r="HA128" s="150"/>
      <c r="HB128" s="150"/>
      <c r="HC128" s="150"/>
      <c r="HD128" s="150"/>
      <c r="HE128" s="150"/>
      <c r="HF128" s="150"/>
      <c r="HG128" s="150"/>
      <c r="HH128" s="150"/>
      <c r="HS128" s="154" t="s">
        <v>523</v>
      </c>
      <c r="HT128" s="154">
        <v>0</v>
      </c>
      <c r="HU128" s="150">
        <f t="shared" ref="HU128:IQ128" si="322">HU101/4*6</f>
        <v>0</v>
      </c>
      <c r="HV128" s="150">
        <f t="shared" si="322"/>
        <v>0</v>
      </c>
      <c r="HW128" s="150">
        <f t="shared" si="322"/>
        <v>6</v>
      </c>
      <c r="HX128" s="150">
        <f t="shared" si="322"/>
        <v>0</v>
      </c>
      <c r="HY128" s="150">
        <f t="shared" si="322"/>
        <v>12</v>
      </c>
      <c r="HZ128" s="150">
        <f t="shared" si="322"/>
        <v>6</v>
      </c>
      <c r="IA128" s="150">
        <f t="shared" si="322"/>
        <v>0</v>
      </c>
      <c r="IB128" s="150">
        <f t="shared" si="322"/>
        <v>18</v>
      </c>
      <c r="IC128" s="150">
        <f t="shared" si="322"/>
        <v>6</v>
      </c>
      <c r="ID128" s="150">
        <f t="shared" si="322"/>
        <v>0</v>
      </c>
      <c r="IE128" s="150">
        <f t="shared" si="322"/>
        <v>18</v>
      </c>
      <c r="IF128" s="150">
        <f t="shared" si="322"/>
        <v>6</v>
      </c>
      <c r="IG128" s="150">
        <f t="shared" si="322"/>
        <v>0</v>
      </c>
      <c r="IH128" s="150">
        <f t="shared" si="322"/>
        <v>18</v>
      </c>
      <c r="II128" s="150">
        <f t="shared" si="322"/>
        <v>6</v>
      </c>
      <c r="IJ128" s="150">
        <f t="shared" si="322"/>
        <v>0</v>
      </c>
      <c r="IK128" s="150">
        <f t="shared" si="322"/>
        <v>18</v>
      </c>
      <c r="IL128" s="150">
        <f t="shared" si="322"/>
        <v>12</v>
      </c>
      <c r="IM128" s="150">
        <f t="shared" si="322"/>
        <v>0</v>
      </c>
      <c r="IN128" s="150">
        <f t="shared" si="322"/>
        <v>18</v>
      </c>
      <c r="IO128" s="150">
        <f t="shared" si="322"/>
        <v>12</v>
      </c>
      <c r="IP128" s="150">
        <f t="shared" si="322"/>
        <v>0</v>
      </c>
      <c r="IQ128" s="150">
        <f t="shared" si="322"/>
        <v>18</v>
      </c>
      <c r="IR128" s="157"/>
    </row>
    <row r="129" spans="1:252" ht="51.75" x14ac:dyDescent="0.25">
      <c r="A129" s="3" t="s">
        <v>443</v>
      </c>
      <c r="B129" s="3"/>
      <c r="C129" s="3" t="s">
        <v>444</v>
      </c>
      <c r="D129" s="9"/>
      <c r="E129" s="9"/>
      <c r="F129" s="9"/>
      <c r="G129" s="9"/>
      <c r="H129" s="9"/>
      <c r="I129" s="9"/>
      <c r="J129" s="9"/>
      <c r="K129" s="9"/>
      <c r="L129" s="360" t="str">
        <f>IF(E133="wbijana","KONSTRUKCJA W-V3G2-25°",IF(E133="betonowana","KONSTRUKCJA W-V3B2-25°",IF(E133="kotwiona","KONSTRUKCJA W-V3K2-25°",IF(E133="wkręcana","KONSTRUKCJA W-V3S2-25°"))))</f>
        <v>KONSTRUKCJA W-V3G2-25°</v>
      </c>
      <c r="M129" s="360"/>
      <c r="N129" s="360"/>
      <c r="O129" s="360"/>
      <c r="P129" s="360"/>
      <c r="Q129" s="360"/>
      <c r="R129" s="360"/>
      <c r="S129" s="360"/>
      <c r="T129" s="360"/>
      <c r="U129" s="360"/>
      <c r="V129" s="62"/>
      <c r="W129" s="170">
        <f>(INDEX(($EL$112:$FI$115,$EL$118:$FI$121,$FL$112:$GI$115,$FL$118:$GI$121,$GS$112:$HP$116,$GS$119:$HP$123,$HT$112:$IQ$116,$HT$119:$IQ$123,$HT$126:$IQ$130),MATCH($L$145,$EK$112:$EK$115,0),MATCH(A135,$EL$111:$FI$111,0),MATCH($G$131,$AE$24:$AE$32,0)))*C135</f>
        <v>0</v>
      </c>
      <c r="X129" s="170">
        <f>(INDEX(($EL$112:$FI$115,$EL$118:$FI$121,$FL$112:$GI$115,$FL$118:$GI$121,$GS$112:$HP$116,$GS$119:$HP$123,$HT$112:$IQ$116,$HT$119:$IQ$123,$HT$126:$IQ$130),MATCH($L$142,$EK$112:$EK$115,0),MATCH(A135,$EL$111:$FI$111,0),MATCH($G$131,$AE$24:$AE$32,0)))*C135</f>
        <v>0</v>
      </c>
      <c r="Y129" s="170">
        <f>(INDEX(($EL$112:$FI$115,$EL$118:$FI$121,$FL$112:$GI$115,$FL$118:$GI$121,$GS$112:$HP$116,$GS$119:$HP$123,$HT$112:$IQ$116,$HT$119:$IQ$123,$HT$126:$IQ$130),MATCH($L$143,$EK$112:$EK$115,0),MATCH(A135,$EL$111:$FI$111,0),MATCH($G$131,$AE$24:$AE$32,0)))*C135</f>
        <v>0</v>
      </c>
      <c r="Z129" s="170">
        <f>(INDEX(($EL$112:$FI$115,$EL$118:$FI$121,$FL$112:$GI$115,$FL$118:$GI$121,$GS$112:$HP$116,$GS$119:$HP$123,$HT$112:$IQ$116,$HT$119:$IQ$123,$HT$126:$IQ$130),MATCH($L$144,$EK$112:$EK$115,0),MATCH(A135,$EL$111:$FI$111,0),MATCH($G$131,$AE$24:$AE$32,0)))*C135</f>
        <v>0</v>
      </c>
      <c r="AA129" s="150">
        <f t="shared" si="313"/>
        <v>0</v>
      </c>
      <c r="AB129" s="150">
        <f t="shared" si="314"/>
        <v>0</v>
      </c>
      <c r="AC129" s="150"/>
      <c r="AD129" s="150"/>
      <c r="AE129" s="150"/>
      <c r="AF129" s="150"/>
      <c r="AG129" s="150"/>
      <c r="AH129" s="150"/>
      <c r="AI129" s="150"/>
      <c r="AJ129" s="150"/>
      <c r="AK129" s="150"/>
      <c r="AL129" s="150"/>
      <c r="AM129" s="150"/>
      <c r="AN129" s="150"/>
      <c r="AO129" s="150">
        <f t="shared" si="315"/>
        <v>1</v>
      </c>
      <c r="AP129" s="150" t="s">
        <v>473</v>
      </c>
      <c r="AQ129" s="150" t="s">
        <v>594</v>
      </c>
      <c r="AR129" s="154" t="s">
        <v>596</v>
      </c>
      <c r="AS129" s="154" t="s">
        <v>594</v>
      </c>
      <c r="AT129" s="154" t="s">
        <v>594</v>
      </c>
      <c r="AX129" s="150"/>
      <c r="AY129" s="150"/>
      <c r="AZ129" s="150"/>
      <c r="BA129" s="150"/>
      <c r="BB129" s="150"/>
      <c r="BC129" s="150"/>
      <c r="BD129" s="150"/>
      <c r="BE129" s="150"/>
      <c r="BF129" s="150"/>
      <c r="BG129" s="150"/>
      <c r="BH129" s="150"/>
      <c r="BI129" s="150"/>
      <c r="BJ129" s="150"/>
      <c r="BK129" s="150"/>
      <c r="BL129" s="150"/>
      <c r="BM129" s="150"/>
      <c r="BN129" s="150"/>
      <c r="BO129" s="150"/>
      <c r="BP129" s="150"/>
      <c r="BQ129" s="150"/>
      <c r="BR129" s="150"/>
      <c r="BS129" s="150"/>
      <c r="BT129" s="150"/>
      <c r="BU129" s="150"/>
      <c r="BV129" s="150"/>
      <c r="BW129" s="150"/>
      <c r="BX129" s="150"/>
      <c r="BY129" s="150"/>
      <c r="BZ129" s="150"/>
      <c r="CA129" s="150"/>
      <c r="CB129" s="150"/>
      <c r="CC129" s="150"/>
      <c r="CD129" s="150"/>
      <c r="CE129" s="150"/>
      <c r="CF129" s="150"/>
      <c r="CG129" s="150"/>
      <c r="CH129" s="150"/>
      <c r="CI129" s="150"/>
      <c r="CJ129" s="150"/>
      <c r="CK129" s="150"/>
      <c r="CL129" s="150"/>
      <c r="CM129" s="150"/>
      <c r="CN129" s="150"/>
      <c r="CO129" s="150"/>
      <c r="CP129" s="150"/>
      <c r="CQ129" s="150"/>
      <c r="CR129" s="150"/>
      <c r="CS129" s="150"/>
      <c r="CT129" s="150"/>
      <c r="CU129" s="150"/>
      <c r="CV129" s="150"/>
      <c r="CW129" s="150"/>
      <c r="CX129" s="150"/>
      <c r="CY129" s="150"/>
      <c r="CZ129" s="150"/>
      <c r="DA129" s="150"/>
      <c r="DB129" s="150"/>
      <c r="DC129" s="150"/>
      <c r="DD129" s="150"/>
      <c r="DE129" s="150"/>
      <c r="DF129" s="150"/>
      <c r="DG129" s="150"/>
      <c r="DH129" s="150"/>
      <c r="DI129" s="150"/>
      <c r="DJ129" s="150"/>
      <c r="DK129" s="150"/>
      <c r="DL129" s="150"/>
      <c r="DM129" s="150"/>
      <c r="DN129" s="150"/>
      <c r="DO129" s="150"/>
      <c r="DP129" s="150"/>
      <c r="DQ129" s="181"/>
      <c r="DR129" s="181">
        <v>63</v>
      </c>
      <c r="DS129" s="181"/>
      <c r="DT129" s="150"/>
      <c r="DU129" s="150"/>
      <c r="DV129" s="150"/>
      <c r="DW129" s="150"/>
      <c r="DX129" s="150"/>
      <c r="DY129" s="150"/>
      <c r="DZ129" s="150"/>
      <c r="EA129" s="150"/>
      <c r="EB129" s="150"/>
      <c r="EC129" s="150"/>
      <c r="ED129" s="150"/>
      <c r="EE129" s="150"/>
      <c r="EF129" s="150"/>
      <c r="EG129" s="150"/>
      <c r="EH129" s="150"/>
      <c r="EI129" s="150"/>
      <c r="EJ129" s="155"/>
      <c r="EK129" s="150"/>
      <c r="EL129" s="150"/>
      <c r="EM129" s="150"/>
      <c r="EN129" s="150"/>
      <c r="EO129" s="150"/>
      <c r="EP129" s="150"/>
      <c r="EQ129" s="150"/>
      <c r="ER129" s="150"/>
      <c r="ES129" s="150"/>
      <c r="ET129" s="150"/>
      <c r="EU129" s="150"/>
      <c r="EV129" s="150"/>
      <c r="EW129" s="150"/>
      <c r="EX129" s="150"/>
      <c r="EY129" s="150"/>
      <c r="EZ129" s="150"/>
      <c r="FA129" s="150"/>
      <c r="FB129" s="150"/>
      <c r="FC129" s="150"/>
      <c r="FD129" s="150"/>
      <c r="FE129" s="150"/>
      <c r="FF129" s="150"/>
      <c r="FG129" s="150"/>
      <c r="FH129" s="150"/>
      <c r="FI129" s="150"/>
      <c r="FJ129" s="150"/>
      <c r="FK129" s="150"/>
      <c r="FL129" s="150"/>
      <c r="FM129" s="150"/>
      <c r="FN129" s="150"/>
      <c r="FO129" s="150"/>
      <c r="FP129" s="150"/>
      <c r="FQ129" s="150"/>
      <c r="FR129" s="150"/>
      <c r="FS129" s="150"/>
      <c r="FT129" s="150"/>
      <c r="FU129" s="150"/>
      <c r="FV129" s="150"/>
      <c r="FW129" s="150"/>
      <c r="FX129" s="150"/>
      <c r="FY129" s="150"/>
      <c r="FZ129" s="150"/>
      <c r="GA129" s="150"/>
      <c r="GB129" s="150"/>
      <c r="GC129" s="150"/>
      <c r="GD129" s="150"/>
      <c r="GE129" s="150"/>
      <c r="GF129" s="150"/>
      <c r="GG129" s="150"/>
      <c r="GH129" s="150"/>
      <c r="GI129" s="150"/>
      <c r="GJ129" s="150"/>
      <c r="GK129" s="150"/>
      <c r="GL129" s="150"/>
      <c r="GM129" s="150"/>
      <c r="GN129" s="150"/>
      <c r="GO129" s="150"/>
      <c r="GP129" s="150"/>
      <c r="GQ129" s="150"/>
      <c r="GR129" s="150"/>
      <c r="GS129" s="150"/>
      <c r="GT129" s="150"/>
      <c r="GU129" s="150"/>
      <c r="GV129" s="150"/>
      <c r="GW129" s="150"/>
      <c r="GX129" s="150"/>
      <c r="GY129" s="150"/>
      <c r="GZ129" s="150"/>
      <c r="HA129" s="150"/>
      <c r="HB129" s="150"/>
      <c r="HC129" s="150"/>
      <c r="HD129" s="150"/>
      <c r="HE129" s="150"/>
      <c r="HF129" s="150"/>
      <c r="HG129" s="150"/>
      <c r="HH129" s="150"/>
      <c r="HS129" s="154" t="s">
        <v>524</v>
      </c>
      <c r="HT129" s="154">
        <v>0</v>
      </c>
      <c r="HU129" s="150">
        <f t="shared" ref="HU129:IQ129" si="323">HU102/4*6</f>
        <v>0</v>
      </c>
      <c r="HV129" s="150">
        <f t="shared" si="323"/>
        <v>0</v>
      </c>
      <c r="HW129" s="150">
        <f t="shared" si="323"/>
        <v>6</v>
      </c>
      <c r="HX129" s="150">
        <f t="shared" si="323"/>
        <v>6</v>
      </c>
      <c r="HY129" s="150">
        <f t="shared" si="323"/>
        <v>12</v>
      </c>
      <c r="HZ129" s="150">
        <f t="shared" si="323"/>
        <v>12</v>
      </c>
      <c r="IA129" s="150">
        <f t="shared" si="323"/>
        <v>12</v>
      </c>
      <c r="IB129" s="150">
        <f t="shared" si="323"/>
        <v>18</v>
      </c>
      <c r="IC129" s="150">
        <f t="shared" si="323"/>
        <v>18</v>
      </c>
      <c r="ID129" s="150">
        <f t="shared" si="323"/>
        <v>18</v>
      </c>
      <c r="IE129" s="150">
        <f t="shared" si="323"/>
        <v>24</v>
      </c>
      <c r="IF129" s="150">
        <f t="shared" si="323"/>
        <v>24</v>
      </c>
      <c r="IG129" s="150">
        <f t="shared" si="323"/>
        <v>24</v>
      </c>
      <c r="IH129" s="150">
        <f t="shared" si="323"/>
        <v>30</v>
      </c>
      <c r="II129" s="150">
        <f t="shared" si="323"/>
        <v>30</v>
      </c>
      <c r="IJ129" s="150">
        <f t="shared" si="323"/>
        <v>30</v>
      </c>
      <c r="IK129" s="150">
        <f t="shared" si="323"/>
        <v>36</v>
      </c>
      <c r="IL129" s="150">
        <f t="shared" si="323"/>
        <v>36</v>
      </c>
      <c r="IM129" s="150">
        <f t="shared" si="323"/>
        <v>36</v>
      </c>
      <c r="IN129" s="150">
        <f t="shared" si="323"/>
        <v>42</v>
      </c>
      <c r="IO129" s="150">
        <f t="shared" si="323"/>
        <v>42</v>
      </c>
      <c r="IP129" s="150">
        <f t="shared" si="323"/>
        <v>42</v>
      </c>
      <c r="IQ129" s="150">
        <f t="shared" si="323"/>
        <v>48</v>
      </c>
      <c r="IR129" s="157"/>
    </row>
    <row r="130" spans="1:252" x14ac:dyDescent="0.25">
      <c r="A130" s="8"/>
      <c r="B130" s="5" t="s">
        <v>116</v>
      </c>
      <c r="C130" s="8"/>
      <c r="D130" s="9"/>
      <c r="E130" s="1"/>
      <c r="F130" s="9"/>
      <c r="G130" s="9"/>
      <c r="H130" s="9"/>
      <c r="I130" s="9"/>
      <c r="J130" s="9"/>
      <c r="K130" s="9"/>
      <c r="L130" s="5" t="s">
        <v>103</v>
      </c>
      <c r="M130" s="5" t="s">
        <v>104</v>
      </c>
      <c r="N130" s="5" t="s">
        <v>107</v>
      </c>
      <c r="O130" s="5" t="s">
        <v>290</v>
      </c>
      <c r="P130" s="5" t="s">
        <v>446</v>
      </c>
      <c r="Q130" s="5" t="s">
        <v>448</v>
      </c>
      <c r="R130" s="5" t="s">
        <v>409</v>
      </c>
      <c r="S130" s="5" t="s">
        <v>447</v>
      </c>
      <c r="T130" s="5" t="s">
        <v>449</v>
      </c>
      <c r="U130" s="5" t="s">
        <v>106</v>
      </c>
      <c r="V130" s="62"/>
      <c r="W130" s="170">
        <f>(INDEX(($EL$112:$FI$115,$EL$118:$FI$121,$FL$112:$GI$115,$FL$118:$GI$121,$GS$112:$HP$116,$GS$119:$HP$123,$HT$112:$IQ$116,$HT$119:$IQ$123,$HT$126:$IQ$130),MATCH($L$145,$EK$112:$EK$115,0),MATCH(A136,$EL$111:$FI$111,0),MATCH($G$131,$AE$24:$AE$32,0)))*C136</f>
        <v>0</v>
      </c>
      <c r="X130" s="170">
        <f>(INDEX(($EL$112:$FI$115,$EL$118:$FI$121,$FL$112:$GI$115,$FL$118:$GI$121,$GS$112:$HP$116,$GS$119:$HP$123,$HT$112:$IQ$116,$HT$119:$IQ$123,$HT$126:$IQ$130),MATCH($L$142,$EK$112:$EK$115,0),MATCH(A136,$EL$111:$FI$111,0),MATCH($G$131,$AE$24:$AE$32,0)))*C136</f>
        <v>0</v>
      </c>
      <c r="Y130" s="170">
        <f>(INDEX(($EL$112:$FI$115,$EL$118:$FI$121,$FL$112:$GI$115,$FL$118:$GI$121,$GS$112:$HP$116,$GS$119:$HP$123,$HT$112:$IQ$116,$HT$119:$IQ$123,$HT$126:$IQ$130),MATCH($L$143,$EK$112:$EK$115,0),MATCH(A136,$EL$111:$FI$111,0),MATCH($G$131,$AE$24:$AE$32,0)))*C136</f>
        <v>0</v>
      </c>
      <c r="Z130" s="170">
        <f>(INDEX(($EL$112:$FI$115,$EL$118:$FI$121,$FL$112:$GI$115,$FL$118:$GI$121,$GS$112:$HP$116,$GS$119:$HP$123,$HT$112:$IQ$116,$HT$119:$IQ$123,$HT$126:$IQ$130),MATCH($L$144,$EK$112:$EK$115,0),MATCH(A136,$EL$111:$FI$111,0),MATCH($G$131,$AE$24:$AE$32,0)))*C136</f>
        <v>0</v>
      </c>
      <c r="AA130" s="150">
        <f t="shared" si="313"/>
        <v>0</v>
      </c>
      <c r="AB130" s="150">
        <f t="shared" si="314"/>
        <v>0</v>
      </c>
      <c r="AC130" s="150"/>
      <c r="AD130" s="150"/>
      <c r="AE130" s="150"/>
      <c r="AF130" s="150"/>
      <c r="AG130" s="150"/>
      <c r="AH130" s="150"/>
      <c r="AI130" s="174" t="s">
        <v>437</v>
      </c>
      <c r="AK130" s="150"/>
      <c r="AL130" s="150"/>
      <c r="AM130" s="150"/>
      <c r="AN130" s="150"/>
      <c r="AO130" s="150">
        <f t="shared" si="315"/>
        <v>1</v>
      </c>
      <c r="AP130" s="150" t="s">
        <v>113</v>
      </c>
      <c r="AQ130" s="150" t="s">
        <v>594</v>
      </c>
      <c r="AR130" s="154" t="s">
        <v>596</v>
      </c>
      <c r="AS130" s="154" t="s">
        <v>594</v>
      </c>
      <c r="AT130" s="154" t="s">
        <v>594</v>
      </c>
      <c r="AX130" s="150"/>
      <c r="AY130" s="150"/>
      <c r="AZ130" s="150"/>
      <c r="BA130" s="150"/>
      <c r="BB130" s="150"/>
      <c r="BC130" s="150"/>
      <c r="BD130" s="150"/>
      <c r="BE130" s="150"/>
      <c r="BF130" s="150"/>
      <c r="BG130" s="150"/>
      <c r="BH130" s="150"/>
      <c r="BI130" s="150"/>
      <c r="BJ130" s="150"/>
      <c r="BK130" s="150"/>
      <c r="BL130" s="150"/>
      <c r="BM130" s="150"/>
      <c r="BN130" s="150"/>
      <c r="BO130" s="150"/>
      <c r="BP130" s="150"/>
      <c r="BQ130" s="150"/>
      <c r="BR130" s="150"/>
      <c r="BS130" s="150"/>
      <c r="BT130" s="150"/>
      <c r="BU130" s="150"/>
      <c r="BV130" s="150"/>
      <c r="BW130" s="150"/>
      <c r="BX130" s="150"/>
      <c r="BY130" s="150"/>
      <c r="BZ130" s="150"/>
      <c r="CA130" s="150"/>
      <c r="CB130" s="150"/>
      <c r="CC130" s="150"/>
      <c r="CD130" s="150"/>
      <c r="CE130" s="150"/>
      <c r="CF130" s="150"/>
      <c r="CG130" s="150"/>
      <c r="CH130" s="150"/>
      <c r="CI130" s="150"/>
      <c r="CJ130" s="150"/>
      <c r="CK130" s="150"/>
      <c r="CL130" s="150"/>
      <c r="CM130" s="150"/>
      <c r="CN130" s="150"/>
      <c r="CO130" s="150"/>
      <c r="CP130" s="150"/>
      <c r="CQ130" s="150"/>
      <c r="CR130" s="150"/>
      <c r="CS130" s="150"/>
      <c r="CT130" s="150"/>
      <c r="CU130" s="150"/>
      <c r="CV130" s="150"/>
      <c r="CW130" s="150"/>
      <c r="CX130" s="150"/>
      <c r="CY130" s="150"/>
      <c r="CZ130" s="150"/>
      <c r="DA130" s="150"/>
      <c r="DB130" s="150"/>
      <c r="DC130" s="150"/>
      <c r="DD130" s="150"/>
      <c r="DE130" s="150"/>
      <c r="DF130" s="150"/>
      <c r="DG130" s="150"/>
      <c r="DH130" s="150"/>
      <c r="DI130" s="150"/>
      <c r="DJ130" s="150"/>
      <c r="DK130" s="150"/>
      <c r="DL130" s="150"/>
      <c r="DM130" s="150"/>
      <c r="DN130" s="150"/>
      <c r="DO130" s="150"/>
      <c r="DP130" s="150"/>
      <c r="DQ130" s="181"/>
      <c r="DR130" s="181">
        <v>66</v>
      </c>
      <c r="DS130" s="181"/>
      <c r="DT130" s="150"/>
      <c r="DU130" s="150"/>
      <c r="DV130" s="150"/>
      <c r="DW130" s="150"/>
      <c r="DX130" s="150"/>
      <c r="DY130" s="150"/>
      <c r="DZ130" s="150"/>
      <c r="EA130" s="150"/>
      <c r="EB130" s="150"/>
      <c r="EC130" s="150"/>
      <c r="ED130" s="150"/>
      <c r="EE130" s="150"/>
      <c r="EF130" s="150"/>
      <c r="EG130" s="150"/>
      <c r="EH130" s="150"/>
      <c r="EI130" s="150"/>
      <c r="EJ130" s="155"/>
      <c r="EK130" s="150"/>
      <c r="EL130" s="150"/>
      <c r="EM130" s="150"/>
      <c r="EN130" s="150"/>
      <c r="EO130" s="150"/>
      <c r="EP130" s="150"/>
      <c r="EQ130" s="150"/>
      <c r="ER130" s="150"/>
      <c r="ES130" s="150"/>
      <c r="ET130" s="150"/>
      <c r="EU130" s="150"/>
      <c r="EV130" s="150"/>
      <c r="EW130" s="150"/>
      <c r="EX130" s="150"/>
      <c r="EY130" s="150"/>
      <c r="EZ130" s="150"/>
      <c r="FA130" s="150"/>
      <c r="FB130" s="150"/>
      <c r="FC130" s="150"/>
      <c r="FD130" s="150"/>
      <c r="FE130" s="150"/>
      <c r="FF130" s="150"/>
      <c r="FG130" s="150"/>
      <c r="FH130" s="150"/>
      <c r="FI130" s="150"/>
      <c r="FJ130" s="150"/>
      <c r="FK130" s="150"/>
      <c r="FL130" s="150"/>
      <c r="FM130" s="150"/>
      <c r="FN130" s="150"/>
      <c r="FO130" s="150"/>
      <c r="FP130" s="150"/>
      <c r="FQ130" s="150"/>
      <c r="FR130" s="150"/>
      <c r="FS130" s="150"/>
      <c r="FT130" s="150"/>
      <c r="FU130" s="150"/>
      <c r="FV130" s="150"/>
      <c r="FW130" s="150"/>
      <c r="FX130" s="150"/>
      <c r="FY130" s="150"/>
      <c r="FZ130" s="150"/>
      <c r="GA130" s="150"/>
      <c r="GB130" s="150"/>
      <c r="GC130" s="150"/>
      <c r="GD130" s="150"/>
      <c r="GE130" s="150"/>
      <c r="GF130" s="150"/>
      <c r="GG130" s="150"/>
      <c r="GH130" s="150"/>
      <c r="GI130" s="150"/>
      <c r="GJ130" s="150"/>
      <c r="GK130" s="150"/>
      <c r="GL130" s="150"/>
      <c r="GM130" s="150"/>
      <c r="GN130" s="150"/>
      <c r="GO130" s="150"/>
      <c r="GP130" s="150"/>
      <c r="GQ130" s="150"/>
      <c r="GR130" s="150"/>
      <c r="GS130" s="150"/>
      <c r="GT130" s="150"/>
      <c r="GU130" s="150"/>
      <c r="GV130" s="150"/>
      <c r="GW130" s="150"/>
      <c r="GX130" s="150"/>
      <c r="GY130" s="150"/>
      <c r="GZ130" s="150"/>
      <c r="HA130" s="150"/>
      <c r="HB130" s="150"/>
      <c r="HC130" s="150"/>
      <c r="HD130" s="150"/>
      <c r="HE130" s="150"/>
      <c r="HF130" s="150"/>
      <c r="HG130" s="150"/>
      <c r="HH130" s="150"/>
      <c r="HS130" s="154" t="s">
        <v>700</v>
      </c>
      <c r="HT130" s="154">
        <v>0</v>
      </c>
      <c r="HU130" s="150">
        <f t="shared" ref="HU130:IQ130" si="324">HU103/4*6</f>
        <v>0</v>
      </c>
      <c r="HV130" s="150">
        <f t="shared" si="324"/>
        <v>0</v>
      </c>
      <c r="HW130" s="150">
        <f t="shared" si="324"/>
        <v>6</v>
      </c>
      <c r="HX130" s="150">
        <f t="shared" si="324"/>
        <v>6</v>
      </c>
      <c r="HY130" s="150">
        <f t="shared" si="324"/>
        <v>12</v>
      </c>
      <c r="HZ130" s="150">
        <f t="shared" si="324"/>
        <v>12</v>
      </c>
      <c r="IA130" s="150">
        <f t="shared" si="324"/>
        <v>12</v>
      </c>
      <c r="IB130" s="150">
        <f t="shared" si="324"/>
        <v>18</v>
      </c>
      <c r="IC130" s="150">
        <f t="shared" si="324"/>
        <v>18</v>
      </c>
      <c r="ID130" s="150">
        <f t="shared" si="324"/>
        <v>18</v>
      </c>
      <c r="IE130" s="150">
        <f t="shared" si="324"/>
        <v>24</v>
      </c>
      <c r="IF130" s="150">
        <f t="shared" si="324"/>
        <v>24</v>
      </c>
      <c r="IG130" s="150">
        <f t="shared" si="324"/>
        <v>24</v>
      </c>
      <c r="IH130" s="150">
        <f t="shared" si="324"/>
        <v>30</v>
      </c>
      <c r="II130" s="150">
        <f t="shared" si="324"/>
        <v>30</v>
      </c>
      <c r="IJ130" s="150">
        <f t="shared" si="324"/>
        <v>30</v>
      </c>
      <c r="IK130" s="150">
        <f t="shared" si="324"/>
        <v>36</v>
      </c>
      <c r="IL130" s="150">
        <f t="shared" si="324"/>
        <v>36</v>
      </c>
      <c r="IM130" s="150">
        <f t="shared" si="324"/>
        <v>36</v>
      </c>
      <c r="IN130" s="150">
        <f t="shared" si="324"/>
        <v>42</v>
      </c>
      <c r="IO130" s="150">
        <f t="shared" si="324"/>
        <v>42</v>
      </c>
      <c r="IP130" s="150">
        <f t="shared" si="324"/>
        <v>42</v>
      </c>
      <c r="IQ130" s="150">
        <f t="shared" si="324"/>
        <v>48</v>
      </c>
      <c r="IR130" s="157"/>
    </row>
    <row r="131" spans="1:252" ht="15.75" thickBot="1" x14ac:dyDescent="0.3">
      <c r="A131" s="8"/>
      <c r="B131" s="5" t="s">
        <v>116</v>
      </c>
      <c r="C131" s="8"/>
      <c r="D131" s="6" t="s">
        <v>118</v>
      </c>
      <c r="E131" s="8" t="s">
        <v>137</v>
      </c>
      <c r="F131" s="5" t="s">
        <v>116</v>
      </c>
      <c r="G131" s="8" t="s">
        <v>767</v>
      </c>
      <c r="H131" s="5" t="s">
        <v>116</v>
      </c>
      <c r="I131" s="8">
        <v>40</v>
      </c>
      <c r="J131" s="5" t="s">
        <v>119</v>
      </c>
      <c r="K131" s="9"/>
      <c r="L131" s="7" t="str">
        <f>IF(E133=$AC$5,"-------",IF(E133=$AC$6,"-------",IF(E133=$AC$7,"-------",IF(E133=$AC$8,IF(E141=$DS$10,"GSW76X1600N",IF(E141=$DS$11,"GSW76X2200N","")),0))))</f>
        <v>-------</v>
      </c>
      <c r="M131" s="11" t="str">
        <f>INDEX(cennik!$C$2:$L$529,MATCH($L131,cennik!$B$2:$B$522,0),MATCH(M$2,cennik!$C$1:$L$1,0))</f>
        <v>-------</v>
      </c>
      <c r="N131" s="11">
        <f>INDEX(cennik!$C$2:$L$529,MATCH($L131,cennik!$B$2:$B$522,0),MATCH(N$2,cennik!$C$1:$L$1,0))</f>
        <v>0</v>
      </c>
      <c r="O131" s="11">
        <f>IF(L131="-------",0,SUM(O133:O134))</f>
        <v>0</v>
      </c>
      <c r="P131" s="34">
        <f>INDEX(cennik!$C$2:$L$529,MATCH($L131,cennik!$B$2:$B$522,0),MATCH(P$2,cennik!$C$1:$L$1,0))</f>
        <v>0</v>
      </c>
      <c r="Q131" s="34">
        <f>O131*P131</f>
        <v>0</v>
      </c>
      <c r="R131" s="35">
        <f>$E$71</f>
        <v>0</v>
      </c>
      <c r="S131" s="34">
        <f t="shared" ref="S131:S156" si="325">P131*((100-$E$135)/100)</f>
        <v>0</v>
      </c>
      <c r="T131" s="34">
        <f>O131*S131</f>
        <v>0</v>
      </c>
      <c r="U131" s="34">
        <f>INDEX(cennik!$C$2:$L$529,MATCH($L131,cennik!$B$2:$B$522,0),MATCH(U$2,cennik!$C$1:$L$1,0))*O131</f>
        <v>0</v>
      </c>
      <c r="V131" s="62"/>
      <c r="W131" s="170">
        <f>(INDEX(($EL$112:$FI$115,$EL$118:$FI$121,$FL$112:$GI$115,$FL$118:$GI$121,$GS$112:$HP$116,$GS$119:$HP$123,$HT$112:$IQ$116,$HT$119:$IQ$123,$HT$126:$IQ$130),MATCH($L$145,$EK$112:$EK$115,0),MATCH(A137,$EL$111:$FI$111,0),MATCH($G$131,$AE$24:$AE$32,0)))*C137</f>
        <v>0</v>
      </c>
      <c r="X131" s="170">
        <f>(INDEX(($EL$112:$FI$115,$EL$118:$FI$121,$FL$112:$GI$115,$FL$118:$GI$121,$GS$112:$HP$116,$GS$119:$HP$123,$HT$112:$IQ$116,$HT$119:$IQ$123,$HT$126:$IQ$130),MATCH($L$142,$EK$112:$EK$115,0),MATCH(A137,$EL$111:$FI$111,0),MATCH($G$131,$AE$24:$AE$32,0)))*C137</f>
        <v>0</v>
      </c>
      <c r="Y131" s="170">
        <f>(INDEX(($EL$112:$FI$115,$EL$118:$FI$121,$FL$112:$GI$115,$FL$118:$GI$121,$GS$112:$HP$116,$GS$119:$HP$123,$HT$112:$IQ$116,$HT$119:$IQ$123,$HT$126:$IQ$130),MATCH($L$143,$EK$112:$EK$115,0),MATCH(A137,$EL$111:$FI$111,0),MATCH($G$131,$AE$24:$AE$32,0)))*C137</f>
        <v>0</v>
      </c>
      <c r="Z131" s="170">
        <f>(INDEX(($EL$112:$FI$115,$EL$118:$FI$121,$FL$112:$GI$115,$FL$118:$GI$121,$GS$112:$HP$116,$GS$119:$HP$123,$HT$112:$IQ$116,$HT$119:$IQ$123,$HT$126:$IQ$130),MATCH($L$144,$EK$112:$EK$115,0),MATCH(A137,$EL$111:$FI$111,0),MATCH($G$131,$AE$24:$AE$32,0)))*C137</f>
        <v>0</v>
      </c>
      <c r="AA131" s="150">
        <f t="shared" si="313"/>
        <v>0</v>
      </c>
      <c r="AB131" s="150">
        <f t="shared" si="314"/>
        <v>0</v>
      </c>
      <c r="AC131" s="150"/>
      <c r="AD131" s="150"/>
      <c r="AE131" s="150"/>
      <c r="AF131" s="150"/>
      <c r="AG131" s="150"/>
      <c r="AH131" s="150"/>
      <c r="AI131" s="154" t="s">
        <v>717</v>
      </c>
      <c r="AJ131" s="154" t="s">
        <v>1157</v>
      </c>
      <c r="AK131" s="150">
        <v>2</v>
      </c>
      <c r="AL131" s="150" t="s">
        <v>1022</v>
      </c>
      <c r="AM131" s="150">
        <v>4</v>
      </c>
      <c r="AN131" s="150">
        <v>5</v>
      </c>
      <c r="AO131" s="150">
        <f t="shared" si="315"/>
        <v>1</v>
      </c>
      <c r="AP131" s="150" t="s">
        <v>137</v>
      </c>
      <c r="AQ131" s="150" t="s">
        <v>594</v>
      </c>
      <c r="AR131" s="154" t="s">
        <v>596</v>
      </c>
      <c r="AS131" s="154" t="s">
        <v>594</v>
      </c>
      <c r="AT131" s="154" t="s">
        <v>594</v>
      </c>
      <c r="AX131" s="150"/>
      <c r="AY131" s="150"/>
      <c r="AZ131" s="150"/>
      <c r="BA131" s="150"/>
      <c r="BB131" s="150"/>
      <c r="BC131" s="150"/>
      <c r="BD131" s="150"/>
      <c r="BE131" s="150"/>
      <c r="BF131" s="150"/>
      <c r="BG131" s="150"/>
      <c r="BH131" s="150"/>
      <c r="BI131" s="150"/>
      <c r="BJ131" s="150"/>
      <c r="BK131" s="150"/>
      <c r="BL131" s="150"/>
      <c r="BM131" s="150"/>
      <c r="BN131" s="150"/>
      <c r="BO131" s="150"/>
      <c r="BP131" s="150"/>
      <c r="BQ131" s="150"/>
      <c r="BR131" s="150"/>
      <c r="BS131" s="150"/>
      <c r="BT131" s="150"/>
      <c r="BU131" s="150"/>
      <c r="BV131" s="150"/>
      <c r="BW131" s="150"/>
      <c r="BX131" s="150"/>
      <c r="BY131" s="150"/>
      <c r="BZ131" s="150"/>
      <c r="CA131" s="150"/>
      <c r="CB131" s="150"/>
      <c r="CC131" s="150"/>
      <c r="CD131" s="150"/>
      <c r="CE131" s="150"/>
      <c r="CF131" s="150"/>
      <c r="CG131" s="150"/>
      <c r="CH131" s="150"/>
      <c r="CI131" s="150"/>
      <c r="CJ131" s="150"/>
      <c r="CK131" s="150"/>
      <c r="CL131" s="150"/>
      <c r="CM131" s="150"/>
      <c r="CN131" s="150"/>
      <c r="CO131" s="150"/>
      <c r="CP131" s="150"/>
      <c r="CQ131" s="150"/>
      <c r="CR131" s="150"/>
      <c r="CS131" s="150"/>
      <c r="CT131" s="150"/>
      <c r="CU131" s="150"/>
      <c r="CV131" s="150"/>
      <c r="CW131" s="150"/>
      <c r="CX131" s="150"/>
      <c r="CY131" s="150"/>
      <c r="CZ131" s="150"/>
      <c r="DA131" s="150"/>
      <c r="DB131" s="150"/>
      <c r="DC131" s="150"/>
      <c r="DD131" s="150"/>
      <c r="DE131" s="150"/>
      <c r="DF131" s="150"/>
      <c r="DG131" s="150"/>
      <c r="DH131" s="150"/>
      <c r="DI131" s="150"/>
      <c r="DJ131" s="150"/>
      <c r="DK131" s="150"/>
      <c r="DL131" s="150"/>
      <c r="DM131" s="150"/>
      <c r="DN131" s="150"/>
      <c r="DO131" s="150"/>
      <c r="DP131" s="150"/>
      <c r="DQ131" s="181"/>
      <c r="DR131" s="181">
        <v>69</v>
      </c>
      <c r="DS131" s="181"/>
      <c r="DT131" s="150"/>
      <c r="DU131" s="150"/>
      <c r="DV131" s="150"/>
      <c r="DW131" s="150"/>
      <c r="DX131" s="150"/>
      <c r="DY131" s="150"/>
      <c r="DZ131" s="150"/>
      <c r="EA131" s="150"/>
      <c r="EB131" s="150"/>
      <c r="EC131" s="150"/>
      <c r="ED131" s="150"/>
      <c r="EE131" s="150"/>
      <c r="EF131" s="150"/>
      <c r="EG131" s="150"/>
      <c r="EH131" s="150"/>
      <c r="EI131" s="150"/>
      <c r="EJ131" s="159"/>
      <c r="EK131" s="160"/>
      <c r="EL131" s="160"/>
      <c r="EM131" s="160"/>
      <c r="EN131" s="160"/>
      <c r="EO131" s="160"/>
      <c r="EP131" s="160"/>
      <c r="EQ131" s="160"/>
      <c r="ER131" s="160"/>
      <c r="ES131" s="160"/>
      <c r="ET131" s="160"/>
      <c r="EU131" s="160"/>
      <c r="EV131" s="160"/>
      <c r="EW131" s="160"/>
      <c r="EX131" s="160"/>
      <c r="EY131" s="160"/>
      <c r="EZ131" s="160"/>
      <c r="FA131" s="160"/>
      <c r="FB131" s="160"/>
      <c r="FC131" s="160"/>
      <c r="FD131" s="160"/>
      <c r="FE131" s="160"/>
      <c r="FF131" s="160"/>
      <c r="FG131" s="160"/>
      <c r="FH131" s="160"/>
      <c r="FI131" s="160"/>
      <c r="FJ131" s="160"/>
      <c r="FK131" s="160"/>
      <c r="FL131" s="160"/>
      <c r="FM131" s="160"/>
      <c r="FN131" s="160"/>
      <c r="FO131" s="160"/>
      <c r="FP131" s="160"/>
      <c r="FQ131" s="160"/>
      <c r="FR131" s="160"/>
      <c r="FS131" s="160"/>
      <c r="FT131" s="160"/>
      <c r="FU131" s="160"/>
      <c r="FV131" s="160"/>
      <c r="FW131" s="160"/>
      <c r="FX131" s="160"/>
      <c r="FY131" s="160"/>
      <c r="FZ131" s="160"/>
      <c r="GA131" s="160"/>
      <c r="GB131" s="160"/>
      <c r="GC131" s="160"/>
      <c r="GD131" s="160"/>
      <c r="GE131" s="160"/>
      <c r="GF131" s="160"/>
      <c r="GG131" s="160"/>
      <c r="GH131" s="160"/>
      <c r="GI131" s="160"/>
      <c r="GJ131" s="160"/>
      <c r="GK131" s="160"/>
      <c r="GL131" s="160"/>
      <c r="GM131" s="160"/>
      <c r="GN131" s="160"/>
      <c r="GO131" s="160"/>
      <c r="GP131" s="160"/>
      <c r="GQ131" s="160"/>
      <c r="GR131" s="160"/>
      <c r="GS131" s="160"/>
      <c r="GT131" s="160"/>
      <c r="GU131" s="160"/>
      <c r="GV131" s="160"/>
      <c r="GW131" s="160"/>
      <c r="GX131" s="160"/>
      <c r="GY131" s="160"/>
      <c r="GZ131" s="160"/>
      <c r="HA131" s="160"/>
      <c r="HB131" s="160"/>
      <c r="HC131" s="160"/>
      <c r="HD131" s="160"/>
      <c r="HE131" s="160"/>
      <c r="HF131" s="160"/>
      <c r="HG131" s="160"/>
      <c r="HH131" s="160"/>
      <c r="HI131" s="164"/>
      <c r="HJ131" s="164"/>
      <c r="HK131" s="164"/>
      <c r="HL131" s="164"/>
      <c r="HM131" s="164"/>
      <c r="HN131" s="164"/>
      <c r="HO131" s="164"/>
      <c r="HP131" s="164"/>
      <c r="HQ131" s="164"/>
      <c r="HR131" s="164"/>
      <c r="HS131" s="164"/>
      <c r="HT131" s="164"/>
      <c r="HU131" s="164"/>
      <c r="HV131" s="164"/>
      <c r="HW131" s="164"/>
      <c r="HX131" s="164"/>
      <c r="HY131" s="164"/>
      <c r="HZ131" s="164"/>
      <c r="IA131" s="164"/>
      <c r="IB131" s="164"/>
      <c r="IC131" s="164"/>
      <c r="ID131" s="164"/>
      <c r="IE131" s="164"/>
      <c r="IF131" s="164"/>
      <c r="IG131" s="164"/>
      <c r="IH131" s="164"/>
      <c r="II131" s="164"/>
      <c r="IJ131" s="164"/>
      <c r="IK131" s="164"/>
      <c r="IL131" s="164"/>
      <c r="IM131" s="164"/>
      <c r="IN131" s="164"/>
      <c r="IO131" s="164"/>
      <c r="IP131" s="164"/>
      <c r="IQ131" s="164"/>
      <c r="IR131" s="165"/>
    </row>
    <row r="132" spans="1:252" x14ac:dyDescent="0.25">
      <c r="A132" s="8"/>
      <c r="B132" s="5" t="s">
        <v>116</v>
      </c>
      <c r="C132" s="8"/>
      <c r="D132" s="6" t="s">
        <v>124</v>
      </c>
      <c r="E132" s="8" t="s">
        <v>125</v>
      </c>
      <c r="F132" s="5"/>
      <c r="G132" s="5"/>
      <c r="H132" s="5"/>
      <c r="I132" s="5"/>
      <c r="J132" s="5"/>
      <c r="K132" s="9"/>
      <c r="L132" s="7" t="str">
        <f>IF(E133=$AC$5,"-------",IF(E133=$AC$6,"-------",IF(E133=$AC$7,"PCB70",IF(E133=$AC$8,"PCS70",0))))</f>
        <v>-------</v>
      </c>
      <c r="M132" s="11" t="str">
        <f>INDEX(cennik!$C$2:$L$529,MATCH($L132,cennik!$B$2:$B$522,0),MATCH(M$2,cennik!$C$1:$L$1,0))</f>
        <v>-------</v>
      </c>
      <c r="N132" s="11">
        <f>INDEX(cennik!$C$2:$L$529,MATCH($L132,cennik!$B$2:$B$522,0),MATCH(N$2,cennik!$C$1:$L$1,0))</f>
        <v>0</v>
      </c>
      <c r="O132" s="11">
        <f>IF(E133=AC7,SUM(O133:O134),IF(E133=AC8,SUM(O133:O134),IF(E133=AC5,0,IF(E133=AC6,0,0))))</f>
        <v>0</v>
      </c>
      <c r="P132" s="34">
        <f>INDEX(cennik!$C$2:$L$529,MATCH($L132,cennik!$B$2:$B$522,0),MATCH(P$2,cennik!$C$1:$L$1,0))</f>
        <v>0</v>
      </c>
      <c r="Q132" s="34">
        <f>O132*P132</f>
        <v>0</v>
      </c>
      <c r="R132" s="35">
        <f>$E$71</f>
        <v>0</v>
      </c>
      <c r="S132" s="34">
        <f t="shared" si="325"/>
        <v>0</v>
      </c>
      <c r="T132" s="34">
        <f>O132*S132</f>
        <v>0</v>
      </c>
      <c r="U132" s="34">
        <f>INDEX(cennik!$C$2:$L$529,MATCH($L132,cennik!$B$2:$B$522,0),MATCH(U$2,cennik!$C$1:$L$1,0))*O132</f>
        <v>0</v>
      </c>
      <c r="V132" s="62"/>
      <c r="W132" s="170">
        <f>(INDEX(($EL$112:$FI$115,$EL$118:$FI$121,$FL$112:$GI$115,$FL$118:$GI$121,$GS$112:$HP$116,$GS$119:$HP$123,$HT$112:$IQ$116,$HT$119:$IQ$123,$HT$126:$IQ$130),MATCH($L$145,$EK$112:$EK$115,0),MATCH(A138,$EL$111:$FI$111,0),MATCH($G$131,$AE$24:$AE$32,0)))*C138</f>
        <v>0</v>
      </c>
      <c r="X132" s="170">
        <f>(INDEX(($EL$112:$FI$115,$EL$118:$FI$121,$FL$112:$GI$115,$FL$118:$GI$121,$GS$112:$HP$116,$GS$119:$HP$123,$HT$112:$IQ$116,$HT$119:$IQ$123,$HT$126:$IQ$130),MATCH($L$142,$EK$112:$EK$115,0),MATCH(A138,$EL$111:$FI$111,0),MATCH($G$131,$AE$24:$AE$32,0)))*C138</f>
        <v>0</v>
      </c>
      <c r="Y132" s="170">
        <f>(INDEX(($EL$112:$FI$115,$EL$118:$FI$121,$FL$112:$GI$115,$FL$118:$GI$121,$GS$112:$HP$116,$GS$119:$HP$123,$HT$112:$IQ$116,$HT$119:$IQ$123,$HT$126:$IQ$130),MATCH($L$143,$EK$112:$EK$115,0),MATCH(A138,$EL$111:$FI$111,0),MATCH($G$131,$AE$24:$AE$32,0)))*C138</f>
        <v>0</v>
      </c>
      <c r="Z132" s="170">
        <f>(INDEX(($EL$112:$FI$115,$EL$118:$FI$121,$FL$112:$GI$115,$FL$118:$GI$121,$GS$112:$HP$116,$GS$119:$HP$123,$HT$112:$IQ$116,$HT$119:$IQ$123,$HT$126:$IQ$130),MATCH($L$144,$EK$112:$EK$115,0),MATCH(A138,$EL$111:$FI$111,0),MATCH($G$131,$AE$24:$AE$32,0)))*C138</f>
        <v>0</v>
      </c>
      <c r="AA132" s="150">
        <f t="shared" si="313"/>
        <v>0</v>
      </c>
      <c r="AB132" s="150">
        <f t="shared" si="314"/>
        <v>0</v>
      </c>
      <c r="AC132" s="150"/>
      <c r="AD132" s="150"/>
      <c r="AE132" s="150"/>
      <c r="AF132" s="150"/>
      <c r="AG132" s="150"/>
      <c r="AH132" s="150"/>
      <c r="AI132" s="154">
        <v>1</v>
      </c>
      <c r="AJ132" s="154">
        <v>2900</v>
      </c>
      <c r="AK132" s="150">
        <v>2900</v>
      </c>
      <c r="AL132" s="150">
        <v>2700</v>
      </c>
      <c r="AM132" s="150">
        <v>2700</v>
      </c>
      <c r="AN132" s="150" t="s">
        <v>719</v>
      </c>
      <c r="AO132" s="150">
        <f t="shared" si="315"/>
        <v>1</v>
      </c>
      <c r="AP132" s="150"/>
      <c r="AQ132" s="150"/>
      <c r="AX132" s="150"/>
      <c r="AY132" s="150"/>
      <c r="AZ132" s="150"/>
      <c r="BA132" s="150"/>
      <c r="BB132" s="150"/>
      <c r="BC132" s="150"/>
      <c r="BD132" s="150"/>
      <c r="BE132" s="150"/>
      <c r="BF132" s="150"/>
      <c r="BG132" s="150"/>
      <c r="BH132" s="150"/>
      <c r="BI132" s="150"/>
      <c r="BJ132" s="150"/>
      <c r="BK132" s="150"/>
      <c r="BL132" s="150"/>
      <c r="BM132" s="150"/>
      <c r="BN132" s="150"/>
      <c r="BO132" s="150"/>
      <c r="BP132" s="150"/>
      <c r="BQ132" s="150"/>
      <c r="BR132" s="150"/>
      <c r="BS132" s="150"/>
      <c r="BT132" s="150"/>
      <c r="BU132" s="150"/>
      <c r="BV132" s="150"/>
      <c r="BW132" s="150"/>
      <c r="BX132" s="150"/>
      <c r="BY132" s="150"/>
      <c r="BZ132" s="150"/>
      <c r="CA132" s="150"/>
      <c r="CB132" s="150"/>
      <c r="CC132" s="150"/>
      <c r="CD132" s="150"/>
      <c r="CE132" s="150"/>
      <c r="CF132" s="150"/>
      <c r="CG132" s="150"/>
      <c r="CH132" s="150"/>
      <c r="CI132" s="150"/>
      <c r="CJ132" s="150"/>
      <c r="CK132" s="150"/>
      <c r="CL132" s="150"/>
      <c r="CM132" s="150"/>
      <c r="CN132" s="150"/>
      <c r="CO132" s="150"/>
      <c r="CP132" s="150"/>
      <c r="CQ132" s="150"/>
      <c r="CR132" s="150"/>
      <c r="CS132" s="150"/>
      <c r="CT132" s="150"/>
      <c r="CU132" s="150"/>
      <c r="CV132" s="150"/>
      <c r="CW132" s="150"/>
      <c r="CX132" s="150"/>
      <c r="CY132" s="150"/>
      <c r="CZ132" s="150"/>
      <c r="DA132" s="150"/>
      <c r="DB132" s="150"/>
      <c r="DC132" s="150"/>
      <c r="DD132" s="150"/>
      <c r="DE132" s="150"/>
      <c r="DF132" s="150"/>
      <c r="DG132" s="150"/>
      <c r="DH132" s="150"/>
      <c r="DI132" s="150"/>
      <c r="DJ132" s="150"/>
      <c r="DK132" s="150"/>
      <c r="DL132" s="150"/>
      <c r="DM132" s="150"/>
      <c r="DN132" s="150"/>
      <c r="DO132" s="150"/>
      <c r="DP132" s="150"/>
      <c r="DQ132" s="181"/>
      <c r="DR132" s="181">
        <v>72</v>
      </c>
      <c r="DS132" s="181"/>
      <c r="DT132" s="150"/>
      <c r="DU132" s="150"/>
      <c r="DV132" s="150"/>
      <c r="DW132" s="150"/>
      <c r="DX132" s="150"/>
      <c r="DY132" s="150"/>
      <c r="DZ132" s="150"/>
      <c r="EA132" s="150"/>
      <c r="EB132" s="150"/>
      <c r="EC132" s="150"/>
      <c r="ED132" s="150"/>
      <c r="EE132" s="150"/>
      <c r="EF132" s="150"/>
      <c r="EG132" s="150"/>
      <c r="EH132" s="150"/>
      <c r="EI132" s="150"/>
      <c r="EJ132" s="150"/>
      <c r="EK132" s="150"/>
      <c r="EL132" s="150"/>
      <c r="EM132" s="150"/>
      <c r="EN132" s="150"/>
      <c r="EO132" s="150"/>
      <c r="EP132" s="150"/>
      <c r="EQ132" s="150"/>
      <c r="ER132" s="150"/>
      <c r="ES132" s="150"/>
      <c r="ET132" s="150"/>
      <c r="EU132" s="150"/>
      <c r="EV132" s="150"/>
      <c r="EW132" s="150"/>
      <c r="EX132" s="150"/>
      <c r="EY132" s="150"/>
      <c r="EZ132" s="150"/>
      <c r="FA132" s="150"/>
      <c r="FB132" s="150"/>
      <c r="FC132" s="150"/>
      <c r="FD132" s="150"/>
      <c r="FE132" s="150"/>
      <c r="FF132" s="150"/>
      <c r="FG132" s="150"/>
      <c r="FH132" s="150"/>
      <c r="FI132" s="150"/>
      <c r="FJ132" s="150"/>
      <c r="FK132" s="150"/>
      <c r="FL132" s="150"/>
      <c r="FM132" s="150"/>
      <c r="FN132" s="150"/>
      <c r="FO132" s="150"/>
      <c r="FP132" s="150"/>
      <c r="FQ132" s="150"/>
      <c r="FR132" s="150"/>
      <c r="FS132" s="150"/>
      <c r="FT132" s="150"/>
      <c r="FU132" s="150"/>
      <c r="FV132" s="150"/>
      <c r="FW132" s="150"/>
      <c r="FX132" s="150"/>
      <c r="FY132" s="150"/>
      <c r="FZ132" s="150"/>
      <c r="GA132" s="150"/>
      <c r="GB132" s="150"/>
      <c r="GC132" s="150"/>
      <c r="GD132" s="150"/>
      <c r="GE132" s="150"/>
      <c r="GF132" s="150"/>
      <c r="GG132" s="150"/>
      <c r="GH132" s="150"/>
      <c r="GI132" s="150"/>
      <c r="GJ132" s="150"/>
      <c r="GK132" s="150"/>
      <c r="GL132" s="150"/>
      <c r="GM132" s="150"/>
      <c r="GN132" s="150"/>
      <c r="GO132" s="150"/>
      <c r="GP132" s="150"/>
      <c r="GQ132" s="150"/>
      <c r="GR132" s="150"/>
      <c r="GS132" s="150"/>
      <c r="GT132" s="150"/>
      <c r="GU132" s="150"/>
      <c r="GV132" s="150"/>
      <c r="GW132" s="150"/>
      <c r="GX132" s="150"/>
      <c r="GY132" s="150"/>
      <c r="GZ132" s="150"/>
      <c r="HA132" s="150"/>
      <c r="HB132" s="150"/>
      <c r="HC132" s="150"/>
      <c r="HD132" s="150"/>
      <c r="HE132" s="150"/>
      <c r="HF132" s="150"/>
      <c r="HG132" s="150"/>
      <c r="HH132" s="150"/>
    </row>
    <row r="133" spans="1:252" ht="15.75" thickBot="1" x14ac:dyDescent="0.3">
      <c r="A133" s="8"/>
      <c r="B133" s="5" t="s">
        <v>116</v>
      </c>
      <c r="C133" s="8"/>
      <c r="D133" s="6" t="s">
        <v>307</v>
      </c>
      <c r="E133" s="8" t="s">
        <v>314</v>
      </c>
      <c r="F133" s="5"/>
      <c r="G133" s="5"/>
      <c r="H133" s="5"/>
      <c r="I133" s="5"/>
      <c r="J133" s="5"/>
      <c r="K133" s="9"/>
      <c r="L133" s="7" t="str">
        <f>IF(E133=$AC$5,"CWT70H50/3NMC",IF(E133=$AC$6,"CWT70H50/2NMC",IF(E133=$AC$7,"CWT70H50/1NMC",IF(E133=$AC$8,"CWT70H50/1NMC",0))))</f>
        <v>CWT70H50/3NMC</v>
      </c>
      <c r="M133" s="11">
        <f>INDEX(cennik!$C$2:$L$529,MATCH($L133,cennik!$B$2:$B$522,0),MATCH(M$2,cennik!$C$1:$L$1,0))</f>
        <v>867830</v>
      </c>
      <c r="N133" s="11" t="str">
        <f>INDEX(cennik!$C$2:$L$529,MATCH($L133,cennik!$B$2:$B$522,0),MATCH(N$2,cennik!$C$1:$L$1,0))</f>
        <v>szt.</v>
      </c>
      <c r="O133" s="11">
        <f>SUM(AB122:AB137)</f>
        <v>0</v>
      </c>
      <c r="P133" s="34">
        <f>INDEX(cennik!$C$2:$L$529,MATCH($L133,cennik!$B$2:$B$522,0),MATCH(P$2,cennik!$C$1:$L$1,0))</f>
        <v>151.83000000000001</v>
      </c>
      <c r="Q133" s="34">
        <f>O133*P133</f>
        <v>0</v>
      </c>
      <c r="R133" s="35">
        <f t="shared" ref="R133:R156" si="326">$E$135</f>
        <v>0</v>
      </c>
      <c r="S133" s="34">
        <f t="shared" si="325"/>
        <v>151.83000000000001</v>
      </c>
      <c r="T133" s="34">
        <f t="shared" ref="T133:T134" si="327">O133*S133</f>
        <v>0</v>
      </c>
      <c r="U133" s="34">
        <f>INDEX(cennik!$C$2:$L$529,MATCH($L133,cennik!$B$2:$B$522,0),MATCH(U$2,cennik!$C$1:$L$1,0))*O133</f>
        <v>0</v>
      </c>
      <c r="V133" s="62"/>
      <c r="W133" s="170">
        <f>(INDEX(($EL$112:$FI$115,$EL$118:$FI$121,$FL$112:$GI$115,$FL$118:$GI$121,$GS$112:$HP$116,$GS$119:$HP$123,$HT$112:$IQ$116,$HT$119:$IQ$123,$HT$126:$IQ$130),MATCH($L$145,$EK$112:$EK$115,0),MATCH(A139,$EL$111:$FI$111,0),MATCH($G$131,$AE$24:$AE$32,0)))*C139</f>
        <v>0</v>
      </c>
      <c r="X133" s="170">
        <f>(INDEX(($EL$112:$FI$115,$EL$118:$FI$121,$FL$112:$GI$115,$FL$118:$GI$121,$GS$112:$HP$116,$GS$119:$HP$123,$HT$112:$IQ$116,$HT$119:$IQ$123,$HT$126:$IQ$130),MATCH($L$142,$EK$112:$EK$115,0),MATCH(A139,$EL$111:$FI$111,0),MATCH($G$131,$AE$24:$AE$32,0)))*C139</f>
        <v>0</v>
      </c>
      <c r="Y133" s="170">
        <f>(INDEX(($EL$112:$FI$115,$EL$118:$FI$121,$FL$112:$GI$115,$FL$118:$GI$121,$GS$112:$HP$116,$GS$119:$HP$123,$HT$112:$IQ$116,$HT$119:$IQ$123,$HT$126:$IQ$130),MATCH($L$143,$EK$112:$EK$115,0),MATCH(A139,$EL$111:$FI$111,0),MATCH($G$131,$AE$24:$AE$32,0)))*C139</f>
        <v>0</v>
      </c>
      <c r="Z133" s="170">
        <f>(INDEX(($EL$112:$FI$115,$EL$118:$FI$121,$FL$112:$GI$115,$FL$118:$GI$121,$GS$112:$HP$116,$GS$119:$HP$123,$HT$112:$IQ$116,$HT$119:$IQ$123,$HT$126:$IQ$130),MATCH($L$144,$EK$112:$EK$115,0),MATCH(A139,$EL$111:$FI$111,0),MATCH($G$131,$AE$24:$AE$32,0)))*C139</f>
        <v>0</v>
      </c>
      <c r="AA133" s="150">
        <f t="shared" si="313"/>
        <v>0</v>
      </c>
      <c r="AB133" s="150">
        <f t="shared" si="314"/>
        <v>0</v>
      </c>
      <c r="AC133" s="150"/>
      <c r="AD133" s="150"/>
      <c r="AE133" s="150"/>
      <c r="AF133" s="150"/>
      <c r="AG133" s="150"/>
      <c r="AH133" s="150"/>
      <c r="AI133" s="154">
        <v>2</v>
      </c>
      <c r="AJ133" s="154" t="s">
        <v>719</v>
      </c>
      <c r="AK133" s="150">
        <v>2000</v>
      </c>
      <c r="AL133" s="150">
        <v>2000</v>
      </c>
      <c r="AM133" s="150" t="s">
        <v>719</v>
      </c>
      <c r="AN133" s="150" t="s">
        <v>719</v>
      </c>
      <c r="AO133" s="150">
        <f t="shared" si="315"/>
        <v>1</v>
      </c>
      <c r="AP133" s="167" t="s">
        <v>740</v>
      </c>
      <c r="AQ133" s="150"/>
      <c r="AX133" s="150"/>
      <c r="AY133" s="150"/>
      <c r="AZ133" s="150"/>
      <c r="BA133" s="150"/>
      <c r="BB133" s="150"/>
      <c r="BC133" s="150"/>
      <c r="BD133" s="150"/>
      <c r="BE133" s="150"/>
      <c r="BF133" s="150"/>
      <c r="BG133" s="150"/>
      <c r="BH133" s="150"/>
      <c r="BI133" s="150"/>
      <c r="BJ133" s="150"/>
      <c r="BK133" s="150"/>
      <c r="BL133" s="150"/>
      <c r="BM133" s="150"/>
      <c r="BN133" s="150"/>
      <c r="BO133" s="150"/>
      <c r="BP133" s="150"/>
      <c r="BQ133" s="150"/>
      <c r="BR133" s="150"/>
      <c r="BS133" s="150"/>
      <c r="BT133" s="150"/>
      <c r="BU133" s="150"/>
      <c r="BV133" s="150"/>
      <c r="BW133" s="150"/>
      <c r="BX133" s="150"/>
      <c r="BY133" s="150"/>
      <c r="BZ133" s="150"/>
      <c r="CA133" s="150"/>
      <c r="CB133" s="150"/>
      <c r="CC133" s="150"/>
      <c r="CD133" s="150"/>
      <c r="CE133" s="150"/>
      <c r="CF133" s="150"/>
      <c r="CG133" s="150"/>
      <c r="CH133" s="150"/>
      <c r="CI133" s="150"/>
      <c r="CJ133" s="150"/>
      <c r="CK133" s="150"/>
      <c r="CL133" s="150"/>
      <c r="CM133" s="150"/>
      <c r="CN133" s="150"/>
      <c r="CO133" s="150"/>
      <c r="CP133" s="150"/>
      <c r="CQ133" s="150"/>
      <c r="CR133" s="150"/>
      <c r="CS133" s="150"/>
      <c r="CT133" s="150"/>
      <c r="CU133" s="150"/>
      <c r="CV133" s="150"/>
      <c r="CW133" s="150"/>
      <c r="CX133" s="150"/>
      <c r="CY133" s="150"/>
      <c r="CZ133" s="150"/>
      <c r="DA133" s="150"/>
      <c r="DB133" s="150"/>
      <c r="DC133" s="150"/>
      <c r="DD133" s="150"/>
      <c r="DE133" s="150"/>
      <c r="DF133" s="150"/>
      <c r="DG133" s="150"/>
      <c r="DH133" s="150"/>
      <c r="DI133" s="150"/>
      <c r="DJ133" s="150"/>
      <c r="DK133" s="150"/>
      <c r="DL133" s="150"/>
      <c r="DM133" s="150"/>
      <c r="DN133" s="150"/>
      <c r="DO133" s="150"/>
      <c r="DP133" s="150"/>
      <c r="DQ133" s="181"/>
      <c r="DR133" s="181">
        <v>75</v>
      </c>
      <c r="DS133" s="181"/>
      <c r="DT133" s="150"/>
      <c r="DU133" s="150"/>
      <c r="DV133" s="150"/>
      <c r="DW133" s="150"/>
      <c r="DX133" s="150"/>
      <c r="DY133" s="150"/>
      <c r="DZ133" s="150"/>
      <c r="EA133" s="150"/>
      <c r="EB133" s="150"/>
      <c r="EC133" s="150"/>
      <c r="ED133" s="150"/>
      <c r="EE133" s="150"/>
      <c r="EF133" s="150"/>
      <c r="EG133" s="150"/>
      <c r="EH133" s="150"/>
      <c r="EI133" s="150"/>
      <c r="EJ133" s="150"/>
      <c r="EK133" s="150"/>
      <c r="EL133" s="150"/>
      <c r="EM133" s="150"/>
      <c r="EN133" s="150"/>
      <c r="EO133" s="150"/>
      <c r="EP133" s="150"/>
      <c r="EQ133" s="150"/>
      <c r="ER133" s="150"/>
      <c r="ES133" s="150"/>
      <c r="ET133" s="150"/>
      <c r="EU133" s="150"/>
      <c r="EV133" s="150"/>
      <c r="EW133" s="150"/>
      <c r="EX133" s="150"/>
      <c r="EY133" s="150"/>
      <c r="EZ133" s="150"/>
      <c r="FA133" s="150"/>
      <c r="FB133" s="150"/>
      <c r="FC133" s="150"/>
      <c r="FD133" s="150"/>
      <c r="FE133" s="150"/>
      <c r="FF133" s="150"/>
      <c r="FG133" s="150"/>
      <c r="FH133" s="150"/>
      <c r="FI133" s="150"/>
      <c r="FJ133" s="150"/>
      <c r="FK133" s="150"/>
      <c r="FL133" s="150"/>
      <c r="FM133" s="150"/>
      <c r="FN133" s="150"/>
      <c r="FO133" s="150"/>
      <c r="FP133" s="150"/>
      <c r="FQ133" s="150"/>
      <c r="FR133" s="150"/>
      <c r="FS133" s="150"/>
      <c r="FT133" s="150"/>
      <c r="FU133" s="150"/>
      <c r="FV133" s="150"/>
      <c r="FW133" s="150"/>
      <c r="FX133" s="150"/>
      <c r="FY133" s="150"/>
      <c r="FZ133" s="150"/>
      <c r="GA133" s="150"/>
      <c r="GB133" s="150"/>
      <c r="GC133" s="150"/>
      <c r="GD133" s="150"/>
      <c r="GE133" s="150"/>
      <c r="GF133" s="150"/>
      <c r="GG133" s="150"/>
      <c r="GH133" s="150"/>
      <c r="GI133" s="150"/>
      <c r="GJ133" s="150"/>
      <c r="GK133" s="150"/>
      <c r="GL133" s="150"/>
      <c r="GM133" s="150"/>
      <c r="GN133" s="150"/>
      <c r="GO133" s="150"/>
      <c r="GP133" s="150"/>
      <c r="GQ133" s="150"/>
      <c r="GR133" s="150"/>
      <c r="GS133" s="150"/>
      <c r="GT133" s="150"/>
      <c r="GU133" s="150"/>
      <c r="GV133" s="150"/>
      <c r="GW133" s="150"/>
      <c r="GX133" s="150"/>
      <c r="GY133" s="150"/>
      <c r="GZ133" s="150"/>
      <c r="HA133" s="150"/>
      <c r="HB133" s="150"/>
      <c r="HC133" s="150"/>
      <c r="HD133" s="150"/>
      <c r="HE133" s="150"/>
      <c r="HF133" s="150"/>
      <c r="HG133" s="150"/>
      <c r="HH133" s="150"/>
    </row>
    <row r="134" spans="1:252" x14ac:dyDescent="0.25">
      <c r="A134" s="8"/>
      <c r="B134" s="5" t="s">
        <v>116</v>
      </c>
      <c r="C134" s="8"/>
      <c r="D134" s="6" t="s">
        <v>315</v>
      </c>
      <c r="E134" s="8">
        <v>0</v>
      </c>
      <c r="F134" s="5"/>
      <c r="G134" s="5"/>
      <c r="H134" s="5"/>
      <c r="I134" s="5"/>
      <c r="J134" s="5" t="s">
        <v>412</v>
      </c>
      <c r="K134" s="9"/>
      <c r="L134" s="6" t="str">
        <f>INDEX((AQ123:AT131),MATCH(E131,AP123:AP131,0),MATCH(E133,AQ122:AT122,0))</f>
        <v>CWT70H50/3NMC</v>
      </c>
      <c r="M134" s="11">
        <f>INDEX(cennik!$C$2:$L$529,MATCH($L134,cennik!$B$2:$B$522,0),MATCH(M$2,cennik!$C$1:$L$1,0))</f>
        <v>867830</v>
      </c>
      <c r="N134" s="11" t="str">
        <f>INDEX(cennik!$C$2:$L$529,MATCH($L134,cennik!$B$2:$B$522,0),MATCH(N$2,cennik!$C$1:$L$1,0))</f>
        <v>szt.</v>
      </c>
      <c r="O134" s="11">
        <f>O133</f>
        <v>0</v>
      </c>
      <c r="P134" s="34">
        <f>INDEX(cennik!$C$2:$L$529,MATCH($L134,cennik!$B$2:$B$522,0),MATCH(P$2,cennik!$C$1:$L$1,0))</f>
        <v>151.83000000000001</v>
      </c>
      <c r="Q134" s="34">
        <f t="shared" ref="Q134" si="328">O134*P134</f>
        <v>0</v>
      </c>
      <c r="R134" s="35">
        <f t="shared" si="326"/>
        <v>0</v>
      </c>
      <c r="S134" s="34">
        <f t="shared" si="325"/>
        <v>151.83000000000001</v>
      </c>
      <c r="T134" s="34">
        <f t="shared" si="327"/>
        <v>0</v>
      </c>
      <c r="U134" s="34">
        <f>INDEX(cennik!$C$2:$L$529,MATCH($L134,cennik!$B$2:$B$522,0),MATCH(U$2,cennik!$C$1:$L$1,0))*O134</f>
        <v>0</v>
      </c>
      <c r="V134" s="62"/>
      <c r="W134" s="170">
        <f>(INDEX(($EL$112:$FI$115,$EL$118:$FI$121,$FL$112:$GI$115,$FL$118:$GI$121,$GS$112:$HP$116,$GS$119:$HP$123,$HT$112:$IQ$116,$HT$119:$IQ$123,$HT$126:$IQ$130),MATCH($L$145,$EK$112:$EK$115,0),MATCH(A140,$EL$111:$FI$111,0),MATCH($G$131,$AE$24:$AE$32,0)))*C140</f>
        <v>0</v>
      </c>
      <c r="X134" s="170">
        <f>(INDEX(($EL$112:$FI$115,$EL$118:$FI$121,$FL$112:$GI$115,$FL$118:$GI$121,$GS$112:$HP$116,$GS$119:$HP$123,$HT$112:$IQ$116,$HT$119:$IQ$123,$HT$126:$IQ$130),MATCH($L$142,$EK$112:$EK$115,0),MATCH(A140,$EL$111:$FI$111,0),MATCH($G$131,$AE$24:$AE$32,0)))*C140</f>
        <v>0</v>
      </c>
      <c r="Y134" s="170">
        <f>(INDEX(($EL$112:$FI$115,$EL$118:$FI$121,$FL$112:$GI$115,$FL$118:$GI$121,$GS$112:$HP$116,$GS$119:$HP$123,$HT$112:$IQ$116,$HT$119:$IQ$123,$HT$126:$IQ$130),MATCH($L$143,$EK$112:$EK$115,0),MATCH(A140,$EL$111:$FI$111,0),MATCH($G$131,$AE$24:$AE$32,0)))*C140</f>
        <v>0</v>
      </c>
      <c r="Z134" s="170">
        <f>(INDEX(($EL$112:$FI$115,$EL$118:$FI$121,$FL$112:$GI$115,$FL$118:$GI$121,$GS$112:$HP$116,$GS$119:$HP$123,$HT$112:$IQ$116,$HT$119:$IQ$123,$HT$126:$IQ$130),MATCH($L$144,$EK$112:$EK$115,0),MATCH(A140,$EL$111:$FI$111,0),MATCH($G$131,$AE$24:$AE$32,0)))*C140</f>
        <v>0</v>
      </c>
      <c r="AA134" s="150">
        <f t="shared" si="313"/>
        <v>0</v>
      </c>
      <c r="AB134" s="150">
        <f t="shared" si="314"/>
        <v>0</v>
      </c>
      <c r="AC134" s="150"/>
      <c r="AD134" s="150"/>
      <c r="AE134" s="150"/>
      <c r="AF134" s="150"/>
      <c r="AG134" s="150"/>
      <c r="AH134" s="150"/>
      <c r="AI134" s="154" t="s">
        <v>725</v>
      </c>
      <c r="AJ134" s="154">
        <v>2700</v>
      </c>
      <c r="AK134" s="150" t="s">
        <v>719</v>
      </c>
      <c r="AL134" s="150">
        <v>2000</v>
      </c>
      <c r="AM134" s="150" t="s">
        <v>719</v>
      </c>
      <c r="AN134" s="150">
        <v>1000</v>
      </c>
      <c r="AO134" s="150">
        <f t="shared" si="315"/>
        <v>1</v>
      </c>
      <c r="AP134" s="150"/>
      <c r="AQ134" s="150" t="s">
        <v>314</v>
      </c>
      <c r="AR134" s="154" t="s">
        <v>312</v>
      </c>
      <c r="AS134" s="154" t="s">
        <v>309</v>
      </c>
      <c r="AT134" s="154" t="s">
        <v>313</v>
      </c>
      <c r="AU134" s="150"/>
      <c r="AV134" s="150"/>
      <c r="AW134" s="150"/>
      <c r="AX134" s="150"/>
      <c r="AY134" s="150"/>
      <c r="AZ134" s="150"/>
      <c r="BA134" s="150"/>
      <c r="BB134" s="150"/>
      <c r="BC134" s="150"/>
      <c r="BD134" s="150"/>
      <c r="BE134" s="150"/>
      <c r="BF134" s="150"/>
      <c r="BG134" s="150"/>
      <c r="BH134" s="150"/>
      <c r="BI134" s="150"/>
      <c r="BJ134" s="150"/>
      <c r="BK134" s="150"/>
      <c r="BL134" s="150"/>
      <c r="BM134" s="150"/>
      <c r="BN134" s="150"/>
      <c r="BO134" s="150"/>
      <c r="BP134" s="150"/>
      <c r="BQ134" s="150"/>
      <c r="BR134" s="150"/>
      <c r="BS134" s="150"/>
      <c r="BT134" s="150"/>
      <c r="BU134" s="150"/>
      <c r="BV134" s="150"/>
      <c r="BW134" s="150"/>
      <c r="BX134" s="150"/>
      <c r="BY134" s="150"/>
      <c r="BZ134" s="150"/>
      <c r="CA134" s="150"/>
      <c r="CB134" s="150"/>
      <c r="CC134" s="150"/>
      <c r="CD134" s="150"/>
      <c r="CE134" s="150"/>
      <c r="CF134" s="150"/>
      <c r="CG134" s="150"/>
      <c r="CH134" s="150"/>
      <c r="CI134" s="150"/>
      <c r="CJ134" s="150"/>
      <c r="CK134" s="150"/>
      <c r="CL134" s="150"/>
      <c r="CM134" s="150"/>
      <c r="CN134" s="150"/>
      <c r="CO134" s="150"/>
      <c r="CP134" s="150"/>
      <c r="CQ134" s="150"/>
      <c r="CR134" s="150"/>
      <c r="CS134" s="150"/>
      <c r="CT134" s="150"/>
      <c r="CU134" s="150"/>
      <c r="CV134" s="150"/>
      <c r="CW134" s="150"/>
      <c r="CX134" s="150"/>
      <c r="CY134" s="150"/>
      <c r="CZ134" s="150"/>
      <c r="DA134" s="150"/>
      <c r="DB134" s="150"/>
      <c r="DC134" s="150"/>
      <c r="DD134" s="150"/>
      <c r="DE134" s="150"/>
      <c r="DF134" s="150"/>
      <c r="DG134" s="150"/>
      <c r="DH134" s="150"/>
      <c r="DI134" s="150"/>
      <c r="DJ134" s="150"/>
      <c r="DK134" s="150"/>
      <c r="DL134" s="150"/>
      <c r="DM134" s="150"/>
      <c r="DN134" s="150"/>
      <c r="DO134" s="150"/>
      <c r="DP134" s="150"/>
      <c r="DQ134" s="181"/>
      <c r="DR134" s="181"/>
      <c r="DS134" s="181"/>
      <c r="DT134" s="150"/>
      <c r="DU134" s="150"/>
      <c r="DV134" s="150"/>
      <c r="DW134" s="150"/>
      <c r="DX134" s="150"/>
      <c r="DY134" s="150"/>
      <c r="DZ134" s="150"/>
      <c r="EA134" s="150"/>
      <c r="EB134" s="150"/>
      <c r="EC134" s="150"/>
      <c r="ED134" s="150"/>
      <c r="EE134" s="150"/>
      <c r="EF134" s="150"/>
      <c r="EG134" s="150"/>
      <c r="EH134" s="150"/>
      <c r="EI134" s="151"/>
      <c r="EJ134" s="152"/>
      <c r="EK134" s="152"/>
      <c r="EL134" s="152"/>
      <c r="EM134" s="152"/>
      <c r="EN134" s="152"/>
      <c r="EO134" s="152"/>
      <c r="EP134" s="152"/>
      <c r="EQ134" s="152"/>
      <c r="ER134" s="152"/>
      <c r="ES134" s="152"/>
      <c r="ET134" s="152"/>
      <c r="EU134" s="152"/>
      <c r="EV134" s="152"/>
      <c r="EW134" s="152"/>
      <c r="EX134" s="152"/>
      <c r="EY134" s="152"/>
      <c r="EZ134" s="152"/>
      <c r="FA134" s="152"/>
      <c r="FB134" s="152"/>
      <c r="FC134" s="152"/>
      <c r="FD134" s="152"/>
      <c r="FE134" s="152"/>
      <c r="FF134" s="152"/>
      <c r="FG134" s="152"/>
      <c r="FH134" s="152"/>
      <c r="FI134" s="152"/>
      <c r="FJ134" s="152"/>
      <c r="FK134" s="152"/>
      <c r="FL134" s="152"/>
      <c r="FM134" s="152"/>
      <c r="FN134" s="152"/>
      <c r="FO134" s="152"/>
      <c r="FP134" s="152"/>
      <c r="FQ134" s="152"/>
      <c r="FR134" s="152"/>
      <c r="FS134" s="152"/>
      <c r="FT134" s="152"/>
      <c r="FU134" s="152"/>
      <c r="FV134" s="152"/>
      <c r="FW134" s="152"/>
      <c r="FX134" s="152"/>
      <c r="FY134" s="152"/>
      <c r="FZ134" s="152"/>
      <c r="GA134" s="152"/>
      <c r="GB134" s="152"/>
      <c r="GC134" s="152"/>
      <c r="GD134" s="152"/>
      <c r="GE134" s="152"/>
      <c r="GF134" s="152"/>
      <c r="GG134" s="152"/>
      <c r="GH134" s="152"/>
      <c r="GI134" s="152"/>
      <c r="GJ134" s="152"/>
      <c r="GK134" s="152"/>
      <c r="GL134" s="153"/>
      <c r="GM134" s="150"/>
      <c r="GN134" s="150"/>
      <c r="GO134" s="150"/>
      <c r="GP134" s="150"/>
      <c r="GQ134" s="150"/>
      <c r="GR134" s="150"/>
      <c r="GS134" s="150"/>
      <c r="GT134" s="150"/>
      <c r="GU134" s="150"/>
      <c r="GV134" s="150"/>
      <c r="GW134" s="150"/>
      <c r="GX134" s="150"/>
      <c r="GY134" s="150"/>
      <c r="GZ134" s="150"/>
      <c r="HA134" s="150"/>
      <c r="HB134" s="150"/>
      <c r="HC134" s="150"/>
      <c r="HD134" s="150"/>
      <c r="HE134" s="150"/>
      <c r="HF134" s="150"/>
      <c r="HG134" s="150"/>
      <c r="HH134" s="150"/>
    </row>
    <row r="135" spans="1:252" x14ac:dyDescent="0.25">
      <c r="A135" s="8"/>
      <c r="B135" s="5" t="s">
        <v>116</v>
      </c>
      <c r="C135" s="8"/>
      <c r="D135" s="6" t="s">
        <v>162</v>
      </c>
      <c r="E135" s="8">
        <v>0</v>
      </c>
      <c r="F135" s="5"/>
      <c r="G135" s="5"/>
      <c r="H135" s="5"/>
      <c r="I135" s="5"/>
      <c r="J135" s="5" t="s">
        <v>163</v>
      </c>
      <c r="K135" s="9"/>
      <c r="L135" s="6" t="str">
        <f>INDEX((AQ135:AT143),MATCH(E131,AP135:AP143,0),MATCH(E133,AQ134:AT134,0))</f>
        <v>CWT70H50/2NMC</v>
      </c>
      <c r="M135" s="11">
        <f>INDEX(cennik!$C$2:$L$529,MATCH($L135,cennik!$B$2:$B$522,0),MATCH(M$2,cennik!$C$1:$L$1,0))</f>
        <v>867820</v>
      </c>
      <c r="N135" s="11" t="str">
        <f>INDEX(cennik!$C$2:$L$529,MATCH($L135,cennik!$B$2:$B$522,0),MATCH(N$2,cennik!$C$1:$L$1,0))</f>
        <v>szt.</v>
      </c>
      <c r="O135" s="24">
        <f>IF(L135="CWT70H50/2NMC",O134,0)</f>
        <v>0</v>
      </c>
      <c r="P135" s="34">
        <f>INDEX(cennik!$C$2:$L$529,MATCH($L135,cennik!$B$2:$B$522,0),MATCH(P$2,cennik!$C$1:$L$1,0))</f>
        <v>101.22</v>
      </c>
      <c r="Q135" s="34">
        <f t="shared" ref="Q135:Q136" si="329">O135*P135</f>
        <v>0</v>
      </c>
      <c r="R135" s="35">
        <f t="shared" si="326"/>
        <v>0</v>
      </c>
      <c r="S135" s="34">
        <f t="shared" si="325"/>
        <v>101.22</v>
      </c>
      <c r="T135" s="34">
        <f t="shared" ref="T135:T136" si="330">O135*S135</f>
        <v>0</v>
      </c>
      <c r="U135" s="34">
        <f>INDEX(cennik!$C$2:$L$529,MATCH($L135,cennik!$B$2:$B$522,0),MATCH(U$2,cennik!$C$1:$L$1,0))*O135</f>
        <v>0</v>
      </c>
      <c r="V135" s="150"/>
      <c r="W135" s="170">
        <f>(INDEX(($EL$112:$FI$115,$EL$118:$FI$121,$FL$112:$GI$115,$FL$118:$GI$121,$GS$112:$HP$116,$GS$119:$HP$123,$HT$112:$IQ$116,$HT$119:$IQ$123,$HT$126:$IQ$130),MATCH($L$145,$EK$112:$EK$115,0),MATCH(A141,$EL$111:$FI$111,0),MATCH($G$131,$AE$24:$AE$32,0)))*C141</f>
        <v>0</v>
      </c>
      <c r="X135" s="170">
        <f>(INDEX(($EL$112:$FI$115,$EL$118:$FI$121,$FL$112:$GI$115,$FL$118:$GI$121,$GS$112:$HP$116,$GS$119:$HP$123,$HT$112:$IQ$116,$HT$119:$IQ$123,$HT$126:$IQ$130),MATCH($L$142,$EK$112:$EK$115,0),MATCH(A141,$EL$111:$FI$111,0),MATCH($G$131,$AE$24:$AE$32,0)))*C141</f>
        <v>0</v>
      </c>
      <c r="Y135" s="170">
        <f>(INDEX(($EL$112:$FI$115,$EL$118:$FI$121,$FL$112:$GI$115,$FL$118:$GI$121,$GS$112:$HP$116,$GS$119:$HP$123,$HT$112:$IQ$116,$HT$119:$IQ$123,$HT$126:$IQ$130),MATCH($L$143,$EK$112:$EK$115,0),MATCH(A141,$EL$111:$FI$111,0),MATCH($G$131,$AE$24:$AE$32,0)))*C141</f>
        <v>0</v>
      </c>
      <c r="Z135" s="170">
        <f>(INDEX(($EL$112:$FI$115,$EL$118:$FI$121,$FL$112:$GI$115,$FL$118:$GI$121,$GS$112:$HP$116,$GS$119:$HP$123,$HT$112:$IQ$116,$HT$119:$IQ$123,$HT$126:$IQ$130),MATCH($L$144,$EK$112:$EK$115,0),MATCH(A141,$EL$111:$FI$111,0),MATCH($G$131,$AE$24:$AE$32,0)))*C141</f>
        <v>0</v>
      </c>
      <c r="AA135" s="150">
        <f t="shared" si="313"/>
        <v>0</v>
      </c>
      <c r="AB135" s="150">
        <f t="shared" si="314"/>
        <v>0</v>
      </c>
      <c r="AC135" s="150"/>
      <c r="AD135" s="150"/>
      <c r="AE135" s="150"/>
      <c r="AF135" s="150"/>
      <c r="AG135" s="150"/>
      <c r="AH135" s="150"/>
      <c r="AI135" s="150"/>
      <c r="AJ135" s="150"/>
      <c r="AK135" s="150"/>
      <c r="AL135" s="150"/>
      <c r="AM135" s="150"/>
      <c r="AN135" s="150"/>
      <c r="AO135" s="150">
        <f t="shared" si="315"/>
        <v>1</v>
      </c>
      <c r="AP135" s="150" t="s">
        <v>111</v>
      </c>
      <c r="AQ135" s="150" t="s">
        <v>151</v>
      </c>
      <c r="AR135" s="154" t="s">
        <v>151</v>
      </c>
      <c r="AS135" s="154" t="s">
        <v>151</v>
      </c>
      <c r="AT135" s="154" t="s">
        <v>151</v>
      </c>
      <c r="AU135" s="150"/>
      <c r="AV135" s="150"/>
      <c r="AW135" s="150"/>
      <c r="AX135" s="150"/>
      <c r="AY135" s="150"/>
      <c r="AZ135" s="150"/>
      <c r="BA135" s="150"/>
      <c r="BB135" s="150"/>
      <c r="BC135" s="150"/>
      <c r="BD135" s="150"/>
      <c r="BE135" s="150"/>
      <c r="BF135" s="150"/>
      <c r="BG135" s="150"/>
      <c r="BH135" s="150"/>
      <c r="BI135" s="150"/>
      <c r="BJ135" s="150"/>
      <c r="BK135" s="150"/>
      <c r="BL135" s="150"/>
      <c r="BM135" s="150"/>
      <c r="BN135" s="150"/>
      <c r="BO135" s="150"/>
      <c r="BP135" s="150"/>
      <c r="BQ135" s="150"/>
      <c r="BR135" s="150"/>
      <c r="BS135" s="150"/>
      <c r="BT135" s="150"/>
      <c r="BU135" s="150"/>
      <c r="BV135" s="150"/>
      <c r="BW135" s="150"/>
      <c r="BX135" s="150"/>
      <c r="BY135" s="150"/>
      <c r="BZ135" s="150"/>
      <c r="CA135" s="150"/>
      <c r="CB135" s="150"/>
      <c r="CC135" s="150"/>
      <c r="CD135" s="150"/>
      <c r="CE135" s="150"/>
      <c r="CF135" s="150"/>
      <c r="CG135" s="150"/>
      <c r="CH135" s="150"/>
      <c r="CI135" s="150"/>
      <c r="CJ135" s="150"/>
      <c r="CK135" s="150"/>
      <c r="CL135" s="150"/>
      <c r="CM135" s="150"/>
      <c r="CN135" s="150"/>
      <c r="CO135" s="150"/>
      <c r="CP135" s="150"/>
      <c r="CQ135" s="150"/>
      <c r="CR135" s="150"/>
      <c r="CS135" s="150"/>
      <c r="CT135" s="150"/>
      <c r="CU135" s="150"/>
      <c r="CV135" s="150"/>
      <c r="CW135" s="150"/>
      <c r="CX135" s="150"/>
      <c r="CY135" s="150"/>
      <c r="CZ135" s="150"/>
      <c r="DA135" s="150"/>
      <c r="DB135" s="150"/>
      <c r="DC135" s="150"/>
      <c r="DD135" s="150"/>
      <c r="DE135" s="150"/>
      <c r="DF135" s="150"/>
      <c r="DG135" s="150"/>
      <c r="DH135" s="150"/>
      <c r="DI135" s="150"/>
      <c r="DJ135" s="150"/>
      <c r="DK135" s="150"/>
      <c r="DL135" s="150"/>
      <c r="DM135" s="150"/>
      <c r="DN135" s="150"/>
      <c r="DO135" s="150"/>
      <c r="DP135" s="150"/>
      <c r="DQ135" s="181"/>
      <c r="DR135" s="181"/>
      <c r="DS135" s="181"/>
      <c r="DT135" s="150"/>
      <c r="DU135" s="150"/>
      <c r="DV135" s="150"/>
      <c r="DW135" s="150"/>
      <c r="DX135" s="150"/>
      <c r="DY135" s="150"/>
      <c r="DZ135" s="150"/>
      <c r="EA135" s="150"/>
      <c r="EB135" s="150"/>
      <c r="EC135" s="150"/>
      <c r="ED135" s="150"/>
      <c r="EE135" s="150"/>
      <c r="EF135" s="150"/>
      <c r="EG135" s="150"/>
      <c r="EH135" s="150"/>
      <c r="EI135" s="155"/>
      <c r="EJ135" s="150"/>
      <c r="EK135" s="150"/>
      <c r="EL135" s="150"/>
      <c r="EM135" s="150"/>
      <c r="EN135" s="150"/>
      <c r="EO135" s="150"/>
      <c r="EP135" s="150"/>
      <c r="EQ135" s="150"/>
      <c r="ER135" s="150"/>
      <c r="ES135" s="150"/>
      <c r="ET135" s="150"/>
      <c r="EU135" s="150"/>
      <c r="EV135" s="150"/>
      <c r="EW135" s="150"/>
      <c r="EX135" s="150"/>
      <c r="EY135" s="150"/>
      <c r="EZ135" s="150"/>
      <c r="FA135" s="150"/>
      <c r="FB135" s="150"/>
      <c r="FC135" s="150"/>
      <c r="FD135" s="150"/>
      <c r="FE135" s="150"/>
      <c r="FF135" s="150"/>
      <c r="FG135" s="150"/>
      <c r="FH135" s="150"/>
      <c r="FI135" s="150"/>
      <c r="FJ135" s="150"/>
      <c r="FK135" s="150"/>
      <c r="FL135" s="150"/>
      <c r="FM135" s="150"/>
      <c r="FN135" s="150"/>
      <c r="FO135" s="150"/>
      <c r="FP135" s="150"/>
      <c r="FQ135" s="150"/>
      <c r="FR135" s="150"/>
      <c r="FS135" s="150"/>
      <c r="FT135" s="150"/>
      <c r="FU135" s="150"/>
      <c r="FV135" s="150"/>
      <c r="FW135" s="150"/>
      <c r="FX135" s="150"/>
      <c r="FY135" s="150"/>
      <c r="FZ135" s="150"/>
      <c r="GA135" s="150"/>
      <c r="GB135" s="150"/>
      <c r="GC135" s="150"/>
      <c r="GD135" s="150"/>
      <c r="GE135" s="150"/>
      <c r="GF135" s="150"/>
      <c r="GG135" s="150"/>
      <c r="GH135" s="150"/>
      <c r="GI135" s="150"/>
      <c r="GJ135" s="150"/>
      <c r="GK135" s="150"/>
      <c r="GL135" s="156"/>
      <c r="GM135" s="150"/>
      <c r="GN135" s="150"/>
      <c r="GO135" s="150"/>
      <c r="GP135" s="150"/>
      <c r="GQ135" s="150"/>
      <c r="GR135" s="150"/>
      <c r="GS135" s="150"/>
      <c r="GT135" s="150"/>
      <c r="GU135" s="150"/>
      <c r="GV135" s="150"/>
      <c r="GW135" s="150"/>
      <c r="GX135" s="150"/>
      <c r="GY135" s="150"/>
      <c r="GZ135" s="150"/>
      <c r="HA135" s="150"/>
      <c r="HB135" s="150"/>
      <c r="HC135" s="150"/>
      <c r="HD135" s="150"/>
      <c r="HE135" s="150"/>
      <c r="HF135" s="150"/>
      <c r="HG135" s="150"/>
      <c r="HH135" s="150"/>
    </row>
    <row r="136" spans="1:252" x14ac:dyDescent="0.25">
      <c r="A136" s="8"/>
      <c r="B136" s="5" t="s">
        <v>116</v>
      </c>
      <c r="C136" s="8"/>
      <c r="D136" s="6" t="s">
        <v>515</v>
      </c>
      <c r="E136" s="8">
        <v>0</v>
      </c>
      <c r="F136" s="5"/>
      <c r="G136" s="5"/>
      <c r="H136" s="5"/>
      <c r="I136" s="5"/>
      <c r="J136" s="5" t="s">
        <v>412</v>
      </c>
      <c r="K136" s="9"/>
      <c r="L136" s="92" t="str">
        <f>IF(L135="CWT70H50/2NMC","LCT70H50NMC",IF(L135="CWT70H50/2,4NMC","LCT70H50NMC","-------"))</f>
        <v>LCT70H50NMC</v>
      </c>
      <c r="M136" s="11" t="e">
        <f>INDEX(cennik!$C$2:$L$529,MATCH($L136,cennik!$B$2:$B$522,0),MATCH(M$2,cennik!$C$1:$L$1,0))</f>
        <v>#N/A</v>
      </c>
      <c r="N136" s="11" t="e">
        <f>INDEX(cennik!$C$2:$L$529,MATCH($L136,cennik!$B$2:$B$522,0),MATCH(N$2,cennik!$C$1:$L$1,0))</f>
        <v>#N/A</v>
      </c>
      <c r="O136" s="24">
        <f>O135</f>
        <v>0</v>
      </c>
      <c r="P136" s="34" t="e">
        <f>INDEX(cennik!$C$2:$L$529,MATCH($L136,cennik!$B$2:$B$522,0),MATCH(P$2,cennik!$C$1:$L$1,0))</f>
        <v>#N/A</v>
      </c>
      <c r="Q136" s="34" t="e">
        <f t="shared" si="329"/>
        <v>#N/A</v>
      </c>
      <c r="R136" s="35">
        <f t="shared" si="326"/>
        <v>0</v>
      </c>
      <c r="S136" s="34" t="e">
        <f t="shared" si="325"/>
        <v>#N/A</v>
      </c>
      <c r="T136" s="34" t="e">
        <f t="shared" si="330"/>
        <v>#N/A</v>
      </c>
      <c r="U136" s="34" t="e">
        <f>INDEX(cennik!$C$2:$L$529,MATCH($L136,cennik!$B$2:$B$522,0),MATCH(U$2,cennik!$C$1:$L$1,0))*O136</f>
        <v>#N/A</v>
      </c>
      <c r="V136" s="150"/>
      <c r="W136" s="170">
        <f>(INDEX(($EL$112:$FI$115,$EL$118:$FI$121,$FL$112:$GI$115,$FL$118:$GI$121,$GS$112:$HP$116,$GS$119:$HP$123,$HT$112:$IQ$116,$HT$119:$IQ$123,$HT$126:$IQ$130),MATCH($L$145,$EK$112:$EK$115,0),MATCH(A142,$EL$111:$FI$111,0),MATCH($G$131,$AE$24:$AE$32,0)))*C142</f>
        <v>0</v>
      </c>
      <c r="X136" s="170">
        <f>(INDEX(($EL$112:$FI$115,$EL$118:$FI$121,$FL$112:$GI$115,$FL$118:$GI$121,$GS$112:$HP$116,$GS$119:$HP$123,$HT$112:$IQ$116,$HT$119:$IQ$123,$HT$126:$IQ$130),MATCH($L$142,$EK$112:$EK$115,0),MATCH(A142,$EL$111:$FI$111,0),MATCH($G$131,$AE$24:$AE$32,0)))*C142</f>
        <v>0</v>
      </c>
      <c r="Y136" s="170">
        <f>(INDEX(($EL$112:$FI$115,$EL$118:$FI$121,$FL$112:$GI$115,$FL$118:$GI$121,$GS$112:$HP$116,$GS$119:$HP$123,$HT$112:$IQ$116,$HT$119:$IQ$123,$HT$126:$IQ$130),MATCH($L$143,$EK$112:$EK$115,0),MATCH(A142,$EL$111:$FI$111,0),MATCH($G$131,$AE$24:$AE$32,0)))*C142</f>
        <v>0</v>
      </c>
      <c r="Z136" s="170">
        <f>(INDEX(($EL$112:$FI$115,$EL$118:$FI$121,$FL$112:$GI$115,$FL$118:$GI$121,$GS$112:$HP$116,$GS$119:$HP$123,$HT$112:$IQ$116,$HT$119:$IQ$123,$HT$126:$IQ$130),MATCH($L$144,$EK$112:$EK$115,0),MATCH(A142,$EL$111:$FI$111,0),MATCH($G$131,$AE$24:$AE$32,0)))*C142</f>
        <v>0</v>
      </c>
      <c r="AA136" s="150">
        <f t="shared" si="313"/>
        <v>0</v>
      </c>
      <c r="AB136" s="150">
        <f t="shared" si="314"/>
        <v>0</v>
      </c>
      <c r="AC136" s="150"/>
      <c r="AD136" s="150"/>
      <c r="AE136" s="150"/>
      <c r="AF136" s="150"/>
      <c r="AG136" s="150"/>
      <c r="AH136" s="150"/>
      <c r="AI136" s="150"/>
      <c r="AJ136" s="150"/>
      <c r="AK136" s="150"/>
      <c r="AL136" s="150"/>
      <c r="AM136" s="150"/>
      <c r="AN136" s="150"/>
      <c r="AO136" s="150">
        <f t="shared" si="315"/>
        <v>1</v>
      </c>
      <c r="AP136" s="150" t="s">
        <v>112</v>
      </c>
      <c r="AQ136" s="150" t="s">
        <v>151</v>
      </c>
      <c r="AR136" s="150" t="s">
        <v>151</v>
      </c>
      <c r="AS136" s="150" t="s">
        <v>151</v>
      </c>
      <c r="AT136" s="150" t="s">
        <v>151</v>
      </c>
      <c r="AU136" s="150"/>
      <c r="AV136" s="150"/>
      <c r="AW136" s="150"/>
      <c r="AX136" s="150"/>
      <c r="AY136" s="150"/>
      <c r="AZ136" s="150"/>
      <c r="BA136" s="150"/>
      <c r="BB136" s="150"/>
      <c r="BC136" s="150"/>
      <c r="BD136" s="150"/>
      <c r="BE136" s="150"/>
      <c r="BF136" s="150"/>
      <c r="BG136" s="150"/>
      <c r="BH136" s="150"/>
      <c r="BI136" s="150"/>
      <c r="BJ136" s="150"/>
      <c r="BK136" s="150"/>
      <c r="BL136" s="150"/>
      <c r="BM136" s="150"/>
      <c r="BN136" s="150"/>
      <c r="BO136" s="150"/>
      <c r="BP136" s="150"/>
      <c r="BQ136" s="150"/>
      <c r="BR136" s="150"/>
      <c r="BS136" s="150"/>
      <c r="BT136" s="150"/>
      <c r="BU136" s="150"/>
      <c r="BV136" s="150"/>
      <c r="BW136" s="150"/>
      <c r="BX136" s="150"/>
      <c r="BY136" s="150"/>
      <c r="BZ136" s="150"/>
      <c r="CA136" s="150"/>
      <c r="CB136" s="150"/>
      <c r="CC136" s="150"/>
      <c r="CD136" s="150"/>
      <c r="CE136" s="150"/>
      <c r="CF136" s="150"/>
      <c r="CG136" s="150"/>
      <c r="CH136" s="150"/>
      <c r="CI136" s="150"/>
      <c r="CJ136" s="150"/>
      <c r="CK136" s="150"/>
      <c r="CL136" s="150"/>
      <c r="CM136" s="150"/>
      <c r="CN136" s="150"/>
      <c r="CO136" s="150"/>
      <c r="CP136" s="150"/>
      <c r="CQ136" s="150"/>
      <c r="CR136" s="150"/>
      <c r="CS136" s="150"/>
      <c r="CT136" s="150"/>
      <c r="CU136" s="150"/>
      <c r="CV136" s="150"/>
      <c r="CW136" s="150"/>
      <c r="CX136" s="150"/>
      <c r="CY136" s="150"/>
      <c r="CZ136" s="150"/>
      <c r="DA136" s="150"/>
      <c r="DB136" s="150"/>
      <c r="DC136" s="150"/>
      <c r="DD136" s="150"/>
      <c r="DE136" s="150"/>
      <c r="DF136" s="150"/>
      <c r="DG136" s="150"/>
      <c r="DH136" s="150"/>
      <c r="DI136" s="150"/>
      <c r="DJ136" s="150"/>
      <c r="DK136" s="150"/>
      <c r="DL136" s="150"/>
      <c r="DM136" s="150"/>
      <c r="DN136" s="150"/>
      <c r="DO136" s="150"/>
      <c r="DP136" s="150"/>
      <c r="DQ136" s="181"/>
      <c r="DR136" s="181"/>
      <c r="DS136" s="181"/>
      <c r="DT136" s="150"/>
      <c r="DU136" s="150"/>
      <c r="DV136" s="150"/>
      <c r="DW136" s="150"/>
      <c r="DX136" s="150"/>
      <c r="DY136" s="150"/>
      <c r="DZ136" s="150"/>
      <c r="EA136" s="150"/>
      <c r="EB136" s="150"/>
      <c r="EC136" s="150"/>
      <c r="ED136" s="150"/>
      <c r="EE136" s="150"/>
      <c r="EF136" s="150"/>
      <c r="EG136" s="150"/>
      <c r="EH136" s="150"/>
      <c r="EI136" s="155"/>
      <c r="EJ136" s="150" t="s">
        <v>768</v>
      </c>
      <c r="EK136" s="150"/>
      <c r="EL136" s="150"/>
      <c r="EM136" s="150"/>
      <c r="EN136" s="150"/>
      <c r="EO136" s="150"/>
      <c r="EP136" s="150"/>
      <c r="EQ136" s="150"/>
      <c r="ER136" s="150"/>
      <c r="ES136" s="150"/>
      <c r="ET136" s="150"/>
      <c r="EU136" s="150"/>
      <c r="EV136" s="150"/>
      <c r="EW136" s="150"/>
      <c r="EX136" s="150"/>
      <c r="EY136" s="150"/>
      <c r="EZ136" s="150"/>
      <c r="FA136" s="150"/>
      <c r="FB136" s="150"/>
      <c r="FC136" s="150"/>
      <c r="FD136" s="150"/>
      <c r="FE136" s="150"/>
      <c r="FF136" s="150"/>
      <c r="FG136" s="150"/>
      <c r="FH136" s="150"/>
      <c r="FI136" s="150"/>
      <c r="FJ136" s="150"/>
      <c r="FK136" s="150"/>
      <c r="FL136" s="150"/>
      <c r="FM136" s="150"/>
      <c r="FN136" s="150"/>
      <c r="FO136" s="150"/>
      <c r="FP136" s="150"/>
      <c r="FQ136" s="150"/>
      <c r="FR136" s="150"/>
      <c r="FS136" s="150"/>
      <c r="FT136" s="150"/>
      <c r="FU136" s="150"/>
      <c r="FV136" s="150"/>
      <c r="FW136" s="150"/>
      <c r="FX136" s="150"/>
      <c r="FY136" s="150"/>
      <c r="FZ136" s="150"/>
      <c r="GA136" s="150"/>
      <c r="GB136" s="150"/>
      <c r="GC136" s="150"/>
      <c r="GD136" s="150"/>
      <c r="GE136" s="150"/>
      <c r="GF136" s="150"/>
      <c r="GG136" s="150"/>
      <c r="GH136" s="150"/>
      <c r="GI136" s="150"/>
      <c r="GJ136" s="150"/>
      <c r="GK136" s="150"/>
      <c r="GL136" s="156"/>
      <c r="GM136" s="150"/>
      <c r="GN136" s="150"/>
      <c r="GO136" s="150"/>
      <c r="GP136" s="150"/>
      <c r="GQ136" s="150"/>
      <c r="GR136" s="150"/>
      <c r="GS136" s="150"/>
      <c r="GT136" s="150"/>
      <c r="GU136" s="150"/>
      <c r="GV136" s="150"/>
      <c r="GW136" s="150"/>
      <c r="GX136" s="150"/>
      <c r="GY136" s="150"/>
      <c r="GZ136" s="150"/>
      <c r="HA136" s="150"/>
      <c r="HB136" s="150"/>
      <c r="HC136" s="150"/>
      <c r="HD136" s="150"/>
      <c r="HE136" s="150"/>
      <c r="HF136" s="150"/>
      <c r="HG136" s="150"/>
      <c r="HH136" s="150"/>
    </row>
    <row r="137" spans="1:252" x14ac:dyDescent="0.25">
      <c r="A137" s="8"/>
      <c r="B137" s="5" t="s">
        <v>116</v>
      </c>
      <c r="C137" s="8"/>
      <c r="D137" s="6" t="s">
        <v>511</v>
      </c>
      <c r="E137" s="4"/>
      <c r="F137" s="6"/>
      <c r="G137" s="6"/>
      <c r="H137" s="6"/>
      <c r="I137" s="6"/>
      <c r="J137" s="1"/>
      <c r="K137" s="9"/>
      <c r="L137" s="6" t="str">
        <f>IF(E131=AE33,"BDFCH120/4,4NMC",IF(E131=AE34,"BDFCH120/4,4NMC",IF(E131=AE35,"BDFCH120/4,8NMC",IF(E131=AE36,"BDFCH120/4,8NMC",IF(E131=AE37,"BDFCH120/4,8NMC",IF(E131=AE38,"BDFCH120/5,4NMC",IF(E131=AE39,"BDFCH120/5,4NMC",IF(E131=AE40,"BDFCH120/5,4NMC",IF(E131=AE41,"BDFCH120/5,4NMC",IF(E131=AE42,"BDFTH120/6NMC",IF(E131=AE43,"BDFTH120/6NMC",IF(E131=AE44,"BDFTH120/6NMC",IF(E131=AE45,"BDFTH120/6NMC",IF(E131=AE46,"BDFTH120/6,4NMC",0))))))))))))))</f>
        <v>BDFCH120/5,4NMC</v>
      </c>
      <c r="M137" s="11">
        <f>INDEX(cennik!$C$2:$L$529,MATCH($L137,cennik!$B$2:$B$522,0),MATCH(M$2,cennik!$C$1:$L$1,0))</f>
        <v>863354</v>
      </c>
      <c r="N137" s="11" t="str">
        <f>INDEX(cennik!$C$2:$L$529,MATCH($L137,cennik!$B$2:$B$522,0),MATCH(N$2,cennik!$C$1:$L$1,0))</f>
        <v>szt.</v>
      </c>
      <c r="O137" s="11">
        <f>O133</f>
        <v>0</v>
      </c>
      <c r="P137" s="34">
        <f>INDEX(cennik!$C$2:$L$529,MATCH($L137,cennik!$B$2:$B$522,0),MATCH(P$2,cennik!$C$1:$L$1,0))</f>
        <v>222.13</v>
      </c>
      <c r="Q137" s="34">
        <f t="shared" ref="Q137:Q138" si="331">O137*P137</f>
        <v>0</v>
      </c>
      <c r="R137" s="35">
        <f t="shared" si="326"/>
        <v>0</v>
      </c>
      <c r="S137" s="34">
        <f t="shared" si="325"/>
        <v>222.13</v>
      </c>
      <c r="T137" s="34">
        <f t="shared" ref="T137:T138" si="332">O137*S137</f>
        <v>0</v>
      </c>
      <c r="U137" s="34">
        <f>INDEX(cennik!$C$2:$L$529,MATCH($L137,cennik!$B$2:$B$522,0),MATCH(U$2,cennik!$C$1:$L$1,0))*O137</f>
        <v>0</v>
      </c>
      <c r="V137" s="166"/>
      <c r="W137" s="170">
        <f>(INDEX(($EL$112:$FI$115,$EL$118:$FI$121,$FL$112:$GI$115,$FL$118:$GI$121,$GS$112:$HP$116,$GS$119:$HP$123,$HT$112:$IQ$116,$HT$119:$IQ$123,$HT$126:$IQ$130),MATCH($L$145,$EK$112:$EK$115,0),MATCH(A143,$EL$111:$FI$111,0),MATCH($G$131,$AE$24:$AE$32,0)))*C143</f>
        <v>0</v>
      </c>
      <c r="X137" s="170">
        <f>(INDEX(($EL$112:$FI$115,$EL$118:$FI$121,$FL$112:$GI$115,$FL$118:$GI$121,$GS$112:$HP$116,$GS$119:$HP$123,$HT$112:$IQ$116,$HT$119:$IQ$123,$HT$126:$IQ$130),MATCH($L$142,$EK$112:$EK$115,0),MATCH(A143,$EL$111:$FI$111,0),MATCH($G$131,$AE$24:$AE$32,0)))*C143</f>
        <v>0</v>
      </c>
      <c r="Y137" s="170">
        <f>(INDEX(($EL$112:$FI$115,$EL$118:$FI$121,$FL$112:$GI$115,$FL$118:$GI$121,$GS$112:$HP$116,$GS$119:$HP$123,$HT$112:$IQ$116,$HT$119:$IQ$123,$HT$126:$IQ$130),MATCH($L$143,$EK$112:$EK$115,0),MATCH(A143,$EL$111:$FI$111,0),MATCH($G$131,$AE$24:$AE$32,0)))*C143</f>
        <v>0</v>
      </c>
      <c r="Z137" s="170">
        <f>(INDEX(($EL$112:$FI$115,$EL$118:$FI$121,$FL$112:$GI$115,$FL$118:$GI$121,$GS$112:$HP$116,$GS$119:$HP$123,$HT$112:$IQ$116,$HT$119:$IQ$123,$HT$126:$IQ$130),MATCH($L$144,$EK$112:$EK$115,0),MATCH(A143,$EL$111:$FI$111,0),MATCH($G$131,$AE$24:$AE$32,0)))*C143</f>
        <v>0</v>
      </c>
      <c r="AA137" s="150">
        <f t="shared" si="313"/>
        <v>0</v>
      </c>
      <c r="AB137" s="150">
        <f t="shared" si="314"/>
        <v>0</v>
      </c>
      <c r="AC137" s="150"/>
      <c r="AD137" s="150"/>
      <c r="AE137" s="150"/>
      <c r="AF137" s="150"/>
      <c r="AG137" s="150"/>
      <c r="AH137" s="150" t="s">
        <v>159</v>
      </c>
      <c r="AI137" s="150"/>
      <c r="AJ137" s="150"/>
      <c r="AK137" s="150"/>
      <c r="AL137" s="150"/>
      <c r="AM137" s="150"/>
      <c r="AO137" s="150">
        <f t="shared" si="315"/>
        <v>1</v>
      </c>
      <c r="AP137" s="150" t="s">
        <v>132</v>
      </c>
      <c r="AQ137" s="150" t="s">
        <v>151</v>
      </c>
      <c r="AR137" s="154" t="s">
        <v>151</v>
      </c>
      <c r="AS137" s="154" t="s">
        <v>151</v>
      </c>
      <c r="AT137" s="154" t="s">
        <v>151</v>
      </c>
      <c r="AU137" s="150"/>
      <c r="AV137" s="150"/>
      <c r="AW137" s="150"/>
      <c r="AX137" s="150"/>
      <c r="AY137" s="150"/>
      <c r="AZ137" s="150"/>
      <c r="BA137" s="150"/>
      <c r="BB137" s="150"/>
      <c r="BC137" s="150"/>
      <c r="BD137" s="150"/>
      <c r="BE137" s="150"/>
      <c r="BF137" s="150"/>
      <c r="BG137" s="150"/>
      <c r="BH137" s="150"/>
      <c r="BI137" s="150"/>
      <c r="BJ137" s="150"/>
      <c r="BK137" s="150"/>
      <c r="BL137" s="150"/>
      <c r="BM137" s="150"/>
      <c r="BN137" s="150"/>
      <c r="BO137" s="150"/>
      <c r="BP137" s="150"/>
      <c r="BQ137" s="150"/>
      <c r="BR137" s="150"/>
      <c r="BS137" s="150"/>
      <c r="BT137" s="150"/>
      <c r="BU137" s="150"/>
      <c r="BV137" s="150"/>
      <c r="BW137" s="150"/>
      <c r="BX137" s="150"/>
      <c r="BY137" s="150"/>
      <c r="BZ137" s="150"/>
      <c r="CA137" s="150"/>
      <c r="CB137" s="150"/>
      <c r="CC137" s="150"/>
      <c r="CD137" s="150"/>
      <c r="CE137" s="150"/>
      <c r="CF137" s="150"/>
      <c r="CG137" s="150"/>
      <c r="CH137" s="150"/>
      <c r="CI137" s="150"/>
      <c r="CJ137" s="150"/>
      <c r="CK137" s="150"/>
      <c r="CL137" s="150"/>
      <c r="CM137" s="150"/>
      <c r="CN137" s="150"/>
      <c r="CO137" s="150"/>
      <c r="CP137" s="150"/>
      <c r="CQ137" s="150"/>
      <c r="CR137" s="150"/>
      <c r="CS137" s="150"/>
      <c r="CT137" s="150"/>
      <c r="CU137" s="150"/>
      <c r="CV137" s="150"/>
      <c r="CW137" s="150"/>
      <c r="CX137" s="150"/>
      <c r="CY137" s="150"/>
      <c r="CZ137" s="150"/>
      <c r="DA137" s="150"/>
      <c r="DB137" s="150"/>
      <c r="DC137" s="150"/>
      <c r="DD137" s="150"/>
      <c r="DE137" s="150"/>
      <c r="DF137" s="150"/>
      <c r="DG137" s="150"/>
      <c r="DH137" s="150"/>
      <c r="DI137" s="150"/>
      <c r="DJ137" s="150"/>
      <c r="DK137" s="150"/>
      <c r="DL137" s="150"/>
      <c r="DM137" s="150"/>
      <c r="DN137" s="150"/>
      <c r="DO137" s="150"/>
      <c r="DP137" s="150"/>
      <c r="DQ137" s="181"/>
      <c r="DR137" s="181">
        <v>0</v>
      </c>
      <c r="DS137" s="181"/>
      <c r="DT137" s="150"/>
      <c r="DU137" s="150"/>
      <c r="DV137" s="150"/>
      <c r="DW137" s="150"/>
      <c r="DX137" s="150"/>
      <c r="DY137" s="150"/>
      <c r="DZ137" s="150"/>
      <c r="EA137" s="150"/>
      <c r="EB137" s="150"/>
      <c r="EC137" s="150"/>
      <c r="ED137" s="150"/>
      <c r="EE137" s="150"/>
      <c r="EF137" s="150"/>
      <c r="EG137" s="150"/>
      <c r="EH137" s="150"/>
      <c r="EI137" s="155"/>
      <c r="EJ137" s="150"/>
      <c r="EK137" s="150"/>
      <c r="EL137" s="150"/>
      <c r="EM137" s="150"/>
      <c r="EN137" s="150"/>
      <c r="EO137" s="150"/>
      <c r="EP137" s="150"/>
      <c r="EQ137" s="150"/>
      <c r="ER137" s="150"/>
      <c r="ES137" s="150"/>
      <c r="ET137" s="150"/>
      <c r="EU137" s="150"/>
      <c r="EV137" s="150"/>
      <c r="EW137" s="150"/>
      <c r="EX137" s="150"/>
      <c r="EY137" s="150"/>
      <c r="EZ137" s="150"/>
      <c r="FA137" s="150"/>
      <c r="FB137" s="150"/>
      <c r="FC137" s="150"/>
      <c r="FD137" s="150"/>
      <c r="FE137" s="150"/>
      <c r="FF137" s="150"/>
      <c r="FG137" s="150"/>
      <c r="FH137" s="150"/>
      <c r="FI137" s="150"/>
      <c r="FJ137" s="150"/>
      <c r="FK137" s="150"/>
      <c r="FL137" s="150"/>
      <c r="FM137" s="150"/>
      <c r="FN137" s="150"/>
      <c r="FO137" s="150"/>
      <c r="FP137" s="150"/>
      <c r="FQ137" s="150"/>
      <c r="FR137" s="150"/>
      <c r="FS137" s="150"/>
      <c r="FT137" s="150"/>
      <c r="FU137" s="150"/>
      <c r="FV137" s="150"/>
      <c r="FW137" s="150"/>
      <c r="FX137" s="150"/>
      <c r="FY137" s="150"/>
      <c r="FZ137" s="150"/>
      <c r="GA137" s="150"/>
      <c r="GB137" s="150"/>
      <c r="GC137" s="150"/>
      <c r="GD137" s="150"/>
      <c r="GE137" s="150"/>
      <c r="GF137" s="150"/>
      <c r="GG137" s="150"/>
      <c r="GH137" s="150"/>
      <c r="GI137" s="150"/>
      <c r="GJ137" s="150"/>
      <c r="GK137" s="150"/>
      <c r="GL137" s="156"/>
      <c r="GM137" s="150"/>
      <c r="GN137" s="150"/>
      <c r="GO137" s="150"/>
      <c r="GP137" s="150"/>
      <c r="GQ137" s="150"/>
      <c r="GR137" s="150"/>
      <c r="GS137" s="150"/>
      <c r="GT137" s="150"/>
      <c r="GU137" s="150"/>
      <c r="GV137" s="150"/>
      <c r="GW137" s="150"/>
      <c r="GX137" s="150"/>
      <c r="GY137" s="150"/>
      <c r="GZ137" s="150"/>
      <c r="HA137" s="150"/>
      <c r="HB137" s="150"/>
      <c r="HC137" s="150"/>
      <c r="HD137" s="150"/>
      <c r="HE137" s="150"/>
      <c r="HF137" s="150"/>
      <c r="HG137" s="150"/>
      <c r="HH137" s="150"/>
    </row>
    <row r="138" spans="1:252" x14ac:dyDescent="0.25">
      <c r="A138" s="8"/>
      <c r="B138" s="5" t="s">
        <v>116</v>
      </c>
      <c r="C138" s="8"/>
      <c r="D138" s="6" t="s">
        <v>787</v>
      </c>
      <c r="E138" s="8">
        <v>1</v>
      </c>
      <c r="F138" s="39" t="s">
        <v>789</v>
      </c>
      <c r="G138" s="9"/>
      <c r="H138" s="9"/>
      <c r="I138" s="9"/>
      <c r="J138" s="9"/>
      <c r="K138" s="9"/>
      <c r="L138" s="6" t="str">
        <f>IF(L137="BDFCH120/4,4NMC","CMP41H41/1,7MC",IF(L137="BDFCH120/4,8NMC","CMP41H41/2,2MC",IF(L137="BDFCH120/5,4NMC","CMP41H41/2,2MC",0)))</f>
        <v>CMP41H41/2,2MC</v>
      </c>
      <c r="M138" s="11">
        <f>INDEX(cennik!$C$2:$L$529,MATCH($L138,cennik!$B$2:$B$522,0),MATCH(M$2,cennik!$C$1:$L$1,0))</f>
        <v>851122</v>
      </c>
      <c r="N138" s="11" t="str">
        <f>INDEX(cennik!$C$2:$L$529,MATCH($L138,cennik!$B$2:$B$522,0),MATCH(N$2,cennik!$C$1:$L$1,0))</f>
        <v>szt.</v>
      </c>
      <c r="O138" s="11">
        <f>O133</f>
        <v>0</v>
      </c>
      <c r="P138" s="34">
        <f>INDEX(cennik!$C$2:$L$529,MATCH($L138,cennik!$B$2:$B$522,0),MATCH(P$2,cennik!$C$1:$L$1,0))</f>
        <v>46.2</v>
      </c>
      <c r="Q138" s="34">
        <f t="shared" si="331"/>
        <v>0</v>
      </c>
      <c r="R138" s="35">
        <f t="shared" si="326"/>
        <v>0</v>
      </c>
      <c r="S138" s="34">
        <f t="shared" si="325"/>
        <v>46.2</v>
      </c>
      <c r="T138" s="34">
        <f t="shared" si="332"/>
        <v>0</v>
      </c>
      <c r="U138" s="34">
        <f>INDEX(cennik!$C$2:$L$529,MATCH($L138,cennik!$B$2:$B$522,0),MATCH(U$2,cennik!$C$1:$L$1,0))*O138</f>
        <v>0</v>
      </c>
      <c r="V138" s="166"/>
      <c r="W138" s="170">
        <f>(INDEX(($EL$112:$FI$115,$EL$118:$FI$121,$FL$112:$GI$115,$FL$118:$GI$121,$GS$112:$HP$116,$GS$119:$HP$123,$HT$112:$IQ$116,$HT$119:$IQ$123,$HT$126:$IQ$130),MATCH($L$145,$EK$112:$EK$115,0),MATCH(A144,$EL$111:$FI$111,0),MATCH($G$131,$AE$24:$AE$32,0)))*C144</f>
        <v>0</v>
      </c>
      <c r="X138" s="170">
        <f>(INDEX(($EL$112:$FI$115,$EL$118:$FI$121,$FL$112:$GI$115,$FL$118:$GI$121,$GS$112:$HP$116,$GS$119:$HP$123,$HT$112:$IQ$116,$HT$119:$IQ$123,$HT$126:$IQ$130),MATCH($L$142,$EK$112:$EK$115,0),MATCH(A144,$EL$111:$FI$111,0),MATCH($G$131,$AE$24:$AE$32,0)))*C144</f>
        <v>0</v>
      </c>
      <c r="Y138" s="170">
        <f>(INDEX(($EL$112:$FI$115,$EL$118:$FI$121,$FL$112:$GI$115,$FL$118:$GI$121,$GS$112:$HP$116,$GS$119:$HP$123,$HT$112:$IQ$116,$HT$119:$IQ$123,$HT$126:$IQ$130),MATCH($L$143,$EK$112:$EK$115,0),MATCH(A144,$EL$111:$FI$111,0),MATCH($G$131,$AE$24:$AE$32,0)))*C144</f>
        <v>0</v>
      </c>
      <c r="Z138" s="170">
        <f>(INDEX(($EL$112:$FI$115,$EL$118:$FI$121,$FL$112:$GI$115,$FL$118:$GI$121,$GS$112:$HP$116,$GS$119:$HP$123,$HT$112:$IQ$116,$HT$119:$IQ$123,$HT$126:$IQ$130),MATCH($L$144,$EK$112:$EK$115,0),MATCH(A144,$EL$111:$FI$111,0),MATCH($G$131,$AE$24:$AE$32,0)))*C144</f>
        <v>0</v>
      </c>
      <c r="AA138" s="150"/>
      <c r="AB138" s="150"/>
      <c r="AC138" s="150"/>
      <c r="AD138" s="150"/>
      <c r="AE138" s="150"/>
      <c r="AF138" s="150"/>
      <c r="AG138" s="150"/>
      <c r="AH138" s="150" t="s">
        <v>152</v>
      </c>
      <c r="AI138" s="150"/>
      <c r="AJ138" s="150"/>
      <c r="AK138" s="150"/>
      <c r="AL138" s="150"/>
      <c r="AM138" s="150"/>
      <c r="AP138" s="150" t="s">
        <v>470</v>
      </c>
      <c r="AQ138" s="150" t="s">
        <v>151</v>
      </c>
      <c r="AR138" s="154" t="s">
        <v>151</v>
      </c>
      <c r="AS138" s="154" t="s">
        <v>151</v>
      </c>
      <c r="AT138" s="154" t="s">
        <v>151</v>
      </c>
      <c r="AU138" s="150"/>
      <c r="AV138" s="150"/>
      <c r="AW138" s="150"/>
      <c r="AX138" s="150"/>
      <c r="AY138" s="150"/>
      <c r="AZ138" s="150"/>
      <c r="BA138" s="150"/>
      <c r="BB138" s="150"/>
      <c r="BC138" s="150"/>
      <c r="BD138" s="150"/>
      <c r="BE138" s="150"/>
      <c r="BF138" s="150"/>
      <c r="BG138" s="150"/>
      <c r="BH138" s="150" t="s">
        <v>114</v>
      </c>
      <c r="BI138" s="150">
        <v>0</v>
      </c>
      <c r="BJ138" s="150">
        <v>6</v>
      </c>
      <c r="BK138" s="150">
        <v>8</v>
      </c>
      <c r="BL138" s="150">
        <v>10</v>
      </c>
      <c r="BM138" s="150">
        <v>12</v>
      </c>
      <c r="BN138" s="150">
        <v>14</v>
      </c>
      <c r="BO138" s="150">
        <v>16</v>
      </c>
      <c r="BP138" s="150">
        <v>18</v>
      </c>
      <c r="BQ138" s="150">
        <v>20</v>
      </c>
      <c r="BR138" s="150">
        <v>22</v>
      </c>
      <c r="BS138" s="150">
        <v>24</v>
      </c>
      <c r="BT138" s="150">
        <v>26</v>
      </c>
      <c r="BU138" s="150">
        <v>28</v>
      </c>
      <c r="BV138" s="150">
        <v>30</v>
      </c>
      <c r="BW138" s="150">
        <v>32</v>
      </c>
      <c r="BX138" s="150">
        <v>34</v>
      </c>
      <c r="BY138" s="150">
        <v>36</v>
      </c>
      <c r="BZ138" s="150">
        <v>38</v>
      </c>
      <c r="CA138" s="150">
        <v>40</v>
      </c>
      <c r="CB138" s="150">
        <v>42</v>
      </c>
      <c r="CC138" s="150">
        <v>44</v>
      </c>
      <c r="CD138" s="150">
        <v>46</v>
      </c>
      <c r="CE138" s="150">
        <v>48</v>
      </c>
      <c r="CF138" s="150">
        <v>50</v>
      </c>
      <c r="CG138" s="150"/>
      <c r="CH138" s="150"/>
      <c r="CI138" s="150"/>
      <c r="CJ138" s="150"/>
      <c r="CK138" s="150"/>
      <c r="CL138" s="150"/>
      <c r="CM138" s="150"/>
      <c r="CN138" s="150" t="s">
        <v>474</v>
      </c>
      <c r="CO138" s="150">
        <v>0</v>
      </c>
      <c r="CP138" s="150">
        <v>6</v>
      </c>
      <c r="CQ138" s="150">
        <v>8</v>
      </c>
      <c r="CR138" s="150">
        <v>10</v>
      </c>
      <c r="CS138" s="150">
        <v>12</v>
      </c>
      <c r="CT138" s="150">
        <v>14</v>
      </c>
      <c r="CU138" s="150">
        <v>16</v>
      </c>
      <c r="CV138" s="150">
        <v>18</v>
      </c>
      <c r="CW138" s="150">
        <v>20</v>
      </c>
      <c r="CX138" s="150">
        <v>22</v>
      </c>
      <c r="CY138" s="150">
        <v>24</v>
      </c>
      <c r="CZ138" s="150">
        <v>26</v>
      </c>
      <c r="DA138" s="150">
        <v>28</v>
      </c>
      <c r="DB138" s="150">
        <v>30</v>
      </c>
      <c r="DC138" s="150">
        <v>32</v>
      </c>
      <c r="DD138" s="150">
        <v>34</v>
      </c>
      <c r="DE138" s="150">
        <v>36</v>
      </c>
      <c r="DF138" s="150">
        <v>38</v>
      </c>
      <c r="DG138" s="150">
        <v>40</v>
      </c>
      <c r="DH138" s="150">
        <v>42</v>
      </c>
      <c r="DI138" s="150">
        <v>44</v>
      </c>
      <c r="DJ138" s="150">
        <v>46</v>
      </c>
      <c r="DK138" s="150">
        <v>48</v>
      </c>
      <c r="DL138" s="150">
        <v>50</v>
      </c>
      <c r="DM138" s="150"/>
      <c r="DN138" s="150"/>
      <c r="DO138" s="150"/>
      <c r="DP138" s="150"/>
      <c r="DQ138" s="181"/>
      <c r="DR138" s="181">
        <v>6</v>
      </c>
      <c r="DS138" s="181"/>
      <c r="DT138" s="150"/>
      <c r="DU138" s="150"/>
      <c r="DV138" s="150"/>
      <c r="DW138" s="150"/>
      <c r="DX138" s="150"/>
      <c r="DY138" s="150"/>
      <c r="DZ138" s="150"/>
      <c r="EA138" s="150"/>
      <c r="EB138" s="150"/>
      <c r="EC138" s="150"/>
      <c r="ED138" s="150"/>
      <c r="EE138" s="150"/>
      <c r="EF138" s="150"/>
      <c r="EG138" s="150"/>
      <c r="EH138" s="150"/>
      <c r="EI138" s="155"/>
      <c r="EJ138" s="150"/>
      <c r="EK138" s="150" t="s">
        <v>114</v>
      </c>
      <c r="EL138" s="150">
        <v>0</v>
      </c>
      <c r="EM138" s="150">
        <v>6</v>
      </c>
      <c r="EN138" s="150">
        <v>8</v>
      </c>
      <c r="EO138" s="150">
        <v>10</v>
      </c>
      <c r="EP138" s="150">
        <v>12</v>
      </c>
      <c r="EQ138" s="150">
        <v>14</v>
      </c>
      <c r="ER138" s="150">
        <v>16</v>
      </c>
      <c r="ES138" s="150">
        <v>18</v>
      </c>
      <c r="ET138" s="150">
        <v>20</v>
      </c>
      <c r="EU138" s="150">
        <v>22</v>
      </c>
      <c r="EV138" s="150">
        <v>24</v>
      </c>
      <c r="EW138" s="150">
        <v>26</v>
      </c>
      <c r="EX138" s="150">
        <v>28</v>
      </c>
      <c r="EY138" s="150">
        <v>30</v>
      </c>
      <c r="EZ138" s="150">
        <v>32</v>
      </c>
      <c r="FA138" s="150">
        <v>34</v>
      </c>
      <c r="FB138" s="150">
        <v>36</v>
      </c>
      <c r="FC138" s="150">
        <v>38</v>
      </c>
      <c r="FD138" s="150">
        <v>40</v>
      </c>
      <c r="FE138" s="150">
        <v>42</v>
      </c>
      <c r="FF138" s="150">
        <v>44</v>
      </c>
      <c r="FG138" s="150">
        <v>46</v>
      </c>
      <c r="FH138" s="150">
        <v>48</v>
      </c>
      <c r="FI138" s="150">
        <v>50</v>
      </c>
      <c r="FJ138" s="150"/>
      <c r="FK138" s="150" t="s">
        <v>474</v>
      </c>
      <c r="FL138" s="150">
        <v>0</v>
      </c>
      <c r="FM138" s="150">
        <v>6</v>
      </c>
      <c r="FN138" s="150">
        <v>8</v>
      </c>
      <c r="FO138" s="150">
        <v>10</v>
      </c>
      <c r="FP138" s="150">
        <v>12</v>
      </c>
      <c r="FQ138" s="150">
        <v>14</v>
      </c>
      <c r="FR138" s="150">
        <v>16</v>
      </c>
      <c r="FS138" s="150">
        <v>18</v>
      </c>
      <c r="FT138" s="150">
        <v>20</v>
      </c>
      <c r="FU138" s="150">
        <v>22</v>
      </c>
      <c r="FV138" s="150">
        <v>24</v>
      </c>
      <c r="FW138" s="150">
        <v>26</v>
      </c>
      <c r="FX138" s="150">
        <v>28</v>
      </c>
      <c r="FY138" s="150">
        <v>30</v>
      </c>
      <c r="FZ138" s="150">
        <v>32</v>
      </c>
      <c r="GA138" s="150">
        <v>34</v>
      </c>
      <c r="GB138" s="150">
        <v>36</v>
      </c>
      <c r="GC138" s="150">
        <v>38</v>
      </c>
      <c r="GD138" s="150">
        <v>40</v>
      </c>
      <c r="GE138" s="150">
        <v>42</v>
      </c>
      <c r="GF138" s="150">
        <v>44</v>
      </c>
      <c r="GG138" s="150">
        <v>46</v>
      </c>
      <c r="GH138" s="150">
        <v>48</v>
      </c>
      <c r="GI138" s="150">
        <v>50</v>
      </c>
      <c r="GJ138" s="150"/>
      <c r="GK138" s="150"/>
      <c r="GL138" s="156"/>
      <c r="GM138" s="150"/>
      <c r="GN138" s="150"/>
      <c r="GO138" s="150"/>
      <c r="GP138" s="150"/>
      <c r="GQ138" s="150"/>
      <c r="GR138" s="150"/>
      <c r="GS138" s="150"/>
      <c r="GT138" s="150"/>
      <c r="GU138" s="150"/>
      <c r="GV138" s="150"/>
      <c r="GW138" s="150"/>
      <c r="GX138" s="150"/>
      <c r="GY138" s="150"/>
      <c r="GZ138" s="150"/>
      <c r="HA138" s="150"/>
      <c r="HB138" s="150"/>
      <c r="HC138" s="150"/>
      <c r="HD138" s="150"/>
      <c r="HE138" s="150"/>
      <c r="HF138" s="150"/>
      <c r="HG138" s="150"/>
      <c r="HH138" s="150"/>
    </row>
    <row r="139" spans="1:252" x14ac:dyDescent="0.25">
      <c r="A139" s="8"/>
      <c r="B139" s="5" t="s">
        <v>116</v>
      </c>
      <c r="C139" s="8"/>
      <c r="D139" s="6" t="s">
        <v>788</v>
      </c>
      <c r="E139" s="8" t="s">
        <v>1157</v>
      </c>
      <c r="F139" s="39" t="s">
        <v>790</v>
      </c>
      <c r="G139" s="9"/>
      <c r="H139" s="9"/>
      <c r="I139" s="9"/>
      <c r="J139" s="9"/>
      <c r="K139" s="9"/>
      <c r="L139" s="6" t="str">
        <f>IF(L137="BDFCH120/4,4NMC","-------",IF(L137="BDFCH120/4,8NMC","-------",IF(L137="BDFCH120/5,4NMC","CMP41H41/1,2MC",0)))</f>
        <v>CMP41H41/1,2MC</v>
      </c>
      <c r="M139" s="11">
        <f>INDEX(cennik!$C$2:$L$529,MATCH($L139,cennik!$B$2:$B$522,0),MATCH(M$2,cennik!$C$1:$L$1,0))</f>
        <v>856211</v>
      </c>
      <c r="N139" s="11" t="str">
        <f>INDEX(cennik!$C$2:$L$529,MATCH($L139,cennik!$B$2:$B$522,0),MATCH(N$2,cennik!$C$1:$L$1,0))</f>
        <v>szt.</v>
      </c>
      <c r="O139" s="11">
        <f>IF(L139="-------",0,O138)</f>
        <v>0</v>
      </c>
      <c r="P139" s="34">
        <f>INDEX(cennik!$C$2:$L$529,MATCH($L139,cennik!$B$2:$B$522,0),MATCH(P$2,cennik!$C$1:$L$1,0))</f>
        <v>25.2</v>
      </c>
      <c r="Q139" s="34">
        <f t="shared" ref="Q139" si="333">O139*P139</f>
        <v>0</v>
      </c>
      <c r="R139" s="35">
        <f t="shared" si="326"/>
        <v>0</v>
      </c>
      <c r="S139" s="34">
        <f t="shared" si="325"/>
        <v>25.2</v>
      </c>
      <c r="T139" s="34">
        <f t="shared" ref="T139" si="334">O139*S139</f>
        <v>0</v>
      </c>
      <c r="U139" s="34">
        <f>INDEX(cennik!$C$2:$L$529,MATCH($L139,cennik!$B$2:$B$522,0),MATCH(U$2,cennik!$C$1:$L$1,0))*O139</f>
        <v>0</v>
      </c>
      <c r="V139" s="62"/>
      <c r="W139" s="170">
        <f>(INDEX(($EL$112:$FI$115,$EL$118:$FI$121,$FL$112:$GI$115,$FL$118:$GI$121,$GS$112:$HP$116,$GS$119:$HP$123,$HT$112:$IQ$116,$HT$119:$IQ$123,$HT$126:$IQ$130),MATCH($L$145,$EK$112:$EK$115,0),MATCH(A145,$EL$111:$FI$111,0),MATCH($G$131,$AE$24:$AE$32,0)))*C145</f>
        <v>0</v>
      </c>
      <c r="X139" s="170">
        <f>(INDEX(($EL$112:$FI$115,$EL$118:$FI$121,$FL$112:$GI$115,$FL$118:$GI$121,$GS$112:$HP$116,$GS$119:$HP$123,$HT$112:$IQ$116,$HT$119:$IQ$123,$HT$126:$IQ$130),MATCH($L$142,$EK$112:$EK$115,0),MATCH(A145,$EL$111:$FI$111,0),MATCH($G$131,$AE$24:$AE$32,0)))*C145</f>
        <v>0</v>
      </c>
      <c r="Y139" s="170">
        <f>(INDEX(($EL$112:$FI$115,$EL$118:$FI$121,$FL$112:$GI$115,$FL$118:$GI$121,$GS$112:$HP$116,$GS$119:$HP$123,$HT$112:$IQ$116,$HT$119:$IQ$123,$HT$126:$IQ$130),MATCH($L$143,$EK$112:$EK$115,0),MATCH(A145,$EL$111:$FI$111,0),MATCH($G$131,$AE$24:$AE$32,0)))*C145</f>
        <v>0</v>
      </c>
      <c r="Z139" s="170">
        <f>(INDEX(($EL$112:$FI$115,$EL$118:$FI$121,$FL$112:$GI$115,$FL$118:$GI$121,$GS$112:$HP$116,$GS$119:$HP$123,$HT$112:$IQ$116,$HT$119:$IQ$123,$HT$126:$IQ$130),MATCH($L$144,$EK$112:$EK$115,0),MATCH(A145,$EL$111:$FI$111,0),MATCH($G$131,$AE$24:$AE$32,0)))*C145</f>
        <v>0</v>
      </c>
      <c r="AA139" s="150"/>
      <c r="AB139" s="150"/>
      <c r="AC139" s="150"/>
      <c r="AD139" s="150"/>
      <c r="AE139" s="150"/>
      <c r="AF139" s="150"/>
      <c r="AG139" s="150"/>
      <c r="AH139" s="150">
        <v>50</v>
      </c>
      <c r="AI139" s="150">
        <v>1150</v>
      </c>
      <c r="AJ139" s="150"/>
      <c r="AK139" s="150"/>
      <c r="AL139" s="150"/>
      <c r="AM139" s="150"/>
      <c r="AP139" s="150" t="s">
        <v>472</v>
      </c>
      <c r="AQ139" s="150" t="s">
        <v>151</v>
      </c>
      <c r="AR139" s="154" t="s">
        <v>151</v>
      </c>
      <c r="AS139" s="154" t="s">
        <v>151</v>
      </c>
      <c r="AT139" s="154" t="s">
        <v>151</v>
      </c>
      <c r="AU139" s="150"/>
      <c r="AV139" s="150"/>
      <c r="AW139" s="150"/>
      <c r="AX139" s="150"/>
      <c r="AY139" s="150"/>
      <c r="AZ139" s="150"/>
      <c r="BA139" s="150"/>
      <c r="BB139" s="150"/>
      <c r="BC139" s="150"/>
      <c r="BD139" s="150"/>
      <c r="BE139" s="150"/>
      <c r="BF139" s="150"/>
      <c r="BG139" s="150"/>
      <c r="BH139" s="150" t="s">
        <v>217</v>
      </c>
      <c r="BI139" s="150">
        <v>0</v>
      </c>
      <c r="BJ139" s="150">
        <v>0</v>
      </c>
      <c r="BK139" s="150">
        <v>0</v>
      </c>
      <c r="BL139" s="150">
        <v>4</v>
      </c>
      <c r="BM139" s="150">
        <v>4</v>
      </c>
      <c r="BN139" s="150">
        <v>0</v>
      </c>
      <c r="BO139" s="150">
        <v>4</v>
      </c>
      <c r="BP139" s="150">
        <v>4</v>
      </c>
      <c r="BQ139" s="150">
        <v>4</v>
      </c>
      <c r="BR139" s="150">
        <v>0</v>
      </c>
      <c r="BS139" s="150">
        <v>8</v>
      </c>
      <c r="BT139" s="150">
        <v>4</v>
      </c>
      <c r="BU139" s="150">
        <v>4</v>
      </c>
      <c r="BV139" s="150">
        <v>4</v>
      </c>
      <c r="BW139" s="150">
        <v>4</v>
      </c>
      <c r="BX139" s="150">
        <v>4</v>
      </c>
      <c r="BY139" s="150">
        <v>4</v>
      </c>
      <c r="BZ139" s="150">
        <v>8</v>
      </c>
      <c r="CA139" s="150">
        <v>8</v>
      </c>
      <c r="CB139" s="150">
        <v>12</v>
      </c>
      <c r="CC139" s="150">
        <v>12</v>
      </c>
      <c r="CD139" s="150">
        <v>12</v>
      </c>
      <c r="CE139" s="150">
        <v>12</v>
      </c>
      <c r="CF139" s="150">
        <v>16</v>
      </c>
      <c r="CG139" s="150"/>
      <c r="CH139" s="150"/>
      <c r="CI139" s="150"/>
      <c r="CJ139" s="150"/>
      <c r="CK139" s="150"/>
      <c r="CL139" s="150"/>
      <c r="CM139" s="150"/>
      <c r="CN139" s="150" t="s">
        <v>217</v>
      </c>
      <c r="CO139" s="150">
        <v>0</v>
      </c>
      <c r="CP139" s="150">
        <v>0</v>
      </c>
      <c r="CQ139" s="150">
        <v>4</v>
      </c>
      <c r="CR139" s="150">
        <v>4</v>
      </c>
      <c r="CS139" s="150">
        <v>0</v>
      </c>
      <c r="CT139" s="150">
        <v>0</v>
      </c>
      <c r="CU139" s="150">
        <v>4</v>
      </c>
      <c r="CV139" s="150">
        <v>4</v>
      </c>
      <c r="CW139" s="150">
        <v>0</v>
      </c>
      <c r="CX139" s="150">
        <v>8</v>
      </c>
      <c r="CY139" s="150">
        <v>4</v>
      </c>
      <c r="CZ139" s="150">
        <v>4</v>
      </c>
      <c r="DA139" s="150">
        <v>8</v>
      </c>
      <c r="DB139" s="150">
        <v>8</v>
      </c>
      <c r="DC139" s="150">
        <v>4</v>
      </c>
      <c r="DD139" s="150">
        <v>12</v>
      </c>
      <c r="DE139" s="150">
        <v>8</v>
      </c>
      <c r="DF139" s="150">
        <v>8</v>
      </c>
      <c r="DG139" s="150">
        <v>12</v>
      </c>
      <c r="DH139" s="150">
        <v>12</v>
      </c>
      <c r="DI139" s="150">
        <v>8</v>
      </c>
      <c r="DJ139" s="150">
        <v>16</v>
      </c>
      <c r="DK139" s="150">
        <v>12</v>
      </c>
      <c r="DL139" s="150">
        <v>12</v>
      </c>
      <c r="DM139" s="150"/>
      <c r="DN139" s="150"/>
      <c r="DO139" s="150"/>
      <c r="DP139" s="150"/>
      <c r="DQ139" s="181">
        <v>8</v>
      </c>
      <c r="DR139" s="181">
        <v>8</v>
      </c>
      <c r="DS139" s="181"/>
      <c r="DT139" s="150"/>
      <c r="DU139" s="150"/>
      <c r="DV139" s="150"/>
      <c r="DW139" s="150"/>
      <c r="DX139" s="150"/>
      <c r="DY139" s="150"/>
      <c r="DZ139" s="150"/>
      <c r="EA139" s="150"/>
      <c r="EB139" s="150"/>
      <c r="EC139" s="150"/>
      <c r="ED139" s="150"/>
      <c r="EE139" s="150"/>
      <c r="EF139" s="150"/>
      <c r="EG139" s="150"/>
      <c r="EH139" s="150"/>
      <c r="EI139" s="155"/>
      <c r="EJ139" s="150"/>
      <c r="EK139" s="150" t="s">
        <v>586</v>
      </c>
      <c r="EL139" s="150">
        <v>0</v>
      </c>
      <c r="EM139" s="154">
        <v>0</v>
      </c>
      <c r="EN139" s="154">
        <v>0</v>
      </c>
      <c r="EO139" s="154">
        <v>4</v>
      </c>
      <c r="EP139" s="154">
        <v>0</v>
      </c>
      <c r="EQ139" s="154">
        <v>0</v>
      </c>
      <c r="ER139" s="154">
        <v>0</v>
      </c>
      <c r="ES139" s="154">
        <v>0</v>
      </c>
      <c r="ET139" s="154">
        <v>0</v>
      </c>
      <c r="EU139" s="154">
        <v>0</v>
      </c>
      <c r="EV139" s="154">
        <v>0</v>
      </c>
      <c r="EW139" s="154">
        <v>0</v>
      </c>
      <c r="EX139" s="154">
        <v>0</v>
      </c>
      <c r="EY139" s="154">
        <v>0</v>
      </c>
      <c r="EZ139" s="154">
        <v>0</v>
      </c>
      <c r="FA139" s="154">
        <v>0</v>
      </c>
      <c r="FB139" s="154">
        <v>0</v>
      </c>
      <c r="FC139" s="154">
        <v>0</v>
      </c>
      <c r="FD139" s="154">
        <v>0</v>
      </c>
      <c r="FE139" s="154">
        <v>0</v>
      </c>
      <c r="FF139" s="154">
        <v>0</v>
      </c>
      <c r="FG139" s="154">
        <v>0</v>
      </c>
      <c r="FH139" s="154">
        <v>0</v>
      </c>
      <c r="FI139" s="154">
        <v>0</v>
      </c>
      <c r="FK139" s="150" t="s">
        <v>586</v>
      </c>
      <c r="FL139" s="150">
        <v>0</v>
      </c>
      <c r="FM139" s="154">
        <v>0</v>
      </c>
      <c r="FN139" s="154">
        <v>4</v>
      </c>
      <c r="FO139" s="154">
        <v>4</v>
      </c>
      <c r="FP139" s="154">
        <v>0</v>
      </c>
      <c r="FQ139" s="154">
        <v>0</v>
      </c>
      <c r="FR139" s="154">
        <v>0</v>
      </c>
      <c r="FS139" s="154">
        <v>0</v>
      </c>
      <c r="FT139" s="154">
        <v>0</v>
      </c>
      <c r="FU139" s="154">
        <v>0</v>
      </c>
      <c r="FV139" s="154">
        <v>0</v>
      </c>
      <c r="FW139" s="154">
        <v>0</v>
      </c>
      <c r="FX139" s="154">
        <v>0</v>
      </c>
      <c r="FY139" s="154">
        <v>0</v>
      </c>
      <c r="FZ139" s="154">
        <v>0</v>
      </c>
      <c r="GA139" s="154">
        <v>0</v>
      </c>
      <c r="GB139" s="154">
        <v>0</v>
      </c>
      <c r="GC139" s="154">
        <v>0</v>
      </c>
      <c r="GD139" s="154">
        <v>0</v>
      </c>
      <c r="GE139" s="154">
        <v>0</v>
      </c>
      <c r="GF139" s="154">
        <v>0</v>
      </c>
      <c r="GG139" s="154">
        <v>0</v>
      </c>
      <c r="GH139" s="154">
        <v>0</v>
      </c>
      <c r="GI139" s="154">
        <v>0</v>
      </c>
      <c r="GJ139" s="150"/>
      <c r="GK139" s="150"/>
      <c r="GL139" s="156"/>
      <c r="GM139" s="150"/>
      <c r="GN139" s="150"/>
      <c r="GO139" s="150"/>
      <c r="GP139" s="150"/>
      <c r="GQ139" s="150"/>
      <c r="GR139" s="150"/>
      <c r="GS139" s="150"/>
      <c r="GT139" s="150"/>
      <c r="GU139" s="150"/>
      <c r="GV139" s="150"/>
      <c r="GW139" s="150"/>
      <c r="GX139" s="150"/>
      <c r="GY139" s="150"/>
      <c r="GZ139" s="150"/>
      <c r="HA139" s="150"/>
      <c r="HB139" s="150"/>
      <c r="HC139" s="150"/>
      <c r="HD139" s="150"/>
      <c r="HE139" s="150"/>
      <c r="HF139" s="150"/>
      <c r="HG139" s="150"/>
      <c r="HH139" s="150"/>
    </row>
    <row r="140" spans="1:252" x14ac:dyDescent="0.25">
      <c r="A140" s="8"/>
      <c r="B140" s="5" t="s">
        <v>116</v>
      </c>
      <c r="C140" s="8"/>
      <c r="D140" s="6" t="s">
        <v>718</v>
      </c>
      <c r="E140" s="32">
        <f>INDEX((AJ132:AN134),MATCH(E138,AI132:AI134,0),MATCH(E139,AJ131:AN131,0))</f>
        <v>2900</v>
      </c>
      <c r="F140" s="9"/>
      <c r="G140" s="9"/>
      <c r="H140" s="9"/>
      <c r="I140" s="9"/>
      <c r="J140" s="29" t="s">
        <v>119</v>
      </c>
      <c r="K140" s="9"/>
      <c r="L140" s="6" t="str">
        <f>IF(E140=$AJ$132,"CMP41H41/3,7MC",IF(E140=$AL$132,"CMP41H41/3,7MC",IF(E140=$AL$134,"CMP41H41/3,5MC",IF(E140=$AN$134,"CMP41H41/3MC","-------"))))</f>
        <v>CMP41H41/3,7MC</v>
      </c>
      <c r="M140" s="11">
        <f>INDEX(cennik!$C$2:$L$529,MATCH($L140,cennik!$B$2:$B$522,0),MATCH(M$2,cennik!$C$1:$L$1,0))</f>
        <v>852137</v>
      </c>
      <c r="N140" s="11" t="str">
        <f>INDEX(cennik!$C$2:$L$529,MATCH($L140,cennik!$B$2:$B$522,0),MATCH(N$2,cennik!$C$1:$L$1,0))</f>
        <v>szt.</v>
      </c>
      <c r="O140" s="10">
        <f>SUM(AA122:AA137)</f>
        <v>0</v>
      </c>
      <c r="P140" s="34">
        <f>INDEX(cennik!$C$2:$L$529,MATCH($L140,cennik!$B$2:$B$522,0),MATCH(P$2,cennik!$C$1:$L$1,0))</f>
        <v>77.7</v>
      </c>
      <c r="Q140" s="34">
        <f>O140*P140</f>
        <v>0</v>
      </c>
      <c r="R140" s="35">
        <f t="shared" si="326"/>
        <v>0</v>
      </c>
      <c r="S140" s="34">
        <f t="shared" si="325"/>
        <v>77.7</v>
      </c>
      <c r="T140" s="34">
        <f>O140*S140</f>
        <v>0</v>
      </c>
      <c r="U140" s="34">
        <f>INDEX(cennik!$C$2:$L$529,MATCH($L140,cennik!$B$2:$B$522,0),MATCH(U$2,cennik!$C$1:$L$1,0))*O140</f>
        <v>0</v>
      </c>
      <c r="V140" s="62"/>
      <c r="AC140" s="150"/>
      <c r="AD140" s="150"/>
      <c r="AE140" s="150"/>
      <c r="AF140" s="150"/>
      <c r="AG140" s="150"/>
      <c r="AH140" s="150">
        <f>((AH139/2)*AI139)+(((AH139/2)-1)*20)+100</f>
        <v>29330</v>
      </c>
      <c r="AI140" s="150" t="s">
        <v>158</v>
      </c>
      <c r="AJ140" s="150" t="s">
        <v>156</v>
      </c>
      <c r="AK140" s="150" t="s">
        <v>155</v>
      </c>
      <c r="AL140" s="150"/>
      <c r="AM140" s="150" t="s">
        <v>157</v>
      </c>
      <c r="AP140" s="150" t="s">
        <v>471</v>
      </c>
      <c r="AQ140" s="150" t="s">
        <v>592</v>
      </c>
      <c r="AR140" s="154" t="s">
        <v>151</v>
      </c>
      <c r="AS140" s="154" t="s">
        <v>151</v>
      </c>
      <c r="AT140" s="154" t="s">
        <v>151</v>
      </c>
      <c r="AU140" s="150"/>
      <c r="AV140" s="150"/>
      <c r="AW140" s="150"/>
      <c r="AX140" s="150"/>
      <c r="AY140" s="150"/>
      <c r="AZ140" s="150"/>
      <c r="BA140" s="150"/>
      <c r="BB140" s="150"/>
      <c r="BC140" s="150"/>
      <c r="BD140" s="150"/>
      <c r="BE140" s="150"/>
      <c r="BF140" s="150"/>
      <c r="BG140" s="150"/>
      <c r="BH140" s="150" t="s">
        <v>216</v>
      </c>
      <c r="BI140" s="150">
        <v>0</v>
      </c>
      <c r="BJ140" s="150">
        <v>0</v>
      </c>
      <c r="BK140" s="150">
        <v>4</v>
      </c>
      <c r="BL140" s="150">
        <v>0</v>
      </c>
      <c r="BM140" s="150">
        <v>0</v>
      </c>
      <c r="BN140" s="150">
        <v>4</v>
      </c>
      <c r="BO140" s="150">
        <v>0</v>
      </c>
      <c r="BP140" s="150">
        <v>0</v>
      </c>
      <c r="BQ140" s="150">
        <v>4</v>
      </c>
      <c r="BR140" s="150">
        <v>8</v>
      </c>
      <c r="BS140" s="150">
        <v>0</v>
      </c>
      <c r="BT140" s="150">
        <v>8</v>
      </c>
      <c r="BU140" s="150">
        <v>8</v>
      </c>
      <c r="BV140" s="150">
        <v>8</v>
      </c>
      <c r="BW140" s="150">
        <v>8</v>
      </c>
      <c r="BX140" s="150">
        <v>8</v>
      </c>
      <c r="BY140" s="150">
        <v>8</v>
      </c>
      <c r="BZ140" s="150">
        <v>8</v>
      </c>
      <c r="CA140" s="150">
        <v>8</v>
      </c>
      <c r="CB140" s="150">
        <v>4</v>
      </c>
      <c r="CC140" s="150">
        <v>4</v>
      </c>
      <c r="CD140" s="150">
        <v>4</v>
      </c>
      <c r="CE140" s="150">
        <v>4</v>
      </c>
      <c r="CF140" s="150">
        <v>0</v>
      </c>
      <c r="CG140" s="150"/>
      <c r="CH140" s="150"/>
      <c r="CI140" s="150"/>
      <c r="CJ140" s="150"/>
      <c r="CK140" s="150"/>
      <c r="CL140" s="150"/>
      <c r="CM140" s="150"/>
      <c r="CN140" s="150" t="s">
        <v>216</v>
      </c>
      <c r="CO140" s="150">
        <v>0</v>
      </c>
      <c r="CP140" s="150">
        <v>4</v>
      </c>
      <c r="CQ140" s="150">
        <v>0</v>
      </c>
      <c r="CR140" s="150">
        <v>0</v>
      </c>
      <c r="CS140" s="150">
        <v>4</v>
      </c>
      <c r="CT140" s="150">
        <v>8</v>
      </c>
      <c r="CU140" s="150">
        <v>0</v>
      </c>
      <c r="CV140" s="150">
        <v>4</v>
      </c>
      <c r="CW140" s="150">
        <v>8</v>
      </c>
      <c r="CX140" s="150">
        <v>0</v>
      </c>
      <c r="CY140" s="150">
        <v>4</v>
      </c>
      <c r="CZ140" s="150">
        <v>8</v>
      </c>
      <c r="DA140" s="150">
        <v>0</v>
      </c>
      <c r="DB140" s="150">
        <v>4</v>
      </c>
      <c r="DC140" s="150">
        <v>8</v>
      </c>
      <c r="DD140" s="150">
        <v>0</v>
      </c>
      <c r="DE140" s="150">
        <v>4</v>
      </c>
      <c r="DF140" s="150">
        <v>8</v>
      </c>
      <c r="DG140" s="150">
        <v>0</v>
      </c>
      <c r="DH140" s="150">
        <v>4</v>
      </c>
      <c r="DI140" s="150">
        <v>8</v>
      </c>
      <c r="DJ140" s="150">
        <v>0</v>
      </c>
      <c r="DK140" s="150">
        <v>4</v>
      </c>
      <c r="DL140" s="150">
        <v>8</v>
      </c>
      <c r="DM140" s="150"/>
      <c r="DN140" s="150"/>
      <c r="DO140" s="150"/>
      <c r="DP140" s="150"/>
      <c r="DQ140" s="181">
        <v>10</v>
      </c>
      <c r="DR140" s="181">
        <v>10</v>
      </c>
      <c r="DS140" s="181"/>
      <c r="DT140" s="150"/>
      <c r="DU140" s="150"/>
      <c r="DV140" s="150"/>
      <c r="DW140" s="150"/>
      <c r="DX140" s="150"/>
      <c r="DY140" s="150"/>
      <c r="DZ140" s="150"/>
      <c r="EA140" s="150"/>
      <c r="EB140" s="150"/>
      <c r="EC140" s="150"/>
      <c r="ED140" s="150"/>
      <c r="EE140" s="150"/>
      <c r="EF140" s="150"/>
      <c r="EG140" s="150"/>
      <c r="EH140" s="150"/>
      <c r="EI140" s="155"/>
      <c r="EK140" s="150" t="s">
        <v>522</v>
      </c>
      <c r="EL140" s="150">
        <v>0</v>
      </c>
      <c r="EM140" s="150">
        <f t="shared" ref="EM140:FI140" si="335">BJ140</f>
        <v>0</v>
      </c>
      <c r="EN140" s="150">
        <f t="shared" si="335"/>
        <v>4</v>
      </c>
      <c r="EO140" s="150">
        <f t="shared" si="335"/>
        <v>0</v>
      </c>
      <c r="EP140" s="150">
        <f t="shared" si="335"/>
        <v>0</v>
      </c>
      <c r="EQ140" s="150">
        <f t="shared" si="335"/>
        <v>4</v>
      </c>
      <c r="ER140" s="150">
        <f t="shared" si="335"/>
        <v>0</v>
      </c>
      <c r="ES140" s="150">
        <f t="shared" si="335"/>
        <v>0</v>
      </c>
      <c r="ET140" s="150">
        <f t="shared" si="335"/>
        <v>4</v>
      </c>
      <c r="EU140" s="150">
        <f t="shared" si="335"/>
        <v>8</v>
      </c>
      <c r="EV140" s="150">
        <f t="shared" si="335"/>
        <v>0</v>
      </c>
      <c r="EW140" s="150">
        <f t="shared" si="335"/>
        <v>8</v>
      </c>
      <c r="EX140" s="150">
        <f t="shared" si="335"/>
        <v>8</v>
      </c>
      <c r="EY140" s="150">
        <f t="shared" si="335"/>
        <v>8</v>
      </c>
      <c r="EZ140" s="150">
        <f t="shared" si="335"/>
        <v>8</v>
      </c>
      <c r="FA140" s="150">
        <f t="shared" si="335"/>
        <v>8</v>
      </c>
      <c r="FB140" s="150">
        <f t="shared" si="335"/>
        <v>8</v>
      </c>
      <c r="FC140" s="150">
        <f t="shared" si="335"/>
        <v>8</v>
      </c>
      <c r="FD140" s="150">
        <f t="shared" si="335"/>
        <v>8</v>
      </c>
      <c r="FE140" s="150">
        <f t="shared" si="335"/>
        <v>4</v>
      </c>
      <c r="FF140" s="150">
        <f t="shared" si="335"/>
        <v>4</v>
      </c>
      <c r="FG140" s="150">
        <f t="shared" si="335"/>
        <v>4</v>
      </c>
      <c r="FH140" s="150">
        <f t="shared" si="335"/>
        <v>4</v>
      </c>
      <c r="FI140" s="150">
        <f t="shared" si="335"/>
        <v>0</v>
      </c>
      <c r="FJ140" s="150"/>
      <c r="FK140" s="150" t="s">
        <v>522</v>
      </c>
      <c r="FL140" s="150">
        <v>0</v>
      </c>
      <c r="FM140" s="150">
        <f>CP140</f>
        <v>4</v>
      </c>
      <c r="FN140" s="150">
        <v>0</v>
      </c>
      <c r="FO140" s="150">
        <v>0</v>
      </c>
      <c r="FP140" s="150">
        <f t="shared" ref="FP140:GI140" si="336">CS140</f>
        <v>4</v>
      </c>
      <c r="FQ140" s="150">
        <f t="shared" si="336"/>
        <v>8</v>
      </c>
      <c r="FR140" s="150">
        <f t="shared" si="336"/>
        <v>0</v>
      </c>
      <c r="FS140" s="150">
        <f t="shared" si="336"/>
        <v>4</v>
      </c>
      <c r="FT140" s="150">
        <f t="shared" si="336"/>
        <v>8</v>
      </c>
      <c r="FU140" s="150">
        <f t="shared" si="336"/>
        <v>0</v>
      </c>
      <c r="FV140" s="150">
        <f t="shared" si="336"/>
        <v>4</v>
      </c>
      <c r="FW140" s="150">
        <f t="shared" si="336"/>
        <v>8</v>
      </c>
      <c r="FX140" s="150">
        <f t="shared" si="336"/>
        <v>0</v>
      </c>
      <c r="FY140" s="150">
        <f t="shared" si="336"/>
        <v>4</v>
      </c>
      <c r="FZ140" s="150">
        <f t="shared" si="336"/>
        <v>8</v>
      </c>
      <c r="GA140" s="150">
        <f t="shared" si="336"/>
        <v>0</v>
      </c>
      <c r="GB140" s="150">
        <f t="shared" si="336"/>
        <v>4</v>
      </c>
      <c r="GC140" s="150">
        <f t="shared" si="336"/>
        <v>8</v>
      </c>
      <c r="GD140" s="150">
        <f t="shared" si="336"/>
        <v>0</v>
      </c>
      <c r="GE140" s="150">
        <f t="shared" si="336"/>
        <v>4</v>
      </c>
      <c r="GF140" s="150">
        <f t="shared" si="336"/>
        <v>8</v>
      </c>
      <c r="GG140" s="150">
        <f t="shared" si="336"/>
        <v>0</v>
      </c>
      <c r="GH140" s="150">
        <f t="shared" si="336"/>
        <v>4</v>
      </c>
      <c r="GI140" s="150">
        <f t="shared" si="336"/>
        <v>8</v>
      </c>
      <c r="GJ140" s="150"/>
      <c r="GK140" s="150"/>
      <c r="GL140" s="156"/>
      <c r="GM140" s="150"/>
      <c r="GN140" s="150"/>
      <c r="GO140" s="150"/>
      <c r="GP140" s="150"/>
      <c r="GQ140" s="150"/>
      <c r="GR140" s="150"/>
      <c r="GS140" s="150"/>
      <c r="GT140" s="150"/>
      <c r="GU140" s="150"/>
      <c r="GV140" s="150"/>
      <c r="GW140" s="150"/>
      <c r="GX140" s="150"/>
      <c r="GY140" s="150"/>
      <c r="GZ140" s="150"/>
      <c r="HA140" s="150"/>
      <c r="HB140" s="150"/>
      <c r="HC140" s="150"/>
      <c r="HD140" s="150"/>
      <c r="HE140" s="150"/>
      <c r="HF140" s="150"/>
      <c r="HG140" s="150"/>
      <c r="HH140" s="150"/>
    </row>
    <row r="141" spans="1:252" x14ac:dyDescent="0.25">
      <c r="A141" s="8"/>
      <c r="B141" s="5" t="s">
        <v>116</v>
      </c>
      <c r="C141" s="8"/>
      <c r="D141" s="6" t="str">
        <f>IF(E133=$AC$8,"długość śruby GSW","")</f>
        <v/>
      </c>
      <c r="E141" s="38">
        <v>1600</v>
      </c>
      <c r="F141" s="9"/>
      <c r="G141" s="9"/>
      <c r="H141" s="9"/>
      <c r="I141" s="9"/>
      <c r="J141" s="29" t="str">
        <f>IF(E133=$AC$8,"[mm]","")</f>
        <v/>
      </c>
      <c r="K141" s="9"/>
      <c r="L141" s="6" t="s">
        <v>1111</v>
      </c>
      <c r="M141" s="11">
        <f>INDEX(cennik!$C$2:$L$529,MATCH($L141,cennik!$B$2:$B$522,0),MATCH(M$2,cennik!$C$1:$L$1,0))</f>
        <v>850252</v>
      </c>
      <c r="N141" s="11" t="str">
        <f>INDEX(cennik!$C$2:$L$529,MATCH($L141,cennik!$B$2:$B$522,0),MATCH(N$2,cennik!$C$1:$L$1,0))</f>
        <v>szt.</v>
      </c>
      <c r="O141" s="11">
        <f>O133+O139</f>
        <v>0</v>
      </c>
      <c r="P141" s="34">
        <f>INDEX(cennik!$C$2:$L$529,MATCH($L141,cennik!$B$2:$B$522,0),MATCH(P$2,cennik!$C$1:$L$1,0))</f>
        <v>6.06</v>
      </c>
      <c r="Q141" s="34">
        <f>O141*P141</f>
        <v>0</v>
      </c>
      <c r="R141" s="35">
        <f t="shared" si="326"/>
        <v>0</v>
      </c>
      <c r="S141" s="34">
        <f t="shared" si="325"/>
        <v>6.06</v>
      </c>
      <c r="T141" s="34">
        <f>O141*S141</f>
        <v>0</v>
      </c>
      <c r="U141" s="34">
        <f>INDEX(cennik!$C$2:$L$529,MATCH($L141,cennik!$B$2:$B$522,0),MATCH(U$2,cennik!$C$1:$L$1,0))*O141</f>
        <v>0</v>
      </c>
      <c r="V141" s="62"/>
      <c r="AC141" s="150"/>
      <c r="AD141" s="150"/>
      <c r="AE141" s="150"/>
      <c r="AF141" s="150"/>
      <c r="AG141" s="150" t="s">
        <v>217</v>
      </c>
      <c r="AH141" s="150">
        <v>6600</v>
      </c>
      <c r="AI141" s="150">
        <v>4</v>
      </c>
      <c r="AJ141" s="150">
        <f>AH141*AI141</f>
        <v>26400</v>
      </c>
      <c r="AK141" s="150">
        <v>191.1</v>
      </c>
      <c r="AL141" s="150">
        <f>AI141*AK141</f>
        <v>764.4</v>
      </c>
      <c r="AM141" s="150">
        <f>AI141*4</f>
        <v>16</v>
      </c>
      <c r="AP141" s="150" t="s">
        <v>473</v>
      </c>
      <c r="AQ141" s="150" t="s">
        <v>592</v>
      </c>
      <c r="AR141" s="154" t="s">
        <v>151</v>
      </c>
      <c r="AS141" s="154" t="s">
        <v>151</v>
      </c>
      <c r="AT141" s="154" t="s">
        <v>151</v>
      </c>
      <c r="AU141" s="150"/>
      <c r="AV141" s="150"/>
      <c r="AW141" s="150"/>
      <c r="AX141" s="150"/>
      <c r="AY141" s="150"/>
      <c r="AZ141" s="150"/>
      <c r="BA141" s="150"/>
      <c r="BB141" s="150"/>
      <c r="BC141" s="150"/>
      <c r="BD141" s="150"/>
      <c r="BE141" s="150"/>
      <c r="BF141" s="150"/>
      <c r="BG141" s="150"/>
      <c r="BH141" s="150" t="s">
        <v>17</v>
      </c>
      <c r="BI141" s="150">
        <v>0</v>
      </c>
      <c r="BJ141" s="150">
        <v>4</v>
      </c>
      <c r="BK141" s="150">
        <v>0</v>
      </c>
      <c r="BL141" s="150">
        <v>0</v>
      </c>
      <c r="BM141" s="150">
        <v>0</v>
      </c>
      <c r="BN141" s="150">
        <v>4</v>
      </c>
      <c r="BO141" s="150">
        <v>4</v>
      </c>
      <c r="BP141" s="150">
        <v>4</v>
      </c>
      <c r="BQ141" s="150">
        <v>0</v>
      </c>
      <c r="BR141" s="150">
        <v>4</v>
      </c>
      <c r="BS141" s="150">
        <v>0</v>
      </c>
      <c r="BT141" s="150">
        <v>0</v>
      </c>
      <c r="BU141" s="150">
        <v>0</v>
      </c>
      <c r="BV141" s="150">
        <v>0</v>
      </c>
      <c r="BW141" s="150">
        <v>4</v>
      </c>
      <c r="BX141" s="150">
        <v>4</v>
      </c>
      <c r="BY141" s="150">
        <v>4</v>
      </c>
      <c r="BZ141" s="150">
        <v>0</v>
      </c>
      <c r="CA141" s="150">
        <v>0</v>
      </c>
      <c r="CB141" s="150">
        <v>0</v>
      </c>
      <c r="CC141" s="150">
        <v>0</v>
      </c>
      <c r="CD141" s="150">
        <v>0</v>
      </c>
      <c r="CE141" s="150">
        <v>4</v>
      </c>
      <c r="CF141" s="150">
        <v>0</v>
      </c>
      <c r="CG141" s="150"/>
      <c r="CH141" s="150"/>
      <c r="CI141" s="150"/>
      <c r="CJ141" s="150"/>
      <c r="CK141" s="150"/>
      <c r="CL141" s="150"/>
      <c r="CM141" s="150"/>
      <c r="CN141" s="150" t="s">
        <v>17</v>
      </c>
      <c r="CO141" s="150">
        <v>0</v>
      </c>
      <c r="CP141" s="150">
        <v>0</v>
      </c>
      <c r="CQ141" s="150">
        <v>0</v>
      </c>
      <c r="CR141" s="150">
        <v>0</v>
      </c>
      <c r="CS141" s="150">
        <v>4</v>
      </c>
      <c r="CT141" s="150">
        <v>0</v>
      </c>
      <c r="CU141" s="150">
        <v>4</v>
      </c>
      <c r="CV141" s="150">
        <v>0</v>
      </c>
      <c r="CW141" s="150">
        <v>4</v>
      </c>
      <c r="CX141" s="150">
        <v>0</v>
      </c>
      <c r="CY141" s="150">
        <v>4</v>
      </c>
      <c r="CZ141" s="150">
        <v>0</v>
      </c>
      <c r="DA141" s="150">
        <v>4</v>
      </c>
      <c r="DB141" s="150">
        <v>0</v>
      </c>
      <c r="DC141" s="150">
        <v>4</v>
      </c>
      <c r="DD141" s="150">
        <v>0</v>
      </c>
      <c r="DE141" s="150">
        <v>4</v>
      </c>
      <c r="DF141" s="150">
        <v>0</v>
      </c>
      <c r="DG141" s="150">
        <v>4</v>
      </c>
      <c r="DH141" s="150">
        <v>0</v>
      </c>
      <c r="DI141" s="150">
        <v>4</v>
      </c>
      <c r="DJ141" s="150">
        <v>0</v>
      </c>
      <c r="DK141" s="150">
        <v>4</v>
      </c>
      <c r="DL141" s="150">
        <v>0</v>
      </c>
      <c r="DM141" s="150"/>
      <c r="DN141" s="150"/>
      <c r="DO141" s="150"/>
      <c r="DP141" s="150"/>
      <c r="DQ141" s="181">
        <v>12</v>
      </c>
      <c r="DR141" s="181">
        <v>12</v>
      </c>
      <c r="DS141" s="181"/>
      <c r="DT141" s="150"/>
      <c r="DU141" s="150"/>
      <c r="DV141" s="150"/>
      <c r="DW141" s="150"/>
      <c r="DX141" s="150"/>
      <c r="DY141" s="150"/>
      <c r="DZ141" s="150"/>
      <c r="EA141" s="150"/>
      <c r="EB141" s="150"/>
      <c r="EC141" s="150"/>
      <c r="ED141" s="150"/>
      <c r="EE141" s="150"/>
      <c r="EF141" s="150"/>
      <c r="EG141" s="150"/>
      <c r="EH141" s="150"/>
      <c r="EI141" s="155"/>
      <c r="EK141" s="150" t="s">
        <v>523</v>
      </c>
      <c r="EL141" s="150">
        <v>0</v>
      </c>
      <c r="EM141" s="150">
        <f>BJ141+(BJ139*2)</f>
        <v>4</v>
      </c>
      <c r="EN141" s="150">
        <f>BK141+(BK139*2)</f>
        <v>0</v>
      </c>
      <c r="EO141" s="150">
        <v>0</v>
      </c>
      <c r="EP141" s="150">
        <f t="shared" ref="EP141:FI141" si="337">BM141+(BM139*2)</f>
        <v>8</v>
      </c>
      <c r="EQ141" s="150">
        <f t="shared" si="337"/>
        <v>4</v>
      </c>
      <c r="ER141" s="150">
        <f t="shared" si="337"/>
        <v>12</v>
      </c>
      <c r="ES141" s="150">
        <f t="shared" si="337"/>
        <v>12</v>
      </c>
      <c r="ET141" s="150">
        <f t="shared" si="337"/>
        <v>8</v>
      </c>
      <c r="EU141" s="150">
        <f t="shared" si="337"/>
        <v>4</v>
      </c>
      <c r="EV141" s="150">
        <f t="shared" si="337"/>
        <v>16</v>
      </c>
      <c r="EW141" s="150">
        <f t="shared" si="337"/>
        <v>8</v>
      </c>
      <c r="EX141" s="150">
        <f t="shared" si="337"/>
        <v>8</v>
      </c>
      <c r="EY141" s="150">
        <f t="shared" si="337"/>
        <v>8</v>
      </c>
      <c r="EZ141" s="150">
        <f t="shared" si="337"/>
        <v>12</v>
      </c>
      <c r="FA141" s="150">
        <f t="shared" si="337"/>
        <v>12</v>
      </c>
      <c r="FB141" s="150">
        <f t="shared" si="337"/>
        <v>12</v>
      </c>
      <c r="FC141" s="150">
        <f t="shared" si="337"/>
        <v>16</v>
      </c>
      <c r="FD141" s="150">
        <f t="shared" si="337"/>
        <v>16</v>
      </c>
      <c r="FE141" s="150">
        <f t="shared" si="337"/>
        <v>24</v>
      </c>
      <c r="FF141" s="150">
        <f t="shared" si="337"/>
        <v>24</v>
      </c>
      <c r="FG141" s="150">
        <f t="shared" si="337"/>
        <v>24</v>
      </c>
      <c r="FH141" s="150">
        <f t="shared" si="337"/>
        <v>28</v>
      </c>
      <c r="FI141" s="150">
        <f t="shared" si="337"/>
        <v>32</v>
      </c>
      <c r="FJ141" s="150"/>
      <c r="FK141" s="150" t="s">
        <v>523</v>
      </c>
      <c r="FL141" s="150">
        <v>0</v>
      </c>
      <c r="FM141" s="150">
        <f>CP141+(CP139*2)</f>
        <v>0</v>
      </c>
      <c r="FN141" s="150">
        <v>0</v>
      </c>
      <c r="FO141" s="150">
        <v>0</v>
      </c>
      <c r="FP141" s="150">
        <f t="shared" ref="FP141:GI141" si="338">CS141+(CS139*2)</f>
        <v>4</v>
      </c>
      <c r="FQ141" s="150">
        <f t="shared" si="338"/>
        <v>0</v>
      </c>
      <c r="FR141" s="150">
        <f t="shared" si="338"/>
        <v>12</v>
      </c>
      <c r="FS141" s="150">
        <f t="shared" si="338"/>
        <v>8</v>
      </c>
      <c r="FT141" s="150">
        <f t="shared" si="338"/>
        <v>4</v>
      </c>
      <c r="FU141" s="150">
        <f t="shared" si="338"/>
        <v>16</v>
      </c>
      <c r="FV141" s="150">
        <f t="shared" si="338"/>
        <v>12</v>
      </c>
      <c r="FW141" s="150">
        <f t="shared" si="338"/>
        <v>8</v>
      </c>
      <c r="FX141" s="150">
        <f t="shared" si="338"/>
        <v>20</v>
      </c>
      <c r="FY141" s="150">
        <f t="shared" si="338"/>
        <v>16</v>
      </c>
      <c r="FZ141" s="150">
        <f t="shared" si="338"/>
        <v>12</v>
      </c>
      <c r="GA141" s="150">
        <f t="shared" si="338"/>
        <v>24</v>
      </c>
      <c r="GB141" s="150">
        <f t="shared" si="338"/>
        <v>20</v>
      </c>
      <c r="GC141" s="150">
        <f t="shared" si="338"/>
        <v>16</v>
      </c>
      <c r="GD141" s="150">
        <f t="shared" si="338"/>
        <v>28</v>
      </c>
      <c r="GE141" s="150">
        <f t="shared" si="338"/>
        <v>24</v>
      </c>
      <c r="GF141" s="150">
        <f t="shared" si="338"/>
        <v>20</v>
      </c>
      <c r="GG141" s="150">
        <f t="shared" si="338"/>
        <v>32</v>
      </c>
      <c r="GH141" s="150">
        <f t="shared" si="338"/>
        <v>28</v>
      </c>
      <c r="GI141" s="150">
        <f t="shared" si="338"/>
        <v>24</v>
      </c>
      <c r="GJ141" s="150"/>
      <c r="GK141" s="150"/>
      <c r="GL141" s="156"/>
      <c r="GM141" s="150"/>
      <c r="GN141" s="150"/>
      <c r="GO141" s="150"/>
      <c r="GP141" s="150"/>
      <c r="GQ141" s="150"/>
      <c r="GR141" s="150"/>
      <c r="GS141" s="150"/>
      <c r="GT141" s="150"/>
      <c r="GU141" s="150"/>
      <c r="GV141" s="150"/>
      <c r="GW141" s="150"/>
      <c r="GX141" s="150"/>
      <c r="GY141" s="150"/>
      <c r="GZ141" s="150"/>
      <c r="HA141" s="150"/>
      <c r="HB141" s="150"/>
      <c r="HC141" s="150"/>
      <c r="HD141" s="150"/>
      <c r="HE141" s="150"/>
      <c r="HF141" s="150"/>
      <c r="HG141" s="150"/>
      <c r="HH141" s="150"/>
    </row>
    <row r="142" spans="1:252" x14ac:dyDescent="0.25">
      <c r="A142" s="8"/>
      <c r="B142" s="5" t="s">
        <v>116</v>
      </c>
      <c r="C142" s="8"/>
      <c r="D142" s="40" t="s">
        <v>795</v>
      </c>
      <c r="E142" s="9"/>
      <c r="F142" s="9"/>
      <c r="G142" s="9"/>
      <c r="H142" s="9"/>
      <c r="I142" s="9"/>
      <c r="J142" s="9"/>
      <c r="K142" s="9"/>
      <c r="L142" s="6" t="s">
        <v>586</v>
      </c>
      <c r="M142" s="11">
        <f>INDEX(cennik!$C$2:$L$529,MATCH($L142,cennik!$B$2:$B$522,0),MATCH(M$2,cennik!$C$1:$L$1,0))</f>
        <v>867566</v>
      </c>
      <c r="N142" s="11" t="str">
        <f>INDEX(cennik!$C$2:$L$529,MATCH($L142,cennik!$B$2:$B$522,0),MATCH(N$2,cennik!$C$1:$L$1,0))</f>
        <v>szt.</v>
      </c>
      <c r="O142" s="11">
        <f>SUM(X124:X139)</f>
        <v>0</v>
      </c>
      <c r="P142" s="34">
        <f>INDEX(cennik!$C$2:$L$529,MATCH($L142,cennik!$B$2:$B$522,0),MATCH(P$2,cennik!$C$1:$L$1,0))</f>
        <v>265.20999999999998</v>
      </c>
      <c r="Q142" s="34">
        <f t="shared" ref="Q142:Q155" si="339">O142*P142</f>
        <v>0</v>
      </c>
      <c r="R142" s="35">
        <f t="shared" si="326"/>
        <v>0</v>
      </c>
      <c r="S142" s="34">
        <f t="shared" si="325"/>
        <v>265.20999999999998</v>
      </c>
      <c r="T142" s="34">
        <f t="shared" ref="T142:T155" si="340">O142*S142</f>
        <v>0</v>
      </c>
      <c r="U142" s="34">
        <f>INDEX(cennik!$C$2:$L$529,MATCH($L142,cennik!$B$2:$B$522,0),MATCH(U$2,cennik!$C$1:$L$1,0))*O142</f>
        <v>0</v>
      </c>
      <c r="V142" s="62"/>
      <c r="W142" s="150"/>
      <c r="X142" s="150"/>
      <c r="Y142" s="150"/>
      <c r="Z142" s="150"/>
      <c r="AA142" s="150"/>
      <c r="AB142" s="150"/>
      <c r="AC142" s="150"/>
      <c r="AD142" s="150"/>
      <c r="AE142" s="150"/>
      <c r="AF142" s="150"/>
      <c r="AG142" s="150" t="s">
        <v>216</v>
      </c>
      <c r="AH142" s="150">
        <v>4400</v>
      </c>
      <c r="AI142" s="150">
        <v>0</v>
      </c>
      <c r="AJ142" s="150">
        <f>AH142*AI142</f>
        <v>0</v>
      </c>
      <c r="AK142" s="150">
        <v>127.4</v>
      </c>
      <c r="AL142" s="150">
        <f>AI142*AK142</f>
        <v>0</v>
      </c>
      <c r="AM142" s="150">
        <f>AI142*4</f>
        <v>0</v>
      </c>
      <c r="AP142" s="150" t="s">
        <v>113</v>
      </c>
      <c r="AQ142" s="150" t="s">
        <v>592</v>
      </c>
      <c r="AR142" s="150" t="s">
        <v>151</v>
      </c>
      <c r="AS142" s="150" t="s">
        <v>151</v>
      </c>
      <c r="AT142" s="150" t="s">
        <v>151</v>
      </c>
      <c r="AU142" s="150"/>
      <c r="AV142" s="150"/>
      <c r="AW142" s="150"/>
      <c r="AX142" s="150"/>
      <c r="AY142" s="150"/>
      <c r="AZ142" s="150"/>
      <c r="BA142" s="150"/>
      <c r="BB142" s="150"/>
      <c r="BC142" s="150"/>
      <c r="BD142" s="150"/>
      <c r="BE142" s="150"/>
      <c r="BF142" s="150"/>
      <c r="BG142" s="150"/>
      <c r="BH142" s="150" t="s">
        <v>18</v>
      </c>
      <c r="BI142" s="150">
        <v>0</v>
      </c>
      <c r="BJ142" s="150">
        <v>0</v>
      </c>
      <c r="BK142" s="150">
        <v>0</v>
      </c>
      <c r="BL142" s="150">
        <v>0</v>
      </c>
      <c r="BM142" s="150">
        <v>0</v>
      </c>
      <c r="BN142" s="150">
        <v>4</v>
      </c>
      <c r="BO142" s="150">
        <v>4</v>
      </c>
      <c r="BP142" s="150">
        <v>4</v>
      </c>
      <c r="BQ142" s="150">
        <v>4</v>
      </c>
      <c r="BR142" s="150">
        <v>8</v>
      </c>
      <c r="BS142" s="150">
        <v>4</v>
      </c>
      <c r="BT142" s="150">
        <v>8</v>
      </c>
      <c r="BU142" s="150">
        <v>8</v>
      </c>
      <c r="BV142" s="150">
        <v>8</v>
      </c>
      <c r="BW142" s="150">
        <v>12</v>
      </c>
      <c r="BX142" s="150">
        <v>12</v>
      </c>
      <c r="BY142" s="150">
        <v>12</v>
      </c>
      <c r="BZ142" s="150">
        <v>12</v>
      </c>
      <c r="CA142" s="150">
        <v>12</v>
      </c>
      <c r="CB142" s="150">
        <v>12</v>
      </c>
      <c r="CC142" s="150">
        <v>12</v>
      </c>
      <c r="CD142" s="150">
        <v>12</v>
      </c>
      <c r="CE142" s="150">
        <v>16</v>
      </c>
      <c r="CF142" s="150">
        <v>12</v>
      </c>
      <c r="CG142" s="150"/>
      <c r="CH142" s="150"/>
      <c r="CI142" s="150"/>
      <c r="CJ142" s="150"/>
      <c r="CK142" s="150"/>
      <c r="CL142" s="150"/>
      <c r="CM142" s="150"/>
      <c r="CN142" s="150" t="s">
        <v>18</v>
      </c>
      <c r="CO142" s="150">
        <v>0</v>
      </c>
      <c r="CP142" s="150">
        <v>0</v>
      </c>
      <c r="CQ142" s="150">
        <v>0</v>
      </c>
      <c r="CR142" s="150">
        <v>0</v>
      </c>
      <c r="CS142" s="150">
        <v>4</v>
      </c>
      <c r="CT142" s="150">
        <v>4</v>
      </c>
      <c r="CU142" s="150">
        <v>4</v>
      </c>
      <c r="CV142" s="150">
        <v>4</v>
      </c>
      <c r="CW142" s="150">
        <v>8</v>
      </c>
      <c r="CX142" s="150">
        <v>4</v>
      </c>
      <c r="CY142" s="150">
        <v>8</v>
      </c>
      <c r="CZ142" s="150">
        <v>8</v>
      </c>
      <c r="DA142" s="150">
        <v>8</v>
      </c>
      <c r="DB142" s="150">
        <v>8</v>
      </c>
      <c r="DC142" s="150">
        <v>12</v>
      </c>
      <c r="DD142" s="150">
        <v>8</v>
      </c>
      <c r="DE142" s="150">
        <v>12</v>
      </c>
      <c r="DF142" s="150">
        <v>12</v>
      </c>
      <c r="DG142" s="150">
        <v>12</v>
      </c>
      <c r="DH142" s="150">
        <v>12</v>
      </c>
      <c r="DI142" s="150">
        <v>16</v>
      </c>
      <c r="DJ142" s="150">
        <v>12</v>
      </c>
      <c r="DK142" s="150">
        <v>16</v>
      </c>
      <c r="DL142" s="150">
        <v>16</v>
      </c>
      <c r="DM142" s="150"/>
      <c r="DN142" s="150"/>
      <c r="DO142" s="150"/>
      <c r="DP142" s="150"/>
      <c r="DQ142" s="181">
        <v>14</v>
      </c>
      <c r="DR142" s="181">
        <v>14</v>
      </c>
      <c r="DS142" s="181"/>
      <c r="DT142" s="150"/>
      <c r="DU142" s="150"/>
      <c r="DV142" s="150"/>
      <c r="DW142" s="150"/>
      <c r="DX142" s="150"/>
      <c r="DY142" s="150"/>
      <c r="DZ142" s="150"/>
      <c r="EA142" s="150"/>
      <c r="EB142" s="150"/>
      <c r="EC142" s="150"/>
      <c r="ED142" s="150"/>
      <c r="EE142" s="150"/>
      <c r="EF142" s="150"/>
      <c r="EG142" s="150"/>
      <c r="EH142" s="150"/>
      <c r="EI142" s="155"/>
      <c r="EK142" s="158" t="s">
        <v>779</v>
      </c>
      <c r="EL142" s="150">
        <v>0</v>
      </c>
      <c r="EM142" s="150">
        <f>((SUM(EM140:EM141)/4)-1)*4</f>
        <v>0</v>
      </c>
      <c r="EN142" s="150">
        <f>((SUM(EN140:EN141)/4)-1)*4</f>
        <v>0</v>
      </c>
      <c r="EO142" s="150">
        <v>0</v>
      </c>
      <c r="EP142" s="150">
        <f t="shared" ref="EP142:EX142" si="341">((SUM(EP140:EP141)/4)-1)*4</f>
        <v>4</v>
      </c>
      <c r="EQ142" s="150">
        <f t="shared" si="341"/>
        <v>4</v>
      </c>
      <c r="ER142" s="150">
        <f t="shared" si="341"/>
        <v>8</v>
      </c>
      <c r="ES142" s="150">
        <f t="shared" si="341"/>
        <v>8</v>
      </c>
      <c r="ET142" s="150">
        <f t="shared" si="341"/>
        <v>8</v>
      </c>
      <c r="EU142" s="150">
        <f t="shared" si="341"/>
        <v>8</v>
      </c>
      <c r="EV142" s="150">
        <f t="shared" si="341"/>
        <v>12</v>
      </c>
      <c r="EW142" s="150">
        <f t="shared" si="341"/>
        <v>12</v>
      </c>
      <c r="EX142" s="150">
        <f t="shared" si="341"/>
        <v>12</v>
      </c>
      <c r="EY142" s="150">
        <f>((SUM(EY140:EY141)/4)-1)*4</f>
        <v>12</v>
      </c>
      <c r="EZ142" s="150">
        <f t="shared" ref="EZ142:FI142" si="342">((SUM(EZ140:EZ141)/4)-1)*4</f>
        <v>16</v>
      </c>
      <c r="FA142" s="150">
        <f t="shared" si="342"/>
        <v>16</v>
      </c>
      <c r="FB142" s="150">
        <f t="shared" si="342"/>
        <v>16</v>
      </c>
      <c r="FC142" s="150">
        <f t="shared" si="342"/>
        <v>20</v>
      </c>
      <c r="FD142" s="150">
        <f t="shared" si="342"/>
        <v>20</v>
      </c>
      <c r="FE142" s="150">
        <f t="shared" si="342"/>
        <v>24</v>
      </c>
      <c r="FF142" s="150">
        <f t="shared" si="342"/>
        <v>24</v>
      </c>
      <c r="FG142" s="150">
        <f t="shared" si="342"/>
        <v>24</v>
      </c>
      <c r="FH142" s="150">
        <f t="shared" si="342"/>
        <v>28</v>
      </c>
      <c r="FI142" s="150">
        <f t="shared" si="342"/>
        <v>28</v>
      </c>
      <c r="FJ142" s="150"/>
      <c r="FK142" s="158" t="s">
        <v>779</v>
      </c>
      <c r="FL142" s="150">
        <v>0</v>
      </c>
      <c r="FM142" s="150">
        <f>((SUM(FM140:FM141)/4)-1)*4</f>
        <v>0</v>
      </c>
      <c r="FN142" s="150">
        <v>0</v>
      </c>
      <c r="FO142" s="150">
        <v>0</v>
      </c>
      <c r="FP142" s="150">
        <f t="shared" ref="FP142:FX142" si="343">((SUM(FP140:FP141)/4)-1)*4</f>
        <v>4</v>
      </c>
      <c r="FQ142" s="150">
        <f t="shared" si="343"/>
        <v>4</v>
      </c>
      <c r="FR142" s="150">
        <f t="shared" si="343"/>
        <v>8</v>
      </c>
      <c r="FS142" s="150">
        <f t="shared" si="343"/>
        <v>8</v>
      </c>
      <c r="FT142" s="150">
        <f t="shared" si="343"/>
        <v>8</v>
      </c>
      <c r="FU142" s="150">
        <f t="shared" si="343"/>
        <v>12</v>
      </c>
      <c r="FV142" s="150">
        <f t="shared" si="343"/>
        <v>12</v>
      </c>
      <c r="FW142" s="150">
        <f t="shared" si="343"/>
        <v>12</v>
      </c>
      <c r="FX142" s="150">
        <f t="shared" si="343"/>
        <v>16</v>
      </c>
      <c r="FY142" s="150">
        <f t="shared" ref="FY142:GI142" si="344">((SUM(FY140:FY141)/4)-1)*4</f>
        <v>16</v>
      </c>
      <c r="FZ142" s="150">
        <f t="shared" si="344"/>
        <v>16</v>
      </c>
      <c r="GA142" s="150">
        <f t="shared" si="344"/>
        <v>20</v>
      </c>
      <c r="GB142" s="150">
        <f t="shared" si="344"/>
        <v>20</v>
      </c>
      <c r="GC142" s="150">
        <f t="shared" si="344"/>
        <v>20</v>
      </c>
      <c r="GD142" s="150">
        <f t="shared" si="344"/>
        <v>24</v>
      </c>
      <c r="GE142" s="150">
        <f t="shared" si="344"/>
        <v>24</v>
      </c>
      <c r="GF142" s="150">
        <f t="shared" si="344"/>
        <v>24</v>
      </c>
      <c r="GG142" s="150">
        <f t="shared" si="344"/>
        <v>28</v>
      </c>
      <c r="GH142" s="150">
        <f t="shared" si="344"/>
        <v>28</v>
      </c>
      <c r="GI142" s="150">
        <f t="shared" si="344"/>
        <v>28</v>
      </c>
      <c r="GJ142" s="150"/>
      <c r="GK142" s="150"/>
      <c r="GL142" s="156"/>
      <c r="GM142" s="150"/>
      <c r="GN142" s="150"/>
      <c r="GO142" s="150"/>
      <c r="GP142" s="150"/>
      <c r="GQ142" s="150"/>
      <c r="GR142" s="150"/>
      <c r="GS142" s="150"/>
      <c r="GT142" s="150"/>
      <c r="GU142" s="150"/>
      <c r="GV142" s="150"/>
      <c r="GW142" s="150"/>
      <c r="GX142" s="150"/>
      <c r="GY142" s="150"/>
      <c r="GZ142" s="150"/>
      <c r="HA142" s="150"/>
      <c r="HB142" s="150"/>
      <c r="HC142" s="150"/>
      <c r="HD142" s="150"/>
      <c r="HE142" s="150"/>
      <c r="HF142" s="150"/>
      <c r="HG142" s="150"/>
      <c r="HH142" s="150"/>
    </row>
    <row r="143" spans="1:252" x14ac:dyDescent="0.25">
      <c r="A143" s="8"/>
      <c r="B143" s="5" t="s">
        <v>116</v>
      </c>
      <c r="C143" s="8"/>
      <c r="D143" s="40" t="s">
        <v>796</v>
      </c>
      <c r="E143" s="9"/>
      <c r="F143" s="9"/>
      <c r="G143" s="9"/>
      <c r="H143" s="9"/>
      <c r="I143" s="9"/>
      <c r="J143" s="9"/>
      <c r="K143" s="9"/>
      <c r="L143" s="6" t="s">
        <v>522</v>
      </c>
      <c r="M143" s="11">
        <f>INDEX(cennik!$C$2:$L$529,MATCH($L143,cennik!$B$2:$B$522,0),MATCH(M$2,cennik!$C$1:$L$1,0))</f>
        <v>867644</v>
      </c>
      <c r="N143" s="11" t="str">
        <f>INDEX(cennik!$C$2:$L$529,MATCH($L143,cennik!$B$2:$B$522,0),MATCH(N$2,cennik!$C$1:$L$1,0))</f>
        <v>szt.</v>
      </c>
      <c r="O143" s="11">
        <f>SUM(Y124:Y139)</f>
        <v>0</v>
      </c>
      <c r="P143" s="34">
        <f>INDEX(cennik!$C$2:$L$529,MATCH($L143,cennik!$B$2:$B$522,0),MATCH(P$2,cennik!$C$1:$L$1,0))</f>
        <v>176.8</v>
      </c>
      <c r="Q143" s="34">
        <f t="shared" si="339"/>
        <v>0</v>
      </c>
      <c r="R143" s="35">
        <f t="shared" si="326"/>
        <v>0</v>
      </c>
      <c r="S143" s="34">
        <f t="shared" si="325"/>
        <v>176.8</v>
      </c>
      <c r="T143" s="34">
        <f t="shared" si="340"/>
        <v>0</v>
      </c>
      <c r="U143" s="34">
        <f>INDEX(cennik!$C$2:$L$529,MATCH($L143,cennik!$B$2:$B$522,0),MATCH(U$2,cennik!$C$1:$L$1,0))*O143</f>
        <v>0</v>
      </c>
      <c r="V143" s="62"/>
      <c r="AC143" s="150"/>
      <c r="AD143" s="150"/>
      <c r="AE143" s="150"/>
      <c r="AF143" s="150"/>
      <c r="AG143" s="150" t="s">
        <v>17</v>
      </c>
      <c r="AH143" s="150">
        <v>3300</v>
      </c>
      <c r="AI143" s="150">
        <v>1</v>
      </c>
      <c r="AJ143" s="150">
        <f>AH143*AI143</f>
        <v>3300</v>
      </c>
      <c r="AK143" s="150">
        <v>95.55</v>
      </c>
      <c r="AL143" s="150">
        <f>AI143*AK143</f>
        <v>95.55</v>
      </c>
      <c r="AM143" s="150">
        <f>AI143*4</f>
        <v>4</v>
      </c>
      <c r="AP143" s="150" t="s">
        <v>137</v>
      </c>
      <c r="AQ143" s="150" t="s">
        <v>592</v>
      </c>
      <c r="AR143" s="150" t="s">
        <v>151</v>
      </c>
      <c r="AS143" s="150" t="s">
        <v>151</v>
      </c>
      <c r="AT143" s="150" t="s">
        <v>151</v>
      </c>
      <c r="AU143" s="150"/>
      <c r="AV143" s="150"/>
      <c r="AW143" s="150"/>
      <c r="AX143" s="150"/>
      <c r="AY143" s="150"/>
      <c r="AZ143" s="150"/>
      <c r="BA143" s="150"/>
      <c r="BB143" s="150"/>
      <c r="BC143" s="150"/>
      <c r="BD143" s="150"/>
      <c r="BE143" s="150"/>
      <c r="BF143" s="150"/>
      <c r="BG143" s="150"/>
      <c r="BH143" s="150"/>
      <c r="BI143" s="150"/>
      <c r="BJ143" s="150"/>
      <c r="BK143" s="150"/>
      <c r="BL143" s="150"/>
      <c r="BM143" s="150"/>
      <c r="BN143" s="150"/>
      <c r="BO143" s="150"/>
      <c r="BP143" s="150"/>
      <c r="BQ143" s="150"/>
      <c r="BR143" s="150"/>
      <c r="BS143" s="150"/>
      <c r="BT143" s="150"/>
      <c r="BU143" s="150"/>
      <c r="BV143" s="150"/>
      <c r="BW143" s="150"/>
      <c r="BX143" s="150"/>
      <c r="BY143" s="150"/>
      <c r="BZ143" s="150"/>
      <c r="CA143" s="150"/>
      <c r="CB143" s="150"/>
      <c r="CC143" s="150"/>
      <c r="CD143" s="150"/>
      <c r="CE143" s="150"/>
      <c r="CF143" s="150"/>
      <c r="CG143" s="150"/>
      <c r="CH143" s="150"/>
      <c r="CI143" s="150"/>
      <c r="CJ143" s="150"/>
      <c r="CK143" s="150"/>
      <c r="CL143" s="150"/>
      <c r="CM143" s="150"/>
      <c r="CN143" s="150"/>
      <c r="CO143" s="150"/>
      <c r="CP143" s="150"/>
      <c r="CQ143" s="150"/>
      <c r="CR143" s="150"/>
      <c r="CS143" s="150"/>
      <c r="CT143" s="150"/>
      <c r="CU143" s="150"/>
      <c r="CV143" s="150"/>
      <c r="CW143" s="150"/>
      <c r="CX143" s="150"/>
      <c r="CY143" s="150"/>
      <c r="CZ143" s="150"/>
      <c r="DA143" s="150"/>
      <c r="DB143" s="150"/>
      <c r="DC143" s="150"/>
      <c r="DD143" s="150"/>
      <c r="DE143" s="150"/>
      <c r="DF143" s="150"/>
      <c r="DG143" s="150"/>
      <c r="DH143" s="150"/>
      <c r="DI143" s="150"/>
      <c r="DJ143" s="150"/>
      <c r="DK143" s="150"/>
      <c r="DL143" s="150"/>
      <c r="DM143" s="150"/>
      <c r="DN143" s="150"/>
      <c r="DO143" s="150"/>
      <c r="DP143" s="150"/>
      <c r="DQ143" s="181"/>
      <c r="DR143" s="181">
        <v>16</v>
      </c>
      <c r="DS143" s="181"/>
      <c r="DT143" s="150"/>
      <c r="DU143" s="150"/>
      <c r="DV143" s="150"/>
      <c r="DW143" s="150"/>
      <c r="DX143" s="150"/>
      <c r="DY143" s="150"/>
      <c r="DZ143" s="150"/>
      <c r="EA143" s="150"/>
      <c r="EB143" s="150"/>
      <c r="EC143" s="150"/>
      <c r="ED143" s="150"/>
      <c r="EE143" s="150"/>
      <c r="EF143" s="150"/>
      <c r="EG143" s="150"/>
      <c r="EH143" s="150"/>
      <c r="EI143" s="155"/>
      <c r="EK143" s="150"/>
      <c r="EL143" s="150"/>
      <c r="EM143" s="150"/>
      <c r="EN143" s="150"/>
      <c r="EO143" s="150"/>
      <c r="EP143" s="150"/>
      <c r="EQ143" s="150"/>
      <c r="ER143" s="150"/>
      <c r="ES143" s="150"/>
      <c r="ET143" s="150"/>
      <c r="EU143" s="150"/>
      <c r="EV143" s="150"/>
      <c r="EW143" s="150"/>
      <c r="EX143" s="150"/>
      <c r="EY143" s="150"/>
      <c r="EZ143" s="150"/>
      <c r="FA143" s="150"/>
      <c r="FB143" s="150"/>
      <c r="FC143" s="150"/>
      <c r="FD143" s="150"/>
      <c r="FE143" s="150"/>
      <c r="FF143" s="150"/>
      <c r="FG143" s="150"/>
      <c r="FH143" s="150"/>
      <c r="FI143" s="150"/>
      <c r="FJ143" s="150"/>
      <c r="FK143" s="150"/>
      <c r="FL143" s="150"/>
      <c r="FM143" s="150"/>
      <c r="FN143" s="150"/>
      <c r="FO143" s="150"/>
      <c r="FP143" s="150"/>
      <c r="FQ143" s="150"/>
      <c r="FR143" s="150"/>
      <c r="FS143" s="150"/>
      <c r="FT143" s="150"/>
      <c r="FU143" s="150"/>
      <c r="FV143" s="150"/>
      <c r="FW143" s="150"/>
      <c r="FX143" s="150"/>
      <c r="FY143" s="150"/>
      <c r="FZ143" s="150"/>
      <c r="GA143" s="150"/>
      <c r="GB143" s="150"/>
      <c r="GC143" s="150"/>
      <c r="GD143" s="150"/>
      <c r="GE143" s="150"/>
      <c r="GF143" s="150"/>
      <c r="GG143" s="150"/>
      <c r="GH143" s="150"/>
      <c r="GI143" s="150"/>
      <c r="GJ143" s="150"/>
      <c r="GK143" s="150"/>
      <c r="GL143" s="156"/>
      <c r="GM143" s="150"/>
      <c r="GN143" s="150"/>
      <c r="GO143" s="150"/>
      <c r="GP143" s="150"/>
      <c r="GQ143" s="150"/>
      <c r="GR143" s="150"/>
      <c r="GS143" s="150"/>
      <c r="GT143" s="150"/>
      <c r="GU143" s="150"/>
      <c r="GV143" s="150"/>
      <c r="GW143" s="150"/>
      <c r="GX143" s="150"/>
      <c r="GY143" s="150"/>
      <c r="GZ143" s="150"/>
      <c r="HA143" s="150"/>
      <c r="HB143" s="150"/>
      <c r="HC143" s="150"/>
      <c r="HD143" s="150"/>
      <c r="HE143" s="150"/>
      <c r="HF143" s="150"/>
      <c r="HG143" s="150"/>
      <c r="HH143" s="150"/>
    </row>
    <row r="144" spans="1:252" x14ac:dyDescent="0.25">
      <c r="A144" s="8"/>
      <c r="B144" s="5" t="s">
        <v>116</v>
      </c>
      <c r="C144" s="8"/>
      <c r="D144" s="40" t="s">
        <v>797</v>
      </c>
      <c r="E144" s="9"/>
      <c r="F144" s="9"/>
      <c r="G144" s="9"/>
      <c r="H144" s="9"/>
      <c r="I144" s="9"/>
      <c r="J144" s="9"/>
      <c r="K144" s="9"/>
      <c r="L144" s="6" t="s">
        <v>523</v>
      </c>
      <c r="M144" s="11">
        <f>INDEX(cennik!$C$2:$L$529,MATCH($L144,cennik!$B$2:$B$522,0),MATCH(M$2,cennik!$C$1:$L$1,0))</f>
        <v>867633</v>
      </c>
      <c r="N144" s="11" t="str">
        <f>INDEX(cennik!$C$2:$L$529,MATCH($L144,cennik!$B$2:$B$522,0),MATCH(N$2,cennik!$C$1:$L$1,0))</f>
        <v>szt.</v>
      </c>
      <c r="O144" s="11">
        <f>SUM(Z124:Z139)</f>
        <v>0</v>
      </c>
      <c r="P144" s="34">
        <f>INDEX(cennik!$C$2:$L$529,MATCH($L144,cennik!$B$2:$B$522,0),MATCH(P$2,cennik!$C$1:$L$1,0))</f>
        <v>132.6</v>
      </c>
      <c r="Q144" s="34">
        <f t="shared" si="339"/>
        <v>0</v>
      </c>
      <c r="R144" s="35">
        <f t="shared" si="326"/>
        <v>0</v>
      </c>
      <c r="S144" s="34">
        <f t="shared" si="325"/>
        <v>132.6</v>
      </c>
      <c r="T144" s="34">
        <f t="shared" si="340"/>
        <v>0</v>
      </c>
      <c r="U144" s="34">
        <f>INDEX(cennik!$C$2:$L$529,MATCH($L144,cennik!$B$2:$B$522,0),MATCH(U$2,cennik!$C$1:$L$1,0))*O144</f>
        <v>0</v>
      </c>
      <c r="V144" s="62"/>
      <c r="AC144" s="150"/>
      <c r="AD144" s="150"/>
      <c r="AE144" s="150"/>
      <c r="AF144" s="150"/>
      <c r="AG144" s="150"/>
      <c r="AH144" s="150" t="s">
        <v>317</v>
      </c>
      <c r="AI144" s="150">
        <f>IF(SUM(AI141:AI143)=0,0,IF(SUM(AI141:AI143)=1,0,IF(SUM(AI141:AI143)&gt;1,(SUM(AI141:AI143)-1),0)))</f>
        <v>4</v>
      </c>
      <c r="AJ144" s="150"/>
      <c r="AK144" s="150">
        <v>7.1</v>
      </c>
      <c r="AL144" s="150">
        <f>AI144*AK144</f>
        <v>28.4</v>
      </c>
      <c r="AM144" s="150">
        <f>AI144*4</f>
        <v>16</v>
      </c>
      <c r="AQ144" s="150"/>
      <c r="AR144" s="150"/>
      <c r="AS144" s="150"/>
      <c r="AT144" s="150"/>
      <c r="AU144" s="150"/>
      <c r="AV144" s="150"/>
      <c r="AW144" s="150"/>
      <c r="AX144" s="150"/>
      <c r="AY144" s="150"/>
      <c r="AZ144" s="150"/>
      <c r="BA144" s="150"/>
      <c r="BB144" s="150"/>
      <c r="BC144" s="150"/>
      <c r="BD144" s="150"/>
      <c r="BE144" s="150"/>
      <c r="BF144" s="150"/>
      <c r="BG144" s="150"/>
      <c r="BH144" s="150" t="s">
        <v>115</v>
      </c>
      <c r="BI144" s="150">
        <v>0</v>
      </c>
      <c r="BJ144" s="150">
        <v>6</v>
      </c>
      <c r="BK144" s="150">
        <v>8</v>
      </c>
      <c r="BL144" s="150">
        <v>10</v>
      </c>
      <c r="BM144" s="150">
        <v>12</v>
      </c>
      <c r="BN144" s="150">
        <v>14</v>
      </c>
      <c r="BO144" s="150">
        <v>16</v>
      </c>
      <c r="BP144" s="150">
        <v>18</v>
      </c>
      <c r="BQ144" s="150">
        <v>20</v>
      </c>
      <c r="BR144" s="150">
        <v>22</v>
      </c>
      <c r="BS144" s="150">
        <v>24</v>
      </c>
      <c r="BT144" s="150">
        <v>26</v>
      </c>
      <c r="BU144" s="150">
        <v>28</v>
      </c>
      <c r="BV144" s="150">
        <v>30</v>
      </c>
      <c r="BW144" s="150">
        <v>32</v>
      </c>
      <c r="BX144" s="150">
        <v>34</v>
      </c>
      <c r="BY144" s="150">
        <v>36</v>
      </c>
      <c r="BZ144" s="150">
        <v>38</v>
      </c>
      <c r="CA144" s="150">
        <v>40</v>
      </c>
      <c r="CB144" s="150">
        <v>42</v>
      </c>
      <c r="CC144" s="150">
        <v>44</v>
      </c>
      <c r="CD144" s="150">
        <v>46</v>
      </c>
      <c r="CE144" s="150">
        <v>48</v>
      </c>
      <c r="CF144" s="150">
        <v>50</v>
      </c>
      <c r="CG144" s="150"/>
      <c r="CH144" s="150"/>
      <c r="CI144" s="150"/>
      <c r="CJ144" s="150"/>
      <c r="CK144" s="150"/>
      <c r="CL144" s="150"/>
      <c r="CM144" s="150"/>
      <c r="CN144" s="150" t="s">
        <v>480</v>
      </c>
      <c r="CO144" s="150">
        <v>0</v>
      </c>
      <c r="CP144" s="150">
        <v>6</v>
      </c>
      <c r="CQ144" s="150">
        <v>8</v>
      </c>
      <c r="CR144" s="150">
        <v>10</v>
      </c>
      <c r="CS144" s="150">
        <v>12</v>
      </c>
      <c r="CT144" s="150">
        <v>14</v>
      </c>
      <c r="CU144" s="150">
        <v>16</v>
      </c>
      <c r="CV144" s="150">
        <v>18</v>
      </c>
      <c r="CW144" s="150">
        <v>20</v>
      </c>
      <c r="CX144" s="150">
        <v>22</v>
      </c>
      <c r="CY144" s="150">
        <v>24</v>
      </c>
      <c r="CZ144" s="150">
        <v>26</v>
      </c>
      <c r="DA144" s="150">
        <v>28</v>
      </c>
      <c r="DB144" s="150">
        <v>30</v>
      </c>
      <c r="DC144" s="150">
        <v>32</v>
      </c>
      <c r="DD144" s="150">
        <v>34</v>
      </c>
      <c r="DE144" s="150">
        <v>36</v>
      </c>
      <c r="DF144" s="150">
        <v>38</v>
      </c>
      <c r="DG144" s="150">
        <v>40</v>
      </c>
      <c r="DH144" s="150">
        <v>42</v>
      </c>
      <c r="DI144" s="150">
        <v>44</v>
      </c>
      <c r="DJ144" s="150">
        <v>46</v>
      </c>
      <c r="DK144" s="150">
        <v>48</v>
      </c>
      <c r="DL144" s="150">
        <v>50</v>
      </c>
      <c r="DM144" s="150"/>
      <c r="DN144" s="150"/>
      <c r="DO144" s="150"/>
      <c r="DP144" s="150"/>
      <c r="DQ144" s="181">
        <v>18</v>
      </c>
      <c r="DR144" s="181">
        <v>18</v>
      </c>
      <c r="DS144" s="181"/>
      <c r="DT144" s="150"/>
      <c r="DU144" s="150"/>
      <c r="DV144" s="150"/>
      <c r="DW144" s="150"/>
      <c r="DX144" s="150"/>
      <c r="DY144" s="150"/>
      <c r="DZ144" s="150"/>
      <c r="EA144" s="150"/>
      <c r="EB144" s="150"/>
      <c r="EC144" s="150"/>
      <c r="ED144" s="150"/>
      <c r="EE144" s="150"/>
      <c r="EF144" s="150"/>
      <c r="EG144" s="150"/>
      <c r="EH144" s="150"/>
      <c r="EI144" s="155"/>
      <c r="FL144" s="150"/>
      <c r="GJ144" s="150"/>
      <c r="GK144" s="150"/>
      <c r="GL144" s="156"/>
      <c r="GM144" s="150"/>
      <c r="GN144" s="150"/>
      <c r="GO144" s="150"/>
      <c r="GP144" s="150"/>
      <c r="GQ144" s="150"/>
      <c r="GR144" s="150"/>
      <c r="GS144" s="150"/>
      <c r="GT144" s="150"/>
      <c r="GU144" s="150"/>
      <c r="GV144" s="150"/>
      <c r="GW144" s="150"/>
      <c r="GX144" s="150"/>
      <c r="GY144" s="150"/>
      <c r="GZ144" s="150"/>
      <c r="HA144" s="150"/>
      <c r="HB144" s="150"/>
      <c r="HC144" s="150"/>
      <c r="HD144" s="150"/>
      <c r="HE144" s="150"/>
      <c r="HF144" s="150"/>
      <c r="HG144" s="150"/>
      <c r="HH144" s="150"/>
    </row>
    <row r="145" spans="1:216" x14ac:dyDescent="0.25">
      <c r="A145" s="8"/>
      <c r="B145" s="5" t="s">
        <v>116</v>
      </c>
      <c r="C145" s="8"/>
      <c r="D145" s="40" t="s">
        <v>798</v>
      </c>
      <c r="E145" s="9"/>
      <c r="F145" s="9"/>
      <c r="G145" s="9"/>
      <c r="H145" s="9"/>
      <c r="I145" s="9"/>
      <c r="J145" s="9"/>
      <c r="K145" s="9"/>
      <c r="L145" s="6" t="s">
        <v>779</v>
      </c>
      <c r="M145" s="11">
        <f>INDEX(cennik!$C$2:$L$529,MATCH($L145,cennik!$B$2:$B$522,0),MATCH(M$2,cennik!$C$1:$L$1,0))</f>
        <v>856105</v>
      </c>
      <c r="N145" s="11" t="str">
        <f>INDEX(cennik!$C$2:$L$529,MATCH($L145,cennik!$B$2:$B$522,0),MATCH(N$2,cennik!$C$1:$L$1,0))</f>
        <v>szt.</v>
      </c>
      <c r="O145" s="11">
        <f>SUM(W124:W139)</f>
        <v>0</v>
      </c>
      <c r="P145" s="34">
        <f>INDEX(cennik!$C$2:$L$529,MATCH($L145,cennik!$B$2:$B$522,0),MATCH(P$2,cennik!$C$1:$L$1,0))</f>
        <v>21.81</v>
      </c>
      <c r="Q145" s="34">
        <f t="shared" si="339"/>
        <v>0</v>
      </c>
      <c r="R145" s="35">
        <f t="shared" si="326"/>
        <v>0</v>
      </c>
      <c r="S145" s="34">
        <f t="shared" si="325"/>
        <v>21.81</v>
      </c>
      <c r="T145" s="34">
        <f t="shared" si="340"/>
        <v>0</v>
      </c>
      <c r="U145" s="34">
        <f>INDEX(cennik!$C$2:$L$529,MATCH($L145,cennik!$B$2:$B$522,0),MATCH(U$2,cennik!$C$1:$L$1,0))*O145</f>
        <v>0</v>
      </c>
      <c r="V145" s="62"/>
      <c r="AC145" s="150"/>
      <c r="AD145" s="150"/>
      <c r="AE145" s="150"/>
      <c r="AF145" s="150"/>
      <c r="AG145" s="150"/>
      <c r="AH145" s="150"/>
      <c r="AI145" s="150"/>
      <c r="AJ145" s="150">
        <f>SUM(AJ141:AJ143)</f>
        <v>29700</v>
      </c>
      <c r="AK145" s="150"/>
      <c r="AL145" s="150">
        <f>SUM(AL141:AL144)</f>
        <v>888.34999999999991</v>
      </c>
      <c r="AM145" s="150"/>
      <c r="AQ145" s="150"/>
      <c r="AR145" s="150"/>
      <c r="AS145" s="150"/>
      <c r="AT145" s="150"/>
      <c r="AU145" s="150"/>
      <c r="AV145" s="150"/>
      <c r="AW145" s="150"/>
      <c r="AX145" s="150"/>
      <c r="AY145" s="150"/>
      <c r="AZ145" s="150"/>
      <c r="BA145" s="150"/>
      <c r="BB145" s="150"/>
      <c r="BC145" s="150"/>
      <c r="BD145" s="150"/>
      <c r="BE145" s="150"/>
      <c r="BF145" s="150"/>
      <c r="BG145" s="150"/>
      <c r="BH145" s="150" t="s">
        <v>217</v>
      </c>
      <c r="BI145" s="150">
        <v>0</v>
      </c>
      <c r="BJ145" s="150">
        <v>0</v>
      </c>
      <c r="BK145" s="150">
        <v>0</v>
      </c>
      <c r="BL145" s="150">
        <v>4</v>
      </c>
      <c r="BM145" s="150">
        <v>4</v>
      </c>
      <c r="BN145" s="150">
        <v>0</v>
      </c>
      <c r="BO145" s="150">
        <v>4</v>
      </c>
      <c r="BP145" s="150">
        <v>4</v>
      </c>
      <c r="BQ145" s="150">
        <v>4</v>
      </c>
      <c r="BR145" s="150">
        <v>0</v>
      </c>
      <c r="BS145" s="150">
        <v>8</v>
      </c>
      <c r="BT145" s="150">
        <v>4</v>
      </c>
      <c r="BU145" s="150">
        <v>4</v>
      </c>
      <c r="BV145" s="150">
        <v>8</v>
      </c>
      <c r="BW145" s="150">
        <v>4</v>
      </c>
      <c r="BX145" s="150">
        <v>4</v>
      </c>
      <c r="BY145" s="150">
        <v>12</v>
      </c>
      <c r="BZ145" s="150">
        <v>8</v>
      </c>
      <c r="CA145" s="150">
        <v>8</v>
      </c>
      <c r="CB145" s="150">
        <v>12</v>
      </c>
      <c r="CC145" s="150">
        <v>12</v>
      </c>
      <c r="CD145" s="150">
        <v>8</v>
      </c>
      <c r="CE145" s="150">
        <v>12</v>
      </c>
      <c r="CF145" s="150">
        <v>12</v>
      </c>
      <c r="CG145" s="150"/>
      <c r="CH145" s="150"/>
      <c r="CI145" s="150"/>
      <c r="CJ145" s="150"/>
      <c r="CK145" s="150"/>
      <c r="CL145" s="150"/>
      <c r="CM145" s="150"/>
      <c r="CN145" s="150" t="s">
        <v>217</v>
      </c>
      <c r="CO145" s="150">
        <v>0</v>
      </c>
      <c r="CP145" s="150">
        <v>0</v>
      </c>
      <c r="CQ145" s="150">
        <v>4</v>
      </c>
      <c r="CR145" s="150">
        <v>4</v>
      </c>
      <c r="CS145" s="150">
        <v>0</v>
      </c>
      <c r="CT145" s="150">
        <v>0</v>
      </c>
      <c r="CU145" s="150">
        <v>4</v>
      </c>
      <c r="CV145" s="150">
        <v>4</v>
      </c>
      <c r="CW145" s="150">
        <v>0</v>
      </c>
      <c r="CX145" s="150">
        <v>8</v>
      </c>
      <c r="CY145" s="150">
        <v>4</v>
      </c>
      <c r="CZ145" s="150">
        <v>4</v>
      </c>
      <c r="DA145" s="150">
        <v>8</v>
      </c>
      <c r="DB145" s="150">
        <v>4</v>
      </c>
      <c r="DC145" s="150">
        <v>12</v>
      </c>
      <c r="DD145" s="150">
        <v>8</v>
      </c>
      <c r="DE145" s="150">
        <v>8</v>
      </c>
      <c r="DF145" s="150">
        <v>12</v>
      </c>
      <c r="DG145" s="150">
        <v>12</v>
      </c>
      <c r="DH145" s="150">
        <v>8</v>
      </c>
      <c r="DI145" s="150">
        <v>16</v>
      </c>
      <c r="DJ145" s="150">
        <v>12</v>
      </c>
      <c r="DK145" s="150">
        <v>12</v>
      </c>
      <c r="DL145" s="150">
        <v>16</v>
      </c>
      <c r="DM145" s="150"/>
      <c r="DN145" s="150"/>
      <c r="DO145" s="150"/>
      <c r="DP145" s="150"/>
      <c r="DQ145" s="181">
        <v>20</v>
      </c>
      <c r="DR145" s="181">
        <v>20</v>
      </c>
      <c r="DS145" s="181"/>
      <c r="DT145" s="150"/>
      <c r="DU145" s="150"/>
      <c r="DV145" s="150"/>
      <c r="DW145" s="150"/>
      <c r="DX145" s="150"/>
      <c r="DY145" s="150"/>
      <c r="DZ145" s="150"/>
      <c r="EA145" s="150"/>
      <c r="EB145" s="150"/>
      <c r="EC145" s="150"/>
      <c r="ED145" s="150"/>
      <c r="EE145" s="150"/>
      <c r="EF145" s="150"/>
      <c r="EG145" s="150"/>
      <c r="EH145" s="150"/>
      <c r="EI145" s="155"/>
      <c r="EK145" s="150" t="s">
        <v>115</v>
      </c>
      <c r="EL145" s="150">
        <v>0</v>
      </c>
      <c r="EM145" s="150">
        <v>6</v>
      </c>
      <c r="EN145" s="150">
        <v>8</v>
      </c>
      <c r="EO145" s="150">
        <v>10</v>
      </c>
      <c r="EP145" s="150">
        <v>12</v>
      </c>
      <c r="EQ145" s="150">
        <v>14</v>
      </c>
      <c r="ER145" s="150">
        <v>16</v>
      </c>
      <c r="ES145" s="150">
        <v>18</v>
      </c>
      <c r="ET145" s="150">
        <v>20</v>
      </c>
      <c r="EU145" s="150">
        <v>22</v>
      </c>
      <c r="EV145" s="150">
        <v>24</v>
      </c>
      <c r="EW145" s="150">
        <v>26</v>
      </c>
      <c r="EX145" s="150">
        <v>28</v>
      </c>
      <c r="EY145" s="150">
        <v>30</v>
      </c>
      <c r="EZ145" s="150">
        <v>32</v>
      </c>
      <c r="FA145" s="150">
        <v>34</v>
      </c>
      <c r="FB145" s="150">
        <v>36</v>
      </c>
      <c r="FC145" s="150">
        <v>38</v>
      </c>
      <c r="FD145" s="150">
        <v>40</v>
      </c>
      <c r="FE145" s="150">
        <v>42</v>
      </c>
      <c r="FF145" s="150">
        <v>44</v>
      </c>
      <c r="FG145" s="150">
        <v>46</v>
      </c>
      <c r="FH145" s="150">
        <v>48</v>
      </c>
      <c r="FI145" s="150">
        <v>50</v>
      </c>
      <c r="FJ145" s="150"/>
      <c r="FK145" s="150" t="s">
        <v>480</v>
      </c>
      <c r="FL145" s="150">
        <v>0</v>
      </c>
      <c r="FM145" s="150">
        <v>6</v>
      </c>
      <c r="FN145" s="150">
        <v>8</v>
      </c>
      <c r="FO145" s="150">
        <v>10</v>
      </c>
      <c r="FP145" s="150">
        <v>12</v>
      </c>
      <c r="FQ145" s="150">
        <v>14</v>
      </c>
      <c r="FR145" s="150">
        <v>16</v>
      </c>
      <c r="FS145" s="150">
        <v>18</v>
      </c>
      <c r="FT145" s="150">
        <v>20</v>
      </c>
      <c r="FU145" s="150">
        <v>22</v>
      </c>
      <c r="FV145" s="150">
        <v>24</v>
      </c>
      <c r="FW145" s="150">
        <v>26</v>
      </c>
      <c r="FX145" s="150">
        <v>28</v>
      </c>
      <c r="FY145" s="150">
        <v>30</v>
      </c>
      <c r="FZ145" s="150">
        <v>32</v>
      </c>
      <c r="GA145" s="150">
        <v>34</v>
      </c>
      <c r="GB145" s="150">
        <v>36</v>
      </c>
      <c r="GC145" s="150">
        <v>38</v>
      </c>
      <c r="GD145" s="150">
        <v>40</v>
      </c>
      <c r="GE145" s="150">
        <v>42</v>
      </c>
      <c r="GF145" s="150">
        <v>44</v>
      </c>
      <c r="GG145" s="150">
        <v>46</v>
      </c>
      <c r="GH145" s="150">
        <v>48</v>
      </c>
      <c r="GI145" s="150">
        <v>50</v>
      </c>
      <c r="GJ145" s="150"/>
      <c r="GK145" s="150"/>
      <c r="GL145" s="156"/>
      <c r="GM145" s="150"/>
      <c r="GN145" s="150"/>
      <c r="GO145" s="150"/>
      <c r="GP145" s="150"/>
      <c r="GQ145" s="150"/>
      <c r="GR145" s="150"/>
      <c r="GS145" s="150"/>
      <c r="GT145" s="150"/>
      <c r="GU145" s="150"/>
      <c r="GV145" s="150"/>
      <c r="GW145" s="150"/>
      <c r="GX145" s="150"/>
      <c r="GY145" s="150"/>
      <c r="GZ145" s="150"/>
      <c r="HA145" s="150"/>
      <c r="HB145" s="150"/>
      <c r="HC145" s="150"/>
      <c r="HD145" s="150"/>
      <c r="HE145" s="150"/>
      <c r="HF145" s="150"/>
      <c r="HG145" s="150"/>
      <c r="HH145" s="150"/>
    </row>
    <row r="146" spans="1:216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tr">
        <f>INDEX(($AH$3:$AI$12),MATCH(I131,$AG$3:$AG$12,0),MATCH(E132,$AH$2:$AI$2,0))</f>
        <v>BUF40</v>
      </c>
      <c r="M146" s="11">
        <f>INDEX(cennik!$C$2:$L$529,MATCH($L146,cennik!$B$2:$B$522,0),MATCH(M$2,cennik!$C$1:$L$1,0))</f>
        <v>897340</v>
      </c>
      <c r="N146" s="11" t="str">
        <f>INDEX(cennik!$C$2:$L$529,MATCH($L146,cennik!$B$2:$B$522,0),MATCH(N$2,cennik!$C$1:$L$1,0))</f>
        <v>szt.</v>
      </c>
      <c r="O146" s="11">
        <f>SUM((C130*12),(C131*12),(C132*12),(C133*12),(C134*12),(C135*12),(C136*12),(C137*12),(C138*12),(C139*12),(C140*12),(C141*12),(C142*12),(C143*12),(C144*12),(C145*12))</f>
        <v>0</v>
      </c>
      <c r="P146" s="34">
        <f>INDEX(cennik!$C$2:$L$529,MATCH($L146,cennik!$B$2:$B$522,0),MATCH(P$2,cennik!$C$1:$L$1,0))</f>
        <v>1.92</v>
      </c>
      <c r="Q146" s="34">
        <f t="shared" si="339"/>
        <v>0</v>
      </c>
      <c r="R146" s="35">
        <f t="shared" si="326"/>
        <v>0</v>
      </c>
      <c r="S146" s="34">
        <f t="shared" si="325"/>
        <v>1.92</v>
      </c>
      <c r="T146" s="34">
        <f t="shared" si="340"/>
        <v>0</v>
      </c>
      <c r="U146" s="34">
        <f>INDEX(cennik!$C$2:$L$529,MATCH($L146,cennik!$B$2:$B$522,0),MATCH(U$2,cennik!$C$1:$L$1,0))*O146</f>
        <v>0</v>
      </c>
      <c r="V146" s="62"/>
      <c r="AC146" s="150"/>
      <c r="AD146" s="150"/>
      <c r="AE146" s="150"/>
      <c r="AF146" s="150"/>
      <c r="AG146" s="150"/>
      <c r="AH146" s="150">
        <f>(AB152-1)*3000</f>
        <v>-3000</v>
      </c>
      <c r="AI146" s="150"/>
      <c r="AJ146" s="150"/>
      <c r="AK146" s="150"/>
      <c r="AL146" s="150"/>
      <c r="AM146" s="150"/>
      <c r="AQ146" s="150"/>
      <c r="AR146" s="150"/>
      <c r="AS146" s="150"/>
      <c r="AT146" s="150"/>
      <c r="AU146" s="150"/>
      <c r="AV146" s="150"/>
      <c r="AW146" s="150"/>
      <c r="AX146" s="150"/>
      <c r="AY146" s="150"/>
      <c r="AZ146" s="150"/>
      <c r="BA146" s="150"/>
      <c r="BB146" s="150"/>
      <c r="BC146" s="150"/>
      <c r="BD146" s="150"/>
      <c r="BE146" s="150"/>
      <c r="BF146" s="150"/>
      <c r="BG146" s="150"/>
      <c r="BH146" s="150" t="s">
        <v>216</v>
      </c>
      <c r="BI146" s="150">
        <v>0</v>
      </c>
      <c r="BJ146" s="150">
        <v>0</v>
      </c>
      <c r="BK146" s="150">
        <v>4</v>
      </c>
      <c r="BL146" s="150">
        <v>0</v>
      </c>
      <c r="BM146" s="150">
        <v>0</v>
      </c>
      <c r="BN146" s="150">
        <v>4</v>
      </c>
      <c r="BO146" s="150">
        <v>0</v>
      </c>
      <c r="BP146" s="150">
        <v>0</v>
      </c>
      <c r="BQ146" s="150">
        <v>4</v>
      </c>
      <c r="BR146" s="150">
        <v>8</v>
      </c>
      <c r="BS146" s="150">
        <v>0</v>
      </c>
      <c r="BT146" s="150">
        <v>8</v>
      </c>
      <c r="BU146" s="150">
        <v>8</v>
      </c>
      <c r="BV146" s="150">
        <v>0</v>
      </c>
      <c r="BW146" s="150">
        <v>8</v>
      </c>
      <c r="BX146" s="150">
        <v>8</v>
      </c>
      <c r="BY146" s="150">
        <v>0</v>
      </c>
      <c r="BZ146" s="150">
        <v>8</v>
      </c>
      <c r="CA146" s="150">
        <v>8</v>
      </c>
      <c r="CB146" s="150">
        <v>4</v>
      </c>
      <c r="CC146" s="150">
        <v>4</v>
      </c>
      <c r="CD146" s="150">
        <v>8</v>
      </c>
      <c r="CE146" s="150">
        <v>4</v>
      </c>
      <c r="CF146" s="150">
        <v>4</v>
      </c>
      <c r="CG146" s="150"/>
      <c r="CH146" s="150"/>
      <c r="CI146" s="150"/>
      <c r="CJ146" s="150"/>
      <c r="CK146" s="150"/>
      <c r="CL146" s="150"/>
      <c r="CM146" s="150"/>
      <c r="CN146" s="150" t="s">
        <v>216</v>
      </c>
      <c r="CO146" s="150">
        <v>0</v>
      </c>
      <c r="CP146" s="150">
        <v>4</v>
      </c>
      <c r="CQ146" s="150">
        <v>0</v>
      </c>
      <c r="CR146" s="150">
        <v>0</v>
      </c>
      <c r="CS146" s="150">
        <v>4</v>
      </c>
      <c r="CT146" s="150">
        <v>8</v>
      </c>
      <c r="CU146" s="150">
        <v>0</v>
      </c>
      <c r="CV146" s="150">
        <v>4</v>
      </c>
      <c r="CW146" s="150">
        <v>8</v>
      </c>
      <c r="CX146" s="150">
        <v>0</v>
      </c>
      <c r="CY146" s="150">
        <v>4</v>
      </c>
      <c r="CZ146" s="150">
        <v>8</v>
      </c>
      <c r="DA146" s="150">
        <v>0</v>
      </c>
      <c r="DB146" s="150">
        <v>8</v>
      </c>
      <c r="DC146" s="150">
        <v>0</v>
      </c>
      <c r="DD146" s="150">
        <v>4</v>
      </c>
      <c r="DE146" s="150">
        <v>8</v>
      </c>
      <c r="DF146" s="150">
        <v>0</v>
      </c>
      <c r="DG146" s="150">
        <v>4</v>
      </c>
      <c r="DH146" s="150">
        <v>8</v>
      </c>
      <c r="DI146" s="150">
        <v>0</v>
      </c>
      <c r="DJ146" s="150">
        <v>4</v>
      </c>
      <c r="DK146" s="150">
        <v>8</v>
      </c>
      <c r="DL146" s="150">
        <v>0</v>
      </c>
      <c r="DM146" s="150"/>
      <c r="DN146" s="150"/>
      <c r="DO146" s="150"/>
      <c r="DP146" s="150"/>
      <c r="DQ146" s="181">
        <v>22</v>
      </c>
      <c r="DR146" s="181">
        <v>22</v>
      </c>
      <c r="DS146" s="181"/>
      <c r="DT146" s="150"/>
      <c r="DU146" s="150"/>
      <c r="DV146" s="150"/>
      <c r="DW146" s="150"/>
      <c r="DX146" s="150"/>
      <c r="DY146" s="150"/>
      <c r="DZ146" s="150"/>
      <c r="EA146" s="150"/>
      <c r="EB146" s="150"/>
      <c r="EC146" s="150"/>
      <c r="ED146" s="150"/>
      <c r="EE146" s="150"/>
      <c r="EF146" s="150"/>
      <c r="EG146" s="150"/>
      <c r="EH146" s="150"/>
      <c r="EI146" s="155"/>
      <c r="EK146" s="150" t="s">
        <v>586</v>
      </c>
      <c r="EL146" s="150">
        <v>0</v>
      </c>
      <c r="EM146" s="150">
        <v>0</v>
      </c>
      <c r="EN146" s="150">
        <v>0</v>
      </c>
      <c r="EO146" s="150">
        <v>4</v>
      </c>
      <c r="EP146" s="150">
        <v>0</v>
      </c>
      <c r="EQ146" s="150">
        <v>0</v>
      </c>
      <c r="ER146" s="150">
        <v>0</v>
      </c>
      <c r="ES146" s="150">
        <v>0</v>
      </c>
      <c r="ET146" s="150">
        <v>0</v>
      </c>
      <c r="EU146" s="150">
        <v>0</v>
      </c>
      <c r="EV146" s="150">
        <v>0</v>
      </c>
      <c r="EW146" s="150">
        <v>0</v>
      </c>
      <c r="EX146" s="150">
        <v>0</v>
      </c>
      <c r="EY146" s="150">
        <v>0</v>
      </c>
      <c r="EZ146" s="150">
        <v>0</v>
      </c>
      <c r="FA146" s="150">
        <v>0</v>
      </c>
      <c r="FB146" s="150">
        <v>0</v>
      </c>
      <c r="FC146" s="150">
        <v>0</v>
      </c>
      <c r="FD146" s="150">
        <v>0</v>
      </c>
      <c r="FE146" s="150">
        <v>0</v>
      </c>
      <c r="FF146" s="150">
        <v>0</v>
      </c>
      <c r="FG146" s="150">
        <v>0</v>
      </c>
      <c r="FH146" s="150">
        <v>0</v>
      </c>
      <c r="FI146" s="150">
        <v>0</v>
      </c>
      <c r="FK146" s="150" t="s">
        <v>586</v>
      </c>
      <c r="FL146" s="150">
        <v>0</v>
      </c>
      <c r="FM146" s="150">
        <v>0</v>
      </c>
      <c r="FN146" s="150">
        <v>4</v>
      </c>
      <c r="FO146" s="150">
        <v>4</v>
      </c>
      <c r="FP146" s="150">
        <v>0</v>
      </c>
      <c r="FQ146" s="150">
        <v>0</v>
      </c>
      <c r="FR146" s="150">
        <v>0</v>
      </c>
      <c r="FS146" s="150">
        <v>0</v>
      </c>
      <c r="FT146" s="150">
        <v>0</v>
      </c>
      <c r="FU146" s="150">
        <v>0</v>
      </c>
      <c r="FV146" s="150">
        <v>0</v>
      </c>
      <c r="FW146" s="150">
        <v>0</v>
      </c>
      <c r="FX146" s="150">
        <v>0</v>
      </c>
      <c r="FY146" s="150">
        <v>0</v>
      </c>
      <c r="FZ146" s="150">
        <v>0</v>
      </c>
      <c r="GA146" s="150">
        <v>0</v>
      </c>
      <c r="GB146" s="150">
        <v>0</v>
      </c>
      <c r="GC146" s="150">
        <v>0</v>
      </c>
      <c r="GD146" s="150">
        <v>0</v>
      </c>
      <c r="GE146" s="150">
        <v>0</v>
      </c>
      <c r="GF146" s="150">
        <v>0</v>
      </c>
      <c r="GG146" s="150">
        <v>0</v>
      </c>
      <c r="GH146" s="150">
        <v>0</v>
      </c>
      <c r="GI146" s="150">
        <v>0</v>
      </c>
      <c r="GJ146" s="150"/>
      <c r="GK146" s="150"/>
      <c r="GL146" s="156"/>
      <c r="GM146" s="150"/>
      <c r="GN146" s="150"/>
      <c r="GO146" s="150"/>
      <c r="GP146" s="150"/>
      <c r="GQ146" s="150"/>
      <c r="GR146" s="150"/>
      <c r="GS146" s="150"/>
      <c r="GT146" s="150"/>
      <c r="GU146" s="150"/>
      <c r="GV146" s="150"/>
      <c r="GW146" s="150"/>
      <c r="GX146" s="150"/>
      <c r="GY146" s="150"/>
      <c r="GZ146" s="150"/>
      <c r="HA146" s="150"/>
      <c r="HB146" s="150"/>
      <c r="HC146" s="150"/>
      <c r="HD146" s="150"/>
      <c r="HE146" s="150"/>
      <c r="HF146" s="150"/>
      <c r="HG146" s="150"/>
      <c r="HH146" s="150"/>
    </row>
    <row r="147" spans="1:216" x14ac:dyDescent="0.2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6" t="str">
        <f>INDEX(($AH$13:$AI$13),1,MATCH(E132,$AH$2:$AI$2,0))</f>
        <v>PUF</v>
      </c>
      <c r="M147" s="11">
        <f>INDEX(cennik!$C$2:$L$529,MATCH($L147,cennik!$B$2:$B$522,0),MATCH(M$2,cennik!$C$1:$L$1,0))</f>
        <v>897300</v>
      </c>
      <c r="N147" s="11" t="str">
        <f>INDEX(cennik!$C$2:$L$529,MATCH($L147,cennik!$B$2:$B$522,0),MATCH(N$2,cennik!$C$1:$L$1,0))</f>
        <v>szt.</v>
      </c>
      <c r="O147" s="11">
        <f>SUM((((A130/3)-1)*6)*C130,(((A131/3)-1)*6)*C131,(((A132/3)-1)*6)*C132,(((A133/3)-1)*6)*C133,(((A134/3)-1)*6)*C134,(((A135/3)-1)*6)*C135,(((A136/3)-1)*6)*C136,(((A137/3)-1)*6)*C137,(((A138/3)-1)*6)*C138,(((A139/3)-1)*6)*C139,(((A140/3)-1)*6)*C140,(((A141/3)-1)*6)*C141,(((A142/3)-1)*6)*C142,(((A143/3)-1)*6)*C143,(((A144/3)-1)*6)*C144,(((A145/3)-1)*6)*C145)</f>
        <v>0</v>
      </c>
      <c r="P147" s="34">
        <f>INDEX(cennik!$C$2:$L$529,MATCH($L147,cennik!$B$2:$B$522,0),MATCH(P$2,cennik!$C$1:$L$1,0))</f>
        <v>2.06</v>
      </c>
      <c r="Q147" s="34">
        <f t="shared" si="339"/>
        <v>0</v>
      </c>
      <c r="R147" s="35">
        <f t="shared" si="326"/>
        <v>0</v>
      </c>
      <c r="S147" s="34">
        <f t="shared" si="325"/>
        <v>2.06</v>
      </c>
      <c r="T147" s="34">
        <f t="shared" si="340"/>
        <v>0</v>
      </c>
      <c r="U147" s="34">
        <f>INDEX(cennik!$C$2:$L$529,MATCH($L147,cennik!$B$2:$B$522,0),MATCH(U$2,cennik!$C$1:$L$1,0))*O147</f>
        <v>0</v>
      </c>
      <c r="V147" s="62"/>
      <c r="AC147" s="150"/>
      <c r="AD147" s="150"/>
      <c r="AE147" s="150"/>
      <c r="AF147" s="150"/>
      <c r="AG147" s="150"/>
      <c r="AH147" s="150"/>
      <c r="AI147" s="150"/>
      <c r="AJ147" s="150"/>
      <c r="AK147" s="150"/>
      <c r="AL147" s="150"/>
      <c r="AM147" s="150"/>
      <c r="AQ147" s="150"/>
      <c r="AR147" s="150"/>
      <c r="AS147" s="150"/>
      <c r="AT147" s="150"/>
      <c r="AU147" s="150"/>
      <c r="AV147" s="150"/>
      <c r="AW147" s="150"/>
      <c r="AX147" s="150"/>
      <c r="AY147" s="150"/>
      <c r="AZ147" s="150"/>
      <c r="BA147" s="150"/>
      <c r="BB147" s="150"/>
      <c r="BC147" s="150"/>
      <c r="BD147" s="150"/>
      <c r="BE147" s="150"/>
      <c r="BF147" s="150"/>
      <c r="BG147" s="150"/>
      <c r="BH147" s="150" t="s">
        <v>17</v>
      </c>
      <c r="BI147" s="150">
        <v>0</v>
      </c>
      <c r="BJ147" s="150">
        <v>4</v>
      </c>
      <c r="BK147" s="150">
        <v>0</v>
      </c>
      <c r="BL147" s="150">
        <v>0</v>
      </c>
      <c r="BM147" s="150">
        <v>0</v>
      </c>
      <c r="BN147" s="150">
        <v>4</v>
      </c>
      <c r="BO147" s="150">
        <v>4</v>
      </c>
      <c r="BP147" s="150">
        <v>4</v>
      </c>
      <c r="BQ147" s="150">
        <v>0</v>
      </c>
      <c r="BR147" s="150">
        <v>4</v>
      </c>
      <c r="BS147" s="150">
        <v>0</v>
      </c>
      <c r="BT147" s="150">
        <v>0</v>
      </c>
      <c r="BU147" s="150">
        <v>0</v>
      </c>
      <c r="BV147" s="150">
        <v>4</v>
      </c>
      <c r="BW147" s="150">
        <v>4</v>
      </c>
      <c r="BX147" s="150">
        <v>4</v>
      </c>
      <c r="BY147" s="150">
        <v>0</v>
      </c>
      <c r="BZ147" s="150">
        <v>0</v>
      </c>
      <c r="CA147" s="150">
        <v>0</v>
      </c>
      <c r="CB147" s="150">
        <v>0</v>
      </c>
      <c r="CC147" s="150">
        <v>0</v>
      </c>
      <c r="CD147" s="150">
        <v>4</v>
      </c>
      <c r="CE147" s="150">
        <v>4</v>
      </c>
      <c r="CF147" s="150">
        <v>4</v>
      </c>
      <c r="CG147" s="150"/>
      <c r="CH147" s="150"/>
      <c r="CI147" s="150"/>
      <c r="CJ147" s="150"/>
      <c r="CK147" s="150"/>
      <c r="CL147" s="150"/>
      <c r="CM147" s="150"/>
      <c r="CN147" s="150" t="s">
        <v>17</v>
      </c>
      <c r="CO147" s="150">
        <v>0</v>
      </c>
      <c r="CP147" s="150">
        <v>0</v>
      </c>
      <c r="CQ147" s="150">
        <v>0</v>
      </c>
      <c r="CR147" s="150">
        <v>0</v>
      </c>
      <c r="CS147" s="150">
        <v>4</v>
      </c>
      <c r="CT147" s="150">
        <v>0</v>
      </c>
      <c r="CU147" s="150">
        <v>4</v>
      </c>
      <c r="CV147" s="150">
        <v>0</v>
      </c>
      <c r="CW147" s="150">
        <v>4</v>
      </c>
      <c r="CX147" s="150">
        <v>0</v>
      </c>
      <c r="CY147" s="150">
        <v>4</v>
      </c>
      <c r="CZ147" s="150">
        <v>0</v>
      </c>
      <c r="DA147" s="150">
        <v>4</v>
      </c>
      <c r="DB147" s="150">
        <v>4</v>
      </c>
      <c r="DC147" s="150">
        <v>0</v>
      </c>
      <c r="DD147" s="150">
        <v>4</v>
      </c>
      <c r="DE147" s="150">
        <v>0</v>
      </c>
      <c r="DF147" s="150">
        <v>4</v>
      </c>
      <c r="DG147" s="150">
        <v>0</v>
      </c>
      <c r="DH147" s="150">
        <v>4</v>
      </c>
      <c r="DI147" s="150">
        <v>0</v>
      </c>
      <c r="DJ147" s="150">
        <v>4</v>
      </c>
      <c r="DK147" s="150">
        <v>0</v>
      </c>
      <c r="DL147" s="150">
        <v>4</v>
      </c>
      <c r="DM147" s="150"/>
      <c r="DN147" s="150"/>
      <c r="DO147" s="150"/>
      <c r="DP147" s="150"/>
      <c r="DQ147" s="181">
        <v>24</v>
      </c>
      <c r="DR147" s="181">
        <v>24</v>
      </c>
      <c r="DS147" s="181"/>
      <c r="DT147" s="150"/>
      <c r="DU147" s="150"/>
      <c r="DV147" s="150"/>
      <c r="DW147" s="150"/>
      <c r="DX147" s="150"/>
      <c r="DY147" s="150"/>
      <c r="DZ147" s="150"/>
      <c r="EA147" s="150"/>
      <c r="EB147" s="150"/>
      <c r="EC147" s="150"/>
      <c r="ED147" s="150"/>
      <c r="EE147" s="150"/>
      <c r="EF147" s="150"/>
      <c r="EG147" s="150"/>
      <c r="EH147" s="150"/>
      <c r="EI147" s="155"/>
      <c r="EK147" s="150" t="s">
        <v>522</v>
      </c>
      <c r="EL147" s="150">
        <v>0</v>
      </c>
      <c r="EM147" s="150">
        <f>BJ146</f>
        <v>0</v>
      </c>
      <c r="EN147" s="150">
        <f>BK146</f>
        <v>4</v>
      </c>
      <c r="EO147" s="150">
        <v>0</v>
      </c>
      <c r="EP147" s="150">
        <f t="shared" ref="EP147:FI147" si="345">BM146</f>
        <v>0</v>
      </c>
      <c r="EQ147" s="150">
        <f t="shared" si="345"/>
        <v>4</v>
      </c>
      <c r="ER147" s="150">
        <f t="shared" si="345"/>
        <v>0</v>
      </c>
      <c r="ES147" s="150">
        <f t="shared" si="345"/>
        <v>0</v>
      </c>
      <c r="ET147" s="150">
        <f t="shared" si="345"/>
        <v>4</v>
      </c>
      <c r="EU147" s="150">
        <f t="shared" si="345"/>
        <v>8</v>
      </c>
      <c r="EV147" s="150">
        <f t="shared" si="345"/>
        <v>0</v>
      </c>
      <c r="EW147" s="150">
        <f t="shared" si="345"/>
        <v>8</v>
      </c>
      <c r="EX147" s="150">
        <f t="shared" si="345"/>
        <v>8</v>
      </c>
      <c r="EY147" s="150">
        <f t="shared" si="345"/>
        <v>0</v>
      </c>
      <c r="EZ147" s="150">
        <f t="shared" si="345"/>
        <v>8</v>
      </c>
      <c r="FA147" s="150">
        <f t="shared" si="345"/>
        <v>8</v>
      </c>
      <c r="FB147" s="150">
        <f t="shared" si="345"/>
        <v>0</v>
      </c>
      <c r="FC147" s="150">
        <f t="shared" si="345"/>
        <v>8</v>
      </c>
      <c r="FD147" s="150">
        <f t="shared" si="345"/>
        <v>8</v>
      </c>
      <c r="FE147" s="150">
        <f t="shared" si="345"/>
        <v>4</v>
      </c>
      <c r="FF147" s="150">
        <f t="shared" si="345"/>
        <v>4</v>
      </c>
      <c r="FG147" s="150">
        <f t="shared" si="345"/>
        <v>8</v>
      </c>
      <c r="FH147" s="150">
        <f t="shared" si="345"/>
        <v>4</v>
      </c>
      <c r="FI147" s="150">
        <f t="shared" si="345"/>
        <v>4</v>
      </c>
      <c r="FJ147" s="150"/>
      <c r="FK147" s="150" t="s">
        <v>522</v>
      </c>
      <c r="FL147" s="150">
        <v>0</v>
      </c>
      <c r="FM147" s="150">
        <f>CP146</f>
        <v>4</v>
      </c>
      <c r="FN147" s="150">
        <v>0</v>
      </c>
      <c r="FO147" s="150">
        <v>0</v>
      </c>
      <c r="FP147" s="150">
        <f t="shared" ref="FP147:GI147" si="346">CS146</f>
        <v>4</v>
      </c>
      <c r="FQ147" s="150">
        <f t="shared" si="346"/>
        <v>8</v>
      </c>
      <c r="FR147" s="150">
        <f t="shared" si="346"/>
        <v>0</v>
      </c>
      <c r="FS147" s="150">
        <f t="shared" si="346"/>
        <v>4</v>
      </c>
      <c r="FT147" s="150">
        <f t="shared" si="346"/>
        <v>8</v>
      </c>
      <c r="FU147" s="150">
        <f t="shared" si="346"/>
        <v>0</v>
      </c>
      <c r="FV147" s="150">
        <f t="shared" si="346"/>
        <v>4</v>
      </c>
      <c r="FW147" s="150">
        <f t="shared" si="346"/>
        <v>8</v>
      </c>
      <c r="FX147" s="150">
        <f t="shared" si="346"/>
        <v>0</v>
      </c>
      <c r="FY147" s="150">
        <f t="shared" si="346"/>
        <v>8</v>
      </c>
      <c r="FZ147" s="150">
        <f t="shared" si="346"/>
        <v>0</v>
      </c>
      <c r="GA147" s="150">
        <f t="shared" si="346"/>
        <v>4</v>
      </c>
      <c r="GB147" s="150">
        <f t="shared" si="346"/>
        <v>8</v>
      </c>
      <c r="GC147" s="150">
        <f t="shared" si="346"/>
        <v>0</v>
      </c>
      <c r="GD147" s="150">
        <f t="shared" si="346"/>
        <v>4</v>
      </c>
      <c r="GE147" s="150">
        <f t="shared" si="346"/>
        <v>8</v>
      </c>
      <c r="GF147" s="150">
        <f t="shared" si="346"/>
        <v>0</v>
      </c>
      <c r="GG147" s="150">
        <f t="shared" si="346"/>
        <v>4</v>
      </c>
      <c r="GH147" s="150">
        <f t="shared" si="346"/>
        <v>8</v>
      </c>
      <c r="GI147" s="150">
        <f t="shared" si="346"/>
        <v>0</v>
      </c>
      <c r="GJ147" s="150"/>
      <c r="GK147" s="150"/>
      <c r="GL147" s="156"/>
      <c r="GM147" s="150"/>
      <c r="GN147" s="150"/>
      <c r="GO147" s="150"/>
      <c r="GP147" s="150"/>
      <c r="GQ147" s="150"/>
      <c r="GR147" s="150"/>
      <c r="GS147" s="150"/>
      <c r="GT147" s="150"/>
      <c r="GU147" s="150"/>
      <c r="GV147" s="150"/>
      <c r="GW147" s="150"/>
      <c r="GX147" s="150"/>
      <c r="GY147" s="150"/>
      <c r="GZ147" s="150"/>
      <c r="HA147" s="150"/>
      <c r="HB147" s="150"/>
      <c r="HC147" s="150"/>
      <c r="HD147" s="150"/>
      <c r="HE147" s="150"/>
      <c r="HF147" s="150"/>
      <c r="HG147" s="150"/>
      <c r="HH147" s="150"/>
    </row>
    <row r="148" spans="1:216" x14ac:dyDescent="0.2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6" t="str">
        <f>INDEX(($AJ$3:$AJ$12),MATCH(I131,$AG$3:$AG$12,0),1)</f>
        <v>SAM8X35E</v>
      </c>
      <c r="M148" s="11">
        <f>INDEX(cennik!$C$2:$L$529,MATCH($L148,cennik!$B$2:$B$522,0),MATCH(M$2,cennik!$C$1:$L$1,0))</f>
        <v>898535</v>
      </c>
      <c r="N148" s="11" t="str">
        <f>INDEX(cennik!$C$2:$L$529,MATCH($L148,cennik!$B$2:$B$522,0),MATCH(N$2,cennik!$C$1:$L$1,0))</f>
        <v>szt.</v>
      </c>
      <c r="O148" s="11">
        <f>IF(L148="-------",0,SUM(O146:O147))</f>
        <v>0</v>
      </c>
      <c r="P148" s="34">
        <f>INDEX(cennik!$C$2:$L$529,MATCH($L148,cennik!$B$2:$B$522,0),MATCH(P$2,cennik!$C$1:$L$1,0))</f>
        <v>0.61</v>
      </c>
      <c r="Q148" s="34">
        <f t="shared" si="339"/>
        <v>0</v>
      </c>
      <c r="R148" s="35">
        <f t="shared" si="326"/>
        <v>0</v>
      </c>
      <c r="S148" s="34">
        <f t="shared" si="325"/>
        <v>0.61</v>
      </c>
      <c r="T148" s="34">
        <f t="shared" si="340"/>
        <v>0</v>
      </c>
      <c r="U148" s="34">
        <f>INDEX(cennik!$C$2:$L$529,MATCH($L148,cennik!$B$2:$B$522,0),MATCH(U$2,cennik!$C$1:$L$1,0))*O148</f>
        <v>0</v>
      </c>
      <c r="V148" s="62"/>
      <c r="AC148" s="150"/>
      <c r="AD148" s="150"/>
      <c r="AE148" s="150"/>
      <c r="AF148" s="150"/>
      <c r="AG148" s="150"/>
      <c r="AH148" s="150"/>
      <c r="AI148" s="150"/>
      <c r="AJ148" s="150"/>
      <c r="AK148" s="150"/>
      <c r="AL148" s="150"/>
      <c r="AM148" s="150"/>
      <c r="AQ148" s="150"/>
      <c r="AR148" s="150"/>
      <c r="AS148" s="150"/>
      <c r="AT148" s="150"/>
      <c r="AU148" s="150"/>
      <c r="AV148" s="150"/>
      <c r="AW148" s="150"/>
      <c r="AX148" s="150"/>
      <c r="AY148" s="150"/>
      <c r="AZ148" s="150"/>
      <c r="BA148" s="150"/>
      <c r="BB148" s="150"/>
      <c r="BC148" s="150"/>
      <c r="BD148" s="150"/>
      <c r="BE148" s="150"/>
      <c r="BF148" s="150"/>
      <c r="BG148" s="150"/>
      <c r="BH148" s="150" t="s">
        <v>18</v>
      </c>
      <c r="BI148" s="150">
        <v>0</v>
      </c>
      <c r="BJ148" s="150">
        <v>0</v>
      </c>
      <c r="BK148" s="150">
        <v>0</v>
      </c>
      <c r="BL148" s="150">
        <v>0</v>
      </c>
      <c r="BM148" s="150">
        <v>0</v>
      </c>
      <c r="BN148" s="150">
        <v>4</v>
      </c>
      <c r="BO148" s="150">
        <v>4</v>
      </c>
      <c r="BP148" s="150">
        <v>4</v>
      </c>
      <c r="BQ148" s="150">
        <v>4</v>
      </c>
      <c r="BR148" s="150">
        <v>8</v>
      </c>
      <c r="BS148" s="150">
        <v>4</v>
      </c>
      <c r="BT148" s="150">
        <v>8</v>
      </c>
      <c r="BU148" s="150">
        <v>8</v>
      </c>
      <c r="BV148" s="150">
        <v>8</v>
      </c>
      <c r="BW148" s="150">
        <v>12</v>
      </c>
      <c r="BX148" s="150">
        <v>12</v>
      </c>
      <c r="BY148" s="150">
        <v>8</v>
      </c>
      <c r="BZ148" s="150">
        <v>12</v>
      </c>
      <c r="CA148" s="150">
        <v>12</v>
      </c>
      <c r="CB148" s="150">
        <v>12</v>
      </c>
      <c r="CC148" s="150">
        <v>12</v>
      </c>
      <c r="CD148" s="150">
        <v>16</v>
      </c>
      <c r="CE148" s="150">
        <v>16</v>
      </c>
      <c r="CF148" s="150">
        <v>16</v>
      </c>
      <c r="CG148" s="150"/>
      <c r="CH148" s="150"/>
      <c r="CI148" s="150"/>
      <c r="CJ148" s="150"/>
      <c r="CK148" s="150"/>
      <c r="CL148" s="150"/>
      <c r="CM148" s="150"/>
      <c r="CN148" s="150" t="s">
        <v>18</v>
      </c>
      <c r="CO148" s="150">
        <v>0</v>
      </c>
      <c r="CP148" s="150">
        <v>0</v>
      </c>
      <c r="CQ148" s="150">
        <v>0</v>
      </c>
      <c r="CR148" s="150">
        <v>0</v>
      </c>
      <c r="CS148" s="150">
        <v>4</v>
      </c>
      <c r="CT148" s="150">
        <v>4</v>
      </c>
      <c r="CU148" s="150">
        <v>4</v>
      </c>
      <c r="CV148" s="150">
        <v>4</v>
      </c>
      <c r="CW148" s="150">
        <v>8</v>
      </c>
      <c r="CX148" s="150">
        <v>4</v>
      </c>
      <c r="CY148" s="150">
        <v>8</v>
      </c>
      <c r="CZ148" s="150">
        <v>8</v>
      </c>
      <c r="DA148" s="150">
        <v>8</v>
      </c>
      <c r="DB148" s="150">
        <v>12</v>
      </c>
      <c r="DC148" s="150">
        <v>8</v>
      </c>
      <c r="DD148" s="150">
        <v>12</v>
      </c>
      <c r="DE148" s="150">
        <v>12</v>
      </c>
      <c r="DF148" s="150">
        <v>12</v>
      </c>
      <c r="DG148" s="150">
        <v>12</v>
      </c>
      <c r="DH148" s="150">
        <v>16</v>
      </c>
      <c r="DI148" s="150">
        <v>12</v>
      </c>
      <c r="DJ148" s="150">
        <v>16</v>
      </c>
      <c r="DK148" s="150">
        <v>16</v>
      </c>
      <c r="DL148" s="150">
        <v>16</v>
      </c>
      <c r="DM148" s="150"/>
      <c r="DN148" s="150"/>
      <c r="DO148" s="150"/>
      <c r="DP148" s="150"/>
      <c r="DQ148" s="181">
        <v>26</v>
      </c>
      <c r="DR148" s="181">
        <v>26</v>
      </c>
      <c r="DS148" s="181"/>
      <c r="DT148" s="150"/>
      <c r="DU148" s="150"/>
      <c r="DV148" s="150"/>
      <c r="DW148" s="150"/>
      <c r="DX148" s="150"/>
      <c r="DY148" s="150"/>
      <c r="DZ148" s="150"/>
      <c r="EA148" s="150"/>
      <c r="EB148" s="150"/>
      <c r="EC148" s="150"/>
      <c r="ED148" s="150"/>
      <c r="EE148" s="150"/>
      <c r="EF148" s="150"/>
      <c r="EG148" s="150"/>
      <c r="EH148" s="150"/>
      <c r="EI148" s="155"/>
      <c r="EJ148" s="150"/>
      <c r="EK148" s="150" t="s">
        <v>523</v>
      </c>
      <c r="EL148" s="150">
        <v>0</v>
      </c>
      <c r="EM148" s="150">
        <f>BJ147+(BJ145*2)</f>
        <v>4</v>
      </c>
      <c r="EN148" s="150">
        <f>BK147+(BK145*2)</f>
        <v>0</v>
      </c>
      <c r="EO148" s="150">
        <v>0</v>
      </c>
      <c r="EP148" s="150">
        <f t="shared" ref="EP148:FI148" si="347">BM147+(BM145*2)</f>
        <v>8</v>
      </c>
      <c r="EQ148" s="150">
        <f t="shared" si="347"/>
        <v>4</v>
      </c>
      <c r="ER148" s="150">
        <f t="shared" si="347"/>
        <v>12</v>
      </c>
      <c r="ES148" s="150">
        <f t="shared" si="347"/>
        <v>12</v>
      </c>
      <c r="ET148" s="150">
        <f t="shared" si="347"/>
        <v>8</v>
      </c>
      <c r="EU148" s="150">
        <f t="shared" si="347"/>
        <v>4</v>
      </c>
      <c r="EV148" s="150">
        <f t="shared" si="347"/>
        <v>16</v>
      </c>
      <c r="EW148" s="150">
        <f t="shared" si="347"/>
        <v>8</v>
      </c>
      <c r="EX148" s="150">
        <f t="shared" si="347"/>
        <v>8</v>
      </c>
      <c r="EY148" s="150">
        <f t="shared" si="347"/>
        <v>20</v>
      </c>
      <c r="EZ148" s="150">
        <f t="shared" si="347"/>
        <v>12</v>
      </c>
      <c r="FA148" s="150">
        <f t="shared" si="347"/>
        <v>12</v>
      </c>
      <c r="FB148" s="150">
        <f t="shared" si="347"/>
        <v>24</v>
      </c>
      <c r="FC148" s="150">
        <f t="shared" si="347"/>
        <v>16</v>
      </c>
      <c r="FD148" s="150">
        <f t="shared" si="347"/>
        <v>16</v>
      </c>
      <c r="FE148" s="150">
        <f t="shared" si="347"/>
        <v>24</v>
      </c>
      <c r="FF148" s="150">
        <f t="shared" si="347"/>
        <v>24</v>
      </c>
      <c r="FG148" s="150">
        <f t="shared" si="347"/>
        <v>20</v>
      </c>
      <c r="FH148" s="150">
        <f t="shared" si="347"/>
        <v>28</v>
      </c>
      <c r="FI148" s="150">
        <f t="shared" si="347"/>
        <v>28</v>
      </c>
      <c r="FJ148" s="150"/>
      <c r="FK148" s="150" t="s">
        <v>523</v>
      </c>
      <c r="FL148" s="150">
        <v>0</v>
      </c>
      <c r="FM148" s="150">
        <f>CP147+(CP145*2)</f>
        <v>0</v>
      </c>
      <c r="FN148" s="150">
        <v>0</v>
      </c>
      <c r="FO148" s="150">
        <v>0</v>
      </c>
      <c r="FP148" s="150">
        <f t="shared" ref="FP148:GI148" si="348">CS147+(CS145*2)</f>
        <v>4</v>
      </c>
      <c r="FQ148" s="150">
        <f t="shared" si="348"/>
        <v>0</v>
      </c>
      <c r="FR148" s="150">
        <f t="shared" si="348"/>
        <v>12</v>
      </c>
      <c r="FS148" s="150">
        <f t="shared" si="348"/>
        <v>8</v>
      </c>
      <c r="FT148" s="150">
        <f t="shared" si="348"/>
        <v>4</v>
      </c>
      <c r="FU148" s="150">
        <f t="shared" si="348"/>
        <v>16</v>
      </c>
      <c r="FV148" s="150">
        <f t="shared" si="348"/>
        <v>12</v>
      </c>
      <c r="FW148" s="150">
        <f t="shared" si="348"/>
        <v>8</v>
      </c>
      <c r="FX148" s="150">
        <f t="shared" si="348"/>
        <v>20</v>
      </c>
      <c r="FY148" s="150">
        <f t="shared" si="348"/>
        <v>12</v>
      </c>
      <c r="FZ148" s="150">
        <f t="shared" si="348"/>
        <v>24</v>
      </c>
      <c r="GA148" s="150">
        <f t="shared" si="348"/>
        <v>20</v>
      </c>
      <c r="GB148" s="150">
        <f t="shared" si="348"/>
        <v>16</v>
      </c>
      <c r="GC148" s="150">
        <f t="shared" si="348"/>
        <v>28</v>
      </c>
      <c r="GD148" s="150">
        <f t="shared" si="348"/>
        <v>24</v>
      </c>
      <c r="GE148" s="150">
        <f t="shared" si="348"/>
        <v>20</v>
      </c>
      <c r="GF148" s="150">
        <f t="shared" si="348"/>
        <v>32</v>
      </c>
      <c r="GG148" s="150">
        <f t="shared" si="348"/>
        <v>28</v>
      </c>
      <c r="GH148" s="150">
        <f t="shared" si="348"/>
        <v>24</v>
      </c>
      <c r="GI148" s="150">
        <f t="shared" si="348"/>
        <v>36</v>
      </c>
      <c r="GJ148" s="150"/>
      <c r="GK148" s="150"/>
      <c r="GL148" s="156"/>
      <c r="GM148" s="150"/>
      <c r="GN148" s="150"/>
      <c r="GO148" s="150"/>
      <c r="GP148" s="150"/>
      <c r="GQ148" s="150"/>
      <c r="GR148" s="150"/>
      <c r="GS148" s="150"/>
      <c r="GT148" s="150"/>
      <c r="GU148" s="150"/>
      <c r="GV148" s="150"/>
      <c r="GW148" s="150"/>
      <c r="GX148" s="150"/>
      <c r="GY148" s="150"/>
      <c r="GZ148" s="150"/>
      <c r="HA148" s="150"/>
      <c r="HB148" s="150"/>
      <c r="HC148" s="150"/>
      <c r="HD148" s="150"/>
      <c r="HE148" s="150"/>
      <c r="HF148" s="150"/>
      <c r="HG148" s="150"/>
      <c r="HH148" s="150"/>
    </row>
    <row r="149" spans="1:216" x14ac:dyDescent="0.2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6" t="s">
        <v>1019</v>
      </c>
      <c r="M149" s="11">
        <f>INDEX(cennik!$C$2:$L$529,MATCH($L149,cennik!$B$2:$B$522,0),MATCH(M$2,cennik!$C$1:$L$1,0))</f>
        <v>166794</v>
      </c>
      <c r="N149" s="11" t="str">
        <f>INDEX(cennik!$C$2:$L$529,MATCH($L149,cennik!$B$2:$B$522,0),MATCH(N$2,cennik!$C$1:$L$1,0))</f>
        <v>100 szt.</v>
      </c>
      <c r="O149" s="11">
        <f>ROUNDUP(O148/100,0)</f>
        <v>0</v>
      </c>
      <c r="P149" s="34">
        <f>INDEX(cennik!$C$2:$L$529,MATCH($L149,cennik!$B$2:$B$522,0),MATCH(P$2,cennik!$C$1:$L$1,0))</f>
        <v>3.95</v>
      </c>
      <c r="Q149" s="34">
        <f t="shared" si="339"/>
        <v>0</v>
      </c>
      <c r="R149" s="35">
        <f t="shared" si="326"/>
        <v>0</v>
      </c>
      <c r="S149" s="34">
        <f t="shared" si="325"/>
        <v>3.95</v>
      </c>
      <c r="T149" s="34">
        <f t="shared" si="340"/>
        <v>0</v>
      </c>
      <c r="U149" s="34">
        <f>INDEX(cennik!$C$2:$L$529,MATCH($L149,cennik!$B$2:$B$522,0),MATCH(U$2,cennik!$C$1:$L$1,0))*O149</f>
        <v>0</v>
      </c>
      <c r="V149" s="62"/>
      <c r="AC149" s="150"/>
      <c r="AD149" s="150"/>
      <c r="AE149" s="150"/>
      <c r="AF149" s="150"/>
      <c r="AG149" s="150"/>
      <c r="AH149" s="150"/>
      <c r="AI149" s="150"/>
      <c r="AJ149" s="150"/>
      <c r="AK149" s="150"/>
      <c r="AL149" s="150"/>
      <c r="AM149" s="150"/>
      <c r="AQ149" s="150"/>
      <c r="AR149" s="150"/>
      <c r="AS149" s="150"/>
      <c r="AT149" s="150"/>
      <c r="AU149" s="150"/>
      <c r="AV149" s="150"/>
      <c r="AW149" s="150"/>
      <c r="AX149" s="150"/>
      <c r="AY149" s="150"/>
      <c r="AZ149" s="150"/>
      <c r="BA149" s="150"/>
      <c r="BB149" s="150"/>
      <c r="BC149" s="150"/>
      <c r="BD149" s="150"/>
      <c r="BE149" s="150"/>
      <c r="BF149" s="150"/>
      <c r="BG149" s="150"/>
      <c r="BH149" s="150"/>
      <c r="BI149" s="150"/>
      <c r="BJ149" s="150"/>
      <c r="BK149" s="150"/>
      <c r="BL149" s="150"/>
      <c r="BM149" s="150"/>
      <c r="BN149" s="150"/>
      <c r="BO149" s="150"/>
      <c r="BP149" s="150"/>
      <c r="BQ149" s="150"/>
      <c r="BR149" s="150"/>
      <c r="BS149" s="150"/>
      <c r="BT149" s="150"/>
      <c r="BU149" s="150"/>
      <c r="BV149" s="150"/>
      <c r="BW149" s="150"/>
      <c r="BX149" s="150"/>
      <c r="BY149" s="150"/>
      <c r="BZ149" s="150"/>
      <c r="CA149" s="150"/>
      <c r="CB149" s="150"/>
      <c r="CC149" s="150"/>
      <c r="CD149" s="150"/>
      <c r="CE149" s="150"/>
      <c r="CF149" s="150"/>
      <c r="CG149" s="150"/>
      <c r="CH149" s="150"/>
      <c r="CI149" s="150"/>
      <c r="CJ149" s="150"/>
      <c r="CK149" s="150"/>
      <c r="CL149" s="150"/>
      <c r="CM149" s="150"/>
      <c r="CN149" s="150"/>
      <c r="CO149" s="150"/>
      <c r="CP149" s="150"/>
      <c r="CQ149" s="150"/>
      <c r="CR149" s="150"/>
      <c r="CS149" s="150"/>
      <c r="CT149" s="150"/>
      <c r="CU149" s="150"/>
      <c r="CV149" s="150"/>
      <c r="CW149" s="150"/>
      <c r="CX149" s="150"/>
      <c r="CY149" s="150"/>
      <c r="CZ149" s="150"/>
      <c r="DA149" s="150"/>
      <c r="DB149" s="150"/>
      <c r="DC149" s="150"/>
      <c r="DD149" s="150"/>
      <c r="DE149" s="150"/>
      <c r="DF149" s="150"/>
      <c r="DG149" s="150"/>
      <c r="DH149" s="150"/>
      <c r="DI149" s="150"/>
      <c r="DJ149" s="150"/>
      <c r="DK149" s="150"/>
      <c r="DL149" s="150"/>
      <c r="DM149" s="150"/>
      <c r="DN149" s="150"/>
      <c r="DO149" s="150"/>
      <c r="DP149" s="150"/>
      <c r="DQ149" s="181"/>
      <c r="DR149" s="181">
        <v>28</v>
      </c>
      <c r="DS149" s="181"/>
      <c r="DT149" s="150"/>
      <c r="DU149" s="150"/>
      <c r="DV149" s="150"/>
      <c r="DW149" s="150"/>
      <c r="DX149" s="150"/>
      <c r="DY149" s="150"/>
      <c r="DZ149" s="150"/>
      <c r="EA149" s="150"/>
      <c r="EB149" s="150"/>
      <c r="EC149" s="150"/>
      <c r="ED149" s="150"/>
      <c r="EE149" s="150"/>
      <c r="EF149" s="150"/>
      <c r="EG149" s="150"/>
      <c r="EH149" s="150"/>
      <c r="EI149" s="155"/>
      <c r="EJ149" s="150"/>
      <c r="EK149" s="158" t="s">
        <v>779</v>
      </c>
      <c r="EL149" s="150">
        <v>0</v>
      </c>
      <c r="EM149" s="150">
        <f>((SUM(EM147:EM148)/4)-1)*4</f>
        <v>0</v>
      </c>
      <c r="EN149" s="150">
        <f>((SUM(EN147:EN148)/4)-1)*4</f>
        <v>0</v>
      </c>
      <c r="EO149" s="150">
        <v>0</v>
      </c>
      <c r="EP149" s="150">
        <f t="shared" ref="EP149:EX149" si="349">((SUM(EP147:EP148)/4)-1)*4</f>
        <v>4</v>
      </c>
      <c r="EQ149" s="150">
        <f t="shared" si="349"/>
        <v>4</v>
      </c>
      <c r="ER149" s="150">
        <f t="shared" si="349"/>
        <v>8</v>
      </c>
      <c r="ES149" s="150">
        <f t="shared" si="349"/>
        <v>8</v>
      </c>
      <c r="ET149" s="150">
        <f t="shared" si="349"/>
        <v>8</v>
      </c>
      <c r="EU149" s="150">
        <f t="shared" si="349"/>
        <v>8</v>
      </c>
      <c r="EV149" s="150">
        <f t="shared" si="349"/>
        <v>12</v>
      </c>
      <c r="EW149" s="150">
        <f t="shared" si="349"/>
        <v>12</v>
      </c>
      <c r="EX149" s="150">
        <f t="shared" si="349"/>
        <v>12</v>
      </c>
      <c r="EY149" s="150">
        <f>((SUM(EY147:EY148)/4)-1)*4</f>
        <v>16</v>
      </c>
      <c r="EZ149" s="150">
        <f>((SUM(EZ147:EZ148)/4)-1)*4</f>
        <v>16</v>
      </c>
      <c r="FA149" s="150">
        <f t="shared" ref="FA149:FI149" si="350">((SUM(FA147:FA148)/4)-1)*4</f>
        <v>16</v>
      </c>
      <c r="FB149" s="150">
        <f t="shared" si="350"/>
        <v>20</v>
      </c>
      <c r="FC149" s="150">
        <f t="shared" si="350"/>
        <v>20</v>
      </c>
      <c r="FD149" s="150">
        <f t="shared" si="350"/>
        <v>20</v>
      </c>
      <c r="FE149" s="150">
        <f t="shared" si="350"/>
        <v>24</v>
      </c>
      <c r="FF149" s="150">
        <f t="shared" si="350"/>
        <v>24</v>
      </c>
      <c r="FG149" s="150">
        <f t="shared" si="350"/>
        <v>24</v>
      </c>
      <c r="FH149" s="150">
        <f t="shared" si="350"/>
        <v>28</v>
      </c>
      <c r="FI149" s="150">
        <f t="shared" si="350"/>
        <v>28</v>
      </c>
      <c r="FJ149" s="150"/>
      <c r="FK149" s="158" t="s">
        <v>779</v>
      </c>
      <c r="FL149" s="150">
        <v>0</v>
      </c>
      <c r="FM149" s="150">
        <f>((SUM(FM147:FM148)/4)-1)*4</f>
        <v>0</v>
      </c>
      <c r="FN149" s="150">
        <v>0</v>
      </c>
      <c r="FO149" s="150">
        <v>0</v>
      </c>
      <c r="FP149" s="150">
        <f t="shared" ref="FP149:FX149" si="351">((SUM(FP147:FP148)/4)-1)*4</f>
        <v>4</v>
      </c>
      <c r="FQ149" s="150">
        <f t="shared" si="351"/>
        <v>4</v>
      </c>
      <c r="FR149" s="150">
        <f t="shared" si="351"/>
        <v>8</v>
      </c>
      <c r="FS149" s="150">
        <f t="shared" si="351"/>
        <v>8</v>
      </c>
      <c r="FT149" s="150">
        <f t="shared" si="351"/>
        <v>8</v>
      </c>
      <c r="FU149" s="150">
        <f t="shared" si="351"/>
        <v>12</v>
      </c>
      <c r="FV149" s="150">
        <f t="shared" si="351"/>
        <v>12</v>
      </c>
      <c r="FW149" s="150">
        <f t="shared" si="351"/>
        <v>12</v>
      </c>
      <c r="FX149" s="150">
        <f t="shared" si="351"/>
        <v>16</v>
      </c>
      <c r="FY149" s="150">
        <f>((SUM(FY147:FY148)/4)-1)*4</f>
        <v>16</v>
      </c>
      <c r="FZ149" s="150">
        <f t="shared" ref="FZ149:GI149" si="352">((SUM(FZ147:FZ148)/4)-1)*4</f>
        <v>20</v>
      </c>
      <c r="GA149" s="150">
        <f t="shared" si="352"/>
        <v>20</v>
      </c>
      <c r="GB149" s="150">
        <f t="shared" si="352"/>
        <v>20</v>
      </c>
      <c r="GC149" s="150">
        <f t="shared" si="352"/>
        <v>24</v>
      </c>
      <c r="GD149" s="150">
        <f t="shared" si="352"/>
        <v>24</v>
      </c>
      <c r="GE149" s="150">
        <f t="shared" si="352"/>
        <v>24</v>
      </c>
      <c r="GF149" s="150">
        <f t="shared" si="352"/>
        <v>28</v>
      </c>
      <c r="GG149" s="150">
        <f t="shared" si="352"/>
        <v>28</v>
      </c>
      <c r="GH149" s="150">
        <f t="shared" si="352"/>
        <v>28</v>
      </c>
      <c r="GI149" s="150">
        <f t="shared" si="352"/>
        <v>32</v>
      </c>
      <c r="GJ149" s="150"/>
      <c r="GK149" s="150"/>
      <c r="GL149" s="156"/>
      <c r="GM149" s="150"/>
      <c r="GN149" s="150"/>
      <c r="GO149" s="150"/>
      <c r="GP149" s="150"/>
      <c r="GQ149" s="150"/>
      <c r="GR149" s="150"/>
      <c r="GS149" s="150"/>
      <c r="GT149" s="150"/>
      <c r="GU149" s="150"/>
      <c r="GV149" s="150"/>
      <c r="GW149" s="150"/>
      <c r="GX149" s="150"/>
      <c r="GY149" s="150"/>
      <c r="GZ149" s="150"/>
      <c r="HA149" s="150"/>
      <c r="HB149" s="150"/>
      <c r="HC149" s="150"/>
      <c r="HD149" s="150"/>
      <c r="HE149" s="150"/>
      <c r="HF149" s="150"/>
      <c r="HG149" s="150"/>
      <c r="HH149" s="150"/>
    </row>
    <row r="150" spans="1:216" x14ac:dyDescent="0.2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6" t="s">
        <v>525</v>
      </c>
      <c r="M150" s="11">
        <f>INDEX(cennik!$C$2:$L$529,MATCH($L150,cennik!$B$2:$B$522,0),MATCH(M$2,cennik!$C$1:$L$1,0))</f>
        <v>660245</v>
      </c>
      <c r="N150" s="11" t="str">
        <f>INDEX(cennik!$C$2:$L$529,MATCH($L150,cennik!$B$2:$B$522,0),MATCH(N$2,cennik!$C$1:$L$1,0))</f>
        <v>szt.</v>
      </c>
      <c r="O150" s="11">
        <f>O148</f>
        <v>0</v>
      </c>
      <c r="P150" s="34">
        <f>INDEX(cennik!$C$2:$L$529,MATCH($L150,cennik!$B$2:$B$522,0),MATCH(P$2,cennik!$C$1:$L$1,0))</f>
        <v>1.56</v>
      </c>
      <c r="Q150" s="34">
        <f t="shared" si="339"/>
        <v>0</v>
      </c>
      <c r="R150" s="35">
        <f t="shared" si="326"/>
        <v>0</v>
      </c>
      <c r="S150" s="34">
        <f t="shared" si="325"/>
        <v>1.56</v>
      </c>
      <c r="T150" s="34">
        <f t="shared" si="340"/>
        <v>0</v>
      </c>
      <c r="U150" s="34">
        <f>INDEX(cennik!$C$2:$L$529,MATCH($L150,cennik!$B$2:$B$522,0),MATCH(U$2,cennik!$C$1:$L$1,0))*O150</f>
        <v>0</v>
      </c>
      <c r="V150" s="62"/>
      <c r="AC150" s="150"/>
      <c r="AD150" s="150"/>
      <c r="AE150" s="150"/>
      <c r="AF150" s="150"/>
      <c r="AG150" s="150"/>
      <c r="AH150" s="150"/>
      <c r="AI150" s="150"/>
      <c r="AJ150" s="150"/>
      <c r="AK150" s="150"/>
      <c r="AL150" s="150"/>
      <c r="AM150" s="150"/>
      <c r="AN150" s="150"/>
      <c r="AO150" s="150"/>
      <c r="AP150" s="150" t="s">
        <v>438</v>
      </c>
      <c r="AQ150" s="150"/>
      <c r="AR150" s="150"/>
      <c r="AS150" s="150"/>
      <c r="AT150" s="150"/>
      <c r="AU150" s="150"/>
      <c r="AV150" s="150"/>
      <c r="AW150" s="150"/>
      <c r="AX150" s="150"/>
      <c r="AY150" s="150"/>
      <c r="AZ150" s="150"/>
      <c r="BA150" s="150"/>
      <c r="BB150" s="150"/>
      <c r="BC150" s="150"/>
      <c r="BD150" s="150"/>
      <c r="BE150" s="150"/>
      <c r="BF150" s="150"/>
      <c r="BG150" s="150"/>
      <c r="BH150" s="150"/>
      <c r="BI150" s="150"/>
      <c r="BJ150" s="150"/>
      <c r="BK150" s="150"/>
      <c r="BL150" s="150"/>
      <c r="BM150" s="150"/>
      <c r="BN150" s="150"/>
      <c r="BO150" s="150"/>
      <c r="BP150" s="150"/>
      <c r="BQ150" s="150"/>
      <c r="BR150" s="150"/>
      <c r="BS150" s="150"/>
      <c r="BT150" s="150"/>
      <c r="BU150" s="150"/>
      <c r="BV150" s="150"/>
      <c r="BW150" s="150"/>
      <c r="BX150" s="150"/>
      <c r="BY150" s="150"/>
      <c r="BZ150" s="150"/>
      <c r="CA150" s="150"/>
      <c r="CB150" s="150"/>
      <c r="CC150" s="150"/>
      <c r="CD150" s="150"/>
      <c r="CE150" s="150"/>
      <c r="CF150" s="150"/>
      <c r="CG150" s="150"/>
      <c r="CH150" s="150"/>
      <c r="CI150" s="150"/>
      <c r="CJ150" s="150"/>
      <c r="CK150" s="150"/>
      <c r="CL150" s="150"/>
      <c r="CM150" s="150"/>
      <c r="CN150" s="150"/>
      <c r="CO150" s="150"/>
      <c r="CP150" s="150"/>
      <c r="CQ150" s="150"/>
      <c r="CR150" s="150"/>
      <c r="CS150" s="150"/>
      <c r="CT150" s="150"/>
      <c r="CU150" s="150"/>
      <c r="CV150" s="150"/>
      <c r="CW150" s="150"/>
      <c r="CX150" s="150"/>
      <c r="CY150" s="150"/>
      <c r="CZ150" s="150"/>
      <c r="DA150" s="150"/>
      <c r="DB150" s="150"/>
      <c r="DC150" s="150"/>
      <c r="DD150" s="150"/>
      <c r="DE150" s="150"/>
      <c r="DF150" s="150"/>
      <c r="DG150" s="150"/>
      <c r="DH150" s="150"/>
      <c r="DI150" s="150"/>
      <c r="DJ150" s="150"/>
      <c r="DK150" s="150"/>
      <c r="DL150" s="150"/>
      <c r="DM150" s="150"/>
      <c r="DN150" s="150"/>
      <c r="DO150" s="150"/>
      <c r="DP150" s="150"/>
      <c r="DQ150" s="181"/>
      <c r="DR150" s="181">
        <v>30</v>
      </c>
      <c r="DS150" s="181"/>
      <c r="DT150" s="150"/>
      <c r="DU150" s="150"/>
      <c r="DV150" s="150"/>
      <c r="DW150" s="150"/>
      <c r="DX150" s="150"/>
      <c r="DY150" s="150"/>
      <c r="DZ150" s="150"/>
      <c r="EA150" s="150"/>
      <c r="EB150" s="150"/>
      <c r="EC150" s="150"/>
      <c r="ED150" s="150"/>
      <c r="EE150" s="150"/>
      <c r="EF150" s="150"/>
      <c r="EG150" s="150"/>
      <c r="EH150" s="150"/>
      <c r="EI150" s="155"/>
      <c r="EJ150" s="150"/>
      <c r="EK150" s="150"/>
      <c r="EL150" s="150"/>
      <c r="EM150" s="150"/>
      <c r="EN150" s="150"/>
      <c r="EO150" s="150"/>
      <c r="EP150" s="150"/>
      <c r="EQ150" s="150"/>
      <c r="ER150" s="150"/>
      <c r="ES150" s="150"/>
      <c r="ET150" s="150"/>
      <c r="EU150" s="150"/>
      <c r="EV150" s="150"/>
      <c r="EW150" s="150"/>
      <c r="EX150" s="150"/>
      <c r="EY150" s="150"/>
      <c r="EZ150" s="150"/>
      <c r="FA150" s="150"/>
      <c r="FB150" s="150"/>
      <c r="FC150" s="150"/>
      <c r="FD150" s="150"/>
      <c r="FE150" s="150"/>
      <c r="FF150" s="150"/>
      <c r="FG150" s="150"/>
      <c r="FH150" s="150"/>
      <c r="FI150" s="150"/>
      <c r="FJ150" s="150"/>
      <c r="FK150" s="150"/>
      <c r="FL150" s="150"/>
      <c r="FM150" s="150"/>
      <c r="FN150" s="150"/>
      <c r="FO150" s="150"/>
      <c r="FP150" s="150"/>
      <c r="FQ150" s="150"/>
      <c r="FR150" s="150"/>
      <c r="FS150" s="150"/>
      <c r="FT150" s="150"/>
      <c r="FU150" s="150"/>
      <c r="FV150" s="150"/>
      <c r="FW150" s="150"/>
      <c r="FX150" s="150"/>
      <c r="FY150" s="150"/>
      <c r="FZ150" s="150"/>
      <c r="GA150" s="150"/>
      <c r="GB150" s="150"/>
      <c r="GC150" s="150"/>
      <c r="GD150" s="150"/>
      <c r="GE150" s="150"/>
      <c r="GF150" s="150"/>
      <c r="GG150" s="150"/>
      <c r="GH150" s="150"/>
      <c r="GI150" s="150"/>
      <c r="GJ150" s="150"/>
      <c r="GK150" s="150"/>
      <c r="GL150" s="156"/>
      <c r="GM150" s="150"/>
      <c r="GN150" s="150"/>
      <c r="GO150" s="150"/>
      <c r="GP150" s="150"/>
      <c r="GQ150" s="150"/>
      <c r="GR150" s="150"/>
      <c r="GS150" s="150"/>
      <c r="GT150" s="150"/>
      <c r="GU150" s="150"/>
      <c r="GV150" s="150"/>
      <c r="GW150" s="150"/>
      <c r="GX150" s="150"/>
      <c r="GY150" s="150"/>
      <c r="GZ150" s="150"/>
      <c r="HA150" s="150"/>
      <c r="HB150" s="150"/>
      <c r="HC150" s="150"/>
      <c r="HD150" s="150"/>
      <c r="HE150" s="150"/>
      <c r="HF150" s="150"/>
      <c r="HG150" s="150"/>
      <c r="HH150" s="150"/>
    </row>
    <row r="151" spans="1:216" ht="15.75" thickBo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6" t="s">
        <v>799</v>
      </c>
      <c r="M151" s="11">
        <f>INDEX(cennik!$C$2:$L$529,MATCH($L151,cennik!$B$2:$B$522,0),MATCH(M$2,cennik!$C$1:$L$1,0))</f>
        <v>6510443</v>
      </c>
      <c r="N151" s="11" t="str">
        <f>INDEX(cennik!$C$2:$L$529,MATCH($L151,cennik!$B$2:$B$522,0),MATCH(N$2,cennik!$C$1:$L$1,0))</f>
        <v>100 szt.</v>
      </c>
      <c r="O151" s="11">
        <f>O152</f>
        <v>0</v>
      </c>
      <c r="P151" s="34">
        <f>INDEX(cennik!$C$2:$L$529,MATCH($L151,cennik!$B$2:$B$522,0),MATCH(P$2,cennik!$C$1:$L$1,0))</f>
        <v>43.51</v>
      </c>
      <c r="Q151" s="34">
        <f t="shared" ref="Q151" si="353">O151*P151</f>
        <v>0</v>
      </c>
      <c r="R151" s="35">
        <f t="shared" si="326"/>
        <v>0</v>
      </c>
      <c r="S151" s="34">
        <f t="shared" si="325"/>
        <v>43.51</v>
      </c>
      <c r="T151" s="34">
        <f t="shared" ref="T151" si="354">O151*S151</f>
        <v>0</v>
      </c>
      <c r="U151" s="34">
        <f>INDEX(cennik!$C$2:$L$529,MATCH($L151,cennik!$B$2:$B$522,0),MATCH(U$2,cennik!$C$1:$L$1,0))*O151</f>
        <v>0</v>
      </c>
      <c r="V151" s="62"/>
      <c r="W151" s="166"/>
      <c r="X151" s="166"/>
      <c r="Y151" s="166"/>
      <c r="Z151" s="166"/>
      <c r="AA151" s="167" t="s">
        <v>311</v>
      </c>
      <c r="AB151" s="168" t="s">
        <v>320</v>
      </c>
      <c r="AC151" s="150"/>
      <c r="AD151" s="150"/>
      <c r="AE151" s="150"/>
      <c r="AF151" s="150"/>
      <c r="AG151" s="150"/>
      <c r="AH151" s="150"/>
      <c r="AI151" s="150"/>
      <c r="AJ151" s="150"/>
      <c r="AK151" s="150"/>
      <c r="AL151" s="150"/>
      <c r="AM151" s="150"/>
      <c r="AN151" s="150"/>
      <c r="AO151" s="168" t="s">
        <v>320</v>
      </c>
      <c r="AP151" s="150" t="s">
        <v>717</v>
      </c>
      <c r="AQ151" s="150" t="s">
        <v>1157</v>
      </c>
      <c r="AR151" s="150">
        <v>2</v>
      </c>
      <c r="AS151" s="150" t="s">
        <v>1022</v>
      </c>
      <c r="AT151" s="150">
        <v>4</v>
      </c>
      <c r="AU151" s="150">
        <v>5</v>
      </c>
      <c r="AV151" s="150"/>
      <c r="AW151" s="150"/>
      <c r="AX151" s="150"/>
      <c r="AY151" s="150"/>
      <c r="AZ151" s="150"/>
      <c r="BA151" s="150"/>
      <c r="BB151" s="150"/>
      <c r="BC151" s="150"/>
      <c r="BD151" s="150"/>
      <c r="BE151" s="150"/>
      <c r="BF151" s="150"/>
      <c r="BG151" s="150"/>
      <c r="BH151" s="150"/>
      <c r="BI151" s="150"/>
      <c r="BJ151" s="150"/>
      <c r="BK151" s="150"/>
      <c r="BL151" s="150"/>
      <c r="BM151" s="150"/>
      <c r="BN151" s="150"/>
      <c r="BO151" s="150"/>
      <c r="BP151" s="150"/>
      <c r="BQ151" s="150"/>
      <c r="BR151" s="150"/>
      <c r="BS151" s="150"/>
      <c r="BT151" s="150"/>
      <c r="BU151" s="150"/>
      <c r="BV151" s="150"/>
      <c r="BW151" s="150"/>
      <c r="BX151" s="150"/>
      <c r="BY151" s="150"/>
      <c r="BZ151" s="150"/>
      <c r="CA151" s="150"/>
      <c r="CB151" s="150"/>
      <c r="CC151" s="150"/>
      <c r="CD151" s="150"/>
      <c r="CE151" s="150"/>
      <c r="CF151" s="150"/>
      <c r="CG151" s="150"/>
      <c r="CH151" s="150"/>
      <c r="CI151" s="150"/>
      <c r="CJ151" s="150"/>
      <c r="CK151" s="150"/>
      <c r="CL151" s="150"/>
      <c r="CM151" s="150"/>
      <c r="CN151" s="150"/>
      <c r="CO151" s="150"/>
      <c r="CP151" s="150"/>
      <c r="CQ151" s="150"/>
      <c r="CR151" s="150"/>
      <c r="CS151" s="150"/>
      <c r="CT151" s="150"/>
      <c r="CU151" s="150"/>
      <c r="CV151" s="150"/>
      <c r="CW151" s="150"/>
      <c r="CX151" s="150"/>
      <c r="CY151" s="150"/>
      <c r="CZ151" s="150"/>
      <c r="DA151" s="150"/>
      <c r="DB151" s="150"/>
      <c r="DC151" s="150"/>
      <c r="DD151" s="150"/>
      <c r="DE151" s="150"/>
      <c r="DF151" s="150"/>
      <c r="DG151" s="150"/>
      <c r="DH151" s="150"/>
      <c r="DI151" s="150"/>
      <c r="DJ151" s="150"/>
      <c r="DK151" s="150"/>
      <c r="DL151" s="150"/>
      <c r="DM151" s="150"/>
      <c r="DN151" s="150"/>
      <c r="DO151" s="150"/>
      <c r="DP151" s="150"/>
      <c r="DQ151" s="181"/>
      <c r="DR151" s="181">
        <v>32</v>
      </c>
      <c r="DS151" s="181"/>
      <c r="DT151" s="150"/>
      <c r="DU151" s="150"/>
      <c r="DV151" s="150"/>
      <c r="DW151" s="150"/>
      <c r="DX151" s="150"/>
      <c r="DY151" s="150"/>
      <c r="DZ151" s="150"/>
      <c r="EA151" s="150"/>
      <c r="EB151" s="150"/>
      <c r="EC151" s="150"/>
      <c r="ED151" s="150"/>
      <c r="EE151" s="150"/>
      <c r="EF151" s="150"/>
      <c r="EG151" s="150"/>
      <c r="EH151" s="150"/>
      <c r="EI151" s="159"/>
      <c r="EJ151" s="160"/>
      <c r="EK151" s="160"/>
      <c r="EL151" s="160"/>
      <c r="EM151" s="160"/>
      <c r="EN151" s="160"/>
      <c r="EO151" s="160"/>
      <c r="EP151" s="160"/>
      <c r="EQ151" s="160"/>
      <c r="ER151" s="160"/>
      <c r="ES151" s="160"/>
      <c r="ET151" s="160"/>
      <c r="EU151" s="160"/>
      <c r="EV151" s="160"/>
      <c r="EW151" s="160"/>
      <c r="EX151" s="160"/>
      <c r="EY151" s="160"/>
      <c r="EZ151" s="160"/>
      <c r="FA151" s="160"/>
      <c r="FB151" s="160"/>
      <c r="FC151" s="160"/>
      <c r="FD151" s="160"/>
      <c r="FE151" s="160"/>
      <c r="FF151" s="160"/>
      <c r="FG151" s="160"/>
      <c r="FH151" s="160"/>
      <c r="FI151" s="160"/>
      <c r="FJ151" s="160"/>
      <c r="FK151" s="160"/>
      <c r="FL151" s="160"/>
      <c r="FM151" s="160"/>
      <c r="FN151" s="160"/>
      <c r="FO151" s="160"/>
      <c r="FP151" s="160"/>
      <c r="FQ151" s="160"/>
      <c r="FR151" s="160"/>
      <c r="FS151" s="160"/>
      <c r="FT151" s="160"/>
      <c r="FU151" s="160"/>
      <c r="FV151" s="160"/>
      <c r="FW151" s="160"/>
      <c r="FX151" s="160"/>
      <c r="FY151" s="160"/>
      <c r="FZ151" s="160"/>
      <c r="GA151" s="160"/>
      <c r="GB151" s="160"/>
      <c r="GC151" s="160"/>
      <c r="GD151" s="160"/>
      <c r="GE151" s="160"/>
      <c r="GF151" s="160"/>
      <c r="GG151" s="160"/>
      <c r="GH151" s="160"/>
      <c r="GI151" s="160"/>
      <c r="GJ151" s="160"/>
      <c r="GK151" s="160"/>
      <c r="GL151" s="161"/>
      <c r="GM151" s="150"/>
      <c r="GN151" s="150"/>
      <c r="GO151" s="150"/>
      <c r="GP151" s="150"/>
      <c r="GQ151" s="150"/>
      <c r="GR151" s="150"/>
      <c r="GS151" s="150"/>
      <c r="GT151" s="150"/>
      <c r="GU151" s="150"/>
      <c r="GV151" s="150"/>
      <c r="GW151" s="150"/>
      <c r="GX151" s="150"/>
      <c r="GY151" s="150"/>
      <c r="GZ151" s="150"/>
      <c r="HA151" s="150"/>
      <c r="HB151" s="150"/>
      <c r="HC151" s="150"/>
      <c r="HD151" s="150"/>
      <c r="HE151" s="150"/>
      <c r="HF151" s="150"/>
      <c r="HG151" s="150"/>
      <c r="HH151" s="150"/>
    </row>
    <row r="152" spans="1:216" x14ac:dyDescent="0.2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6" t="s">
        <v>350</v>
      </c>
      <c r="M152" s="11">
        <f>INDEX(cennik!$C$2:$L$529,MATCH($L152,cennik!$B$2:$B$522,0),MATCH(M$2,cennik!$C$1:$L$1,0))</f>
        <v>651643</v>
      </c>
      <c r="N152" s="11" t="str">
        <f>INDEX(cennik!$C$2:$L$529,MATCH($L152,cennik!$B$2:$B$522,0),MATCH(N$2,cennik!$C$1:$L$1,0))</f>
        <v>100 szt.</v>
      </c>
      <c r="O152" s="11">
        <f>ROUNDUP(((O133*13)+(O140*2)+(O158*2)+(O145*8)+E136+(O132*6)+(O159*2)+(O139*3))/100,0)</f>
        <v>0</v>
      </c>
      <c r="P152" s="34">
        <f>INDEX(cennik!$C$2:$L$529,MATCH($L152,cennik!$B$2:$B$522,0),MATCH(P$2,cennik!$C$1:$L$1,0))</f>
        <v>144.19</v>
      </c>
      <c r="Q152" s="34">
        <f t="shared" si="339"/>
        <v>0</v>
      </c>
      <c r="R152" s="35">
        <f t="shared" si="326"/>
        <v>0</v>
      </c>
      <c r="S152" s="34">
        <f t="shared" si="325"/>
        <v>144.19</v>
      </c>
      <c r="T152" s="34">
        <f t="shared" si="340"/>
        <v>0</v>
      </c>
      <c r="U152" s="34">
        <f>INDEX(cennik!$C$2:$L$529,MATCH($L152,cennik!$B$2:$B$522,0),MATCH(U$2,cennik!$C$1:$L$1,0))*O152</f>
        <v>0</v>
      </c>
      <c r="V152" s="62"/>
      <c r="W152" s="166"/>
      <c r="X152" s="166"/>
      <c r="Y152" s="166"/>
      <c r="Z152" s="166"/>
      <c r="AA152" s="150">
        <f>(VLOOKUP(AO152,$AI$152:$AK$156,3,1))*C162</f>
        <v>0</v>
      </c>
      <c r="AB152" s="150">
        <f t="shared" ref="AB152:AB167" si="355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*C162</f>
        <v>0</v>
      </c>
      <c r="AC152" s="150"/>
      <c r="AD152" s="150"/>
      <c r="AE152" s="150"/>
      <c r="AF152" s="150"/>
      <c r="AG152" s="150"/>
      <c r="AH152" s="150"/>
      <c r="AI152" s="172">
        <v>0</v>
      </c>
      <c r="AJ152" s="172">
        <v>0</v>
      </c>
      <c r="AK152" s="170">
        <v>0</v>
      </c>
      <c r="AL152" s="150"/>
      <c r="AM152" s="150"/>
      <c r="AN152" s="150"/>
      <c r="AO152" s="150">
        <f t="shared" ref="AO152:AO167" si="356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</f>
        <v>1</v>
      </c>
      <c r="AP152" s="150">
        <v>1</v>
      </c>
      <c r="AQ152" s="150">
        <v>2000</v>
      </c>
      <c r="AR152" s="150">
        <v>2000</v>
      </c>
      <c r="AS152" s="150">
        <v>2000</v>
      </c>
      <c r="AT152" s="150">
        <v>2000</v>
      </c>
      <c r="AU152" s="150" t="s">
        <v>719</v>
      </c>
      <c r="AV152" s="150"/>
      <c r="AW152" s="150"/>
      <c r="AX152" s="150"/>
      <c r="AY152" s="150"/>
      <c r="AZ152" s="150"/>
      <c r="BA152" s="150"/>
      <c r="BB152" s="150"/>
      <c r="BC152" s="150"/>
      <c r="BD152" s="150"/>
      <c r="BE152" s="150"/>
      <c r="BF152" s="150"/>
      <c r="BG152" s="150"/>
      <c r="BH152" s="150"/>
      <c r="BI152" s="150"/>
      <c r="BJ152" s="150"/>
      <c r="BK152" s="150"/>
      <c r="BL152" s="150"/>
      <c r="BM152" s="150"/>
      <c r="BN152" s="150"/>
      <c r="BO152" s="150"/>
      <c r="BP152" s="150"/>
      <c r="BQ152" s="150"/>
      <c r="BR152" s="150"/>
      <c r="BS152" s="150"/>
      <c r="BT152" s="150"/>
      <c r="BU152" s="150"/>
      <c r="BV152" s="150"/>
      <c r="BW152" s="150"/>
      <c r="BX152" s="150"/>
      <c r="BY152" s="150"/>
      <c r="BZ152" s="150"/>
      <c r="CA152" s="150"/>
      <c r="CB152" s="150"/>
      <c r="CC152" s="150"/>
      <c r="CD152" s="150"/>
      <c r="CE152" s="150"/>
      <c r="CF152" s="150"/>
      <c r="CG152" s="150"/>
      <c r="CH152" s="150"/>
      <c r="CI152" s="150"/>
      <c r="CJ152" s="150"/>
      <c r="CK152" s="150"/>
      <c r="CL152" s="150"/>
      <c r="CM152" s="150"/>
      <c r="CN152" s="150"/>
      <c r="CO152" s="150"/>
      <c r="CP152" s="150"/>
      <c r="CQ152" s="150"/>
      <c r="CR152" s="150"/>
      <c r="CS152" s="150"/>
      <c r="CT152" s="150"/>
      <c r="CU152" s="150"/>
      <c r="CV152" s="150"/>
      <c r="CW152" s="150"/>
      <c r="CX152" s="150"/>
      <c r="CY152" s="150"/>
      <c r="CZ152" s="150"/>
      <c r="DA152" s="150"/>
      <c r="DB152" s="150"/>
      <c r="DC152" s="150"/>
      <c r="DD152" s="150"/>
      <c r="DE152" s="150"/>
      <c r="DF152" s="150"/>
      <c r="DG152" s="150"/>
      <c r="DH152" s="150"/>
      <c r="DI152" s="150"/>
      <c r="DJ152" s="150"/>
      <c r="DK152" s="150"/>
      <c r="DL152" s="150"/>
      <c r="DM152" s="150"/>
      <c r="DN152" s="150"/>
      <c r="DO152" s="150"/>
      <c r="DP152" s="150"/>
      <c r="DQ152" s="181"/>
      <c r="DR152" s="181">
        <v>34</v>
      </c>
      <c r="DS152" s="181"/>
      <c r="DT152" s="150"/>
      <c r="DU152" s="150"/>
      <c r="DV152" s="150"/>
      <c r="DW152" s="150"/>
      <c r="DX152" s="150"/>
      <c r="DY152" s="150"/>
      <c r="DZ152" s="150"/>
      <c r="EA152" s="150"/>
      <c r="EB152" s="150"/>
      <c r="EC152" s="150"/>
      <c r="ED152" s="150"/>
      <c r="EE152" s="150"/>
      <c r="EF152" s="150"/>
      <c r="EG152" s="150"/>
      <c r="EH152" s="150"/>
      <c r="EI152" s="150"/>
      <c r="EJ152" s="150"/>
      <c r="EK152" s="150"/>
      <c r="EL152" s="150"/>
      <c r="EM152" s="150"/>
      <c r="EN152" s="150"/>
      <c r="EO152" s="150"/>
      <c r="EP152" s="150"/>
      <c r="EQ152" s="150"/>
      <c r="ER152" s="150"/>
      <c r="ES152" s="150"/>
      <c r="ET152" s="150"/>
      <c r="EU152" s="150"/>
      <c r="EV152" s="150"/>
      <c r="EW152" s="150"/>
      <c r="EX152" s="150"/>
      <c r="EY152" s="150"/>
      <c r="EZ152" s="150"/>
      <c r="FA152" s="150"/>
      <c r="FB152" s="150"/>
      <c r="FC152" s="150"/>
      <c r="FD152" s="150"/>
      <c r="FE152" s="150"/>
      <c r="FF152" s="150"/>
      <c r="FG152" s="150"/>
      <c r="FH152" s="150"/>
      <c r="FI152" s="150"/>
      <c r="FJ152" s="150"/>
      <c r="FK152" s="150"/>
      <c r="FL152" s="150"/>
      <c r="FM152" s="150"/>
      <c r="FN152" s="150"/>
      <c r="FO152" s="150"/>
      <c r="FP152" s="150"/>
      <c r="FQ152" s="150"/>
      <c r="FR152" s="150"/>
      <c r="FS152" s="150"/>
      <c r="FT152" s="150"/>
      <c r="FU152" s="150"/>
      <c r="FV152" s="150"/>
      <c r="FW152" s="150"/>
      <c r="FX152" s="150"/>
      <c r="FY152" s="150"/>
      <c r="FZ152" s="150"/>
      <c r="GA152" s="150"/>
      <c r="GB152" s="150"/>
      <c r="GC152" s="150"/>
      <c r="GD152" s="150"/>
      <c r="GE152" s="150"/>
      <c r="GF152" s="150"/>
      <c r="GG152" s="150"/>
      <c r="GH152" s="150"/>
      <c r="GI152" s="150"/>
      <c r="GJ152" s="150"/>
      <c r="GK152" s="150"/>
      <c r="GL152" s="150"/>
      <c r="GM152" s="150"/>
      <c r="GN152" s="150"/>
      <c r="GO152" s="150"/>
      <c r="GP152" s="150"/>
      <c r="GQ152" s="150"/>
      <c r="GR152" s="150"/>
      <c r="GS152" s="150"/>
      <c r="GT152" s="150"/>
      <c r="GU152" s="150"/>
      <c r="GV152" s="150"/>
      <c r="GW152" s="150"/>
      <c r="GX152" s="150"/>
      <c r="GY152" s="150"/>
      <c r="GZ152" s="150"/>
      <c r="HA152" s="150"/>
      <c r="HB152" s="150"/>
      <c r="HC152" s="150"/>
      <c r="HD152" s="150"/>
      <c r="HE152" s="150"/>
      <c r="HF152" s="150"/>
      <c r="HG152" s="150"/>
      <c r="HH152" s="150"/>
    </row>
    <row r="153" spans="1:216" x14ac:dyDescent="0.2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6" t="s">
        <v>128</v>
      </c>
      <c r="M153" s="11">
        <f>INDEX(cennik!$C$2:$L$529,MATCH($L153,cennik!$B$2:$B$522,0),MATCH(M$2,cennik!$C$1:$L$1,0))</f>
        <v>897303</v>
      </c>
      <c r="N153" s="11" t="str">
        <f>INDEX(cennik!$C$2:$L$529,MATCH($L153,cennik!$B$2:$B$522,0),MATCH(N$2,cennik!$C$1:$L$1,0))</f>
        <v>szt.</v>
      </c>
      <c r="O153" s="11">
        <f>SUM((IF(MOD((A130/3),2)=0,(A130/3)/2,IF(MOD((A130/3),2)=1,FLOOR((A130/3)/2,1)+1,0))*C130*3),(IF(MOD((A131/3),2)=0,(A131/3)/2,IF(MOD((A131/3),2)=1,FLOOR((A131/3)/2,1)+1,0))*C131*3),(IF(MOD((A132/3),2)=0,(A132/3)/2,IF(MOD((A132/3),2)=1,FLOOR((A132/3)/2,1)+1,0))*C132*3),(IF(MOD((A133/3),2)=0,(A133/3)/2,IF(MOD((A133/3),2)=1,FLOOR((A133/3)/2,1)+1,0))*C133*3),(IF(MOD((A134/3),2)=0,(A134/3)/2,IF(MOD((A134/3),2)=1,FLOOR((A134/3)/2,1)+1,0))*C134*3),(IF(MOD((A135/3),2)=0,(A135/3)/2,IF(MOD((A135/3),2)=1,FLOOR((A135/3)/2,1)+1,0))*C135*3),(IF(MOD((A136/3),2)=0,(A136/3)/2,IF(MOD((A136/3),2)=1,FLOOR((A136/3)/2,1)+1,0))*C136*3),(IF(MOD((A137/3),2)=0,(A137/3)/2,IF(MOD((A137/3),2)=1,FLOOR((A137/3)/2,1)+1,0))*C137*3),(IF(MOD((A138/3),2)=0,(A138/3)/2,IF(MOD((A138/3),2)=1,FLOOR((A138/3)/2,1)+1,0))*C138*3),(IF(MOD((A139/3),2)=0,(A139/3)/2,IF(MOD((A139/3),2)=1,FLOOR((A139/3)/2,1)+1,0))*C139*3),(IF(MOD((A140/3),2)=0,(A140/3)/2,IF(MOD((A140/3),2)=1,FLOOR((A140/3)/2,1)+1,0))*C140*3),(IF(MOD((A141/3),2)=0,(A141/3)/2,IF(MOD((A141/3),2)=1,FLOOR((A141/3)/2,1)+1,0))*C141*3),(IF(MOD((A142/3),2)=0,(A142/3)/2,IF(MOD((A142/3),2)=1,FLOOR((A142/3)/2,1)+1,0))*C142*3),(IF(MOD((A143/3),2)=0,(A143/3)/2,IF(MOD((A143/3),2)=1,FLOOR((A143/3)/2,1)+1,0))*C143*3),(IF(MOD((A144/3),2)=0,(A144/3)/2,IF(MOD((A144/3),2)=1,FLOOR((A144/3)/2,1)+1,0))*C144*3),(IF(MOD((A145/3),2)=0,(A145/3)/2,IF(MOD((A145/3),2)=1,FLOOR((A145/3)/2,1)+1,0))*C145*3))</f>
        <v>0</v>
      </c>
      <c r="P153" s="34">
        <f>INDEX(cennik!$C$2:$L$529,MATCH($L153,cennik!$B$2:$B$522,0),MATCH(P$2,cennik!$C$1:$L$1,0))</f>
        <v>2.4</v>
      </c>
      <c r="Q153" s="34">
        <f t="shared" si="339"/>
        <v>0</v>
      </c>
      <c r="R153" s="35">
        <f t="shared" si="326"/>
        <v>0</v>
      </c>
      <c r="S153" s="34">
        <f t="shared" si="325"/>
        <v>2.4</v>
      </c>
      <c r="T153" s="34">
        <f t="shared" si="340"/>
        <v>0</v>
      </c>
      <c r="U153" s="34">
        <f>INDEX(cennik!$C$2:$L$529,MATCH($L153,cennik!$B$2:$B$522,0),MATCH(U$2,cennik!$C$1:$L$1,0))*O153</f>
        <v>0</v>
      </c>
      <c r="V153" s="62"/>
      <c r="W153" s="158" t="s">
        <v>18</v>
      </c>
      <c r="X153" s="150" t="s">
        <v>217</v>
      </c>
      <c r="Y153" s="150" t="s">
        <v>216</v>
      </c>
      <c r="Z153" s="150" t="s">
        <v>17</v>
      </c>
      <c r="AA153" s="150">
        <f>(VLOOKUP(AO153,$AI$152:$AK$156,3,1))*C163</f>
        <v>0</v>
      </c>
      <c r="AB153" s="150">
        <f t="shared" si="355"/>
        <v>0</v>
      </c>
      <c r="AC153" s="150"/>
      <c r="AD153" s="150"/>
      <c r="AE153" s="150"/>
      <c r="AF153" s="150"/>
      <c r="AG153" s="150"/>
      <c r="AH153" s="150"/>
      <c r="AI153" s="172">
        <v>1</v>
      </c>
      <c r="AJ153" s="172">
        <v>1</v>
      </c>
      <c r="AK153" s="170">
        <v>1</v>
      </c>
      <c r="AL153" s="150"/>
      <c r="AM153" s="150"/>
      <c r="AN153" s="150"/>
      <c r="AO153" s="150">
        <f t="shared" si="356"/>
        <v>1</v>
      </c>
      <c r="AP153" s="150">
        <v>2</v>
      </c>
      <c r="AQ153" s="150" t="s">
        <v>719</v>
      </c>
      <c r="AR153" s="150">
        <v>1000</v>
      </c>
      <c r="AS153" s="150">
        <v>1000</v>
      </c>
      <c r="AT153" s="150" t="s">
        <v>719</v>
      </c>
      <c r="AU153" s="150" t="s">
        <v>719</v>
      </c>
      <c r="AV153" s="150"/>
      <c r="AW153" s="150"/>
      <c r="AX153" s="150"/>
      <c r="AY153" s="150"/>
      <c r="AZ153" s="150"/>
      <c r="BA153" s="150"/>
      <c r="BB153" s="150"/>
      <c r="BC153" s="150"/>
      <c r="BD153" s="150"/>
      <c r="BE153" s="150"/>
      <c r="BF153" s="150"/>
      <c r="BG153" s="150"/>
      <c r="BH153" s="150"/>
      <c r="BI153" s="150"/>
      <c r="BJ153" s="150"/>
      <c r="BK153" s="150"/>
      <c r="BL153" s="150"/>
      <c r="BM153" s="150"/>
      <c r="BN153" s="150"/>
      <c r="BO153" s="150"/>
      <c r="BP153" s="150"/>
      <c r="BQ153" s="150"/>
      <c r="BR153" s="150"/>
      <c r="BS153" s="150"/>
      <c r="BT153" s="150"/>
      <c r="BU153" s="150"/>
      <c r="BV153" s="150"/>
      <c r="BW153" s="150"/>
      <c r="BX153" s="150"/>
      <c r="BY153" s="150"/>
      <c r="BZ153" s="150"/>
      <c r="CA153" s="150"/>
      <c r="CB153" s="150"/>
      <c r="CC153" s="150"/>
      <c r="CD153" s="150"/>
      <c r="CE153" s="150"/>
      <c r="CF153" s="150"/>
      <c r="CG153" s="150"/>
      <c r="CH153" s="150"/>
      <c r="CI153" s="150"/>
      <c r="CJ153" s="150"/>
      <c r="CK153" s="150"/>
      <c r="CL153" s="150"/>
      <c r="CM153" s="150"/>
      <c r="CN153" s="150"/>
      <c r="CO153" s="150"/>
      <c r="CP153" s="150"/>
      <c r="CQ153" s="150"/>
      <c r="CR153" s="150"/>
      <c r="CS153" s="150"/>
      <c r="CT153" s="150"/>
      <c r="CU153" s="150"/>
      <c r="CV153" s="150"/>
      <c r="CW153" s="150"/>
      <c r="CX153" s="150"/>
      <c r="CY153" s="150"/>
      <c r="CZ153" s="150"/>
      <c r="DA153" s="150"/>
      <c r="DB153" s="150"/>
      <c r="DC153" s="150"/>
      <c r="DD153" s="150"/>
      <c r="DE153" s="150"/>
      <c r="DF153" s="150"/>
      <c r="DG153" s="150"/>
      <c r="DH153" s="150"/>
      <c r="DI153" s="150"/>
      <c r="DJ153" s="150"/>
      <c r="DK153" s="150"/>
      <c r="DL153" s="150"/>
      <c r="DM153" s="150"/>
      <c r="DN153" s="150"/>
      <c r="DO153" s="150"/>
      <c r="DP153" s="150"/>
      <c r="DQ153" s="181"/>
      <c r="DR153" s="181">
        <v>36</v>
      </c>
      <c r="DS153" s="181"/>
      <c r="DT153" s="150"/>
      <c r="DU153" s="150"/>
      <c r="DV153" s="150"/>
      <c r="DW153" s="150"/>
      <c r="DX153" s="150"/>
      <c r="DY153" s="150"/>
      <c r="DZ153" s="150"/>
      <c r="EA153" s="150"/>
      <c r="EB153" s="150"/>
      <c r="EC153" s="150"/>
      <c r="ED153" s="150"/>
      <c r="EE153" s="150"/>
      <c r="EF153" s="150"/>
      <c r="EG153" s="150"/>
      <c r="EH153" s="150"/>
      <c r="EI153" s="150"/>
      <c r="EJ153" s="150"/>
      <c r="EK153" s="150"/>
      <c r="EL153" s="150"/>
      <c r="EM153" s="150"/>
      <c r="EN153" s="150"/>
      <c r="EO153" s="150"/>
      <c r="EP153" s="150"/>
      <c r="EQ153" s="150"/>
      <c r="ER153" s="150"/>
      <c r="ES153" s="150"/>
      <c r="ET153" s="150"/>
      <c r="EU153" s="150"/>
      <c r="EV153" s="150"/>
      <c r="EW153" s="150"/>
      <c r="EX153" s="150"/>
      <c r="EY153" s="150"/>
      <c r="EZ153" s="150"/>
      <c r="FA153" s="150"/>
      <c r="FB153" s="150"/>
      <c r="FC153" s="150"/>
      <c r="FD153" s="150"/>
      <c r="FE153" s="150"/>
      <c r="FF153" s="150"/>
      <c r="FG153" s="150"/>
      <c r="FH153" s="150"/>
      <c r="FI153" s="150"/>
      <c r="FJ153" s="150"/>
      <c r="FK153" s="150"/>
      <c r="FL153" s="150"/>
      <c r="FM153" s="150"/>
      <c r="FN153" s="150"/>
      <c r="FO153" s="150"/>
      <c r="FP153" s="150"/>
      <c r="FQ153" s="150"/>
      <c r="FR153" s="150"/>
      <c r="FS153" s="150"/>
      <c r="FT153" s="150"/>
      <c r="FU153" s="150"/>
      <c r="FV153" s="150"/>
      <c r="FW153" s="150"/>
      <c r="FX153" s="150"/>
      <c r="FY153" s="150"/>
      <c r="FZ153" s="150"/>
      <c r="GA153" s="150"/>
      <c r="GB153" s="150"/>
      <c r="GC153" s="150"/>
      <c r="GD153" s="150"/>
      <c r="GE153" s="150"/>
      <c r="GF153" s="150"/>
      <c r="GG153" s="150"/>
      <c r="GH153" s="150"/>
      <c r="GI153" s="150"/>
      <c r="GJ153" s="150"/>
      <c r="GK153" s="150"/>
      <c r="GL153" s="150"/>
      <c r="GM153" s="150"/>
      <c r="GN153" s="150"/>
      <c r="GO153" s="150"/>
      <c r="GP153" s="150"/>
      <c r="GQ153" s="150"/>
      <c r="GR153" s="150"/>
      <c r="GS153" s="150"/>
      <c r="GT153" s="150"/>
      <c r="GU153" s="150"/>
      <c r="GV153" s="150"/>
      <c r="GW153" s="150"/>
      <c r="GX153" s="150"/>
      <c r="GY153" s="150"/>
      <c r="GZ153" s="150"/>
      <c r="HA153" s="150"/>
      <c r="HB153" s="150"/>
      <c r="HC153" s="150"/>
      <c r="HD153" s="150"/>
      <c r="HE153" s="150"/>
      <c r="HF153" s="150"/>
      <c r="HG153" s="150"/>
      <c r="HH153" s="150"/>
    </row>
    <row r="154" spans="1:216" x14ac:dyDescent="0.2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6" t="s">
        <v>527</v>
      </c>
      <c r="M154" s="11">
        <f>INDEX(cennik!$C$2:$L$529,MATCH($L154,cennik!$B$2:$B$522,0),MATCH(M$2,cennik!$C$1:$L$1,0))</f>
        <v>897311</v>
      </c>
      <c r="N154" s="11" t="str">
        <f>INDEX(cennik!$C$2:$L$529,MATCH($L154,cennik!$B$2:$B$522,0),MATCH(N$2,cennik!$C$1:$L$1,0))</f>
        <v>szt.</v>
      </c>
      <c r="O154" s="11">
        <f>SUM(((INT(((A130/3)+1)/3))*6*C130),((INT(((A131/3)+1)/3))*6*C131),((INT(((A132/3)+1)/3))*6*C132),((INT(((A133/3)+1)/3))*6*C133),((INT(((A134/3)+1)/3))*6*C134),((INT(((A135/3)+1)/3))*6*C135),((INT(((A136/3)+1)/3))*6*C136),((INT(((A137/3)+1)/3))*6*C137),((INT(((A138/3)+1)/3))*6*C138),((INT(((A139/3)+1)/3))*6*C139),((INT(((A140/3)+1)/3))*6*C140),((INT(((A141/3)+1)/3))*6*C141),((INT(((A142/3)+1)/3))*6*C142),((INT(((A143/3)+1)/3))*6*C143),((INT(((A144/3)+1)/3))*6*C144),((INT(((A145/3)+1)/3))*6*C145))</f>
        <v>0</v>
      </c>
      <c r="P154" s="34">
        <f>INDEX(cennik!$C$2:$L$529,MATCH($L154,cennik!$B$2:$B$522,0),MATCH(P$2,cennik!$C$1:$L$1,0))</f>
        <v>5.49</v>
      </c>
      <c r="Q154" s="34">
        <f t="shared" si="339"/>
        <v>0</v>
      </c>
      <c r="R154" s="35">
        <f t="shared" si="326"/>
        <v>0</v>
      </c>
      <c r="S154" s="34">
        <f t="shared" si="325"/>
        <v>5.49</v>
      </c>
      <c r="T154" s="34">
        <f t="shared" si="340"/>
        <v>0</v>
      </c>
      <c r="U154" s="34">
        <f>INDEX(cennik!$C$2:$L$529,MATCH($L154,cennik!$B$2:$B$522,0),MATCH(U$2,cennik!$C$1:$L$1,0))*O154</f>
        <v>0</v>
      </c>
      <c r="V154" s="62"/>
      <c r="W154" s="170">
        <f>(INDEX(($EL$139:$FI$142,$EL$146:$FI$149,$FL$139:$GI$142,$FL$146:$GI$149),MATCH($L$175,$EK$139:$EK$142,0),MATCH(A162,$EL$138:$FI$138,0),MATCH($G$163,$AE$24:$AE$27,0)))*C162</f>
        <v>0</v>
      </c>
      <c r="X154" s="170">
        <f>(INDEX(($EL$139:$FI$142,$EL$146:$FI$149,$FL$139:$GI$142,$FL$146:$GI$149),MATCH($L$172,$EK$139:$EK$142,0),MATCH(A162,$EL$138:$FI$138,0),MATCH($G$163,$AE$24:$AE$27,0)))*C162</f>
        <v>0</v>
      </c>
      <c r="Y154" s="170">
        <f>(INDEX(($EL$139:$FI$142,$EL$146:$FI$149,$FL$139:$GI$142,$FL$146:$GI$149),MATCH($L$173,$EK$139:$EK$142,0),MATCH(A162,$EL$138:$FI$138,0),MATCH($G$163,$AE$24:$AE$27,0)))*C162</f>
        <v>0</v>
      </c>
      <c r="Z154" s="170">
        <f>(INDEX(($EL$139:$FI$142,$EL$146:$FI$149,$FL$139:$GI$142,$FL$146:$GI$149),MATCH($L$174,$EK$139:$EK$142,0),MATCH(A162,$EL$138:$FI$138,0),MATCH($G$163,$AE$24:$AE$27,0)))*C162</f>
        <v>0</v>
      </c>
      <c r="AA154" s="150">
        <f t="shared" ref="AA154:AA167" si="357">(VLOOKUP(AO154,$AI$152:$AK$156,3,1))*C164</f>
        <v>0</v>
      </c>
      <c r="AB154" s="150">
        <f t="shared" si="355"/>
        <v>0</v>
      </c>
      <c r="AC154" s="150"/>
      <c r="AD154" s="150"/>
      <c r="AE154" s="150"/>
      <c r="AF154" s="150"/>
      <c r="AG154" s="150"/>
      <c r="AH154" s="150"/>
      <c r="AI154" s="173">
        <v>2</v>
      </c>
      <c r="AJ154" s="173" t="s">
        <v>721</v>
      </c>
      <c r="AK154" s="173">
        <v>6</v>
      </c>
      <c r="AL154" s="150"/>
      <c r="AM154" s="150"/>
      <c r="AN154" s="150"/>
      <c r="AO154" s="150">
        <f t="shared" si="356"/>
        <v>1</v>
      </c>
      <c r="AP154" s="150" t="s">
        <v>725</v>
      </c>
      <c r="AQ154" s="150">
        <v>1000</v>
      </c>
      <c r="AR154" s="150" t="s">
        <v>719</v>
      </c>
      <c r="AS154" s="150">
        <v>1000</v>
      </c>
      <c r="AT154" s="150" t="s">
        <v>719</v>
      </c>
      <c r="AU154" s="150" t="s">
        <v>741</v>
      </c>
      <c r="AV154" s="150"/>
      <c r="AW154" s="150"/>
      <c r="AX154" s="150"/>
      <c r="AY154" s="150"/>
      <c r="AZ154" s="150"/>
      <c r="BA154" s="150"/>
      <c r="BB154" s="150"/>
      <c r="BC154" s="150"/>
      <c r="BD154" s="150"/>
      <c r="BE154" s="150"/>
      <c r="BF154" s="150"/>
      <c r="BG154" s="150"/>
      <c r="BH154" s="150"/>
      <c r="BI154" s="150"/>
      <c r="BJ154" s="150"/>
      <c r="BK154" s="150"/>
      <c r="BL154" s="150"/>
      <c r="BM154" s="150"/>
      <c r="BN154" s="150"/>
      <c r="BO154" s="150"/>
      <c r="BP154" s="150"/>
      <c r="BQ154" s="150"/>
      <c r="BR154" s="150"/>
      <c r="BS154" s="150"/>
      <c r="BT154" s="150"/>
      <c r="BU154" s="150"/>
      <c r="BV154" s="150"/>
      <c r="BW154" s="150"/>
      <c r="BX154" s="150"/>
      <c r="BY154" s="150"/>
      <c r="BZ154" s="150"/>
      <c r="CA154" s="150"/>
      <c r="CB154" s="150"/>
      <c r="CC154" s="150"/>
      <c r="CD154" s="150"/>
      <c r="CE154" s="150"/>
      <c r="CF154" s="150"/>
      <c r="CG154" s="150"/>
      <c r="CH154" s="150"/>
      <c r="CI154" s="150"/>
      <c r="CJ154" s="150"/>
      <c r="CK154" s="150"/>
      <c r="CL154" s="150"/>
      <c r="CM154" s="150"/>
      <c r="CN154" s="150"/>
      <c r="CO154" s="150"/>
      <c r="CP154" s="150"/>
      <c r="CQ154" s="150"/>
      <c r="CR154" s="150"/>
      <c r="CS154" s="150"/>
      <c r="CT154" s="150"/>
      <c r="CU154" s="150"/>
      <c r="CV154" s="150"/>
      <c r="CW154" s="150"/>
      <c r="CX154" s="150"/>
      <c r="CY154" s="150"/>
      <c r="CZ154" s="150"/>
      <c r="DA154" s="150"/>
      <c r="DB154" s="150"/>
      <c r="DC154" s="150"/>
      <c r="DD154" s="150"/>
      <c r="DE154" s="150"/>
      <c r="DF154" s="150"/>
      <c r="DG154" s="150"/>
      <c r="DH154" s="150"/>
      <c r="DI154" s="150"/>
      <c r="DJ154" s="150"/>
      <c r="DK154" s="150"/>
      <c r="DL154" s="150"/>
      <c r="DM154" s="150"/>
      <c r="DN154" s="150"/>
      <c r="DO154" s="150"/>
      <c r="DP154" s="150"/>
      <c r="DQ154" s="181"/>
      <c r="DR154" s="181">
        <v>38</v>
      </c>
      <c r="DS154" s="181"/>
      <c r="DT154" s="150"/>
      <c r="DU154" s="150"/>
      <c r="DV154" s="150"/>
      <c r="DW154" s="150"/>
      <c r="DX154" s="150"/>
      <c r="DY154" s="150"/>
      <c r="DZ154" s="150"/>
      <c r="EA154" s="150"/>
      <c r="EB154" s="150"/>
      <c r="EC154" s="150"/>
      <c r="ED154" s="150"/>
      <c r="EE154" s="150"/>
      <c r="EF154" s="150"/>
      <c r="EG154" s="150"/>
      <c r="EH154" s="150"/>
      <c r="EI154" s="150"/>
      <c r="EJ154" s="150"/>
      <c r="EK154" s="150"/>
      <c r="EL154" s="150"/>
      <c r="EM154" s="150"/>
      <c r="EN154" s="150"/>
      <c r="EO154" s="150"/>
      <c r="EP154" s="150"/>
      <c r="EQ154" s="150"/>
      <c r="ER154" s="150"/>
      <c r="ES154" s="150"/>
      <c r="ET154" s="150"/>
      <c r="EU154" s="150"/>
      <c r="EV154" s="150"/>
      <c r="EW154" s="150"/>
      <c r="EX154" s="150"/>
      <c r="EY154" s="150"/>
      <c r="EZ154" s="150"/>
      <c r="FA154" s="150"/>
      <c r="FB154" s="150"/>
      <c r="FC154" s="150"/>
      <c r="FD154" s="150"/>
      <c r="FE154" s="150"/>
      <c r="FF154" s="150"/>
      <c r="FG154" s="150"/>
      <c r="FH154" s="150"/>
      <c r="FI154" s="150"/>
      <c r="FJ154" s="150"/>
      <c r="FK154" s="150"/>
      <c r="FL154" s="150"/>
      <c r="FM154" s="150"/>
      <c r="FN154" s="150"/>
      <c r="FO154" s="150"/>
      <c r="FP154" s="150"/>
      <c r="FQ154" s="150"/>
      <c r="FR154" s="150"/>
      <c r="FS154" s="150"/>
      <c r="FT154" s="150"/>
      <c r="FU154" s="150"/>
      <c r="FV154" s="150"/>
      <c r="FW154" s="150"/>
      <c r="FX154" s="150"/>
      <c r="FY154" s="150"/>
      <c r="FZ154" s="150"/>
      <c r="GA154" s="150"/>
      <c r="GB154" s="150"/>
      <c r="GC154" s="150"/>
      <c r="GD154" s="150"/>
      <c r="GE154" s="150"/>
      <c r="GF154" s="150"/>
      <c r="GG154" s="150"/>
      <c r="GH154" s="150"/>
      <c r="GI154" s="150"/>
      <c r="GJ154" s="150"/>
      <c r="GK154" s="150"/>
      <c r="GL154" s="150"/>
      <c r="GM154" s="150"/>
      <c r="GN154" s="150"/>
      <c r="GO154" s="150"/>
      <c r="GP154" s="150"/>
      <c r="GQ154" s="150"/>
      <c r="GR154" s="150"/>
      <c r="GS154" s="150"/>
      <c r="GT154" s="150"/>
      <c r="GU154" s="150"/>
      <c r="GV154" s="150"/>
      <c r="GW154" s="150"/>
      <c r="GX154" s="150"/>
      <c r="GY154" s="150"/>
      <c r="GZ154" s="150"/>
      <c r="HA154" s="150"/>
      <c r="HB154" s="150"/>
      <c r="HC154" s="150"/>
      <c r="HD154" s="150"/>
      <c r="HE154" s="150"/>
      <c r="HF154" s="150"/>
      <c r="HG154" s="150"/>
      <c r="HH154" s="150"/>
    </row>
    <row r="155" spans="1:216" x14ac:dyDescent="0.2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6" t="s">
        <v>319</v>
      </c>
      <c r="M155" s="11">
        <f>INDEX(cennik!$C$2:$L$529,MATCH($L155,cennik!$B$2:$B$522,0),MATCH(M$2,cennik!$C$1:$L$1,0))</f>
        <v>890111</v>
      </c>
      <c r="N155" s="11" t="str">
        <f>INDEX(cennik!$C$2:$L$529,MATCH($L155,cennik!$B$2:$B$522,0),MATCH(N$2,cennik!$C$1:$L$1,0))</f>
        <v>100 szt.</v>
      </c>
      <c r="O155" s="11">
        <f>ROUNDUP((O131*4)/100,0)</f>
        <v>0</v>
      </c>
      <c r="P155" s="34">
        <f>INDEX(cennik!$C$2:$L$529,MATCH($L155,cennik!$B$2:$B$522,0),MATCH(P$2,cennik!$C$1:$L$1,0))</f>
        <v>174.59</v>
      </c>
      <c r="Q155" s="34">
        <f t="shared" si="339"/>
        <v>0</v>
      </c>
      <c r="R155" s="35">
        <f t="shared" si="326"/>
        <v>0</v>
      </c>
      <c r="S155" s="34">
        <f t="shared" si="325"/>
        <v>174.59</v>
      </c>
      <c r="T155" s="34">
        <f t="shared" si="340"/>
        <v>0</v>
      </c>
      <c r="U155" s="34">
        <f>INDEX(cennik!$C$2:$L$529,MATCH($L155,cennik!$B$2:$B$522,0),MATCH(U$2,cennik!$C$1:$L$1,0))*O155</f>
        <v>0</v>
      </c>
      <c r="V155" s="62"/>
      <c r="W155" s="170">
        <f>(INDEX(($EL$139:$FI$142,$EL$146:$FI$149,$FL$139:$GI$142,$FL$146:$GI$149),MATCH($L$175,$EK$139:$EK$142,0),MATCH(A163,$EL$138:$FI$138,0),MATCH($G$163,$AE$24:$AE$27,0)))*C163</f>
        <v>0</v>
      </c>
      <c r="X155" s="170">
        <f>(INDEX(($EL$139:$FI$142,$EL$146:$FI$149,$FL$139:$GI$142,$FL$146:$GI$149),MATCH($L$172,$EK$139:$EK$142,0),MATCH(A163,$EL$138:$FI$138,0),MATCH($G$163,$AE$24:$AE$27,0)))*C163</f>
        <v>0</v>
      </c>
      <c r="Y155" s="170">
        <f>(INDEX(($EL$139:$FI$142,$EL$146:$FI$149,$FL$139:$GI$142,$FL$146:$GI$149),MATCH($L$173,$EK$139:$EK$142,0),MATCH(A163,$EL$138:$FI$138,0),MATCH($G$163,$AE$24:$AE$27,0)))*C163</f>
        <v>0</v>
      </c>
      <c r="Z155" s="170">
        <f>(INDEX(($EL$139:$FI$142,$EL$146:$FI$149,$FL$139:$GI$142,$FL$146:$GI$149),MATCH($L$174,$EK$139:$EK$142,0),MATCH(A163,$EL$138:$FI$138,0),MATCH($G$163,$AE$24:$AE$27,0)))*C163</f>
        <v>0</v>
      </c>
      <c r="AA155" s="150">
        <f t="shared" si="357"/>
        <v>0</v>
      </c>
      <c r="AB155" s="150">
        <f t="shared" si="355"/>
        <v>0</v>
      </c>
      <c r="AC155" s="150"/>
      <c r="AD155" s="150"/>
      <c r="AE155" s="150"/>
      <c r="AF155" s="150"/>
      <c r="AG155" s="150"/>
      <c r="AH155" s="150"/>
      <c r="AI155" s="173">
        <v>9</v>
      </c>
      <c r="AJ155" s="173" t="s">
        <v>720</v>
      </c>
      <c r="AK155" s="170">
        <v>9</v>
      </c>
      <c r="AL155" s="150"/>
      <c r="AM155" s="150"/>
      <c r="AN155" s="150"/>
      <c r="AO155" s="150">
        <f t="shared" si="356"/>
        <v>1</v>
      </c>
      <c r="AP155" s="150"/>
      <c r="AQ155" s="150"/>
      <c r="AR155" s="150"/>
      <c r="AS155" s="150"/>
      <c r="AT155" s="150"/>
      <c r="AU155" s="150"/>
      <c r="AV155" s="150"/>
      <c r="AW155" s="150"/>
      <c r="AX155" s="150"/>
      <c r="AY155" s="150"/>
      <c r="AZ155" s="150"/>
      <c r="BA155" s="150"/>
      <c r="BB155" s="150"/>
      <c r="BC155" s="150"/>
      <c r="BD155" s="150"/>
      <c r="BE155" s="150"/>
      <c r="BF155" s="150"/>
      <c r="BG155" s="150"/>
      <c r="BH155" s="150"/>
      <c r="BI155" s="150"/>
      <c r="BJ155" s="150"/>
      <c r="BK155" s="150"/>
      <c r="BL155" s="150"/>
      <c r="BM155" s="150"/>
      <c r="BN155" s="150"/>
      <c r="BO155" s="150"/>
      <c r="BP155" s="150"/>
      <c r="BQ155" s="150"/>
      <c r="BR155" s="150"/>
      <c r="BS155" s="150"/>
      <c r="BT155" s="150"/>
      <c r="BU155" s="150"/>
      <c r="BV155" s="150"/>
      <c r="BW155" s="150"/>
      <c r="BX155" s="150"/>
      <c r="BY155" s="150"/>
      <c r="BZ155" s="150"/>
      <c r="CA155" s="150"/>
      <c r="CB155" s="150"/>
      <c r="CC155" s="150"/>
      <c r="CD155" s="150"/>
      <c r="CE155" s="150"/>
      <c r="CF155" s="150"/>
      <c r="CG155" s="150"/>
      <c r="CH155" s="150"/>
      <c r="CI155" s="150"/>
      <c r="CJ155" s="150"/>
      <c r="CK155" s="150"/>
      <c r="CL155" s="150"/>
      <c r="CM155" s="150"/>
      <c r="CN155" s="150"/>
      <c r="CO155" s="150"/>
      <c r="CP155" s="150"/>
      <c r="CQ155" s="150"/>
      <c r="CR155" s="150"/>
      <c r="CS155" s="150"/>
      <c r="CT155" s="150"/>
      <c r="CU155" s="150"/>
      <c r="CV155" s="150"/>
      <c r="CW155" s="150"/>
      <c r="CX155" s="150"/>
      <c r="CY155" s="150"/>
      <c r="CZ155" s="150"/>
      <c r="DA155" s="150"/>
      <c r="DB155" s="150"/>
      <c r="DC155" s="150"/>
      <c r="DD155" s="150"/>
      <c r="DE155" s="150"/>
      <c r="DF155" s="150"/>
      <c r="DG155" s="150"/>
      <c r="DH155" s="150"/>
      <c r="DI155" s="150"/>
      <c r="DJ155" s="150"/>
      <c r="DK155" s="150"/>
      <c r="DL155" s="150"/>
      <c r="DM155" s="150"/>
      <c r="DN155" s="150"/>
      <c r="DO155" s="150"/>
      <c r="DP155" s="150"/>
      <c r="DQ155" s="181"/>
      <c r="DR155" s="181">
        <v>40</v>
      </c>
      <c r="DS155" s="181"/>
      <c r="DT155" s="150"/>
      <c r="DU155" s="150"/>
      <c r="DV155" s="150"/>
      <c r="DW155" s="150"/>
      <c r="DX155" s="150"/>
      <c r="DY155" s="150"/>
      <c r="DZ155" s="150"/>
      <c r="EA155" s="150"/>
      <c r="EB155" s="150"/>
      <c r="EC155" s="150"/>
      <c r="ED155" s="150"/>
      <c r="EE155" s="150"/>
      <c r="EF155" s="150"/>
      <c r="EG155" s="150"/>
      <c r="EH155" s="150"/>
      <c r="EI155" s="150"/>
      <c r="EJ155" s="150"/>
      <c r="EK155" s="150"/>
      <c r="EL155" s="150"/>
      <c r="EM155" s="150"/>
      <c r="EN155" s="150"/>
      <c r="EO155" s="150"/>
      <c r="EP155" s="150"/>
      <c r="EQ155" s="150"/>
      <c r="ER155" s="150"/>
      <c r="ES155" s="150"/>
      <c r="ET155" s="150"/>
      <c r="EU155" s="150"/>
      <c r="EV155" s="150"/>
      <c r="EW155" s="150"/>
      <c r="EX155" s="150"/>
      <c r="EY155" s="150"/>
      <c r="EZ155" s="150"/>
      <c r="FA155" s="150"/>
      <c r="FB155" s="150"/>
      <c r="FC155" s="150"/>
      <c r="FD155" s="150"/>
      <c r="FE155" s="150"/>
      <c r="FF155" s="150"/>
      <c r="FG155" s="150"/>
      <c r="FH155" s="150"/>
      <c r="FI155" s="150"/>
      <c r="FJ155" s="150"/>
      <c r="FK155" s="150"/>
      <c r="FL155" s="150"/>
      <c r="FM155" s="150"/>
      <c r="FN155" s="150"/>
      <c r="FO155" s="150"/>
      <c r="FP155" s="150"/>
      <c r="FQ155" s="150"/>
      <c r="FR155" s="150"/>
      <c r="FS155" s="150"/>
      <c r="FT155" s="150"/>
      <c r="FU155" s="150"/>
      <c r="FV155" s="150"/>
      <c r="FW155" s="150"/>
      <c r="FX155" s="150"/>
      <c r="FY155" s="150"/>
      <c r="FZ155" s="150"/>
      <c r="GA155" s="150"/>
      <c r="GB155" s="150"/>
      <c r="GC155" s="150"/>
      <c r="GD155" s="150"/>
      <c r="GE155" s="150"/>
      <c r="GF155" s="150"/>
      <c r="GG155" s="150"/>
      <c r="GH155" s="150"/>
      <c r="GI155" s="150"/>
      <c r="GJ155" s="150"/>
      <c r="GK155" s="150"/>
      <c r="GL155" s="150"/>
      <c r="GM155" s="150"/>
      <c r="GN155" s="150"/>
      <c r="GO155" s="150"/>
      <c r="GP155" s="150"/>
      <c r="GQ155" s="150"/>
      <c r="GR155" s="150"/>
      <c r="GS155" s="150"/>
      <c r="GT155" s="150"/>
      <c r="GU155" s="150"/>
      <c r="GV155" s="150"/>
      <c r="GW155" s="150"/>
      <c r="GX155" s="150"/>
      <c r="GY155" s="150"/>
      <c r="GZ155" s="150"/>
      <c r="HA155" s="150"/>
      <c r="HB155" s="150"/>
      <c r="HC155" s="150"/>
      <c r="HD155" s="150"/>
      <c r="HE155" s="150"/>
      <c r="HF155" s="150"/>
      <c r="HG155" s="150"/>
      <c r="HH155" s="150"/>
    </row>
    <row r="156" spans="1:216" x14ac:dyDescent="0.2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6" t="s">
        <v>722</v>
      </c>
      <c r="M156" s="11">
        <f>INDEX(cennik!$C$2:$L$529,MATCH($L156,cennik!$B$2:$B$522,0),MATCH(M$2,cennik!$C$1:$L$1,0))</f>
        <v>890504</v>
      </c>
      <c r="N156" s="11" t="str">
        <f>INDEX(cennik!$C$2:$L$529,MATCH($L156,cennik!$B$2:$B$522,0),MATCH(N$2,cennik!$C$1:$L$1,0))</f>
        <v>szt.</v>
      </c>
      <c r="O156" s="11">
        <f>SUM(C130:C145)*12</f>
        <v>0</v>
      </c>
      <c r="P156" s="34">
        <f>INDEX(cennik!$C$2:$L$529,MATCH($L156,cennik!$B$2:$B$522,0),MATCH(P$2,cennik!$C$1:$L$1,0))</f>
        <v>4.58</v>
      </c>
      <c r="Q156" s="34">
        <f t="shared" ref="Q156" si="358">O156*P156</f>
        <v>0</v>
      </c>
      <c r="R156" s="35">
        <f t="shared" si="326"/>
        <v>0</v>
      </c>
      <c r="S156" s="34">
        <f t="shared" si="325"/>
        <v>4.58</v>
      </c>
      <c r="T156" s="34">
        <f t="shared" ref="T156" si="359">O156*S156</f>
        <v>0</v>
      </c>
      <c r="U156" s="34">
        <f>INDEX(cennik!$C$2:$L$529,MATCH($L156,cennik!$B$2:$B$522,0),MATCH(U$2,cennik!$C$1:$L$1,0))*O156</f>
        <v>0</v>
      </c>
      <c r="V156" s="62"/>
      <c r="W156" s="170">
        <f>(INDEX(($EL$139:$FI$142,$EL$146:$FI$149,$FL$139:$GI$142,$FL$146:$GI$149),MATCH($L$175,$EK$139:$EK$142,0),MATCH(A164,$EL$138:$FI$138,0),MATCH($G$163,$AE$24:$AE$27,0)))*C164</f>
        <v>0</v>
      </c>
      <c r="X156" s="170">
        <f>(INDEX(($EL$139:$FI$142,$EL$146:$FI$149,$FL$139:$GI$142,$FL$146:$GI$149),MATCH($L$172,$EK$139:$EK$142,0),MATCH(A164,$EL$138:$FI$138,0),MATCH($G$163,$AE$24:$AE$27,0)))*C164</f>
        <v>0</v>
      </c>
      <c r="Y156" s="170">
        <f>(INDEX(($EL$139:$FI$142,$EL$146:$FI$149,$FL$139:$GI$142,$FL$146:$GI$149),MATCH($L$173,$EK$139:$EK$142,0),MATCH(A164,$EL$138:$FI$138,0),MATCH($G$163,$AE$24:$AE$27,0)))*C164</f>
        <v>0</v>
      </c>
      <c r="Z156" s="170">
        <f>(INDEX(($EL$139:$FI$142,$EL$146:$FI$149,$FL$139:$GI$142,$FL$146:$GI$149),MATCH($L$174,$EK$139:$EK$142,0),MATCH(A164,$EL$138:$FI$138,0),MATCH($G$163,$AE$24:$AE$27,0)))*C164</f>
        <v>0</v>
      </c>
      <c r="AA156" s="150">
        <f t="shared" si="357"/>
        <v>0</v>
      </c>
      <c r="AB156" s="150">
        <f t="shared" si="355"/>
        <v>0</v>
      </c>
      <c r="AC156" s="150"/>
      <c r="AD156" s="150"/>
      <c r="AE156" s="150"/>
      <c r="AF156" s="150"/>
      <c r="AG156" s="150"/>
      <c r="AH156" s="150"/>
      <c r="AI156" s="172">
        <v>13</v>
      </c>
      <c r="AJ156" s="172" t="s">
        <v>696</v>
      </c>
      <c r="AK156" s="170">
        <v>12</v>
      </c>
      <c r="AL156" s="150"/>
      <c r="AM156" s="150"/>
      <c r="AN156" s="150"/>
      <c r="AO156" s="150">
        <f t="shared" si="356"/>
        <v>1</v>
      </c>
      <c r="AQ156" s="150" t="s">
        <v>314</v>
      </c>
      <c r="AR156" s="150" t="s">
        <v>312</v>
      </c>
      <c r="AS156" s="150" t="s">
        <v>309</v>
      </c>
      <c r="AT156" s="150" t="s">
        <v>313</v>
      </c>
      <c r="AU156" s="150"/>
      <c r="AV156" s="150"/>
      <c r="AW156" s="150"/>
      <c r="AX156" s="150"/>
      <c r="AY156" s="150"/>
      <c r="AZ156" s="150"/>
      <c r="BA156" s="150"/>
      <c r="BB156" s="150"/>
      <c r="BC156" s="150"/>
      <c r="BD156" s="150"/>
      <c r="BE156" s="150"/>
      <c r="BF156" s="150"/>
      <c r="BG156" s="150"/>
      <c r="BH156" s="150"/>
      <c r="BI156" s="150"/>
      <c r="BJ156" s="150"/>
      <c r="BK156" s="150"/>
      <c r="BL156" s="150"/>
      <c r="BM156" s="150"/>
      <c r="BN156" s="150"/>
      <c r="BO156" s="150"/>
      <c r="BP156" s="150"/>
      <c r="BQ156" s="150"/>
      <c r="BR156" s="150"/>
      <c r="BS156" s="150"/>
      <c r="BT156" s="150"/>
      <c r="BU156" s="150"/>
      <c r="BV156" s="150"/>
      <c r="BW156" s="150"/>
      <c r="BX156" s="150"/>
      <c r="BY156" s="150"/>
      <c r="BZ156" s="150"/>
      <c r="CA156" s="150"/>
      <c r="CB156" s="150"/>
      <c r="CC156" s="150"/>
      <c r="CD156" s="150"/>
      <c r="CE156" s="150"/>
      <c r="CF156" s="150"/>
      <c r="CG156" s="150"/>
      <c r="CH156" s="150"/>
      <c r="CI156" s="150"/>
      <c r="CJ156" s="150"/>
      <c r="CK156" s="150"/>
      <c r="CL156" s="150"/>
      <c r="CM156" s="150"/>
      <c r="CN156" s="150"/>
      <c r="CO156" s="150"/>
      <c r="CP156" s="150"/>
      <c r="CQ156" s="150"/>
      <c r="CR156" s="150"/>
      <c r="CS156" s="150"/>
      <c r="CT156" s="150"/>
      <c r="CU156" s="150"/>
      <c r="CV156" s="150"/>
      <c r="CW156" s="150"/>
      <c r="CX156" s="150"/>
      <c r="CY156" s="150"/>
      <c r="CZ156" s="150"/>
      <c r="DA156" s="150"/>
      <c r="DB156" s="150"/>
      <c r="DC156" s="150"/>
      <c r="DD156" s="150"/>
      <c r="DE156" s="150"/>
      <c r="DF156" s="150"/>
      <c r="DG156" s="150"/>
      <c r="DH156" s="150"/>
      <c r="DI156" s="150"/>
      <c r="DJ156" s="150"/>
      <c r="DK156" s="150"/>
      <c r="DL156" s="150"/>
      <c r="DM156" s="150"/>
      <c r="DN156" s="150"/>
      <c r="DO156" s="150"/>
      <c r="DP156" s="150"/>
      <c r="DQ156" s="181"/>
      <c r="DR156" s="181">
        <v>42</v>
      </c>
      <c r="DS156" s="181"/>
      <c r="DT156" s="150"/>
      <c r="DU156" s="150"/>
      <c r="DV156" s="150"/>
      <c r="DW156" s="150"/>
      <c r="DX156" s="150"/>
      <c r="DY156" s="150"/>
      <c r="DZ156" s="150"/>
      <c r="EA156" s="150"/>
      <c r="EB156" s="150"/>
      <c r="EC156" s="150"/>
      <c r="ED156" s="150"/>
      <c r="EE156" s="150"/>
      <c r="EF156" s="150"/>
      <c r="EG156" s="150"/>
      <c r="EH156" s="150"/>
      <c r="EI156" s="150"/>
      <c r="EJ156" s="150"/>
      <c r="EK156" s="150"/>
      <c r="EL156" s="150"/>
      <c r="EM156" s="150"/>
      <c r="EN156" s="150"/>
      <c r="EO156" s="150"/>
      <c r="EP156" s="150"/>
      <c r="EQ156" s="150"/>
      <c r="ER156" s="150"/>
      <c r="ES156" s="150"/>
      <c r="ET156" s="150"/>
      <c r="EU156" s="150"/>
      <c r="EV156" s="150"/>
      <c r="EW156" s="150"/>
      <c r="EX156" s="150"/>
      <c r="EY156" s="150"/>
      <c r="EZ156" s="150"/>
      <c r="FA156" s="150"/>
      <c r="FB156" s="150"/>
      <c r="FC156" s="150"/>
      <c r="FD156" s="150"/>
      <c r="FE156" s="150"/>
      <c r="FF156" s="150"/>
      <c r="FG156" s="150"/>
      <c r="FH156" s="150"/>
      <c r="FI156" s="150"/>
      <c r="FJ156" s="150"/>
      <c r="FK156" s="150"/>
      <c r="FL156" s="150"/>
      <c r="FM156" s="150"/>
      <c r="FN156" s="150"/>
      <c r="FO156" s="150"/>
      <c r="FP156" s="150"/>
      <c r="FQ156" s="150"/>
      <c r="FR156" s="150"/>
      <c r="FS156" s="150"/>
      <c r="FT156" s="150"/>
      <c r="FU156" s="150"/>
      <c r="FV156" s="150"/>
      <c r="FW156" s="150"/>
      <c r="FX156" s="150"/>
      <c r="FY156" s="150"/>
      <c r="FZ156" s="150"/>
      <c r="GA156" s="150"/>
      <c r="GB156" s="150"/>
      <c r="GC156" s="150"/>
      <c r="GD156" s="150"/>
      <c r="GE156" s="150"/>
      <c r="GF156" s="150"/>
      <c r="GG156" s="150"/>
      <c r="GH156" s="150"/>
      <c r="GI156" s="150"/>
      <c r="GJ156" s="150"/>
      <c r="GK156" s="150"/>
      <c r="GL156" s="150"/>
      <c r="GM156" s="150"/>
      <c r="GN156" s="150"/>
      <c r="GO156" s="150"/>
      <c r="GP156" s="150"/>
      <c r="GQ156" s="150"/>
      <c r="GR156" s="150"/>
      <c r="GS156" s="150"/>
      <c r="GT156" s="150"/>
      <c r="GU156" s="150"/>
      <c r="GV156" s="150"/>
      <c r="GW156" s="150"/>
      <c r="GX156" s="150"/>
      <c r="GY156" s="150"/>
      <c r="GZ156" s="150"/>
      <c r="HA156" s="150"/>
      <c r="HB156" s="150"/>
      <c r="HC156" s="150"/>
      <c r="HD156" s="150"/>
      <c r="HE156" s="150"/>
      <c r="HF156" s="150"/>
      <c r="HG156" s="150"/>
      <c r="HH156" s="150"/>
    </row>
    <row r="157" spans="1:216" x14ac:dyDescent="0.2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6" t="s">
        <v>316</v>
      </c>
      <c r="M157" s="11"/>
      <c r="N157" s="11"/>
      <c r="O157" s="11"/>
      <c r="P157" s="34"/>
      <c r="Q157" s="34"/>
      <c r="R157" s="35"/>
      <c r="S157" s="34"/>
      <c r="T157" s="34"/>
      <c r="U157" s="34"/>
      <c r="V157" s="62"/>
      <c r="W157" s="170">
        <f>(INDEX(($EL$139:$FI$142,$EL$146:$FI$149,$FL$139:$GI$142,$FL$146:$GI$149),MATCH($L$175,$EK$139:$EK$142,0),MATCH(A165,$EL$138:$FI$138,0),MATCH($G$163,$AE$24:$AE$27,0)))*C165</f>
        <v>0</v>
      </c>
      <c r="X157" s="170">
        <f>(INDEX(($EL$139:$FI$142,$EL$146:$FI$149,$FL$139:$GI$142,$FL$146:$GI$149),MATCH($L$172,$EK$139:$EK$142,0),MATCH(A165,$EL$138:$FI$138,0),MATCH($G$163,$AE$24:$AE$27,0)))*C165</f>
        <v>0</v>
      </c>
      <c r="Y157" s="170">
        <f>(INDEX(($EL$139:$FI$142,$EL$146:$FI$149,$FL$139:$GI$142,$FL$146:$GI$149),MATCH($L$173,$EK$139:$EK$142,0),MATCH(A165,$EL$138:$FI$138,0),MATCH($G$163,$AE$24:$AE$27,0)))*C165</f>
        <v>0</v>
      </c>
      <c r="Z157" s="170">
        <f>(INDEX(($EL$139:$FI$142,$EL$146:$FI$149,$FL$139:$GI$142,$FL$146:$GI$149),MATCH($L$174,$EK$139:$EK$142,0),MATCH(A165,$EL$138:$FI$138,0),MATCH($G$163,$AE$24:$AE$27,0)))*C165</f>
        <v>0</v>
      </c>
      <c r="AA157" s="150">
        <f t="shared" si="357"/>
        <v>0</v>
      </c>
      <c r="AB157" s="150">
        <f t="shared" si="355"/>
        <v>0</v>
      </c>
      <c r="AC157" s="150"/>
      <c r="AD157" s="150"/>
      <c r="AE157" s="150"/>
      <c r="AF157" s="150"/>
      <c r="AG157" s="150"/>
      <c r="AH157" s="150"/>
      <c r="AI157" s="150"/>
      <c r="AJ157" s="150"/>
      <c r="AK157" s="150"/>
      <c r="AL157" s="150"/>
      <c r="AM157" s="150"/>
      <c r="AN157" s="150"/>
      <c r="AO157" s="150">
        <f t="shared" si="356"/>
        <v>1</v>
      </c>
      <c r="AP157" s="150">
        <v>25</v>
      </c>
      <c r="AQ157" s="150" t="s">
        <v>742</v>
      </c>
      <c r="AR157" s="150" t="s">
        <v>744</v>
      </c>
      <c r="AS157" s="150" t="s">
        <v>746</v>
      </c>
      <c r="AT157" s="150" t="s">
        <v>748</v>
      </c>
      <c r="AU157" s="150"/>
      <c r="AV157" s="150"/>
      <c r="AW157" s="150"/>
      <c r="AX157" s="150"/>
      <c r="AY157" s="150"/>
      <c r="AZ157" s="150"/>
      <c r="BA157" s="150"/>
      <c r="BB157" s="150"/>
      <c r="BC157" s="150"/>
      <c r="BD157" s="150"/>
      <c r="BE157" s="150"/>
      <c r="BF157" s="150"/>
      <c r="BG157" s="150"/>
      <c r="BH157" s="150"/>
      <c r="BI157" s="150"/>
      <c r="BJ157" s="150"/>
      <c r="BK157" s="150"/>
      <c r="BL157" s="150"/>
      <c r="BM157" s="150"/>
      <c r="BN157" s="150"/>
      <c r="BO157" s="150"/>
      <c r="BP157" s="150"/>
      <c r="BQ157" s="150"/>
      <c r="BR157" s="150"/>
      <c r="BS157" s="150"/>
      <c r="BT157" s="150"/>
      <c r="BU157" s="150"/>
      <c r="BV157" s="150"/>
      <c r="BW157" s="150"/>
      <c r="BX157" s="150"/>
      <c r="BY157" s="150"/>
      <c r="BZ157" s="150"/>
      <c r="CA157" s="150"/>
      <c r="CB157" s="150"/>
      <c r="CC157" s="150"/>
      <c r="CD157" s="150"/>
      <c r="CE157" s="150"/>
      <c r="CF157" s="150"/>
      <c r="CG157" s="150"/>
      <c r="CH157" s="150"/>
      <c r="CI157" s="150"/>
      <c r="CJ157" s="150"/>
      <c r="CK157" s="150"/>
      <c r="CL157" s="150"/>
      <c r="CM157" s="150"/>
      <c r="CN157" s="150"/>
      <c r="CO157" s="150"/>
      <c r="CP157" s="150"/>
      <c r="CQ157" s="150"/>
      <c r="CR157" s="150"/>
      <c r="CS157" s="150"/>
      <c r="CT157" s="150"/>
      <c r="CU157" s="150"/>
      <c r="CV157" s="150"/>
      <c r="CW157" s="150"/>
      <c r="CX157" s="150"/>
      <c r="CY157" s="150"/>
      <c r="CZ157" s="150"/>
      <c r="DA157" s="150"/>
      <c r="DB157" s="150"/>
      <c r="DC157" s="150"/>
      <c r="DD157" s="150"/>
      <c r="DE157" s="150"/>
      <c r="DF157" s="150"/>
      <c r="DG157" s="150"/>
      <c r="DH157" s="150"/>
      <c r="DI157" s="150"/>
      <c r="DJ157" s="150"/>
      <c r="DK157" s="150"/>
      <c r="DL157" s="150"/>
      <c r="DM157" s="150"/>
      <c r="DN157" s="150"/>
      <c r="DO157" s="150"/>
      <c r="DP157" s="150"/>
      <c r="DQ157" s="181"/>
      <c r="DR157" s="181">
        <v>44</v>
      </c>
      <c r="DS157" s="181"/>
      <c r="DT157" s="150"/>
      <c r="DU157" s="150"/>
      <c r="DV157" s="150"/>
      <c r="DW157" s="150"/>
      <c r="DX157" s="150"/>
      <c r="DY157" s="150"/>
      <c r="DZ157" s="150"/>
      <c r="EA157" s="150"/>
      <c r="EB157" s="150"/>
      <c r="EC157" s="150"/>
      <c r="ED157" s="150"/>
      <c r="EE157" s="150"/>
      <c r="EF157" s="150"/>
      <c r="EG157" s="150"/>
      <c r="EH157" s="150"/>
      <c r="EI157" s="150"/>
      <c r="EJ157" s="150"/>
      <c r="EK157" s="150"/>
      <c r="EL157" s="150"/>
      <c r="EM157" s="150"/>
      <c r="EN157" s="150"/>
      <c r="EO157" s="150"/>
      <c r="EP157" s="150"/>
      <c r="EQ157" s="150"/>
      <c r="ER157" s="150"/>
      <c r="ES157" s="150"/>
      <c r="ET157" s="150"/>
      <c r="EU157" s="150"/>
      <c r="EV157" s="150"/>
      <c r="EW157" s="150"/>
      <c r="EX157" s="150"/>
      <c r="EY157" s="150"/>
      <c r="EZ157" s="150"/>
      <c r="FA157" s="150"/>
      <c r="FB157" s="150"/>
      <c r="FC157" s="150"/>
      <c r="FD157" s="150"/>
      <c r="FE157" s="150"/>
      <c r="FF157" s="150"/>
      <c r="FG157" s="150"/>
      <c r="FH157" s="150"/>
      <c r="FI157" s="150"/>
      <c r="FJ157" s="150"/>
      <c r="FK157" s="150"/>
      <c r="FL157" s="150"/>
      <c r="FM157" s="150"/>
      <c r="FN157" s="150"/>
      <c r="FO157" s="150"/>
      <c r="FP157" s="150"/>
      <c r="FQ157" s="150"/>
      <c r="FR157" s="150"/>
      <c r="FS157" s="150"/>
      <c r="FT157" s="150"/>
      <c r="FU157" s="150"/>
      <c r="FV157" s="150"/>
      <c r="FW157" s="150"/>
      <c r="FX157" s="150"/>
      <c r="FY157" s="150"/>
      <c r="FZ157" s="150"/>
      <c r="GA157" s="150"/>
      <c r="GB157" s="150"/>
      <c r="GC157" s="150"/>
      <c r="GD157" s="150"/>
      <c r="GE157" s="150"/>
      <c r="GF157" s="150"/>
      <c r="GG157" s="150"/>
      <c r="GH157" s="150"/>
      <c r="GI157" s="150"/>
      <c r="GJ157" s="150"/>
      <c r="GK157" s="150"/>
      <c r="GL157" s="150"/>
      <c r="GM157" s="150"/>
      <c r="GN157" s="150"/>
      <c r="GO157" s="150"/>
      <c r="GP157" s="150"/>
      <c r="GQ157" s="150"/>
      <c r="GR157" s="150"/>
      <c r="GS157" s="150"/>
      <c r="GT157" s="150"/>
      <c r="GU157" s="150"/>
      <c r="GV157" s="150"/>
      <c r="GW157" s="150"/>
      <c r="GX157" s="150"/>
      <c r="GY157" s="150"/>
      <c r="GZ157" s="150"/>
      <c r="HA157" s="150"/>
      <c r="HB157" s="150"/>
      <c r="HC157" s="150"/>
      <c r="HD157" s="150"/>
      <c r="HE157" s="150"/>
      <c r="HF157" s="150"/>
      <c r="HG157" s="150"/>
      <c r="HH157" s="150"/>
    </row>
    <row r="158" spans="1:216" x14ac:dyDescent="0.2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6" t="str">
        <f>IF(E140=AJ132,"CWT70H50/3,2NMC",IF(E140=AL132,"CWT70H50/3NMC",IF(E140=AK133,"CWT70H50/2,4NMC",IF(E140=AN134,"CWT70H50/2NMC","-------"))))</f>
        <v>CWT70H50/3,2NMC</v>
      </c>
      <c r="M158" s="11">
        <f>INDEX(cennik!$C$2:$L$529,MATCH($L158,cennik!$B$2:$B$522,0),MATCH(M$2,cennik!$C$1:$L$1,0))</f>
        <v>867832</v>
      </c>
      <c r="N158" s="11" t="str">
        <f>INDEX(cennik!$C$2:$L$529,MATCH($L158,cennik!$B$2:$B$522,0),MATCH(N$2,cennik!$C$1:$L$1,0))</f>
        <v>szt.</v>
      </c>
      <c r="O158" s="11">
        <f>E134*2</f>
        <v>0</v>
      </c>
      <c r="P158" s="34">
        <f>INDEX(cennik!$C$2:$L$529,MATCH($L158,cennik!$B$2:$B$522,0),MATCH(P$2,cennik!$C$1:$L$1,0))</f>
        <v>161.94999999999999</v>
      </c>
      <c r="Q158" s="34">
        <f>O158*P158</f>
        <v>0</v>
      </c>
      <c r="R158" s="35">
        <f>$E$135</f>
        <v>0</v>
      </c>
      <c r="S158" s="34">
        <f>P158*((100-$E$135)/100)</f>
        <v>161.94999999999999</v>
      </c>
      <c r="T158" s="34">
        <f>O158*S158</f>
        <v>0</v>
      </c>
      <c r="U158" s="34">
        <f>INDEX(cennik!$C$2:$L$529,MATCH($L158,cennik!$B$2:$B$522,0),MATCH(U$2,cennik!$C$1:$L$1,0))*O158</f>
        <v>0</v>
      </c>
      <c r="V158" s="62"/>
      <c r="W158" s="170">
        <f>(INDEX(($EL$139:$FI$142,$EL$146:$FI$149,$FL$139:$GI$142,$FL$146:$GI$149),MATCH($L$175,$EK$139:$EK$142,0),MATCH(A166,$EL$138:$FI$138,0),MATCH($G$163,$AE$24:$AE$27,0)))*C166</f>
        <v>0</v>
      </c>
      <c r="X158" s="170">
        <f>(INDEX(($EL$139:$FI$142,$EL$146:$FI$149,$FL$139:$GI$142,$FL$146:$GI$149),MATCH($L$172,$EK$139:$EK$142,0),MATCH(A166,$EL$138:$FI$138,0),MATCH($G$163,$AE$24:$AE$27,0)))*C166</f>
        <v>0</v>
      </c>
      <c r="Y158" s="170">
        <f>(INDEX(($EL$139:$FI$142,$EL$146:$FI$149,$FL$139:$GI$142,$FL$146:$GI$149),MATCH($L$173,$EK$139:$EK$142,0),MATCH(A166,$EL$138:$FI$138,0),MATCH($G$163,$AE$24:$AE$27,0)))*C166</f>
        <v>0</v>
      </c>
      <c r="Z158" s="170">
        <f>(INDEX(($EL$139:$FI$142,$EL$146:$FI$149,$FL$139:$GI$142,$FL$146:$GI$149),MATCH($L$174,$EK$139:$EK$142,0),MATCH(A166,$EL$138:$FI$138,0),MATCH($G$163,$AE$24:$AE$27,0)))*C166</f>
        <v>0</v>
      </c>
      <c r="AA158" s="150">
        <f t="shared" si="357"/>
        <v>0</v>
      </c>
      <c r="AB158" s="150">
        <f t="shared" si="355"/>
        <v>0</v>
      </c>
      <c r="AC158" s="150"/>
      <c r="AD158" s="150"/>
      <c r="AE158" s="150"/>
      <c r="AF158" s="150"/>
      <c r="AG158" s="150"/>
      <c r="AH158" s="150"/>
      <c r="AI158" s="150"/>
      <c r="AJ158" s="150"/>
      <c r="AK158" s="150"/>
      <c r="AL158" s="150"/>
      <c r="AM158" s="150"/>
      <c r="AN158" s="150"/>
      <c r="AO158" s="150">
        <f t="shared" si="356"/>
        <v>1</v>
      </c>
      <c r="AP158" s="150">
        <v>30</v>
      </c>
      <c r="AQ158" s="150" t="s">
        <v>743</v>
      </c>
      <c r="AR158" s="150" t="s">
        <v>745</v>
      </c>
      <c r="AS158" s="150" t="s">
        <v>747</v>
      </c>
      <c r="AT158" s="150" t="s">
        <v>749</v>
      </c>
      <c r="AU158" s="150"/>
      <c r="AV158" s="150"/>
      <c r="AW158" s="150"/>
      <c r="AX158" s="150"/>
      <c r="AY158" s="150"/>
      <c r="AZ158" s="150"/>
      <c r="BA158" s="150"/>
      <c r="BB158" s="150"/>
      <c r="BC158" s="150"/>
      <c r="BD158" s="150"/>
      <c r="BE158" s="150"/>
      <c r="BF158" s="150"/>
      <c r="BG158" s="150"/>
      <c r="BH158" s="150"/>
      <c r="BI158" s="150"/>
      <c r="BJ158" s="150"/>
      <c r="BK158" s="150"/>
      <c r="BL158" s="150"/>
      <c r="BM158" s="150"/>
      <c r="BN158" s="150"/>
      <c r="BO158" s="150"/>
      <c r="BP158" s="150"/>
      <c r="BQ158" s="150"/>
      <c r="BR158" s="150"/>
      <c r="BS158" s="150"/>
      <c r="BT158" s="150"/>
      <c r="BU158" s="150"/>
      <c r="BV158" s="150"/>
      <c r="BW158" s="150"/>
      <c r="BX158" s="150"/>
      <c r="BY158" s="150"/>
      <c r="BZ158" s="150"/>
      <c r="CA158" s="150"/>
      <c r="CB158" s="150"/>
      <c r="CC158" s="150"/>
      <c r="CD158" s="150"/>
      <c r="CE158" s="150"/>
      <c r="CF158" s="150"/>
      <c r="CG158" s="150"/>
      <c r="CH158" s="150"/>
      <c r="CI158" s="150"/>
      <c r="CJ158" s="150"/>
      <c r="CK158" s="150"/>
      <c r="CL158" s="150"/>
      <c r="CM158" s="150"/>
      <c r="CN158" s="150"/>
      <c r="CO158" s="150"/>
      <c r="CP158" s="150"/>
      <c r="CQ158" s="150"/>
      <c r="CR158" s="150"/>
      <c r="CS158" s="150"/>
      <c r="CT158" s="150"/>
      <c r="CU158" s="150"/>
      <c r="CV158" s="150"/>
      <c r="CW158" s="150"/>
      <c r="CX158" s="150"/>
      <c r="CY158" s="150"/>
      <c r="CZ158" s="150"/>
      <c r="DA158" s="150"/>
      <c r="DB158" s="150"/>
      <c r="DC158" s="150"/>
      <c r="DD158" s="150"/>
      <c r="DE158" s="150"/>
      <c r="DF158" s="150"/>
      <c r="DG158" s="150"/>
      <c r="DH158" s="150"/>
      <c r="DI158" s="150"/>
      <c r="DJ158" s="150"/>
      <c r="DK158" s="150"/>
      <c r="DL158" s="150"/>
      <c r="DM158" s="150"/>
      <c r="DN158" s="150"/>
      <c r="DO158" s="150"/>
      <c r="DP158" s="150"/>
      <c r="DQ158" s="181"/>
      <c r="DR158" s="181">
        <v>46</v>
      </c>
      <c r="DS158" s="181"/>
      <c r="DT158" s="150"/>
      <c r="DU158" s="150"/>
      <c r="DV158" s="150"/>
      <c r="DW158" s="150"/>
      <c r="DX158" s="150"/>
      <c r="DY158" s="150"/>
      <c r="DZ158" s="150"/>
      <c r="EA158" s="150"/>
      <c r="EB158" s="150"/>
      <c r="EC158" s="150"/>
      <c r="ED158" s="150"/>
      <c r="EE158" s="150"/>
      <c r="EF158" s="150"/>
      <c r="EG158" s="150"/>
      <c r="EH158" s="150"/>
      <c r="EI158" s="150"/>
      <c r="EJ158" s="150"/>
      <c r="EK158" s="150"/>
      <c r="EL158" s="150"/>
      <c r="EM158" s="150"/>
      <c r="EN158" s="150"/>
      <c r="EO158" s="150"/>
      <c r="EP158" s="150"/>
      <c r="EQ158" s="150"/>
      <c r="ER158" s="150"/>
      <c r="ES158" s="150"/>
      <c r="ET158" s="150"/>
      <c r="EU158" s="150"/>
      <c r="EV158" s="150"/>
      <c r="EW158" s="150"/>
      <c r="EX158" s="150"/>
      <c r="EY158" s="150"/>
      <c r="EZ158" s="150"/>
      <c r="FA158" s="150"/>
      <c r="FB158" s="150"/>
      <c r="FC158" s="150"/>
      <c r="FD158" s="150"/>
      <c r="FE158" s="150"/>
      <c r="FF158" s="150"/>
      <c r="FG158" s="150"/>
      <c r="FH158" s="150"/>
      <c r="FI158" s="150"/>
      <c r="FJ158" s="150"/>
      <c r="FK158" s="150"/>
      <c r="FL158" s="150"/>
      <c r="FM158" s="150"/>
      <c r="FN158" s="150"/>
      <c r="FO158" s="150"/>
      <c r="FP158" s="150"/>
      <c r="FQ158" s="150"/>
      <c r="FR158" s="150"/>
      <c r="FS158" s="150"/>
      <c r="FT158" s="150"/>
      <c r="FU158" s="150"/>
      <c r="FV158" s="150"/>
      <c r="FW158" s="150"/>
      <c r="FX158" s="150"/>
      <c r="FY158" s="150"/>
      <c r="FZ158" s="150"/>
      <c r="GA158" s="150"/>
      <c r="GB158" s="150"/>
      <c r="GC158" s="150"/>
      <c r="GD158" s="150"/>
      <c r="GE158" s="150"/>
      <c r="GF158" s="150"/>
      <c r="GG158" s="150"/>
      <c r="GH158" s="150"/>
      <c r="GI158" s="150"/>
      <c r="GJ158" s="150"/>
      <c r="GK158" s="150"/>
      <c r="GL158" s="150"/>
      <c r="GM158" s="150"/>
      <c r="GN158" s="150"/>
      <c r="GO158" s="150"/>
      <c r="GP158" s="150"/>
      <c r="GQ158" s="150"/>
      <c r="GR158" s="150"/>
      <c r="GS158" s="150"/>
      <c r="GT158" s="150"/>
      <c r="GU158" s="150"/>
      <c r="GV158" s="150"/>
      <c r="GW158" s="150"/>
      <c r="GX158" s="150"/>
      <c r="GY158" s="150"/>
      <c r="GZ158" s="150"/>
      <c r="HA158" s="150"/>
      <c r="HB158" s="150"/>
      <c r="HC158" s="150"/>
      <c r="HD158" s="150"/>
      <c r="HE158" s="150"/>
      <c r="HF158" s="150"/>
      <c r="HG158" s="150"/>
      <c r="HH158" s="150"/>
    </row>
    <row r="159" spans="1:216" x14ac:dyDescent="0.2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6" t="s">
        <v>591</v>
      </c>
      <c r="M159" s="11">
        <f>INDEX(cennik!$C$2:$L$529,MATCH($L159,cennik!$B$2:$B$522,0),MATCH(M$2,cennik!$C$1:$L$1,0))</f>
        <v>867810</v>
      </c>
      <c r="N159" s="11" t="str">
        <f>INDEX(cennik!$C$2:$L$529,MATCH($L159,cennik!$B$2:$B$522,0),MATCH(N$2,cennik!$C$1:$L$1,0))</f>
        <v>szt.</v>
      </c>
      <c r="O159" s="11">
        <f>E134*4</f>
        <v>0</v>
      </c>
      <c r="P159" s="34">
        <f>INDEX(cennik!$C$2:$L$529,MATCH($L159,cennik!$B$2:$B$522,0),MATCH(P$2,cennik!$C$1:$L$1,0))</f>
        <v>50.61</v>
      </c>
      <c r="Q159" s="34">
        <f>O159*P159</f>
        <v>0</v>
      </c>
      <c r="R159" s="35">
        <f>$E$135</f>
        <v>0</v>
      </c>
      <c r="S159" s="34">
        <f>P159*((100-$E$135)/100)</f>
        <v>50.61</v>
      </c>
      <c r="T159" s="34">
        <f>O159*S159</f>
        <v>0</v>
      </c>
      <c r="U159" s="34">
        <f>INDEX(cennik!$C$2:$L$529,MATCH($L159,cennik!$B$2:$B$522,0),MATCH(U$2,cennik!$C$1:$L$1,0))*O159</f>
        <v>0</v>
      </c>
      <c r="V159" s="62"/>
      <c r="W159" s="170">
        <f>(INDEX(($EL$139:$FI$142,$EL$146:$FI$149,$FL$139:$GI$142,$FL$146:$GI$149),MATCH($L$175,$EK$139:$EK$142,0),MATCH(A167,$EL$138:$FI$138,0),MATCH($G$163,$AE$24:$AE$27,0)))*C167</f>
        <v>0</v>
      </c>
      <c r="X159" s="170">
        <f>(INDEX(($EL$139:$FI$142,$EL$146:$FI$149,$FL$139:$GI$142,$FL$146:$GI$149),MATCH($L$172,$EK$139:$EK$142,0),MATCH(A167,$EL$138:$FI$138,0),MATCH($G$163,$AE$24:$AE$27,0)))*C167</f>
        <v>0</v>
      </c>
      <c r="Y159" s="170">
        <f>(INDEX(($EL$139:$FI$142,$EL$146:$FI$149,$FL$139:$GI$142,$FL$146:$GI$149),MATCH($L$173,$EK$139:$EK$142,0),MATCH(A167,$EL$138:$FI$138,0),MATCH($G$163,$AE$24:$AE$27,0)))*C167</f>
        <v>0</v>
      </c>
      <c r="Z159" s="170">
        <f>(INDEX(($EL$139:$FI$142,$EL$146:$FI$149,$FL$139:$GI$142,$FL$146:$GI$149),MATCH($L$174,$EK$139:$EK$142,0),MATCH(A167,$EL$138:$FI$138,0),MATCH($G$163,$AE$24:$AE$27,0)))*C167</f>
        <v>0</v>
      </c>
      <c r="AA159" s="150">
        <f t="shared" si="357"/>
        <v>0</v>
      </c>
      <c r="AB159" s="150">
        <f t="shared" si="355"/>
        <v>0</v>
      </c>
      <c r="AC159" s="150"/>
      <c r="AD159" s="150"/>
      <c r="AE159" s="150"/>
      <c r="AF159" s="150"/>
      <c r="AG159" s="150"/>
      <c r="AH159" s="150"/>
      <c r="AI159" s="150"/>
      <c r="AJ159" s="150"/>
      <c r="AK159" s="150"/>
      <c r="AL159" s="150"/>
      <c r="AM159" s="150"/>
      <c r="AN159" s="150"/>
      <c r="AO159" s="150">
        <f t="shared" si="356"/>
        <v>1</v>
      </c>
      <c r="AP159" s="150"/>
      <c r="AQ159" s="150"/>
      <c r="AR159" s="150"/>
      <c r="AS159" s="150"/>
      <c r="AT159" s="150"/>
      <c r="AU159" s="150"/>
      <c r="AV159" s="150"/>
      <c r="AW159" s="150"/>
      <c r="AX159" s="150"/>
      <c r="AY159" s="150"/>
      <c r="AZ159" s="150"/>
      <c r="BA159" s="150"/>
      <c r="BB159" s="150"/>
      <c r="BC159" s="150"/>
      <c r="BD159" s="150"/>
      <c r="BE159" s="150"/>
      <c r="BF159" s="150"/>
      <c r="BG159" s="150"/>
      <c r="BH159" s="150"/>
      <c r="BI159" s="150"/>
      <c r="BJ159" s="150"/>
      <c r="BK159" s="150"/>
      <c r="BL159" s="150"/>
      <c r="BM159" s="150"/>
      <c r="BN159" s="150"/>
      <c r="BO159" s="150"/>
      <c r="BP159" s="150"/>
      <c r="BQ159" s="150"/>
      <c r="BR159" s="150"/>
      <c r="BS159" s="150"/>
      <c r="BT159" s="150"/>
      <c r="BU159" s="150"/>
      <c r="BV159" s="150"/>
      <c r="BW159" s="150"/>
      <c r="BX159" s="150"/>
      <c r="BY159" s="150"/>
      <c r="BZ159" s="150"/>
      <c r="CA159" s="150"/>
      <c r="CB159" s="150"/>
      <c r="CC159" s="150"/>
      <c r="CD159" s="150"/>
      <c r="CE159" s="150"/>
      <c r="CF159" s="150"/>
      <c r="CG159" s="150"/>
      <c r="CH159" s="150"/>
      <c r="CI159" s="150"/>
      <c r="CJ159" s="150"/>
      <c r="CK159" s="150"/>
      <c r="CL159" s="150"/>
      <c r="CM159" s="150"/>
      <c r="CN159" s="150"/>
      <c r="CO159" s="150"/>
      <c r="CP159" s="150"/>
      <c r="CQ159" s="150"/>
      <c r="CR159" s="150"/>
      <c r="CS159" s="150"/>
      <c r="CT159" s="150"/>
      <c r="CU159" s="150"/>
      <c r="CV159" s="150"/>
      <c r="CW159" s="150"/>
      <c r="CX159" s="150"/>
      <c r="CY159" s="150"/>
      <c r="CZ159" s="150"/>
      <c r="DA159" s="150"/>
      <c r="DB159" s="150"/>
      <c r="DC159" s="150"/>
      <c r="DD159" s="150"/>
      <c r="DE159" s="150"/>
      <c r="DF159" s="150"/>
      <c r="DG159" s="150"/>
      <c r="DH159" s="150"/>
      <c r="DI159" s="150"/>
      <c r="DJ159" s="150"/>
      <c r="DK159" s="150"/>
      <c r="DL159" s="150"/>
      <c r="DM159" s="150"/>
      <c r="DN159" s="150"/>
      <c r="DO159" s="150"/>
      <c r="DP159" s="150"/>
      <c r="DQ159" s="181"/>
      <c r="DR159" s="181">
        <v>48</v>
      </c>
      <c r="DS159" s="181"/>
      <c r="DT159" s="150"/>
      <c r="DU159" s="150"/>
      <c r="DV159" s="150"/>
      <c r="DW159" s="150"/>
      <c r="DX159" s="150"/>
      <c r="DY159" s="150"/>
      <c r="DZ159" s="150"/>
      <c r="EA159" s="150"/>
      <c r="EB159" s="150"/>
      <c r="EC159" s="150"/>
      <c r="ED159" s="150"/>
      <c r="EE159" s="150"/>
      <c r="EF159" s="150"/>
      <c r="EG159" s="150"/>
      <c r="EH159" s="150"/>
      <c r="EI159" s="150"/>
      <c r="EJ159" s="150"/>
      <c r="EK159" s="150"/>
      <c r="EL159" s="150"/>
      <c r="EM159" s="150"/>
      <c r="EN159" s="150"/>
      <c r="EO159" s="150"/>
      <c r="EP159" s="150"/>
      <c r="EQ159" s="150"/>
      <c r="ER159" s="150"/>
      <c r="ES159" s="150"/>
      <c r="ET159" s="150"/>
      <c r="EU159" s="150"/>
      <c r="EV159" s="150"/>
      <c r="EW159" s="150"/>
      <c r="EX159" s="150"/>
      <c r="EY159" s="150"/>
      <c r="EZ159" s="150"/>
      <c r="FA159" s="150"/>
      <c r="FB159" s="150"/>
      <c r="FC159" s="150"/>
      <c r="FD159" s="150"/>
      <c r="FE159" s="150"/>
      <c r="FF159" s="150"/>
      <c r="FG159" s="150"/>
      <c r="FH159" s="150"/>
      <c r="FI159" s="150"/>
      <c r="FJ159" s="150"/>
      <c r="FK159" s="150"/>
      <c r="FL159" s="150"/>
      <c r="FM159" s="150"/>
      <c r="FN159" s="150"/>
      <c r="FO159" s="150"/>
      <c r="FP159" s="150"/>
      <c r="FQ159" s="150"/>
      <c r="FR159" s="150"/>
      <c r="FS159" s="150"/>
      <c r="FT159" s="150"/>
      <c r="FU159" s="150"/>
      <c r="FV159" s="150"/>
      <c r="FW159" s="150"/>
      <c r="FX159" s="150"/>
      <c r="FY159" s="150"/>
      <c r="FZ159" s="150"/>
      <c r="GA159" s="150"/>
      <c r="GB159" s="150"/>
      <c r="GC159" s="150"/>
      <c r="GD159" s="150"/>
      <c r="GE159" s="150"/>
      <c r="GF159" s="150"/>
      <c r="GG159" s="150"/>
      <c r="GH159" s="150"/>
      <c r="GI159" s="150"/>
      <c r="GJ159" s="150"/>
      <c r="GK159" s="150"/>
      <c r="GL159" s="150"/>
      <c r="GM159" s="150"/>
      <c r="GN159" s="150"/>
      <c r="GO159" s="150"/>
      <c r="GP159" s="150"/>
      <c r="GQ159" s="150"/>
      <c r="GR159" s="150"/>
      <c r="GS159" s="150"/>
      <c r="GT159" s="150"/>
      <c r="GU159" s="150"/>
      <c r="GV159" s="150"/>
      <c r="GW159" s="150"/>
      <c r="GX159" s="150"/>
      <c r="GY159" s="150"/>
      <c r="GZ159" s="150"/>
      <c r="HA159" s="150"/>
      <c r="HB159" s="150"/>
      <c r="HC159" s="150"/>
      <c r="HD159" s="150"/>
      <c r="HE159" s="150"/>
      <c r="HF159" s="150"/>
      <c r="HG159" s="150"/>
      <c r="HH159" s="150"/>
    </row>
    <row r="160" spans="1:216" x14ac:dyDescent="0.2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24"/>
      <c r="N160" s="24"/>
      <c r="O160" s="24"/>
      <c r="P160" s="24"/>
      <c r="Q160" s="24"/>
      <c r="R160" s="24"/>
      <c r="S160" s="24"/>
      <c r="T160" s="34" t="e">
        <f>SUM(T131:T159)</f>
        <v>#N/A</v>
      </c>
      <c r="U160" s="34" t="e">
        <f>SUM(U131:U159)</f>
        <v>#N/A</v>
      </c>
      <c r="V160" s="62"/>
      <c r="W160" s="170">
        <f>(INDEX(($EL$139:$FI$142,$EL$146:$FI$149,$FL$139:$GI$142,$FL$146:$GI$149),MATCH($L$175,$EK$139:$EK$142,0),MATCH(A168,$EL$138:$FI$138,0),MATCH($G$163,$AE$24:$AE$27,0)))*C168</f>
        <v>0</v>
      </c>
      <c r="X160" s="170">
        <f>(INDEX(($EL$139:$FI$142,$EL$146:$FI$149,$FL$139:$GI$142,$FL$146:$GI$149),MATCH($L$172,$EK$139:$EK$142,0),MATCH(A168,$EL$138:$FI$138,0),MATCH($G$163,$AE$24:$AE$27,0)))*C168</f>
        <v>0</v>
      </c>
      <c r="Y160" s="170">
        <f>(INDEX(($EL$139:$FI$142,$EL$146:$FI$149,$FL$139:$GI$142,$FL$146:$GI$149),MATCH($L$173,$EK$139:$EK$142,0),MATCH(A168,$EL$138:$FI$138,0),MATCH($G$163,$AE$24:$AE$27,0)))*C168</f>
        <v>0</v>
      </c>
      <c r="Z160" s="170">
        <f>(INDEX(($EL$139:$FI$142,$EL$146:$FI$149,$FL$139:$GI$142,$FL$146:$GI$149),MATCH($L$174,$EK$139:$EK$142,0),MATCH(A168,$EL$138:$FI$138,0),MATCH($G$163,$AE$24:$AE$27,0)))*C168</f>
        <v>0</v>
      </c>
      <c r="AA160" s="150">
        <f t="shared" si="357"/>
        <v>0</v>
      </c>
      <c r="AB160" s="150">
        <f t="shared" si="355"/>
        <v>0</v>
      </c>
      <c r="AC160" s="150"/>
      <c r="AD160" s="150"/>
      <c r="AE160" s="150"/>
      <c r="AF160" s="150"/>
      <c r="AG160" s="150"/>
      <c r="AH160" s="150"/>
      <c r="AI160" s="150"/>
      <c r="AJ160" s="150"/>
      <c r="AK160" s="150"/>
      <c r="AL160" s="150"/>
      <c r="AM160" s="150"/>
      <c r="AN160" s="150"/>
      <c r="AO160" s="150">
        <f t="shared" si="356"/>
        <v>1</v>
      </c>
      <c r="AP160" s="150"/>
      <c r="AQ160" s="150"/>
      <c r="AR160" s="150"/>
      <c r="AS160" s="150"/>
      <c r="AT160" s="150"/>
      <c r="AU160" s="150"/>
      <c r="AV160" s="150"/>
      <c r="AW160" s="150"/>
      <c r="AX160" s="150"/>
      <c r="AY160" s="150"/>
      <c r="AZ160" s="150"/>
      <c r="BA160" s="150"/>
      <c r="BB160" s="150"/>
      <c r="BC160" s="150"/>
      <c r="BD160" s="150"/>
      <c r="BE160" s="150"/>
      <c r="BF160" s="150"/>
      <c r="BG160" s="150"/>
      <c r="BH160" s="150"/>
      <c r="BI160" s="150"/>
      <c r="BJ160" s="150"/>
      <c r="BK160" s="150"/>
      <c r="BL160" s="150"/>
      <c r="BM160" s="150"/>
      <c r="BN160" s="150"/>
      <c r="BO160" s="150"/>
      <c r="BP160" s="150"/>
      <c r="BQ160" s="150"/>
      <c r="BR160" s="150"/>
      <c r="BS160" s="150"/>
      <c r="BT160" s="150"/>
      <c r="BU160" s="150"/>
      <c r="BV160" s="150"/>
      <c r="BW160" s="150"/>
      <c r="BX160" s="150"/>
      <c r="BY160" s="150"/>
      <c r="BZ160" s="150"/>
      <c r="CA160" s="150"/>
      <c r="CB160" s="150"/>
      <c r="CC160" s="150"/>
      <c r="CD160" s="150"/>
      <c r="CE160" s="150"/>
      <c r="CF160" s="150"/>
      <c r="CG160" s="150"/>
      <c r="CH160" s="150"/>
      <c r="CI160" s="150"/>
      <c r="CJ160" s="150"/>
      <c r="CK160" s="150"/>
      <c r="CL160" s="150"/>
      <c r="CM160" s="150"/>
      <c r="CN160" s="150"/>
      <c r="CO160" s="150"/>
      <c r="CP160" s="150"/>
      <c r="CQ160" s="150"/>
      <c r="CR160" s="150"/>
      <c r="CS160" s="150"/>
      <c r="CT160" s="150"/>
      <c r="CU160" s="150"/>
      <c r="CV160" s="150"/>
      <c r="CW160" s="150"/>
      <c r="CX160" s="150"/>
      <c r="CY160" s="150"/>
      <c r="CZ160" s="150"/>
      <c r="DA160" s="150"/>
      <c r="DB160" s="150"/>
      <c r="DC160" s="150"/>
      <c r="DD160" s="150"/>
      <c r="DE160" s="150"/>
      <c r="DF160" s="150"/>
      <c r="DG160" s="150"/>
      <c r="DH160" s="150"/>
      <c r="DI160" s="150"/>
      <c r="DJ160" s="150"/>
      <c r="DK160" s="150"/>
      <c r="DL160" s="150"/>
      <c r="DM160" s="150"/>
      <c r="DN160" s="150"/>
      <c r="DO160" s="150"/>
      <c r="DP160" s="150"/>
      <c r="DQ160" s="181"/>
      <c r="DR160" s="181">
        <v>50</v>
      </c>
      <c r="DS160" s="181"/>
      <c r="DT160" s="150"/>
      <c r="DU160" s="150"/>
      <c r="DV160" s="150"/>
      <c r="DW160" s="150"/>
      <c r="DX160" s="150"/>
      <c r="DY160" s="150"/>
      <c r="DZ160" s="150"/>
      <c r="EA160" s="150"/>
      <c r="EB160" s="150"/>
      <c r="EC160" s="150"/>
      <c r="ED160" s="150"/>
      <c r="EE160" s="150"/>
      <c r="EF160" s="150"/>
      <c r="EG160" s="150"/>
      <c r="EH160" s="150"/>
      <c r="EI160" s="150"/>
      <c r="EJ160" s="150"/>
      <c r="EK160" s="150"/>
      <c r="EL160" s="150"/>
      <c r="EM160" s="150"/>
      <c r="EN160" s="150"/>
      <c r="EO160" s="150"/>
      <c r="EP160" s="150"/>
      <c r="EQ160" s="150"/>
      <c r="ER160" s="150"/>
      <c r="ES160" s="150"/>
      <c r="ET160" s="150"/>
      <c r="EU160" s="150"/>
      <c r="EV160" s="150"/>
      <c r="EW160" s="150"/>
      <c r="EX160" s="150"/>
      <c r="EY160" s="150"/>
      <c r="EZ160" s="150"/>
      <c r="FA160" s="150"/>
      <c r="FB160" s="150"/>
      <c r="FC160" s="150"/>
      <c r="FD160" s="150"/>
      <c r="FE160" s="150"/>
      <c r="FF160" s="150"/>
      <c r="FG160" s="150"/>
      <c r="FH160" s="150"/>
      <c r="FI160" s="150"/>
      <c r="FJ160" s="150"/>
      <c r="FK160" s="150"/>
      <c r="FL160" s="150"/>
      <c r="FM160" s="150"/>
      <c r="FN160" s="150"/>
      <c r="FO160" s="150"/>
      <c r="FP160" s="150"/>
      <c r="FQ160" s="150"/>
      <c r="FR160" s="150"/>
      <c r="FS160" s="150"/>
      <c r="FT160" s="150"/>
      <c r="FU160" s="150"/>
      <c r="FV160" s="150"/>
      <c r="FW160" s="150"/>
      <c r="FX160" s="150"/>
      <c r="FY160" s="150"/>
      <c r="FZ160" s="150"/>
      <c r="GA160" s="150"/>
      <c r="GB160" s="150"/>
      <c r="GC160" s="150"/>
      <c r="GD160" s="150"/>
      <c r="GE160" s="150"/>
      <c r="GF160" s="150"/>
      <c r="GG160" s="150"/>
      <c r="GH160" s="150"/>
      <c r="GI160" s="150"/>
      <c r="GJ160" s="150"/>
      <c r="GK160" s="150"/>
      <c r="GL160" s="150"/>
      <c r="GM160" s="150"/>
      <c r="GN160" s="150"/>
      <c r="GO160" s="150"/>
      <c r="GP160" s="150"/>
      <c r="GQ160" s="150"/>
      <c r="GR160" s="150"/>
      <c r="GS160" s="150"/>
      <c r="GT160" s="150"/>
      <c r="GU160" s="150"/>
      <c r="GV160" s="150"/>
      <c r="GW160" s="150"/>
      <c r="GX160" s="150"/>
      <c r="GY160" s="150"/>
      <c r="GZ160" s="150"/>
      <c r="HA160" s="150"/>
      <c r="HB160" s="150"/>
      <c r="HC160" s="150"/>
      <c r="HD160" s="150"/>
      <c r="HE160" s="150"/>
      <c r="HF160" s="150"/>
      <c r="HG160" s="150"/>
      <c r="HH160" s="150"/>
    </row>
    <row r="161" spans="1:216" ht="51.75" x14ac:dyDescent="0.25">
      <c r="A161" s="3" t="s">
        <v>443</v>
      </c>
      <c r="B161" s="3"/>
      <c r="C161" s="3" t="s">
        <v>444</v>
      </c>
      <c r="D161" s="9"/>
      <c r="E161" s="9"/>
      <c r="F161" s="9"/>
      <c r="G161" s="9"/>
      <c r="H161" s="9"/>
      <c r="I161" s="9"/>
      <c r="J161" s="9"/>
      <c r="K161" s="9"/>
      <c r="L161" s="360" t="str">
        <f>IF(E165="wbijana","KONSTRUKCJA W-V2G1-25°/30°",IF(E165="betonowana","KONSTRUKCJA W-V2B1-25°/30°",IF(E165="kotwiona","KONSTRUKCJA W-V2K1-25°/30°",IF(E165="wkręcana","KONSTRUKCJA W-V2S1-25°/30°"))))</f>
        <v>KONSTRUKCJA W-V2G1-25°/30°</v>
      </c>
      <c r="M161" s="360"/>
      <c r="N161" s="360"/>
      <c r="O161" s="360"/>
      <c r="P161" s="360"/>
      <c r="Q161" s="360"/>
      <c r="R161" s="360"/>
      <c r="S161" s="360"/>
      <c r="T161" s="360"/>
      <c r="U161" s="360"/>
      <c r="V161" s="62"/>
      <c r="W161" s="170">
        <f>(INDEX(($EL$139:$FI$142,$EL$146:$FI$149,$FL$139:$GI$142,$FL$146:$GI$149),MATCH($L$175,$EK$139:$EK$142,0),MATCH(A169,$EL$138:$FI$138,0),MATCH($G$163,$AE$24:$AE$27,0)))*C169</f>
        <v>0</v>
      </c>
      <c r="X161" s="170">
        <f>(INDEX(($EL$139:$FI$142,$EL$146:$FI$149,$FL$139:$GI$142,$FL$146:$GI$149),MATCH($L$172,$EK$139:$EK$142,0),MATCH(A169,$EL$138:$FI$138,0),MATCH($G$163,$AE$24:$AE$27,0)))*C169</f>
        <v>0</v>
      </c>
      <c r="Y161" s="170">
        <f>(INDEX(($EL$139:$FI$142,$EL$146:$FI$149,$FL$139:$GI$142,$FL$146:$GI$149),MATCH($L$173,$EK$139:$EK$142,0),MATCH(A169,$EL$138:$FI$138,0),MATCH($G$163,$AE$24:$AE$27,0)))*C169</f>
        <v>0</v>
      </c>
      <c r="Z161" s="170">
        <f>(INDEX(($EL$139:$FI$142,$EL$146:$FI$149,$FL$139:$GI$142,$FL$146:$GI$149),MATCH($L$174,$EK$139:$EK$142,0),MATCH(A169,$EL$138:$FI$138,0),MATCH($G$163,$AE$24:$AE$27,0)))*C169</f>
        <v>0</v>
      </c>
      <c r="AA161" s="150">
        <f t="shared" si="357"/>
        <v>0</v>
      </c>
      <c r="AB161" s="150">
        <f t="shared" si="355"/>
        <v>0</v>
      </c>
      <c r="AC161" s="150"/>
      <c r="AD161" s="150"/>
      <c r="AE161" s="150"/>
      <c r="AF161" s="150"/>
      <c r="AG161" s="150"/>
      <c r="AH161" s="150"/>
      <c r="AI161" s="150"/>
      <c r="AJ161" s="150"/>
      <c r="AK161" s="150"/>
      <c r="AL161" s="150"/>
      <c r="AM161" s="150"/>
      <c r="AN161" s="150"/>
      <c r="AO161" s="150">
        <f t="shared" si="356"/>
        <v>1</v>
      </c>
      <c r="AP161" s="150"/>
      <c r="AQ161" s="150"/>
      <c r="AR161" s="150"/>
      <c r="AS161" s="150"/>
      <c r="AT161" s="150"/>
      <c r="AU161" s="150"/>
      <c r="AV161" s="150"/>
      <c r="AW161" s="150"/>
      <c r="AX161" s="150"/>
      <c r="AY161" s="150"/>
      <c r="AZ161" s="150"/>
      <c r="BA161" s="150"/>
      <c r="BB161" s="150"/>
      <c r="BC161" s="150"/>
      <c r="BD161" s="150"/>
      <c r="BE161" s="150"/>
      <c r="BF161" s="150"/>
      <c r="BG161" s="150"/>
      <c r="BH161" s="150"/>
      <c r="BI161" s="150"/>
      <c r="BJ161" s="150"/>
      <c r="BK161" s="150"/>
      <c r="BL161" s="150"/>
      <c r="BM161" s="150"/>
      <c r="BN161" s="150"/>
      <c r="BO161" s="150"/>
      <c r="BP161" s="150"/>
      <c r="BQ161" s="150"/>
      <c r="BR161" s="150"/>
      <c r="BS161" s="150"/>
      <c r="BT161" s="150"/>
      <c r="BU161" s="150"/>
      <c r="BV161" s="150"/>
      <c r="BW161" s="150"/>
      <c r="BX161" s="150"/>
      <c r="BY161" s="150"/>
      <c r="BZ161" s="150"/>
      <c r="CA161" s="150"/>
      <c r="CB161" s="150"/>
      <c r="CC161" s="150"/>
      <c r="CD161" s="150"/>
      <c r="CE161" s="150"/>
      <c r="CF161" s="150"/>
      <c r="CG161" s="150"/>
      <c r="CH161" s="150"/>
      <c r="CI161" s="150"/>
      <c r="CJ161" s="150"/>
      <c r="CK161" s="150"/>
      <c r="CL161" s="150"/>
      <c r="CM161" s="150"/>
      <c r="CN161" s="150"/>
      <c r="CO161" s="150"/>
      <c r="CP161" s="150"/>
      <c r="CQ161" s="150"/>
      <c r="CR161" s="150"/>
      <c r="CS161" s="150"/>
      <c r="CT161" s="150"/>
      <c r="CU161" s="150"/>
      <c r="CV161" s="150"/>
      <c r="CW161" s="150"/>
      <c r="CX161" s="150"/>
      <c r="CY161" s="150"/>
      <c r="CZ161" s="150"/>
      <c r="DA161" s="150"/>
      <c r="DB161" s="150"/>
      <c r="DC161" s="150"/>
      <c r="DD161" s="150"/>
      <c r="DE161" s="150"/>
      <c r="DF161" s="150"/>
      <c r="DG161" s="150"/>
      <c r="DH161" s="150"/>
      <c r="DI161" s="150"/>
      <c r="DJ161" s="150"/>
      <c r="DK161" s="150"/>
      <c r="DL161" s="150"/>
      <c r="DM161" s="150"/>
      <c r="DN161" s="150"/>
      <c r="DO161" s="150"/>
      <c r="DP161" s="150"/>
      <c r="DQ161" s="181"/>
      <c r="DR161" s="181"/>
      <c r="DS161" s="181"/>
      <c r="DT161" s="150"/>
      <c r="DU161" s="150"/>
      <c r="DV161" s="150"/>
      <c r="DW161" s="150"/>
      <c r="DX161" s="150"/>
      <c r="DY161" s="150"/>
      <c r="DZ161" s="150"/>
      <c r="EA161" s="150"/>
      <c r="EB161" s="150"/>
      <c r="EC161" s="150"/>
      <c r="ED161" s="150"/>
      <c r="EE161" s="150"/>
      <c r="EF161" s="150"/>
      <c r="EG161" s="150"/>
      <c r="EH161" s="150"/>
      <c r="EI161" s="150"/>
      <c r="EJ161" s="150"/>
      <c r="EK161" s="150"/>
      <c r="EL161" s="150"/>
      <c r="EM161" s="150"/>
      <c r="EN161" s="150"/>
      <c r="EO161" s="150"/>
      <c r="EP161" s="150"/>
      <c r="EQ161" s="150"/>
      <c r="ER161" s="150"/>
      <c r="ES161" s="150"/>
      <c r="ET161" s="150"/>
      <c r="EU161" s="150"/>
      <c r="EV161" s="150"/>
      <c r="EW161" s="150"/>
      <c r="EX161" s="150"/>
      <c r="EY161" s="150"/>
      <c r="EZ161" s="150"/>
      <c r="FA161" s="150"/>
      <c r="FB161" s="150"/>
      <c r="FC161" s="150"/>
      <c r="FD161" s="150"/>
      <c r="FE161" s="150"/>
      <c r="FF161" s="150"/>
      <c r="FG161" s="150"/>
      <c r="FH161" s="150"/>
      <c r="FI161" s="150"/>
      <c r="FJ161" s="150"/>
      <c r="FK161" s="150"/>
      <c r="FL161" s="150"/>
      <c r="FM161" s="150"/>
      <c r="FN161" s="150"/>
      <c r="FO161" s="150"/>
      <c r="FP161" s="150"/>
      <c r="FQ161" s="150"/>
      <c r="FR161" s="150"/>
      <c r="FS161" s="150"/>
      <c r="FT161" s="150"/>
      <c r="FU161" s="150"/>
      <c r="FV161" s="150"/>
      <c r="FW161" s="150"/>
      <c r="FX161" s="150"/>
      <c r="FY161" s="150"/>
      <c r="FZ161" s="150"/>
      <c r="GA161" s="150"/>
      <c r="GB161" s="150"/>
      <c r="GC161" s="150"/>
      <c r="GD161" s="150"/>
      <c r="GE161" s="150"/>
      <c r="GF161" s="150"/>
      <c r="GG161" s="150"/>
      <c r="GH161" s="150"/>
      <c r="GI161" s="150"/>
      <c r="GJ161" s="150"/>
      <c r="GK161" s="150"/>
      <c r="GL161" s="150"/>
      <c r="GM161" s="150"/>
      <c r="GN161" s="150"/>
      <c r="GO161" s="150"/>
      <c r="GP161" s="150"/>
      <c r="GQ161" s="150"/>
      <c r="GR161" s="150"/>
      <c r="GS161" s="150"/>
      <c r="GT161" s="150"/>
      <c r="GU161" s="150"/>
      <c r="GV161" s="150"/>
      <c r="GW161" s="150"/>
      <c r="GX161" s="150"/>
      <c r="GY161" s="150"/>
      <c r="GZ161" s="150"/>
      <c r="HA161" s="150"/>
      <c r="HB161" s="150"/>
      <c r="HC161" s="150"/>
      <c r="HD161" s="150"/>
      <c r="HE161" s="150"/>
      <c r="HF161" s="150"/>
      <c r="HG161" s="150"/>
      <c r="HH161" s="150"/>
    </row>
    <row r="162" spans="1:216" x14ac:dyDescent="0.25">
      <c r="A162" s="8"/>
      <c r="B162" s="5" t="s">
        <v>116</v>
      </c>
      <c r="C162" s="8"/>
      <c r="D162" s="9"/>
      <c r="E162" s="1"/>
      <c r="F162" s="9"/>
      <c r="G162" s="9"/>
      <c r="H162" s="9"/>
      <c r="I162" s="9"/>
      <c r="J162" s="9"/>
      <c r="K162" s="9"/>
      <c r="L162" s="5" t="s">
        <v>103</v>
      </c>
      <c r="M162" s="5" t="s">
        <v>104</v>
      </c>
      <c r="N162" s="5" t="s">
        <v>107</v>
      </c>
      <c r="O162" s="5" t="s">
        <v>290</v>
      </c>
      <c r="P162" s="5" t="s">
        <v>446</v>
      </c>
      <c r="Q162" s="5" t="s">
        <v>448</v>
      </c>
      <c r="R162" s="5" t="s">
        <v>409</v>
      </c>
      <c r="S162" s="5" t="s">
        <v>447</v>
      </c>
      <c r="T162" s="5" t="s">
        <v>449</v>
      </c>
      <c r="U162" s="5" t="s">
        <v>106</v>
      </c>
      <c r="V162" s="150"/>
      <c r="W162" s="170">
        <f>(INDEX(($EL$139:$FI$142,$EL$146:$FI$149,$FL$139:$GI$142,$FL$146:$GI$149),MATCH($L$175,$EK$139:$EK$142,0),MATCH(A170,$EL$138:$FI$138,0),MATCH($G$163,$AE$24:$AE$27,0)))*C170</f>
        <v>0</v>
      </c>
      <c r="X162" s="170">
        <f>(INDEX(($EL$139:$FI$142,$EL$146:$FI$149,$FL$139:$GI$142,$FL$146:$GI$149),MATCH($L$172,$EK$139:$EK$142,0),MATCH(A170,$EL$138:$FI$138,0),MATCH($G$163,$AE$24:$AE$27,0)))*C170</f>
        <v>0</v>
      </c>
      <c r="Y162" s="170">
        <f>(INDEX(($EL$139:$FI$142,$EL$146:$FI$149,$FL$139:$GI$142,$FL$146:$GI$149),MATCH($L$173,$EK$139:$EK$142,0),MATCH(A170,$EL$138:$FI$138,0),MATCH($G$163,$AE$24:$AE$27,0)))*C170</f>
        <v>0</v>
      </c>
      <c r="Z162" s="170">
        <f>(INDEX(($EL$139:$FI$142,$EL$146:$FI$149,$FL$139:$GI$142,$FL$146:$GI$149),MATCH($L$174,$EK$139:$EK$142,0),MATCH(A170,$EL$138:$FI$138,0),MATCH($G$163,$AE$24:$AE$27,0)))*C170</f>
        <v>0</v>
      </c>
      <c r="AA162" s="150">
        <f t="shared" si="357"/>
        <v>0</v>
      </c>
      <c r="AB162" s="150">
        <f t="shared" si="355"/>
        <v>0</v>
      </c>
      <c r="AC162" s="150"/>
      <c r="AD162" s="150"/>
      <c r="AE162" s="150"/>
      <c r="AF162" s="150"/>
      <c r="AG162" s="150"/>
      <c r="AH162" s="150"/>
      <c r="AI162" s="150"/>
      <c r="AJ162" s="150"/>
      <c r="AK162" s="150"/>
      <c r="AL162" s="150"/>
      <c r="AM162" s="150"/>
      <c r="AN162" s="150"/>
      <c r="AO162" s="150">
        <f t="shared" si="356"/>
        <v>1</v>
      </c>
      <c r="AP162" s="150"/>
      <c r="AQ162" s="150"/>
      <c r="AR162" s="150"/>
      <c r="AS162" s="150"/>
      <c r="AT162" s="150"/>
      <c r="AU162" s="150"/>
      <c r="AV162" s="150"/>
      <c r="AW162" s="150"/>
      <c r="AX162" s="150"/>
      <c r="AY162" s="150"/>
      <c r="AZ162" s="150"/>
      <c r="BA162" s="150"/>
      <c r="BB162" s="150"/>
      <c r="BC162" s="150"/>
      <c r="BD162" s="150"/>
      <c r="BE162" s="150"/>
      <c r="BF162" s="150"/>
      <c r="BG162" s="150"/>
      <c r="BH162" s="150"/>
      <c r="BI162" s="150"/>
      <c r="BJ162" s="150"/>
      <c r="BK162" s="150"/>
      <c r="BL162" s="150"/>
      <c r="BM162" s="150"/>
      <c r="BN162" s="150"/>
      <c r="BO162" s="150"/>
      <c r="BP162" s="150"/>
      <c r="BQ162" s="150"/>
      <c r="BR162" s="150"/>
      <c r="BS162" s="150"/>
      <c r="BT162" s="150"/>
      <c r="BU162" s="150"/>
      <c r="BV162" s="150"/>
      <c r="BW162" s="150"/>
      <c r="BX162" s="150"/>
      <c r="BY162" s="150"/>
      <c r="BZ162" s="150"/>
      <c r="CA162" s="150"/>
      <c r="CB162" s="150"/>
      <c r="CC162" s="150"/>
      <c r="CD162" s="150"/>
      <c r="CE162" s="150"/>
      <c r="CF162" s="150"/>
      <c r="CG162" s="150"/>
      <c r="CH162" s="150"/>
      <c r="CI162" s="150"/>
      <c r="CJ162" s="150"/>
      <c r="CK162" s="150"/>
      <c r="CL162" s="150"/>
      <c r="CM162" s="150"/>
      <c r="CN162" s="150"/>
      <c r="CO162" s="150"/>
      <c r="CP162" s="150"/>
      <c r="CQ162" s="150"/>
      <c r="CR162" s="150"/>
      <c r="CS162" s="150"/>
      <c r="CT162" s="150"/>
      <c r="CU162" s="150"/>
      <c r="CV162" s="150"/>
      <c r="CW162" s="150"/>
      <c r="CX162" s="150"/>
      <c r="CY162" s="150"/>
      <c r="CZ162" s="150"/>
      <c r="DA162" s="150"/>
      <c r="DB162" s="150"/>
      <c r="DC162" s="150"/>
      <c r="DD162" s="150"/>
      <c r="DE162" s="150"/>
      <c r="DF162" s="150"/>
      <c r="DG162" s="150"/>
      <c r="DH162" s="150"/>
      <c r="DI162" s="150"/>
      <c r="DJ162" s="150"/>
      <c r="DK162" s="150"/>
      <c r="DL162" s="150"/>
      <c r="DM162" s="150"/>
      <c r="DN162" s="150"/>
      <c r="DO162" s="150"/>
      <c r="DP162" s="150"/>
      <c r="DQ162" s="181"/>
      <c r="DR162" s="181"/>
      <c r="DS162" s="181"/>
      <c r="DT162" s="150"/>
      <c r="DU162" s="150"/>
      <c r="DV162" s="150"/>
      <c r="DW162" s="150"/>
      <c r="DX162" s="150"/>
      <c r="DY162" s="150"/>
      <c r="DZ162" s="150"/>
      <c r="EA162" s="150"/>
      <c r="EB162" s="150"/>
      <c r="EC162" s="150"/>
      <c r="ED162" s="150"/>
      <c r="EE162" s="150"/>
      <c r="EF162" s="150"/>
      <c r="EG162" s="150"/>
      <c r="EH162" s="150"/>
      <c r="EI162" s="150"/>
      <c r="EJ162" s="150"/>
      <c r="EK162" s="150"/>
      <c r="EL162" s="150"/>
      <c r="EM162" s="150"/>
      <c r="EN162" s="150"/>
      <c r="EO162" s="150"/>
      <c r="EP162" s="150"/>
      <c r="EQ162" s="150"/>
      <c r="ER162" s="150"/>
      <c r="ES162" s="150"/>
      <c r="ET162" s="150"/>
      <c r="EU162" s="150"/>
      <c r="EV162" s="150"/>
      <c r="EW162" s="150"/>
      <c r="EX162" s="150"/>
      <c r="EY162" s="150"/>
      <c r="EZ162" s="150"/>
      <c r="FA162" s="150"/>
      <c r="FB162" s="150"/>
      <c r="FC162" s="150"/>
      <c r="FD162" s="150"/>
      <c r="FE162" s="150"/>
      <c r="FF162" s="150"/>
      <c r="FG162" s="150"/>
      <c r="FH162" s="150"/>
      <c r="FI162" s="150"/>
      <c r="FJ162" s="150"/>
      <c r="FK162" s="150"/>
      <c r="FL162" s="150"/>
      <c r="FM162" s="150"/>
      <c r="FN162" s="150"/>
      <c r="FO162" s="150"/>
      <c r="FP162" s="150"/>
      <c r="FQ162" s="150"/>
      <c r="FR162" s="150"/>
      <c r="FS162" s="150"/>
      <c r="FT162" s="150"/>
      <c r="FU162" s="150"/>
      <c r="FV162" s="150"/>
      <c r="FW162" s="150"/>
      <c r="FX162" s="150"/>
      <c r="FY162" s="150"/>
      <c r="FZ162" s="150"/>
      <c r="GA162" s="150"/>
      <c r="GB162" s="150"/>
      <c r="GC162" s="150"/>
      <c r="GD162" s="150"/>
      <c r="GE162" s="150"/>
      <c r="GF162" s="150"/>
      <c r="GG162" s="150"/>
      <c r="GH162" s="150"/>
      <c r="GI162" s="150"/>
      <c r="GJ162" s="150"/>
      <c r="GK162" s="150"/>
      <c r="GL162" s="150"/>
      <c r="GM162" s="150"/>
      <c r="GN162" s="150"/>
      <c r="GO162" s="150"/>
      <c r="GP162" s="150"/>
      <c r="GQ162" s="150"/>
      <c r="GR162" s="150"/>
      <c r="GS162" s="150"/>
      <c r="GT162" s="150"/>
      <c r="GU162" s="150"/>
      <c r="GV162" s="150"/>
      <c r="GW162" s="150"/>
      <c r="GX162" s="150"/>
      <c r="GY162" s="150"/>
      <c r="GZ162" s="150"/>
      <c r="HA162" s="150"/>
      <c r="HB162" s="150"/>
      <c r="HC162" s="150"/>
      <c r="HD162" s="150"/>
      <c r="HE162" s="150"/>
      <c r="HF162" s="150"/>
      <c r="HG162" s="150"/>
      <c r="HH162" s="150"/>
    </row>
    <row r="163" spans="1:216" x14ac:dyDescent="0.25">
      <c r="A163" s="8"/>
      <c r="B163" s="5" t="s">
        <v>116</v>
      </c>
      <c r="C163" s="8"/>
      <c r="D163" s="6" t="s">
        <v>118</v>
      </c>
      <c r="E163" s="8" t="s">
        <v>132</v>
      </c>
      <c r="F163" s="5" t="s">
        <v>116</v>
      </c>
      <c r="G163" s="8" t="s">
        <v>115</v>
      </c>
      <c r="H163" s="5" t="s">
        <v>116</v>
      </c>
      <c r="I163" s="8">
        <v>35</v>
      </c>
      <c r="J163" s="5" t="s">
        <v>119</v>
      </c>
      <c r="K163" s="9"/>
      <c r="L163" s="7" t="str">
        <f>IF(E165=$AC$5,"-------",IF(E165=$AC$6,"-------",IF(E165=$AC$7,"-------",IF(E165=$AC$8,IF(E174=$DS$10,"GSW76X1600N",IF(E174=$DS$11,"GSW76X2200N","")),0))))</f>
        <v>-------</v>
      </c>
      <c r="M163" s="11" t="str">
        <f>INDEX(cennik!$C$2:$L$529,MATCH($L163,cennik!$B$2:$B$522,0),MATCH(M$2,cennik!$C$1:$L$1,0))</f>
        <v>-------</v>
      </c>
      <c r="N163" s="11">
        <f>INDEX(cennik!$C$2:$L$529,MATCH($L163,cennik!$B$2:$B$522,0),MATCH(N$2,cennik!$C$1:$L$1,0))</f>
        <v>0</v>
      </c>
      <c r="O163" s="11">
        <f>IF(L163="-------",0,O165)</f>
        <v>0</v>
      </c>
      <c r="P163" s="34">
        <f>INDEX(cennik!$C$2:$L$529,MATCH($L163,cennik!$B$2:$B$522,0),MATCH(P$2,cennik!$C$1:$L$1,0))</f>
        <v>0</v>
      </c>
      <c r="Q163" s="34">
        <f>O163*P163</f>
        <v>0</v>
      </c>
      <c r="R163" s="35">
        <f t="shared" ref="R163:R186" si="360">$E$167</f>
        <v>0</v>
      </c>
      <c r="S163" s="34">
        <f t="shared" ref="S163:S186" si="361">P163*((100-$E$167)/100)</f>
        <v>0</v>
      </c>
      <c r="T163" s="34">
        <f>O163*S163</f>
        <v>0</v>
      </c>
      <c r="U163" s="34">
        <f>INDEX(cennik!$C$2:$L$529,MATCH($L163,cennik!$B$2:$B$522,0),MATCH(U$2,cennik!$C$1:$L$1,0))*O163</f>
        <v>0</v>
      </c>
      <c r="V163" s="150"/>
      <c r="W163" s="170">
        <f>(INDEX(($EL$139:$FI$142,$EL$146:$FI$149,$FL$139:$GI$142,$FL$146:$GI$149),MATCH($L$175,$EK$139:$EK$142,0),MATCH(A171,$EL$138:$FI$138,0),MATCH($G$163,$AE$24:$AE$27,0)))*C171</f>
        <v>0</v>
      </c>
      <c r="X163" s="170">
        <f>(INDEX(($EL$139:$FI$142,$EL$146:$FI$149,$FL$139:$GI$142,$FL$146:$GI$149),MATCH($L$172,$EK$139:$EK$142,0),MATCH(A171,$EL$138:$FI$138,0),MATCH($G$163,$AE$24:$AE$27,0)))*C171</f>
        <v>0</v>
      </c>
      <c r="Y163" s="170">
        <f>(INDEX(($EL$139:$FI$142,$EL$146:$FI$149,$FL$139:$GI$142,$FL$146:$GI$149),MATCH($L$173,$EK$139:$EK$142,0),MATCH(A171,$EL$138:$FI$138,0),MATCH($G$163,$AE$24:$AE$27,0)))*C171</f>
        <v>0</v>
      </c>
      <c r="Z163" s="170">
        <f>(INDEX(($EL$139:$FI$142,$EL$146:$FI$149,$FL$139:$GI$142,$FL$146:$GI$149),MATCH($L$174,$EK$139:$EK$142,0),MATCH(A171,$EL$138:$FI$138,0),MATCH($G$163,$AE$24:$AE$27,0)))*C171</f>
        <v>0</v>
      </c>
      <c r="AA163" s="150">
        <f t="shared" si="357"/>
        <v>0</v>
      </c>
      <c r="AB163" s="150">
        <f t="shared" si="355"/>
        <v>0</v>
      </c>
      <c r="AC163" s="150"/>
      <c r="AD163" s="150"/>
      <c r="AE163" s="150"/>
      <c r="AF163" s="150"/>
      <c r="AG163" s="150"/>
      <c r="AH163" s="150"/>
      <c r="AI163" s="150"/>
      <c r="AJ163" s="150"/>
      <c r="AK163" s="150"/>
      <c r="AL163" s="150"/>
      <c r="AM163" s="150"/>
      <c r="AN163" s="150"/>
      <c r="AO163" s="150">
        <f t="shared" si="356"/>
        <v>1</v>
      </c>
      <c r="AP163" s="150"/>
      <c r="AQ163" s="150"/>
      <c r="AR163" s="150"/>
      <c r="AS163" s="150"/>
      <c r="AT163" s="150"/>
      <c r="AU163" s="150"/>
      <c r="AV163" s="150"/>
      <c r="AW163" s="150"/>
      <c r="AX163" s="150"/>
      <c r="AY163" s="150"/>
      <c r="AZ163" s="150"/>
      <c r="BA163" s="150"/>
      <c r="BB163" s="150"/>
      <c r="BC163" s="150"/>
      <c r="BD163" s="150"/>
      <c r="BE163" s="150"/>
      <c r="BF163" s="150"/>
      <c r="BG163" s="150"/>
      <c r="BH163" s="150"/>
      <c r="BI163" s="150"/>
      <c r="BJ163" s="150"/>
      <c r="BK163" s="150"/>
      <c r="BL163" s="150"/>
      <c r="BM163" s="150"/>
      <c r="BN163" s="150"/>
      <c r="BO163" s="150"/>
      <c r="BP163" s="150"/>
      <c r="BQ163" s="150"/>
      <c r="BR163" s="150"/>
      <c r="BS163" s="150"/>
      <c r="BT163" s="150"/>
      <c r="BU163" s="150"/>
      <c r="BV163" s="150"/>
      <c r="BW163" s="150"/>
      <c r="BX163" s="150"/>
      <c r="BY163" s="150"/>
      <c r="BZ163" s="150"/>
      <c r="CA163" s="150"/>
      <c r="CB163" s="150"/>
      <c r="CC163" s="150"/>
      <c r="CD163" s="150"/>
      <c r="CE163" s="150"/>
      <c r="CF163" s="150"/>
      <c r="CG163" s="150"/>
      <c r="CH163" s="150"/>
      <c r="CI163" s="150"/>
      <c r="CJ163" s="150"/>
      <c r="CK163" s="150"/>
      <c r="CL163" s="150"/>
      <c r="CM163" s="150"/>
      <c r="CN163" s="150"/>
      <c r="CO163" s="150"/>
      <c r="CP163" s="150"/>
      <c r="CQ163" s="150"/>
      <c r="CR163" s="150"/>
      <c r="CS163" s="150"/>
      <c r="CT163" s="150"/>
      <c r="CU163" s="150"/>
      <c r="CV163" s="150"/>
      <c r="CW163" s="150"/>
      <c r="CX163" s="150"/>
      <c r="CY163" s="150"/>
      <c r="CZ163" s="150"/>
      <c r="DA163" s="150"/>
      <c r="DB163" s="150"/>
      <c r="DC163" s="150"/>
      <c r="DD163" s="150"/>
      <c r="DE163" s="150"/>
      <c r="DF163" s="150"/>
      <c r="DG163" s="150"/>
      <c r="DH163" s="150"/>
      <c r="DI163" s="150"/>
      <c r="DJ163" s="150"/>
      <c r="DK163" s="150"/>
      <c r="DL163" s="150"/>
      <c r="DM163" s="150"/>
      <c r="DN163" s="150"/>
      <c r="DO163" s="150"/>
      <c r="DP163" s="150"/>
      <c r="DQ163" s="181"/>
      <c r="DR163" s="181"/>
      <c r="DS163" s="181"/>
      <c r="DT163" s="150"/>
      <c r="DU163" s="150"/>
      <c r="DV163" s="150"/>
      <c r="DW163" s="150"/>
      <c r="DX163" s="150"/>
      <c r="DY163" s="150"/>
      <c r="DZ163" s="150"/>
      <c r="EA163" s="150"/>
      <c r="EB163" s="150"/>
      <c r="EC163" s="150"/>
      <c r="ED163" s="150"/>
      <c r="EE163" s="150"/>
      <c r="EF163" s="150"/>
      <c r="EG163" s="150"/>
      <c r="EH163" s="150"/>
      <c r="EI163" s="150"/>
      <c r="EJ163" s="150"/>
      <c r="EK163" s="150"/>
      <c r="EL163" s="150"/>
      <c r="EM163" s="150"/>
      <c r="EN163" s="150"/>
      <c r="EO163" s="150"/>
      <c r="EP163" s="150"/>
      <c r="EQ163" s="150"/>
      <c r="ER163" s="150"/>
      <c r="ES163" s="150"/>
      <c r="ET163" s="150"/>
      <c r="EU163" s="150"/>
      <c r="EV163" s="150"/>
      <c r="EW163" s="150"/>
      <c r="EX163" s="150"/>
      <c r="EY163" s="150"/>
      <c r="EZ163" s="150"/>
      <c r="FA163" s="150"/>
      <c r="FB163" s="150"/>
      <c r="FC163" s="150"/>
      <c r="FD163" s="150"/>
      <c r="FE163" s="150"/>
      <c r="FF163" s="150"/>
      <c r="FG163" s="150"/>
      <c r="FH163" s="150"/>
      <c r="FI163" s="150"/>
      <c r="FJ163" s="150"/>
      <c r="FK163" s="150"/>
      <c r="FL163" s="150"/>
      <c r="FM163" s="150"/>
      <c r="FN163" s="150"/>
      <c r="FO163" s="150"/>
      <c r="FP163" s="150"/>
      <c r="FQ163" s="150"/>
      <c r="FR163" s="150"/>
      <c r="FS163" s="150"/>
      <c r="FT163" s="150"/>
      <c r="FU163" s="150"/>
      <c r="FV163" s="150"/>
      <c r="FW163" s="150"/>
      <c r="FX163" s="150"/>
      <c r="FY163" s="150"/>
      <c r="FZ163" s="150"/>
      <c r="GA163" s="150"/>
      <c r="GB163" s="150"/>
      <c r="GC163" s="150"/>
      <c r="GD163" s="150"/>
      <c r="GE163" s="150"/>
      <c r="GF163" s="150"/>
      <c r="GG163" s="150"/>
      <c r="GH163" s="150"/>
      <c r="GI163" s="150"/>
      <c r="GJ163" s="150"/>
      <c r="GK163" s="150"/>
      <c r="GL163" s="150"/>
      <c r="GM163" s="150"/>
      <c r="GN163" s="150"/>
      <c r="GO163" s="150"/>
      <c r="GP163" s="150"/>
      <c r="GQ163" s="150"/>
      <c r="GR163" s="150"/>
      <c r="GS163" s="150"/>
      <c r="GT163" s="150"/>
      <c r="GU163" s="150"/>
      <c r="GV163" s="150"/>
      <c r="GW163" s="150"/>
      <c r="GX163" s="150"/>
      <c r="GY163" s="150"/>
      <c r="GZ163" s="150"/>
      <c r="HA163" s="150"/>
      <c r="HB163" s="150"/>
      <c r="HC163" s="150"/>
      <c r="HD163" s="150"/>
      <c r="HE163" s="150"/>
      <c r="HF163" s="150"/>
      <c r="HG163" s="150"/>
      <c r="HH163" s="150"/>
    </row>
    <row r="164" spans="1:216" x14ac:dyDescent="0.25">
      <c r="A164" s="8"/>
      <c r="B164" s="5" t="s">
        <v>116</v>
      </c>
      <c r="C164" s="8"/>
      <c r="D164" s="6" t="s">
        <v>124</v>
      </c>
      <c r="E164" s="8" t="s">
        <v>144</v>
      </c>
      <c r="F164" s="5"/>
      <c r="G164" s="5"/>
      <c r="H164" s="5"/>
      <c r="I164" s="5"/>
      <c r="J164" s="5"/>
      <c r="K164" s="9"/>
      <c r="L164" s="7" t="str">
        <f>IF(E165=$AC$5,"-------",IF(E165=$AC$6,"-------",IF(E165=$AC$7,"PCB100",IF(E165=$AC$8,"PCS100",0))))</f>
        <v>-------</v>
      </c>
      <c r="M164" s="11" t="str">
        <f>INDEX(cennik!$C$2:$L$529,MATCH($L164,cennik!$B$2:$B$522,0),MATCH(M$2,cennik!$C$1:$L$1,0))</f>
        <v>-------</v>
      </c>
      <c r="N164" s="11">
        <f>INDEX(cennik!$C$2:$L$529,MATCH($L164,cennik!$B$2:$B$522,0),MATCH(N$2,cennik!$C$1:$L$1,0))</f>
        <v>0</v>
      </c>
      <c r="O164" s="11">
        <f>IF(E165=AC7,SUM(O165),IF(E165=AC8,SUM(O165),IF(E165=AC5,0,IF(E165=AC6,0,0))))</f>
        <v>0</v>
      </c>
      <c r="P164" s="34">
        <f>INDEX(cennik!$C$2:$L$529,MATCH($L164,cennik!$B$2:$B$522,0),MATCH(P$2,cennik!$C$1:$L$1,0))</f>
        <v>0</v>
      </c>
      <c r="Q164" s="34">
        <f>O164*P164</f>
        <v>0</v>
      </c>
      <c r="R164" s="35">
        <f t="shared" si="360"/>
        <v>0</v>
      </c>
      <c r="S164" s="34">
        <f t="shared" si="361"/>
        <v>0</v>
      </c>
      <c r="T164" s="34">
        <f>O164*S164</f>
        <v>0</v>
      </c>
      <c r="U164" s="34">
        <f>INDEX(cennik!$C$2:$L$529,MATCH($L164,cennik!$B$2:$B$522,0),MATCH(U$2,cennik!$C$1:$L$1,0))*O164</f>
        <v>0</v>
      </c>
      <c r="V164" s="150"/>
      <c r="W164" s="170">
        <f>(INDEX(($EL$139:$FI$142,$EL$146:$FI$149,$FL$139:$GI$142,$FL$146:$GI$149),MATCH($L$175,$EK$139:$EK$142,0),MATCH(A172,$EL$138:$FI$138,0),MATCH($G$163,$AE$24:$AE$27,0)))*C172</f>
        <v>0</v>
      </c>
      <c r="X164" s="170">
        <f>(INDEX(($EL$139:$FI$142,$EL$146:$FI$149,$FL$139:$GI$142,$FL$146:$GI$149),MATCH($L$172,$EK$139:$EK$142,0),MATCH(A172,$EL$138:$FI$138,0),MATCH($G$163,$AE$24:$AE$27,0)))*C172</f>
        <v>0</v>
      </c>
      <c r="Y164" s="170">
        <f>(INDEX(($EL$139:$FI$142,$EL$146:$FI$149,$FL$139:$GI$142,$FL$146:$GI$149),MATCH($L$173,$EK$139:$EK$142,0),MATCH(A172,$EL$138:$FI$138,0),MATCH($G$163,$AE$24:$AE$27,0)))*C172</f>
        <v>0</v>
      </c>
      <c r="Z164" s="170">
        <f>(INDEX(($EL$139:$FI$142,$EL$146:$FI$149,$FL$139:$GI$142,$FL$146:$GI$149),MATCH($L$174,$EK$139:$EK$142,0),MATCH(A172,$EL$138:$FI$138,0),MATCH($G$163,$AE$24:$AE$27,0)))*C172</f>
        <v>0</v>
      </c>
      <c r="AA164" s="150">
        <f t="shared" si="357"/>
        <v>0</v>
      </c>
      <c r="AB164" s="150">
        <f t="shared" si="355"/>
        <v>0</v>
      </c>
      <c r="AC164" s="150"/>
      <c r="AD164" s="150"/>
      <c r="AE164" s="150"/>
      <c r="AF164" s="150"/>
      <c r="AG164" s="150"/>
      <c r="AH164" s="150"/>
      <c r="AI164" s="150"/>
      <c r="AJ164" s="150"/>
      <c r="AK164" s="150"/>
      <c r="AL164" s="150"/>
      <c r="AM164" s="150"/>
      <c r="AN164" s="150"/>
      <c r="AO164" s="150">
        <f t="shared" si="356"/>
        <v>1</v>
      </c>
      <c r="AP164" s="150"/>
      <c r="AQ164" s="150"/>
      <c r="AR164" s="150"/>
      <c r="AS164" s="150"/>
      <c r="AT164" s="150"/>
      <c r="AU164" s="150"/>
      <c r="AV164" s="150"/>
      <c r="AW164" s="150"/>
      <c r="AX164" s="150"/>
      <c r="AY164" s="150"/>
      <c r="AZ164" s="150"/>
      <c r="BA164" s="150"/>
      <c r="BB164" s="150"/>
      <c r="BC164" s="150"/>
      <c r="BD164" s="150"/>
      <c r="BE164" s="150"/>
      <c r="BF164" s="150"/>
      <c r="BG164" s="150"/>
      <c r="BH164" s="150"/>
      <c r="BI164" s="150"/>
      <c r="BJ164" s="150"/>
      <c r="BK164" s="150"/>
      <c r="BL164" s="150"/>
      <c r="BM164" s="150"/>
      <c r="BN164" s="150"/>
      <c r="BO164" s="150"/>
      <c r="BP164" s="150"/>
      <c r="BQ164" s="150"/>
      <c r="BR164" s="150"/>
      <c r="BS164" s="150"/>
      <c r="BT164" s="150"/>
      <c r="BU164" s="150"/>
      <c r="BV164" s="150"/>
      <c r="BW164" s="150"/>
      <c r="BX164" s="150"/>
      <c r="BY164" s="150"/>
      <c r="BZ164" s="150"/>
      <c r="CA164" s="150"/>
      <c r="CB164" s="150"/>
      <c r="CC164" s="150"/>
      <c r="CD164" s="150"/>
      <c r="CE164" s="150"/>
      <c r="CF164" s="150"/>
      <c r="CG164" s="150"/>
      <c r="CH164" s="150"/>
      <c r="CI164" s="150"/>
      <c r="CJ164" s="150"/>
      <c r="CK164" s="150"/>
      <c r="CL164" s="150"/>
      <c r="CM164" s="150"/>
      <c r="CN164" s="150"/>
      <c r="CO164" s="150"/>
      <c r="CP164" s="150"/>
      <c r="CQ164" s="150"/>
      <c r="CR164" s="150"/>
      <c r="CS164" s="150"/>
      <c r="CT164" s="150"/>
      <c r="CU164" s="150"/>
      <c r="CV164" s="150"/>
      <c r="CW164" s="150"/>
      <c r="CX164" s="150"/>
      <c r="CY164" s="150"/>
      <c r="CZ164" s="150"/>
      <c r="DA164" s="150"/>
      <c r="DB164" s="150"/>
      <c r="DC164" s="150"/>
      <c r="DD164" s="150"/>
      <c r="DE164" s="150"/>
      <c r="DF164" s="150"/>
      <c r="DG164" s="150"/>
      <c r="DH164" s="150"/>
      <c r="DI164" s="150"/>
      <c r="DJ164" s="150"/>
      <c r="DK164" s="150"/>
      <c r="DL164" s="150"/>
      <c r="DM164" s="150"/>
      <c r="DN164" s="150"/>
      <c r="DO164" s="150"/>
      <c r="DP164" s="150"/>
      <c r="DQ164" s="181"/>
      <c r="DR164" s="181"/>
      <c r="DS164" s="181"/>
      <c r="DT164" s="150"/>
      <c r="DU164" s="150"/>
      <c r="DV164" s="150"/>
      <c r="DW164" s="150"/>
      <c r="DX164" s="150"/>
      <c r="DY164" s="150"/>
      <c r="DZ164" s="150"/>
      <c r="EA164" s="150"/>
      <c r="EB164" s="150"/>
      <c r="EC164" s="150"/>
      <c r="ED164" s="150"/>
      <c r="EE164" s="150"/>
      <c r="EF164" s="150"/>
      <c r="EG164" s="150"/>
      <c r="EH164" s="150"/>
      <c r="EI164" s="150"/>
      <c r="EJ164" s="150"/>
      <c r="EK164" s="150"/>
      <c r="EL164" s="150"/>
      <c r="EM164" s="150"/>
      <c r="EN164" s="150"/>
      <c r="EO164" s="150"/>
      <c r="EP164" s="150"/>
      <c r="EQ164" s="150"/>
      <c r="ER164" s="150"/>
      <c r="ES164" s="150"/>
      <c r="ET164" s="150"/>
      <c r="EU164" s="150"/>
      <c r="EV164" s="150"/>
      <c r="EW164" s="150"/>
      <c r="EX164" s="150"/>
      <c r="EY164" s="150"/>
      <c r="EZ164" s="150"/>
      <c r="FA164" s="150"/>
      <c r="FB164" s="150"/>
      <c r="FC164" s="150"/>
      <c r="FD164" s="150"/>
      <c r="FE164" s="150"/>
      <c r="FF164" s="150"/>
      <c r="FG164" s="150"/>
      <c r="FH164" s="150"/>
      <c r="FI164" s="150"/>
      <c r="FJ164" s="150"/>
      <c r="FK164" s="150"/>
      <c r="FL164" s="150"/>
      <c r="FM164" s="150"/>
      <c r="FN164" s="150"/>
      <c r="FO164" s="150"/>
      <c r="FP164" s="150"/>
      <c r="FQ164" s="150"/>
      <c r="FR164" s="150"/>
      <c r="FS164" s="150"/>
      <c r="FT164" s="150"/>
      <c r="FU164" s="150"/>
      <c r="FV164" s="150"/>
      <c r="FW164" s="150"/>
      <c r="FX164" s="150"/>
      <c r="FY164" s="150"/>
      <c r="FZ164" s="150"/>
      <c r="GA164" s="150"/>
      <c r="GB164" s="150"/>
      <c r="GC164" s="150"/>
      <c r="GD164" s="150"/>
      <c r="GE164" s="150"/>
      <c r="GF164" s="150"/>
      <c r="GG164" s="150"/>
      <c r="GH164" s="150"/>
      <c r="GI164" s="150"/>
      <c r="GJ164" s="150"/>
      <c r="GK164" s="150"/>
      <c r="GL164" s="150"/>
      <c r="GM164" s="150"/>
      <c r="GN164" s="150"/>
      <c r="GO164" s="150"/>
      <c r="GP164" s="150"/>
      <c r="GQ164" s="150"/>
      <c r="GR164" s="150"/>
      <c r="GS164" s="150"/>
      <c r="GT164" s="150"/>
      <c r="GU164" s="150"/>
      <c r="GV164" s="150"/>
      <c r="GW164" s="150"/>
      <c r="GX164" s="150"/>
      <c r="GY164" s="150"/>
      <c r="GZ164" s="150"/>
      <c r="HA164" s="150"/>
      <c r="HB164" s="150"/>
      <c r="HC164" s="150"/>
      <c r="HD164" s="150"/>
      <c r="HE164" s="150"/>
      <c r="HF164" s="150"/>
      <c r="HG164" s="150"/>
      <c r="HH164" s="150"/>
    </row>
    <row r="165" spans="1:216" x14ac:dyDescent="0.25">
      <c r="A165" s="8"/>
      <c r="B165" s="5" t="s">
        <v>116</v>
      </c>
      <c r="C165" s="8"/>
      <c r="D165" s="6" t="s">
        <v>307</v>
      </c>
      <c r="E165" s="8" t="s">
        <v>314</v>
      </c>
      <c r="F165" s="5"/>
      <c r="G165" s="5"/>
      <c r="H165" s="5"/>
      <c r="I165" s="5"/>
      <c r="J165" s="5"/>
      <c r="K165" s="9"/>
      <c r="L165" s="6" t="str">
        <f>IF(E165=$AC$5,"CWE100H50/3,6MC",IF(E165=$AC$6,"CWE100H50/3,2MC",IF(E165=$AC$7,"CWE100H50/1,5MC",IF(E165=$AC$8,"CWE100H50/1,5MC",0))))</f>
        <v>CWE100H50/3,6MC</v>
      </c>
      <c r="M165" s="11">
        <f>INDEX(cennik!$C$2:$L$529,MATCH($L165,cennik!$B$2:$B$522,0),MATCH(M$2,cennik!$C$1:$L$1,0))</f>
        <v>855136</v>
      </c>
      <c r="N165" s="11" t="str">
        <f>INDEX(cennik!$C$2:$L$529,MATCH($L165,cennik!$B$2:$B$522,0),MATCH(N$2,cennik!$C$1:$L$1,0))</f>
        <v>szt.</v>
      </c>
      <c r="O165" s="11">
        <f>SUM(AB152:AB167)</f>
        <v>0</v>
      </c>
      <c r="P165" s="34">
        <f>INDEX(cennik!$C$2:$L$529,MATCH($L165,cennik!$B$2:$B$522,0),MATCH(P$2,cennik!$C$1:$L$1,0))</f>
        <v>282.94</v>
      </c>
      <c r="Q165" s="34">
        <f>O165*P165</f>
        <v>0</v>
      </c>
      <c r="R165" s="35">
        <f t="shared" si="360"/>
        <v>0</v>
      </c>
      <c r="S165" s="34">
        <f t="shared" si="361"/>
        <v>282.94</v>
      </c>
      <c r="T165" s="34">
        <f t="shared" ref="T165:T170" si="362">O165*S165</f>
        <v>0</v>
      </c>
      <c r="U165" s="34">
        <f>INDEX(cennik!$C$2:$L$529,MATCH($L165,cennik!$B$2:$B$522,0),MATCH(U$2,cennik!$C$1:$L$1,0))*O165</f>
        <v>0</v>
      </c>
      <c r="V165" s="166"/>
      <c r="W165" s="170">
        <f>(INDEX(($EL$139:$FI$142,$EL$146:$FI$149,$FL$139:$GI$142,$FL$146:$GI$149),MATCH($L$175,$EK$139:$EK$142,0),MATCH(A173,$EL$138:$FI$138,0),MATCH($G$163,$AE$24:$AE$27,0)))*C173</f>
        <v>0</v>
      </c>
      <c r="X165" s="170">
        <f>(INDEX(($EL$139:$FI$142,$EL$146:$FI$149,$FL$139:$GI$142,$FL$146:$GI$149),MATCH($L$172,$EK$139:$EK$142,0),MATCH(A173,$EL$138:$FI$138,0),MATCH($G$163,$AE$24:$AE$27,0)))*C173</f>
        <v>0</v>
      </c>
      <c r="Y165" s="170">
        <f>(INDEX(($EL$139:$FI$142,$EL$146:$FI$149,$FL$139:$GI$142,$FL$146:$GI$149),MATCH($L$173,$EK$139:$EK$142,0),MATCH(A173,$EL$138:$FI$138,0),MATCH($G$163,$AE$24:$AE$27,0)))*C173</f>
        <v>0</v>
      </c>
      <c r="Z165" s="170">
        <f>(INDEX(($EL$139:$FI$142,$EL$146:$FI$149,$FL$139:$GI$142,$FL$146:$GI$149),MATCH($L$174,$EK$139:$EK$142,0),MATCH(A173,$EL$138:$FI$138,0),MATCH($G$163,$AE$24:$AE$27,0)))*C173</f>
        <v>0</v>
      </c>
      <c r="AA165" s="150">
        <f t="shared" si="357"/>
        <v>0</v>
      </c>
      <c r="AB165" s="150">
        <f t="shared" si="355"/>
        <v>0</v>
      </c>
      <c r="AC165" s="150"/>
      <c r="AD165" s="150"/>
      <c r="AE165" s="150"/>
      <c r="AF165" s="150"/>
      <c r="AG165" s="150"/>
      <c r="AH165" s="150"/>
      <c r="AI165" s="150"/>
      <c r="AJ165" s="150"/>
      <c r="AK165" s="150"/>
      <c r="AL165" s="150"/>
      <c r="AM165" s="150"/>
      <c r="AN165" s="150"/>
      <c r="AO165" s="150">
        <f t="shared" si="356"/>
        <v>1</v>
      </c>
      <c r="AP165" s="150"/>
      <c r="AQ165" s="150"/>
      <c r="AR165" s="150"/>
      <c r="AS165" s="150"/>
      <c r="AT165" s="150"/>
      <c r="AU165" s="150"/>
      <c r="AV165" s="150"/>
      <c r="AW165" s="150"/>
      <c r="AX165" s="150"/>
      <c r="AY165" s="150"/>
      <c r="AZ165" s="150"/>
      <c r="BA165" s="150"/>
      <c r="BB165" s="150"/>
      <c r="BC165" s="150"/>
      <c r="BD165" s="150"/>
      <c r="BE165" s="150"/>
      <c r="BF165" s="150"/>
      <c r="BG165" s="150"/>
      <c r="BH165" s="150"/>
      <c r="BI165" s="150"/>
      <c r="BJ165" s="150"/>
      <c r="BK165" s="150"/>
      <c r="BL165" s="150"/>
      <c r="BM165" s="150"/>
      <c r="BN165" s="150"/>
      <c r="BO165" s="150"/>
      <c r="BP165" s="150"/>
      <c r="BQ165" s="150"/>
      <c r="BR165" s="150"/>
      <c r="BS165" s="150"/>
      <c r="BT165" s="150"/>
      <c r="BU165" s="150"/>
      <c r="BV165" s="150"/>
      <c r="BW165" s="150"/>
      <c r="BX165" s="150"/>
      <c r="BY165" s="150"/>
      <c r="BZ165" s="150"/>
      <c r="CA165" s="150"/>
      <c r="CB165" s="150"/>
      <c r="CC165" s="150"/>
      <c r="CD165" s="150"/>
      <c r="CE165" s="150"/>
      <c r="CF165" s="150"/>
      <c r="CG165" s="150"/>
      <c r="CH165" s="150"/>
      <c r="CI165" s="150"/>
      <c r="CJ165" s="150"/>
      <c r="CK165" s="150"/>
      <c r="CL165" s="150"/>
      <c r="CM165" s="150"/>
      <c r="CN165" s="150"/>
      <c r="CO165" s="150"/>
      <c r="CP165" s="150"/>
      <c r="CQ165" s="150"/>
      <c r="CR165" s="150"/>
      <c r="CS165" s="150"/>
      <c r="CT165" s="150"/>
      <c r="CU165" s="150"/>
      <c r="CV165" s="150"/>
      <c r="CW165" s="150"/>
      <c r="CX165" s="150"/>
      <c r="CY165" s="150"/>
      <c r="CZ165" s="150"/>
      <c r="DA165" s="150"/>
      <c r="DB165" s="150"/>
      <c r="DC165" s="150"/>
      <c r="DD165" s="150"/>
      <c r="DE165" s="150"/>
      <c r="DF165" s="150"/>
      <c r="DG165" s="150"/>
      <c r="DH165" s="150"/>
      <c r="DI165" s="150"/>
      <c r="DJ165" s="150"/>
      <c r="DK165" s="150"/>
      <c r="DL165" s="150"/>
      <c r="DM165" s="150"/>
      <c r="DN165" s="150"/>
      <c r="DO165" s="150"/>
      <c r="DP165" s="150"/>
      <c r="DQ165" s="181"/>
      <c r="DR165" s="181">
        <v>0</v>
      </c>
      <c r="DS165" s="181"/>
      <c r="DT165" s="150"/>
      <c r="DU165" s="150"/>
      <c r="DV165" s="150"/>
      <c r="DW165" s="150"/>
      <c r="DX165" s="150"/>
      <c r="DY165" s="150"/>
      <c r="DZ165" s="150"/>
      <c r="EA165" s="150"/>
      <c r="EB165" s="150"/>
      <c r="EC165" s="150"/>
      <c r="ED165" s="150"/>
      <c r="EE165" s="150"/>
      <c r="EF165" s="150"/>
      <c r="EG165" s="150"/>
      <c r="EH165" s="150"/>
      <c r="EI165" s="150"/>
      <c r="EJ165" s="150"/>
      <c r="EK165" s="150"/>
      <c r="EL165" s="150"/>
      <c r="EM165" s="150"/>
      <c r="EN165" s="150"/>
      <c r="EO165" s="150"/>
      <c r="EP165" s="150"/>
      <c r="EQ165" s="150"/>
      <c r="ER165" s="150"/>
      <c r="ES165" s="150"/>
      <c r="ET165" s="150"/>
      <c r="EU165" s="150"/>
      <c r="EV165" s="150"/>
      <c r="EW165" s="150"/>
      <c r="EX165" s="150"/>
      <c r="EY165" s="150"/>
      <c r="EZ165" s="150"/>
      <c r="FA165" s="150"/>
      <c r="FB165" s="150"/>
      <c r="FC165" s="150"/>
      <c r="FD165" s="150"/>
      <c r="FE165" s="150"/>
      <c r="FF165" s="150"/>
      <c r="FG165" s="150"/>
      <c r="FH165" s="150"/>
      <c r="FI165" s="150"/>
      <c r="FJ165" s="150"/>
      <c r="FK165" s="150"/>
      <c r="FL165" s="150"/>
      <c r="FM165" s="150"/>
      <c r="FN165" s="150"/>
      <c r="FO165" s="150"/>
      <c r="FP165" s="150"/>
      <c r="FQ165" s="150"/>
      <c r="FR165" s="150"/>
      <c r="FS165" s="150"/>
      <c r="FT165" s="150"/>
      <c r="FU165" s="150"/>
      <c r="FV165" s="150"/>
      <c r="FW165" s="150"/>
      <c r="FX165" s="150"/>
      <c r="FY165" s="150"/>
      <c r="FZ165" s="150"/>
      <c r="GA165" s="150"/>
      <c r="GB165" s="150"/>
      <c r="GC165" s="150"/>
      <c r="GD165" s="150"/>
      <c r="GE165" s="150"/>
      <c r="GF165" s="150"/>
      <c r="GG165" s="150"/>
      <c r="GH165" s="150"/>
      <c r="GI165" s="150"/>
      <c r="GJ165" s="150"/>
      <c r="GK165" s="150"/>
      <c r="GL165" s="150"/>
      <c r="GM165" s="150"/>
      <c r="GN165" s="150"/>
      <c r="GO165" s="150"/>
      <c r="GP165" s="150"/>
      <c r="GQ165" s="150"/>
      <c r="GR165" s="150"/>
      <c r="GS165" s="150"/>
      <c r="GT165" s="150"/>
      <c r="GU165" s="150"/>
      <c r="GV165" s="150"/>
      <c r="GW165" s="150"/>
      <c r="GX165" s="150"/>
      <c r="GY165" s="150"/>
      <c r="GZ165" s="150"/>
      <c r="HA165" s="150"/>
      <c r="HB165" s="150"/>
      <c r="HC165" s="150"/>
      <c r="HD165" s="150"/>
      <c r="HE165" s="150"/>
      <c r="HF165" s="150"/>
      <c r="HG165" s="150"/>
      <c r="HH165" s="150"/>
    </row>
    <row r="166" spans="1:216" x14ac:dyDescent="0.25">
      <c r="A166" s="8"/>
      <c r="B166" s="5" t="s">
        <v>116</v>
      </c>
      <c r="C166" s="8"/>
      <c r="D166" s="6" t="s">
        <v>315</v>
      </c>
      <c r="E166" s="8">
        <v>0</v>
      </c>
      <c r="F166" s="5"/>
      <c r="G166" s="5"/>
      <c r="H166" s="5"/>
      <c r="I166" s="5"/>
      <c r="J166" s="5" t="s">
        <v>412</v>
      </c>
      <c r="K166" s="9"/>
      <c r="L166" s="6" t="str">
        <f>IF(E163=AE33,"BDFCH100/2,75NMC",IF(E163=AE34,"BDFCH100/2,75NMC",IF(E163=AE35,"BDFCH100/2,75NMC",IF(E163=AE40,"BDFCH120/3,2NMC",IF(E163=AE41,"BDFCH120/3,2NMC",IF(E163=AE42,"BDFCH120/3,2NMC",0))))))</f>
        <v>BDFCH100/2,75NMC</v>
      </c>
      <c r="M166" s="11">
        <f>INDEX(cennik!$C$2:$L$529,MATCH($L166,cennik!$B$2:$B$522,0),MATCH(M$2,cennik!$C$1:$L$1,0))</f>
        <v>863725</v>
      </c>
      <c r="N166" s="11" t="str">
        <f>INDEX(cennik!$C$2:$L$529,MATCH($L166,cennik!$B$2:$B$522,0),MATCH(N$2,cennik!$C$1:$L$1,0))</f>
        <v>szt.</v>
      </c>
      <c r="O166" s="11">
        <f>O165</f>
        <v>0</v>
      </c>
      <c r="P166" s="34">
        <f>INDEX(cennik!$C$2:$L$529,MATCH($L166,cennik!$B$2:$B$522,0),MATCH(P$2,cennik!$C$1:$L$1,0))</f>
        <v>89.66</v>
      </c>
      <c r="Q166" s="34">
        <f t="shared" ref="Q166:Q170" si="363">O166*P166</f>
        <v>0</v>
      </c>
      <c r="R166" s="35">
        <f t="shared" si="360"/>
        <v>0</v>
      </c>
      <c r="S166" s="34">
        <f t="shared" si="361"/>
        <v>89.66</v>
      </c>
      <c r="T166" s="34">
        <f t="shared" si="362"/>
        <v>0</v>
      </c>
      <c r="U166" s="34">
        <f>INDEX(cennik!$C$2:$L$529,MATCH($L166,cennik!$B$2:$B$522,0),MATCH(U$2,cennik!$C$1:$L$1,0))*O166</f>
        <v>0</v>
      </c>
      <c r="V166" s="166"/>
      <c r="W166" s="170">
        <f>(INDEX(($EL$139:$FI$142,$EL$146:$FI$149,$FL$139:$GI$142,$FL$146:$GI$149),MATCH($L$175,$EK$139:$EK$142,0),MATCH(A174,$EL$138:$FI$138,0),MATCH($G$163,$AE$24:$AE$27,0)))*C174</f>
        <v>0</v>
      </c>
      <c r="X166" s="170">
        <f>(INDEX(($EL$139:$FI$142,$EL$146:$FI$149,$FL$139:$GI$142,$FL$146:$GI$149),MATCH($L$172,$EK$139:$EK$142,0),MATCH(A174,$EL$138:$FI$138,0),MATCH($G$163,$AE$24:$AE$27,0)))*C174</f>
        <v>0</v>
      </c>
      <c r="Y166" s="170">
        <f>(INDEX(($EL$139:$FI$142,$EL$146:$FI$149,$FL$139:$GI$142,$FL$146:$GI$149),MATCH($L$173,$EK$139:$EK$142,0),MATCH(A174,$EL$138:$FI$138,0),MATCH($G$163,$AE$24:$AE$27,0)))*C174</f>
        <v>0</v>
      </c>
      <c r="Z166" s="170">
        <f>(INDEX(($EL$139:$FI$142,$EL$146:$FI$149,$FL$139:$GI$142,$FL$146:$GI$149),MATCH($L$174,$EK$139:$EK$142,0),MATCH(A174,$EL$138:$FI$138,0),MATCH($G$163,$AE$24:$AE$27,0)))*C174</f>
        <v>0</v>
      </c>
      <c r="AA166" s="150">
        <f t="shared" si="357"/>
        <v>0</v>
      </c>
      <c r="AB166" s="150">
        <f t="shared" si="355"/>
        <v>0</v>
      </c>
      <c r="AC166" s="150"/>
      <c r="AD166" s="150"/>
      <c r="AE166" s="150"/>
      <c r="AF166" s="150"/>
      <c r="AG166" s="150"/>
      <c r="AH166" s="150"/>
      <c r="AI166" s="150"/>
      <c r="AJ166" s="150"/>
      <c r="AK166" s="150"/>
      <c r="AL166" s="150"/>
      <c r="AM166" s="150"/>
      <c r="AN166" s="150"/>
      <c r="AO166" s="150">
        <f t="shared" si="356"/>
        <v>1</v>
      </c>
      <c r="AP166" s="150"/>
      <c r="AQ166" s="150"/>
      <c r="AR166" s="150"/>
      <c r="AS166" s="150"/>
      <c r="AT166" s="150"/>
      <c r="AU166" s="150"/>
      <c r="AV166" s="150"/>
      <c r="AW166" s="150"/>
      <c r="AX166" s="150"/>
      <c r="AY166" s="150"/>
      <c r="AZ166" s="150"/>
      <c r="BA166" s="150"/>
      <c r="BB166" s="150"/>
      <c r="BC166" s="150"/>
      <c r="BD166" s="150"/>
      <c r="BE166" s="150"/>
      <c r="BF166" s="150"/>
      <c r="BG166" s="150"/>
      <c r="BH166" s="150" t="s">
        <v>111</v>
      </c>
      <c r="BI166" s="150">
        <v>0</v>
      </c>
      <c r="BJ166" s="150">
        <v>6</v>
      </c>
      <c r="BK166" s="150">
        <v>9</v>
      </c>
      <c r="BL166" s="150">
        <v>12</v>
      </c>
      <c r="BM166" s="150">
        <v>15</v>
      </c>
      <c r="BN166" s="150">
        <v>18</v>
      </c>
      <c r="BO166" s="150">
        <v>21</v>
      </c>
      <c r="BP166" s="150">
        <v>24</v>
      </c>
      <c r="BQ166" s="150">
        <v>27</v>
      </c>
      <c r="BR166" s="150">
        <v>30</v>
      </c>
      <c r="BS166" s="150">
        <v>33</v>
      </c>
      <c r="BT166" s="150">
        <v>36</v>
      </c>
      <c r="BU166" s="150">
        <v>39</v>
      </c>
      <c r="BV166" s="150"/>
      <c r="BW166" s="150" t="s">
        <v>470</v>
      </c>
      <c r="BX166" s="150">
        <v>0</v>
      </c>
      <c r="BY166" s="150">
        <v>6</v>
      </c>
      <c r="BZ166" s="150">
        <v>9</v>
      </c>
      <c r="CA166" s="150">
        <v>12</v>
      </c>
      <c r="CB166" s="150">
        <v>15</v>
      </c>
      <c r="CC166" s="150">
        <v>18</v>
      </c>
      <c r="CD166" s="150">
        <v>21</v>
      </c>
      <c r="CE166" s="150">
        <v>24</v>
      </c>
      <c r="CF166" s="150">
        <v>27</v>
      </c>
      <c r="CG166" s="150">
        <v>30</v>
      </c>
      <c r="CH166" s="150">
        <v>33</v>
      </c>
      <c r="CI166" s="150">
        <v>36</v>
      </c>
      <c r="CJ166" s="150">
        <v>39</v>
      </c>
      <c r="CK166" s="150"/>
      <c r="CL166" s="150"/>
      <c r="CM166" s="150"/>
      <c r="CN166" s="150" t="s">
        <v>473</v>
      </c>
      <c r="CO166" s="150">
        <v>0</v>
      </c>
      <c r="CP166" s="150">
        <v>6</v>
      </c>
      <c r="CQ166" s="150">
        <v>9</v>
      </c>
      <c r="CR166" s="150">
        <v>12</v>
      </c>
      <c r="CS166" s="150">
        <v>15</v>
      </c>
      <c r="CT166" s="150">
        <v>18</v>
      </c>
      <c r="CU166" s="150">
        <v>21</v>
      </c>
      <c r="CV166" s="150">
        <v>24</v>
      </c>
      <c r="CW166" s="150">
        <v>27</v>
      </c>
      <c r="CX166" s="150">
        <v>30</v>
      </c>
      <c r="CY166" s="150">
        <v>33</v>
      </c>
      <c r="CZ166" s="150">
        <v>36</v>
      </c>
      <c r="DA166" s="150">
        <v>39</v>
      </c>
      <c r="DB166" s="150"/>
      <c r="DC166" s="150" t="s">
        <v>138</v>
      </c>
      <c r="DD166" s="150">
        <v>0</v>
      </c>
      <c r="DE166" s="150">
        <v>6</v>
      </c>
      <c r="DF166" s="150">
        <v>9</v>
      </c>
      <c r="DG166" s="150">
        <v>12</v>
      </c>
      <c r="DH166" s="150">
        <v>15</v>
      </c>
      <c r="DI166" s="150">
        <v>18</v>
      </c>
      <c r="DJ166" s="150">
        <v>21</v>
      </c>
      <c r="DK166" s="150">
        <v>24</v>
      </c>
      <c r="DL166" s="150">
        <v>27</v>
      </c>
      <c r="DM166" s="150">
        <v>30</v>
      </c>
      <c r="DN166" s="150">
        <v>33</v>
      </c>
      <c r="DO166" s="150">
        <v>36</v>
      </c>
      <c r="DP166" s="150">
        <v>39</v>
      </c>
      <c r="DQ166" s="181"/>
      <c r="DR166" s="181">
        <v>6</v>
      </c>
      <c r="DS166" s="181"/>
      <c r="DT166" s="150" t="s">
        <v>508</v>
      </c>
      <c r="DU166" s="150">
        <v>0</v>
      </c>
      <c r="DV166" s="150">
        <v>8</v>
      </c>
      <c r="DW166" s="150">
        <v>12</v>
      </c>
      <c r="DX166" s="150">
        <v>16</v>
      </c>
      <c r="DY166" s="150">
        <v>20</v>
      </c>
      <c r="DZ166" s="150">
        <v>24</v>
      </c>
      <c r="EA166" s="150">
        <v>28</v>
      </c>
      <c r="EB166" s="150">
        <v>32</v>
      </c>
      <c r="EC166" s="150">
        <v>36</v>
      </c>
      <c r="ED166" s="150">
        <v>40</v>
      </c>
      <c r="EE166" s="150">
        <v>44</v>
      </c>
      <c r="EF166" s="150">
        <v>48</v>
      </c>
      <c r="EG166" s="150">
        <v>52</v>
      </c>
      <c r="EH166" s="150"/>
      <c r="EI166" s="150"/>
      <c r="EJ166" s="150"/>
      <c r="EK166" s="150" t="s">
        <v>111</v>
      </c>
      <c r="EL166" s="150">
        <v>0</v>
      </c>
      <c r="EM166" s="150">
        <v>6</v>
      </c>
      <c r="EN166" s="150">
        <v>9</v>
      </c>
      <c r="EO166" s="150">
        <v>12</v>
      </c>
      <c r="EP166" s="150">
        <v>15</v>
      </c>
      <c r="EQ166" s="150">
        <v>18</v>
      </c>
      <c r="ER166" s="150">
        <v>21</v>
      </c>
      <c r="ES166" s="150">
        <v>24</v>
      </c>
      <c r="ET166" s="150">
        <v>27</v>
      </c>
      <c r="EU166" s="150">
        <v>30</v>
      </c>
      <c r="EV166" s="150">
        <v>33</v>
      </c>
      <c r="EW166" s="150">
        <v>36</v>
      </c>
      <c r="EX166" s="150">
        <v>39</v>
      </c>
      <c r="EY166" s="150"/>
      <c r="EZ166" s="150" t="s">
        <v>470</v>
      </c>
      <c r="FA166" s="150">
        <v>0</v>
      </c>
      <c r="FB166" s="150">
        <v>6</v>
      </c>
      <c r="FC166" s="150">
        <v>9</v>
      </c>
      <c r="FD166" s="150">
        <v>12</v>
      </c>
      <c r="FE166" s="150">
        <v>15</v>
      </c>
      <c r="FF166" s="150">
        <v>18</v>
      </c>
      <c r="FG166" s="150">
        <v>21</v>
      </c>
      <c r="FH166" s="150">
        <v>24</v>
      </c>
      <c r="FI166" s="150">
        <v>27</v>
      </c>
      <c r="FJ166" s="150">
        <v>30</v>
      </c>
      <c r="FK166" s="150">
        <v>33</v>
      </c>
      <c r="FL166" s="150">
        <v>36</v>
      </c>
      <c r="FM166" s="150">
        <v>39</v>
      </c>
      <c r="FN166" s="150"/>
      <c r="FO166" s="150" t="s">
        <v>473</v>
      </c>
      <c r="FP166" s="150">
        <v>0</v>
      </c>
      <c r="FQ166" s="150">
        <v>6</v>
      </c>
      <c r="FR166" s="150">
        <v>9</v>
      </c>
      <c r="FS166" s="150">
        <v>12</v>
      </c>
      <c r="FT166" s="150">
        <v>15</v>
      </c>
      <c r="FU166" s="150">
        <v>18</v>
      </c>
      <c r="FV166" s="150">
        <v>21</v>
      </c>
      <c r="FW166" s="150">
        <v>24</v>
      </c>
      <c r="FX166" s="150">
        <v>27</v>
      </c>
      <c r="FY166" s="150">
        <v>30</v>
      </c>
      <c r="FZ166" s="150">
        <v>33</v>
      </c>
      <c r="GA166" s="150">
        <v>36</v>
      </c>
      <c r="GB166" s="150">
        <v>39</v>
      </c>
      <c r="GC166" s="150"/>
      <c r="GD166" s="150" t="s">
        <v>138</v>
      </c>
      <c r="GE166" s="150">
        <v>0</v>
      </c>
      <c r="GF166" s="150">
        <v>6</v>
      </c>
      <c r="GG166" s="150">
        <v>9</v>
      </c>
      <c r="GH166" s="150">
        <v>12</v>
      </c>
      <c r="GI166" s="150">
        <v>15</v>
      </c>
      <c r="GJ166" s="150">
        <v>18</v>
      </c>
      <c r="GK166" s="150">
        <v>21</v>
      </c>
      <c r="GL166" s="150">
        <v>24</v>
      </c>
      <c r="GM166" s="150">
        <v>27</v>
      </c>
      <c r="GN166" s="150">
        <v>30</v>
      </c>
      <c r="GO166" s="150">
        <v>33</v>
      </c>
      <c r="GP166" s="150">
        <v>36</v>
      </c>
      <c r="GQ166" s="150">
        <v>39</v>
      </c>
      <c r="GR166" s="150"/>
      <c r="GS166" s="150" t="s">
        <v>508</v>
      </c>
      <c r="GT166" s="150">
        <v>0</v>
      </c>
      <c r="GU166" s="150">
        <v>6</v>
      </c>
      <c r="GV166" s="150">
        <v>9</v>
      </c>
      <c r="GW166" s="150">
        <v>12</v>
      </c>
      <c r="GX166" s="150">
        <v>15</v>
      </c>
      <c r="GY166" s="150">
        <v>18</v>
      </c>
      <c r="GZ166" s="150">
        <v>21</v>
      </c>
      <c r="HA166" s="150">
        <v>24</v>
      </c>
      <c r="HB166" s="150">
        <v>27</v>
      </c>
      <c r="HC166" s="150">
        <v>30</v>
      </c>
      <c r="HD166" s="150">
        <v>33</v>
      </c>
      <c r="HE166" s="150">
        <v>36</v>
      </c>
      <c r="HF166" s="150">
        <v>39</v>
      </c>
      <c r="HG166" s="150"/>
      <c r="HH166" s="150"/>
    </row>
    <row r="167" spans="1:216" x14ac:dyDescent="0.25">
      <c r="A167" s="8"/>
      <c r="B167" s="5" t="s">
        <v>116</v>
      </c>
      <c r="C167" s="8"/>
      <c r="D167" s="6" t="s">
        <v>162</v>
      </c>
      <c r="E167" s="8">
        <v>0</v>
      </c>
      <c r="F167" s="5"/>
      <c r="G167" s="5"/>
      <c r="H167" s="5"/>
      <c r="I167" s="5"/>
      <c r="J167" s="5" t="s">
        <v>163</v>
      </c>
      <c r="K167" s="9"/>
      <c r="L167" s="6" t="s">
        <v>9</v>
      </c>
      <c r="M167" s="11">
        <f>INDEX(cennik!$C$2:$L$529,MATCH($L167,cennik!$B$2:$B$522,0),MATCH(M$2,cennik!$C$1:$L$1,0))</f>
        <v>856211</v>
      </c>
      <c r="N167" s="11" t="str">
        <f>INDEX(cennik!$C$2:$L$529,MATCH($L167,cennik!$B$2:$B$522,0),MATCH(N$2,cennik!$C$1:$L$1,0))</f>
        <v>szt.</v>
      </c>
      <c r="O167" s="11">
        <f>O165</f>
        <v>0</v>
      </c>
      <c r="P167" s="34">
        <f>INDEX(cennik!$C$2:$L$529,MATCH($L167,cennik!$B$2:$B$522,0),MATCH(P$2,cennik!$C$1:$L$1,0))</f>
        <v>25.2</v>
      </c>
      <c r="Q167" s="34">
        <f t="shared" si="363"/>
        <v>0</v>
      </c>
      <c r="R167" s="35">
        <f t="shared" si="360"/>
        <v>0</v>
      </c>
      <c r="S167" s="34">
        <f t="shared" si="361"/>
        <v>25.2</v>
      </c>
      <c r="T167" s="34">
        <f>O167*S167</f>
        <v>0</v>
      </c>
      <c r="U167" s="34">
        <f>INDEX(cennik!$C$2:$L$529,MATCH($L167,cennik!$B$2:$B$522,0),MATCH(U$2,cennik!$C$1:$L$1,0))*O167</f>
        <v>0</v>
      </c>
      <c r="V167" s="62"/>
      <c r="W167" s="170">
        <f>(INDEX(($EL$139:$FI$142,$EL$146:$FI$149,$FL$139:$GI$142,$FL$146:$GI$149),MATCH($L$175,$EK$139:$EK$142,0),MATCH(A175,$EL$138:$FI$138,0),MATCH($G$163,$AE$24:$AE$27,0)))*C175</f>
        <v>0</v>
      </c>
      <c r="X167" s="170">
        <f>(INDEX(($EL$139:$FI$142,$EL$146:$FI$149,$FL$139:$GI$142,$FL$146:$GI$149),MATCH($L$172,$EK$139:$EK$142,0),MATCH(A175,$EL$138:$FI$138,0),MATCH($G$163,$AE$24:$AE$27,0)))*C175</f>
        <v>0</v>
      </c>
      <c r="Y167" s="170">
        <f>(INDEX(($EL$139:$FI$142,$EL$146:$FI$149,$FL$139:$GI$142,$FL$146:$GI$149),MATCH($L$173,$EK$139:$EK$142,0),MATCH(A175,$EL$138:$FI$138,0),MATCH($G$163,$AE$24:$AE$27,0)))*C175</f>
        <v>0</v>
      </c>
      <c r="Z167" s="170">
        <f>(INDEX(($EL$139:$FI$142,$EL$146:$FI$149,$FL$139:$GI$142,$FL$146:$GI$149),MATCH($L$174,$EK$139:$EK$142,0),MATCH(A175,$EL$138:$FI$138,0),MATCH($G$163,$AE$24:$AE$27,0)))*C175</f>
        <v>0</v>
      </c>
      <c r="AA167" s="150">
        <f t="shared" si="357"/>
        <v>0</v>
      </c>
      <c r="AB167" s="150">
        <f t="shared" si="355"/>
        <v>0</v>
      </c>
      <c r="AC167" s="150"/>
      <c r="AD167" s="150"/>
      <c r="AE167" s="150"/>
      <c r="AF167" s="150"/>
      <c r="AG167" s="150"/>
      <c r="AH167" s="150"/>
      <c r="AI167" s="150"/>
      <c r="AJ167" s="150"/>
      <c r="AK167" s="150"/>
      <c r="AL167" s="150"/>
      <c r="AM167" s="150"/>
      <c r="AN167" s="150"/>
      <c r="AO167" s="150">
        <f t="shared" si="356"/>
        <v>1</v>
      </c>
      <c r="AP167" s="150"/>
      <c r="AQ167" s="150"/>
      <c r="AR167" s="150"/>
      <c r="AS167" s="150"/>
      <c r="AT167" s="150"/>
      <c r="AU167" s="150"/>
      <c r="AV167" s="150"/>
      <c r="AW167" s="150"/>
      <c r="AX167" s="150"/>
      <c r="AY167" s="150"/>
      <c r="AZ167" s="150"/>
      <c r="BA167" s="150"/>
      <c r="BB167" s="150"/>
      <c r="BC167" s="150"/>
      <c r="BD167" s="150"/>
      <c r="BE167" s="150"/>
      <c r="BF167" s="150"/>
      <c r="BG167" s="150"/>
      <c r="BH167" s="150" t="s">
        <v>217</v>
      </c>
      <c r="BI167" s="150">
        <f>BI3/5*4</f>
        <v>0</v>
      </c>
      <c r="BJ167" s="150">
        <f>BJ3/5*4</f>
        <v>0</v>
      </c>
      <c r="BK167" s="150">
        <f t="shared" ref="BK167:BU167" si="364">BK3/5*4</f>
        <v>0</v>
      </c>
      <c r="BL167" s="150">
        <f>BL3/5*4</f>
        <v>4</v>
      </c>
      <c r="BM167" s="150">
        <v>0</v>
      </c>
      <c r="BN167" s="150">
        <f t="shared" si="364"/>
        <v>4</v>
      </c>
      <c r="BO167" s="150">
        <v>8</v>
      </c>
      <c r="BP167" s="150">
        <v>8</v>
      </c>
      <c r="BQ167" s="150">
        <v>8</v>
      </c>
      <c r="BR167" s="150">
        <f t="shared" si="364"/>
        <v>8</v>
      </c>
      <c r="BS167" s="150">
        <f t="shared" si="364"/>
        <v>4</v>
      </c>
      <c r="BT167" s="150">
        <v>12</v>
      </c>
      <c r="BU167" s="150">
        <f t="shared" si="364"/>
        <v>8</v>
      </c>
      <c r="BV167" s="150"/>
      <c r="BW167" s="150" t="s">
        <v>217</v>
      </c>
      <c r="BX167" s="150">
        <v>0</v>
      </c>
      <c r="BY167" s="150">
        <f t="shared" ref="BY167:CI170" si="365">BY3/5*4</f>
        <v>0</v>
      </c>
      <c r="BZ167" s="150">
        <f t="shared" si="365"/>
        <v>4</v>
      </c>
      <c r="CA167" s="150">
        <f t="shared" si="365"/>
        <v>4</v>
      </c>
      <c r="CB167" s="150">
        <v>4</v>
      </c>
      <c r="CC167" s="150">
        <f t="shared" si="365"/>
        <v>4</v>
      </c>
      <c r="CD167" s="150">
        <v>8</v>
      </c>
      <c r="CE167" s="150">
        <v>4</v>
      </c>
      <c r="CF167" s="150">
        <f t="shared" si="365"/>
        <v>8</v>
      </c>
      <c r="CG167" s="150">
        <v>4</v>
      </c>
      <c r="CH167" s="150">
        <v>12</v>
      </c>
      <c r="CI167" s="150">
        <f t="shared" si="365"/>
        <v>8</v>
      </c>
      <c r="CJ167" s="150">
        <v>12</v>
      </c>
      <c r="CK167" s="150"/>
      <c r="CL167" s="150"/>
      <c r="CM167" s="150"/>
      <c r="CN167" s="150" t="s">
        <v>217</v>
      </c>
      <c r="CO167" s="150">
        <v>0</v>
      </c>
      <c r="CP167" s="150">
        <f t="shared" ref="CP167:CY170" si="366">CP3/5*4</f>
        <v>0</v>
      </c>
      <c r="CQ167" s="150">
        <f t="shared" si="366"/>
        <v>4</v>
      </c>
      <c r="CR167" s="150">
        <f t="shared" si="366"/>
        <v>0</v>
      </c>
      <c r="CS167" s="150">
        <f t="shared" si="366"/>
        <v>4</v>
      </c>
      <c r="CT167" s="150">
        <v>8</v>
      </c>
      <c r="CU167" s="150">
        <v>8</v>
      </c>
      <c r="CV167" s="150">
        <v>8</v>
      </c>
      <c r="CW167" s="150">
        <f t="shared" si="366"/>
        <v>8</v>
      </c>
      <c r="CX167" s="150">
        <f t="shared" si="366"/>
        <v>12</v>
      </c>
      <c r="CY167" s="150">
        <f t="shared" si="366"/>
        <v>8</v>
      </c>
      <c r="CZ167" s="150">
        <v>12</v>
      </c>
      <c r="DA167" s="150">
        <v>8</v>
      </c>
      <c r="DB167" s="150"/>
      <c r="DC167" s="150" t="s">
        <v>217</v>
      </c>
      <c r="DD167" s="150">
        <f t="shared" ref="DD167:DO170" si="367">DD3/5*4</f>
        <v>0</v>
      </c>
      <c r="DE167" s="150">
        <f t="shared" si="367"/>
        <v>0</v>
      </c>
      <c r="DF167" s="150">
        <f t="shared" si="367"/>
        <v>4</v>
      </c>
      <c r="DG167" s="150">
        <f t="shared" si="367"/>
        <v>0</v>
      </c>
      <c r="DH167" s="150">
        <f t="shared" si="367"/>
        <v>4</v>
      </c>
      <c r="DI167" s="150">
        <v>8</v>
      </c>
      <c r="DJ167" s="150">
        <v>8</v>
      </c>
      <c r="DK167" s="150">
        <f t="shared" si="367"/>
        <v>8</v>
      </c>
      <c r="DL167" s="150">
        <f t="shared" si="367"/>
        <v>4</v>
      </c>
      <c r="DM167" s="150">
        <v>8</v>
      </c>
      <c r="DN167" s="150">
        <f t="shared" si="367"/>
        <v>12</v>
      </c>
      <c r="DO167" s="150">
        <f t="shared" si="367"/>
        <v>8</v>
      </c>
      <c r="DP167" s="150">
        <v>12</v>
      </c>
      <c r="DQ167" s="181"/>
      <c r="DR167" s="181">
        <v>9</v>
      </c>
      <c r="DS167" s="181"/>
      <c r="DT167" s="150" t="s">
        <v>217</v>
      </c>
      <c r="DU167" s="150">
        <v>0</v>
      </c>
      <c r="DV167" s="150">
        <f t="shared" ref="DV167:EG170" si="368">DV3/5*4</f>
        <v>0</v>
      </c>
      <c r="DW167" s="150">
        <f t="shared" si="368"/>
        <v>4</v>
      </c>
      <c r="DX167" s="150">
        <f t="shared" si="368"/>
        <v>0</v>
      </c>
      <c r="DY167" s="150">
        <f t="shared" si="368"/>
        <v>0</v>
      </c>
      <c r="DZ167" s="150">
        <f t="shared" si="368"/>
        <v>8</v>
      </c>
      <c r="EA167" s="150">
        <f t="shared" si="368"/>
        <v>4</v>
      </c>
      <c r="EB167" s="150">
        <f t="shared" si="368"/>
        <v>8</v>
      </c>
      <c r="EC167" s="150">
        <f t="shared" si="368"/>
        <v>8</v>
      </c>
      <c r="ED167" s="150">
        <f t="shared" si="368"/>
        <v>12</v>
      </c>
      <c r="EE167" s="150">
        <f t="shared" si="368"/>
        <v>8</v>
      </c>
      <c r="EF167" s="150">
        <f t="shared" si="368"/>
        <v>12</v>
      </c>
      <c r="EG167" s="150">
        <f t="shared" si="368"/>
        <v>16</v>
      </c>
      <c r="EH167" s="150"/>
      <c r="EI167" s="150"/>
      <c r="EJ167" s="150"/>
      <c r="EK167" s="150" t="s">
        <v>522</v>
      </c>
      <c r="EL167" s="150">
        <v>0</v>
      </c>
      <c r="EM167" s="150">
        <f t="shared" ref="EM167:EX167" si="369">EM4/5*4</f>
        <v>0</v>
      </c>
      <c r="EN167" s="150">
        <f t="shared" si="369"/>
        <v>4</v>
      </c>
      <c r="EO167" s="150">
        <f t="shared" si="369"/>
        <v>0</v>
      </c>
      <c r="EP167" s="150">
        <f t="shared" si="369"/>
        <v>8</v>
      </c>
      <c r="EQ167" s="150">
        <f t="shared" si="369"/>
        <v>0</v>
      </c>
      <c r="ER167" s="150">
        <f t="shared" si="369"/>
        <v>8</v>
      </c>
      <c r="ES167" s="150">
        <f t="shared" si="369"/>
        <v>0</v>
      </c>
      <c r="ET167" s="150">
        <f t="shared" si="369"/>
        <v>8</v>
      </c>
      <c r="EU167" s="150">
        <f t="shared" si="369"/>
        <v>0</v>
      </c>
      <c r="EV167" s="150">
        <f t="shared" si="369"/>
        <v>8</v>
      </c>
      <c r="EW167" s="150">
        <f t="shared" si="369"/>
        <v>4</v>
      </c>
      <c r="EX167" s="150">
        <f t="shared" si="369"/>
        <v>8</v>
      </c>
      <c r="EY167" s="150"/>
      <c r="EZ167" s="150" t="s">
        <v>522</v>
      </c>
      <c r="FA167" s="150">
        <v>0</v>
      </c>
      <c r="FB167" s="150">
        <f t="shared" ref="FB167:FM167" si="370">FB4/5*4</f>
        <v>0</v>
      </c>
      <c r="FC167" s="150">
        <f t="shared" si="370"/>
        <v>0</v>
      </c>
      <c r="FD167" s="150">
        <f t="shared" si="370"/>
        <v>0</v>
      </c>
      <c r="FE167" s="150">
        <f t="shared" si="370"/>
        <v>8</v>
      </c>
      <c r="FF167" s="150">
        <f t="shared" si="370"/>
        <v>4</v>
      </c>
      <c r="FG167" s="150">
        <f t="shared" si="370"/>
        <v>8</v>
      </c>
      <c r="FH167" s="150">
        <f t="shared" si="370"/>
        <v>8</v>
      </c>
      <c r="FI167" s="150">
        <f t="shared" si="370"/>
        <v>0</v>
      </c>
      <c r="FJ167" s="150">
        <f t="shared" si="370"/>
        <v>4</v>
      </c>
      <c r="FK167" s="150">
        <f t="shared" si="370"/>
        <v>4</v>
      </c>
      <c r="FL167" s="150">
        <f t="shared" si="370"/>
        <v>8</v>
      </c>
      <c r="FM167" s="150">
        <f t="shared" si="370"/>
        <v>4</v>
      </c>
      <c r="FN167" s="150"/>
      <c r="FO167" s="150" t="s">
        <v>522</v>
      </c>
      <c r="FP167" s="150">
        <v>0</v>
      </c>
      <c r="FQ167" s="150">
        <f t="shared" ref="FQ167:GB167" si="371">FQ4/5*4</f>
        <v>0</v>
      </c>
      <c r="FR167" s="150">
        <f t="shared" si="371"/>
        <v>0</v>
      </c>
      <c r="FS167" s="150">
        <f t="shared" si="371"/>
        <v>4</v>
      </c>
      <c r="FT167" s="150">
        <f t="shared" si="371"/>
        <v>0</v>
      </c>
      <c r="FU167" s="150">
        <f t="shared" si="371"/>
        <v>8</v>
      </c>
      <c r="FV167" s="150">
        <f t="shared" si="371"/>
        <v>0</v>
      </c>
      <c r="FW167" s="150">
        <f t="shared" si="371"/>
        <v>8</v>
      </c>
      <c r="FX167" s="150">
        <f t="shared" si="371"/>
        <v>4</v>
      </c>
      <c r="FY167" s="150">
        <f t="shared" si="371"/>
        <v>0</v>
      </c>
      <c r="FZ167" s="150">
        <f t="shared" si="371"/>
        <v>8</v>
      </c>
      <c r="GA167" s="150">
        <f t="shared" si="371"/>
        <v>4</v>
      </c>
      <c r="GB167" s="150">
        <f t="shared" si="371"/>
        <v>0</v>
      </c>
      <c r="GC167" s="150"/>
      <c r="GD167" s="150" t="s">
        <v>522</v>
      </c>
      <c r="GE167" s="150">
        <v>0</v>
      </c>
      <c r="GF167" s="150">
        <f t="shared" ref="GF167:GQ167" si="372">GF4/5*4</f>
        <v>4</v>
      </c>
      <c r="GG167" s="150">
        <f t="shared" si="372"/>
        <v>0</v>
      </c>
      <c r="GH167" s="150">
        <f t="shared" si="372"/>
        <v>8</v>
      </c>
      <c r="GI167" s="150">
        <f t="shared" si="372"/>
        <v>0</v>
      </c>
      <c r="GJ167" s="150">
        <f t="shared" si="372"/>
        <v>8</v>
      </c>
      <c r="GK167" s="150">
        <f t="shared" si="372"/>
        <v>8</v>
      </c>
      <c r="GL167" s="150">
        <f t="shared" si="372"/>
        <v>4</v>
      </c>
      <c r="GM167" s="150">
        <f t="shared" si="372"/>
        <v>8</v>
      </c>
      <c r="GN167" s="150">
        <f t="shared" si="372"/>
        <v>4</v>
      </c>
      <c r="GO167" s="150">
        <f t="shared" si="372"/>
        <v>4</v>
      </c>
      <c r="GP167" s="150">
        <f t="shared" si="372"/>
        <v>8</v>
      </c>
      <c r="GQ167" s="150">
        <f t="shared" si="372"/>
        <v>4</v>
      </c>
      <c r="GR167" s="150"/>
      <c r="GS167" s="150" t="s">
        <v>522</v>
      </c>
      <c r="GT167" s="150">
        <v>0</v>
      </c>
      <c r="GU167" s="150">
        <f t="shared" ref="GU167:HF167" si="373">GU4/5*4</f>
        <v>4</v>
      </c>
      <c r="GV167" s="150">
        <f t="shared" si="373"/>
        <v>0</v>
      </c>
      <c r="GW167" s="150">
        <f t="shared" si="373"/>
        <v>8</v>
      </c>
      <c r="GX167" s="150">
        <f t="shared" si="373"/>
        <v>8</v>
      </c>
      <c r="GY167" s="150">
        <f t="shared" si="373"/>
        <v>0</v>
      </c>
      <c r="GZ167" s="150">
        <f t="shared" si="373"/>
        <v>8</v>
      </c>
      <c r="HA167" s="150">
        <f t="shared" si="373"/>
        <v>4</v>
      </c>
      <c r="HB167" s="150">
        <f t="shared" si="373"/>
        <v>4</v>
      </c>
      <c r="HC167" s="150">
        <f t="shared" si="373"/>
        <v>4</v>
      </c>
      <c r="HD167" s="150">
        <f t="shared" si="373"/>
        <v>8</v>
      </c>
      <c r="HE167" s="150">
        <f t="shared" si="373"/>
        <v>4</v>
      </c>
      <c r="HF167" s="150">
        <f t="shared" si="373"/>
        <v>0</v>
      </c>
      <c r="HG167" s="150"/>
      <c r="HH167" s="150"/>
    </row>
    <row r="168" spans="1:216" x14ac:dyDescent="0.25">
      <c r="A168" s="8"/>
      <c r="B168" s="5" t="s">
        <v>116</v>
      </c>
      <c r="C168" s="8"/>
      <c r="D168" s="6" t="s">
        <v>515</v>
      </c>
      <c r="E168" s="8">
        <v>0</v>
      </c>
      <c r="F168" s="5"/>
      <c r="G168" s="5"/>
      <c r="H168" s="5"/>
      <c r="I168" s="5"/>
      <c r="J168" s="5" t="s">
        <v>412</v>
      </c>
      <c r="K168" s="9"/>
      <c r="L168" s="6" t="s">
        <v>208</v>
      </c>
      <c r="M168" s="11">
        <f>INDEX(cennik!$C$2:$L$529,MATCH($L168,cennik!$B$2:$B$522,0),MATCH(M$2,cennik!$C$1:$L$1,0))</f>
        <v>851117</v>
      </c>
      <c r="N168" s="11" t="str">
        <f>INDEX(cennik!$C$2:$L$529,MATCH($L168,cennik!$B$2:$B$522,0),MATCH(N$2,cennik!$C$1:$L$1,0))</f>
        <v>szt.</v>
      </c>
      <c r="O168" s="11">
        <f>O165</f>
        <v>0</v>
      </c>
      <c r="P168" s="34">
        <f>INDEX(cennik!$C$2:$L$529,MATCH($L168,cennik!$B$2:$B$522,0),MATCH(P$2,cennik!$C$1:$L$1,0))</f>
        <v>35.700000000000003</v>
      </c>
      <c r="Q168" s="34">
        <f t="shared" si="363"/>
        <v>0</v>
      </c>
      <c r="R168" s="35">
        <f t="shared" si="360"/>
        <v>0</v>
      </c>
      <c r="S168" s="34">
        <f t="shared" si="361"/>
        <v>35.700000000000003</v>
      </c>
      <c r="T168" s="34">
        <f t="shared" si="362"/>
        <v>0</v>
      </c>
      <c r="U168" s="34">
        <f>INDEX(cennik!$C$2:$L$529,MATCH($L168,cennik!$B$2:$B$522,0),MATCH(U$2,cennik!$C$1:$L$1,0))*O168</f>
        <v>0</v>
      </c>
      <c r="V168" s="62"/>
      <c r="W168" s="170">
        <f>(INDEX(($EL$139:$FI$142,$EL$146:$FI$149,$FL$139:$GI$142,$FL$146:$GI$149),MATCH($L$175,$EK$139:$EK$142,0),MATCH(A176,$EL$138:$FI$138,0),MATCH($G$163,$AE$24:$AE$27,0)))*C176</f>
        <v>0</v>
      </c>
      <c r="X168" s="170">
        <f>(INDEX(($EL$139:$FI$142,$EL$146:$FI$149,$FL$139:$GI$142,$FL$146:$GI$149),MATCH($L$172,$EK$139:$EK$142,0),MATCH(A176,$EL$138:$FI$138,0),MATCH($G$163,$AE$24:$AE$27,0)))*C176</f>
        <v>0</v>
      </c>
      <c r="Y168" s="170">
        <f>(INDEX(($EL$139:$FI$142,$EL$146:$FI$149,$FL$139:$GI$142,$FL$146:$GI$149),MATCH($L$173,$EK$139:$EK$142,0),MATCH(A176,$EL$138:$FI$138,0),MATCH($G$163,$AE$24:$AE$27,0)))*C176</f>
        <v>0</v>
      </c>
      <c r="Z168" s="170">
        <f>(INDEX(($EL$139:$FI$142,$EL$146:$FI$149,$FL$139:$GI$142,$FL$146:$GI$149),MATCH($L$174,$EK$139:$EK$142,0),MATCH(A176,$EL$138:$FI$138,0),MATCH($G$163,$AE$24:$AE$27,0)))*C176</f>
        <v>0</v>
      </c>
      <c r="AA168" s="150"/>
      <c r="AB168" s="150"/>
      <c r="AC168" s="150"/>
      <c r="AD168" s="150"/>
      <c r="AE168" s="150"/>
      <c r="AF168" s="150"/>
      <c r="AG168" s="150"/>
      <c r="AH168" s="150"/>
      <c r="AI168" s="150"/>
      <c r="AJ168" s="150"/>
      <c r="AK168" s="150"/>
      <c r="AL168" s="150"/>
      <c r="AM168" s="150"/>
      <c r="AN168" s="150"/>
      <c r="AO168" s="150"/>
      <c r="AP168" s="150"/>
      <c r="AQ168" s="150"/>
      <c r="AR168" s="150"/>
      <c r="AS168" s="150"/>
      <c r="AT168" s="150"/>
      <c r="AU168" s="150"/>
      <c r="AV168" s="150"/>
      <c r="AW168" s="150"/>
      <c r="AX168" s="150"/>
      <c r="AY168" s="150"/>
      <c r="AZ168" s="150"/>
      <c r="BA168" s="150"/>
      <c r="BB168" s="150"/>
      <c r="BC168" s="150"/>
      <c r="BD168" s="150"/>
      <c r="BE168" s="150"/>
      <c r="BF168" s="150"/>
      <c r="BG168" s="150"/>
      <c r="BH168" s="150" t="s">
        <v>216</v>
      </c>
      <c r="BI168" s="150">
        <f t="shared" ref="BI168:BU170" si="374">BI4/5*4</f>
        <v>0</v>
      </c>
      <c r="BJ168" s="150">
        <f>BJ4/5*4</f>
        <v>0</v>
      </c>
      <c r="BK168" s="150">
        <f t="shared" si="374"/>
        <v>4</v>
      </c>
      <c r="BL168" s="150">
        <f t="shared" si="374"/>
        <v>0</v>
      </c>
      <c r="BM168" s="150">
        <v>4</v>
      </c>
      <c r="BN168" s="150">
        <f t="shared" si="374"/>
        <v>0</v>
      </c>
      <c r="BO168" s="150">
        <v>0</v>
      </c>
      <c r="BP168" s="150">
        <v>0</v>
      </c>
      <c r="BQ168" s="150">
        <v>0</v>
      </c>
      <c r="BR168" s="150">
        <f t="shared" si="374"/>
        <v>0</v>
      </c>
      <c r="BS168" s="150">
        <f t="shared" si="374"/>
        <v>8</v>
      </c>
      <c r="BT168" s="150">
        <v>0</v>
      </c>
      <c r="BU168" s="150">
        <f t="shared" si="374"/>
        <v>8</v>
      </c>
      <c r="BV168" s="150"/>
      <c r="BW168" s="150" t="s">
        <v>216</v>
      </c>
      <c r="BX168" s="150">
        <v>0</v>
      </c>
      <c r="BY168" s="150">
        <f t="shared" si="365"/>
        <v>0</v>
      </c>
      <c r="BZ168" s="150">
        <f t="shared" si="365"/>
        <v>0</v>
      </c>
      <c r="CA168" s="150">
        <f t="shared" si="365"/>
        <v>0</v>
      </c>
      <c r="CB168" s="150">
        <v>0</v>
      </c>
      <c r="CC168" s="150">
        <f t="shared" si="365"/>
        <v>4</v>
      </c>
      <c r="CD168" s="150">
        <v>0</v>
      </c>
      <c r="CE168" s="150">
        <v>4</v>
      </c>
      <c r="CF168" s="150">
        <f t="shared" si="365"/>
        <v>0</v>
      </c>
      <c r="CG168" s="150">
        <v>8</v>
      </c>
      <c r="CH168" s="150">
        <v>0</v>
      </c>
      <c r="CI168" s="150">
        <f t="shared" si="365"/>
        <v>8</v>
      </c>
      <c r="CJ168" s="150">
        <v>0</v>
      </c>
      <c r="CK168" s="150"/>
      <c r="CL168" s="150"/>
      <c r="CM168" s="150"/>
      <c r="CN168" s="150" t="s">
        <v>216</v>
      </c>
      <c r="CO168" s="150">
        <v>0</v>
      </c>
      <c r="CP168" s="150">
        <f t="shared" si="366"/>
        <v>0</v>
      </c>
      <c r="CQ168" s="150">
        <f t="shared" si="366"/>
        <v>0</v>
      </c>
      <c r="CR168" s="150">
        <f t="shared" si="366"/>
        <v>4</v>
      </c>
      <c r="CS168" s="150">
        <f t="shared" si="366"/>
        <v>0</v>
      </c>
      <c r="CT168" s="150">
        <v>0</v>
      </c>
      <c r="CU168" s="150">
        <v>0</v>
      </c>
      <c r="CV168" s="150">
        <v>0</v>
      </c>
      <c r="CW168" s="150">
        <f t="shared" si="366"/>
        <v>4</v>
      </c>
      <c r="CX168" s="150">
        <f t="shared" si="366"/>
        <v>0</v>
      </c>
      <c r="CY168" s="150">
        <f t="shared" si="366"/>
        <v>8</v>
      </c>
      <c r="CZ168" s="150">
        <v>0</v>
      </c>
      <c r="DA168" s="150">
        <v>8</v>
      </c>
      <c r="DB168" s="150"/>
      <c r="DC168" s="150" t="s">
        <v>216</v>
      </c>
      <c r="DD168" s="150">
        <f t="shared" si="367"/>
        <v>0</v>
      </c>
      <c r="DE168" s="150">
        <f t="shared" si="367"/>
        <v>4</v>
      </c>
      <c r="DF168" s="150">
        <f t="shared" si="367"/>
        <v>0</v>
      </c>
      <c r="DG168" s="150">
        <f t="shared" si="367"/>
        <v>8</v>
      </c>
      <c r="DH168" s="150">
        <f t="shared" si="367"/>
        <v>0</v>
      </c>
      <c r="DI168" s="150">
        <v>0</v>
      </c>
      <c r="DJ168" s="150">
        <v>0</v>
      </c>
      <c r="DK168" s="150">
        <f t="shared" si="367"/>
        <v>4</v>
      </c>
      <c r="DL168" s="150">
        <f t="shared" si="367"/>
        <v>8</v>
      </c>
      <c r="DM168" s="150">
        <v>8</v>
      </c>
      <c r="DN168" s="150">
        <f t="shared" si="367"/>
        <v>4</v>
      </c>
      <c r="DO168" s="150">
        <f t="shared" si="367"/>
        <v>8</v>
      </c>
      <c r="DP168" s="150">
        <v>8</v>
      </c>
      <c r="DQ168" s="181"/>
      <c r="DR168" s="181">
        <v>12</v>
      </c>
      <c r="DS168" s="181"/>
      <c r="DT168" s="150" t="s">
        <v>216</v>
      </c>
      <c r="DU168" s="150">
        <v>0</v>
      </c>
      <c r="DV168" s="150">
        <f t="shared" si="368"/>
        <v>4</v>
      </c>
      <c r="DW168" s="150">
        <f t="shared" si="368"/>
        <v>0</v>
      </c>
      <c r="DX168" s="150">
        <f t="shared" si="368"/>
        <v>8</v>
      </c>
      <c r="DY168" s="150">
        <f t="shared" si="368"/>
        <v>8</v>
      </c>
      <c r="DZ168" s="150">
        <f t="shared" si="368"/>
        <v>0</v>
      </c>
      <c r="EA168" s="150">
        <f t="shared" si="368"/>
        <v>8</v>
      </c>
      <c r="EB168" s="150">
        <f t="shared" si="368"/>
        <v>4</v>
      </c>
      <c r="EC168" s="150">
        <f t="shared" si="368"/>
        <v>4</v>
      </c>
      <c r="ED168" s="150">
        <f t="shared" si="368"/>
        <v>4</v>
      </c>
      <c r="EE168" s="150">
        <f t="shared" si="368"/>
        <v>8</v>
      </c>
      <c r="EF168" s="150">
        <f t="shared" si="368"/>
        <v>4</v>
      </c>
      <c r="EG168" s="150">
        <f t="shared" si="368"/>
        <v>0</v>
      </c>
      <c r="EH168" s="150"/>
      <c r="EI168" s="150"/>
      <c r="EJ168" s="150"/>
      <c r="EK168" s="150" t="s">
        <v>523</v>
      </c>
      <c r="EL168" s="150">
        <v>0</v>
      </c>
      <c r="EM168" s="150">
        <f t="shared" ref="EM168:EX168" si="375">EM5/5*4</f>
        <v>4</v>
      </c>
      <c r="EN168" s="150">
        <f t="shared" si="375"/>
        <v>0</v>
      </c>
      <c r="EO168" s="150">
        <f t="shared" si="375"/>
        <v>0</v>
      </c>
      <c r="EP168" s="150">
        <f t="shared" si="375"/>
        <v>0</v>
      </c>
      <c r="EQ168" s="150">
        <f t="shared" si="375"/>
        <v>12</v>
      </c>
      <c r="ER168" s="150">
        <f t="shared" si="375"/>
        <v>4</v>
      </c>
      <c r="ES168" s="150">
        <f t="shared" si="375"/>
        <v>16</v>
      </c>
      <c r="ET168" s="150">
        <f t="shared" si="375"/>
        <v>8</v>
      </c>
      <c r="EU168" s="150">
        <f t="shared" si="375"/>
        <v>20</v>
      </c>
      <c r="EV168" s="150">
        <f t="shared" si="375"/>
        <v>12</v>
      </c>
      <c r="EW168" s="150">
        <f t="shared" si="375"/>
        <v>20</v>
      </c>
      <c r="EX168" s="150">
        <f t="shared" si="375"/>
        <v>16</v>
      </c>
      <c r="EY168" s="150"/>
      <c r="EZ168" s="150" t="s">
        <v>523</v>
      </c>
      <c r="FA168" s="150">
        <v>0</v>
      </c>
      <c r="FB168" s="150">
        <f t="shared" ref="FB168:FM168" si="376">FB5/5*4</f>
        <v>4</v>
      </c>
      <c r="FC168" s="150">
        <f t="shared" si="376"/>
        <v>0</v>
      </c>
      <c r="FD168" s="150">
        <f t="shared" si="376"/>
        <v>0</v>
      </c>
      <c r="FE168" s="150">
        <f t="shared" si="376"/>
        <v>0</v>
      </c>
      <c r="FF168" s="150">
        <f t="shared" si="376"/>
        <v>8</v>
      </c>
      <c r="FG168" s="150">
        <f t="shared" si="376"/>
        <v>4</v>
      </c>
      <c r="FH168" s="150">
        <f t="shared" si="376"/>
        <v>8</v>
      </c>
      <c r="FI168" s="150">
        <f t="shared" si="376"/>
        <v>20</v>
      </c>
      <c r="FJ168" s="150">
        <f t="shared" si="376"/>
        <v>16</v>
      </c>
      <c r="FK168" s="150">
        <f t="shared" si="376"/>
        <v>20</v>
      </c>
      <c r="FL168" s="150">
        <f t="shared" si="376"/>
        <v>16</v>
      </c>
      <c r="FM168" s="150">
        <f t="shared" si="376"/>
        <v>24</v>
      </c>
      <c r="FN168" s="150"/>
      <c r="FO168" s="150" t="s">
        <v>523</v>
      </c>
      <c r="FP168" s="150">
        <v>0</v>
      </c>
      <c r="FQ168" s="150">
        <f t="shared" ref="FQ168:GB168" si="377">FQ5/5*4</f>
        <v>4</v>
      </c>
      <c r="FR168" s="150">
        <f t="shared" si="377"/>
        <v>0</v>
      </c>
      <c r="FS168" s="150">
        <f t="shared" si="377"/>
        <v>4</v>
      </c>
      <c r="FT168" s="150">
        <f t="shared" si="377"/>
        <v>12</v>
      </c>
      <c r="FU168" s="150">
        <f t="shared" si="377"/>
        <v>4</v>
      </c>
      <c r="FV168" s="150">
        <f t="shared" si="377"/>
        <v>16</v>
      </c>
      <c r="FW168" s="150">
        <f t="shared" si="377"/>
        <v>8</v>
      </c>
      <c r="FX168" s="150">
        <f t="shared" si="377"/>
        <v>16</v>
      </c>
      <c r="FY168" s="150">
        <f t="shared" si="377"/>
        <v>24</v>
      </c>
      <c r="FZ168" s="150">
        <f t="shared" si="377"/>
        <v>16</v>
      </c>
      <c r="GA168" s="150">
        <f t="shared" si="377"/>
        <v>24</v>
      </c>
      <c r="GB168" s="150">
        <f t="shared" si="377"/>
        <v>32</v>
      </c>
      <c r="GC168" s="150"/>
      <c r="GD168" s="150" t="s">
        <v>523</v>
      </c>
      <c r="GE168" s="150">
        <v>0</v>
      </c>
      <c r="GF168" s="150">
        <f t="shared" ref="GF168:GQ168" si="378">GF5/5*4</f>
        <v>0</v>
      </c>
      <c r="GG168" s="150">
        <f t="shared" si="378"/>
        <v>0</v>
      </c>
      <c r="GH168" s="150">
        <f t="shared" si="378"/>
        <v>0</v>
      </c>
      <c r="GI168" s="150">
        <f t="shared" si="378"/>
        <v>12</v>
      </c>
      <c r="GJ168" s="150">
        <f t="shared" si="378"/>
        <v>4</v>
      </c>
      <c r="GK168" s="150">
        <f t="shared" si="378"/>
        <v>8</v>
      </c>
      <c r="GL168" s="150">
        <f t="shared" si="378"/>
        <v>16</v>
      </c>
      <c r="GM168" s="150">
        <f t="shared" si="378"/>
        <v>12</v>
      </c>
      <c r="GN168" s="150">
        <f t="shared" si="378"/>
        <v>20</v>
      </c>
      <c r="GO168" s="150">
        <f t="shared" si="378"/>
        <v>24</v>
      </c>
      <c r="GP168" s="150">
        <f t="shared" si="378"/>
        <v>20</v>
      </c>
      <c r="GQ168" s="150">
        <f t="shared" si="378"/>
        <v>28</v>
      </c>
      <c r="GR168" s="150"/>
      <c r="GS168" s="150" t="s">
        <v>523</v>
      </c>
      <c r="GT168" s="150">
        <v>0</v>
      </c>
      <c r="GU168" s="150">
        <f t="shared" ref="GU168:HF168" si="379">GU5/5*4</f>
        <v>0</v>
      </c>
      <c r="GV168" s="150">
        <f t="shared" si="379"/>
        <v>0</v>
      </c>
      <c r="GW168" s="150">
        <f t="shared" si="379"/>
        <v>0</v>
      </c>
      <c r="GX168" s="150">
        <f t="shared" si="379"/>
        <v>4</v>
      </c>
      <c r="GY168" s="150">
        <f t="shared" si="379"/>
        <v>16</v>
      </c>
      <c r="GZ168" s="150">
        <f t="shared" si="379"/>
        <v>8</v>
      </c>
      <c r="HA168" s="150">
        <f t="shared" si="379"/>
        <v>16</v>
      </c>
      <c r="HB168" s="150">
        <f t="shared" si="379"/>
        <v>20</v>
      </c>
      <c r="HC168" s="150">
        <f t="shared" si="379"/>
        <v>24</v>
      </c>
      <c r="HD168" s="150">
        <f t="shared" si="379"/>
        <v>20</v>
      </c>
      <c r="HE168" s="150">
        <f t="shared" si="379"/>
        <v>28</v>
      </c>
      <c r="HF168" s="150">
        <f t="shared" si="379"/>
        <v>36</v>
      </c>
      <c r="HG168" s="150"/>
      <c r="HH168" s="150"/>
    </row>
    <row r="169" spans="1:216" x14ac:dyDescent="0.25">
      <c r="A169" s="8"/>
      <c r="B169" s="5" t="s">
        <v>116</v>
      </c>
      <c r="C169" s="8"/>
      <c r="D169" s="6" t="s">
        <v>511</v>
      </c>
      <c r="E169" s="4"/>
      <c r="F169" s="6"/>
      <c r="G169" s="6"/>
      <c r="H169" s="6"/>
      <c r="I169" s="6"/>
      <c r="J169" s="1"/>
      <c r="K169" s="9"/>
      <c r="L169" s="6" t="str">
        <f>IF(E173=1000,"CMP41H41/1,7MC",IF(E173=2000,"CMP41H41/3MC","-------"))</f>
        <v>CMP41H41/3MC</v>
      </c>
      <c r="M169" s="11">
        <f>INDEX(cennik!$C$2:$L$529,MATCH($L169,cennik!$B$2:$B$522,0),MATCH(M$2,cennik!$C$1:$L$1,0))</f>
        <v>6441305</v>
      </c>
      <c r="N169" s="11" t="str">
        <f>INDEX(cennik!$C$2:$L$529,MATCH($L169,cennik!$B$2:$B$522,0),MATCH(N$2,cennik!$C$1:$L$1,0))</f>
        <v>szt.</v>
      </c>
      <c r="O169" s="11">
        <f>SUM(AA152:AA167)</f>
        <v>0</v>
      </c>
      <c r="P169" s="34">
        <f>INDEX(cennik!$C$2:$L$529,MATCH($L169,cennik!$B$2:$B$522,0),MATCH(P$2,cennik!$C$1:$L$1,0))</f>
        <v>69.55</v>
      </c>
      <c r="Q169" s="34">
        <f t="shared" si="363"/>
        <v>0</v>
      </c>
      <c r="R169" s="35">
        <f t="shared" si="360"/>
        <v>0</v>
      </c>
      <c r="S169" s="34">
        <f t="shared" si="361"/>
        <v>69.55</v>
      </c>
      <c r="T169" s="34">
        <f t="shared" si="362"/>
        <v>0</v>
      </c>
      <c r="U169" s="34">
        <f>INDEX(cennik!$C$2:$L$529,MATCH($L169,cennik!$B$2:$B$522,0),MATCH(U$2,cennik!$C$1:$L$1,0))*O169</f>
        <v>0</v>
      </c>
      <c r="V169" s="62"/>
      <c r="W169" s="170">
        <f>(INDEX(($EL$139:$FI$142,$EL$146:$FI$149,$FL$139:$GI$142,$FL$146:$GI$149),MATCH($L$175,$EK$139:$EK$142,0),MATCH(A177,$EL$138:$FI$138,0),MATCH($G$163,$AE$24:$AE$27,0)))*C177</f>
        <v>0</v>
      </c>
      <c r="X169" s="170">
        <f>(INDEX(($EL$139:$FI$142,$EL$146:$FI$149,$FL$139:$GI$142,$FL$146:$GI$149),MATCH($L$172,$EK$139:$EK$142,0),MATCH(A177,$EL$138:$FI$138,0),MATCH($G$163,$AE$24:$AE$27,0)))*C177</f>
        <v>0</v>
      </c>
      <c r="Y169" s="170">
        <f>(INDEX(($EL$139:$FI$142,$EL$146:$FI$149,$FL$139:$GI$142,$FL$146:$GI$149),MATCH($L$173,$EK$139:$EK$142,0),MATCH(A177,$EL$138:$FI$138,0),MATCH($G$163,$AE$24:$AE$27,0)))*C177</f>
        <v>0</v>
      </c>
      <c r="Z169" s="170">
        <f>(INDEX(($EL$139:$FI$142,$EL$146:$FI$149,$FL$139:$GI$142,$FL$146:$GI$149),MATCH($L$174,$EK$139:$EK$142,0),MATCH(A177,$EL$138:$FI$138,0),MATCH($G$163,$AE$24:$AE$27,0)))*C177</f>
        <v>0</v>
      </c>
      <c r="AA169" s="150"/>
      <c r="AB169" s="150"/>
      <c r="AC169" s="150"/>
      <c r="AD169" s="150"/>
      <c r="AE169" s="150"/>
      <c r="AF169" s="150"/>
      <c r="AG169" s="150"/>
      <c r="AH169" s="150" t="s">
        <v>152</v>
      </c>
      <c r="AI169" s="150" t="s">
        <v>153</v>
      </c>
      <c r="AJ169" s="150"/>
      <c r="AK169" s="150"/>
      <c r="AL169" s="150"/>
      <c r="AM169" s="150"/>
      <c r="AN169" s="150"/>
      <c r="AO169" s="150"/>
      <c r="AP169" s="150"/>
      <c r="AQ169" s="150"/>
      <c r="AR169" s="150"/>
      <c r="AS169" s="150"/>
      <c r="AT169" s="150"/>
      <c r="AU169" s="150"/>
      <c r="AV169" s="150"/>
      <c r="AW169" s="150"/>
      <c r="AX169" s="150"/>
      <c r="AY169" s="150"/>
      <c r="AZ169" s="150"/>
      <c r="BA169" s="150"/>
      <c r="BB169" s="150"/>
      <c r="BC169" s="150"/>
      <c r="BD169" s="150"/>
      <c r="BE169" s="150"/>
      <c r="BF169" s="150"/>
      <c r="BG169" s="150"/>
      <c r="BH169" s="150" t="s">
        <v>17</v>
      </c>
      <c r="BI169" s="150">
        <f t="shared" si="374"/>
        <v>0</v>
      </c>
      <c r="BJ169" s="150">
        <f t="shared" si="374"/>
        <v>4</v>
      </c>
      <c r="BK169" s="150">
        <f t="shared" si="374"/>
        <v>0</v>
      </c>
      <c r="BL169" s="150">
        <f t="shared" si="374"/>
        <v>0</v>
      </c>
      <c r="BM169" s="150">
        <v>4</v>
      </c>
      <c r="BN169" s="150">
        <f t="shared" si="374"/>
        <v>4</v>
      </c>
      <c r="BO169" s="150">
        <v>0</v>
      </c>
      <c r="BP169" s="150">
        <v>0</v>
      </c>
      <c r="BQ169" s="150">
        <v>4</v>
      </c>
      <c r="BR169" s="150">
        <f t="shared" si="374"/>
        <v>4</v>
      </c>
      <c r="BS169" s="150">
        <f t="shared" si="374"/>
        <v>4</v>
      </c>
      <c r="BT169" s="150">
        <v>0</v>
      </c>
      <c r="BU169" s="150">
        <f t="shared" si="374"/>
        <v>0</v>
      </c>
      <c r="BV169" s="150"/>
      <c r="BW169" s="150" t="s">
        <v>17</v>
      </c>
      <c r="BX169" s="150">
        <v>0</v>
      </c>
      <c r="BY169" s="150">
        <f t="shared" si="365"/>
        <v>4</v>
      </c>
      <c r="BZ169" s="150">
        <f t="shared" si="365"/>
        <v>0</v>
      </c>
      <c r="CA169" s="150">
        <f t="shared" si="365"/>
        <v>0</v>
      </c>
      <c r="CB169" s="150">
        <v>4</v>
      </c>
      <c r="CC169" s="150">
        <f t="shared" si="365"/>
        <v>0</v>
      </c>
      <c r="CD169" s="150">
        <v>0</v>
      </c>
      <c r="CE169" s="150">
        <v>4</v>
      </c>
      <c r="CF169" s="150">
        <f t="shared" si="365"/>
        <v>4</v>
      </c>
      <c r="CG169" s="150">
        <v>4</v>
      </c>
      <c r="CH169" s="150">
        <v>0</v>
      </c>
      <c r="CI169" s="150">
        <f t="shared" si="365"/>
        <v>0</v>
      </c>
      <c r="CJ169" s="150">
        <v>4</v>
      </c>
      <c r="CK169" s="150"/>
      <c r="CL169" s="150"/>
      <c r="CM169" s="150"/>
      <c r="CN169" s="150" t="s">
        <v>17</v>
      </c>
      <c r="CO169" s="150">
        <v>0</v>
      </c>
      <c r="CP169" s="150">
        <f t="shared" si="366"/>
        <v>4</v>
      </c>
      <c r="CQ169" s="150">
        <f t="shared" si="366"/>
        <v>0</v>
      </c>
      <c r="CR169" s="150">
        <f t="shared" si="366"/>
        <v>4</v>
      </c>
      <c r="CS169" s="150">
        <f t="shared" si="366"/>
        <v>4</v>
      </c>
      <c r="CT169" s="150">
        <v>0</v>
      </c>
      <c r="CU169" s="150">
        <v>0</v>
      </c>
      <c r="CV169" s="150">
        <v>4</v>
      </c>
      <c r="CW169" s="150">
        <f t="shared" si="366"/>
        <v>0</v>
      </c>
      <c r="CX169" s="150">
        <f t="shared" si="366"/>
        <v>0</v>
      </c>
      <c r="CY169" s="150">
        <f t="shared" si="366"/>
        <v>0</v>
      </c>
      <c r="CZ169" s="150">
        <v>4</v>
      </c>
      <c r="DA169" s="150">
        <v>4</v>
      </c>
      <c r="DB169" s="150"/>
      <c r="DC169" s="150" t="s">
        <v>17</v>
      </c>
      <c r="DD169" s="150">
        <f t="shared" si="367"/>
        <v>0</v>
      </c>
      <c r="DE169" s="150">
        <f t="shared" si="367"/>
        <v>0</v>
      </c>
      <c r="DF169" s="150">
        <f t="shared" si="367"/>
        <v>0</v>
      </c>
      <c r="DG169" s="150">
        <f t="shared" si="367"/>
        <v>0</v>
      </c>
      <c r="DH169" s="150">
        <f t="shared" si="367"/>
        <v>4</v>
      </c>
      <c r="DI169" s="150">
        <v>0</v>
      </c>
      <c r="DJ169" s="150">
        <v>4</v>
      </c>
      <c r="DK169" s="150">
        <f t="shared" si="367"/>
        <v>0</v>
      </c>
      <c r="DL169" s="150">
        <f t="shared" si="367"/>
        <v>4</v>
      </c>
      <c r="DM169" s="150">
        <v>0</v>
      </c>
      <c r="DN169" s="150">
        <f t="shared" si="367"/>
        <v>0</v>
      </c>
      <c r="DO169" s="150">
        <f t="shared" si="367"/>
        <v>4</v>
      </c>
      <c r="DP169" s="150">
        <v>0</v>
      </c>
      <c r="DQ169" s="181"/>
      <c r="DR169" s="181">
        <v>15</v>
      </c>
      <c r="DS169" s="181"/>
      <c r="DT169" s="150" t="s">
        <v>17</v>
      </c>
      <c r="DU169" s="150">
        <v>0</v>
      </c>
      <c r="DV169" s="150">
        <f t="shared" si="368"/>
        <v>0</v>
      </c>
      <c r="DW169" s="150">
        <f t="shared" si="368"/>
        <v>0</v>
      </c>
      <c r="DX169" s="150">
        <f t="shared" si="368"/>
        <v>0</v>
      </c>
      <c r="DY169" s="150">
        <f t="shared" si="368"/>
        <v>4</v>
      </c>
      <c r="DZ169" s="150">
        <f t="shared" si="368"/>
        <v>0</v>
      </c>
      <c r="EA169" s="150">
        <f t="shared" si="368"/>
        <v>0</v>
      </c>
      <c r="EB169" s="150">
        <f t="shared" si="368"/>
        <v>0</v>
      </c>
      <c r="EC169" s="150">
        <f t="shared" si="368"/>
        <v>4</v>
      </c>
      <c r="ED169" s="150">
        <f t="shared" si="368"/>
        <v>0</v>
      </c>
      <c r="EE169" s="150">
        <f t="shared" si="368"/>
        <v>4</v>
      </c>
      <c r="EF169" s="150">
        <f t="shared" si="368"/>
        <v>4</v>
      </c>
      <c r="EG169" s="150">
        <f t="shared" si="368"/>
        <v>4</v>
      </c>
      <c r="EH169" s="150"/>
      <c r="EI169" s="150"/>
      <c r="EJ169" s="150"/>
      <c r="EK169" s="150" t="s">
        <v>524</v>
      </c>
      <c r="EL169" s="150">
        <v>0</v>
      </c>
      <c r="EM169" s="150">
        <f t="shared" ref="EM169:EX169" si="380">EM6/5*4</f>
        <v>0</v>
      </c>
      <c r="EN169" s="150">
        <f t="shared" si="380"/>
        <v>0</v>
      </c>
      <c r="EO169" s="150">
        <f t="shared" si="380"/>
        <v>0</v>
      </c>
      <c r="EP169" s="150">
        <f t="shared" si="380"/>
        <v>4</v>
      </c>
      <c r="EQ169" s="150">
        <f t="shared" si="380"/>
        <v>8</v>
      </c>
      <c r="ER169" s="150">
        <f t="shared" si="380"/>
        <v>8</v>
      </c>
      <c r="ES169" s="150">
        <f t="shared" si="380"/>
        <v>12</v>
      </c>
      <c r="ET169" s="150">
        <f t="shared" si="380"/>
        <v>12</v>
      </c>
      <c r="EU169" s="150">
        <f t="shared" si="380"/>
        <v>16</v>
      </c>
      <c r="EV169" s="150">
        <f t="shared" si="380"/>
        <v>16</v>
      </c>
      <c r="EW169" s="150">
        <f t="shared" si="380"/>
        <v>20</v>
      </c>
      <c r="EX169" s="150">
        <f t="shared" si="380"/>
        <v>20</v>
      </c>
      <c r="EY169" s="150"/>
      <c r="EZ169" s="150" t="s">
        <v>524</v>
      </c>
      <c r="FA169" s="150">
        <v>0</v>
      </c>
      <c r="FB169" s="150">
        <f t="shared" ref="FB169:FM169" si="381">FB6/5*4</f>
        <v>0</v>
      </c>
      <c r="FC169" s="150">
        <f t="shared" si="381"/>
        <v>0</v>
      </c>
      <c r="FD169" s="150">
        <f t="shared" si="381"/>
        <v>0</v>
      </c>
      <c r="FE169" s="150">
        <f t="shared" si="381"/>
        <v>4</v>
      </c>
      <c r="FF169" s="150">
        <f t="shared" si="381"/>
        <v>8</v>
      </c>
      <c r="FG169" s="150">
        <f t="shared" si="381"/>
        <v>8</v>
      </c>
      <c r="FH169" s="150">
        <f t="shared" si="381"/>
        <v>12</v>
      </c>
      <c r="FI169" s="150">
        <f t="shared" si="381"/>
        <v>16</v>
      </c>
      <c r="FJ169" s="150">
        <f t="shared" si="381"/>
        <v>16</v>
      </c>
      <c r="FK169" s="150">
        <f t="shared" si="381"/>
        <v>20</v>
      </c>
      <c r="FL169" s="150">
        <f t="shared" si="381"/>
        <v>20</v>
      </c>
      <c r="FM169" s="150">
        <f t="shared" si="381"/>
        <v>24</v>
      </c>
      <c r="FN169" s="150"/>
      <c r="FO169" s="150" t="s">
        <v>524</v>
      </c>
      <c r="FP169" s="150">
        <v>0</v>
      </c>
      <c r="FQ169" s="150">
        <f t="shared" ref="FQ169:GB169" si="382">FQ6/5*4</f>
        <v>0</v>
      </c>
      <c r="FR169" s="150">
        <f t="shared" si="382"/>
        <v>0</v>
      </c>
      <c r="FS169" s="150">
        <f t="shared" si="382"/>
        <v>4</v>
      </c>
      <c r="FT169" s="150">
        <f t="shared" si="382"/>
        <v>8</v>
      </c>
      <c r="FU169" s="150">
        <f t="shared" si="382"/>
        <v>8</v>
      </c>
      <c r="FV169" s="150">
        <f t="shared" si="382"/>
        <v>12</v>
      </c>
      <c r="FW169" s="150">
        <f t="shared" si="382"/>
        <v>12</v>
      </c>
      <c r="FX169" s="150">
        <f t="shared" si="382"/>
        <v>16</v>
      </c>
      <c r="FY169" s="150">
        <f t="shared" si="382"/>
        <v>20</v>
      </c>
      <c r="FZ169" s="150">
        <f t="shared" si="382"/>
        <v>20</v>
      </c>
      <c r="GA169" s="150">
        <f t="shared" si="382"/>
        <v>24</v>
      </c>
      <c r="GB169" s="150">
        <f t="shared" si="382"/>
        <v>28</v>
      </c>
      <c r="GC169" s="150"/>
      <c r="GD169" s="150" t="s">
        <v>524</v>
      </c>
      <c r="GE169" s="150">
        <v>0</v>
      </c>
      <c r="GF169" s="150">
        <f t="shared" ref="GF169:GQ169" si="383">GF6/5*4</f>
        <v>0</v>
      </c>
      <c r="GG169" s="150">
        <f t="shared" si="383"/>
        <v>0</v>
      </c>
      <c r="GH169" s="150">
        <f t="shared" si="383"/>
        <v>4</v>
      </c>
      <c r="GI169" s="150">
        <f t="shared" si="383"/>
        <v>8</v>
      </c>
      <c r="GJ169" s="150">
        <f t="shared" si="383"/>
        <v>8</v>
      </c>
      <c r="GK169" s="150">
        <f t="shared" si="383"/>
        <v>12</v>
      </c>
      <c r="GL169" s="150">
        <f t="shared" si="383"/>
        <v>16</v>
      </c>
      <c r="GM169" s="150">
        <f t="shared" si="383"/>
        <v>16</v>
      </c>
      <c r="GN169" s="150">
        <f t="shared" si="383"/>
        <v>20</v>
      </c>
      <c r="GO169" s="150">
        <f t="shared" si="383"/>
        <v>24</v>
      </c>
      <c r="GP169" s="150">
        <f t="shared" si="383"/>
        <v>24</v>
      </c>
      <c r="GQ169" s="150">
        <f t="shared" si="383"/>
        <v>28</v>
      </c>
      <c r="GR169" s="150"/>
      <c r="GS169" s="150" t="s">
        <v>524</v>
      </c>
      <c r="GT169" s="150">
        <v>0</v>
      </c>
      <c r="GU169" s="150">
        <f t="shared" ref="GU169:HF169" si="384">GU6/5*4</f>
        <v>0</v>
      </c>
      <c r="GV169" s="150">
        <f t="shared" si="384"/>
        <v>0</v>
      </c>
      <c r="GW169" s="150">
        <f t="shared" si="384"/>
        <v>4</v>
      </c>
      <c r="GX169" s="150">
        <f t="shared" si="384"/>
        <v>8</v>
      </c>
      <c r="GY169" s="150">
        <f t="shared" si="384"/>
        <v>12</v>
      </c>
      <c r="GZ169" s="150">
        <f t="shared" si="384"/>
        <v>12</v>
      </c>
      <c r="HA169" s="150">
        <f t="shared" si="384"/>
        <v>16</v>
      </c>
      <c r="HB169" s="150">
        <f t="shared" si="384"/>
        <v>20</v>
      </c>
      <c r="HC169" s="150">
        <f t="shared" si="384"/>
        <v>24</v>
      </c>
      <c r="HD169" s="150">
        <f t="shared" si="384"/>
        <v>24</v>
      </c>
      <c r="HE169" s="150">
        <f t="shared" si="384"/>
        <v>28</v>
      </c>
      <c r="HF169" s="150">
        <f t="shared" si="384"/>
        <v>32</v>
      </c>
      <c r="HG169" s="150"/>
      <c r="HH169" s="150"/>
    </row>
    <row r="170" spans="1:216" x14ac:dyDescent="0.25">
      <c r="A170" s="8"/>
      <c r="B170" s="5" t="s">
        <v>116</v>
      </c>
      <c r="C170" s="8"/>
      <c r="D170" s="6" t="s">
        <v>310</v>
      </c>
      <c r="E170" s="8">
        <v>30</v>
      </c>
      <c r="F170" s="9"/>
      <c r="G170" s="9"/>
      <c r="H170" s="9"/>
      <c r="I170" s="9"/>
      <c r="J170" s="9"/>
      <c r="K170" s="9"/>
      <c r="L170" s="6" t="s">
        <v>1113</v>
      </c>
      <c r="M170" s="11">
        <f>INDEX(cennik!$C$2:$L$529,MATCH($L170,cennik!$B$2:$B$522,0),MATCH(M$2,cennik!$C$1:$L$1,0))</f>
        <v>850154</v>
      </c>
      <c r="N170" s="11" t="str">
        <f>INDEX(cennik!$C$2:$L$529,MATCH($L170,cennik!$B$2:$B$522,0),MATCH(N$2,cennik!$C$1:$L$1,0))</f>
        <v>szt.</v>
      </c>
      <c r="O170" s="11">
        <f>O165</f>
        <v>0</v>
      </c>
      <c r="P170" s="34">
        <f>INDEX(cennik!$C$2:$L$529,MATCH($L170,cennik!$B$2:$B$522,0),MATCH(P$2,cennik!$C$1:$L$1,0))</f>
        <v>14.98</v>
      </c>
      <c r="Q170" s="34">
        <f t="shared" si="363"/>
        <v>0</v>
      </c>
      <c r="R170" s="35">
        <f t="shared" si="360"/>
        <v>0</v>
      </c>
      <c r="S170" s="34">
        <f t="shared" si="361"/>
        <v>14.98</v>
      </c>
      <c r="T170" s="34">
        <f t="shared" si="362"/>
        <v>0</v>
      </c>
      <c r="U170" s="34">
        <f>INDEX(cennik!$C$2:$L$529,MATCH($L170,cennik!$B$2:$B$522,0),MATCH(U$2,cennik!$C$1:$L$1,0))*O170</f>
        <v>0</v>
      </c>
      <c r="V170" s="62"/>
      <c r="W170" s="150"/>
      <c r="X170" s="150"/>
      <c r="Y170" s="150"/>
      <c r="Z170" s="150"/>
      <c r="AA170" s="150"/>
      <c r="AB170" s="150"/>
      <c r="AC170" s="150"/>
      <c r="AD170" s="150"/>
      <c r="AE170" s="150"/>
      <c r="AF170" s="150"/>
      <c r="AG170" s="150"/>
      <c r="AH170" s="150">
        <v>39</v>
      </c>
      <c r="AI170" s="150">
        <v>2200</v>
      </c>
      <c r="AJ170" s="150"/>
      <c r="AK170" s="150"/>
      <c r="AL170" s="150"/>
      <c r="AM170" s="150"/>
      <c r="AN170" s="150"/>
      <c r="AO170" s="150"/>
      <c r="AP170" s="150"/>
      <c r="AQ170" s="150"/>
      <c r="AR170" s="150"/>
      <c r="AS170" s="150"/>
      <c r="AT170" s="150"/>
      <c r="AU170" s="150"/>
      <c r="AV170" s="150"/>
      <c r="AW170" s="150"/>
      <c r="AX170" s="150"/>
      <c r="AY170" s="150"/>
      <c r="AZ170" s="150"/>
      <c r="BA170" s="150"/>
      <c r="BB170" s="150"/>
      <c r="BC170" s="150"/>
      <c r="BD170" s="150"/>
      <c r="BE170" s="150"/>
      <c r="BF170" s="150"/>
      <c r="BG170" s="150"/>
      <c r="BH170" s="158" t="s">
        <v>18</v>
      </c>
      <c r="BI170" s="150">
        <f t="shared" si="374"/>
        <v>0</v>
      </c>
      <c r="BJ170" s="150">
        <f t="shared" si="374"/>
        <v>0</v>
      </c>
      <c r="BK170" s="150">
        <f t="shared" si="374"/>
        <v>0</v>
      </c>
      <c r="BL170" s="150">
        <f t="shared" si="374"/>
        <v>0</v>
      </c>
      <c r="BM170" s="150">
        <v>4</v>
      </c>
      <c r="BN170" s="150">
        <f t="shared" si="374"/>
        <v>4</v>
      </c>
      <c r="BO170" s="150">
        <v>4</v>
      </c>
      <c r="BP170" s="150">
        <v>4</v>
      </c>
      <c r="BQ170" s="150">
        <v>8</v>
      </c>
      <c r="BR170" s="150">
        <f t="shared" si="374"/>
        <v>8</v>
      </c>
      <c r="BS170" s="150">
        <f t="shared" si="374"/>
        <v>12</v>
      </c>
      <c r="BT170" s="150">
        <v>8</v>
      </c>
      <c r="BU170" s="150">
        <f t="shared" si="374"/>
        <v>12</v>
      </c>
      <c r="BV170" s="150"/>
      <c r="BW170" s="150" t="s">
        <v>18</v>
      </c>
      <c r="BX170" s="150">
        <v>0</v>
      </c>
      <c r="BY170" s="150">
        <f t="shared" si="365"/>
        <v>0</v>
      </c>
      <c r="BZ170" s="150">
        <f t="shared" si="365"/>
        <v>0</v>
      </c>
      <c r="CA170" s="150">
        <f t="shared" si="365"/>
        <v>0</v>
      </c>
      <c r="CB170" s="150">
        <v>4</v>
      </c>
      <c r="CC170" s="150">
        <f t="shared" si="365"/>
        <v>4</v>
      </c>
      <c r="CD170" s="150">
        <v>4</v>
      </c>
      <c r="CE170" s="150">
        <v>8</v>
      </c>
      <c r="CF170" s="150">
        <f t="shared" si="365"/>
        <v>8</v>
      </c>
      <c r="CG170" s="150">
        <v>12</v>
      </c>
      <c r="CH170" s="150">
        <v>8</v>
      </c>
      <c r="CI170" s="150">
        <f t="shared" si="365"/>
        <v>12</v>
      </c>
      <c r="CJ170" s="150">
        <v>12</v>
      </c>
      <c r="CK170" s="150"/>
      <c r="CL170" s="150"/>
      <c r="CM170" s="150"/>
      <c r="CN170" s="150" t="s">
        <v>18</v>
      </c>
      <c r="CO170" s="150">
        <v>0</v>
      </c>
      <c r="CP170" s="150">
        <f t="shared" si="366"/>
        <v>0</v>
      </c>
      <c r="CQ170" s="150">
        <f t="shared" si="366"/>
        <v>0</v>
      </c>
      <c r="CR170" s="150">
        <f t="shared" si="366"/>
        <v>4</v>
      </c>
      <c r="CS170" s="150">
        <f t="shared" si="366"/>
        <v>4</v>
      </c>
      <c r="CT170" s="150">
        <v>4</v>
      </c>
      <c r="CU170" s="150">
        <v>4</v>
      </c>
      <c r="CV170" s="150">
        <v>8</v>
      </c>
      <c r="CW170" s="150">
        <f t="shared" si="366"/>
        <v>8</v>
      </c>
      <c r="CX170" s="150">
        <f t="shared" si="366"/>
        <v>8</v>
      </c>
      <c r="CY170" s="150">
        <f t="shared" si="366"/>
        <v>12</v>
      </c>
      <c r="CZ170" s="150">
        <v>12</v>
      </c>
      <c r="DA170" s="150">
        <v>16</v>
      </c>
      <c r="DB170" s="150"/>
      <c r="DC170" s="158" t="s">
        <v>18</v>
      </c>
      <c r="DD170" s="150">
        <f t="shared" si="367"/>
        <v>0</v>
      </c>
      <c r="DE170" s="150">
        <f t="shared" si="367"/>
        <v>0</v>
      </c>
      <c r="DF170" s="150">
        <f t="shared" si="367"/>
        <v>0</v>
      </c>
      <c r="DG170" s="150">
        <f t="shared" si="367"/>
        <v>4</v>
      </c>
      <c r="DH170" s="150">
        <f t="shared" si="367"/>
        <v>4</v>
      </c>
      <c r="DI170" s="150">
        <v>4</v>
      </c>
      <c r="DJ170" s="150">
        <v>8</v>
      </c>
      <c r="DK170" s="150">
        <f t="shared" si="367"/>
        <v>8</v>
      </c>
      <c r="DL170" s="150">
        <f t="shared" si="367"/>
        <v>12</v>
      </c>
      <c r="DM170" s="150">
        <v>12</v>
      </c>
      <c r="DN170" s="150">
        <f t="shared" si="367"/>
        <v>12</v>
      </c>
      <c r="DO170" s="150">
        <f t="shared" si="367"/>
        <v>16</v>
      </c>
      <c r="DP170" s="150">
        <v>16</v>
      </c>
      <c r="DQ170" s="181"/>
      <c r="DR170" s="181">
        <v>18</v>
      </c>
      <c r="DS170" s="181"/>
      <c r="DT170" s="158" t="s">
        <v>18</v>
      </c>
      <c r="DU170" s="158">
        <v>0</v>
      </c>
      <c r="DV170" s="150">
        <f t="shared" si="368"/>
        <v>0</v>
      </c>
      <c r="DW170" s="150">
        <f t="shared" si="368"/>
        <v>0</v>
      </c>
      <c r="DX170" s="150">
        <f t="shared" si="368"/>
        <v>4</v>
      </c>
      <c r="DY170" s="150">
        <f t="shared" si="368"/>
        <v>8</v>
      </c>
      <c r="DZ170" s="150">
        <f t="shared" si="368"/>
        <v>4</v>
      </c>
      <c r="EA170" s="150">
        <f t="shared" si="368"/>
        <v>8</v>
      </c>
      <c r="EB170" s="150">
        <f t="shared" si="368"/>
        <v>8</v>
      </c>
      <c r="EC170" s="150">
        <f t="shared" si="368"/>
        <v>12</v>
      </c>
      <c r="ED170" s="150">
        <f t="shared" si="368"/>
        <v>12</v>
      </c>
      <c r="EE170" s="150">
        <f t="shared" si="368"/>
        <v>16</v>
      </c>
      <c r="EF170" s="150">
        <f t="shared" si="368"/>
        <v>16</v>
      </c>
      <c r="EG170" s="150">
        <f t="shared" si="368"/>
        <v>16</v>
      </c>
      <c r="EH170" s="150"/>
      <c r="EI170" s="150"/>
      <c r="EJ170" s="150"/>
      <c r="EK170" s="150"/>
      <c r="EL170" s="150"/>
      <c r="EM170" s="150"/>
      <c r="EN170" s="150"/>
      <c r="EO170" s="150"/>
      <c r="EP170" s="150"/>
      <c r="EQ170" s="150"/>
      <c r="ER170" s="150"/>
      <c r="ES170" s="150"/>
      <c r="ET170" s="150"/>
      <c r="EU170" s="150"/>
      <c r="EV170" s="150"/>
      <c r="EW170" s="150"/>
      <c r="EX170" s="150"/>
      <c r="EY170" s="150"/>
      <c r="EZ170" s="150"/>
      <c r="FA170" s="150"/>
      <c r="FB170" s="150"/>
      <c r="FC170" s="150"/>
      <c r="FD170" s="150"/>
      <c r="FE170" s="150"/>
      <c r="FF170" s="150"/>
      <c r="FG170" s="150"/>
      <c r="FH170" s="150"/>
      <c r="FI170" s="150"/>
      <c r="FJ170" s="150"/>
      <c r="FK170" s="150"/>
      <c r="FL170" s="150"/>
      <c r="FM170" s="150"/>
      <c r="FN170" s="150"/>
      <c r="FO170" s="150"/>
      <c r="FP170" s="150"/>
      <c r="FQ170" s="150"/>
      <c r="FR170" s="150"/>
      <c r="FS170" s="150"/>
      <c r="FT170" s="150"/>
      <c r="FU170" s="150"/>
      <c r="FV170" s="150"/>
      <c r="FW170" s="150"/>
      <c r="FX170" s="150"/>
      <c r="FY170" s="150"/>
      <c r="FZ170" s="150"/>
      <c r="GA170" s="150"/>
      <c r="GB170" s="150"/>
      <c r="GC170" s="150"/>
      <c r="GD170" s="150"/>
      <c r="GE170" s="150"/>
      <c r="GF170" s="150"/>
      <c r="GG170" s="150"/>
      <c r="GH170" s="150"/>
      <c r="GI170" s="150"/>
      <c r="GJ170" s="150"/>
      <c r="GK170" s="150"/>
      <c r="GL170" s="150"/>
      <c r="GM170" s="150"/>
      <c r="GN170" s="150"/>
      <c r="GO170" s="150"/>
      <c r="GP170" s="150"/>
      <c r="GQ170" s="150"/>
      <c r="GR170" s="150"/>
      <c r="GS170" s="150"/>
      <c r="GT170" s="150"/>
      <c r="GU170" s="150"/>
      <c r="GV170" s="150"/>
      <c r="GW170" s="150"/>
      <c r="GX170" s="150"/>
      <c r="GY170" s="150"/>
      <c r="GZ170" s="150"/>
      <c r="HA170" s="150"/>
      <c r="HB170" s="150"/>
      <c r="HC170" s="150"/>
      <c r="HD170" s="150"/>
      <c r="HE170" s="150"/>
      <c r="HF170" s="150"/>
      <c r="HG170" s="150"/>
      <c r="HH170" s="150"/>
    </row>
    <row r="171" spans="1:216" x14ac:dyDescent="0.25">
      <c r="A171" s="8"/>
      <c r="B171" s="5" t="s">
        <v>116</v>
      </c>
      <c r="C171" s="8"/>
      <c r="D171" s="6" t="s">
        <v>787</v>
      </c>
      <c r="E171" s="8">
        <v>1</v>
      </c>
      <c r="F171" s="39" t="s">
        <v>789</v>
      </c>
      <c r="G171" s="9"/>
      <c r="H171" s="9"/>
      <c r="I171" s="9"/>
      <c r="J171" s="9"/>
      <c r="K171" s="9"/>
      <c r="L171" s="6" t="s">
        <v>445</v>
      </c>
      <c r="M171" s="11">
        <f>INDEX(cennik!$C$2:$L$529,MATCH($L171,cennik!$B$2:$B$522,0),MATCH(M$2,cennik!$C$1:$L$1,0))</f>
        <v>858022</v>
      </c>
      <c r="N171" s="11" t="str">
        <f>INDEX(cennik!$C$2:$L$529,MATCH($L171,cennik!$B$2:$B$522,0),MATCH(N$2,cennik!$C$1:$L$1,0))</f>
        <v>szt.</v>
      </c>
      <c r="O171" s="11">
        <f>0</f>
        <v>0</v>
      </c>
      <c r="P171" s="34">
        <f>INDEX(cennik!$C$2:$L$529,MATCH($L171,cennik!$B$2:$B$522,0),MATCH(P$2,cennik!$C$1:$L$1,0))</f>
        <v>4.5</v>
      </c>
      <c r="Q171" s="34">
        <f t="shared" ref="Q171:Q186" si="385">O171*P171</f>
        <v>0</v>
      </c>
      <c r="R171" s="35">
        <f t="shared" si="360"/>
        <v>0</v>
      </c>
      <c r="S171" s="34">
        <f t="shared" si="361"/>
        <v>4.5</v>
      </c>
      <c r="T171" s="34">
        <f t="shared" ref="T171:T185" si="386">O171*S171</f>
        <v>0</v>
      </c>
      <c r="U171" s="34">
        <f>INDEX(cennik!$C$2:$L$529,MATCH($L171,cennik!$B$2:$B$522,0),MATCH(U$2,cennik!$C$1:$L$1,0))*O171</f>
        <v>0</v>
      </c>
      <c r="V171" s="62"/>
      <c r="AC171" s="150"/>
      <c r="AD171" s="150"/>
      <c r="AE171" s="150"/>
      <c r="AF171" s="150"/>
      <c r="AG171" s="150"/>
      <c r="AH171" s="150">
        <f>((AH170/3)*AI170)+(((AH170/3)-1)*20)-700</f>
        <v>28140</v>
      </c>
      <c r="AI171" s="150" t="s">
        <v>158</v>
      </c>
      <c r="AJ171" s="150" t="s">
        <v>156</v>
      </c>
      <c r="AK171" s="150" t="s">
        <v>155</v>
      </c>
      <c r="AL171" s="150"/>
      <c r="AM171" s="150" t="s">
        <v>157</v>
      </c>
      <c r="AN171" s="150"/>
      <c r="AO171" s="150"/>
      <c r="AP171" s="150"/>
      <c r="AQ171" s="150"/>
      <c r="AR171" s="150"/>
      <c r="AS171" s="150"/>
      <c r="AT171" s="150"/>
      <c r="AU171" s="150"/>
      <c r="AV171" s="150"/>
      <c r="AW171" s="150"/>
      <c r="AX171" s="150"/>
      <c r="AY171" s="150"/>
      <c r="AZ171" s="150"/>
      <c r="BA171" s="150"/>
      <c r="BB171" s="150"/>
      <c r="BC171" s="150"/>
      <c r="BD171" s="150"/>
      <c r="BE171" s="150"/>
      <c r="BF171" s="150"/>
      <c r="BG171" s="150"/>
      <c r="BH171" s="150"/>
      <c r="BI171" s="150"/>
      <c r="BJ171" s="150"/>
      <c r="BK171" s="150"/>
      <c r="BL171" s="150"/>
      <c r="BM171" s="150"/>
      <c r="BN171" s="150"/>
      <c r="BO171" s="150"/>
      <c r="BP171" s="150"/>
      <c r="BQ171" s="150"/>
      <c r="BR171" s="150"/>
      <c r="BS171" s="150"/>
      <c r="BT171" s="150"/>
      <c r="BU171" s="150"/>
      <c r="BV171" s="150"/>
      <c r="BW171" s="150"/>
      <c r="BX171" s="150"/>
      <c r="BY171" s="150"/>
      <c r="BZ171" s="150"/>
      <c r="CA171" s="150"/>
      <c r="CB171" s="150"/>
      <c r="CC171" s="150"/>
      <c r="CD171" s="150"/>
      <c r="CE171" s="150"/>
      <c r="CF171" s="150"/>
      <c r="CG171" s="150"/>
      <c r="CH171" s="150"/>
      <c r="CI171" s="150"/>
      <c r="CJ171" s="150"/>
      <c r="CK171" s="150"/>
      <c r="CL171" s="150"/>
      <c r="CM171" s="150"/>
      <c r="CN171" s="150"/>
      <c r="CO171" s="150"/>
      <c r="CP171" s="150"/>
      <c r="CQ171" s="150"/>
      <c r="CR171" s="150"/>
      <c r="CS171" s="150"/>
      <c r="CT171" s="150"/>
      <c r="CU171" s="150"/>
      <c r="CV171" s="150"/>
      <c r="CW171" s="150"/>
      <c r="CX171" s="150"/>
      <c r="CY171" s="150"/>
      <c r="CZ171" s="150"/>
      <c r="DA171" s="150"/>
      <c r="DB171" s="150"/>
      <c r="DC171" s="150"/>
      <c r="DD171" s="150"/>
      <c r="DE171" s="150"/>
      <c r="DF171" s="150"/>
      <c r="DG171" s="150"/>
      <c r="DH171" s="150"/>
      <c r="DI171" s="150"/>
      <c r="DJ171" s="150"/>
      <c r="DK171" s="150"/>
      <c r="DL171" s="150"/>
      <c r="DM171" s="150"/>
      <c r="DN171" s="150"/>
      <c r="DO171" s="150"/>
      <c r="DP171" s="150"/>
      <c r="DQ171" s="181"/>
      <c r="DR171" s="181">
        <v>21</v>
      </c>
      <c r="DS171" s="181"/>
      <c r="DT171" s="150"/>
      <c r="DU171" s="150"/>
      <c r="DV171" s="150"/>
      <c r="DW171" s="150"/>
      <c r="DX171" s="150"/>
      <c r="DY171" s="150"/>
      <c r="DZ171" s="150"/>
      <c r="EA171" s="150"/>
      <c r="EB171" s="150"/>
      <c r="EC171" s="150"/>
      <c r="ED171" s="150"/>
      <c r="EE171" s="150"/>
      <c r="EF171" s="150"/>
      <c r="EG171" s="150"/>
      <c r="EH171" s="150"/>
      <c r="EI171" s="150"/>
      <c r="EJ171" s="150"/>
      <c r="EK171" s="150" t="s">
        <v>112</v>
      </c>
      <c r="EL171" s="150">
        <v>0</v>
      </c>
      <c r="EM171" s="150">
        <v>6</v>
      </c>
      <c r="EN171" s="150">
        <v>9</v>
      </c>
      <c r="EO171" s="150">
        <v>12</v>
      </c>
      <c r="EP171" s="150">
        <v>15</v>
      </c>
      <c r="EQ171" s="150">
        <v>18</v>
      </c>
      <c r="ER171" s="150">
        <v>21</v>
      </c>
      <c r="ES171" s="150">
        <v>24</v>
      </c>
      <c r="ET171" s="150">
        <v>27</v>
      </c>
      <c r="EU171" s="150">
        <v>30</v>
      </c>
      <c r="EV171" s="150">
        <v>33</v>
      </c>
      <c r="EW171" s="150">
        <v>36</v>
      </c>
      <c r="EX171" s="150">
        <v>39</v>
      </c>
      <c r="EY171" s="150"/>
      <c r="EZ171" s="150" t="s">
        <v>472</v>
      </c>
      <c r="FA171" s="150">
        <v>0</v>
      </c>
      <c r="FB171" s="150">
        <v>6</v>
      </c>
      <c r="FC171" s="150">
        <v>9</v>
      </c>
      <c r="FD171" s="150">
        <v>12</v>
      </c>
      <c r="FE171" s="150">
        <v>15</v>
      </c>
      <c r="FF171" s="150">
        <v>18</v>
      </c>
      <c r="FG171" s="150">
        <v>21</v>
      </c>
      <c r="FH171" s="150">
        <v>24</v>
      </c>
      <c r="FI171" s="150">
        <v>27</v>
      </c>
      <c r="FJ171" s="150">
        <v>30</v>
      </c>
      <c r="FK171" s="150">
        <v>33</v>
      </c>
      <c r="FL171" s="150">
        <v>36</v>
      </c>
      <c r="FM171" s="150">
        <v>39</v>
      </c>
      <c r="FN171" s="150"/>
      <c r="FO171" s="150" t="s">
        <v>113</v>
      </c>
      <c r="FP171" s="150">
        <v>0</v>
      </c>
      <c r="FQ171" s="150">
        <v>6</v>
      </c>
      <c r="FR171" s="150">
        <v>9</v>
      </c>
      <c r="FS171" s="150">
        <v>12</v>
      </c>
      <c r="FT171" s="150">
        <v>15</v>
      </c>
      <c r="FU171" s="150">
        <v>18</v>
      </c>
      <c r="FV171" s="150">
        <v>21</v>
      </c>
      <c r="FW171" s="150">
        <v>24</v>
      </c>
      <c r="FX171" s="150">
        <v>27</v>
      </c>
      <c r="FY171" s="150">
        <v>30</v>
      </c>
      <c r="FZ171" s="150">
        <v>33</v>
      </c>
      <c r="GA171" s="150">
        <v>36</v>
      </c>
      <c r="GB171" s="150">
        <v>39</v>
      </c>
      <c r="GC171" s="150"/>
      <c r="GD171" s="150" t="s">
        <v>478</v>
      </c>
      <c r="GE171" s="150">
        <v>0</v>
      </c>
      <c r="GF171" s="150">
        <v>6</v>
      </c>
      <c r="GG171" s="150">
        <v>9</v>
      </c>
      <c r="GH171" s="150">
        <v>12</v>
      </c>
      <c r="GI171" s="150">
        <v>15</v>
      </c>
      <c r="GJ171" s="150">
        <v>18</v>
      </c>
      <c r="GK171" s="150">
        <v>21</v>
      </c>
      <c r="GL171" s="150">
        <v>24</v>
      </c>
      <c r="GM171" s="150">
        <v>27</v>
      </c>
      <c r="GN171" s="150">
        <v>30</v>
      </c>
      <c r="GO171" s="150">
        <v>33</v>
      </c>
      <c r="GP171" s="150">
        <v>36</v>
      </c>
      <c r="GQ171" s="150">
        <v>39</v>
      </c>
      <c r="GR171" s="150"/>
      <c r="GS171" s="150" t="s">
        <v>507</v>
      </c>
      <c r="GT171" s="150">
        <v>0</v>
      </c>
      <c r="GU171" s="150">
        <v>6</v>
      </c>
      <c r="GV171" s="150">
        <v>9</v>
      </c>
      <c r="GW171" s="150">
        <v>12</v>
      </c>
      <c r="GX171" s="150">
        <v>15</v>
      </c>
      <c r="GY171" s="150">
        <v>18</v>
      </c>
      <c r="GZ171" s="150">
        <v>21</v>
      </c>
      <c r="HA171" s="150">
        <v>24</v>
      </c>
      <c r="HB171" s="150">
        <v>27</v>
      </c>
      <c r="HC171" s="150">
        <v>30</v>
      </c>
      <c r="HD171" s="150">
        <v>33</v>
      </c>
      <c r="HE171" s="150">
        <v>36</v>
      </c>
      <c r="HF171" s="150">
        <v>39</v>
      </c>
      <c r="HG171" s="150"/>
      <c r="HH171" s="150"/>
    </row>
    <row r="172" spans="1:216" x14ac:dyDescent="0.25">
      <c r="A172" s="8"/>
      <c r="B172" s="5" t="s">
        <v>116</v>
      </c>
      <c r="C172" s="8"/>
      <c r="D172" s="6" t="s">
        <v>788</v>
      </c>
      <c r="E172" s="8" t="s">
        <v>1157</v>
      </c>
      <c r="F172" s="39" t="s">
        <v>790</v>
      </c>
      <c r="G172" s="9"/>
      <c r="H172" s="9"/>
      <c r="I172" s="9"/>
      <c r="J172" s="9"/>
      <c r="K172" s="9"/>
      <c r="L172" s="6" t="s">
        <v>586</v>
      </c>
      <c r="M172" s="11">
        <f>INDEX(cennik!$C$2:$L$529,MATCH($L172,cennik!$B$2:$B$522,0),MATCH(M$2,cennik!$C$1:$L$1,0))</f>
        <v>867566</v>
      </c>
      <c r="N172" s="11" t="str">
        <f>INDEX(cennik!$C$2:$L$529,MATCH($L172,cennik!$B$2:$B$522,0),MATCH(N$2,cennik!$C$1:$L$1,0))</f>
        <v>szt.</v>
      </c>
      <c r="O172" s="11">
        <f>SUM(X154:X169)</f>
        <v>0</v>
      </c>
      <c r="P172" s="34">
        <f>INDEX(cennik!$C$2:$L$529,MATCH($L172,cennik!$B$2:$B$522,0),MATCH(P$2,cennik!$C$1:$L$1,0))</f>
        <v>265.20999999999998</v>
      </c>
      <c r="Q172" s="34">
        <f t="shared" si="385"/>
        <v>0</v>
      </c>
      <c r="R172" s="35">
        <f t="shared" si="360"/>
        <v>0</v>
      </c>
      <c r="S172" s="34">
        <f t="shared" si="361"/>
        <v>265.20999999999998</v>
      </c>
      <c r="T172" s="34">
        <f t="shared" si="386"/>
        <v>0</v>
      </c>
      <c r="U172" s="34">
        <f>INDEX(cennik!$C$2:$L$529,MATCH($L172,cennik!$B$2:$B$522,0),MATCH(U$2,cennik!$C$1:$L$1,0))*O172</f>
        <v>0</v>
      </c>
      <c r="V172" s="62"/>
      <c r="AC172" s="150"/>
      <c r="AD172" s="150"/>
      <c r="AE172" s="150"/>
      <c r="AF172" s="150"/>
      <c r="AG172" s="150" t="s">
        <v>217</v>
      </c>
      <c r="AH172" s="150">
        <v>6600</v>
      </c>
      <c r="AI172" s="150">
        <v>3</v>
      </c>
      <c r="AJ172" s="150">
        <f>AH172*AI172</f>
        <v>19800</v>
      </c>
      <c r="AK172" s="150">
        <v>191.1</v>
      </c>
      <c r="AL172" s="150">
        <f>AI172*AK172</f>
        <v>573.29999999999995</v>
      </c>
      <c r="AM172" s="150">
        <f>AI172*4</f>
        <v>12</v>
      </c>
      <c r="AN172" s="150"/>
      <c r="AO172" s="150"/>
      <c r="AP172" s="150"/>
      <c r="AQ172" s="150"/>
      <c r="AR172" s="150"/>
      <c r="AS172" s="150"/>
      <c r="AT172" s="150"/>
      <c r="AU172" s="150"/>
      <c r="AV172" s="150"/>
      <c r="AW172" s="150"/>
      <c r="AX172" s="150"/>
      <c r="AY172" s="150"/>
      <c r="AZ172" s="150"/>
      <c r="BA172" s="150"/>
      <c r="BB172" s="150"/>
      <c r="BC172" s="150"/>
      <c r="BD172" s="150"/>
      <c r="BE172" s="150"/>
      <c r="BF172" s="150"/>
      <c r="BG172" s="150"/>
      <c r="BH172" s="150" t="s">
        <v>112</v>
      </c>
      <c r="BI172" s="150">
        <v>0</v>
      </c>
      <c r="BJ172" s="150">
        <v>6</v>
      </c>
      <c r="BK172" s="150">
        <v>9</v>
      </c>
      <c r="BL172" s="150">
        <v>12</v>
      </c>
      <c r="BM172" s="150">
        <v>15</v>
      </c>
      <c r="BN172" s="150">
        <v>18</v>
      </c>
      <c r="BO172" s="150">
        <v>21</v>
      </c>
      <c r="BP172" s="150">
        <v>24</v>
      </c>
      <c r="BQ172" s="150">
        <v>27</v>
      </c>
      <c r="BR172" s="150">
        <v>30</v>
      </c>
      <c r="BS172" s="150">
        <v>33</v>
      </c>
      <c r="BT172" s="150">
        <v>36</v>
      </c>
      <c r="BU172" s="150">
        <v>39</v>
      </c>
      <c r="BV172" s="150"/>
      <c r="BW172" s="150" t="s">
        <v>472</v>
      </c>
      <c r="BX172" s="150">
        <v>0</v>
      </c>
      <c r="BY172" s="150">
        <v>6</v>
      </c>
      <c r="BZ172" s="150">
        <v>9</v>
      </c>
      <c r="CA172" s="150">
        <v>12</v>
      </c>
      <c r="CB172" s="150">
        <v>15</v>
      </c>
      <c r="CC172" s="150">
        <v>18</v>
      </c>
      <c r="CD172" s="150">
        <v>21</v>
      </c>
      <c r="CE172" s="150">
        <v>24</v>
      </c>
      <c r="CF172" s="150">
        <v>27</v>
      </c>
      <c r="CG172" s="150">
        <v>30</v>
      </c>
      <c r="CH172" s="150">
        <v>33</v>
      </c>
      <c r="CI172" s="150">
        <v>36</v>
      </c>
      <c r="CJ172" s="150">
        <v>39</v>
      </c>
      <c r="CK172" s="150"/>
      <c r="CL172" s="150"/>
      <c r="CM172" s="150"/>
      <c r="CN172" s="150" t="s">
        <v>113</v>
      </c>
      <c r="CO172" s="150">
        <v>0</v>
      </c>
      <c r="CP172" s="150">
        <v>6</v>
      </c>
      <c r="CQ172" s="150">
        <v>9</v>
      </c>
      <c r="CR172" s="150">
        <v>12</v>
      </c>
      <c r="CS172" s="150">
        <v>15</v>
      </c>
      <c r="CT172" s="150">
        <v>18</v>
      </c>
      <c r="CU172" s="150">
        <v>21</v>
      </c>
      <c r="CV172" s="150">
        <v>24</v>
      </c>
      <c r="CW172" s="150">
        <v>27</v>
      </c>
      <c r="CX172" s="150">
        <v>30</v>
      </c>
      <c r="CY172" s="150">
        <v>33</v>
      </c>
      <c r="CZ172" s="150">
        <v>36</v>
      </c>
      <c r="DA172" s="150">
        <v>39</v>
      </c>
      <c r="DB172" s="150"/>
      <c r="DC172" s="150" t="s">
        <v>478</v>
      </c>
      <c r="DD172" s="150">
        <v>0</v>
      </c>
      <c r="DE172" s="150">
        <v>6</v>
      </c>
      <c r="DF172" s="150">
        <v>9</v>
      </c>
      <c r="DG172" s="150">
        <v>12</v>
      </c>
      <c r="DH172" s="150">
        <v>15</v>
      </c>
      <c r="DI172" s="150">
        <v>18</v>
      </c>
      <c r="DJ172" s="150">
        <v>21</v>
      </c>
      <c r="DK172" s="150">
        <v>24</v>
      </c>
      <c r="DL172" s="150">
        <v>27</v>
      </c>
      <c r="DM172" s="150">
        <v>30</v>
      </c>
      <c r="DN172" s="150">
        <v>33</v>
      </c>
      <c r="DO172" s="150">
        <v>36</v>
      </c>
      <c r="DP172" s="150">
        <v>39</v>
      </c>
      <c r="DQ172" s="181"/>
      <c r="DR172" s="181">
        <v>24</v>
      </c>
      <c r="DS172" s="181"/>
      <c r="DT172" s="150" t="s">
        <v>507</v>
      </c>
      <c r="DU172" s="150">
        <v>0</v>
      </c>
      <c r="DV172" s="150">
        <v>8</v>
      </c>
      <c r="DW172" s="150">
        <v>12</v>
      </c>
      <c r="DX172" s="150">
        <v>16</v>
      </c>
      <c r="DY172" s="150">
        <v>20</v>
      </c>
      <c r="DZ172" s="150">
        <v>24</v>
      </c>
      <c r="EA172" s="150">
        <v>28</v>
      </c>
      <c r="EB172" s="150">
        <v>32</v>
      </c>
      <c r="EC172" s="150">
        <v>36</v>
      </c>
      <c r="ED172" s="150">
        <v>40</v>
      </c>
      <c r="EE172" s="150">
        <v>44</v>
      </c>
      <c r="EF172" s="150">
        <v>48</v>
      </c>
      <c r="EG172" s="150">
        <v>52</v>
      </c>
      <c r="EH172" s="150"/>
      <c r="EI172" s="150"/>
      <c r="EJ172" s="150"/>
      <c r="EK172" s="150" t="s">
        <v>522</v>
      </c>
      <c r="EL172" s="150">
        <v>0</v>
      </c>
      <c r="EM172" s="150">
        <f t="shared" ref="EM172:EX172" si="387">EM10/5*4</f>
        <v>0</v>
      </c>
      <c r="EN172" s="150">
        <f t="shared" si="387"/>
        <v>0</v>
      </c>
      <c r="EO172" s="150">
        <f t="shared" si="387"/>
        <v>0</v>
      </c>
      <c r="EP172" s="150">
        <f t="shared" si="387"/>
        <v>8</v>
      </c>
      <c r="EQ172" s="150">
        <f t="shared" si="387"/>
        <v>0</v>
      </c>
      <c r="ER172" s="150">
        <f t="shared" si="387"/>
        <v>8</v>
      </c>
      <c r="ES172" s="150">
        <f t="shared" si="387"/>
        <v>0</v>
      </c>
      <c r="ET172" s="150">
        <f t="shared" si="387"/>
        <v>8</v>
      </c>
      <c r="EU172" s="150">
        <f t="shared" si="387"/>
        <v>0</v>
      </c>
      <c r="EV172" s="150">
        <f t="shared" si="387"/>
        <v>8</v>
      </c>
      <c r="EW172" s="150">
        <f t="shared" si="387"/>
        <v>4</v>
      </c>
      <c r="EX172" s="150">
        <f t="shared" si="387"/>
        <v>8</v>
      </c>
      <c r="EY172" s="150"/>
      <c r="EZ172" s="150" t="s">
        <v>522</v>
      </c>
      <c r="FA172" s="150">
        <v>0</v>
      </c>
      <c r="FB172" s="150">
        <f t="shared" ref="FB172:FM172" si="388">FB10/5*4</f>
        <v>0</v>
      </c>
      <c r="FC172" s="150">
        <f t="shared" si="388"/>
        <v>0</v>
      </c>
      <c r="FD172" s="150">
        <f t="shared" si="388"/>
        <v>4</v>
      </c>
      <c r="FE172" s="150">
        <f t="shared" si="388"/>
        <v>8</v>
      </c>
      <c r="FF172" s="150">
        <f t="shared" si="388"/>
        <v>8</v>
      </c>
      <c r="FG172" s="150">
        <f t="shared" si="388"/>
        <v>0</v>
      </c>
      <c r="FH172" s="150">
        <f t="shared" si="388"/>
        <v>8</v>
      </c>
      <c r="FI172" s="150">
        <f t="shared" si="388"/>
        <v>4</v>
      </c>
      <c r="FJ172" s="150">
        <f t="shared" si="388"/>
        <v>8</v>
      </c>
      <c r="FK172" s="150">
        <f t="shared" si="388"/>
        <v>4</v>
      </c>
      <c r="FL172" s="150">
        <f t="shared" si="388"/>
        <v>8</v>
      </c>
      <c r="FM172" s="150">
        <f t="shared" si="388"/>
        <v>4</v>
      </c>
      <c r="FN172" s="150"/>
      <c r="FO172" s="150" t="s">
        <v>522</v>
      </c>
      <c r="FP172" s="150">
        <v>0</v>
      </c>
      <c r="FQ172" s="150">
        <f t="shared" ref="FQ172:GB172" si="389">FQ10/5*4</f>
        <v>4</v>
      </c>
      <c r="FR172" s="150">
        <f t="shared" si="389"/>
        <v>0</v>
      </c>
      <c r="FS172" s="150">
        <f t="shared" si="389"/>
        <v>4</v>
      </c>
      <c r="FT172" s="150">
        <f t="shared" si="389"/>
        <v>0</v>
      </c>
      <c r="FU172" s="150">
        <f t="shared" si="389"/>
        <v>8</v>
      </c>
      <c r="FV172" s="150">
        <f t="shared" si="389"/>
        <v>8</v>
      </c>
      <c r="FW172" s="150">
        <f t="shared" si="389"/>
        <v>0</v>
      </c>
      <c r="FX172" s="150">
        <f t="shared" si="389"/>
        <v>4</v>
      </c>
      <c r="FY172" s="150">
        <f t="shared" si="389"/>
        <v>4</v>
      </c>
      <c r="FZ172" s="150">
        <f t="shared" si="389"/>
        <v>8</v>
      </c>
      <c r="GA172" s="150">
        <f t="shared" si="389"/>
        <v>4</v>
      </c>
      <c r="GB172" s="150">
        <f t="shared" si="389"/>
        <v>0</v>
      </c>
      <c r="GC172" s="150"/>
      <c r="GD172" s="150" t="s">
        <v>522</v>
      </c>
      <c r="GE172" s="150">
        <v>0</v>
      </c>
      <c r="GF172" s="150">
        <f t="shared" ref="GF172:GQ172" si="390">GF10/5*4</f>
        <v>4</v>
      </c>
      <c r="GG172" s="150">
        <f t="shared" si="390"/>
        <v>0</v>
      </c>
      <c r="GH172" s="150">
        <f t="shared" si="390"/>
        <v>8</v>
      </c>
      <c r="GI172" s="150">
        <f t="shared" si="390"/>
        <v>4</v>
      </c>
      <c r="GJ172" s="150">
        <f t="shared" si="390"/>
        <v>0</v>
      </c>
      <c r="GK172" s="150">
        <f t="shared" si="390"/>
        <v>8</v>
      </c>
      <c r="GL172" s="150">
        <f t="shared" si="390"/>
        <v>4</v>
      </c>
      <c r="GM172" s="150">
        <f t="shared" si="390"/>
        <v>0</v>
      </c>
      <c r="GN172" s="150">
        <f t="shared" si="390"/>
        <v>8</v>
      </c>
      <c r="GO172" s="150">
        <f t="shared" si="390"/>
        <v>4</v>
      </c>
      <c r="GP172" s="150">
        <f t="shared" si="390"/>
        <v>0</v>
      </c>
      <c r="GQ172" s="150">
        <f t="shared" si="390"/>
        <v>4</v>
      </c>
      <c r="GR172" s="150"/>
      <c r="GS172" s="150" t="s">
        <v>522</v>
      </c>
      <c r="GT172" s="150">
        <v>0</v>
      </c>
      <c r="GU172" s="150">
        <f t="shared" ref="GU172:HF172" si="391">GU10/5*4</f>
        <v>4</v>
      </c>
      <c r="GV172" s="150">
        <f t="shared" si="391"/>
        <v>0</v>
      </c>
      <c r="GW172" s="150">
        <f t="shared" si="391"/>
        <v>8</v>
      </c>
      <c r="GX172" s="150">
        <f t="shared" si="391"/>
        <v>8</v>
      </c>
      <c r="GY172" s="150">
        <f t="shared" si="391"/>
        <v>0</v>
      </c>
      <c r="GZ172" s="150">
        <f t="shared" si="391"/>
        <v>0</v>
      </c>
      <c r="HA172" s="150">
        <f t="shared" si="391"/>
        <v>8</v>
      </c>
      <c r="HB172" s="150">
        <f t="shared" si="391"/>
        <v>4</v>
      </c>
      <c r="HC172" s="150">
        <f t="shared" si="391"/>
        <v>4</v>
      </c>
      <c r="HD172" s="150">
        <f t="shared" si="391"/>
        <v>8</v>
      </c>
      <c r="HE172" s="150">
        <f t="shared" si="391"/>
        <v>4</v>
      </c>
      <c r="HF172" s="150">
        <f t="shared" si="391"/>
        <v>0</v>
      </c>
      <c r="HG172" s="150"/>
      <c r="HH172" s="150"/>
    </row>
    <row r="173" spans="1:216" x14ac:dyDescent="0.25">
      <c r="A173" s="8"/>
      <c r="B173" s="5" t="s">
        <v>116</v>
      </c>
      <c r="C173" s="8"/>
      <c r="D173" s="6" t="s">
        <v>718</v>
      </c>
      <c r="E173" s="32">
        <f>INDEX((AQ152:AU154),MATCH(E171,AP152:AP154,0),MATCH(E172,AQ151:AU151,0))</f>
        <v>2000</v>
      </c>
      <c r="F173" s="9"/>
      <c r="G173" s="9"/>
      <c r="H173" s="9"/>
      <c r="I173" s="9"/>
      <c r="J173" s="29" t="s">
        <v>119</v>
      </c>
      <c r="K173" s="9"/>
      <c r="L173" s="6" t="s">
        <v>522</v>
      </c>
      <c r="M173" s="11">
        <f>INDEX(cennik!$C$2:$L$529,MATCH($L173,cennik!$B$2:$B$522,0),MATCH(M$2,cennik!$C$1:$L$1,0))</f>
        <v>867644</v>
      </c>
      <c r="N173" s="11" t="str">
        <f>INDEX(cennik!$C$2:$L$529,MATCH($L173,cennik!$B$2:$B$522,0),MATCH(N$2,cennik!$C$1:$L$1,0))</f>
        <v>szt.</v>
      </c>
      <c r="O173" s="11">
        <f>SUM(Y154:Y169)</f>
        <v>0</v>
      </c>
      <c r="P173" s="34">
        <f>INDEX(cennik!$C$2:$L$529,MATCH($L173,cennik!$B$2:$B$522,0),MATCH(P$2,cennik!$C$1:$L$1,0))</f>
        <v>176.8</v>
      </c>
      <c r="Q173" s="34">
        <f t="shared" si="385"/>
        <v>0</v>
      </c>
      <c r="R173" s="35">
        <f t="shared" si="360"/>
        <v>0</v>
      </c>
      <c r="S173" s="34">
        <f t="shared" si="361"/>
        <v>176.8</v>
      </c>
      <c r="T173" s="34">
        <f t="shared" si="386"/>
        <v>0</v>
      </c>
      <c r="U173" s="34">
        <f>INDEX(cennik!$C$2:$L$529,MATCH($L173,cennik!$B$2:$B$522,0),MATCH(U$2,cennik!$C$1:$L$1,0))*O173</f>
        <v>0</v>
      </c>
      <c r="V173" s="62"/>
      <c r="AC173" s="150"/>
      <c r="AD173" s="150"/>
      <c r="AE173" s="150"/>
      <c r="AF173" s="150"/>
      <c r="AG173" s="150" t="s">
        <v>216</v>
      </c>
      <c r="AH173" s="150">
        <v>4400</v>
      </c>
      <c r="AI173" s="150">
        <v>2</v>
      </c>
      <c r="AJ173" s="150">
        <f>AH173*AI173</f>
        <v>8800</v>
      </c>
      <c r="AK173" s="150">
        <v>127.4</v>
      </c>
      <c r="AL173" s="150">
        <f>AI173*AK173</f>
        <v>254.8</v>
      </c>
      <c r="AM173" s="150">
        <f>AI173*4</f>
        <v>8</v>
      </c>
      <c r="AN173" s="150"/>
      <c r="AO173" s="150"/>
      <c r="AP173" s="150"/>
      <c r="AQ173" s="150"/>
      <c r="AR173" s="150"/>
      <c r="AS173" s="150"/>
      <c r="AT173" s="150"/>
      <c r="AU173" s="150"/>
      <c r="AV173" s="150"/>
      <c r="AW173" s="150"/>
      <c r="AX173" s="150"/>
      <c r="AY173" s="150"/>
      <c r="AZ173" s="150"/>
      <c r="BA173" s="150"/>
      <c r="BB173" s="150"/>
      <c r="BC173" s="150"/>
      <c r="BD173" s="150"/>
      <c r="BE173" s="150"/>
      <c r="BF173" s="150"/>
      <c r="BG173" s="150"/>
      <c r="BH173" s="150" t="s">
        <v>217</v>
      </c>
      <c r="BI173" s="150">
        <f>BI9/5*4</f>
        <v>0</v>
      </c>
      <c r="BJ173" s="150">
        <f t="shared" ref="BJ173:BU173" si="392">BJ9/5*4</f>
        <v>0</v>
      </c>
      <c r="BK173" s="150">
        <f t="shared" si="392"/>
        <v>4</v>
      </c>
      <c r="BL173" s="150">
        <f t="shared" si="392"/>
        <v>4</v>
      </c>
      <c r="BM173" s="150">
        <v>4</v>
      </c>
      <c r="BN173" s="150">
        <f t="shared" si="392"/>
        <v>4</v>
      </c>
      <c r="BO173" s="150">
        <v>8</v>
      </c>
      <c r="BP173" s="150">
        <v>4</v>
      </c>
      <c r="BQ173" s="150">
        <v>8</v>
      </c>
      <c r="BR173" s="150">
        <f t="shared" si="392"/>
        <v>8</v>
      </c>
      <c r="BS173" s="150">
        <f t="shared" si="392"/>
        <v>4</v>
      </c>
      <c r="BT173" s="150">
        <f t="shared" si="392"/>
        <v>8</v>
      </c>
      <c r="BU173" s="150">
        <f t="shared" si="392"/>
        <v>8</v>
      </c>
      <c r="BV173" s="150"/>
      <c r="BW173" s="150" t="s">
        <v>217</v>
      </c>
      <c r="BX173" s="150">
        <v>0</v>
      </c>
      <c r="BY173" s="150">
        <f t="shared" ref="BY173:CI176" si="393">BY9/5*4</f>
        <v>0</v>
      </c>
      <c r="BZ173" s="150">
        <f t="shared" si="393"/>
        <v>4</v>
      </c>
      <c r="CA173" s="150">
        <f t="shared" si="393"/>
        <v>0</v>
      </c>
      <c r="CB173" s="150">
        <v>4</v>
      </c>
      <c r="CC173" s="150">
        <v>4</v>
      </c>
      <c r="CD173" s="150">
        <f t="shared" si="393"/>
        <v>8</v>
      </c>
      <c r="CE173" s="150">
        <v>8</v>
      </c>
      <c r="CF173" s="150">
        <v>8</v>
      </c>
      <c r="CG173" s="150">
        <f t="shared" si="393"/>
        <v>4</v>
      </c>
      <c r="CH173" s="150">
        <f t="shared" si="393"/>
        <v>8</v>
      </c>
      <c r="CI173" s="150">
        <f t="shared" si="393"/>
        <v>8</v>
      </c>
      <c r="CJ173" s="150">
        <v>8</v>
      </c>
      <c r="CK173" s="150"/>
      <c r="CL173" s="150"/>
      <c r="CM173" s="150"/>
      <c r="CN173" s="150" t="s">
        <v>217</v>
      </c>
      <c r="CO173" s="150">
        <f t="shared" ref="CO173:CY176" si="394">CO9/5*4</f>
        <v>0</v>
      </c>
      <c r="CP173" s="150">
        <f t="shared" si="394"/>
        <v>0</v>
      </c>
      <c r="CQ173" s="150">
        <f t="shared" si="394"/>
        <v>4</v>
      </c>
      <c r="CR173" s="150">
        <f t="shared" si="394"/>
        <v>0</v>
      </c>
      <c r="CS173" s="150">
        <f t="shared" si="394"/>
        <v>4</v>
      </c>
      <c r="CT173" s="150">
        <v>8</v>
      </c>
      <c r="CU173" s="150">
        <f t="shared" si="394"/>
        <v>4</v>
      </c>
      <c r="CV173" s="150">
        <f t="shared" si="394"/>
        <v>8</v>
      </c>
      <c r="CW173" s="150">
        <v>4</v>
      </c>
      <c r="CX173" s="150">
        <f t="shared" si="394"/>
        <v>8</v>
      </c>
      <c r="CY173" s="150">
        <f t="shared" si="394"/>
        <v>8</v>
      </c>
      <c r="CZ173" s="150">
        <v>8</v>
      </c>
      <c r="DA173" s="150">
        <v>16</v>
      </c>
      <c r="DB173" s="150"/>
      <c r="DC173" s="150" t="s">
        <v>217</v>
      </c>
      <c r="DD173" s="150">
        <v>0</v>
      </c>
      <c r="DE173" s="150">
        <f>DE9/5*4</f>
        <v>0</v>
      </c>
      <c r="DF173" s="150">
        <f t="shared" ref="DF173:DO173" si="395">DF9/5*4</f>
        <v>4</v>
      </c>
      <c r="DG173" s="150">
        <v>4</v>
      </c>
      <c r="DH173" s="150">
        <f t="shared" si="395"/>
        <v>4</v>
      </c>
      <c r="DI173" s="150">
        <f t="shared" si="395"/>
        <v>8</v>
      </c>
      <c r="DJ173" s="150">
        <v>8</v>
      </c>
      <c r="DK173" s="150">
        <f t="shared" si="395"/>
        <v>8</v>
      </c>
      <c r="DL173" s="150">
        <f t="shared" si="395"/>
        <v>12</v>
      </c>
      <c r="DM173" s="150">
        <f t="shared" si="395"/>
        <v>8</v>
      </c>
      <c r="DN173" s="150">
        <f t="shared" si="395"/>
        <v>12</v>
      </c>
      <c r="DO173" s="150">
        <f t="shared" si="395"/>
        <v>16</v>
      </c>
      <c r="DP173" s="150">
        <v>12</v>
      </c>
      <c r="DQ173" s="181"/>
      <c r="DR173" s="181">
        <v>27</v>
      </c>
      <c r="DS173" s="181"/>
      <c r="DT173" s="150" t="s">
        <v>217</v>
      </c>
      <c r="DU173" s="150">
        <v>0</v>
      </c>
      <c r="DV173" s="150">
        <f>DV9/5*4</f>
        <v>0</v>
      </c>
      <c r="DW173" s="150">
        <f t="shared" ref="DW173:EG173" si="396">DW9/5*4</f>
        <v>4</v>
      </c>
      <c r="DX173" s="150">
        <f t="shared" si="396"/>
        <v>0</v>
      </c>
      <c r="DY173" s="150">
        <f t="shared" si="396"/>
        <v>0</v>
      </c>
      <c r="DZ173" s="150">
        <f t="shared" si="396"/>
        <v>8</v>
      </c>
      <c r="EA173" s="150">
        <f t="shared" si="396"/>
        <v>8</v>
      </c>
      <c r="EB173" s="150">
        <f t="shared" si="396"/>
        <v>4</v>
      </c>
      <c r="EC173" s="150">
        <f t="shared" si="396"/>
        <v>8</v>
      </c>
      <c r="ED173" s="150">
        <f t="shared" si="396"/>
        <v>12</v>
      </c>
      <c r="EE173" s="150">
        <f t="shared" si="396"/>
        <v>8</v>
      </c>
      <c r="EF173" s="150">
        <f t="shared" si="396"/>
        <v>12</v>
      </c>
      <c r="EG173" s="150">
        <f t="shared" si="396"/>
        <v>16</v>
      </c>
      <c r="EH173" s="150"/>
      <c r="EI173" s="150"/>
      <c r="EJ173" s="150"/>
      <c r="EK173" s="150" t="s">
        <v>523</v>
      </c>
      <c r="EL173" s="150">
        <v>0</v>
      </c>
      <c r="EM173" s="150">
        <f t="shared" ref="EM173:EX173" si="397">EM11/5*4</f>
        <v>4</v>
      </c>
      <c r="EN173" s="150">
        <f t="shared" si="397"/>
        <v>0</v>
      </c>
      <c r="EO173" s="150">
        <f t="shared" si="397"/>
        <v>0</v>
      </c>
      <c r="EP173" s="150">
        <f t="shared" si="397"/>
        <v>0</v>
      </c>
      <c r="EQ173" s="150">
        <f t="shared" si="397"/>
        <v>12</v>
      </c>
      <c r="ER173" s="150">
        <f t="shared" si="397"/>
        <v>4</v>
      </c>
      <c r="ES173" s="150">
        <f t="shared" si="397"/>
        <v>16</v>
      </c>
      <c r="ET173" s="150">
        <f t="shared" si="397"/>
        <v>8</v>
      </c>
      <c r="EU173" s="150">
        <f t="shared" si="397"/>
        <v>20</v>
      </c>
      <c r="EV173" s="150">
        <f t="shared" si="397"/>
        <v>12</v>
      </c>
      <c r="EW173" s="150">
        <f t="shared" si="397"/>
        <v>20</v>
      </c>
      <c r="EX173" s="150">
        <f t="shared" si="397"/>
        <v>16</v>
      </c>
      <c r="EY173" s="150"/>
      <c r="EZ173" s="150" t="s">
        <v>523</v>
      </c>
      <c r="FA173" s="150">
        <v>0</v>
      </c>
      <c r="FB173" s="150">
        <f t="shared" ref="FB173:FM173" si="398">FB11/5*4</f>
        <v>4</v>
      </c>
      <c r="FC173" s="150">
        <f t="shared" si="398"/>
        <v>0</v>
      </c>
      <c r="FD173" s="150">
        <f t="shared" si="398"/>
        <v>4</v>
      </c>
      <c r="FE173" s="150">
        <f t="shared" si="398"/>
        <v>0</v>
      </c>
      <c r="FF173" s="150">
        <f t="shared" si="398"/>
        <v>4</v>
      </c>
      <c r="FG173" s="150">
        <f t="shared" si="398"/>
        <v>16</v>
      </c>
      <c r="FH173" s="150">
        <f t="shared" si="398"/>
        <v>8</v>
      </c>
      <c r="FI173" s="150">
        <f t="shared" si="398"/>
        <v>16</v>
      </c>
      <c r="FJ173" s="150">
        <f t="shared" si="398"/>
        <v>12</v>
      </c>
      <c r="FK173" s="150">
        <f t="shared" si="398"/>
        <v>20</v>
      </c>
      <c r="FL173" s="150">
        <f t="shared" si="398"/>
        <v>16</v>
      </c>
      <c r="FM173" s="150">
        <f t="shared" si="398"/>
        <v>24</v>
      </c>
      <c r="FN173" s="150"/>
      <c r="FO173" s="150" t="s">
        <v>523</v>
      </c>
      <c r="FP173" s="150">
        <v>0</v>
      </c>
      <c r="FQ173" s="150">
        <f t="shared" ref="FQ173:GB173" si="399">FQ11/5*4</f>
        <v>0</v>
      </c>
      <c r="FR173" s="150">
        <f t="shared" si="399"/>
        <v>0</v>
      </c>
      <c r="FS173" s="150">
        <f t="shared" si="399"/>
        <v>4</v>
      </c>
      <c r="FT173" s="150">
        <f t="shared" si="399"/>
        <v>12</v>
      </c>
      <c r="FU173" s="150">
        <f t="shared" si="399"/>
        <v>4</v>
      </c>
      <c r="FV173" s="150">
        <f t="shared" si="399"/>
        <v>8</v>
      </c>
      <c r="FW173" s="150">
        <f t="shared" si="399"/>
        <v>20</v>
      </c>
      <c r="FX173" s="150">
        <f t="shared" si="399"/>
        <v>16</v>
      </c>
      <c r="FY173" s="150">
        <f t="shared" si="399"/>
        <v>20</v>
      </c>
      <c r="FZ173" s="150">
        <f t="shared" si="399"/>
        <v>16</v>
      </c>
      <c r="GA173" s="150">
        <f t="shared" si="399"/>
        <v>24</v>
      </c>
      <c r="GB173" s="150">
        <f t="shared" si="399"/>
        <v>32</v>
      </c>
      <c r="GC173" s="150"/>
      <c r="GD173" s="150" t="s">
        <v>523</v>
      </c>
      <c r="GE173" s="150">
        <v>0</v>
      </c>
      <c r="GF173" s="150">
        <f t="shared" ref="GF173:GQ173" si="400">GF11/5*4</f>
        <v>0</v>
      </c>
      <c r="GG173" s="150">
        <f t="shared" si="400"/>
        <v>0</v>
      </c>
      <c r="GH173" s="150">
        <f t="shared" si="400"/>
        <v>0</v>
      </c>
      <c r="GI173" s="150">
        <f t="shared" si="400"/>
        <v>8</v>
      </c>
      <c r="GJ173" s="150">
        <f t="shared" si="400"/>
        <v>16</v>
      </c>
      <c r="GK173" s="150">
        <f t="shared" si="400"/>
        <v>8</v>
      </c>
      <c r="GL173" s="150">
        <f t="shared" si="400"/>
        <v>16</v>
      </c>
      <c r="GM173" s="150">
        <f t="shared" si="400"/>
        <v>24</v>
      </c>
      <c r="GN173" s="150">
        <f t="shared" si="400"/>
        <v>16</v>
      </c>
      <c r="GO173" s="150">
        <f t="shared" si="400"/>
        <v>24</v>
      </c>
      <c r="GP173" s="150">
        <f t="shared" si="400"/>
        <v>32</v>
      </c>
      <c r="GQ173" s="150">
        <f t="shared" si="400"/>
        <v>28</v>
      </c>
      <c r="GR173" s="150"/>
      <c r="GS173" s="150" t="s">
        <v>523</v>
      </c>
      <c r="GT173" s="150">
        <v>0</v>
      </c>
      <c r="GU173" s="150">
        <f t="shared" ref="GU173:HF173" si="401">GU11/5*4</f>
        <v>0</v>
      </c>
      <c r="GV173" s="150">
        <f t="shared" si="401"/>
        <v>0</v>
      </c>
      <c r="GW173" s="150">
        <f t="shared" si="401"/>
        <v>0</v>
      </c>
      <c r="GX173" s="150">
        <f t="shared" si="401"/>
        <v>4</v>
      </c>
      <c r="GY173" s="150">
        <f t="shared" si="401"/>
        <v>16</v>
      </c>
      <c r="GZ173" s="150">
        <f t="shared" si="401"/>
        <v>20</v>
      </c>
      <c r="HA173" s="150">
        <f t="shared" si="401"/>
        <v>12</v>
      </c>
      <c r="HB173" s="150">
        <f t="shared" si="401"/>
        <v>20</v>
      </c>
      <c r="HC173" s="150">
        <f t="shared" si="401"/>
        <v>24</v>
      </c>
      <c r="HD173" s="150">
        <f t="shared" si="401"/>
        <v>20</v>
      </c>
      <c r="HE173" s="150">
        <f t="shared" si="401"/>
        <v>28</v>
      </c>
      <c r="HF173" s="150">
        <f t="shared" si="401"/>
        <v>36</v>
      </c>
      <c r="HG173" s="150"/>
      <c r="HH173" s="150"/>
    </row>
    <row r="174" spans="1:216" x14ac:dyDescent="0.25">
      <c r="A174" s="8"/>
      <c r="B174" s="5" t="s">
        <v>116</v>
      </c>
      <c r="C174" s="8"/>
      <c r="D174" s="6" t="str">
        <f>IF(E165=$AC$8,"długość śruby GSW","")</f>
        <v/>
      </c>
      <c r="E174" s="38">
        <v>2200</v>
      </c>
      <c r="F174" s="9"/>
      <c r="G174" s="9"/>
      <c r="H174" s="9"/>
      <c r="I174" s="9"/>
      <c r="J174" s="29" t="str">
        <f>IF(E165=$AC$8,"[mm]","")</f>
        <v/>
      </c>
      <c r="K174" s="9"/>
      <c r="L174" s="6" t="s">
        <v>523</v>
      </c>
      <c r="M174" s="11">
        <f>INDEX(cennik!$C$2:$L$529,MATCH($L174,cennik!$B$2:$B$522,0),MATCH(M$2,cennik!$C$1:$L$1,0))</f>
        <v>867633</v>
      </c>
      <c r="N174" s="11" t="str">
        <f>INDEX(cennik!$C$2:$L$529,MATCH($L174,cennik!$B$2:$B$522,0),MATCH(N$2,cennik!$C$1:$L$1,0))</f>
        <v>szt.</v>
      </c>
      <c r="O174" s="11">
        <f>SUM(Z154:Z169)</f>
        <v>0</v>
      </c>
      <c r="P174" s="34">
        <f>INDEX(cennik!$C$2:$L$529,MATCH($L174,cennik!$B$2:$B$522,0),MATCH(P$2,cennik!$C$1:$L$1,0))</f>
        <v>132.6</v>
      </c>
      <c r="Q174" s="34">
        <f t="shared" si="385"/>
        <v>0</v>
      </c>
      <c r="R174" s="35">
        <f t="shared" si="360"/>
        <v>0</v>
      </c>
      <c r="S174" s="34">
        <f t="shared" si="361"/>
        <v>132.6</v>
      </c>
      <c r="T174" s="34">
        <f t="shared" si="386"/>
        <v>0</v>
      </c>
      <c r="U174" s="34">
        <f>INDEX(cennik!$C$2:$L$529,MATCH($L174,cennik!$B$2:$B$522,0),MATCH(U$2,cennik!$C$1:$L$1,0))*O174</f>
        <v>0</v>
      </c>
      <c r="V174" s="62"/>
      <c r="AC174" s="150"/>
      <c r="AD174" s="150"/>
      <c r="AE174" s="150"/>
      <c r="AF174" s="150"/>
      <c r="AG174" s="150" t="s">
        <v>17</v>
      </c>
      <c r="AH174" s="150">
        <v>3300</v>
      </c>
      <c r="AI174" s="150">
        <v>0</v>
      </c>
      <c r="AJ174" s="150">
        <f>AH174*AI174</f>
        <v>0</v>
      </c>
      <c r="AK174" s="150">
        <v>95.55</v>
      </c>
      <c r="AL174" s="150">
        <f>AI174*AK174</f>
        <v>0</v>
      </c>
      <c r="AM174" s="150">
        <f>AI174*4</f>
        <v>0</v>
      </c>
      <c r="AN174" s="150"/>
      <c r="AO174" s="150"/>
      <c r="AP174" s="150"/>
      <c r="AQ174" s="150"/>
      <c r="AR174" s="150"/>
      <c r="AS174" s="150"/>
      <c r="AT174" s="150"/>
      <c r="AU174" s="150"/>
      <c r="AV174" s="150"/>
      <c r="AW174" s="150"/>
      <c r="AX174" s="150"/>
      <c r="AY174" s="150"/>
      <c r="AZ174" s="150"/>
      <c r="BA174" s="150"/>
      <c r="BB174" s="150"/>
      <c r="BC174" s="150"/>
      <c r="BD174" s="150"/>
      <c r="BE174" s="150"/>
      <c r="BF174" s="150"/>
      <c r="BG174" s="150"/>
      <c r="BH174" s="150" t="s">
        <v>216</v>
      </c>
      <c r="BI174" s="150">
        <f t="shared" ref="BI174:BU176" si="402">BI10/5*4</f>
        <v>0</v>
      </c>
      <c r="BJ174" s="150">
        <f t="shared" si="402"/>
        <v>0</v>
      </c>
      <c r="BK174" s="150">
        <f t="shared" si="402"/>
        <v>0</v>
      </c>
      <c r="BL174" s="150">
        <f t="shared" si="402"/>
        <v>0</v>
      </c>
      <c r="BM174" s="150">
        <v>0</v>
      </c>
      <c r="BN174" s="150">
        <f t="shared" si="402"/>
        <v>0</v>
      </c>
      <c r="BO174" s="150">
        <v>0</v>
      </c>
      <c r="BP174" s="150">
        <v>4</v>
      </c>
      <c r="BQ174" s="150">
        <v>0</v>
      </c>
      <c r="BR174" s="150">
        <f t="shared" si="402"/>
        <v>0</v>
      </c>
      <c r="BS174" s="150">
        <f t="shared" si="402"/>
        <v>8</v>
      </c>
      <c r="BT174" s="150">
        <f t="shared" si="402"/>
        <v>4</v>
      </c>
      <c r="BU174" s="150">
        <f t="shared" si="402"/>
        <v>8</v>
      </c>
      <c r="BV174" s="150"/>
      <c r="BW174" s="150" t="s">
        <v>216</v>
      </c>
      <c r="BX174" s="150">
        <v>0</v>
      </c>
      <c r="BY174" s="150">
        <f t="shared" si="393"/>
        <v>0</v>
      </c>
      <c r="BZ174" s="150">
        <f t="shared" si="393"/>
        <v>0</v>
      </c>
      <c r="CA174" s="150">
        <f t="shared" si="393"/>
        <v>4</v>
      </c>
      <c r="CB174" s="150">
        <v>0</v>
      </c>
      <c r="CC174" s="150">
        <v>4</v>
      </c>
      <c r="CD174" s="150">
        <f t="shared" si="393"/>
        <v>0</v>
      </c>
      <c r="CE174" s="150">
        <v>0</v>
      </c>
      <c r="CF174" s="150">
        <v>0</v>
      </c>
      <c r="CG174" s="150">
        <f t="shared" si="393"/>
        <v>8</v>
      </c>
      <c r="CH174" s="150">
        <f t="shared" si="393"/>
        <v>4</v>
      </c>
      <c r="CI174" s="150">
        <f t="shared" si="393"/>
        <v>8</v>
      </c>
      <c r="CJ174" s="150">
        <v>8</v>
      </c>
      <c r="CK174" s="150"/>
      <c r="CL174" s="150"/>
      <c r="CM174" s="150"/>
      <c r="CN174" s="150" t="s">
        <v>216</v>
      </c>
      <c r="CO174" s="150">
        <f t="shared" si="394"/>
        <v>0</v>
      </c>
      <c r="CP174" s="150">
        <f t="shared" si="394"/>
        <v>4</v>
      </c>
      <c r="CQ174" s="150">
        <f t="shared" si="394"/>
        <v>0</v>
      </c>
      <c r="CR174" s="150">
        <f t="shared" si="394"/>
        <v>4</v>
      </c>
      <c r="CS174" s="150">
        <f t="shared" si="394"/>
        <v>0</v>
      </c>
      <c r="CT174" s="150">
        <v>0</v>
      </c>
      <c r="CU174" s="150">
        <f t="shared" si="394"/>
        <v>8</v>
      </c>
      <c r="CV174" s="150">
        <f t="shared" si="394"/>
        <v>0</v>
      </c>
      <c r="CW174" s="150">
        <v>8</v>
      </c>
      <c r="CX174" s="150">
        <f t="shared" si="394"/>
        <v>4</v>
      </c>
      <c r="CY174" s="150">
        <f t="shared" si="394"/>
        <v>8</v>
      </c>
      <c r="CZ174" s="150">
        <v>8</v>
      </c>
      <c r="DA174" s="150">
        <v>0</v>
      </c>
      <c r="DB174" s="150"/>
      <c r="DC174" s="150" t="s">
        <v>216</v>
      </c>
      <c r="DD174" s="150">
        <v>0</v>
      </c>
      <c r="DE174" s="150">
        <f t="shared" ref="DE174:DO176" si="403">DE10/5*4</f>
        <v>4</v>
      </c>
      <c r="DF174" s="150">
        <f t="shared" si="403"/>
        <v>0</v>
      </c>
      <c r="DG174" s="150">
        <v>0</v>
      </c>
      <c r="DH174" s="150">
        <f t="shared" si="403"/>
        <v>4</v>
      </c>
      <c r="DI174" s="150">
        <f t="shared" si="403"/>
        <v>0</v>
      </c>
      <c r="DJ174" s="150">
        <v>0</v>
      </c>
      <c r="DK174" s="150">
        <f t="shared" si="403"/>
        <v>4</v>
      </c>
      <c r="DL174" s="150">
        <f t="shared" si="403"/>
        <v>0</v>
      </c>
      <c r="DM174" s="150">
        <f t="shared" si="403"/>
        <v>8</v>
      </c>
      <c r="DN174" s="150">
        <f t="shared" si="403"/>
        <v>4</v>
      </c>
      <c r="DO174" s="150">
        <f t="shared" si="403"/>
        <v>0</v>
      </c>
      <c r="DP174" s="150">
        <v>8</v>
      </c>
      <c r="DQ174" s="181"/>
      <c r="DR174" s="181">
        <v>30</v>
      </c>
      <c r="DS174" s="181"/>
      <c r="DT174" s="150" t="s">
        <v>216</v>
      </c>
      <c r="DU174" s="150">
        <v>0</v>
      </c>
      <c r="DV174" s="150">
        <f t="shared" ref="DV174:EG176" si="404">DV10/5*4</f>
        <v>4</v>
      </c>
      <c r="DW174" s="150">
        <f t="shared" si="404"/>
        <v>0</v>
      </c>
      <c r="DX174" s="150">
        <f t="shared" si="404"/>
        <v>8</v>
      </c>
      <c r="DY174" s="150">
        <f t="shared" si="404"/>
        <v>8</v>
      </c>
      <c r="DZ174" s="150">
        <f t="shared" si="404"/>
        <v>0</v>
      </c>
      <c r="EA174" s="150">
        <f t="shared" si="404"/>
        <v>0</v>
      </c>
      <c r="EB174" s="150">
        <f t="shared" si="404"/>
        <v>8</v>
      </c>
      <c r="EC174" s="150">
        <f t="shared" si="404"/>
        <v>4</v>
      </c>
      <c r="ED174" s="150">
        <f t="shared" si="404"/>
        <v>4</v>
      </c>
      <c r="EE174" s="150">
        <f t="shared" si="404"/>
        <v>8</v>
      </c>
      <c r="EF174" s="150">
        <f t="shared" si="404"/>
        <v>4</v>
      </c>
      <c r="EG174" s="150">
        <f t="shared" si="404"/>
        <v>0</v>
      </c>
      <c r="EH174" s="150"/>
      <c r="EI174" s="150"/>
      <c r="EJ174" s="150"/>
      <c r="EK174" s="150" t="s">
        <v>524</v>
      </c>
      <c r="EL174" s="150">
        <v>0</v>
      </c>
      <c r="EM174" s="150">
        <f t="shared" ref="EM174:EX174" si="405">EM12/5*4</f>
        <v>0</v>
      </c>
      <c r="EN174" s="150">
        <f t="shared" si="405"/>
        <v>0</v>
      </c>
      <c r="EO174" s="150">
        <f t="shared" si="405"/>
        <v>0</v>
      </c>
      <c r="EP174" s="150">
        <f t="shared" si="405"/>
        <v>4</v>
      </c>
      <c r="EQ174" s="150">
        <f t="shared" si="405"/>
        <v>8</v>
      </c>
      <c r="ER174" s="150">
        <f t="shared" si="405"/>
        <v>8</v>
      </c>
      <c r="ES174" s="150">
        <f t="shared" si="405"/>
        <v>12</v>
      </c>
      <c r="ET174" s="150">
        <f t="shared" si="405"/>
        <v>12</v>
      </c>
      <c r="EU174" s="150">
        <f t="shared" si="405"/>
        <v>16</v>
      </c>
      <c r="EV174" s="150">
        <f t="shared" si="405"/>
        <v>16</v>
      </c>
      <c r="EW174" s="150">
        <f t="shared" si="405"/>
        <v>20</v>
      </c>
      <c r="EX174" s="150">
        <f t="shared" si="405"/>
        <v>20</v>
      </c>
      <c r="EY174" s="150"/>
      <c r="EZ174" s="150" t="s">
        <v>524</v>
      </c>
      <c r="FA174" s="150">
        <v>0</v>
      </c>
      <c r="FB174" s="150">
        <f t="shared" ref="FB174:FM174" si="406">FB12/5*4</f>
        <v>0</v>
      </c>
      <c r="FC174" s="150">
        <f t="shared" si="406"/>
        <v>0</v>
      </c>
      <c r="FD174" s="150">
        <f t="shared" si="406"/>
        <v>4</v>
      </c>
      <c r="FE174" s="150">
        <f t="shared" si="406"/>
        <v>4</v>
      </c>
      <c r="FF174" s="150">
        <f t="shared" si="406"/>
        <v>8</v>
      </c>
      <c r="FG174" s="150">
        <f t="shared" si="406"/>
        <v>12</v>
      </c>
      <c r="FH174" s="150">
        <f t="shared" si="406"/>
        <v>12</v>
      </c>
      <c r="FI174" s="150">
        <f t="shared" si="406"/>
        <v>16</v>
      </c>
      <c r="FJ174" s="150">
        <f t="shared" si="406"/>
        <v>16</v>
      </c>
      <c r="FK174" s="150">
        <f t="shared" si="406"/>
        <v>20</v>
      </c>
      <c r="FL174" s="150">
        <f t="shared" si="406"/>
        <v>20</v>
      </c>
      <c r="FM174" s="150">
        <f t="shared" si="406"/>
        <v>24</v>
      </c>
      <c r="FN174" s="150"/>
      <c r="FO174" s="150" t="s">
        <v>524</v>
      </c>
      <c r="FP174" s="150">
        <v>0</v>
      </c>
      <c r="FQ174" s="150">
        <f t="shared" ref="FQ174:GB174" si="407">FQ12/5*4</f>
        <v>0</v>
      </c>
      <c r="FR174" s="150">
        <f t="shared" si="407"/>
        <v>0</v>
      </c>
      <c r="FS174" s="150">
        <f t="shared" si="407"/>
        <v>4</v>
      </c>
      <c r="FT174" s="150">
        <f t="shared" si="407"/>
        <v>8</v>
      </c>
      <c r="FU174" s="150">
        <f t="shared" si="407"/>
        <v>8</v>
      </c>
      <c r="FV174" s="150">
        <f t="shared" si="407"/>
        <v>12</v>
      </c>
      <c r="FW174" s="150">
        <f t="shared" si="407"/>
        <v>16</v>
      </c>
      <c r="FX174" s="150">
        <f t="shared" si="407"/>
        <v>16</v>
      </c>
      <c r="FY174" s="150">
        <f t="shared" si="407"/>
        <v>20</v>
      </c>
      <c r="FZ174" s="150">
        <f t="shared" si="407"/>
        <v>20</v>
      </c>
      <c r="GA174" s="150">
        <f t="shared" si="407"/>
        <v>24</v>
      </c>
      <c r="GB174" s="150">
        <f t="shared" si="407"/>
        <v>28</v>
      </c>
      <c r="GC174" s="150"/>
      <c r="GD174" s="150" t="s">
        <v>524</v>
      </c>
      <c r="GE174" s="150">
        <v>0</v>
      </c>
      <c r="GF174" s="150">
        <f t="shared" ref="GF174:GQ174" si="408">GF12/5*4</f>
        <v>0</v>
      </c>
      <c r="GG174" s="150">
        <f t="shared" si="408"/>
        <v>0</v>
      </c>
      <c r="GH174" s="150">
        <f t="shared" si="408"/>
        <v>4</v>
      </c>
      <c r="GI174" s="150">
        <f t="shared" si="408"/>
        <v>8</v>
      </c>
      <c r="GJ174" s="150">
        <f t="shared" si="408"/>
        <v>12</v>
      </c>
      <c r="GK174" s="150">
        <f t="shared" si="408"/>
        <v>12</v>
      </c>
      <c r="GL174" s="150">
        <f t="shared" si="408"/>
        <v>16</v>
      </c>
      <c r="GM174" s="150">
        <f t="shared" si="408"/>
        <v>20</v>
      </c>
      <c r="GN174" s="150">
        <f t="shared" si="408"/>
        <v>20</v>
      </c>
      <c r="GO174" s="150">
        <f t="shared" si="408"/>
        <v>24</v>
      </c>
      <c r="GP174" s="150">
        <f t="shared" si="408"/>
        <v>28</v>
      </c>
      <c r="GQ174" s="150">
        <f t="shared" si="408"/>
        <v>28</v>
      </c>
      <c r="GR174" s="150"/>
      <c r="GS174" s="150" t="s">
        <v>524</v>
      </c>
      <c r="GT174" s="150">
        <v>0</v>
      </c>
      <c r="GU174" s="150">
        <f t="shared" ref="GU174:HF174" si="409">GU12/5*4</f>
        <v>0</v>
      </c>
      <c r="GV174" s="150">
        <f t="shared" si="409"/>
        <v>0</v>
      </c>
      <c r="GW174" s="150">
        <f t="shared" si="409"/>
        <v>4</v>
      </c>
      <c r="GX174" s="150">
        <f t="shared" si="409"/>
        <v>8</v>
      </c>
      <c r="GY174" s="150">
        <f t="shared" si="409"/>
        <v>12</v>
      </c>
      <c r="GZ174" s="150">
        <f t="shared" si="409"/>
        <v>16</v>
      </c>
      <c r="HA174" s="150">
        <f t="shared" si="409"/>
        <v>16</v>
      </c>
      <c r="HB174" s="150">
        <f t="shared" si="409"/>
        <v>20</v>
      </c>
      <c r="HC174" s="150">
        <f t="shared" si="409"/>
        <v>24</v>
      </c>
      <c r="HD174" s="150">
        <f t="shared" si="409"/>
        <v>24</v>
      </c>
      <c r="HE174" s="150">
        <f t="shared" si="409"/>
        <v>28</v>
      </c>
      <c r="HF174" s="150">
        <f t="shared" si="409"/>
        <v>32</v>
      </c>
      <c r="HG174" s="150"/>
      <c r="HH174" s="150"/>
    </row>
    <row r="175" spans="1:216" x14ac:dyDescent="0.25">
      <c r="A175" s="8"/>
      <c r="B175" s="5" t="s">
        <v>116</v>
      </c>
      <c r="C175" s="8"/>
      <c r="D175" s="40" t="s">
        <v>795</v>
      </c>
      <c r="F175" s="9"/>
      <c r="G175" s="9"/>
      <c r="H175" s="9"/>
      <c r="I175" s="9"/>
      <c r="J175" s="9"/>
      <c r="K175" s="9"/>
      <c r="L175" s="6" t="s">
        <v>779</v>
      </c>
      <c r="M175" s="11">
        <f>INDEX(cennik!$C$2:$L$529,MATCH($L175,cennik!$B$2:$B$522,0),MATCH(M$2,cennik!$C$1:$L$1,0))</f>
        <v>856105</v>
      </c>
      <c r="N175" s="11" t="str">
        <f>INDEX(cennik!$C$2:$L$529,MATCH($L175,cennik!$B$2:$B$522,0),MATCH(N$2,cennik!$C$1:$L$1,0))</f>
        <v>szt.</v>
      </c>
      <c r="O175" s="11">
        <f>SUM(W154:W169)</f>
        <v>0</v>
      </c>
      <c r="P175" s="34">
        <f>INDEX(cennik!$C$2:$L$529,MATCH($L175,cennik!$B$2:$B$522,0),MATCH(P$2,cennik!$C$1:$L$1,0))</f>
        <v>21.81</v>
      </c>
      <c r="Q175" s="34">
        <f t="shared" si="385"/>
        <v>0</v>
      </c>
      <c r="R175" s="35">
        <f t="shared" si="360"/>
        <v>0</v>
      </c>
      <c r="S175" s="34">
        <f t="shared" si="361"/>
        <v>21.81</v>
      </c>
      <c r="T175" s="34">
        <f t="shared" si="386"/>
        <v>0</v>
      </c>
      <c r="U175" s="34">
        <f>INDEX(cennik!$C$2:$L$529,MATCH($L175,cennik!$B$2:$B$522,0),MATCH(U$2,cennik!$C$1:$L$1,0))*O175</f>
        <v>0</v>
      </c>
      <c r="V175" s="62"/>
      <c r="AC175" s="150"/>
      <c r="AD175" s="150"/>
      <c r="AE175" s="150"/>
      <c r="AF175" s="150"/>
      <c r="AG175" s="150"/>
      <c r="AH175" s="150" t="s">
        <v>317</v>
      </c>
      <c r="AI175" s="150">
        <f>IF(SUM(AI172:AI174)=0,0,IF(SUM(AI172:AI174)=1,0,IF(SUM(AI172:AI174)&gt;1,(SUM(AI172:AI174)-1),0)))</f>
        <v>4</v>
      </c>
      <c r="AJ175" s="150"/>
      <c r="AK175" s="150">
        <v>7.1</v>
      </c>
      <c r="AL175" s="150">
        <f>AI175*AK175</f>
        <v>28.4</v>
      </c>
      <c r="AM175" s="150">
        <f>AI175*4</f>
        <v>16</v>
      </c>
      <c r="AN175" s="150"/>
      <c r="AO175" s="150"/>
      <c r="AP175" s="150"/>
      <c r="AQ175" s="150"/>
      <c r="AR175" s="150"/>
      <c r="AS175" s="150"/>
      <c r="AT175" s="150"/>
      <c r="AU175" s="150"/>
      <c r="AV175" s="150"/>
      <c r="AW175" s="150"/>
      <c r="AX175" s="150"/>
      <c r="AY175" s="150"/>
      <c r="AZ175" s="150"/>
      <c r="BA175" s="150"/>
      <c r="BB175" s="150"/>
      <c r="BC175" s="150"/>
      <c r="BD175" s="150"/>
      <c r="BE175" s="150"/>
      <c r="BF175" s="150"/>
      <c r="BG175" s="150"/>
      <c r="BH175" s="150" t="s">
        <v>17</v>
      </c>
      <c r="BI175" s="150">
        <f t="shared" si="402"/>
        <v>0</v>
      </c>
      <c r="BJ175" s="150">
        <f t="shared" si="402"/>
        <v>4</v>
      </c>
      <c r="BK175" s="150">
        <f t="shared" si="402"/>
        <v>0</v>
      </c>
      <c r="BL175" s="150">
        <f t="shared" si="402"/>
        <v>0</v>
      </c>
      <c r="BM175" s="150">
        <v>4</v>
      </c>
      <c r="BN175" s="150">
        <f t="shared" si="402"/>
        <v>4</v>
      </c>
      <c r="BO175" s="150">
        <v>0</v>
      </c>
      <c r="BP175" s="150">
        <v>4</v>
      </c>
      <c r="BQ175" s="150">
        <v>4</v>
      </c>
      <c r="BR175" s="150">
        <f t="shared" si="402"/>
        <v>4</v>
      </c>
      <c r="BS175" s="150">
        <f t="shared" si="402"/>
        <v>4</v>
      </c>
      <c r="BT175" s="150">
        <f t="shared" si="402"/>
        <v>4</v>
      </c>
      <c r="BU175" s="150">
        <f t="shared" si="402"/>
        <v>0</v>
      </c>
      <c r="BV175" s="150"/>
      <c r="BW175" s="150" t="s">
        <v>17</v>
      </c>
      <c r="BX175" s="150">
        <v>0</v>
      </c>
      <c r="BY175" s="150">
        <f t="shared" si="393"/>
        <v>4</v>
      </c>
      <c r="BZ175" s="150">
        <f t="shared" si="393"/>
        <v>0</v>
      </c>
      <c r="CA175" s="150">
        <f t="shared" si="393"/>
        <v>4</v>
      </c>
      <c r="CB175" s="150">
        <v>4</v>
      </c>
      <c r="CC175" s="150">
        <v>0</v>
      </c>
      <c r="CD175" s="150">
        <f t="shared" si="393"/>
        <v>0</v>
      </c>
      <c r="CE175" s="150">
        <v>4</v>
      </c>
      <c r="CF175" s="150">
        <v>4</v>
      </c>
      <c r="CG175" s="150">
        <f t="shared" si="393"/>
        <v>4</v>
      </c>
      <c r="CH175" s="150">
        <f t="shared" si="393"/>
        <v>4</v>
      </c>
      <c r="CI175" s="150">
        <f t="shared" si="393"/>
        <v>0</v>
      </c>
      <c r="CJ175" s="150">
        <v>4</v>
      </c>
      <c r="CK175" s="150"/>
      <c r="CL175" s="150"/>
      <c r="CM175" s="150"/>
      <c r="CN175" s="150" t="s">
        <v>17</v>
      </c>
      <c r="CO175" s="150">
        <f t="shared" si="394"/>
        <v>0</v>
      </c>
      <c r="CP175" s="150">
        <f t="shared" si="394"/>
        <v>0</v>
      </c>
      <c r="CQ175" s="150">
        <f t="shared" si="394"/>
        <v>0</v>
      </c>
      <c r="CR175" s="150">
        <f t="shared" si="394"/>
        <v>4</v>
      </c>
      <c r="CS175" s="150">
        <f t="shared" si="394"/>
        <v>4</v>
      </c>
      <c r="CT175" s="150">
        <v>0</v>
      </c>
      <c r="CU175" s="150">
        <f t="shared" si="394"/>
        <v>0</v>
      </c>
      <c r="CV175" s="150">
        <f t="shared" si="394"/>
        <v>4</v>
      </c>
      <c r="CW175" s="150">
        <v>4</v>
      </c>
      <c r="CX175" s="150">
        <f t="shared" si="394"/>
        <v>4</v>
      </c>
      <c r="CY175" s="150">
        <f t="shared" si="394"/>
        <v>0</v>
      </c>
      <c r="CZ175" s="150">
        <v>4</v>
      </c>
      <c r="DA175" s="150">
        <v>0</v>
      </c>
      <c r="DB175" s="150"/>
      <c r="DC175" s="150" t="s">
        <v>17</v>
      </c>
      <c r="DD175" s="150">
        <v>0</v>
      </c>
      <c r="DE175" s="150">
        <f t="shared" si="403"/>
        <v>0</v>
      </c>
      <c r="DF175" s="150">
        <f t="shared" si="403"/>
        <v>0</v>
      </c>
      <c r="DG175" s="150">
        <v>4</v>
      </c>
      <c r="DH175" s="150">
        <f t="shared" si="403"/>
        <v>0</v>
      </c>
      <c r="DI175" s="150">
        <f t="shared" si="403"/>
        <v>0</v>
      </c>
      <c r="DJ175" s="150">
        <v>4</v>
      </c>
      <c r="DK175" s="150">
        <f t="shared" si="403"/>
        <v>0</v>
      </c>
      <c r="DL175" s="150">
        <f t="shared" si="403"/>
        <v>0</v>
      </c>
      <c r="DM175" s="150">
        <f t="shared" si="403"/>
        <v>0</v>
      </c>
      <c r="DN175" s="150">
        <f t="shared" si="403"/>
        <v>0</v>
      </c>
      <c r="DO175" s="150">
        <f t="shared" si="403"/>
        <v>0</v>
      </c>
      <c r="DP175" s="150">
        <v>0</v>
      </c>
      <c r="DQ175" s="181"/>
      <c r="DR175" s="181">
        <v>33</v>
      </c>
      <c r="DS175" s="181"/>
      <c r="DT175" s="150" t="s">
        <v>17</v>
      </c>
      <c r="DU175" s="150">
        <v>0</v>
      </c>
      <c r="DV175" s="150">
        <f t="shared" si="404"/>
        <v>0</v>
      </c>
      <c r="DW175" s="150">
        <f t="shared" si="404"/>
        <v>0</v>
      </c>
      <c r="DX175" s="150">
        <f t="shared" si="404"/>
        <v>0</v>
      </c>
      <c r="DY175" s="150">
        <f t="shared" si="404"/>
        <v>4</v>
      </c>
      <c r="DZ175" s="150">
        <f t="shared" si="404"/>
        <v>0</v>
      </c>
      <c r="EA175" s="150">
        <f t="shared" si="404"/>
        <v>4</v>
      </c>
      <c r="EB175" s="150">
        <f t="shared" si="404"/>
        <v>4</v>
      </c>
      <c r="EC175" s="150">
        <f t="shared" si="404"/>
        <v>4</v>
      </c>
      <c r="ED175" s="150">
        <f t="shared" si="404"/>
        <v>0</v>
      </c>
      <c r="EE175" s="150">
        <f t="shared" si="404"/>
        <v>4</v>
      </c>
      <c r="EF175" s="150">
        <f t="shared" si="404"/>
        <v>4</v>
      </c>
      <c r="EG175" s="150">
        <f t="shared" si="404"/>
        <v>4</v>
      </c>
      <c r="EH175" s="150"/>
      <c r="EI175" s="150"/>
      <c r="EJ175" s="150"/>
      <c r="EK175" s="150"/>
      <c r="EL175" s="150"/>
      <c r="EM175" s="150"/>
      <c r="EN175" s="150"/>
      <c r="EO175" s="150"/>
      <c r="EP175" s="150"/>
      <c r="EQ175" s="150"/>
      <c r="ER175" s="150"/>
      <c r="ES175" s="150"/>
      <c r="ET175" s="150"/>
      <c r="EU175" s="150"/>
      <c r="EV175" s="150"/>
      <c r="EW175" s="150"/>
      <c r="EX175" s="150"/>
      <c r="EY175" s="150"/>
      <c r="EZ175" s="150"/>
      <c r="FA175" s="150"/>
      <c r="FB175" s="150"/>
      <c r="FC175" s="150"/>
      <c r="FD175" s="150"/>
      <c r="FE175" s="150"/>
      <c r="FF175" s="150"/>
      <c r="FG175" s="150"/>
      <c r="FH175" s="150"/>
      <c r="FI175" s="150"/>
      <c r="FJ175" s="150"/>
      <c r="FK175" s="150"/>
      <c r="FL175" s="150"/>
      <c r="FM175" s="150"/>
      <c r="FN175" s="150"/>
      <c r="FO175" s="150"/>
      <c r="FP175" s="150"/>
      <c r="FQ175" s="150"/>
      <c r="FR175" s="150"/>
      <c r="FS175" s="150"/>
      <c r="FT175" s="150"/>
      <c r="FU175" s="150"/>
      <c r="FV175" s="150"/>
      <c r="FW175" s="150"/>
      <c r="FX175" s="150"/>
      <c r="FY175" s="150"/>
      <c r="FZ175" s="150"/>
      <c r="GA175" s="150"/>
      <c r="GB175" s="150"/>
      <c r="GC175" s="150"/>
      <c r="GD175" s="150"/>
      <c r="GE175" s="150"/>
      <c r="GF175" s="150"/>
      <c r="GG175" s="150"/>
      <c r="GH175" s="150"/>
      <c r="GI175" s="150"/>
      <c r="GJ175" s="150"/>
      <c r="GK175" s="150"/>
      <c r="GL175" s="150"/>
      <c r="GM175" s="150"/>
      <c r="GN175" s="150"/>
      <c r="GO175" s="150"/>
      <c r="GP175" s="150"/>
      <c r="GQ175" s="150"/>
      <c r="GR175" s="150"/>
      <c r="GS175" s="150"/>
      <c r="GT175" s="150"/>
      <c r="GU175" s="150"/>
      <c r="GV175" s="150"/>
      <c r="GW175" s="150"/>
      <c r="GX175" s="150"/>
      <c r="GY175" s="150"/>
      <c r="GZ175" s="150"/>
      <c r="HA175" s="150"/>
      <c r="HB175" s="150"/>
      <c r="HC175" s="150"/>
      <c r="HD175" s="150"/>
      <c r="HE175" s="150"/>
      <c r="HF175" s="150"/>
      <c r="HG175" s="150"/>
      <c r="HH175" s="150"/>
    </row>
    <row r="176" spans="1:216" x14ac:dyDescent="0.25">
      <c r="A176" s="8"/>
      <c r="B176" s="5" t="s">
        <v>116</v>
      </c>
      <c r="C176" s="8"/>
      <c r="D176" s="40" t="s">
        <v>796</v>
      </c>
      <c r="E176" s="9"/>
      <c r="F176" s="9"/>
      <c r="G176" s="9"/>
      <c r="H176" s="9"/>
      <c r="I176" s="9"/>
      <c r="J176" s="9"/>
      <c r="K176" s="9"/>
      <c r="L176" s="6" t="str">
        <f>INDEX(($AH$3:$AI$12),MATCH(I163,$AG$3:$AG$12,0),MATCH(E164,$AH$2:$AI$2,0))</f>
        <v>BUF35L</v>
      </c>
      <c r="M176" s="11">
        <f>INDEX(cennik!$C$2:$L$529,MATCH($L176,cennik!$B$2:$B$522,0),MATCH(M$2,cennik!$C$1:$L$1,0))</f>
        <v>827335</v>
      </c>
      <c r="N176" s="11" t="str">
        <f>INDEX(cennik!$C$2:$L$529,MATCH($L176,cennik!$B$2:$B$522,0),MATCH(N$2,cennik!$C$1:$L$1,0))</f>
        <v>szt.</v>
      </c>
      <c r="O176" s="11">
        <f>SUM((C162*8),(C163*8),(C164*8),(C165*8),(C166*8),(C167*8),(C168*8),(C169*8),(C170*8),(C171*8),(C172*8),(C173*8),(C174*8),(C175*8),(C176*8),(C177*8))</f>
        <v>0</v>
      </c>
      <c r="P176" s="34">
        <f>INDEX(cennik!$C$2:$L$529,MATCH($L176,cennik!$B$2:$B$522,0),MATCH(P$2,cennik!$C$1:$L$1,0))</f>
        <v>3.58</v>
      </c>
      <c r="Q176" s="34">
        <f t="shared" si="385"/>
        <v>0</v>
      </c>
      <c r="R176" s="35">
        <f t="shared" si="360"/>
        <v>0</v>
      </c>
      <c r="S176" s="34">
        <f t="shared" si="361"/>
        <v>3.58</v>
      </c>
      <c r="T176" s="34">
        <f t="shared" si="386"/>
        <v>0</v>
      </c>
      <c r="U176" s="34">
        <f>INDEX(cennik!$C$2:$L$529,MATCH($L176,cennik!$B$2:$B$522,0),MATCH(U$2,cennik!$C$1:$L$1,0))*O176</f>
        <v>0</v>
      </c>
      <c r="V176" s="62"/>
      <c r="AC176" s="150"/>
      <c r="AD176" s="150"/>
      <c r="AE176" s="150"/>
      <c r="AF176" s="150"/>
      <c r="AG176" s="150"/>
      <c r="AH176" s="150"/>
      <c r="AI176" s="150"/>
      <c r="AJ176" s="150">
        <f>SUM(AJ172:AJ174)</f>
        <v>28600</v>
      </c>
      <c r="AK176" s="150"/>
      <c r="AL176" s="150">
        <f>SUM(AL172:AL175)</f>
        <v>856.49999999999989</v>
      </c>
      <c r="AM176" s="150"/>
      <c r="AN176" s="150"/>
      <c r="AO176" s="150"/>
      <c r="AP176" s="150"/>
      <c r="AQ176" s="150"/>
      <c r="AR176" s="166" t="s">
        <v>940</v>
      </c>
      <c r="AS176" s="62"/>
      <c r="AT176" s="62"/>
      <c r="AU176" s="62"/>
      <c r="AV176" s="150"/>
      <c r="AX176" s="169"/>
      <c r="AY176" s="150"/>
      <c r="AZ176" s="150"/>
      <c r="BA176" s="150"/>
      <c r="BH176" s="158" t="s">
        <v>18</v>
      </c>
      <c r="BI176" s="150">
        <f t="shared" si="402"/>
        <v>0</v>
      </c>
      <c r="BJ176" s="150">
        <f t="shared" si="402"/>
        <v>0</v>
      </c>
      <c r="BK176" s="150">
        <f t="shared" si="402"/>
        <v>0</v>
      </c>
      <c r="BL176" s="150">
        <f t="shared" si="402"/>
        <v>0</v>
      </c>
      <c r="BM176" s="150">
        <v>4</v>
      </c>
      <c r="BN176" s="150">
        <f t="shared" si="402"/>
        <v>4</v>
      </c>
      <c r="BO176" s="150">
        <v>4</v>
      </c>
      <c r="BP176" s="150">
        <v>8</v>
      </c>
      <c r="BQ176" s="150">
        <v>8</v>
      </c>
      <c r="BR176" s="150">
        <f t="shared" si="402"/>
        <v>8</v>
      </c>
      <c r="BS176" s="150">
        <f t="shared" si="402"/>
        <v>12</v>
      </c>
      <c r="BT176" s="150">
        <f t="shared" si="402"/>
        <v>12</v>
      </c>
      <c r="BU176" s="150">
        <f t="shared" si="402"/>
        <v>12</v>
      </c>
      <c r="BV176" s="150"/>
      <c r="BW176" s="150" t="s">
        <v>18</v>
      </c>
      <c r="BX176" s="150">
        <v>0</v>
      </c>
      <c r="BY176" s="150">
        <f t="shared" si="393"/>
        <v>0</v>
      </c>
      <c r="BZ176" s="150">
        <f t="shared" si="393"/>
        <v>0</v>
      </c>
      <c r="CA176" s="150">
        <f t="shared" si="393"/>
        <v>4</v>
      </c>
      <c r="CB176" s="150">
        <v>4</v>
      </c>
      <c r="CC176" s="150">
        <v>4</v>
      </c>
      <c r="CD176" s="150">
        <f t="shared" si="393"/>
        <v>4</v>
      </c>
      <c r="CE176" s="150">
        <v>8</v>
      </c>
      <c r="CF176" s="150">
        <v>8</v>
      </c>
      <c r="CG176" s="150">
        <f t="shared" si="393"/>
        <v>12</v>
      </c>
      <c r="CH176" s="150">
        <f t="shared" si="393"/>
        <v>12</v>
      </c>
      <c r="CI176" s="150">
        <f t="shared" si="393"/>
        <v>12</v>
      </c>
      <c r="CJ176" s="150">
        <v>16</v>
      </c>
      <c r="CK176" s="150"/>
      <c r="CL176" s="150"/>
      <c r="CM176" s="150"/>
      <c r="CN176" s="158" t="s">
        <v>18</v>
      </c>
      <c r="CO176" s="150">
        <f t="shared" si="394"/>
        <v>0</v>
      </c>
      <c r="CP176" s="150">
        <f t="shared" si="394"/>
        <v>0</v>
      </c>
      <c r="CQ176" s="150">
        <f t="shared" si="394"/>
        <v>0</v>
      </c>
      <c r="CR176" s="150">
        <f t="shared" si="394"/>
        <v>4</v>
      </c>
      <c r="CS176" s="150">
        <f t="shared" si="394"/>
        <v>4</v>
      </c>
      <c r="CT176" s="150">
        <v>4</v>
      </c>
      <c r="CU176" s="150">
        <f t="shared" si="394"/>
        <v>8</v>
      </c>
      <c r="CV176" s="150">
        <f t="shared" si="394"/>
        <v>8</v>
      </c>
      <c r="CW176" s="150">
        <v>12</v>
      </c>
      <c r="CX176" s="150">
        <f t="shared" si="394"/>
        <v>12</v>
      </c>
      <c r="CY176" s="150">
        <f t="shared" si="394"/>
        <v>12</v>
      </c>
      <c r="CZ176" s="150">
        <v>16</v>
      </c>
      <c r="DA176" s="150">
        <v>12</v>
      </c>
      <c r="DB176" s="150"/>
      <c r="DC176" s="150" t="s">
        <v>18</v>
      </c>
      <c r="DD176" s="150">
        <v>0</v>
      </c>
      <c r="DE176" s="150">
        <f t="shared" si="403"/>
        <v>0</v>
      </c>
      <c r="DF176" s="150">
        <f t="shared" si="403"/>
        <v>0</v>
      </c>
      <c r="DG176" s="150">
        <v>4</v>
      </c>
      <c r="DH176" s="150">
        <f t="shared" si="403"/>
        <v>4</v>
      </c>
      <c r="DI176" s="150">
        <f t="shared" si="403"/>
        <v>4</v>
      </c>
      <c r="DJ176" s="150">
        <v>8</v>
      </c>
      <c r="DK176" s="150">
        <f t="shared" si="403"/>
        <v>8</v>
      </c>
      <c r="DL176" s="150">
        <f t="shared" si="403"/>
        <v>8</v>
      </c>
      <c r="DM176" s="150">
        <f t="shared" si="403"/>
        <v>12</v>
      </c>
      <c r="DN176" s="150">
        <f t="shared" si="403"/>
        <v>12</v>
      </c>
      <c r="DO176" s="150">
        <f t="shared" si="403"/>
        <v>12</v>
      </c>
      <c r="DP176" s="150">
        <v>16</v>
      </c>
      <c r="DQ176" s="181"/>
      <c r="DR176" s="181">
        <v>36</v>
      </c>
      <c r="DS176" s="181"/>
      <c r="DT176" s="158" t="s">
        <v>18</v>
      </c>
      <c r="DU176" s="158">
        <v>0</v>
      </c>
      <c r="DV176" s="150">
        <f t="shared" si="404"/>
        <v>0</v>
      </c>
      <c r="DW176" s="150">
        <f t="shared" si="404"/>
        <v>0</v>
      </c>
      <c r="DX176" s="150">
        <f t="shared" si="404"/>
        <v>4</v>
      </c>
      <c r="DY176" s="150">
        <f t="shared" si="404"/>
        <v>8</v>
      </c>
      <c r="DZ176" s="150">
        <f t="shared" si="404"/>
        <v>4</v>
      </c>
      <c r="EA176" s="150">
        <f t="shared" si="404"/>
        <v>8</v>
      </c>
      <c r="EB176" s="150">
        <f t="shared" si="404"/>
        <v>12</v>
      </c>
      <c r="EC176" s="150">
        <f t="shared" si="404"/>
        <v>12</v>
      </c>
      <c r="ED176" s="150">
        <f t="shared" si="404"/>
        <v>12</v>
      </c>
      <c r="EE176" s="150">
        <f t="shared" si="404"/>
        <v>16</v>
      </c>
      <c r="EF176" s="150">
        <f t="shared" si="404"/>
        <v>16</v>
      </c>
      <c r="EG176" s="150">
        <f t="shared" si="404"/>
        <v>16</v>
      </c>
      <c r="EH176" s="150"/>
      <c r="EI176" s="150"/>
      <c r="EJ176" s="150"/>
      <c r="EK176" s="150" t="s">
        <v>132</v>
      </c>
      <c r="EL176" s="150">
        <v>0</v>
      </c>
      <c r="EM176" s="150">
        <v>6</v>
      </c>
      <c r="EN176" s="150">
        <v>9</v>
      </c>
      <c r="EO176" s="150">
        <v>12</v>
      </c>
      <c r="EP176" s="150">
        <v>15</v>
      </c>
      <c r="EQ176" s="150">
        <v>18</v>
      </c>
      <c r="ER176" s="150">
        <v>21</v>
      </c>
      <c r="ES176" s="150">
        <v>24</v>
      </c>
      <c r="ET176" s="150">
        <v>27</v>
      </c>
      <c r="EU176" s="150">
        <v>30</v>
      </c>
      <c r="EV176" s="150">
        <v>33</v>
      </c>
      <c r="EW176" s="150">
        <v>36</v>
      </c>
      <c r="EX176" s="150">
        <v>39</v>
      </c>
      <c r="EY176" s="150"/>
      <c r="EZ176" s="150" t="s">
        <v>471</v>
      </c>
      <c r="FA176" s="150">
        <v>0</v>
      </c>
      <c r="FB176" s="150">
        <v>6</v>
      </c>
      <c r="FC176" s="150">
        <v>9</v>
      </c>
      <c r="FD176" s="150">
        <v>12</v>
      </c>
      <c r="FE176" s="150">
        <v>15</v>
      </c>
      <c r="FF176" s="150">
        <v>18</v>
      </c>
      <c r="FG176" s="150">
        <v>21</v>
      </c>
      <c r="FH176" s="150">
        <v>24</v>
      </c>
      <c r="FI176" s="150">
        <v>27</v>
      </c>
      <c r="FJ176" s="150">
        <v>30</v>
      </c>
      <c r="FK176" s="150">
        <v>33</v>
      </c>
      <c r="FL176" s="150">
        <v>36</v>
      </c>
      <c r="FM176" s="150">
        <v>39</v>
      </c>
      <c r="FN176" s="150"/>
      <c r="FO176" s="150" t="s">
        <v>137</v>
      </c>
      <c r="FP176" s="150">
        <v>0</v>
      </c>
      <c r="FQ176" s="150">
        <v>6</v>
      </c>
      <c r="FR176" s="150">
        <v>9</v>
      </c>
      <c r="FS176" s="150">
        <v>12</v>
      </c>
      <c r="FT176" s="150">
        <v>15</v>
      </c>
      <c r="FU176" s="150">
        <v>18</v>
      </c>
      <c r="FV176" s="150">
        <v>21</v>
      </c>
      <c r="FW176" s="150">
        <v>24</v>
      </c>
      <c r="FX176" s="150">
        <v>27</v>
      </c>
      <c r="FY176" s="150">
        <v>30</v>
      </c>
      <c r="FZ176" s="150">
        <v>33</v>
      </c>
      <c r="GA176" s="150">
        <v>36</v>
      </c>
      <c r="GB176" s="150">
        <v>39</v>
      </c>
      <c r="GC176" s="150"/>
      <c r="GD176" s="150" t="s">
        <v>479</v>
      </c>
      <c r="GE176" s="150">
        <v>0</v>
      </c>
      <c r="GF176" s="150">
        <v>6</v>
      </c>
      <c r="GG176" s="150">
        <v>9</v>
      </c>
      <c r="GH176" s="150">
        <v>12</v>
      </c>
      <c r="GI176" s="150">
        <v>15</v>
      </c>
      <c r="GJ176" s="150">
        <v>18</v>
      </c>
      <c r="GK176" s="150">
        <v>21</v>
      </c>
      <c r="GL176" s="150">
        <v>24</v>
      </c>
      <c r="GM176" s="150">
        <v>27</v>
      </c>
      <c r="GN176" s="150">
        <v>30</v>
      </c>
      <c r="GO176" s="150">
        <v>33</v>
      </c>
      <c r="GP176" s="150">
        <v>36</v>
      </c>
      <c r="GQ176" s="150">
        <v>39</v>
      </c>
      <c r="GR176" s="150"/>
      <c r="GS176" s="150"/>
      <c r="GT176" s="150"/>
      <c r="GU176" s="150"/>
      <c r="GV176" s="150"/>
      <c r="GW176" s="150"/>
      <c r="GX176" s="150"/>
      <c r="GY176" s="150"/>
      <c r="GZ176" s="150"/>
      <c r="HA176" s="150"/>
      <c r="HB176" s="150"/>
      <c r="HC176" s="150"/>
      <c r="HD176" s="150"/>
      <c r="HE176" s="150"/>
      <c r="HF176" s="150"/>
      <c r="HG176" s="150"/>
      <c r="HH176" s="150"/>
    </row>
    <row r="177" spans="1:254" x14ac:dyDescent="0.25">
      <c r="A177" s="8"/>
      <c r="B177" s="5" t="s">
        <v>116</v>
      </c>
      <c r="C177" s="8"/>
      <c r="D177" s="40" t="s">
        <v>797</v>
      </c>
      <c r="E177" s="9"/>
      <c r="F177" s="9"/>
      <c r="G177" s="9"/>
      <c r="H177" s="9"/>
      <c r="I177" s="9"/>
      <c r="J177" s="9"/>
      <c r="K177" s="9"/>
      <c r="L177" s="6" t="str">
        <f>INDEX(($AH$13:$AI$13),1,MATCH(E164,$AH$2:$AI$2,0))</f>
        <v>PUFL</v>
      </c>
      <c r="M177" s="11">
        <f>INDEX(cennik!$C$2:$L$529,MATCH($L177,cennik!$B$2:$B$522,0),MATCH(M$2,cennik!$C$1:$L$1,0))</f>
        <v>897302</v>
      </c>
      <c r="N177" s="11" t="str">
        <f>INDEX(cennik!$C$2:$L$529,MATCH($L177,cennik!$B$2:$B$522,0),MATCH(N$2,cennik!$C$1:$L$1,0))</f>
        <v>szt.</v>
      </c>
      <c r="O177" s="11">
        <f>SUM((((A162/2)-1)*4)*C162,(((A163/2)-1)*4)*C163,(((A164/2)-1)*4)*C164,(((A165/2)-1)*4)*C165,(((A166/2)-1)*4)*C166,(((A167/2)-1)*4)*C167,(((A168/2)-1)*4)*C168,(((A169/2)-1)*4)*C169,(((A170/2)-1)*4)*C170,(((A171/2)-1)*4)*C171,(((A172/2)-1)*4)*C172,(((A173/2)-1)*4)*C173,(((A174/2)-1)*4)*C174,(((A175/2)-1)*4)*C175,(((A176/2)-1)*4)*C176,(((A177/2)-1)*4)*C177)</f>
        <v>0</v>
      </c>
      <c r="P177" s="34">
        <f>INDEX(cennik!$C$2:$L$529,MATCH($L177,cennik!$B$2:$B$522,0),MATCH(P$2,cennik!$C$1:$L$1,0))</f>
        <v>4.3099999999999996</v>
      </c>
      <c r="Q177" s="34">
        <f t="shared" si="385"/>
        <v>0</v>
      </c>
      <c r="R177" s="35">
        <f t="shared" si="360"/>
        <v>0</v>
      </c>
      <c r="S177" s="34">
        <f t="shared" si="361"/>
        <v>4.3099999999999996</v>
      </c>
      <c r="T177" s="34">
        <f t="shared" si="386"/>
        <v>0</v>
      </c>
      <c r="U177" s="34">
        <f>INDEX(cennik!$C$2:$L$529,MATCH($L177,cennik!$B$2:$B$522,0),MATCH(U$2,cennik!$C$1:$L$1,0))*O177</f>
        <v>0</v>
      </c>
      <c r="V177" s="62"/>
      <c r="AC177" s="150"/>
      <c r="AD177" s="150"/>
      <c r="AE177" s="150"/>
      <c r="AF177" s="150"/>
      <c r="AG177" s="150"/>
      <c r="AH177" s="150">
        <f>(AB180-1)*3100</f>
        <v>-3100</v>
      </c>
      <c r="AI177" s="150"/>
      <c r="AJ177" s="150"/>
      <c r="AK177" s="150"/>
      <c r="AL177" s="150"/>
      <c r="AM177" s="150"/>
      <c r="AN177" s="150"/>
      <c r="AO177" s="150"/>
      <c r="AP177" s="150"/>
      <c r="AQ177" s="150"/>
      <c r="AR177" s="62">
        <v>25</v>
      </c>
      <c r="AS177" s="62" t="s">
        <v>314</v>
      </c>
      <c r="AT177" s="62" t="s">
        <v>312</v>
      </c>
      <c r="AU177" s="62" t="s">
        <v>309</v>
      </c>
      <c r="AV177" s="150" t="s">
        <v>313</v>
      </c>
      <c r="AX177" s="169"/>
      <c r="AY177" s="166"/>
      <c r="AZ177" s="166"/>
      <c r="BA177" s="150"/>
      <c r="BH177" s="150"/>
      <c r="BI177" s="150"/>
      <c r="BJ177" s="150"/>
      <c r="BK177" s="150"/>
      <c r="BL177" s="150"/>
      <c r="BM177" s="150"/>
      <c r="BN177" s="150"/>
      <c r="BO177" s="150"/>
      <c r="BP177" s="150"/>
      <c r="BQ177" s="150"/>
      <c r="BR177" s="150"/>
      <c r="BS177" s="150"/>
      <c r="BT177" s="150"/>
      <c r="BU177" s="150"/>
      <c r="BV177" s="150"/>
      <c r="BW177" s="150"/>
      <c r="BX177" s="150"/>
      <c r="BY177" s="150"/>
      <c r="BZ177" s="150"/>
      <c r="CA177" s="150"/>
      <c r="CB177" s="150"/>
      <c r="CC177" s="150"/>
      <c r="CD177" s="150"/>
      <c r="CE177" s="150"/>
      <c r="CF177" s="150"/>
      <c r="CG177" s="150"/>
      <c r="CH177" s="150"/>
      <c r="CI177" s="150"/>
      <c r="CJ177" s="150"/>
      <c r="CK177" s="150"/>
      <c r="CL177" s="150"/>
      <c r="CM177" s="150"/>
      <c r="CN177" s="150"/>
      <c r="CO177" s="150"/>
      <c r="CP177" s="150"/>
      <c r="CQ177" s="150"/>
      <c r="CR177" s="150"/>
      <c r="CS177" s="150"/>
      <c r="CT177" s="150"/>
      <c r="CU177" s="150"/>
      <c r="CV177" s="150"/>
      <c r="CW177" s="150"/>
      <c r="CX177" s="150"/>
      <c r="CY177" s="150"/>
      <c r="CZ177" s="150"/>
      <c r="DA177" s="150"/>
      <c r="DB177" s="150"/>
      <c r="DC177" s="150"/>
      <c r="DD177" s="150"/>
      <c r="DE177" s="150"/>
      <c r="DF177" s="150"/>
      <c r="DG177" s="150"/>
      <c r="DH177" s="150"/>
      <c r="DI177" s="150"/>
      <c r="DJ177" s="150"/>
      <c r="DK177" s="150"/>
      <c r="DL177" s="150"/>
      <c r="DM177" s="150"/>
      <c r="DN177" s="150"/>
      <c r="DO177" s="150"/>
      <c r="DP177" s="150"/>
      <c r="DQ177" s="181"/>
      <c r="DR177" s="181">
        <v>39</v>
      </c>
      <c r="DS177" s="181"/>
      <c r="DT177" s="150"/>
      <c r="DU177" s="150"/>
      <c r="DV177" s="150"/>
      <c r="DW177" s="150"/>
      <c r="DX177" s="150"/>
      <c r="DY177" s="150"/>
      <c r="DZ177" s="150"/>
      <c r="EA177" s="150"/>
      <c r="EB177" s="150"/>
      <c r="EC177" s="150"/>
      <c r="ED177" s="150"/>
      <c r="EE177" s="150"/>
      <c r="EF177" s="150"/>
      <c r="EG177" s="150"/>
      <c r="EH177" s="150"/>
      <c r="EI177" s="150"/>
      <c r="EJ177" s="150"/>
      <c r="EK177" s="150" t="s">
        <v>522</v>
      </c>
      <c r="EL177" s="150">
        <v>0</v>
      </c>
      <c r="EM177" s="150">
        <f t="shared" ref="EM177:EX177" si="410">EM16/5*4</f>
        <v>0</v>
      </c>
      <c r="EN177" s="150">
        <f t="shared" si="410"/>
        <v>0</v>
      </c>
      <c r="EO177" s="150">
        <f t="shared" si="410"/>
        <v>0</v>
      </c>
      <c r="EP177" s="150">
        <f t="shared" si="410"/>
        <v>8</v>
      </c>
      <c r="EQ177" s="150">
        <f t="shared" si="410"/>
        <v>0</v>
      </c>
      <c r="ER177" s="150">
        <f t="shared" si="410"/>
        <v>8</v>
      </c>
      <c r="ES177" s="150">
        <f t="shared" si="410"/>
        <v>8</v>
      </c>
      <c r="ET177" s="150">
        <f t="shared" si="410"/>
        <v>8</v>
      </c>
      <c r="EU177" s="150">
        <f t="shared" si="410"/>
        <v>4</v>
      </c>
      <c r="EV177" s="150">
        <f t="shared" si="410"/>
        <v>0</v>
      </c>
      <c r="EW177" s="150">
        <f t="shared" si="410"/>
        <v>4</v>
      </c>
      <c r="EX177" s="150">
        <f t="shared" si="410"/>
        <v>4</v>
      </c>
      <c r="EY177" s="150"/>
      <c r="EZ177" s="150" t="s">
        <v>522</v>
      </c>
      <c r="FA177" s="150">
        <v>0</v>
      </c>
      <c r="FB177" s="150">
        <f t="shared" ref="FB177:FM177" si="411">FB16/5*4</f>
        <v>0</v>
      </c>
      <c r="FC177" s="150">
        <f t="shared" si="411"/>
        <v>0</v>
      </c>
      <c r="FD177" s="150">
        <f t="shared" si="411"/>
        <v>4</v>
      </c>
      <c r="FE177" s="150">
        <f t="shared" si="411"/>
        <v>0</v>
      </c>
      <c r="FF177" s="150">
        <f t="shared" si="411"/>
        <v>8</v>
      </c>
      <c r="FG177" s="150">
        <f t="shared" si="411"/>
        <v>0</v>
      </c>
      <c r="FH177" s="150">
        <f t="shared" si="411"/>
        <v>8</v>
      </c>
      <c r="FI177" s="150">
        <f t="shared" si="411"/>
        <v>4</v>
      </c>
      <c r="FJ177" s="150">
        <f t="shared" si="411"/>
        <v>8</v>
      </c>
      <c r="FK177" s="150">
        <f t="shared" si="411"/>
        <v>4</v>
      </c>
      <c r="FL177" s="150">
        <f t="shared" si="411"/>
        <v>4</v>
      </c>
      <c r="FM177" s="150">
        <f t="shared" si="411"/>
        <v>8</v>
      </c>
      <c r="FN177" s="150"/>
      <c r="FO177" s="150" t="s">
        <v>522</v>
      </c>
      <c r="FP177" s="150">
        <v>0</v>
      </c>
      <c r="FQ177" s="150">
        <f t="shared" ref="FQ177:GB177" si="412">FQ16/5*4</f>
        <v>4</v>
      </c>
      <c r="FR177" s="150">
        <f t="shared" si="412"/>
        <v>0</v>
      </c>
      <c r="FS177" s="150">
        <f t="shared" si="412"/>
        <v>8</v>
      </c>
      <c r="FT177" s="150">
        <f t="shared" si="412"/>
        <v>0</v>
      </c>
      <c r="FU177" s="150">
        <f t="shared" si="412"/>
        <v>8</v>
      </c>
      <c r="FV177" s="150">
        <f t="shared" si="412"/>
        <v>8</v>
      </c>
      <c r="FW177" s="150">
        <f t="shared" si="412"/>
        <v>0</v>
      </c>
      <c r="FX177" s="150">
        <f t="shared" si="412"/>
        <v>8</v>
      </c>
      <c r="FY177" s="150">
        <f t="shared" si="412"/>
        <v>4</v>
      </c>
      <c r="FZ177" s="150">
        <f t="shared" si="412"/>
        <v>0</v>
      </c>
      <c r="GA177" s="150">
        <f t="shared" si="412"/>
        <v>4</v>
      </c>
      <c r="GB177" s="150">
        <f t="shared" si="412"/>
        <v>0</v>
      </c>
      <c r="GC177" s="150"/>
      <c r="GD177" s="150" t="s">
        <v>522</v>
      </c>
      <c r="GE177" s="150">
        <v>0</v>
      </c>
      <c r="GF177" s="150">
        <f t="shared" ref="GF177:GQ177" si="413">GF16/5*4</f>
        <v>4</v>
      </c>
      <c r="GG177" s="150">
        <f t="shared" si="413"/>
        <v>0</v>
      </c>
      <c r="GH177" s="150">
        <f t="shared" si="413"/>
        <v>8</v>
      </c>
      <c r="GI177" s="150">
        <f t="shared" si="413"/>
        <v>8</v>
      </c>
      <c r="GJ177" s="150">
        <f t="shared" si="413"/>
        <v>0</v>
      </c>
      <c r="GK177" s="150">
        <f t="shared" si="413"/>
        <v>8</v>
      </c>
      <c r="GL177" s="150">
        <f t="shared" si="413"/>
        <v>4</v>
      </c>
      <c r="GM177" s="150">
        <f t="shared" si="413"/>
        <v>4</v>
      </c>
      <c r="GN177" s="150">
        <f t="shared" si="413"/>
        <v>8</v>
      </c>
      <c r="GO177" s="150">
        <f t="shared" si="413"/>
        <v>4</v>
      </c>
      <c r="GP177" s="150">
        <f t="shared" si="413"/>
        <v>0</v>
      </c>
      <c r="GQ177" s="150">
        <f t="shared" si="413"/>
        <v>0</v>
      </c>
      <c r="GR177" s="150"/>
      <c r="GS177" s="150"/>
      <c r="GT177" s="150"/>
      <c r="GU177" s="150"/>
      <c r="GV177" s="150"/>
      <c r="GW177" s="150"/>
      <c r="GX177" s="150"/>
      <c r="GY177" s="150"/>
      <c r="GZ177" s="150"/>
      <c r="HA177" s="150"/>
      <c r="HB177" s="150"/>
      <c r="HC177" s="150"/>
      <c r="HD177" s="150"/>
      <c r="HE177" s="150"/>
      <c r="HF177" s="150"/>
      <c r="HG177" s="150"/>
      <c r="HH177" s="150"/>
    </row>
    <row r="178" spans="1:254" x14ac:dyDescent="0.25">
      <c r="A178" s="9"/>
      <c r="B178" s="6"/>
      <c r="C178" s="9"/>
      <c r="D178" s="40" t="s">
        <v>798</v>
      </c>
      <c r="E178" s="9"/>
      <c r="F178" s="9"/>
      <c r="G178" s="9"/>
      <c r="H178" s="9"/>
      <c r="I178" s="9"/>
      <c r="J178" s="9"/>
      <c r="K178" s="9"/>
      <c r="L178" s="6" t="str">
        <f>INDEX(($AJ$3:$AJ$12),MATCH(I163,$AG$3:$AG$12,0),1)</f>
        <v>SAM8X30E</v>
      </c>
      <c r="M178" s="11">
        <f>INDEX(cennik!$C$2:$L$529,MATCH($L178,cennik!$B$2:$B$522,0),MATCH(M$2,cennik!$C$1:$L$1,0))</f>
        <v>898530</v>
      </c>
      <c r="N178" s="11" t="str">
        <f>INDEX(cennik!$C$2:$L$529,MATCH($L178,cennik!$B$2:$B$522,0),MATCH(N$2,cennik!$C$1:$L$1,0))</f>
        <v>szt.</v>
      </c>
      <c r="O178" s="11">
        <f>SUM(O176:O177)</f>
        <v>0</v>
      </c>
      <c r="P178" s="34">
        <f>INDEX(cennik!$C$2:$L$529,MATCH($L178,cennik!$B$2:$B$522,0),MATCH(P$2,cennik!$C$1:$L$1,0))</f>
        <v>0.5</v>
      </c>
      <c r="Q178" s="34">
        <f t="shared" si="385"/>
        <v>0</v>
      </c>
      <c r="R178" s="35">
        <f t="shared" si="360"/>
        <v>0</v>
      </c>
      <c r="S178" s="34">
        <f t="shared" si="361"/>
        <v>0.5</v>
      </c>
      <c r="T178" s="34">
        <f t="shared" si="386"/>
        <v>0</v>
      </c>
      <c r="U178" s="34">
        <f>INDEX(cennik!$C$2:$L$529,MATCH($L178,cennik!$B$2:$B$522,0),MATCH(U$2,cennik!$C$1:$L$1,0))*O178</f>
        <v>0</v>
      </c>
      <c r="V178" s="62"/>
      <c r="AC178" s="150"/>
      <c r="AD178" s="150"/>
      <c r="AE178" s="150"/>
      <c r="AF178" s="150"/>
      <c r="AG178" s="150"/>
      <c r="AH178" s="150"/>
      <c r="AI178" s="150"/>
      <c r="AJ178" s="150"/>
      <c r="AK178" s="150"/>
      <c r="AL178" s="150"/>
      <c r="AM178" s="150"/>
      <c r="AN178" s="150"/>
      <c r="AO178" s="150"/>
      <c r="AP178" s="150"/>
      <c r="AQ178" s="150"/>
      <c r="AR178" s="62" t="s">
        <v>114</v>
      </c>
      <c r="AS178" s="62" t="s">
        <v>596</v>
      </c>
      <c r="AT178" s="62" t="s">
        <v>595</v>
      </c>
      <c r="AU178" s="62" t="s">
        <v>593</v>
      </c>
      <c r="AV178" s="150" t="s">
        <v>593</v>
      </c>
      <c r="AX178" s="169"/>
      <c r="AY178" s="169"/>
      <c r="AZ178" s="169"/>
      <c r="BA178" s="150"/>
      <c r="BH178" s="150" t="s">
        <v>132</v>
      </c>
      <c r="BI178" s="150">
        <v>0</v>
      </c>
      <c r="BJ178" s="150">
        <v>6</v>
      </c>
      <c r="BK178" s="150">
        <v>9</v>
      </c>
      <c r="BL178" s="150">
        <v>12</v>
      </c>
      <c r="BM178" s="150">
        <v>15</v>
      </c>
      <c r="BN178" s="150">
        <v>18</v>
      </c>
      <c r="BO178" s="150">
        <v>21</v>
      </c>
      <c r="BP178" s="150">
        <v>24</v>
      </c>
      <c r="BQ178" s="150">
        <v>27</v>
      </c>
      <c r="BR178" s="150">
        <v>30</v>
      </c>
      <c r="BS178" s="150">
        <v>33</v>
      </c>
      <c r="BT178" s="150">
        <v>36</v>
      </c>
      <c r="BU178" s="150">
        <v>39</v>
      </c>
      <c r="BV178" s="150"/>
      <c r="BW178" s="150" t="s">
        <v>471</v>
      </c>
      <c r="BX178" s="150">
        <v>0</v>
      </c>
      <c r="BY178" s="150">
        <v>6</v>
      </c>
      <c r="BZ178" s="150">
        <v>9</v>
      </c>
      <c r="CA178" s="150">
        <v>12</v>
      </c>
      <c r="CB178" s="150">
        <v>15</v>
      </c>
      <c r="CC178" s="150">
        <v>18</v>
      </c>
      <c r="CD178" s="150">
        <v>21</v>
      </c>
      <c r="CE178" s="150">
        <v>24</v>
      </c>
      <c r="CF178" s="150">
        <v>27</v>
      </c>
      <c r="CG178" s="150">
        <v>30</v>
      </c>
      <c r="CH178" s="150">
        <v>33</v>
      </c>
      <c r="CI178" s="150">
        <v>36</v>
      </c>
      <c r="CJ178" s="150">
        <v>39</v>
      </c>
      <c r="CK178" s="150"/>
      <c r="CL178" s="150"/>
      <c r="CM178" s="150"/>
      <c r="CN178" s="150" t="s">
        <v>137</v>
      </c>
      <c r="CO178" s="150">
        <v>0</v>
      </c>
      <c r="CP178" s="150">
        <v>6</v>
      </c>
      <c r="CQ178" s="150">
        <v>9</v>
      </c>
      <c r="CR178" s="150">
        <v>12</v>
      </c>
      <c r="CS178" s="150">
        <v>15</v>
      </c>
      <c r="CT178" s="150">
        <v>18</v>
      </c>
      <c r="CU178" s="150">
        <v>21</v>
      </c>
      <c r="CV178" s="150">
        <v>24</v>
      </c>
      <c r="CW178" s="150">
        <v>27</v>
      </c>
      <c r="CX178" s="150">
        <v>30</v>
      </c>
      <c r="CY178" s="150">
        <v>33</v>
      </c>
      <c r="CZ178" s="150">
        <v>36</v>
      </c>
      <c r="DA178" s="150">
        <v>39</v>
      </c>
      <c r="DB178" s="150"/>
      <c r="DC178" s="150" t="s">
        <v>479</v>
      </c>
      <c r="DD178" s="150">
        <v>0</v>
      </c>
      <c r="DE178" s="150">
        <v>6</v>
      </c>
      <c r="DF178" s="150">
        <v>9</v>
      </c>
      <c r="DG178" s="150">
        <v>12</v>
      </c>
      <c r="DH178" s="150">
        <v>15</v>
      </c>
      <c r="DI178" s="150">
        <v>18</v>
      </c>
      <c r="DJ178" s="150">
        <v>21</v>
      </c>
      <c r="DK178" s="150">
        <v>24</v>
      </c>
      <c r="DL178" s="150">
        <v>27</v>
      </c>
      <c r="DM178" s="150">
        <v>30</v>
      </c>
      <c r="DN178" s="150">
        <v>33</v>
      </c>
      <c r="DO178" s="150">
        <v>36</v>
      </c>
      <c r="DP178" s="150">
        <v>39</v>
      </c>
      <c r="DQ178" s="181"/>
      <c r="DR178" s="181"/>
      <c r="DS178" s="181"/>
      <c r="DT178" s="150"/>
      <c r="DU178" s="150"/>
      <c r="DV178" s="150"/>
      <c r="DW178" s="150"/>
      <c r="DX178" s="150"/>
      <c r="DY178" s="150"/>
      <c r="DZ178" s="150"/>
      <c r="EA178" s="150"/>
      <c r="EB178" s="150"/>
      <c r="EC178" s="150"/>
      <c r="ED178" s="150"/>
      <c r="EE178" s="150"/>
      <c r="EF178" s="150"/>
      <c r="EG178" s="150"/>
      <c r="EH178" s="150"/>
      <c r="EI178" s="150"/>
      <c r="EJ178" s="150"/>
      <c r="EK178" s="150" t="s">
        <v>523</v>
      </c>
      <c r="EL178" s="150">
        <v>0</v>
      </c>
      <c r="EM178" s="150">
        <f t="shared" ref="EM178:EX178" si="414">EM17/5*4</f>
        <v>4</v>
      </c>
      <c r="EN178" s="150">
        <f t="shared" si="414"/>
        <v>0</v>
      </c>
      <c r="EO178" s="150">
        <f t="shared" si="414"/>
        <v>0</v>
      </c>
      <c r="EP178" s="150">
        <f t="shared" si="414"/>
        <v>0</v>
      </c>
      <c r="EQ178" s="150">
        <f t="shared" si="414"/>
        <v>12</v>
      </c>
      <c r="ER178" s="150">
        <f t="shared" si="414"/>
        <v>4</v>
      </c>
      <c r="ES178" s="150">
        <f t="shared" si="414"/>
        <v>8</v>
      </c>
      <c r="ET178" s="150">
        <f t="shared" si="414"/>
        <v>8</v>
      </c>
      <c r="EU178" s="150">
        <f t="shared" si="414"/>
        <v>16</v>
      </c>
      <c r="EV178" s="150">
        <f t="shared" si="414"/>
        <v>24</v>
      </c>
      <c r="EW178" s="150">
        <f t="shared" si="414"/>
        <v>20</v>
      </c>
      <c r="EX178" s="150">
        <f t="shared" si="414"/>
        <v>24</v>
      </c>
      <c r="EY178" s="150"/>
      <c r="EZ178" s="150" t="s">
        <v>523</v>
      </c>
      <c r="FA178" s="150">
        <v>0</v>
      </c>
      <c r="FB178" s="150">
        <f t="shared" ref="FB178:FM178" si="415">FB17/5*4</f>
        <v>4</v>
      </c>
      <c r="FC178" s="150">
        <f t="shared" si="415"/>
        <v>0</v>
      </c>
      <c r="FD178" s="150">
        <f t="shared" si="415"/>
        <v>4</v>
      </c>
      <c r="FE178" s="150">
        <f t="shared" si="415"/>
        <v>12</v>
      </c>
      <c r="FF178" s="150">
        <f t="shared" si="415"/>
        <v>4</v>
      </c>
      <c r="FG178" s="150">
        <f t="shared" si="415"/>
        <v>16</v>
      </c>
      <c r="FH178" s="150">
        <f t="shared" si="415"/>
        <v>8</v>
      </c>
      <c r="FI178" s="150">
        <f t="shared" si="415"/>
        <v>16</v>
      </c>
      <c r="FJ178" s="150">
        <f t="shared" si="415"/>
        <v>12</v>
      </c>
      <c r="FK178" s="150">
        <f t="shared" si="415"/>
        <v>20</v>
      </c>
      <c r="FL178" s="150">
        <f t="shared" si="415"/>
        <v>24</v>
      </c>
      <c r="FM178" s="150">
        <f t="shared" si="415"/>
        <v>20</v>
      </c>
      <c r="FN178" s="150"/>
      <c r="FO178" s="150" t="s">
        <v>523</v>
      </c>
      <c r="FP178" s="150">
        <v>0</v>
      </c>
      <c r="FQ178" s="150">
        <f t="shared" ref="FQ178:GB178" si="416">FQ17/5*4</f>
        <v>0</v>
      </c>
      <c r="FR178" s="150">
        <f t="shared" si="416"/>
        <v>0</v>
      </c>
      <c r="FS178" s="150">
        <f t="shared" si="416"/>
        <v>0</v>
      </c>
      <c r="FT178" s="150">
        <f t="shared" si="416"/>
        <v>12</v>
      </c>
      <c r="FU178" s="150">
        <f t="shared" si="416"/>
        <v>4</v>
      </c>
      <c r="FV178" s="150">
        <f t="shared" si="416"/>
        <v>8</v>
      </c>
      <c r="FW178" s="150">
        <f t="shared" si="416"/>
        <v>20</v>
      </c>
      <c r="FX178" s="150">
        <f t="shared" si="416"/>
        <v>12</v>
      </c>
      <c r="FY178" s="150">
        <f t="shared" si="416"/>
        <v>20</v>
      </c>
      <c r="FZ178" s="150">
        <f t="shared" si="416"/>
        <v>28</v>
      </c>
      <c r="GA178" s="150">
        <f t="shared" si="416"/>
        <v>24</v>
      </c>
      <c r="GB178" s="150">
        <f t="shared" si="416"/>
        <v>32</v>
      </c>
      <c r="GC178" s="150"/>
      <c r="GD178" s="150" t="s">
        <v>523</v>
      </c>
      <c r="GE178" s="150">
        <v>0</v>
      </c>
      <c r="GF178" s="150">
        <f t="shared" ref="GF178:GQ178" si="417">GF17/5*4</f>
        <v>0</v>
      </c>
      <c r="GG178" s="150">
        <f t="shared" si="417"/>
        <v>0</v>
      </c>
      <c r="GH178" s="150">
        <f t="shared" si="417"/>
        <v>0</v>
      </c>
      <c r="GI178" s="150">
        <f t="shared" si="417"/>
        <v>4</v>
      </c>
      <c r="GJ178" s="150">
        <f t="shared" si="417"/>
        <v>16</v>
      </c>
      <c r="GK178" s="150">
        <f t="shared" si="417"/>
        <v>8</v>
      </c>
      <c r="GL178" s="150">
        <f t="shared" si="417"/>
        <v>16</v>
      </c>
      <c r="GM178" s="150">
        <f t="shared" si="417"/>
        <v>20</v>
      </c>
      <c r="GN178" s="150">
        <f t="shared" si="417"/>
        <v>16</v>
      </c>
      <c r="GO178" s="150">
        <f t="shared" si="417"/>
        <v>24</v>
      </c>
      <c r="GP178" s="150">
        <f t="shared" si="417"/>
        <v>32</v>
      </c>
      <c r="GQ178" s="150">
        <f t="shared" si="417"/>
        <v>36</v>
      </c>
      <c r="GR178" s="150"/>
      <c r="GS178" s="150"/>
      <c r="GT178" s="150"/>
      <c r="GU178" s="150"/>
      <c r="GV178" s="150"/>
      <c r="GW178" s="150"/>
      <c r="GX178" s="150"/>
      <c r="GY178" s="150"/>
      <c r="GZ178" s="150"/>
      <c r="HA178" s="150"/>
      <c r="HB178" s="150"/>
      <c r="HC178" s="150"/>
      <c r="HD178" s="150"/>
      <c r="HE178" s="150"/>
      <c r="HF178" s="150"/>
      <c r="HG178" s="150"/>
      <c r="HH178" s="150"/>
    </row>
    <row r="179" spans="1:254" x14ac:dyDescent="0.2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6" t="s">
        <v>1019</v>
      </c>
      <c r="M179" s="11">
        <f>INDEX(cennik!$C$2:$L$529,MATCH($L179,cennik!$B$2:$B$522,0),MATCH(M$2,cennik!$C$1:$L$1,0))</f>
        <v>166794</v>
      </c>
      <c r="N179" s="11" t="str">
        <f>INDEX(cennik!$C$2:$L$529,MATCH($L179,cennik!$B$2:$B$522,0),MATCH(N$2,cennik!$C$1:$L$1,0))</f>
        <v>100 szt.</v>
      </c>
      <c r="O179" s="11">
        <f>ROUNDUP(O178/100,0)</f>
        <v>0</v>
      </c>
      <c r="P179" s="34">
        <f>INDEX(cennik!$C$2:$L$529,MATCH($L179,cennik!$B$2:$B$522,0),MATCH(P$2,cennik!$C$1:$L$1,0))</f>
        <v>3.95</v>
      </c>
      <c r="Q179" s="34">
        <f t="shared" si="385"/>
        <v>0</v>
      </c>
      <c r="R179" s="35">
        <f t="shared" si="360"/>
        <v>0</v>
      </c>
      <c r="S179" s="34">
        <f t="shared" si="361"/>
        <v>3.95</v>
      </c>
      <c r="T179" s="34">
        <f t="shared" si="386"/>
        <v>0</v>
      </c>
      <c r="U179" s="34">
        <f>INDEX(cennik!$C$2:$L$529,MATCH($L179,cennik!$B$2:$B$522,0),MATCH(U$2,cennik!$C$1:$L$1,0))*O179</f>
        <v>0</v>
      </c>
      <c r="V179" s="62"/>
      <c r="W179" s="166"/>
      <c r="X179" s="166"/>
      <c r="Y179" s="166"/>
      <c r="Z179" s="166"/>
      <c r="AA179" s="167" t="s">
        <v>311</v>
      </c>
      <c r="AB179" s="168" t="s">
        <v>318</v>
      </c>
      <c r="AC179" s="150"/>
      <c r="AD179" s="150"/>
      <c r="AE179" s="150"/>
      <c r="AF179" s="150"/>
      <c r="AG179" s="150"/>
      <c r="AH179" s="150"/>
      <c r="AI179" s="150"/>
      <c r="AJ179" s="150"/>
      <c r="AK179" s="150"/>
      <c r="AL179" s="150"/>
      <c r="AM179" s="150"/>
      <c r="AN179" s="150"/>
      <c r="AO179" s="150"/>
      <c r="AP179" s="150"/>
      <c r="AQ179" s="150"/>
      <c r="AR179" s="62" t="s">
        <v>115</v>
      </c>
      <c r="AS179" s="62" t="s">
        <v>596</v>
      </c>
      <c r="AT179" s="62" t="s">
        <v>595</v>
      </c>
      <c r="AU179" s="62" t="s">
        <v>593</v>
      </c>
      <c r="AV179" s="150" t="s">
        <v>594</v>
      </c>
      <c r="AX179" s="169"/>
      <c r="AY179" s="169"/>
      <c r="AZ179" s="169"/>
      <c r="BA179" s="150"/>
      <c r="BH179" s="150" t="s">
        <v>217</v>
      </c>
      <c r="BI179" s="150">
        <f>BI15/5*4</f>
        <v>0</v>
      </c>
      <c r="BJ179" s="150">
        <f t="shared" ref="BJ179:BS179" si="418">BJ15/5*4</f>
        <v>0</v>
      </c>
      <c r="BK179" s="150">
        <f t="shared" si="418"/>
        <v>4</v>
      </c>
      <c r="BL179" s="150">
        <f t="shared" si="418"/>
        <v>4</v>
      </c>
      <c r="BM179" s="150">
        <f t="shared" si="418"/>
        <v>0</v>
      </c>
      <c r="BN179" s="150">
        <f t="shared" si="418"/>
        <v>4</v>
      </c>
      <c r="BO179" s="150">
        <v>8</v>
      </c>
      <c r="BP179" s="150">
        <v>4</v>
      </c>
      <c r="BQ179" s="150">
        <v>8</v>
      </c>
      <c r="BR179" s="150">
        <f t="shared" si="418"/>
        <v>8</v>
      </c>
      <c r="BS179" s="150">
        <f t="shared" si="418"/>
        <v>12</v>
      </c>
      <c r="BT179" s="150">
        <v>8</v>
      </c>
      <c r="BU179" s="150">
        <v>12</v>
      </c>
      <c r="BV179" s="150"/>
      <c r="BW179" s="150" t="s">
        <v>217</v>
      </c>
      <c r="BX179" s="150">
        <v>0</v>
      </c>
      <c r="BY179" s="150">
        <f t="shared" ref="BY179:CJ182" si="419">BY15/5*4</f>
        <v>0</v>
      </c>
      <c r="BZ179" s="150">
        <f t="shared" si="419"/>
        <v>4</v>
      </c>
      <c r="CA179" s="150">
        <f t="shared" si="419"/>
        <v>0</v>
      </c>
      <c r="CB179" s="150">
        <f t="shared" si="419"/>
        <v>4</v>
      </c>
      <c r="CC179" s="150">
        <v>4</v>
      </c>
      <c r="CD179" s="150">
        <f t="shared" si="419"/>
        <v>8</v>
      </c>
      <c r="CE179" s="150">
        <v>8</v>
      </c>
      <c r="CF179" s="150">
        <f t="shared" si="419"/>
        <v>8</v>
      </c>
      <c r="CG179" s="150">
        <f t="shared" si="419"/>
        <v>4</v>
      </c>
      <c r="CH179" s="150">
        <v>8</v>
      </c>
      <c r="CI179" s="150">
        <v>12</v>
      </c>
      <c r="CJ179" s="150">
        <f t="shared" si="419"/>
        <v>8</v>
      </c>
      <c r="CK179" s="150"/>
      <c r="CL179" s="150"/>
      <c r="CM179" s="150"/>
      <c r="CN179" s="150" t="s">
        <v>217</v>
      </c>
      <c r="CO179" s="150">
        <f t="shared" ref="CO179:DA182" si="420">CO15/5*4</f>
        <v>0</v>
      </c>
      <c r="CP179" s="150">
        <f t="shared" si="420"/>
        <v>0</v>
      </c>
      <c r="CQ179" s="150">
        <f t="shared" si="420"/>
        <v>4</v>
      </c>
      <c r="CR179" s="150">
        <f t="shared" si="420"/>
        <v>0</v>
      </c>
      <c r="CS179" s="150">
        <f t="shared" si="420"/>
        <v>4</v>
      </c>
      <c r="CT179" s="150">
        <v>8</v>
      </c>
      <c r="CU179" s="150">
        <f t="shared" si="420"/>
        <v>4</v>
      </c>
      <c r="CV179" s="150">
        <f t="shared" si="420"/>
        <v>8</v>
      </c>
      <c r="CW179" s="150">
        <f t="shared" si="420"/>
        <v>4</v>
      </c>
      <c r="CX179" s="150">
        <f t="shared" si="420"/>
        <v>8</v>
      </c>
      <c r="CY179" s="150">
        <f t="shared" si="420"/>
        <v>12</v>
      </c>
      <c r="CZ179" s="150">
        <v>8</v>
      </c>
      <c r="DA179" s="150">
        <f t="shared" si="420"/>
        <v>16</v>
      </c>
      <c r="DB179" s="150"/>
      <c r="DC179" s="150" t="s">
        <v>217</v>
      </c>
      <c r="DD179" s="150">
        <v>0</v>
      </c>
      <c r="DE179" s="150">
        <f>DE15/5*4</f>
        <v>0</v>
      </c>
      <c r="DF179" s="150">
        <f t="shared" ref="DF179:DP179" si="421">DF15/5*4</f>
        <v>4</v>
      </c>
      <c r="DG179" s="150">
        <v>4</v>
      </c>
      <c r="DH179" s="150">
        <f t="shared" si="421"/>
        <v>0</v>
      </c>
      <c r="DI179" s="150">
        <f t="shared" si="421"/>
        <v>8</v>
      </c>
      <c r="DJ179" s="150">
        <v>8</v>
      </c>
      <c r="DK179" s="150">
        <f t="shared" si="421"/>
        <v>8</v>
      </c>
      <c r="DL179" s="150">
        <f t="shared" si="421"/>
        <v>8</v>
      </c>
      <c r="DM179" s="150">
        <f t="shared" si="421"/>
        <v>8</v>
      </c>
      <c r="DN179" s="150">
        <v>8</v>
      </c>
      <c r="DO179" s="150">
        <f t="shared" si="421"/>
        <v>16</v>
      </c>
      <c r="DP179" s="150">
        <f t="shared" si="421"/>
        <v>16</v>
      </c>
      <c r="DQ179" s="181"/>
      <c r="DR179" s="181"/>
      <c r="DS179" s="181"/>
      <c r="DT179" s="150"/>
      <c r="DU179" s="150"/>
      <c r="DV179" s="150"/>
      <c r="DW179" s="150"/>
      <c r="DX179" s="150"/>
      <c r="DY179" s="150"/>
      <c r="DZ179" s="150"/>
      <c r="EA179" s="150"/>
      <c r="EB179" s="150"/>
      <c r="EC179" s="150"/>
      <c r="ED179" s="150"/>
      <c r="EE179" s="150"/>
      <c r="EF179" s="150"/>
      <c r="EG179" s="150"/>
      <c r="EH179" s="150"/>
      <c r="EI179" s="150"/>
      <c r="EJ179" s="150"/>
      <c r="EK179" s="150" t="s">
        <v>524</v>
      </c>
      <c r="EL179" s="150">
        <v>0</v>
      </c>
      <c r="EM179" s="150">
        <f t="shared" ref="EM179:EX179" si="422">EM18/5*4</f>
        <v>0</v>
      </c>
      <c r="EN179" s="150">
        <f t="shared" si="422"/>
        <v>0</v>
      </c>
      <c r="EO179" s="150">
        <f t="shared" si="422"/>
        <v>0</v>
      </c>
      <c r="EP179" s="150">
        <f t="shared" si="422"/>
        <v>4</v>
      </c>
      <c r="EQ179" s="150">
        <f t="shared" si="422"/>
        <v>8</v>
      </c>
      <c r="ER179" s="150">
        <f t="shared" si="422"/>
        <v>8</v>
      </c>
      <c r="ES179" s="150">
        <f t="shared" si="422"/>
        <v>12</v>
      </c>
      <c r="ET179" s="150">
        <f t="shared" si="422"/>
        <v>12</v>
      </c>
      <c r="EU179" s="150">
        <f t="shared" si="422"/>
        <v>16</v>
      </c>
      <c r="EV179" s="150">
        <f t="shared" si="422"/>
        <v>20</v>
      </c>
      <c r="EW179" s="150">
        <f t="shared" si="422"/>
        <v>20</v>
      </c>
      <c r="EX179" s="150">
        <f t="shared" si="422"/>
        <v>24</v>
      </c>
      <c r="EY179" s="150"/>
      <c r="EZ179" s="150" t="s">
        <v>524</v>
      </c>
      <c r="FA179" s="150">
        <v>0</v>
      </c>
      <c r="FB179" s="150">
        <f t="shared" ref="FB179:FM179" si="423">FB18/5*4</f>
        <v>0</v>
      </c>
      <c r="FC179" s="150">
        <f t="shared" si="423"/>
        <v>0</v>
      </c>
      <c r="FD179" s="150">
        <f t="shared" si="423"/>
        <v>4</v>
      </c>
      <c r="FE179" s="150">
        <f t="shared" si="423"/>
        <v>8</v>
      </c>
      <c r="FF179" s="150">
        <f t="shared" si="423"/>
        <v>8</v>
      </c>
      <c r="FG179" s="150">
        <f t="shared" si="423"/>
        <v>12</v>
      </c>
      <c r="FH179" s="150">
        <f t="shared" si="423"/>
        <v>12</v>
      </c>
      <c r="FI179" s="150">
        <f t="shared" si="423"/>
        <v>16</v>
      </c>
      <c r="FJ179" s="150">
        <f t="shared" si="423"/>
        <v>16</v>
      </c>
      <c r="FK179" s="150">
        <f t="shared" si="423"/>
        <v>20</v>
      </c>
      <c r="FL179" s="150">
        <f t="shared" si="423"/>
        <v>24</v>
      </c>
      <c r="FM179" s="150">
        <f t="shared" si="423"/>
        <v>24</v>
      </c>
      <c r="FN179" s="150"/>
      <c r="FO179" s="150" t="s">
        <v>524</v>
      </c>
      <c r="FP179" s="150">
        <v>0</v>
      </c>
      <c r="FQ179" s="150">
        <f t="shared" ref="FQ179:GB179" si="424">FQ18/5*4</f>
        <v>0</v>
      </c>
      <c r="FR179" s="150">
        <f t="shared" si="424"/>
        <v>0</v>
      </c>
      <c r="FS179" s="150">
        <f t="shared" si="424"/>
        <v>4</v>
      </c>
      <c r="FT179" s="150">
        <f t="shared" si="424"/>
        <v>8</v>
      </c>
      <c r="FU179" s="150">
        <f t="shared" si="424"/>
        <v>8</v>
      </c>
      <c r="FV179" s="150">
        <f t="shared" si="424"/>
        <v>12</v>
      </c>
      <c r="FW179" s="150">
        <f t="shared" si="424"/>
        <v>16</v>
      </c>
      <c r="FX179" s="150">
        <f t="shared" si="424"/>
        <v>16</v>
      </c>
      <c r="FY179" s="150">
        <f t="shared" si="424"/>
        <v>20</v>
      </c>
      <c r="FZ179" s="150">
        <f t="shared" si="424"/>
        <v>24</v>
      </c>
      <c r="GA179" s="150">
        <f t="shared" si="424"/>
        <v>24</v>
      </c>
      <c r="GB179" s="150">
        <f t="shared" si="424"/>
        <v>28</v>
      </c>
      <c r="GC179" s="150"/>
      <c r="GD179" s="150" t="s">
        <v>524</v>
      </c>
      <c r="GE179" s="150">
        <v>0</v>
      </c>
      <c r="GF179" s="150">
        <f t="shared" ref="GF179:GQ179" si="425">GF18/5*4</f>
        <v>0</v>
      </c>
      <c r="GG179" s="150">
        <f t="shared" si="425"/>
        <v>0</v>
      </c>
      <c r="GH179" s="150">
        <f t="shared" si="425"/>
        <v>4</v>
      </c>
      <c r="GI179" s="150">
        <f t="shared" si="425"/>
        <v>8</v>
      </c>
      <c r="GJ179" s="150">
        <f t="shared" si="425"/>
        <v>12</v>
      </c>
      <c r="GK179" s="150">
        <f t="shared" si="425"/>
        <v>12</v>
      </c>
      <c r="GL179" s="150">
        <f t="shared" si="425"/>
        <v>16</v>
      </c>
      <c r="GM179" s="150">
        <f t="shared" si="425"/>
        <v>20</v>
      </c>
      <c r="GN179" s="150">
        <f t="shared" si="425"/>
        <v>20</v>
      </c>
      <c r="GO179" s="150">
        <f t="shared" si="425"/>
        <v>24</v>
      </c>
      <c r="GP179" s="150">
        <f t="shared" si="425"/>
        <v>28</v>
      </c>
      <c r="GQ179" s="150">
        <f t="shared" si="425"/>
        <v>32</v>
      </c>
      <c r="GR179" s="150"/>
      <c r="GS179" s="150"/>
      <c r="GT179" s="150"/>
      <c r="GU179" s="150"/>
      <c r="GV179" s="150"/>
      <c r="GW179" s="150"/>
      <c r="GX179" s="150"/>
      <c r="GY179" s="150"/>
      <c r="GZ179" s="150"/>
      <c r="HA179" s="150"/>
      <c r="HB179" s="150"/>
      <c r="HC179" s="150"/>
      <c r="HD179" s="150"/>
      <c r="HE179" s="150"/>
      <c r="HF179" s="150"/>
      <c r="HG179" s="150"/>
      <c r="HH179" s="150"/>
    </row>
    <row r="180" spans="1:254" x14ac:dyDescent="0.2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6" t="s">
        <v>525</v>
      </c>
      <c r="M180" s="11">
        <f>INDEX(cennik!$C$2:$L$529,MATCH($L180,cennik!$B$2:$B$522,0),MATCH(M$2,cennik!$C$1:$L$1,0))</f>
        <v>660245</v>
      </c>
      <c r="N180" s="11" t="str">
        <f>INDEX(cennik!$C$2:$L$529,MATCH($L180,cennik!$B$2:$B$522,0),MATCH(N$2,cennik!$C$1:$L$1,0))</f>
        <v>szt.</v>
      </c>
      <c r="O180" s="11">
        <f>SUM(O176:O177)</f>
        <v>0</v>
      </c>
      <c r="P180" s="34">
        <f>INDEX(cennik!$C$2:$L$529,MATCH($L180,cennik!$B$2:$B$522,0),MATCH(P$2,cennik!$C$1:$L$1,0))</f>
        <v>1.56</v>
      </c>
      <c r="Q180" s="34">
        <f t="shared" si="385"/>
        <v>0</v>
      </c>
      <c r="R180" s="35">
        <f t="shared" si="360"/>
        <v>0</v>
      </c>
      <c r="S180" s="34">
        <f t="shared" si="361"/>
        <v>1.56</v>
      </c>
      <c r="T180" s="34">
        <f t="shared" si="386"/>
        <v>0</v>
      </c>
      <c r="U180" s="34">
        <f>INDEX(cennik!$C$2:$L$529,MATCH($L180,cennik!$B$2:$B$522,0),MATCH(U$2,cennik!$C$1:$L$1,0))*O180</f>
        <v>0</v>
      </c>
      <c r="V180" s="62"/>
      <c r="W180" s="166"/>
      <c r="X180" s="166"/>
      <c r="Y180" s="166"/>
      <c r="Z180" s="166"/>
      <c r="AA180" s="150">
        <f t="shared" ref="AA180:AA195" si="426">(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5,1,IF(AND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5,(IF(((INT((((A192/3)*(INDEX($AF$33:$AF$46,MATCH($E$193,$AE$33:$AE$46),1,1)))+(((A192/3)-1)*20))/2900)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9),2,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9,3,0))))*C192</f>
        <v>0</v>
      </c>
      <c r="AB180" s="150">
        <f t="shared" ref="AB180:AB195" si="427">(IF(((INT((((A192/3)*(INDEX($AF$33:$AF$46,MATCH($E$193,$AE$33:$AE$46),1,1)))+(((A192/3)-1)*20))/3100))*3100)+2300&gt;=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*C192</f>
        <v>0</v>
      </c>
      <c r="AC180" s="150"/>
      <c r="AD180" s="150"/>
      <c r="AE180" s="150"/>
      <c r="AF180" s="150"/>
      <c r="AG180" s="150"/>
      <c r="AH180" s="150"/>
      <c r="AI180" s="150"/>
      <c r="AJ180" s="150"/>
      <c r="AK180" s="150"/>
      <c r="AL180" s="150"/>
      <c r="AM180" s="150"/>
      <c r="AN180" s="150"/>
      <c r="AO180" s="150"/>
      <c r="AP180" s="150"/>
      <c r="AQ180" s="150"/>
      <c r="AR180" s="62" t="s">
        <v>474</v>
      </c>
      <c r="AS180" s="150" t="s">
        <v>596</v>
      </c>
      <c r="AT180" s="62" t="s">
        <v>595</v>
      </c>
      <c r="AU180" s="62" t="s">
        <v>593</v>
      </c>
      <c r="AV180" s="150" t="s">
        <v>594</v>
      </c>
      <c r="AX180" s="169"/>
      <c r="AY180" s="172"/>
      <c r="AZ180" s="172"/>
      <c r="BA180" s="170"/>
      <c r="BH180" s="150" t="s">
        <v>216</v>
      </c>
      <c r="BI180" s="150">
        <f t="shared" ref="BI180:BS182" si="428">BI16/5*4</f>
        <v>0</v>
      </c>
      <c r="BJ180" s="150">
        <f t="shared" si="428"/>
        <v>0</v>
      </c>
      <c r="BK180" s="150">
        <f t="shared" si="428"/>
        <v>0</v>
      </c>
      <c r="BL180" s="150">
        <f t="shared" si="428"/>
        <v>0</v>
      </c>
      <c r="BM180" s="150">
        <f t="shared" si="428"/>
        <v>8</v>
      </c>
      <c r="BN180" s="150">
        <f t="shared" si="428"/>
        <v>0</v>
      </c>
      <c r="BO180" s="150">
        <v>0</v>
      </c>
      <c r="BP180" s="150">
        <v>4</v>
      </c>
      <c r="BQ180" s="150">
        <v>0</v>
      </c>
      <c r="BR180" s="150">
        <f t="shared" si="428"/>
        <v>4</v>
      </c>
      <c r="BS180" s="150">
        <f t="shared" si="428"/>
        <v>0</v>
      </c>
      <c r="BT180" s="150">
        <v>8</v>
      </c>
      <c r="BU180" s="150">
        <v>0</v>
      </c>
      <c r="BV180" s="150"/>
      <c r="BW180" s="150" t="s">
        <v>216</v>
      </c>
      <c r="BX180" s="150">
        <v>0</v>
      </c>
      <c r="BY180" s="150">
        <f t="shared" si="419"/>
        <v>0</v>
      </c>
      <c r="BZ180" s="150">
        <f t="shared" si="419"/>
        <v>0</v>
      </c>
      <c r="CA180" s="150">
        <f t="shared" si="419"/>
        <v>4</v>
      </c>
      <c r="CB180" s="150">
        <f t="shared" si="419"/>
        <v>0</v>
      </c>
      <c r="CC180" s="150">
        <v>4</v>
      </c>
      <c r="CD180" s="150">
        <f t="shared" si="419"/>
        <v>0</v>
      </c>
      <c r="CE180" s="150">
        <v>0</v>
      </c>
      <c r="CF180" s="150">
        <f t="shared" si="419"/>
        <v>4</v>
      </c>
      <c r="CG180" s="150">
        <f t="shared" si="419"/>
        <v>8</v>
      </c>
      <c r="CH180" s="150">
        <v>8</v>
      </c>
      <c r="CI180" s="150">
        <v>0</v>
      </c>
      <c r="CJ180" s="150">
        <f t="shared" si="419"/>
        <v>8</v>
      </c>
      <c r="CK180" s="150"/>
      <c r="CL180" s="150"/>
      <c r="CM180" s="150"/>
      <c r="CN180" s="150" t="s">
        <v>216</v>
      </c>
      <c r="CO180" s="150">
        <f t="shared" si="420"/>
        <v>0</v>
      </c>
      <c r="CP180" s="150">
        <f t="shared" si="420"/>
        <v>4</v>
      </c>
      <c r="CQ180" s="150">
        <f t="shared" si="420"/>
        <v>0</v>
      </c>
      <c r="CR180" s="150">
        <f t="shared" si="420"/>
        <v>8</v>
      </c>
      <c r="CS180" s="150">
        <f t="shared" si="420"/>
        <v>0</v>
      </c>
      <c r="CT180" s="150">
        <v>0</v>
      </c>
      <c r="CU180" s="150">
        <f t="shared" si="420"/>
        <v>8</v>
      </c>
      <c r="CV180" s="150">
        <f t="shared" si="420"/>
        <v>0</v>
      </c>
      <c r="CW180" s="150">
        <f t="shared" si="420"/>
        <v>8</v>
      </c>
      <c r="CX180" s="150">
        <f t="shared" si="420"/>
        <v>4</v>
      </c>
      <c r="CY180" s="150">
        <f t="shared" si="420"/>
        <v>0</v>
      </c>
      <c r="CZ180" s="150">
        <v>8</v>
      </c>
      <c r="DA180" s="150">
        <f t="shared" si="420"/>
        <v>0</v>
      </c>
      <c r="DB180" s="150"/>
      <c r="DC180" s="150" t="s">
        <v>216</v>
      </c>
      <c r="DD180" s="150">
        <v>0</v>
      </c>
      <c r="DE180" s="150">
        <f t="shared" ref="DE180:DP182" si="429">DE16/5*4</f>
        <v>4</v>
      </c>
      <c r="DF180" s="150">
        <f t="shared" si="429"/>
        <v>0</v>
      </c>
      <c r="DG180" s="150">
        <v>0</v>
      </c>
      <c r="DH180" s="150">
        <f t="shared" si="429"/>
        <v>8</v>
      </c>
      <c r="DI180" s="150">
        <f t="shared" si="429"/>
        <v>0</v>
      </c>
      <c r="DJ180" s="150">
        <v>0</v>
      </c>
      <c r="DK180" s="150">
        <f t="shared" si="429"/>
        <v>4</v>
      </c>
      <c r="DL180" s="150">
        <f t="shared" si="429"/>
        <v>4</v>
      </c>
      <c r="DM180" s="150">
        <f t="shared" si="429"/>
        <v>8</v>
      </c>
      <c r="DN180" s="150">
        <v>8</v>
      </c>
      <c r="DO180" s="150">
        <f t="shared" si="429"/>
        <v>0</v>
      </c>
      <c r="DP180" s="150">
        <f t="shared" si="429"/>
        <v>0</v>
      </c>
      <c r="DQ180" s="181"/>
      <c r="DR180" s="181"/>
      <c r="DS180" s="181"/>
      <c r="DT180" s="150"/>
      <c r="DU180" s="150"/>
      <c r="DV180" s="150"/>
      <c r="DW180" s="150"/>
      <c r="DX180" s="150"/>
      <c r="DY180" s="150"/>
      <c r="DZ180" s="150"/>
      <c r="EA180" s="150"/>
      <c r="EB180" s="150"/>
      <c r="EC180" s="150"/>
      <c r="ED180" s="150"/>
      <c r="EE180" s="150"/>
      <c r="EF180" s="150"/>
      <c r="EG180" s="150"/>
      <c r="EH180" s="150"/>
      <c r="EI180" s="150"/>
      <c r="EJ180" s="150"/>
      <c r="EK180" s="150"/>
      <c r="EL180" s="150"/>
      <c r="EM180" s="150"/>
      <c r="EN180" s="150"/>
      <c r="EO180" s="150"/>
      <c r="EP180" s="150"/>
      <c r="EQ180" s="150"/>
      <c r="ER180" s="150"/>
      <c r="ES180" s="150"/>
      <c r="ET180" s="150"/>
      <c r="EU180" s="150"/>
      <c r="EV180" s="150"/>
      <c r="EW180" s="150"/>
      <c r="EX180" s="150"/>
      <c r="EY180" s="150"/>
      <c r="EZ180" s="150"/>
      <c r="FA180" s="150"/>
      <c r="FB180" s="150"/>
      <c r="FC180" s="150"/>
      <c r="FD180" s="150"/>
      <c r="FE180" s="150"/>
      <c r="FF180" s="150"/>
      <c r="FG180" s="150"/>
      <c r="FH180" s="150"/>
      <c r="FI180" s="150"/>
      <c r="FJ180" s="150"/>
      <c r="FK180" s="150"/>
      <c r="FL180" s="150"/>
      <c r="FM180" s="150"/>
      <c r="FN180" s="150"/>
      <c r="FO180" s="150"/>
      <c r="FP180" s="150"/>
      <c r="FQ180" s="150"/>
      <c r="FR180" s="150"/>
      <c r="FS180" s="150"/>
      <c r="FT180" s="150"/>
      <c r="FU180" s="150"/>
      <c r="FV180" s="150"/>
      <c r="FW180" s="150"/>
      <c r="FX180" s="150"/>
      <c r="FY180" s="150"/>
      <c r="FZ180" s="150"/>
      <c r="GA180" s="150"/>
      <c r="GB180" s="150"/>
      <c r="GC180" s="150"/>
      <c r="GD180" s="150"/>
      <c r="GE180" s="150"/>
      <c r="GF180" s="150"/>
      <c r="GG180" s="150"/>
      <c r="GH180" s="150"/>
      <c r="GI180" s="150"/>
      <c r="GJ180" s="150"/>
      <c r="GK180" s="150"/>
      <c r="GL180" s="150"/>
      <c r="GM180" s="150"/>
      <c r="GN180" s="150"/>
      <c r="GO180" s="150"/>
      <c r="GP180" s="150"/>
      <c r="GQ180" s="150"/>
      <c r="GR180" s="150"/>
      <c r="GS180" s="150"/>
      <c r="GT180" s="150"/>
      <c r="GU180" s="150"/>
      <c r="GV180" s="150"/>
      <c r="GW180" s="150"/>
      <c r="GX180" s="150"/>
      <c r="GY180" s="150"/>
      <c r="GZ180" s="150"/>
      <c r="HA180" s="150"/>
      <c r="HB180" s="150"/>
      <c r="HC180" s="150"/>
      <c r="HD180" s="150"/>
      <c r="HE180" s="150"/>
      <c r="HF180" s="150"/>
      <c r="HG180" s="150"/>
      <c r="HH180" s="150"/>
    </row>
    <row r="181" spans="1:254" x14ac:dyDescent="0.2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6" t="s">
        <v>799</v>
      </c>
      <c r="M181" s="11">
        <f>INDEX(cennik!$C$2:$L$529,MATCH($L181,cennik!$B$2:$B$522,0),MATCH(M$2,cennik!$C$1:$L$1,0))</f>
        <v>6510443</v>
      </c>
      <c r="N181" s="11" t="str">
        <f>INDEX(cennik!$C$2:$L$529,MATCH($L181,cennik!$B$2:$B$522,0),MATCH(N$2,cennik!$C$1:$L$1,0))</f>
        <v>100 szt.</v>
      </c>
      <c r="O181" s="11">
        <f>O182</f>
        <v>0</v>
      </c>
      <c r="P181" s="34">
        <f>INDEX(cennik!$C$2:$L$529,MATCH($L181,cennik!$B$2:$B$522,0),MATCH(P$2,cennik!$C$1:$L$1,0))</f>
        <v>43.51</v>
      </c>
      <c r="Q181" s="34">
        <f t="shared" ref="Q181" si="430">O181*P181</f>
        <v>0</v>
      </c>
      <c r="R181" s="35">
        <f t="shared" si="360"/>
        <v>0</v>
      </c>
      <c r="S181" s="34">
        <f t="shared" si="361"/>
        <v>43.51</v>
      </c>
      <c r="T181" s="34">
        <f t="shared" ref="T181" si="431">O181*S181</f>
        <v>0</v>
      </c>
      <c r="U181" s="34">
        <f>INDEX(cennik!$C$2:$L$529,MATCH($L181,cennik!$B$2:$B$522,0),MATCH(U$2,cennik!$C$1:$L$1,0))*O181</f>
        <v>0</v>
      </c>
      <c r="V181" s="62"/>
      <c r="W181" s="158" t="s">
        <v>18</v>
      </c>
      <c r="X181" s="150" t="s">
        <v>217</v>
      </c>
      <c r="Y181" s="150" t="s">
        <v>216</v>
      </c>
      <c r="Z181" s="150" t="s">
        <v>17</v>
      </c>
      <c r="AA181" s="150">
        <f t="shared" si="426"/>
        <v>0</v>
      </c>
      <c r="AB181" s="150">
        <f t="shared" si="427"/>
        <v>0</v>
      </c>
      <c r="AC181" s="150"/>
      <c r="AD181" s="150"/>
      <c r="AE181" s="150"/>
      <c r="AF181" s="150"/>
      <c r="AG181" s="150"/>
      <c r="AH181" s="150"/>
      <c r="AI181" s="150"/>
      <c r="AJ181" s="150"/>
      <c r="AK181" s="150"/>
      <c r="AL181" s="150"/>
      <c r="AM181" s="150"/>
      <c r="AN181" s="150"/>
      <c r="AO181" s="150"/>
      <c r="AP181" s="150"/>
      <c r="AQ181" s="150"/>
      <c r="AR181" s="62" t="s">
        <v>480</v>
      </c>
      <c r="AS181" s="62" t="s">
        <v>596</v>
      </c>
      <c r="AT181" s="62" t="s">
        <v>596</v>
      </c>
      <c r="AU181" s="62" t="s">
        <v>594</v>
      </c>
      <c r="AV181" s="150" t="s">
        <v>594</v>
      </c>
      <c r="AX181" s="169"/>
      <c r="AY181" s="172"/>
      <c r="AZ181" s="172"/>
      <c r="BA181" s="170"/>
      <c r="BH181" s="150" t="s">
        <v>17</v>
      </c>
      <c r="BI181" s="150">
        <f t="shared" si="428"/>
        <v>0</v>
      </c>
      <c r="BJ181" s="150">
        <f t="shared" si="428"/>
        <v>4</v>
      </c>
      <c r="BK181" s="150">
        <f t="shared" si="428"/>
        <v>0</v>
      </c>
      <c r="BL181" s="150">
        <f t="shared" si="428"/>
        <v>0</v>
      </c>
      <c r="BM181" s="150">
        <f t="shared" si="428"/>
        <v>0</v>
      </c>
      <c r="BN181" s="150">
        <f t="shared" si="428"/>
        <v>4</v>
      </c>
      <c r="BO181" s="150">
        <v>0</v>
      </c>
      <c r="BP181" s="150">
        <v>4</v>
      </c>
      <c r="BQ181" s="150">
        <v>4</v>
      </c>
      <c r="BR181" s="150">
        <f t="shared" si="428"/>
        <v>0</v>
      </c>
      <c r="BS181" s="150">
        <f t="shared" si="428"/>
        <v>0</v>
      </c>
      <c r="BT181" s="150">
        <v>0</v>
      </c>
      <c r="BU181" s="150">
        <v>4</v>
      </c>
      <c r="BV181" s="150"/>
      <c r="BW181" s="150" t="s">
        <v>17</v>
      </c>
      <c r="BX181" s="150">
        <v>0</v>
      </c>
      <c r="BY181" s="150">
        <f t="shared" si="419"/>
        <v>4</v>
      </c>
      <c r="BZ181" s="150">
        <f t="shared" si="419"/>
        <v>0</v>
      </c>
      <c r="CA181" s="150">
        <f t="shared" si="419"/>
        <v>4</v>
      </c>
      <c r="CB181" s="150">
        <f t="shared" si="419"/>
        <v>4</v>
      </c>
      <c r="CC181" s="150">
        <v>0</v>
      </c>
      <c r="CD181" s="150">
        <f t="shared" si="419"/>
        <v>0</v>
      </c>
      <c r="CE181" s="150">
        <v>4</v>
      </c>
      <c r="CF181" s="150">
        <f t="shared" si="419"/>
        <v>0</v>
      </c>
      <c r="CG181" s="150">
        <f t="shared" si="419"/>
        <v>4</v>
      </c>
      <c r="CH181" s="150">
        <v>0</v>
      </c>
      <c r="CI181" s="150">
        <v>4</v>
      </c>
      <c r="CJ181" s="150">
        <f t="shared" si="419"/>
        <v>4</v>
      </c>
      <c r="CK181" s="150"/>
      <c r="CL181" s="150"/>
      <c r="CM181" s="150"/>
      <c r="CN181" s="150" t="s">
        <v>17</v>
      </c>
      <c r="CO181" s="150">
        <f t="shared" si="420"/>
        <v>0</v>
      </c>
      <c r="CP181" s="150">
        <f t="shared" si="420"/>
        <v>0</v>
      </c>
      <c r="CQ181" s="150">
        <f t="shared" si="420"/>
        <v>0</v>
      </c>
      <c r="CR181" s="150">
        <f t="shared" si="420"/>
        <v>0</v>
      </c>
      <c r="CS181" s="150">
        <f t="shared" si="420"/>
        <v>4</v>
      </c>
      <c r="CT181" s="150">
        <v>0</v>
      </c>
      <c r="CU181" s="150">
        <f t="shared" si="420"/>
        <v>0</v>
      </c>
      <c r="CV181" s="150">
        <f t="shared" si="420"/>
        <v>4</v>
      </c>
      <c r="CW181" s="150">
        <f t="shared" si="420"/>
        <v>4</v>
      </c>
      <c r="CX181" s="150">
        <f t="shared" si="420"/>
        <v>4</v>
      </c>
      <c r="CY181" s="150">
        <f t="shared" si="420"/>
        <v>4</v>
      </c>
      <c r="CZ181" s="150">
        <v>4</v>
      </c>
      <c r="DA181" s="150">
        <f t="shared" si="420"/>
        <v>0</v>
      </c>
      <c r="DB181" s="150"/>
      <c r="DC181" s="150" t="s">
        <v>17</v>
      </c>
      <c r="DD181" s="150">
        <v>0</v>
      </c>
      <c r="DE181" s="150">
        <f t="shared" si="429"/>
        <v>0</v>
      </c>
      <c r="DF181" s="150">
        <f t="shared" si="429"/>
        <v>0</v>
      </c>
      <c r="DG181" s="150">
        <v>4</v>
      </c>
      <c r="DH181" s="150">
        <f t="shared" si="429"/>
        <v>4</v>
      </c>
      <c r="DI181" s="150">
        <f t="shared" si="429"/>
        <v>0</v>
      </c>
      <c r="DJ181" s="150">
        <v>4</v>
      </c>
      <c r="DK181" s="150">
        <f t="shared" si="429"/>
        <v>0</v>
      </c>
      <c r="DL181" s="150">
        <f t="shared" si="429"/>
        <v>4</v>
      </c>
      <c r="DM181" s="150">
        <f t="shared" si="429"/>
        <v>0</v>
      </c>
      <c r="DN181" s="150">
        <v>4</v>
      </c>
      <c r="DO181" s="150">
        <f t="shared" si="429"/>
        <v>0</v>
      </c>
      <c r="DP181" s="150">
        <f t="shared" si="429"/>
        <v>4</v>
      </c>
      <c r="DQ181" s="181"/>
      <c r="DR181" s="181"/>
      <c r="DS181" s="181"/>
      <c r="DT181" s="150"/>
      <c r="DU181" s="150"/>
      <c r="DV181" s="150"/>
      <c r="DW181" s="150"/>
      <c r="DX181" s="150"/>
      <c r="DY181" s="150"/>
      <c r="DZ181" s="150"/>
      <c r="EA181" s="150"/>
      <c r="EB181" s="150"/>
      <c r="EC181" s="150"/>
      <c r="ED181" s="150"/>
      <c r="EE181" s="150"/>
      <c r="EF181" s="150"/>
      <c r="EG181" s="150"/>
      <c r="EH181" s="150"/>
      <c r="EI181" s="150"/>
      <c r="EJ181" s="150"/>
      <c r="EK181" s="150"/>
      <c r="EL181" s="150"/>
      <c r="EM181" s="150"/>
      <c r="EN181" s="150"/>
      <c r="EO181" s="150"/>
      <c r="EP181" s="150"/>
      <c r="EQ181" s="150"/>
      <c r="ER181" s="150"/>
      <c r="ES181" s="150"/>
      <c r="ET181" s="150"/>
      <c r="EU181" s="150"/>
      <c r="EV181" s="150"/>
      <c r="EW181" s="150"/>
      <c r="EX181" s="150"/>
      <c r="EY181" s="150"/>
      <c r="EZ181" s="150"/>
      <c r="FA181" s="150"/>
      <c r="FB181" s="150"/>
      <c r="FC181" s="150"/>
      <c r="FD181" s="150"/>
      <c r="FE181" s="150"/>
      <c r="FF181" s="150"/>
      <c r="FG181" s="150"/>
      <c r="FH181" s="150"/>
      <c r="FI181" s="150"/>
      <c r="FJ181" s="150"/>
      <c r="FK181" s="150"/>
      <c r="FL181" s="150"/>
      <c r="FM181" s="150"/>
      <c r="FN181" s="150"/>
      <c r="FO181" s="150"/>
      <c r="FP181" s="150"/>
      <c r="FQ181" s="150"/>
      <c r="FR181" s="150"/>
      <c r="FS181" s="150"/>
      <c r="FT181" s="150"/>
      <c r="FU181" s="150"/>
      <c r="FV181" s="150"/>
      <c r="FW181" s="150"/>
      <c r="FX181" s="150"/>
      <c r="FY181" s="150"/>
      <c r="FZ181" s="150"/>
      <c r="GA181" s="150"/>
      <c r="GB181" s="150"/>
      <c r="GC181" s="150"/>
      <c r="GD181" s="150"/>
      <c r="GE181" s="150"/>
      <c r="GF181" s="150"/>
      <c r="GG181" s="150"/>
      <c r="GH181" s="150"/>
      <c r="GI181" s="150"/>
      <c r="GJ181" s="150"/>
      <c r="GK181" s="150"/>
      <c r="GL181" s="150"/>
      <c r="GM181" s="150"/>
      <c r="GN181" s="150"/>
      <c r="GO181" s="150"/>
      <c r="GP181" s="150"/>
      <c r="GQ181" s="150"/>
      <c r="GR181" s="150"/>
      <c r="GS181" s="150"/>
      <c r="GT181" s="150"/>
      <c r="GU181" s="150"/>
      <c r="GV181" s="150"/>
      <c r="GW181" s="150"/>
      <c r="GX181" s="150"/>
      <c r="GY181" s="150"/>
      <c r="GZ181" s="150"/>
      <c r="HA181" s="150"/>
      <c r="HB181" s="150"/>
      <c r="HC181" s="150"/>
      <c r="HD181" s="150"/>
      <c r="HE181" s="150"/>
      <c r="HF181" s="150"/>
      <c r="HG181" s="150"/>
      <c r="HH181" s="150"/>
    </row>
    <row r="182" spans="1:254" ht="15.75" thickBo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6" t="s">
        <v>350</v>
      </c>
      <c r="M182" s="11">
        <f>INDEX(cennik!$C$2:$L$529,MATCH($L182,cennik!$B$2:$B$522,0),MATCH(M$2,cennik!$C$1:$L$1,0))</f>
        <v>651643</v>
      </c>
      <c r="N182" s="11" t="str">
        <f>INDEX(cennik!$C$2:$L$529,MATCH($L182,cennik!$B$2:$B$522,0),MATCH(N$2,cennik!$C$1:$L$1,0))</f>
        <v>100 szt.</v>
      </c>
      <c r="O182" s="11">
        <f>ROUNDUP(((O165*12)+(O169*2)+(O164*9)+(O175*8)+(O171*2)+(O188*2)+(O189*2))/100,0)</f>
        <v>0</v>
      </c>
      <c r="P182" s="34">
        <f>INDEX(cennik!$C$2:$L$529,MATCH($L182,cennik!$B$2:$B$522,0),MATCH(P$2,cennik!$C$1:$L$1,0))</f>
        <v>144.19</v>
      </c>
      <c r="Q182" s="34">
        <f t="shared" si="385"/>
        <v>0</v>
      </c>
      <c r="R182" s="35">
        <f t="shared" si="360"/>
        <v>0</v>
      </c>
      <c r="S182" s="34">
        <f t="shared" si="361"/>
        <v>144.19</v>
      </c>
      <c r="T182" s="34">
        <f t="shared" si="386"/>
        <v>0</v>
      </c>
      <c r="U182" s="34">
        <f>INDEX(cennik!$C$2:$L$529,MATCH($L182,cennik!$B$2:$B$522,0),MATCH(U$2,cennik!$C$1:$L$1,0))*O182</f>
        <v>0</v>
      </c>
      <c r="V182" s="62"/>
      <c r="W182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192,$EL$166:$EX$166,0),MATCH($E$193,$AE$33:$AE$46,0)))*C192</f>
        <v>0</v>
      </c>
      <c r="X182" s="150">
        <v>0</v>
      </c>
      <c r="Y182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192,$EL$166:$EX$166,0),MATCH($E$193,$AE$33:$AE$46,0)))*C192</f>
        <v>0</v>
      </c>
      <c r="Z182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192,$EL$166:$EX$166,0),MATCH($E$193,$AE$33:$AE$46,0)))*C192</f>
        <v>0</v>
      </c>
      <c r="AA182" s="150">
        <f t="shared" si="426"/>
        <v>0</v>
      </c>
      <c r="AB182" s="150">
        <f t="shared" si="427"/>
        <v>0</v>
      </c>
      <c r="AC182" s="150"/>
      <c r="AD182" s="150"/>
      <c r="AE182" s="150"/>
      <c r="AF182" s="150"/>
      <c r="AG182" s="150"/>
      <c r="AH182" s="150"/>
      <c r="AI182" s="150"/>
      <c r="AJ182" s="150"/>
      <c r="AK182" s="150"/>
      <c r="AL182" s="150"/>
      <c r="AM182" s="150"/>
      <c r="AN182" s="150"/>
      <c r="AO182" s="150"/>
      <c r="AP182" s="150"/>
      <c r="AQ182" s="150"/>
      <c r="AR182" s="62" t="s">
        <v>713</v>
      </c>
      <c r="AS182" s="62" t="s">
        <v>596</v>
      </c>
      <c r="AT182" s="62" t="s">
        <v>596</v>
      </c>
      <c r="AU182" s="150" t="s">
        <v>594</v>
      </c>
      <c r="AV182" s="150" t="s">
        <v>594</v>
      </c>
      <c r="AX182" s="169"/>
      <c r="AY182" s="173"/>
      <c r="AZ182" s="173"/>
      <c r="BA182" s="173"/>
      <c r="BH182" s="158" t="s">
        <v>18</v>
      </c>
      <c r="BI182" s="150">
        <f t="shared" si="428"/>
        <v>0</v>
      </c>
      <c r="BJ182" s="150">
        <f t="shared" si="428"/>
        <v>0</v>
      </c>
      <c r="BK182" s="150">
        <f t="shared" si="428"/>
        <v>0</v>
      </c>
      <c r="BL182" s="150">
        <f t="shared" si="428"/>
        <v>0</v>
      </c>
      <c r="BM182" s="150">
        <f t="shared" si="428"/>
        <v>4</v>
      </c>
      <c r="BN182" s="150">
        <f t="shared" si="428"/>
        <v>4</v>
      </c>
      <c r="BO182" s="150">
        <v>4</v>
      </c>
      <c r="BP182" s="150">
        <v>8</v>
      </c>
      <c r="BQ182" s="150">
        <v>8</v>
      </c>
      <c r="BR182" s="150">
        <f t="shared" si="428"/>
        <v>8</v>
      </c>
      <c r="BS182" s="150">
        <f t="shared" si="428"/>
        <v>8</v>
      </c>
      <c r="BT182" s="150">
        <v>12</v>
      </c>
      <c r="BU182" s="150">
        <v>12</v>
      </c>
      <c r="BV182" s="150"/>
      <c r="BW182" s="150" t="s">
        <v>18</v>
      </c>
      <c r="BX182" s="150">
        <v>0</v>
      </c>
      <c r="BY182" s="150">
        <f t="shared" si="419"/>
        <v>0</v>
      </c>
      <c r="BZ182" s="150">
        <f t="shared" si="419"/>
        <v>0</v>
      </c>
      <c r="CA182" s="150">
        <f t="shared" si="419"/>
        <v>4</v>
      </c>
      <c r="CB182" s="150">
        <f t="shared" si="419"/>
        <v>4</v>
      </c>
      <c r="CC182" s="150">
        <v>4</v>
      </c>
      <c r="CD182" s="150">
        <f t="shared" si="419"/>
        <v>4</v>
      </c>
      <c r="CE182" s="150">
        <v>8</v>
      </c>
      <c r="CF182" s="150">
        <f t="shared" si="419"/>
        <v>8</v>
      </c>
      <c r="CG182" s="150">
        <f t="shared" si="419"/>
        <v>12</v>
      </c>
      <c r="CH182" s="150">
        <v>12</v>
      </c>
      <c r="CI182" s="150">
        <v>12</v>
      </c>
      <c r="CJ182" s="150">
        <f t="shared" si="419"/>
        <v>16</v>
      </c>
      <c r="CK182" s="150"/>
      <c r="CL182" s="150"/>
      <c r="CM182" s="150"/>
      <c r="CN182" s="158" t="s">
        <v>18</v>
      </c>
      <c r="CO182" s="150">
        <f t="shared" si="420"/>
        <v>0</v>
      </c>
      <c r="CP182" s="150">
        <f t="shared" si="420"/>
        <v>0</v>
      </c>
      <c r="CQ182" s="150">
        <f t="shared" si="420"/>
        <v>0</v>
      </c>
      <c r="CR182" s="150">
        <f t="shared" si="420"/>
        <v>4</v>
      </c>
      <c r="CS182" s="150">
        <f t="shared" si="420"/>
        <v>4</v>
      </c>
      <c r="CT182" s="150">
        <v>4</v>
      </c>
      <c r="CU182" s="150">
        <f t="shared" si="420"/>
        <v>8</v>
      </c>
      <c r="CV182" s="150">
        <f t="shared" si="420"/>
        <v>8</v>
      </c>
      <c r="CW182" s="150">
        <f t="shared" si="420"/>
        <v>12</v>
      </c>
      <c r="CX182" s="150">
        <f t="shared" si="420"/>
        <v>12</v>
      </c>
      <c r="CY182" s="150">
        <f t="shared" si="420"/>
        <v>12</v>
      </c>
      <c r="CZ182" s="150">
        <v>16</v>
      </c>
      <c r="DA182" s="150">
        <f t="shared" si="420"/>
        <v>12</v>
      </c>
      <c r="DB182" s="150"/>
      <c r="DC182" s="150" t="s">
        <v>18</v>
      </c>
      <c r="DD182" s="150">
        <v>0</v>
      </c>
      <c r="DE182" s="150">
        <f t="shared" si="429"/>
        <v>0</v>
      </c>
      <c r="DF182" s="150">
        <f t="shared" si="429"/>
        <v>0</v>
      </c>
      <c r="DG182" s="150">
        <v>4</v>
      </c>
      <c r="DH182" s="150">
        <f t="shared" si="429"/>
        <v>8</v>
      </c>
      <c r="DI182" s="150">
        <f t="shared" si="429"/>
        <v>4</v>
      </c>
      <c r="DJ182" s="150">
        <v>8</v>
      </c>
      <c r="DK182" s="150">
        <f t="shared" si="429"/>
        <v>8</v>
      </c>
      <c r="DL182" s="150">
        <f t="shared" si="429"/>
        <v>12</v>
      </c>
      <c r="DM182" s="150">
        <f t="shared" si="429"/>
        <v>12</v>
      </c>
      <c r="DN182" s="150">
        <v>16</v>
      </c>
      <c r="DO182" s="150">
        <f t="shared" si="429"/>
        <v>12</v>
      </c>
      <c r="DP182" s="150">
        <f t="shared" si="429"/>
        <v>16</v>
      </c>
      <c r="DQ182" s="181"/>
      <c r="DR182" s="181"/>
      <c r="DS182" s="181"/>
      <c r="DT182" s="150"/>
      <c r="DU182" s="150"/>
      <c r="DV182" s="150"/>
      <c r="DW182" s="150"/>
      <c r="DX182" s="150"/>
      <c r="DY182" s="150"/>
      <c r="DZ182" s="150"/>
      <c r="EA182" s="150"/>
      <c r="EB182" s="150"/>
      <c r="EC182" s="150"/>
      <c r="ED182" s="150"/>
      <c r="EE182" s="150"/>
      <c r="EF182" s="150"/>
      <c r="EG182" s="150"/>
      <c r="EH182" s="150"/>
      <c r="EI182" s="150"/>
      <c r="EJ182" s="150"/>
      <c r="EK182" s="150"/>
      <c r="EL182" s="150"/>
      <c r="EM182" s="150"/>
      <c r="EN182" s="150"/>
      <c r="EO182" s="150"/>
      <c r="EP182" s="150"/>
      <c r="EQ182" s="150"/>
      <c r="ER182" s="150"/>
      <c r="ES182" s="150"/>
      <c r="ET182" s="150"/>
      <c r="EU182" s="150"/>
      <c r="EV182" s="150"/>
      <c r="EW182" s="150"/>
      <c r="EX182" s="150"/>
      <c r="EY182" s="150"/>
      <c r="EZ182" s="150"/>
      <c r="FA182" s="150"/>
      <c r="FB182" s="150"/>
      <c r="FC182" s="150"/>
      <c r="FD182" s="150"/>
      <c r="FE182" s="150"/>
      <c r="FF182" s="150"/>
      <c r="FG182" s="150"/>
      <c r="FH182" s="150"/>
      <c r="FI182" s="150"/>
      <c r="FJ182" s="150"/>
      <c r="FK182" s="150"/>
      <c r="FL182" s="150"/>
      <c r="FM182" s="150"/>
      <c r="FN182" s="150"/>
      <c r="FO182" s="150"/>
      <c r="FP182" s="150"/>
      <c r="FQ182" s="150"/>
      <c r="FR182" s="150"/>
      <c r="FS182" s="150"/>
      <c r="FT182" s="150"/>
      <c r="FU182" s="150"/>
      <c r="FV182" s="150"/>
      <c r="FW182" s="150"/>
      <c r="FX182" s="150"/>
      <c r="FY182" s="150"/>
      <c r="FZ182" s="150"/>
      <c r="GA182" s="150"/>
      <c r="GB182" s="150"/>
      <c r="GC182" s="150"/>
      <c r="GD182" s="150"/>
      <c r="GE182" s="150"/>
      <c r="GF182" s="150"/>
      <c r="GG182" s="150"/>
      <c r="GH182" s="150"/>
      <c r="GI182" s="150"/>
      <c r="GJ182" s="150"/>
      <c r="GK182" s="150"/>
      <c r="GL182" s="150"/>
      <c r="GM182" s="150"/>
      <c r="GN182" s="150"/>
      <c r="GO182" s="150"/>
      <c r="GP182" s="150"/>
      <c r="GQ182" s="150"/>
      <c r="GR182" s="150"/>
      <c r="GS182" s="150"/>
      <c r="GT182" s="150"/>
      <c r="GU182" s="150"/>
      <c r="GV182" s="150"/>
      <c r="GW182" s="150"/>
      <c r="GX182" s="150"/>
      <c r="GY182" s="150"/>
      <c r="GZ182" s="150"/>
      <c r="HA182" s="150"/>
      <c r="HB182" s="150"/>
      <c r="HC182" s="150"/>
      <c r="HD182" s="150"/>
      <c r="HE182" s="150"/>
      <c r="HF182" s="150"/>
      <c r="HG182" s="150"/>
      <c r="HH182" s="150"/>
    </row>
    <row r="183" spans="1:254" ht="15.75" thickBo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6" t="s">
        <v>128</v>
      </c>
      <c r="M183" s="11">
        <f>INDEX(cennik!$C$2:$L$529,MATCH($L183,cennik!$B$2:$B$522,0),MATCH(M$2,cennik!$C$1:$L$1,0))</f>
        <v>897303</v>
      </c>
      <c r="N183" s="11" t="str">
        <f>INDEX(cennik!$C$2:$L$529,MATCH($L183,cennik!$B$2:$B$522,0),MATCH(N$2,cennik!$C$1:$L$1,0))</f>
        <v>szt.</v>
      </c>
      <c r="O183" s="11">
        <f>SUM((IF(MOD((A162/2),2)=0,(A162/2)/2,IF(MOD((A162/2),2)=1,FLOOR((A162/2)/2,1)+1,0))*C162*2),(IF(MOD((A163/2),2)=0,(A163/2)/2,IF(MOD((A163/2),2)=1,FLOOR((A163/2)/2,1)+1,0))*C163*2),(IF(MOD((A164/2),2)=0,(A164/2)/2,IF(MOD((A164/2),2)=1,FLOOR((A164/2)/2,1)+1,0))*C164*2),(IF(MOD((A165/2),2)=0,(A165/2)/2,IF(MOD((A165/2),2)=1,FLOOR((A165/2)/2,1)+1,0))*C165*2),(IF(MOD((A166/2),2)=0,(A166/2)/2,IF(MOD((A166/2),2)=1,FLOOR((A166/2)/2,1)+1,0))*C166*2),(IF(MOD((A167/2),2)=0,(A167/2)/2,IF(MOD((A167/2),2)=1,FLOOR((A167/2)/2,1)+1,0))*C167*2),(IF(MOD((A168/2),2)=0,(A168/2)/2,IF(MOD((A168/2),2)=1,FLOOR((A168/2)/2,1)+1,0))*C168*2),(IF(MOD((A169/2),2)=0,(A169/2)/2,IF(MOD((A169/2),2)=1,FLOOR((A169/2)/2,1)+1,0))*C169*2),(IF(MOD((A170/2),2)=0,(A170/2)/2,IF(MOD((A170/2),2)=1,FLOOR((A170/2)/2,1)+1,0))*C170*2),(IF(MOD((A171/2),2)=0,(A171/2)/2,IF(MOD((A171/2),2)=1,FLOOR((A171/2)/2,1)+1,0))*C171*2),(IF(MOD((A172/2),2)=0,(A172/2)/2,IF(MOD((A172/2),2)=1,FLOOR((A172/2)/2,1)+1,0))*C172*2),(IF(MOD((A173/2),2)=0,(A173/2)/2,IF(MOD((A173/2),2)=1,FLOOR((A173/2)/2,1)+1,0))*C173*2),(IF(MOD((A174/2),2)=0,(A174/2)/2,IF(MOD((A174/2),2)=1,FLOOR((A174/2)/2,1)+1,0))*C174*2),(IF(MOD((A175/2),2)=0,(A175/2)/2,IF(MOD((A175/2),2)=1,FLOOR((A175/2)/2,1)+1,0))*C175*2),(IF(MOD((A176/2),2)=0,(A176/2)/2,IF(MOD((A176/2),2)=1,FLOOR((A176/2)/2,1)+1,0))*C176*2),(IF(MOD((A177/2),2)=0,(A177/2)/2,IF(MOD((A177/2),2)=1,FLOOR((A177/2)/2,1)+1,0))*C177*2))</f>
        <v>0</v>
      </c>
      <c r="P183" s="34">
        <f>INDEX(cennik!$C$2:$L$529,MATCH($L183,cennik!$B$2:$B$522,0),MATCH(P$2,cennik!$C$1:$L$1,0))</f>
        <v>2.4</v>
      </c>
      <c r="Q183" s="34">
        <f t="shared" si="385"/>
        <v>0</v>
      </c>
      <c r="R183" s="35">
        <f t="shared" si="360"/>
        <v>0</v>
      </c>
      <c r="S183" s="34">
        <f t="shared" si="361"/>
        <v>2.4</v>
      </c>
      <c r="T183" s="34">
        <f t="shared" si="386"/>
        <v>0</v>
      </c>
      <c r="U183" s="34">
        <f>INDEX(cennik!$C$2:$L$529,MATCH($L183,cennik!$B$2:$B$522,0),MATCH(U$2,cennik!$C$1:$L$1,0))*O183</f>
        <v>0</v>
      </c>
      <c r="V183" s="62"/>
      <c r="W183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193,$EL$166:$EX$166,0),MATCH($E$193,$AE$33:$AE$46,0)))*C193</f>
        <v>0</v>
      </c>
      <c r="X183" s="150">
        <v>0</v>
      </c>
      <c r="Y183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193,$EL$166:$EX$166,0),MATCH($E$193,$AE$33:$AE$46,0)))*C193</f>
        <v>0</v>
      </c>
      <c r="Z183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193,$EL$166:$EX$166,0),MATCH($E$193,$AE$33:$AE$46,0)))*C193</f>
        <v>0</v>
      </c>
      <c r="AA183" s="150">
        <f t="shared" si="426"/>
        <v>0</v>
      </c>
      <c r="AB183" s="150">
        <f t="shared" si="427"/>
        <v>0</v>
      </c>
      <c r="AC183" s="150"/>
      <c r="AD183" s="150"/>
      <c r="AE183" s="150"/>
      <c r="AF183" s="150"/>
      <c r="AG183" s="150"/>
      <c r="AH183" s="150"/>
      <c r="AI183" s="150"/>
      <c r="AJ183" s="150"/>
      <c r="AK183" s="150"/>
      <c r="AL183" s="150"/>
      <c r="AM183" s="150"/>
      <c r="AN183" s="150"/>
      <c r="AO183" s="150"/>
      <c r="AP183" s="150"/>
      <c r="AQ183" s="150"/>
      <c r="AR183" s="150" t="s">
        <v>714</v>
      </c>
      <c r="AS183" s="62" t="s">
        <v>596</v>
      </c>
      <c r="AT183" s="62" t="s">
        <v>596</v>
      </c>
      <c r="AU183" s="150" t="s">
        <v>594</v>
      </c>
      <c r="AV183" s="150" t="s">
        <v>594</v>
      </c>
      <c r="AX183" s="169"/>
      <c r="AY183" s="173"/>
      <c r="AZ183" s="173"/>
      <c r="BA183" s="170"/>
      <c r="BH183" s="150"/>
      <c r="BI183" s="150"/>
      <c r="BJ183" s="150"/>
      <c r="BK183" s="150"/>
      <c r="BL183" s="150"/>
      <c r="BM183" s="150"/>
      <c r="BN183" s="150"/>
      <c r="BO183" s="150"/>
      <c r="BP183" s="150"/>
      <c r="BQ183" s="150"/>
      <c r="BR183" s="150"/>
      <c r="BS183" s="150"/>
      <c r="BT183" s="150"/>
      <c r="BU183" s="150"/>
      <c r="BV183" s="150"/>
      <c r="BW183" s="150"/>
      <c r="BX183" s="150"/>
      <c r="BY183" s="150"/>
      <c r="BZ183" s="150"/>
      <c r="CA183" s="150"/>
      <c r="CB183" s="150"/>
      <c r="CC183" s="150"/>
      <c r="CD183" s="150"/>
      <c r="CE183" s="150"/>
      <c r="CF183" s="150"/>
      <c r="CG183" s="150"/>
      <c r="CH183" s="150"/>
      <c r="CI183" s="150"/>
      <c r="CJ183" s="150"/>
      <c r="CK183" s="150"/>
      <c r="CL183" s="150"/>
      <c r="CM183" s="150"/>
      <c r="CN183" s="150"/>
      <c r="CO183" s="150"/>
      <c r="CP183" s="150"/>
      <c r="CQ183" s="150"/>
      <c r="CR183" s="150"/>
      <c r="CS183" s="150"/>
      <c r="CT183" s="150"/>
      <c r="CU183" s="150"/>
      <c r="CV183" s="150"/>
      <c r="CW183" s="150"/>
      <c r="CX183" s="150"/>
      <c r="CY183" s="150"/>
      <c r="CZ183" s="150"/>
      <c r="DA183" s="150"/>
      <c r="DB183" s="150"/>
      <c r="DC183" s="150"/>
      <c r="DD183" s="150"/>
      <c r="DE183" s="150"/>
      <c r="DF183" s="150"/>
      <c r="DG183" s="150"/>
      <c r="DH183" s="150"/>
      <c r="DI183" s="150"/>
      <c r="DJ183" s="150"/>
      <c r="DK183" s="150"/>
      <c r="DL183" s="150"/>
      <c r="DM183" s="150"/>
      <c r="DN183" s="150"/>
      <c r="DO183" s="150"/>
      <c r="DP183" s="150"/>
      <c r="DQ183" s="181"/>
      <c r="DR183" s="181"/>
      <c r="DS183" s="181"/>
      <c r="DT183" s="150"/>
      <c r="DU183" s="150"/>
      <c r="DV183" s="150"/>
      <c r="DW183" s="150"/>
      <c r="DX183" s="150"/>
      <c r="DY183" s="150"/>
      <c r="DZ183" s="150"/>
      <c r="EA183" s="150"/>
      <c r="EB183" s="150"/>
      <c r="EC183" s="150"/>
      <c r="ED183" s="150"/>
      <c r="EE183" s="150"/>
      <c r="EF183" s="150"/>
      <c r="EG183" s="150"/>
      <c r="EH183" s="150"/>
      <c r="EI183" s="150"/>
      <c r="EJ183" s="151"/>
      <c r="EK183" s="152"/>
      <c r="EL183" s="152"/>
      <c r="EM183" s="152"/>
      <c r="EN183" s="152"/>
      <c r="EO183" s="152"/>
      <c r="EP183" s="152"/>
      <c r="EQ183" s="152"/>
      <c r="ER183" s="152"/>
      <c r="ES183" s="152"/>
      <c r="ET183" s="152"/>
      <c r="EU183" s="152"/>
      <c r="EV183" s="152"/>
      <c r="EW183" s="152"/>
      <c r="EX183" s="152"/>
      <c r="EY183" s="152"/>
      <c r="EZ183" s="152"/>
      <c r="FA183" s="152"/>
      <c r="FB183" s="152"/>
      <c r="FC183" s="152"/>
      <c r="FD183" s="152"/>
      <c r="FE183" s="152"/>
      <c r="FF183" s="152"/>
      <c r="FG183" s="152"/>
      <c r="FH183" s="152"/>
      <c r="FI183" s="152"/>
      <c r="FJ183" s="152"/>
      <c r="FK183" s="152"/>
      <c r="FL183" s="152"/>
      <c r="FM183" s="152"/>
      <c r="FN183" s="152"/>
      <c r="FO183" s="152"/>
      <c r="FP183" s="152"/>
      <c r="FQ183" s="152"/>
      <c r="FR183" s="152"/>
      <c r="FS183" s="152"/>
      <c r="FT183" s="152"/>
      <c r="FU183" s="152"/>
      <c r="FV183" s="152"/>
      <c r="FW183" s="152"/>
      <c r="FX183" s="152"/>
      <c r="FY183" s="152"/>
      <c r="FZ183" s="152"/>
      <c r="GA183" s="152"/>
      <c r="GB183" s="152"/>
      <c r="GC183" s="152"/>
      <c r="GD183" s="152"/>
      <c r="GE183" s="152"/>
      <c r="GF183" s="152"/>
      <c r="GG183" s="152"/>
      <c r="GH183" s="152"/>
      <c r="GI183" s="152"/>
      <c r="GJ183" s="152"/>
      <c r="GK183" s="152"/>
      <c r="GL183" s="152"/>
      <c r="GM183" s="152"/>
      <c r="GN183" s="152"/>
      <c r="GO183" s="152"/>
      <c r="GP183" s="152"/>
      <c r="GQ183" s="152"/>
      <c r="GR183" s="152"/>
      <c r="GS183" s="152"/>
      <c r="GT183" s="152"/>
      <c r="GU183" s="152"/>
      <c r="GV183" s="152"/>
      <c r="GW183" s="152"/>
      <c r="GX183" s="152"/>
      <c r="GY183" s="152"/>
      <c r="GZ183" s="152"/>
      <c r="HA183" s="152"/>
      <c r="HB183" s="152"/>
      <c r="HC183" s="152"/>
      <c r="HD183" s="152"/>
      <c r="HE183" s="152"/>
      <c r="HF183" s="152"/>
      <c r="HG183" s="152"/>
      <c r="HH183" s="152"/>
      <c r="HI183" s="162"/>
      <c r="HJ183" s="162"/>
      <c r="HK183" s="162"/>
      <c r="HL183" s="162"/>
      <c r="HM183" s="162"/>
      <c r="HN183" s="162"/>
      <c r="HO183" s="162"/>
      <c r="HP183" s="162"/>
      <c r="HQ183" s="162"/>
      <c r="HR183" s="162"/>
      <c r="HS183" s="162"/>
      <c r="HT183" s="162"/>
      <c r="HU183" s="162"/>
      <c r="HV183" s="162"/>
      <c r="HW183" s="162"/>
      <c r="HX183" s="162"/>
      <c r="HY183" s="162"/>
      <c r="HZ183" s="162"/>
      <c r="IA183" s="162"/>
      <c r="IB183" s="162"/>
      <c r="IC183" s="162"/>
      <c r="ID183" s="162"/>
      <c r="IE183" s="162"/>
      <c r="IF183" s="162"/>
      <c r="IG183" s="162"/>
      <c r="IH183" s="162"/>
      <c r="II183" s="162"/>
      <c r="IJ183" s="162"/>
      <c r="IK183" s="162"/>
      <c r="IL183" s="162"/>
      <c r="IM183" s="162"/>
      <c r="IN183" s="162"/>
      <c r="IO183" s="162"/>
      <c r="IP183" s="162"/>
      <c r="IQ183" s="162"/>
      <c r="IR183" s="162"/>
      <c r="IS183" s="162"/>
      <c r="IT183" s="163"/>
    </row>
    <row r="184" spans="1:254" x14ac:dyDescent="0.2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6" t="s">
        <v>527</v>
      </c>
      <c r="M184" s="11">
        <f>INDEX(cennik!$C$2:$L$529,MATCH($L184,cennik!$B$2:$B$522,0),MATCH(M$2,cennik!$C$1:$L$1,0))</f>
        <v>897311</v>
      </c>
      <c r="N184" s="11" t="str">
        <f>INDEX(cennik!$C$2:$L$529,MATCH($L184,cennik!$B$2:$B$522,0),MATCH(N$2,cennik!$C$1:$L$1,0))</f>
        <v>szt.</v>
      </c>
      <c r="O184" s="11">
        <f>SUM(((INT(((A162/2)+1)/3))*4*C162),((INT(((A163/2)+1)/3))*4*C163),((INT(((A164/2)+1)/3))*4*C164),((INT(((A165/2)+1)/3))*4*C165),((INT(((A166/2)+1)/3))*4*C166),((INT(((A167/2)+1)/3))*4*C167),((INT(((A168/2)+1)/3))*4*C168),((INT(((A169/2)+1)/3))*4*C169),((INT(((A170/2)+1)/3))*4*C170),((INT(((A171/2)+1)/3))*4*C171),((INT(((A172/2)+1)/3))*4*C172),((INT(((A173/2)+1)/3))*4*C173),((INT(((A174/2)+1)/3))*4*C174),((INT(((A175/2)+1)/3))*4*C175),((INT(((A176/2)+1)/3))*4*C176),((INT(((A177/2)+1)/3))*4*C177))</f>
        <v>0</v>
      </c>
      <c r="P184" s="34">
        <f>INDEX(cennik!$C$2:$L$529,MATCH($L184,cennik!$B$2:$B$522,0),MATCH(P$2,cennik!$C$1:$L$1,0))</f>
        <v>5.49</v>
      </c>
      <c r="Q184" s="34">
        <f t="shared" si="385"/>
        <v>0</v>
      </c>
      <c r="R184" s="35">
        <f t="shared" si="360"/>
        <v>0</v>
      </c>
      <c r="S184" s="34">
        <f t="shared" si="361"/>
        <v>5.49</v>
      </c>
      <c r="T184" s="34">
        <f t="shared" si="386"/>
        <v>0</v>
      </c>
      <c r="U184" s="34">
        <f>INDEX(cennik!$C$2:$L$529,MATCH($L184,cennik!$B$2:$B$522,0),MATCH(U$2,cennik!$C$1:$L$1,0))*O184</f>
        <v>0</v>
      </c>
      <c r="V184" s="62"/>
      <c r="W184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194,$EL$166:$EX$166,0),MATCH($E$193,$AE$33:$AE$46,0)))*C194</f>
        <v>0</v>
      </c>
      <c r="X184" s="150">
        <v>0</v>
      </c>
      <c r="Y184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194,$EL$166:$EX$166,0),MATCH($E$193,$AE$33:$AE$46,0)))*C194</f>
        <v>0</v>
      </c>
      <c r="Z184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194,$EL$166:$EX$166,0),MATCH($E$193,$AE$33:$AE$46,0)))*C194</f>
        <v>0</v>
      </c>
      <c r="AA184" s="150">
        <f t="shared" si="426"/>
        <v>0</v>
      </c>
      <c r="AB184" s="150">
        <f t="shared" si="427"/>
        <v>0</v>
      </c>
      <c r="AC184" s="150"/>
      <c r="AD184" s="150"/>
      <c r="AE184" s="150"/>
      <c r="AF184" s="150"/>
      <c r="AG184" s="150"/>
      <c r="AH184" s="150"/>
      <c r="AI184" s="150"/>
      <c r="AJ184" s="150"/>
      <c r="AK184" s="150"/>
      <c r="AL184" s="150"/>
      <c r="AM184" s="150"/>
      <c r="AN184" s="150"/>
      <c r="AO184" s="150"/>
      <c r="AP184" s="150"/>
      <c r="AQ184" s="150"/>
      <c r="AR184" s="150" t="s">
        <v>715</v>
      </c>
      <c r="AS184" s="62" t="s">
        <v>596</v>
      </c>
      <c r="AT184" s="62" t="s">
        <v>596</v>
      </c>
      <c r="AU184" s="150" t="s">
        <v>594</v>
      </c>
      <c r="AV184" s="150" t="s">
        <v>594</v>
      </c>
      <c r="AX184" s="169"/>
      <c r="AY184" s="172"/>
      <c r="AZ184" s="172"/>
      <c r="BA184" s="170"/>
      <c r="BH184" s="151" t="s">
        <v>111</v>
      </c>
      <c r="BI184" s="152">
        <v>0</v>
      </c>
      <c r="BJ184" s="152">
        <v>8</v>
      </c>
      <c r="BK184" s="152">
        <v>12</v>
      </c>
      <c r="BL184" s="152">
        <v>16</v>
      </c>
      <c r="BM184" s="152">
        <v>20</v>
      </c>
      <c r="BN184" s="152">
        <v>24</v>
      </c>
      <c r="BO184" s="152">
        <v>28</v>
      </c>
      <c r="BP184" s="152">
        <v>32</v>
      </c>
      <c r="BQ184" s="152">
        <v>36</v>
      </c>
      <c r="BR184" s="152">
        <v>40</v>
      </c>
      <c r="BS184" s="152">
        <v>44</v>
      </c>
      <c r="BT184" s="152">
        <v>48</v>
      </c>
      <c r="BU184" s="152">
        <v>52</v>
      </c>
      <c r="BV184" s="152"/>
      <c r="BW184" s="152" t="s">
        <v>470</v>
      </c>
      <c r="BX184" s="152">
        <v>0</v>
      </c>
      <c r="BY184" s="152">
        <v>8</v>
      </c>
      <c r="BZ184" s="152">
        <v>12</v>
      </c>
      <c r="CA184" s="152">
        <v>16</v>
      </c>
      <c r="CB184" s="152">
        <v>20</v>
      </c>
      <c r="CC184" s="152">
        <v>24</v>
      </c>
      <c r="CD184" s="152">
        <v>28</v>
      </c>
      <c r="CE184" s="152">
        <v>32</v>
      </c>
      <c r="CF184" s="152">
        <v>36</v>
      </c>
      <c r="CG184" s="152">
        <v>40</v>
      </c>
      <c r="CH184" s="152">
        <v>44</v>
      </c>
      <c r="CI184" s="152">
        <v>48</v>
      </c>
      <c r="CJ184" s="152">
        <v>52</v>
      </c>
      <c r="CK184" s="152"/>
      <c r="CL184" s="152"/>
      <c r="CM184" s="152"/>
      <c r="CN184" s="152" t="s">
        <v>473</v>
      </c>
      <c r="CO184" s="152">
        <v>0</v>
      </c>
      <c r="CP184" s="152">
        <v>8</v>
      </c>
      <c r="CQ184" s="152">
        <v>12</v>
      </c>
      <c r="CR184" s="152">
        <v>16</v>
      </c>
      <c r="CS184" s="152">
        <v>20</v>
      </c>
      <c r="CT184" s="152">
        <v>24</v>
      </c>
      <c r="CU184" s="152">
        <v>28</v>
      </c>
      <c r="CV184" s="152">
        <v>32</v>
      </c>
      <c r="CW184" s="152">
        <v>36</v>
      </c>
      <c r="CX184" s="152">
        <v>40</v>
      </c>
      <c r="CY184" s="152">
        <v>44</v>
      </c>
      <c r="CZ184" s="152">
        <v>48</v>
      </c>
      <c r="DA184" s="152">
        <v>52</v>
      </c>
      <c r="DB184" s="152"/>
      <c r="DC184" s="152" t="s">
        <v>138</v>
      </c>
      <c r="DD184" s="152">
        <v>0</v>
      </c>
      <c r="DE184" s="152">
        <v>8</v>
      </c>
      <c r="DF184" s="152">
        <v>12</v>
      </c>
      <c r="DG184" s="152">
        <v>16</v>
      </c>
      <c r="DH184" s="152">
        <v>20</v>
      </c>
      <c r="DI184" s="152">
        <v>24</v>
      </c>
      <c r="DJ184" s="152">
        <v>28</v>
      </c>
      <c r="DK184" s="152">
        <v>32</v>
      </c>
      <c r="DL184" s="152">
        <v>36</v>
      </c>
      <c r="DM184" s="152">
        <v>40</v>
      </c>
      <c r="DN184" s="152">
        <v>44</v>
      </c>
      <c r="DO184" s="152">
        <v>48</v>
      </c>
      <c r="DP184" s="152">
        <v>52</v>
      </c>
      <c r="DQ184" s="183"/>
      <c r="DR184" s="183">
        <v>6</v>
      </c>
      <c r="DS184" s="183"/>
      <c r="DT184" s="152" t="s">
        <v>508</v>
      </c>
      <c r="DU184" s="152">
        <v>0</v>
      </c>
      <c r="DV184" s="152">
        <v>8</v>
      </c>
      <c r="DW184" s="152">
        <v>12</v>
      </c>
      <c r="DX184" s="152">
        <v>16</v>
      </c>
      <c r="DY184" s="152">
        <v>20</v>
      </c>
      <c r="DZ184" s="152">
        <v>24</v>
      </c>
      <c r="EA184" s="152">
        <v>28</v>
      </c>
      <c r="EB184" s="152">
        <v>32</v>
      </c>
      <c r="EC184" s="152">
        <v>36</v>
      </c>
      <c r="ED184" s="152">
        <v>40</v>
      </c>
      <c r="EE184" s="152">
        <v>44</v>
      </c>
      <c r="EF184" s="152">
        <v>48</v>
      </c>
      <c r="EG184" s="152">
        <v>52</v>
      </c>
      <c r="EH184" s="153"/>
      <c r="EI184" s="150"/>
      <c r="EJ184" s="155"/>
      <c r="EK184" s="150"/>
      <c r="EL184" s="150"/>
      <c r="EM184" s="150" t="s">
        <v>852</v>
      </c>
      <c r="EN184" s="150"/>
      <c r="EO184" s="150"/>
      <c r="EP184" s="150"/>
      <c r="EQ184" s="150"/>
      <c r="ER184" s="150"/>
      <c r="ES184" s="150"/>
      <c r="ET184" s="150"/>
      <c r="EU184" s="150"/>
      <c r="EV184" s="150"/>
      <c r="EW184" s="150"/>
      <c r="EX184" s="150"/>
      <c r="EY184" s="150"/>
      <c r="EZ184" s="150"/>
      <c r="FA184" s="150"/>
      <c r="FB184" s="150"/>
      <c r="FC184" s="150"/>
      <c r="FD184" s="150"/>
      <c r="FE184" s="150"/>
      <c r="FF184" s="150"/>
      <c r="FG184" s="150"/>
      <c r="FH184" s="150"/>
      <c r="FI184" s="150"/>
      <c r="FJ184" s="150"/>
      <c r="FK184" s="150"/>
      <c r="FL184" s="150"/>
      <c r="FM184" s="150"/>
      <c r="FN184" s="150"/>
      <c r="FO184" s="150"/>
      <c r="FP184" s="150"/>
      <c r="FQ184" s="150"/>
      <c r="FR184" s="150"/>
      <c r="FS184" s="150"/>
      <c r="FT184" s="150"/>
      <c r="FU184" s="150"/>
      <c r="FV184" s="150"/>
      <c r="FW184" s="150"/>
      <c r="FX184" s="150"/>
      <c r="FY184" s="150"/>
      <c r="FZ184" s="150"/>
      <c r="GA184" s="150"/>
      <c r="GB184" s="150"/>
      <c r="GC184" s="150"/>
      <c r="GD184" s="150"/>
      <c r="GE184" s="150"/>
      <c r="GF184" s="150"/>
      <c r="GG184" s="150"/>
      <c r="GH184" s="150"/>
      <c r="GI184" s="150"/>
      <c r="GJ184" s="150"/>
      <c r="GK184" s="150"/>
      <c r="GL184" s="150"/>
      <c r="GM184" s="150"/>
      <c r="GN184" s="150"/>
      <c r="GO184" s="150"/>
      <c r="GP184" s="150"/>
      <c r="GQ184" s="150"/>
      <c r="GR184" s="150"/>
      <c r="GS184" s="150"/>
      <c r="GT184" s="150"/>
      <c r="GU184" s="150"/>
      <c r="GV184" s="150"/>
      <c r="GW184" s="150"/>
      <c r="GX184" s="150"/>
      <c r="GY184" s="150"/>
      <c r="GZ184" s="150"/>
      <c r="HA184" s="150"/>
      <c r="HB184" s="150"/>
      <c r="HC184" s="150"/>
      <c r="HD184" s="150"/>
      <c r="HE184" s="150"/>
      <c r="HF184" s="150"/>
      <c r="HG184" s="150"/>
      <c r="HH184" s="150"/>
      <c r="IT184" s="157"/>
    </row>
    <row r="185" spans="1:254" x14ac:dyDescent="0.2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6" t="s">
        <v>319</v>
      </c>
      <c r="M185" s="11">
        <f>INDEX(cennik!$C$2:$L$529,MATCH($L185,cennik!$B$2:$B$522,0),MATCH(M$2,cennik!$C$1:$L$1,0))</f>
        <v>890111</v>
      </c>
      <c r="N185" s="11" t="str">
        <f>INDEX(cennik!$C$2:$L$529,MATCH($L185,cennik!$B$2:$B$522,0),MATCH(N$2,cennik!$C$1:$L$1,0))</f>
        <v>100 szt.</v>
      </c>
      <c r="O185" s="11">
        <f>ROUNDUP((O163*4)/100,0)</f>
        <v>0</v>
      </c>
      <c r="P185" s="34">
        <f>INDEX(cennik!$C$2:$L$529,MATCH($L185,cennik!$B$2:$B$522,0),MATCH(P$2,cennik!$C$1:$L$1,0))</f>
        <v>174.59</v>
      </c>
      <c r="Q185" s="34">
        <f t="shared" si="385"/>
        <v>0</v>
      </c>
      <c r="R185" s="35">
        <f t="shared" si="360"/>
        <v>0</v>
      </c>
      <c r="S185" s="34">
        <f t="shared" si="361"/>
        <v>174.59</v>
      </c>
      <c r="T185" s="34">
        <f t="shared" si="386"/>
        <v>0</v>
      </c>
      <c r="U185" s="34">
        <f>INDEX(cennik!$C$2:$L$529,MATCH($L185,cennik!$B$2:$B$522,0),MATCH(U$2,cennik!$C$1:$L$1,0))*O185</f>
        <v>0</v>
      </c>
      <c r="V185" s="62"/>
      <c r="W185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195,$EL$166:$EX$166,0),MATCH($E$193,$AE$33:$AE$46,0)))*C195</f>
        <v>0</v>
      </c>
      <c r="X185" s="150">
        <v>0</v>
      </c>
      <c r="Y185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195,$EL$166:$EX$166,0),MATCH($E$193,$AE$33:$AE$46,0)))*C195</f>
        <v>0</v>
      </c>
      <c r="Z185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195,$EL$166:$EX$166,0),MATCH($E$193,$AE$33:$AE$46,0)))*C195</f>
        <v>0</v>
      </c>
      <c r="AA185" s="150">
        <f t="shared" si="426"/>
        <v>0</v>
      </c>
      <c r="AB185" s="150">
        <f t="shared" si="427"/>
        <v>0</v>
      </c>
      <c r="AC185" s="150"/>
      <c r="AD185" s="150"/>
      <c r="AE185" s="150"/>
      <c r="AF185" s="150"/>
      <c r="AG185" s="150"/>
      <c r="AH185" s="150"/>
      <c r="AI185" s="150"/>
      <c r="AJ185" s="150"/>
      <c r="AK185" s="150"/>
      <c r="AL185" s="150"/>
      <c r="AM185" s="150"/>
      <c r="AN185" s="150"/>
      <c r="AO185" s="150"/>
      <c r="AP185" s="150"/>
      <c r="AQ185" s="150"/>
      <c r="AR185" s="158"/>
      <c r="AS185" s="158"/>
      <c r="AT185" s="158"/>
      <c r="AU185" s="158"/>
      <c r="AV185" s="158"/>
      <c r="AW185" s="158"/>
      <c r="AX185" s="158"/>
      <c r="AY185" s="172"/>
      <c r="BA185" s="170"/>
      <c r="BB185" s="158"/>
      <c r="BC185" s="158"/>
      <c r="BD185" s="158"/>
      <c r="BE185" s="158"/>
      <c r="BF185" s="158"/>
      <c r="BH185" s="155" t="s">
        <v>522</v>
      </c>
      <c r="BI185" s="150">
        <v>0</v>
      </c>
      <c r="BJ185" s="150">
        <v>5</v>
      </c>
      <c r="BK185" s="150">
        <v>0</v>
      </c>
      <c r="BL185" s="150">
        <v>5</v>
      </c>
      <c r="BM185" s="150">
        <v>10</v>
      </c>
      <c r="BN185" s="150">
        <v>5</v>
      </c>
      <c r="BO185" s="150">
        <v>10</v>
      </c>
      <c r="BP185" s="150">
        <v>5</v>
      </c>
      <c r="BQ185" s="150">
        <v>10</v>
      </c>
      <c r="BR185" s="150">
        <v>20</v>
      </c>
      <c r="BS185" s="150">
        <v>10</v>
      </c>
      <c r="BT185" s="150">
        <v>20</v>
      </c>
      <c r="BU185" s="150">
        <v>10</v>
      </c>
      <c r="BV185" s="150"/>
      <c r="BW185" s="150" t="s">
        <v>522</v>
      </c>
      <c r="BX185" s="150">
        <v>0</v>
      </c>
      <c r="BY185" s="150">
        <v>5</v>
      </c>
      <c r="BZ185" s="150">
        <v>0</v>
      </c>
      <c r="CA185" s="150">
        <v>5</v>
      </c>
      <c r="CB185" s="150">
        <v>0</v>
      </c>
      <c r="CC185" s="150">
        <v>5</v>
      </c>
      <c r="CD185" s="150">
        <v>15</v>
      </c>
      <c r="CE185" s="150">
        <v>10</v>
      </c>
      <c r="CF185" s="150">
        <v>0</v>
      </c>
      <c r="CG185" s="150">
        <v>10</v>
      </c>
      <c r="CH185" s="150">
        <v>20</v>
      </c>
      <c r="CI185" s="150">
        <v>25</v>
      </c>
      <c r="CJ185" s="150">
        <v>5</v>
      </c>
      <c r="CK185" s="150"/>
      <c r="CL185" s="150"/>
      <c r="CM185" s="150"/>
      <c r="CN185" s="150" t="s">
        <v>522</v>
      </c>
      <c r="CO185" s="150">
        <v>0</v>
      </c>
      <c r="CP185" s="150">
        <v>5</v>
      </c>
      <c r="CQ185" s="150">
        <v>0</v>
      </c>
      <c r="CR185" s="150">
        <v>10</v>
      </c>
      <c r="CS185" s="150">
        <v>0</v>
      </c>
      <c r="CT185" s="150">
        <v>10</v>
      </c>
      <c r="CU185" s="150">
        <v>5</v>
      </c>
      <c r="CV185" s="150">
        <v>15</v>
      </c>
      <c r="CW185" s="150">
        <v>10</v>
      </c>
      <c r="CX185" s="150">
        <v>0</v>
      </c>
      <c r="CY185" s="150">
        <v>25</v>
      </c>
      <c r="CZ185" s="150">
        <v>5</v>
      </c>
      <c r="DA185" s="150">
        <v>30</v>
      </c>
      <c r="DB185" s="150"/>
      <c r="DC185" s="150" t="s">
        <v>522</v>
      </c>
      <c r="DD185" s="150">
        <f>DD22/5*4</f>
        <v>0</v>
      </c>
      <c r="DE185" s="150">
        <v>5</v>
      </c>
      <c r="DF185" s="150">
        <v>0</v>
      </c>
      <c r="DG185" s="150">
        <v>10</v>
      </c>
      <c r="DH185" s="150">
        <v>5</v>
      </c>
      <c r="DI185" s="150">
        <v>15</v>
      </c>
      <c r="DJ185" s="150">
        <v>10</v>
      </c>
      <c r="DK185" s="150">
        <v>20</v>
      </c>
      <c r="DL185" s="150">
        <v>15</v>
      </c>
      <c r="DM185" s="150">
        <v>10</v>
      </c>
      <c r="DN185" s="150">
        <v>20</v>
      </c>
      <c r="DO185" s="150">
        <v>30</v>
      </c>
      <c r="DP185" s="150">
        <v>10</v>
      </c>
      <c r="DQ185" s="181"/>
      <c r="DR185" s="181">
        <v>12</v>
      </c>
      <c r="DS185" s="181"/>
      <c r="DT185" s="150" t="s">
        <v>522</v>
      </c>
      <c r="DU185" s="150">
        <v>0</v>
      </c>
      <c r="DV185" s="150">
        <v>0</v>
      </c>
      <c r="DW185" s="150">
        <v>5</v>
      </c>
      <c r="DX185" s="150">
        <v>0</v>
      </c>
      <c r="DY185" s="150">
        <v>10</v>
      </c>
      <c r="DZ185" s="150">
        <v>5</v>
      </c>
      <c r="EA185" s="150">
        <v>15</v>
      </c>
      <c r="EB185" s="150">
        <v>10</v>
      </c>
      <c r="EC185" s="150">
        <v>20</v>
      </c>
      <c r="ED185" s="150">
        <v>15</v>
      </c>
      <c r="EE185" s="150">
        <v>25</v>
      </c>
      <c r="EF185" s="150">
        <v>20</v>
      </c>
      <c r="EG185" s="150">
        <v>30</v>
      </c>
      <c r="EH185" s="156"/>
      <c r="EI185" s="150"/>
      <c r="EJ185" s="155"/>
      <c r="EK185" s="150"/>
      <c r="EL185" s="150"/>
      <c r="EM185" s="150"/>
      <c r="EN185" s="150"/>
      <c r="EO185" s="150"/>
      <c r="EP185" s="150"/>
      <c r="EQ185" s="150"/>
      <c r="ER185" s="150"/>
      <c r="ES185" s="150"/>
      <c r="ET185" s="150"/>
      <c r="EU185" s="150"/>
      <c r="EV185" s="150"/>
      <c r="EW185" s="150"/>
      <c r="EX185" s="150"/>
      <c r="EY185" s="150"/>
      <c r="EZ185" s="150"/>
      <c r="FA185" s="150"/>
      <c r="FB185" s="150"/>
      <c r="FC185" s="150"/>
      <c r="FD185" s="150"/>
      <c r="FE185" s="150"/>
      <c r="FF185" s="150"/>
      <c r="FG185" s="150"/>
      <c r="FH185" s="150"/>
      <c r="FI185" s="150"/>
      <c r="FJ185" s="150"/>
      <c r="FK185" s="150"/>
      <c r="FL185" s="150"/>
      <c r="FM185" s="150"/>
      <c r="FN185" s="150"/>
      <c r="FO185" s="150"/>
      <c r="FP185" s="150"/>
      <c r="FQ185" s="150"/>
      <c r="FR185" s="150"/>
      <c r="FS185" s="150"/>
      <c r="FT185" s="150"/>
      <c r="FU185" s="150"/>
      <c r="FV185" s="150"/>
      <c r="FW185" s="150"/>
      <c r="FX185" s="150"/>
      <c r="FY185" s="150"/>
      <c r="FZ185" s="150"/>
      <c r="GA185" s="150"/>
      <c r="GB185" s="150"/>
      <c r="GC185" s="150"/>
      <c r="GD185" s="150"/>
      <c r="GE185" s="150"/>
      <c r="GF185" s="150"/>
      <c r="GG185" s="150"/>
      <c r="GH185" s="150"/>
      <c r="GI185" s="150"/>
      <c r="GJ185" s="150"/>
      <c r="GK185" s="150"/>
      <c r="GL185" s="150"/>
      <c r="GM185" s="150"/>
      <c r="GN185" s="150"/>
      <c r="GO185" s="150"/>
      <c r="GP185" s="150"/>
      <c r="GQ185" s="150"/>
      <c r="GR185" s="150"/>
      <c r="GS185" s="150"/>
      <c r="GT185" s="150"/>
      <c r="GU185" s="150"/>
      <c r="GV185" s="150"/>
      <c r="GW185" s="150"/>
      <c r="GX185" s="150"/>
      <c r="GY185" s="150"/>
      <c r="GZ185" s="150"/>
      <c r="HA185" s="150"/>
      <c r="HB185" s="150"/>
      <c r="HC185" s="150"/>
      <c r="HD185" s="150"/>
      <c r="HE185" s="150"/>
      <c r="HF185" s="150"/>
      <c r="HG185" s="150"/>
      <c r="HH185" s="150"/>
      <c r="IT185" s="157"/>
    </row>
    <row r="186" spans="1:254" x14ac:dyDescent="0.2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6" t="s">
        <v>722</v>
      </c>
      <c r="M186" s="11">
        <f>INDEX(cennik!$C$2:$L$529,MATCH($L186,cennik!$B$2:$B$522,0),MATCH(M$2,cennik!$C$1:$L$1,0))</f>
        <v>890504</v>
      </c>
      <c r="N186" s="11" t="str">
        <f>INDEX(cennik!$C$2:$L$529,MATCH($L186,cennik!$B$2:$B$522,0),MATCH(N$2,cennik!$C$1:$L$1,0))</f>
        <v>szt.</v>
      </c>
      <c r="O186" s="11">
        <f>SUM(C162:C177)*8</f>
        <v>0</v>
      </c>
      <c r="P186" s="34">
        <f>INDEX(cennik!$C$2:$L$529,MATCH($L186,cennik!$B$2:$B$522,0),MATCH(P$2,cennik!$C$1:$L$1,0))</f>
        <v>4.58</v>
      </c>
      <c r="Q186" s="34">
        <f t="shared" si="385"/>
        <v>0</v>
      </c>
      <c r="R186" s="35">
        <f t="shared" si="360"/>
        <v>0</v>
      </c>
      <c r="S186" s="34">
        <f t="shared" si="361"/>
        <v>4.58</v>
      </c>
      <c r="T186" s="34">
        <f t="shared" ref="T186" si="432">O186*S186</f>
        <v>0</v>
      </c>
      <c r="U186" s="34">
        <f>INDEX(cennik!$C$2:$L$529,MATCH($L186,cennik!$B$2:$B$522,0),MATCH(U$2,cennik!$C$1:$L$1,0))*O186</f>
        <v>0</v>
      </c>
      <c r="V186" s="62"/>
      <c r="W186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196,$EL$166:$EX$166,0),MATCH($E$193,$AE$33:$AE$46,0)))*C196</f>
        <v>0</v>
      </c>
      <c r="X186" s="150">
        <v>0</v>
      </c>
      <c r="Y186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196,$EL$166:$EX$166,0),MATCH($E$193,$AE$33:$AE$46,0)))*C196</f>
        <v>0</v>
      </c>
      <c r="Z186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196,$EL$166:$EX$166,0),MATCH($E$193,$AE$33:$AE$46,0)))*C196</f>
        <v>0</v>
      </c>
      <c r="AA186" s="150">
        <f t="shared" si="426"/>
        <v>0</v>
      </c>
      <c r="AB186" s="150">
        <f t="shared" si="427"/>
        <v>0</v>
      </c>
      <c r="AC186" s="150"/>
      <c r="AD186" s="150"/>
      <c r="AE186" s="150"/>
      <c r="AF186" s="150"/>
      <c r="AG186" s="150"/>
      <c r="AH186" s="150"/>
      <c r="AI186" s="150"/>
      <c r="AJ186" s="150"/>
      <c r="AK186" s="150"/>
      <c r="AL186" s="150"/>
      <c r="AM186" s="150"/>
      <c r="AN186" s="150"/>
      <c r="AO186" s="150"/>
      <c r="AP186" s="150"/>
      <c r="AQ186" s="150"/>
      <c r="AR186" s="166" t="s">
        <v>716</v>
      </c>
      <c r="AS186" s="62"/>
      <c r="AT186" s="62"/>
      <c r="AU186" s="62"/>
      <c r="AV186" s="150"/>
      <c r="AW186" s="150"/>
      <c r="AX186" s="150"/>
      <c r="AY186" s="169"/>
      <c r="AZ186" s="169"/>
      <c r="BA186" s="150"/>
      <c r="BB186" s="174" t="s">
        <v>716</v>
      </c>
      <c r="BH186" s="155" t="s">
        <v>523</v>
      </c>
      <c r="BI186" s="150">
        <v>0</v>
      </c>
      <c r="BJ186" s="150">
        <v>0</v>
      </c>
      <c r="BK186" s="150">
        <v>10</v>
      </c>
      <c r="BL186" s="150">
        <v>5</v>
      </c>
      <c r="BM186" s="150">
        <v>0</v>
      </c>
      <c r="BN186" s="150">
        <v>10</v>
      </c>
      <c r="BO186" s="150">
        <v>5</v>
      </c>
      <c r="BP186" s="150">
        <v>15</v>
      </c>
      <c r="BQ186" s="150">
        <v>10</v>
      </c>
      <c r="BR186" s="150">
        <v>0</v>
      </c>
      <c r="BS186" s="150">
        <v>15</v>
      </c>
      <c r="BT186" s="150">
        <v>5</v>
      </c>
      <c r="BU186" s="150">
        <v>20</v>
      </c>
      <c r="BV186" s="150"/>
      <c r="BW186" s="150" t="s">
        <v>523</v>
      </c>
      <c r="BX186" s="150">
        <v>0</v>
      </c>
      <c r="BY186" s="150">
        <v>0</v>
      </c>
      <c r="BZ186" s="150">
        <v>10</v>
      </c>
      <c r="CA186" s="150">
        <v>5</v>
      </c>
      <c r="CB186" s="150">
        <v>15</v>
      </c>
      <c r="CC186" s="150">
        <v>10</v>
      </c>
      <c r="CD186" s="150">
        <v>0</v>
      </c>
      <c r="CE186" s="150">
        <v>10</v>
      </c>
      <c r="CF186" s="150">
        <v>25</v>
      </c>
      <c r="CG186" s="150">
        <v>15</v>
      </c>
      <c r="CH186" s="150">
        <v>5</v>
      </c>
      <c r="CI186" s="150">
        <v>0</v>
      </c>
      <c r="CJ186" s="150">
        <v>30</v>
      </c>
      <c r="CK186" s="150"/>
      <c r="CL186" s="150"/>
      <c r="CM186" s="150"/>
      <c r="CN186" s="150" t="s">
        <v>523</v>
      </c>
      <c r="CO186" s="150">
        <v>0</v>
      </c>
      <c r="CP186" s="150">
        <v>0</v>
      </c>
      <c r="CQ186" s="150">
        <v>10</v>
      </c>
      <c r="CR186" s="150">
        <v>0</v>
      </c>
      <c r="CS186" s="150">
        <v>15</v>
      </c>
      <c r="CT186" s="150">
        <v>5</v>
      </c>
      <c r="CU186" s="150">
        <v>15</v>
      </c>
      <c r="CV186" s="150">
        <v>5</v>
      </c>
      <c r="CW186" s="150">
        <v>15</v>
      </c>
      <c r="CX186" s="150">
        <v>30</v>
      </c>
      <c r="CY186" s="150">
        <v>0</v>
      </c>
      <c r="CZ186" s="150">
        <v>30</v>
      </c>
      <c r="DA186" s="150">
        <v>0</v>
      </c>
      <c r="DB186" s="150"/>
      <c r="DC186" s="150" t="s">
        <v>523</v>
      </c>
      <c r="DD186" s="150">
        <f>DD23/5*4</f>
        <v>0</v>
      </c>
      <c r="DE186" s="150">
        <v>0</v>
      </c>
      <c r="DF186" s="150">
        <v>10</v>
      </c>
      <c r="DG186" s="150">
        <v>0</v>
      </c>
      <c r="DH186" s="150">
        <v>10</v>
      </c>
      <c r="DI186" s="150">
        <v>0</v>
      </c>
      <c r="DJ186" s="150">
        <v>10</v>
      </c>
      <c r="DK186" s="150">
        <v>0</v>
      </c>
      <c r="DL186" s="150">
        <v>10</v>
      </c>
      <c r="DM186" s="150">
        <v>20</v>
      </c>
      <c r="DN186" s="150">
        <v>10</v>
      </c>
      <c r="DO186" s="150">
        <v>0</v>
      </c>
      <c r="DP186" s="150">
        <v>30</v>
      </c>
      <c r="DQ186" s="181"/>
      <c r="DR186" s="181">
        <v>15</v>
      </c>
      <c r="DS186" s="181"/>
      <c r="DT186" s="150" t="s">
        <v>523</v>
      </c>
      <c r="DU186" s="150">
        <v>0</v>
      </c>
      <c r="DV186" s="150">
        <v>10</v>
      </c>
      <c r="DW186" s="150">
        <v>5</v>
      </c>
      <c r="DX186" s="150">
        <v>15</v>
      </c>
      <c r="DY186" s="150">
        <v>5</v>
      </c>
      <c r="DZ186" s="150">
        <v>15</v>
      </c>
      <c r="EA186" s="150">
        <v>5</v>
      </c>
      <c r="EB186" s="150">
        <v>15</v>
      </c>
      <c r="EC186" s="150">
        <v>5</v>
      </c>
      <c r="ED186" s="150">
        <v>15</v>
      </c>
      <c r="EE186" s="150">
        <v>5</v>
      </c>
      <c r="EF186" s="150">
        <v>15</v>
      </c>
      <c r="EG186" s="150">
        <v>5</v>
      </c>
      <c r="EH186" s="156"/>
      <c r="EI186" s="150"/>
      <c r="EJ186" s="155"/>
      <c r="EK186" s="150"/>
      <c r="EL186" s="150"/>
      <c r="EM186" s="150"/>
      <c r="EN186" s="150"/>
      <c r="EO186" s="150"/>
      <c r="EP186" s="150"/>
      <c r="EQ186" s="150"/>
      <c r="ER186" s="150"/>
      <c r="ES186" s="150"/>
      <c r="ET186" s="150"/>
      <c r="EU186" s="150"/>
      <c r="EV186" s="150"/>
      <c r="EW186" s="150"/>
      <c r="EX186" s="150"/>
      <c r="EY186" s="150"/>
      <c r="EZ186" s="150"/>
      <c r="FA186" s="150"/>
      <c r="FB186" s="150"/>
      <c r="FC186" s="150"/>
      <c r="FD186" s="150"/>
      <c r="FE186" s="150"/>
      <c r="FF186" s="150"/>
      <c r="FG186" s="150"/>
      <c r="FH186" s="150"/>
      <c r="FI186" s="150"/>
      <c r="FJ186" s="150"/>
      <c r="FK186" s="150"/>
      <c r="FL186" s="150"/>
      <c r="FM186" s="150"/>
      <c r="FN186" s="150"/>
      <c r="FO186" s="150"/>
      <c r="FP186" s="150"/>
      <c r="FQ186" s="150"/>
      <c r="FR186" s="150"/>
      <c r="FS186" s="150"/>
      <c r="FT186" s="150"/>
      <c r="FU186" s="150"/>
      <c r="FV186" s="150"/>
      <c r="FW186" s="150"/>
      <c r="FX186" s="150"/>
      <c r="FY186" s="150"/>
      <c r="FZ186" s="150"/>
      <c r="GA186" s="150"/>
      <c r="GB186" s="150"/>
      <c r="GC186" s="150"/>
      <c r="GD186" s="150"/>
      <c r="GE186" s="150"/>
      <c r="GF186" s="150"/>
      <c r="GG186" s="150"/>
      <c r="GH186" s="150"/>
      <c r="GI186" s="150"/>
      <c r="GJ186" s="150"/>
      <c r="GK186" s="150"/>
      <c r="GL186" s="150"/>
      <c r="GM186" s="150"/>
      <c r="GN186" s="150"/>
      <c r="GO186" s="150"/>
      <c r="GP186" s="150"/>
      <c r="GQ186" s="150"/>
      <c r="GR186" s="150"/>
      <c r="GS186" s="150"/>
      <c r="GT186" s="150"/>
      <c r="GU186" s="150"/>
      <c r="GV186" s="150"/>
      <c r="GW186" s="150"/>
      <c r="GX186" s="150"/>
      <c r="GY186" s="150"/>
      <c r="GZ186" s="150"/>
      <c r="HA186" s="150"/>
      <c r="HB186" s="150"/>
      <c r="HC186" s="150"/>
      <c r="HD186" s="150"/>
      <c r="HE186" s="150"/>
      <c r="HF186" s="150"/>
      <c r="HG186" s="150"/>
      <c r="HH186" s="150"/>
      <c r="IT186" s="157"/>
    </row>
    <row r="187" spans="1:254" x14ac:dyDescent="0.2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6" t="s">
        <v>316</v>
      </c>
      <c r="M187" s="11"/>
      <c r="N187" s="11"/>
      <c r="O187" s="11"/>
      <c r="P187" s="34"/>
      <c r="Q187" s="34"/>
      <c r="R187" s="35"/>
      <c r="S187" s="34"/>
      <c r="T187" s="34"/>
      <c r="U187" s="34"/>
      <c r="V187" s="62"/>
      <c r="W187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197,$EL$166:$EX$166,0),MATCH($E$193,$AE$33:$AE$46,0)))*C197</f>
        <v>0</v>
      </c>
      <c r="X187" s="150">
        <v>0</v>
      </c>
      <c r="Y187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197,$EL$166:$EX$166,0),MATCH($E$193,$AE$33:$AE$46,0)))*C197</f>
        <v>0</v>
      </c>
      <c r="Z187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197,$EL$166:$EX$166,0),MATCH($E$193,$AE$33:$AE$46,0)))*C197</f>
        <v>0</v>
      </c>
      <c r="AA187" s="150">
        <f t="shared" si="426"/>
        <v>0</v>
      </c>
      <c r="AB187" s="150">
        <f t="shared" si="427"/>
        <v>0</v>
      </c>
      <c r="AC187" s="150"/>
      <c r="AD187" s="150"/>
      <c r="AE187" s="150"/>
      <c r="AF187" s="150"/>
      <c r="AG187" s="150"/>
      <c r="AH187" s="150"/>
      <c r="AI187" s="150"/>
      <c r="AJ187" s="150"/>
      <c r="AK187" s="150"/>
      <c r="AL187" s="150"/>
      <c r="AM187" s="150"/>
      <c r="AN187" s="150"/>
      <c r="AO187" s="150"/>
      <c r="AP187" s="150"/>
      <c r="AQ187" s="150"/>
      <c r="AR187" s="62">
        <v>30</v>
      </c>
      <c r="AS187" s="62" t="s">
        <v>314</v>
      </c>
      <c r="AT187" s="62" t="s">
        <v>312</v>
      </c>
      <c r="AU187" s="62" t="s">
        <v>309</v>
      </c>
      <c r="AV187" s="150" t="s">
        <v>313</v>
      </c>
      <c r="AW187" s="150"/>
      <c r="AX187" s="150"/>
      <c r="AY187" s="169"/>
      <c r="AZ187" s="169"/>
      <c r="BA187" s="150"/>
      <c r="BB187" s="154">
        <v>30</v>
      </c>
      <c r="BC187" s="154" t="s">
        <v>314</v>
      </c>
      <c r="BD187" s="154" t="s">
        <v>312</v>
      </c>
      <c r="BE187" s="154" t="s">
        <v>309</v>
      </c>
      <c r="BF187" s="154" t="s">
        <v>313</v>
      </c>
      <c r="BH187" s="158" t="s">
        <v>779</v>
      </c>
      <c r="BI187" s="150">
        <f>IF(SUM(BI185:BI186)&lt;6,0,IF(SUM(BI185:BI186)&gt;7,SUM(BI185:BI186)-5,0))</f>
        <v>0</v>
      </c>
      <c r="BJ187" s="150">
        <f>IF(SUM(BJ185:BJ186)&lt;6,0,IF(SUM(BJ185:BJ186)&gt;7,SUM(BJ185:BJ186)-5,0))</f>
        <v>0</v>
      </c>
      <c r="BK187" s="150">
        <f t="shared" ref="BK187:BU187" si="433">IF(SUM(BK185:BK186)&lt;6,0,IF(SUM(BK185:BK186)&gt;7,SUM(BK185:BK186)-5,0))</f>
        <v>5</v>
      </c>
      <c r="BL187" s="150">
        <f t="shared" si="433"/>
        <v>5</v>
      </c>
      <c r="BM187" s="150">
        <f t="shared" si="433"/>
        <v>5</v>
      </c>
      <c r="BN187" s="150">
        <f t="shared" si="433"/>
        <v>10</v>
      </c>
      <c r="BO187" s="150">
        <f t="shared" si="433"/>
        <v>10</v>
      </c>
      <c r="BP187" s="150">
        <f t="shared" si="433"/>
        <v>15</v>
      </c>
      <c r="BQ187" s="150">
        <f t="shared" si="433"/>
        <v>15</v>
      </c>
      <c r="BR187" s="150">
        <f t="shared" si="433"/>
        <v>15</v>
      </c>
      <c r="BS187" s="150">
        <f t="shared" si="433"/>
        <v>20</v>
      </c>
      <c r="BT187" s="150">
        <f t="shared" si="433"/>
        <v>20</v>
      </c>
      <c r="BU187" s="150">
        <f t="shared" si="433"/>
        <v>25</v>
      </c>
      <c r="BV187" s="150"/>
      <c r="BW187" s="158" t="s">
        <v>779</v>
      </c>
      <c r="BX187" s="150">
        <f>IF(SUM(BX185:BX186)&lt;6,0,IF(SUM(BX185:BX186)&gt;7,SUM(BX185:BX186)-5,0))</f>
        <v>0</v>
      </c>
      <c r="BY187" s="150">
        <f t="shared" ref="BY187:CJ187" si="434">IF(SUM(BY185:BY186)&lt;6,0,IF(SUM(BY185:BY186)&gt;7,SUM(BY185:BY186)-5,0))</f>
        <v>0</v>
      </c>
      <c r="BZ187" s="150">
        <f t="shared" si="434"/>
        <v>5</v>
      </c>
      <c r="CA187" s="150">
        <f t="shared" si="434"/>
        <v>5</v>
      </c>
      <c r="CB187" s="150">
        <f t="shared" si="434"/>
        <v>10</v>
      </c>
      <c r="CC187" s="150">
        <f t="shared" si="434"/>
        <v>10</v>
      </c>
      <c r="CD187" s="150">
        <f t="shared" si="434"/>
        <v>10</v>
      </c>
      <c r="CE187" s="150">
        <f t="shared" si="434"/>
        <v>15</v>
      </c>
      <c r="CF187" s="150">
        <f t="shared" si="434"/>
        <v>20</v>
      </c>
      <c r="CG187" s="150">
        <f t="shared" si="434"/>
        <v>20</v>
      </c>
      <c r="CH187" s="150">
        <f t="shared" si="434"/>
        <v>20</v>
      </c>
      <c r="CI187" s="150">
        <f t="shared" si="434"/>
        <v>20</v>
      </c>
      <c r="CJ187" s="150">
        <f t="shared" si="434"/>
        <v>30</v>
      </c>
      <c r="CK187" s="150"/>
      <c r="CL187" s="150"/>
      <c r="CM187" s="150"/>
      <c r="CN187" s="158" t="s">
        <v>779</v>
      </c>
      <c r="CO187" s="150">
        <f>IF(SUM(CO185:CO186)&lt;6,0,IF(SUM(CO185:CO186)&gt;7,SUM(CO185:CO186)-5,0))</f>
        <v>0</v>
      </c>
      <c r="CP187" s="150">
        <f t="shared" ref="CP187:DA187" si="435">IF(SUM(CP185:CP186)&lt;6,0,IF(SUM(CP185:CP186)&gt;7,SUM(CP185:CP186)-5,0))</f>
        <v>0</v>
      </c>
      <c r="CQ187" s="150">
        <f t="shared" si="435"/>
        <v>5</v>
      </c>
      <c r="CR187" s="150">
        <f t="shared" si="435"/>
        <v>5</v>
      </c>
      <c r="CS187" s="150">
        <f t="shared" si="435"/>
        <v>10</v>
      </c>
      <c r="CT187" s="150">
        <f t="shared" si="435"/>
        <v>10</v>
      </c>
      <c r="CU187" s="150">
        <f t="shared" si="435"/>
        <v>15</v>
      </c>
      <c r="CV187" s="150">
        <f t="shared" si="435"/>
        <v>15</v>
      </c>
      <c r="CW187" s="150">
        <f t="shared" si="435"/>
        <v>20</v>
      </c>
      <c r="CX187" s="150">
        <f t="shared" si="435"/>
        <v>25</v>
      </c>
      <c r="CY187" s="150">
        <f t="shared" si="435"/>
        <v>20</v>
      </c>
      <c r="CZ187" s="150">
        <f t="shared" si="435"/>
        <v>30</v>
      </c>
      <c r="DA187" s="150">
        <f t="shared" si="435"/>
        <v>25</v>
      </c>
      <c r="DB187" s="150"/>
      <c r="DC187" s="158" t="s">
        <v>779</v>
      </c>
      <c r="DD187" s="150">
        <f>IF(SUM(DD185:DD186)&lt;6,0,IF(SUM(DD185:DD186)&gt;7,SUM(DD185:DD186)-5,0))</f>
        <v>0</v>
      </c>
      <c r="DE187" s="150">
        <f t="shared" ref="DE187:DP187" si="436">IF(SUM(DE185:DE186)&lt;6,0,IF(SUM(DE185:DE186)&gt;7,SUM(DE185:DE186)-5,0))</f>
        <v>0</v>
      </c>
      <c r="DF187" s="150">
        <f t="shared" si="436"/>
        <v>5</v>
      </c>
      <c r="DG187" s="150">
        <f t="shared" si="436"/>
        <v>5</v>
      </c>
      <c r="DH187" s="150">
        <f t="shared" si="436"/>
        <v>10</v>
      </c>
      <c r="DI187" s="150">
        <f t="shared" si="436"/>
        <v>10</v>
      </c>
      <c r="DJ187" s="150">
        <f t="shared" si="436"/>
        <v>15</v>
      </c>
      <c r="DK187" s="150">
        <f t="shared" si="436"/>
        <v>15</v>
      </c>
      <c r="DL187" s="150">
        <f t="shared" si="436"/>
        <v>20</v>
      </c>
      <c r="DM187" s="150">
        <f t="shared" si="436"/>
        <v>25</v>
      </c>
      <c r="DN187" s="150">
        <f t="shared" si="436"/>
        <v>25</v>
      </c>
      <c r="DO187" s="150">
        <f t="shared" si="436"/>
        <v>25</v>
      </c>
      <c r="DP187" s="150">
        <f t="shared" si="436"/>
        <v>35</v>
      </c>
      <c r="DQ187" s="181"/>
      <c r="DR187" s="181">
        <v>18</v>
      </c>
      <c r="DS187" s="181"/>
      <c r="DT187" s="158" t="s">
        <v>779</v>
      </c>
      <c r="DU187" s="150">
        <f>IF(SUM(DU185:DU186)&lt;6,0,IF(SUM(DU185:DU186)&gt;7,SUM(DU185:DU186)-5,0))</f>
        <v>0</v>
      </c>
      <c r="DV187" s="150">
        <f t="shared" ref="DV187:EG187" si="437">IF(SUM(DV185:DV186)&lt;6,0,IF(SUM(DV185:DV186)&gt;7,SUM(DV185:DV186)-5,0))</f>
        <v>5</v>
      </c>
      <c r="DW187" s="150">
        <f t="shared" si="437"/>
        <v>5</v>
      </c>
      <c r="DX187" s="150">
        <f t="shared" si="437"/>
        <v>10</v>
      </c>
      <c r="DY187" s="150">
        <f t="shared" si="437"/>
        <v>10</v>
      </c>
      <c r="DZ187" s="150">
        <f t="shared" si="437"/>
        <v>15</v>
      </c>
      <c r="EA187" s="150">
        <f t="shared" si="437"/>
        <v>15</v>
      </c>
      <c r="EB187" s="150">
        <f t="shared" si="437"/>
        <v>20</v>
      </c>
      <c r="EC187" s="150">
        <f t="shared" si="437"/>
        <v>20</v>
      </c>
      <c r="ED187" s="150">
        <f t="shared" si="437"/>
        <v>25</v>
      </c>
      <c r="EE187" s="150">
        <f t="shared" si="437"/>
        <v>25</v>
      </c>
      <c r="EF187" s="150">
        <f t="shared" si="437"/>
        <v>30</v>
      </c>
      <c r="EG187" s="150">
        <f t="shared" si="437"/>
        <v>30</v>
      </c>
      <c r="EH187" s="156"/>
      <c r="EI187" s="150"/>
      <c r="EJ187" s="155"/>
      <c r="EK187" s="150" t="s">
        <v>114</v>
      </c>
      <c r="EL187" s="150">
        <v>0</v>
      </c>
      <c r="EM187" s="150">
        <v>6</v>
      </c>
      <c r="EN187" s="150">
        <v>8</v>
      </c>
      <c r="EO187" s="150">
        <v>10</v>
      </c>
      <c r="EP187" s="150">
        <v>12</v>
      </c>
      <c r="EQ187" s="150">
        <v>14</v>
      </c>
      <c r="ER187" s="150">
        <v>16</v>
      </c>
      <c r="ES187" s="150">
        <v>18</v>
      </c>
      <c r="ET187" s="150">
        <v>20</v>
      </c>
      <c r="EU187" s="150">
        <v>22</v>
      </c>
      <c r="EV187" s="150">
        <v>24</v>
      </c>
      <c r="EW187" s="150">
        <v>26</v>
      </c>
      <c r="EX187" s="150">
        <v>28</v>
      </c>
      <c r="EY187" s="150">
        <v>30</v>
      </c>
      <c r="EZ187" s="150">
        <v>32</v>
      </c>
      <c r="FA187" s="150">
        <v>34</v>
      </c>
      <c r="FB187" s="150">
        <v>36</v>
      </c>
      <c r="FC187" s="150">
        <v>38</v>
      </c>
      <c r="FD187" s="150">
        <v>40</v>
      </c>
      <c r="FE187" s="150">
        <v>42</v>
      </c>
      <c r="FF187" s="150">
        <v>44</v>
      </c>
      <c r="FG187" s="150">
        <v>46</v>
      </c>
      <c r="FH187" s="150">
        <v>48</v>
      </c>
      <c r="FI187" s="150">
        <v>50</v>
      </c>
      <c r="FJ187" s="150"/>
      <c r="FK187" s="150" t="s">
        <v>474</v>
      </c>
      <c r="FL187" s="150">
        <v>0</v>
      </c>
      <c r="FM187" s="150">
        <v>6</v>
      </c>
      <c r="FN187" s="150">
        <v>8</v>
      </c>
      <c r="FO187" s="150">
        <v>10</v>
      </c>
      <c r="FP187" s="150">
        <v>12</v>
      </c>
      <c r="FQ187" s="150">
        <v>14</v>
      </c>
      <c r="FR187" s="150">
        <v>16</v>
      </c>
      <c r="FS187" s="150">
        <v>18</v>
      </c>
      <c r="FT187" s="150">
        <v>20</v>
      </c>
      <c r="FU187" s="150">
        <v>22</v>
      </c>
      <c r="FV187" s="150">
        <v>24</v>
      </c>
      <c r="FW187" s="150">
        <v>26</v>
      </c>
      <c r="FX187" s="150">
        <v>28</v>
      </c>
      <c r="FY187" s="150">
        <v>30</v>
      </c>
      <c r="FZ187" s="150">
        <v>32</v>
      </c>
      <c r="GA187" s="150">
        <v>34</v>
      </c>
      <c r="GB187" s="150">
        <v>36</v>
      </c>
      <c r="GC187" s="150">
        <v>38</v>
      </c>
      <c r="GD187" s="150">
        <v>40</v>
      </c>
      <c r="GE187" s="150">
        <v>42</v>
      </c>
      <c r="GF187" s="150">
        <v>44</v>
      </c>
      <c r="GG187" s="150">
        <v>46</v>
      </c>
      <c r="GH187" s="150">
        <v>48</v>
      </c>
      <c r="GI187" s="150">
        <v>50</v>
      </c>
      <c r="GJ187" s="150"/>
      <c r="GK187" s="150"/>
      <c r="GL187" s="150"/>
      <c r="GM187" s="150"/>
      <c r="GN187" s="150"/>
      <c r="GO187" s="150"/>
      <c r="GP187" s="150"/>
      <c r="GQ187" s="150"/>
      <c r="GR187" s="150" t="s">
        <v>713</v>
      </c>
      <c r="GS187" s="150">
        <v>0</v>
      </c>
      <c r="GT187" s="150">
        <v>6</v>
      </c>
      <c r="GU187" s="150">
        <v>8</v>
      </c>
      <c r="GV187" s="150">
        <v>10</v>
      </c>
      <c r="GW187" s="150">
        <v>12</v>
      </c>
      <c r="GX187" s="150">
        <v>14</v>
      </c>
      <c r="GY187" s="150">
        <v>16</v>
      </c>
      <c r="GZ187" s="150">
        <v>18</v>
      </c>
      <c r="HA187" s="150">
        <v>20</v>
      </c>
      <c r="HB187" s="150">
        <v>22</v>
      </c>
      <c r="HC187" s="150">
        <v>24</v>
      </c>
      <c r="HD187" s="150">
        <v>26</v>
      </c>
      <c r="HE187" s="150">
        <v>28</v>
      </c>
      <c r="HF187" s="150">
        <v>30</v>
      </c>
      <c r="HG187" s="150">
        <v>32</v>
      </c>
      <c r="HH187" s="150">
        <v>34</v>
      </c>
      <c r="HI187" s="154">
        <v>36</v>
      </c>
      <c r="HJ187" s="154">
        <v>38</v>
      </c>
      <c r="HK187" s="154">
        <v>40</v>
      </c>
      <c r="HL187" s="154">
        <v>42</v>
      </c>
      <c r="HM187" s="154">
        <v>44</v>
      </c>
      <c r="HN187" s="154">
        <v>46</v>
      </c>
      <c r="HO187" s="154">
        <v>48</v>
      </c>
      <c r="HP187" s="154">
        <v>50</v>
      </c>
      <c r="HS187" s="154" t="s">
        <v>715</v>
      </c>
      <c r="HT187" s="154">
        <v>0</v>
      </c>
      <c r="HU187" s="154">
        <v>6</v>
      </c>
      <c r="HV187" s="154">
        <v>8</v>
      </c>
      <c r="HW187" s="154">
        <v>10</v>
      </c>
      <c r="HX187" s="154">
        <v>12</v>
      </c>
      <c r="HY187" s="154">
        <v>14</v>
      </c>
      <c r="HZ187" s="154">
        <v>16</v>
      </c>
      <c r="IA187" s="154">
        <v>18</v>
      </c>
      <c r="IB187" s="154">
        <v>20</v>
      </c>
      <c r="IC187" s="154">
        <v>22</v>
      </c>
      <c r="ID187" s="154">
        <v>24</v>
      </c>
      <c r="IE187" s="154">
        <v>26</v>
      </c>
      <c r="IF187" s="154">
        <v>28</v>
      </c>
      <c r="IG187" s="154">
        <v>30</v>
      </c>
      <c r="IH187" s="154">
        <v>32</v>
      </c>
      <c r="II187" s="154">
        <v>34</v>
      </c>
      <c r="IJ187" s="154">
        <v>36</v>
      </c>
      <c r="IK187" s="154">
        <v>38</v>
      </c>
      <c r="IL187" s="154">
        <v>40</v>
      </c>
      <c r="IM187" s="154">
        <v>42</v>
      </c>
      <c r="IN187" s="154">
        <v>44</v>
      </c>
      <c r="IO187" s="154">
        <v>46</v>
      </c>
      <c r="IP187" s="154">
        <v>48</v>
      </c>
      <c r="IQ187" s="154">
        <v>50</v>
      </c>
      <c r="IT187" s="157"/>
    </row>
    <row r="188" spans="1:254" x14ac:dyDescent="0.25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6" t="str">
        <f>IF(E173=1000,"CWT70H50/2NMC",IF(E173=2000,"CWT70H50/2,4NMC","-------"))</f>
        <v>CWT70H50/2,4NMC</v>
      </c>
      <c r="M188" s="11">
        <f>INDEX(cennik!$C$2:$L$529,MATCH($L188,cennik!$B$2:$B$522,0),MATCH(M$2,cennik!$C$1:$L$1,0))</f>
        <v>867824</v>
      </c>
      <c r="N188" s="11" t="str">
        <f>INDEX(cennik!$C$2:$L$529,MATCH($L188,cennik!$B$2:$B$522,0),MATCH(N$2,cennik!$C$1:$L$1,0))</f>
        <v>szt.</v>
      </c>
      <c r="O188" s="11">
        <f>E166*2</f>
        <v>0</v>
      </c>
      <c r="P188" s="34">
        <f>INDEX(cennik!$C$2:$L$529,MATCH($L188,cennik!$B$2:$B$522,0),MATCH(P$2,cennik!$C$1:$L$1,0))</f>
        <v>121.47</v>
      </c>
      <c r="Q188" s="34">
        <f>O188*P188</f>
        <v>0</v>
      </c>
      <c r="R188" s="35">
        <f>$E$167</f>
        <v>0</v>
      </c>
      <c r="S188" s="34">
        <f>P188*((100-$E$167)/100)</f>
        <v>121.47</v>
      </c>
      <c r="T188" s="34">
        <f>O188*S188</f>
        <v>0</v>
      </c>
      <c r="U188" s="34">
        <f>INDEX(cennik!$C$2:$L$529,MATCH($L188,cennik!$B$2:$B$522,0),MATCH(U$2,cennik!$C$1:$L$1,0))*O188</f>
        <v>0</v>
      </c>
      <c r="V188" s="62"/>
      <c r="W188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198,$EL$166:$EX$166,0),MATCH($E$193,$AE$33:$AE$46,0)))*C198</f>
        <v>0</v>
      </c>
      <c r="X188" s="150">
        <v>0</v>
      </c>
      <c r="Y188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198,$EL$166:$EX$166,0),MATCH($E$193,$AE$33:$AE$46,0)))*C198</f>
        <v>0</v>
      </c>
      <c r="Z188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198,$EL$166:$EX$166,0),MATCH($E$193,$AE$33:$AE$46,0)))*C198</f>
        <v>0</v>
      </c>
      <c r="AA188" s="150">
        <f t="shared" si="426"/>
        <v>0</v>
      </c>
      <c r="AB188" s="150">
        <f t="shared" si="427"/>
        <v>0</v>
      </c>
      <c r="AC188" s="150"/>
      <c r="AD188" s="150"/>
      <c r="AE188" s="150"/>
      <c r="AF188" s="150"/>
      <c r="AG188" s="150"/>
      <c r="AH188" s="150"/>
      <c r="AI188" s="150"/>
      <c r="AJ188" s="150"/>
      <c r="AK188" s="150"/>
      <c r="AL188" s="150"/>
      <c r="AM188" s="150"/>
      <c r="AN188" s="150"/>
      <c r="AO188" s="150"/>
      <c r="AP188" s="150"/>
      <c r="AQ188" s="150"/>
      <c r="AR188" s="62" t="s">
        <v>114</v>
      </c>
      <c r="AS188" s="62" t="s">
        <v>596</v>
      </c>
      <c r="AT188" s="62" t="s">
        <v>595</v>
      </c>
      <c r="AU188" s="62" t="s">
        <v>593</v>
      </c>
      <c r="AV188" s="150" t="s">
        <v>593</v>
      </c>
      <c r="AW188" s="150"/>
      <c r="AX188" s="150"/>
      <c r="AY188" s="158"/>
      <c r="AZ188" s="158"/>
      <c r="BA188" s="150"/>
      <c r="BB188" s="154" t="s">
        <v>114</v>
      </c>
      <c r="BC188" s="154" t="s">
        <v>151</v>
      </c>
      <c r="BD188" s="154" t="s">
        <v>151</v>
      </c>
      <c r="BE188" s="154" t="s">
        <v>151</v>
      </c>
      <c r="BF188" s="154" t="s">
        <v>151</v>
      </c>
      <c r="BH188" s="155"/>
      <c r="BI188" s="150"/>
      <c r="BJ188" s="150"/>
      <c r="BK188" s="150"/>
      <c r="BL188" s="150"/>
      <c r="BM188" s="150"/>
      <c r="BN188" s="150"/>
      <c r="BO188" s="150"/>
      <c r="BP188" s="150"/>
      <c r="BQ188" s="150"/>
      <c r="BR188" s="150"/>
      <c r="BS188" s="150"/>
      <c r="BT188" s="150"/>
      <c r="BU188" s="150"/>
      <c r="BV188" s="150"/>
      <c r="BW188" s="150"/>
      <c r="BX188" s="150"/>
      <c r="BY188" s="150"/>
      <c r="BZ188" s="150"/>
      <c r="CA188" s="150"/>
      <c r="CB188" s="150"/>
      <c r="CC188" s="150"/>
      <c r="CD188" s="150"/>
      <c r="CE188" s="150"/>
      <c r="CF188" s="150"/>
      <c r="CG188" s="150"/>
      <c r="CH188" s="150"/>
      <c r="CI188" s="150"/>
      <c r="CJ188" s="150"/>
      <c r="CK188" s="150"/>
      <c r="CL188" s="150"/>
      <c r="CM188" s="150"/>
      <c r="CN188" s="150"/>
      <c r="CO188" s="150"/>
      <c r="CP188" s="150"/>
      <c r="CQ188" s="150"/>
      <c r="CR188" s="150"/>
      <c r="CS188" s="150"/>
      <c r="CT188" s="150"/>
      <c r="CU188" s="150"/>
      <c r="CV188" s="150"/>
      <c r="CW188" s="150"/>
      <c r="CX188" s="150"/>
      <c r="CY188" s="150"/>
      <c r="CZ188" s="150"/>
      <c r="DA188" s="150"/>
      <c r="DB188" s="150"/>
      <c r="DC188" s="150"/>
      <c r="DD188" s="150"/>
      <c r="DE188" s="150"/>
      <c r="DF188" s="150"/>
      <c r="DG188" s="150"/>
      <c r="DH188" s="150"/>
      <c r="DI188" s="150"/>
      <c r="DJ188" s="150"/>
      <c r="DK188" s="150"/>
      <c r="DL188" s="150"/>
      <c r="DM188" s="150"/>
      <c r="DN188" s="150"/>
      <c r="DO188" s="150"/>
      <c r="DP188" s="150"/>
      <c r="DQ188" s="181"/>
      <c r="DR188" s="181">
        <v>21</v>
      </c>
      <c r="DS188" s="181"/>
      <c r="DT188" s="150"/>
      <c r="DU188" s="150"/>
      <c r="DV188" s="150"/>
      <c r="DW188" s="150"/>
      <c r="DX188" s="150"/>
      <c r="DY188" s="150"/>
      <c r="DZ188" s="150"/>
      <c r="EA188" s="150"/>
      <c r="EB188" s="150"/>
      <c r="EC188" s="150"/>
      <c r="ED188" s="150"/>
      <c r="EE188" s="150"/>
      <c r="EF188" s="150"/>
      <c r="EG188" s="150"/>
      <c r="EH188" s="156"/>
      <c r="EI188" s="150"/>
      <c r="EJ188" s="155"/>
      <c r="EK188" s="154" t="s">
        <v>817</v>
      </c>
      <c r="EL188" s="150">
        <f>EL85</f>
        <v>0</v>
      </c>
      <c r="EM188" s="150">
        <f t="shared" ref="EM188:FI188" si="438">EM85</f>
        <v>0</v>
      </c>
      <c r="EN188" s="150">
        <f t="shared" si="438"/>
        <v>0</v>
      </c>
      <c r="EO188" s="150">
        <f t="shared" si="438"/>
        <v>4</v>
      </c>
      <c r="EP188" s="150">
        <f t="shared" si="438"/>
        <v>0</v>
      </c>
      <c r="EQ188" s="150">
        <f t="shared" si="438"/>
        <v>0</v>
      </c>
      <c r="ER188" s="150">
        <f t="shared" si="438"/>
        <v>0</v>
      </c>
      <c r="ES188" s="150">
        <f t="shared" si="438"/>
        <v>0</v>
      </c>
      <c r="ET188" s="150">
        <f t="shared" si="438"/>
        <v>0</v>
      </c>
      <c r="EU188" s="150">
        <f t="shared" si="438"/>
        <v>0</v>
      </c>
      <c r="EV188" s="150">
        <f t="shared" si="438"/>
        <v>0</v>
      </c>
      <c r="EW188" s="150">
        <f t="shared" si="438"/>
        <v>0</v>
      </c>
      <c r="EX188" s="150">
        <f t="shared" si="438"/>
        <v>0</v>
      </c>
      <c r="EY188" s="150">
        <f t="shared" si="438"/>
        <v>0</v>
      </c>
      <c r="EZ188" s="150">
        <f t="shared" si="438"/>
        <v>0</v>
      </c>
      <c r="FA188" s="150">
        <f t="shared" si="438"/>
        <v>0</v>
      </c>
      <c r="FB188" s="150">
        <f t="shared" si="438"/>
        <v>0</v>
      </c>
      <c r="FC188" s="150">
        <f t="shared" si="438"/>
        <v>0</v>
      </c>
      <c r="FD188" s="150">
        <f t="shared" si="438"/>
        <v>0</v>
      </c>
      <c r="FE188" s="150">
        <f t="shared" si="438"/>
        <v>0</v>
      </c>
      <c r="FF188" s="150">
        <f t="shared" si="438"/>
        <v>0</v>
      </c>
      <c r="FG188" s="150">
        <f t="shared" si="438"/>
        <v>0</v>
      </c>
      <c r="FH188" s="150">
        <f t="shared" si="438"/>
        <v>0</v>
      </c>
      <c r="FI188" s="150">
        <f t="shared" si="438"/>
        <v>0</v>
      </c>
      <c r="FK188" s="154" t="s">
        <v>817</v>
      </c>
      <c r="FL188" s="150">
        <f>FL85</f>
        <v>0</v>
      </c>
      <c r="FM188" s="150">
        <f t="shared" ref="FM188:GI188" si="439">FM85</f>
        <v>0</v>
      </c>
      <c r="FN188" s="150">
        <f t="shared" si="439"/>
        <v>4</v>
      </c>
      <c r="FO188" s="150">
        <f t="shared" si="439"/>
        <v>4</v>
      </c>
      <c r="FP188" s="150">
        <f t="shared" si="439"/>
        <v>0</v>
      </c>
      <c r="FQ188" s="150">
        <f t="shared" si="439"/>
        <v>0</v>
      </c>
      <c r="FR188" s="150">
        <f t="shared" si="439"/>
        <v>0</v>
      </c>
      <c r="FS188" s="150">
        <f t="shared" si="439"/>
        <v>0</v>
      </c>
      <c r="FT188" s="150">
        <f t="shared" si="439"/>
        <v>0</v>
      </c>
      <c r="FU188" s="150">
        <f t="shared" si="439"/>
        <v>0</v>
      </c>
      <c r="FV188" s="150">
        <f t="shared" si="439"/>
        <v>0</v>
      </c>
      <c r="FW188" s="150">
        <f t="shared" si="439"/>
        <v>0</v>
      </c>
      <c r="FX188" s="150">
        <f t="shared" si="439"/>
        <v>0</v>
      </c>
      <c r="FY188" s="150">
        <f t="shared" si="439"/>
        <v>0</v>
      </c>
      <c r="FZ188" s="150">
        <f t="shared" si="439"/>
        <v>0</v>
      </c>
      <c r="GA188" s="150">
        <f t="shared" si="439"/>
        <v>0</v>
      </c>
      <c r="GB188" s="150">
        <f t="shared" si="439"/>
        <v>0</v>
      </c>
      <c r="GC188" s="150">
        <f t="shared" si="439"/>
        <v>0</v>
      </c>
      <c r="GD188" s="150">
        <f t="shared" si="439"/>
        <v>0</v>
      </c>
      <c r="GE188" s="150">
        <f t="shared" si="439"/>
        <v>0</v>
      </c>
      <c r="GF188" s="150">
        <f t="shared" si="439"/>
        <v>0</v>
      </c>
      <c r="GG188" s="150">
        <f t="shared" si="439"/>
        <v>0</v>
      </c>
      <c r="GH188" s="150">
        <f t="shared" si="439"/>
        <v>0</v>
      </c>
      <c r="GI188" s="150">
        <f t="shared" si="439"/>
        <v>0</v>
      </c>
      <c r="GJ188" s="150"/>
      <c r="GK188" s="150"/>
      <c r="GL188" s="150"/>
      <c r="GM188" s="150"/>
      <c r="GN188" s="150"/>
      <c r="GO188" s="150"/>
      <c r="GP188" s="150"/>
      <c r="GQ188" s="150"/>
      <c r="GR188" s="154" t="s">
        <v>817</v>
      </c>
      <c r="GS188" s="150">
        <f>GS85</f>
        <v>0</v>
      </c>
      <c r="GT188" s="150">
        <f t="shared" ref="GT188:HP188" si="440">GT85</f>
        <v>0</v>
      </c>
      <c r="GU188" s="150">
        <f t="shared" si="440"/>
        <v>4</v>
      </c>
      <c r="GV188" s="150">
        <f t="shared" si="440"/>
        <v>4</v>
      </c>
      <c r="GW188" s="150">
        <f t="shared" si="440"/>
        <v>0</v>
      </c>
      <c r="GX188" s="150">
        <f t="shared" si="440"/>
        <v>0</v>
      </c>
      <c r="GY188" s="150">
        <f t="shared" si="440"/>
        <v>0</v>
      </c>
      <c r="GZ188" s="150">
        <f t="shared" si="440"/>
        <v>0</v>
      </c>
      <c r="HA188" s="150">
        <f t="shared" si="440"/>
        <v>0</v>
      </c>
      <c r="HB188" s="150">
        <f t="shared" si="440"/>
        <v>0</v>
      </c>
      <c r="HC188" s="150">
        <f t="shared" si="440"/>
        <v>0</v>
      </c>
      <c r="HD188" s="150">
        <f t="shared" si="440"/>
        <v>0</v>
      </c>
      <c r="HE188" s="150">
        <f t="shared" si="440"/>
        <v>0</v>
      </c>
      <c r="HF188" s="150">
        <f t="shared" si="440"/>
        <v>0</v>
      </c>
      <c r="HG188" s="150">
        <f t="shared" si="440"/>
        <v>0</v>
      </c>
      <c r="HH188" s="150">
        <f t="shared" si="440"/>
        <v>0</v>
      </c>
      <c r="HI188" s="150">
        <f t="shared" si="440"/>
        <v>0</v>
      </c>
      <c r="HJ188" s="150">
        <f t="shared" si="440"/>
        <v>0</v>
      </c>
      <c r="HK188" s="150">
        <f t="shared" si="440"/>
        <v>0</v>
      </c>
      <c r="HL188" s="150">
        <f t="shared" si="440"/>
        <v>0</v>
      </c>
      <c r="HM188" s="150">
        <f t="shared" si="440"/>
        <v>0</v>
      </c>
      <c r="HN188" s="150">
        <f t="shared" si="440"/>
        <v>0</v>
      </c>
      <c r="HO188" s="150">
        <f t="shared" si="440"/>
        <v>0</v>
      </c>
      <c r="HP188" s="150">
        <f t="shared" si="440"/>
        <v>0</v>
      </c>
      <c r="HS188" s="154" t="s">
        <v>817</v>
      </c>
      <c r="HT188" s="150">
        <f>HT85</f>
        <v>0</v>
      </c>
      <c r="HU188" s="150">
        <f t="shared" ref="HU188:IQ188" si="441">HU85</f>
        <v>0</v>
      </c>
      <c r="HV188" s="150">
        <f t="shared" si="441"/>
        <v>4</v>
      </c>
      <c r="HW188" s="150">
        <f t="shared" si="441"/>
        <v>0</v>
      </c>
      <c r="HX188" s="150">
        <f t="shared" si="441"/>
        <v>0</v>
      </c>
      <c r="HY188" s="150">
        <f t="shared" si="441"/>
        <v>0</v>
      </c>
      <c r="HZ188" s="150">
        <f t="shared" si="441"/>
        <v>0</v>
      </c>
      <c r="IA188" s="150">
        <f t="shared" si="441"/>
        <v>0</v>
      </c>
      <c r="IB188" s="150">
        <f t="shared" si="441"/>
        <v>0</v>
      </c>
      <c r="IC188" s="150">
        <f t="shared" si="441"/>
        <v>0</v>
      </c>
      <c r="ID188" s="150">
        <f t="shared" si="441"/>
        <v>0</v>
      </c>
      <c r="IE188" s="150">
        <f t="shared" si="441"/>
        <v>0</v>
      </c>
      <c r="IF188" s="150">
        <f t="shared" si="441"/>
        <v>0</v>
      </c>
      <c r="IG188" s="150">
        <f t="shared" si="441"/>
        <v>0</v>
      </c>
      <c r="IH188" s="150">
        <f t="shared" si="441"/>
        <v>0</v>
      </c>
      <c r="II188" s="150">
        <f t="shared" si="441"/>
        <v>0</v>
      </c>
      <c r="IJ188" s="150">
        <f t="shared" si="441"/>
        <v>0</v>
      </c>
      <c r="IK188" s="150">
        <f t="shared" si="441"/>
        <v>0</v>
      </c>
      <c r="IL188" s="150">
        <f t="shared" si="441"/>
        <v>0</v>
      </c>
      <c r="IM188" s="150">
        <f t="shared" si="441"/>
        <v>0</v>
      </c>
      <c r="IN188" s="150">
        <f t="shared" si="441"/>
        <v>0</v>
      </c>
      <c r="IO188" s="150">
        <f t="shared" si="441"/>
        <v>0</v>
      </c>
      <c r="IP188" s="150">
        <f t="shared" si="441"/>
        <v>0</v>
      </c>
      <c r="IQ188" s="150">
        <f t="shared" si="441"/>
        <v>0</v>
      </c>
      <c r="IT188" s="157"/>
    </row>
    <row r="189" spans="1:254" x14ac:dyDescent="0.25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6" t="s">
        <v>591</v>
      </c>
      <c r="M189" s="11">
        <f>INDEX(cennik!$C$2:$L$529,MATCH($L189,cennik!$B$2:$B$522,0),MATCH(M$2,cennik!$C$1:$L$1,0))</f>
        <v>867810</v>
      </c>
      <c r="N189" s="11" t="str">
        <f>INDEX(cennik!$C$2:$L$529,MATCH($L189,cennik!$B$2:$B$522,0),MATCH(N$2,cennik!$C$1:$L$1,0))</f>
        <v>szt.</v>
      </c>
      <c r="O189" s="11">
        <f>E166*4</f>
        <v>0</v>
      </c>
      <c r="P189" s="34">
        <f>INDEX(cennik!$C$2:$L$529,MATCH($L189,cennik!$B$2:$B$522,0),MATCH(P$2,cennik!$C$1:$L$1,0))</f>
        <v>50.61</v>
      </c>
      <c r="Q189" s="34">
        <f>O189*P189</f>
        <v>0</v>
      </c>
      <c r="R189" s="35">
        <f>$E$167</f>
        <v>0</v>
      </c>
      <c r="S189" s="34">
        <f>P189*((100-$E$167)/100)</f>
        <v>50.61</v>
      </c>
      <c r="T189" s="34">
        <f>O189*S189</f>
        <v>0</v>
      </c>
      <c r="U189" s="34">
        <f>INDEX(cennik!$C$2:$L$529,MATCH($L189,cennik!$B$2:$B$522,0),MATCH(U$2,cennik!$C$1:$L$1,0))*O189</f>
        <v>0</v>
      </c>
      <c r="V189" s="62"/>
      <c r="W189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199,$EL$166:$EX$166,0),MATCH($E$193,$AE$33:$AE$46,0)))*C199</f>
        <v>0</v>
      </c>
      <c r="X189" s="150">
        <v>0</v>
      </c>
      <c r="Y189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199,$EL$166:$EX$166,0),MATCH($E$193,$AE$33:$AE$46,0)))*C199</f>
        <v>0</v>
      </c>
      <c r="Z189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199,$EL$166:$EX$166,0),MATCH($E$193,$AE$33:$AE$46,0)))*C199</f>
        <v>0</v>
      </c>
      <c r="AA189" s="150">
        <f t="shared" si="426"/>
        <v>0</v>
      </c>
      <c r="AB189" s="150">
        <f t="shared" si="427"/>
        <v>0</v>
      </c>
      <c r="AC189" s="150"/>
      <c r="AD189" s="150"/>
      <c r="AE189" s="150"/>
      <c r="AF189" s="150"/>
      <c r="AG189" s="150"/>
      <c r="AH189" s="150"/>
      <c r="AI189" s="150"/>
      <c r="AJ189" s="150"/>
      <c r="AR189" s="62" t="s">
        <v>115</v>
      </c>
      <c r="AS189" s="62" t="s">
        <v>596</v>
      </c>
      <c r="AT189" s="62" t="s">
        <v>595</v>
      </c>
      <c r="AU189" s="62" t="s">
        <v>594</v>
      </c>
      <c r="AV189" s="150" t="s">
        <v>594</v>
      </c>
      <c r="AW189" s="150"/>
      <c r="AX189" s="150"/>
      <c r="AY189" s="150"/>
      <c r="AZ189" s="150"/>
      <c r="BA189" s="150"/>
      <c r="BB189" s="154" t="s">
        <v>115</v>
      </c>
      <c r="BC189" s="154" t="s">
        <v>151</v>
      </c>
      <c r="BD189" s="154" t="s">
        <v>151</v>
      </c>
      <c r="BE189" s="154" t="s">
        <v>151</v>
      </c>
      <c r="BF189" s="154" t="s">
        <v>151</v>
      </c>
      <c r="BH189" s="155" t="s">
        <v>112</v>
      </c>
      <c r="BI189" s="150">
        <v>0</v>
      </c>
      <c r="BJ189" s="150">
        <v>8</v>
      </c>
      <c r="BK189" s="150">
        <v>12</v>
      </c>
      <c r="BL189" s="150">
        <v>16</v>
      </c>
      <c r="BM189" s="150">
        <v>20</v>
      </c>
      <c r="BN189" s="150">
        <v>24</v>
      </c>
      <c r="BO189" s="150">
        <v>28</v>
      </c>
      <c r="BP189" s="150">
        <v>32</v>
      </c>
      <c r="BQ189" s="150">
        <v>36</v>
      </c>
      <c r="BR189" s="150">
        <v>40</v>
      </c>
      <c r="BS189" s="150">
        <v>44</v>
      </c>
      <c r="BT189" s="150">
        <v>48</v>
      </c>
      <c r="BU189" s="150">
        <v>52</v>
      </c>
      <c r="BV189" s="150"/>
      <c r="BW189" s="150" t="s">
        <v>472</v>
      </c>
      <c r="BX189" s="150">
        <v>0</v>
      </c>
      <c r="BY189" s="150">
        <v>8</v>
      </c>
      <c r="BZ189" s="150">
        <v>12</v>
      </c>
      <c r="CA189" s="150">
        <v>16</v>
      </c>
      <c r="CB189" s="150">
        <v>20</v>
      </c>
      <c r="CC189" s="150">
        <v>24</v>
      </c>
      <c r="CD189" s="150">
        <v>28</v>
      </c>
      <c r="CE189" s="150">
        <v>32</v>
      </c>
      <c r="CF189" s="150">
        <v>36</v>
      </c>
      <c r="CG189" s="150">
        <v>40</v>
      </c>
      <c r="CH189" s="150">
        <v>44</v>
      </c>
      <c r="CI189" s="150">
        <v>48</v>
      </c>
      <c r="CJ189" s="150">
        <v>52</v>
      </c>
      <c r="CK189" s="150"/>
      <c r="CL189" s="150"/>
      <c r="CM189" s="150"/>
      <c r="CN189" s="150" t="s">
        <v>113</v>
      </c>
      <c r="CO189" s="150">
        <v>0</v>
      </c>
      <c r="CP189" s="150">
        <v>8</v>
      </c>
      <c r="CQ189" s="150">
        <v>12</v>
      </c>
      <c r="CR189" s="150">
        <v>16</v>
      </c>
      <c r="CS189" s="150">
        <v>20</v>
      </c>
      <c r="CT189" s="150">
        <v>24</v>
      </c>
      <c r="CU189" s="150">
        <v>28</v>
      </c>
      <c r="CV189" s="150">
        <v>32</v>
      </c>
      <c r="CW189" s="150">
        <v>36</v>
      </c>
      <c r="CX189" s="150">
        <v>40</v>
      </c>
      <c r="CY189" s="150">
        <v>44</v>
      </c>
      <c r="CZ189" s="150">
        <v>48</v>
      </c>
      <c r="DA189" s="150">
        <v>52</v>
      </c>
      <c r="DB189" s="150"/>
      <c r="DC189" s="150" t="s">
        <v>478</v>
      </c>
      <c r="DD189" s="150">
        <v>0</v>
      </c>
      <c r="DE189" s="150">
        <v>8</v>
      </c>
      <c r="DF189" s="150">
        <v>12</v>
      </c>
      <c r="DG189" s="150">
        <v>16</v>
      </c>
      <c r="DH189" s="150">
        <v>20</v>
      </c>
      <c r="DI189" s="150">
        <v>24</v>
      </c>
      <c r="DJ189" s="150">
        <v>28</v>
      </c>
      <c r="DK189" s="150">
        <v>32</v>
      </c>
      <c r="DL189" s="150">
        <v>36</v>
      </c>
      <c r="DM189" s="150">
        <v>40</v>
      </c>
      <c r="DN189" s="150">
        <v>44</v>
      </c>
      <c r="DO189" s="150">
        <v>48</v>
      </c>
      <c r="DP189" s="150">
        <v>52</v>
      </c>
      <c r="DQ189" s="181"/>
      <c r="DR189" s="181">
        <v>24</v>
      </c>
      <c r="DS189" s="181"/>
      <c r="DT189" s="150" t="s">
        <v>507</v>
      </c>
      <c r="DU189" s="150">
        <v>0</v>
      </c>
      <c r="DV189" s="150">
        <v>8</v>
      </c>
      <c r="DW189" s="150">
        <v>12</v>
      </c>
      <c r="DX189" s="150">
        <v>16</v>
      </c>
      <c r="DY189" s="150">
        <v>20</v>
      </c>
      <c r="DZ189" s="150">
        <v>24</v>
      </c>
      <c r="EA189" s="150">
        <v>28</v>
      </c>
      <c r="EB189" s="150">
        <v>32</v>
      </c>
      <c r="EC189" s="150">
        <v>36</v>
      </c>
      <c r="ED189" s="150">
        <v>40</v>
      </c>
      <c r="EE189" s="150">
        <v>44</v>
      </c>
      <c r="EF189" s="150">
        <v>48</v>
      </c>
      <c r="EG189" s="150">
        <v>52</v>
      </c>
      <c r="EH189" s="156"/>
      <c r="EI189" s="150"/>
      <c r="EJ189" s="155"/>
      <c r="EK189" s="150" t="s">
        <v>815</v>
      </c>
      <c r="EL189" s="150">
        <f t="shared" ref="EL189:FI189" si="442">EL86</f>
        <v>0</v>
      </c>
      <c r="EM189" s="150">
        <f t="shared" si="442"/>
        <v>0</v>
      </c>
      <c r="EN189" s="150">
        <f t="shared" si="442"/>
        <v>4</v>
      </c>
      <c r="EO189" s="150">
        <f t="shared" si="442"/>
        <v>0</v>
      </c>
      <c r="EP189" s="150">
        <f t="shared" si="442"/>
        <v>0</v>
      </c>
      <c r="EQ189" s="150">
        <f t="shared" si="442"/>
        <v>4</v>
      </c>
      <c r="ER189" s="150">
        <f t="shared" si="442"/>
        <v>8</v>
      </c>
      <c r="ES189" s="150">
        <f t="shared" si="442"/>
        <v>0</v>
      </c>
      <c r="ET189" s="150">
        <f t="shared" si="442"/>
        <v>4</v>
      </c>
      <c r="EU189" s="150">
        <f t="shared" si="442"/>
        <v>8</v>
      </c>
      <c r="EV189" s="150">
        <f t="shared" si="442"/>
        <v>0</v>
      </c>
      <c r="EW189" s="150">
        <f t="shared" si="442"/>
        <v>4</v>
      </c>
      <c r="EX189" s="150">
        <f t="shared" si="442"/>
        <v>8</v>
      </c>
      <c r="EY189" s="150">
        <f t="shared" si="442"/>
        <v>8</v>
      </c>
      <c r="EZ189" s="150">
        <f t="shared" si="442"/>
        <v>0</v>
      </c>
      <c r="FA189" s="150">
        <f t="shared" si="442"/>
        <v>4</v>
      </c>
      <c r="FB189" s="150">
        <f t="shared" si="442"/>
        <v>8</v>
      </c>
      <c r="FC189" s="150">
        <f t="shared" si="442"/>
        <v>0</v>
      </c>
      <c r="FD189" s="150">
        <f t="shared" si="442"/>
        <v>4</v>
      </c>
      <c r="FE189" s="150">
        <f t="shared" si="442"/>
        <v>8</v>
      </c>
      <c r="FF189" s="150">
        <f t="shared" si="442"/>
        <v>0</v>
      </c>
      <c r="FG189" s="150">
        <f t="shared" si="442"/>
        <v>4</v>
      </c>
      <c r="FH189" s="150">
        <f t="shared" si="442"/>
        <v>8</v>
      </c>
      <c r="FI189" s="150">
        <f t="shared" si="442"/>
        <v>0</v>
      </c>
      <c r="FJ189" s="150"/>
      <c r="FK189" s="150" t="s">
        <v>815</v>
      </c>
      <c r="FL189" s="150">
        <f t="shared" ref="FL189:GI189" si="443">FL86</f>
        <v>0</v>
      </c>
      <c r="FM189" s="150">
        <f t="shared" si="443"/>
        <v>4</v>
      </c>
      <c r="FN189" s="150">
        <f t="shared" si="443"/>
        <v>0</v>
      </c>
      <c r="FO189" s="150">
        <f t="shared" si="443"/>
        <v>0</v>
      </c>
      <c r="FP189" s="150">
        <f t="shared" si="443"/>
        <v>4</v>
      </c>
      <c r="FQ189" s="150">
        <f t="shared" si="443"/>
        <v>8</v>
      </c>
      <c r="FR189" s="150">
        <f t="shared" si="443"/>
        <v>0</v>
      </c>
      <c r="FS189" s="150">
        <f t="shared" si="443"/>
        <v>4</v>
      </c>
      <c r="FT189" s="150">
        <f t="shared" si="443"/>
        <v>8</v>
      </c>
      <c r="FU189" s="150">
        <f t="shared" si="443"/>
        <v>0</v>
      </c>
      <c r="FV189" s="150">
        <f t="shared" si="443"/>
        <v>4</v>
      </c>
      <c r="FW189" s="150">
        <f t="shared" si="443"/>
        <v>8</v>
      </c>
      <c r="FX189" s="150">
        <f t="shared" si="443"/>
        <v>0</v>
      </c>
      <c r="FY189" s="150">
        <f t="shared" si="443"/>
        <v>4</v>
      </c>
      <c r="FZ189" s="150">
        <f t="shared" si="443"/>
        <v>8</v>
      </c>
      <c r="GA189" s="150">
        <f t="shared" si="443"/>
        <v>0</v>
      </c>
      <c r="GB189" s="150">
        <f t="shared" si="443"/>
        <v>4</v>
      </c>
      <c r="GC189" s="150">
        <f t="shared" si="443"/>
        <v>8</v>
      </c>
      <c r="GD189" s="150">
        <f t="shared" si="443"/>
        <v>0</v>
      </c>
      <c r="GE189" s="150">
        <f t="shared" si="443"/>
        <v>4</v>
      </c>
      <c r="GF189" s="150">
        <f t="shared" si="443"/>
        <v>8</v>
      </c>
      <c r="GG189" s="150">
        <f t="shared" si="443"/>
        <v>0</v>
      </c>
      <c r="GH189" s="150">
        <f t="shared" si="443"/>
        <v>4</v>
      </c>
      <c r="GI189" s="150">
        <f t="shared" si="443"/>
        <v>8</v>
      </c>
      <c r="GJ189" s="150"/>
      <c r="GK189" s="150"/>
      <c r="GL189" s="150"/>
      <c r="GM189" s="150"/>
      <c r="GN189" s="150"/>
      <c r="GO189" s="150"/>
      <c r="GP189" s="150"/>
      <c r="GQ189" s="150"/>
      <c r="GR189" s="150" t="s">
        <v>815</v>
      </c>
      <c r="GS189" s="150">
        <f t="shared" ref="GS189:HP189" si="444">GS86</f>
        <v>0</v>
      </c>
      <c r="GT189" s="150">
        <f t="shared" si="444"/>
        <v>4</v>
      </c>
      <c r="GU189" s="150">
        <f t="shared" si="444"/>
        <v>0</v>
      </c>
      <c r="GV189" s="150">
        <f t="shared" si="444"/>
        <v>0</v>
      </c>
      <c r="GW189" s="150">
        <f t="shared" si="444"/>
        <v>4</v>
      </c>
      <c r="GX189" s="150">
        <f t="shared" si="444"/>
        <v>8</v>
      </c>
      <c r="GY189" s="150">
        <f t="shared" si="444"/>
        <v>0</v>
      </c>
      <c r="GZ189" s="150">
        <f t="shared" si="444"/>
        <v>8</v>
      </c>
      <c r="HA189" s="150">
        <f t="shared" si="444"/>
        <v>12</v>
      </c>
      <c r="HB189" s="150">
        <f t="shared" si="444"/>
        <v>4</v>
      </c>
      <c r="HC189" s="150">
        <f t="shared" si="444"/>
        <v>8</v>
      </c>
      <c r="HD189" s="150">
        <f t="shared" si="444"/>
        <v>12</v>
      </c>
      <c r="HE189" s="150">
        <f t="shared" si="444"/>
        <v>16</v>
      </c>
      <c r="HF189" s="150">
        <f t="shared" si="444"/>
        <v>8</v>
      </c>
      <c r="HG189" s="150">
        <f t="shared" si="444"/>
        <v>12</v>
      </c>
      <c r="HH189" s="150">
        <f t="shared" si="444"/>
        <v>16</v>
      </c>
      <c r="HI189" s="150">
        <f t="shared" si="444"/>
        <v>12</v>
      </c>
      <c r="HJ189" s="150">
        <f t="shared" si="444"/>
        <v>16</v>
      </c>
      <c r="HK189" s="150">
        <f t="shared" si="444"/>
        <v>20</v>
      </c>
      <c r="HL189" s="150">
        <f t="shared" si="444"/>
        <v>24</v>
      </c>
      <c r="HM189" s="150">
        <f t="shared" si="444"/>
        <v>16</v>
      </c>
      <c r="HN189" s="150">
        <f t="shared" si="444"/>
        <v>20</v>
      </c>
      <c r="HO189" s="150">
        <f t="shared" si="444"/>
        <v>24</v>
      </c>
      <c r="HP189" s="150">
        <f t="shared" si="444"/>
        <v>28</v>
      </c>
      <c r="HS189" s="150" t="s">
        <v>815</v>
      </c>
      <c r="HT189" s="150">
        <f t="shared" ref="HT189:IQ189" si="445">HT86</f>
        <v>0</v>
      </c>
      <c r="HU189" s="150">
        <f t="shared" si="445"/>
        <v>4</v>
      </c>
      <c r="HV189" s="150">
        <f t="shared" si="445"/>
        <v>0</v>
      </c>
      <c r="HW189" s="150">
        <f t="shared" si="445"/>
        <v>4</v>
      </c>
      <c r="HX189" s="150">
        <f t="shared" si="445"/>
        <v>8</v>
      </c>
      <c r="HY189" s="150">
        <f t="shared" si="445"/>
        <v>0</v>
      </c>
      <c r="HZ189" s="150">
        <f t="shared" si="445"/>
        <v>4</v>
      </c>
      <c r="IA189" s="150">
        <f t="shared" si="445"/>
        <v>8</v>
      </c>
      <c r="IB189" s="150">
        <f t="shared" si="445"/>
        <v>4</v>
      </c>
      <c r="IC189" s="150">
        <f t="shared" si="445"/>
        <v>8</v>
      </c>
      <c r="ID189" s="150">
        <f t="shared" si="445"/>
        <v>12</v>
      </c>
      <c r="IE189" s="150">
        <f t="shared" si="445"/>
        <v>16</v>
      </c>
      <c r="IF189" s="150">
        <f t="shared" si="445"/>
        <v>8</v>
      </c>
      <c r="IG189" s="150">
        <f t="shared" si="445"/>
        <v>16</v>
      </c>
      <c r="IH189" s="150">
        <f t="shared" si="445"/>
        <v>20</v>
      </c>
      <c r="II189" s="150">
        <f t="shared" si="445"/>
        <v>12</v>
      </c>
      <c r="IJ189" s="150">
        <f t="shared" si="445"/>
        <v>16</v>
      </c>
      <c r="IK189" s="150">
        <f t="shared" si="445"/>
        <v>20</v>
      </c>
      <c r="IL189" s="150">
        <f t="shared" si="445"/>
        <v>16</v>
      </c>
      <c r="IM189" s="150">
        <f t="shared" si="445"/>
        <v>20</v>
      </c>
      <c r="IN189" s="150">
        <f t="shared" si="445"/>
        <v>24</v>
      </c>
      <c r="IO189" s="150">
        <f t="shared" si="445"/>
        <v>28</v>
      </c>
      <c r="IP189" s="150">
        <f t="shared" si="445"/>
        <v>20</v>
      </c>
      <c r="IQ189" s="150">
        <f t="shared" si="445"/>
        <v>28</v>
      </c>
      <c r="IT189" s="157"/>
    </row>
    <row r="190" spans="1:254" x14ac:dyDescent="0.2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9"/>
      <c r="M190" s="11"/>
      <c r="N190" s="11"/>
      <c r="O190" s="11"/>
      <c r="P190" s="34"/>
      <c r="Q190" s="34"/>
      <c r="R190" s="34"/>
      <c r="S190" s="34"/>
      <c r="T190" s="34">
        <f>SUM(T163:T189)</f>
        <v>0</v>
      </c>
      <c r="U190" s="34">
        <f>SUM(U163:U189)</f>
        <v>0</v>
      </c>
      <c r="V190" s="62"/>
      <c r="W190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200,$EL$166:$EX$166,0),MATCH($E$193,$AE$33:$AE$46,0)))*C200</f>
        <v>0</v>
      </c>
      <c r="X190" s="150">
        <v>0</v>
      </c>
      <c r="Y190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200,$EL$166:$EX$166,0),MATCH($E$193,$AE$33:$AE$46,0)))*C200</f>
        <v>0</v>
      </c>
      <c r="Z190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200,$EL$166:$EX$166,0),MATCH($E$193,$AE$33:$AE$46,0)))*C200</f>
        <v>0</v>
      </c>
      <c r="AA190" s="150">
        <f t="shared" si="426"/>
        <v>0</v>
      </c>
      <c r="AB190" s="150">
        <f t="shared" si="427"/>
        <v>0</v>
      </c>
      <c r="AC190" s="150"/>
      <c r="AD190" s="150"/>
      <c r="AE190" s="150"/>
      <c r="AF190" s="150"/>
      <c r="AG190" s="150"/>
      <c r="AH190" s="150"/>
      <c r="AI190" s="150"/>
      <c r="AJ190" s="150"/>
      <c r="AR190" s="62" t="s">
        <v>474</v>
      </c>
      <c r="AS190" s="150" t="s">
        <v>596</v>
      </c>
      <c r="AT190" s="62" t="s">
        <v>595</v>
      </c>
      <c r="AU190" s="150" t="s">
        <v>594</v>
      </c>
      <c r="AV190" s="150" t="s">
        <v>594</v>
      </c>
      <c r="AW190" s="150"/>
      <c r="AX190" s="150"/>
      <c r="AY190" s="150"/>
      <c r="AZ190" s="150"/>
      <c r="BA190" s="150"/>
      <c r="BB190" s="154" t="s">
        <v>474</v>
      </c>
      <c r="BC190" s="154" t="s">
        <v>151</v>
      </c>
      <c r="BD190" s="154" t="s">
        <v>151</v>
      </c>
      <c r="BE190" s="154" t="s">
        <v>151</v>
      </c>
      <c r="BF190" s="154" t="s">
        <v>151</v>
      </c>
      <c r="BH190" s="155" t="s">
        <v>522</v>
      </c>
      <c r="BI190" s="150">
        <v>0</v>
      </c>
      <c r="BJ190" s="150">
        <v>5</v>
      </c>
      <c r="BK190" s="150">
        <v>0</v>
      </c>
      <c r="BL190" s="150">
        <v>5</v>
      </c>
      <c r="BM190" s="150">
        <v>10</v>
      </c>
      <c r="BN190" s="150">
        <v>5</v>
      </c>
      <c r="BO190" s="150">
        <v>10</v>
      </c>
      <c r="BP190" s="150">
        <v>5</v>
      </c>
      <c r="BQ190" s="150">
        <v>15</v>
      </c>
      <c r="BR190" s="150">
        <v>5</v>
      </c>
      <c r="BS190" s="150">
        <v>15</v>
      </c>
      <c r="BT190" s="150">
        <v>20</v>
      </c>
      <c r="BU190" s="150">
        <v>0</v>
      </c>
      <c r="BV190" s="150"/>
      <c r="BW190" s="150" t="s">
        <v>522</v>
      </c>
      <c r="BX190" s="150">
        <v>0</v>
      </c>
      <c r="BY190" s="150">
        <v>5</v>
      </c>
      <c r="BZ190" s="150">
        <v>0</v>
      </c>
      <c r="CA190" s="150">
        <v>5</v>
      </c>
      <c r="CB190" s="150">
        <v>0</v>
      </c>
      <c r="CC190" s="150">
        <v>10</v>
      </c>
      <c r="CD190" s="150">
        <v>15</v>
      </c>
      <c r="CE190" s="150">
        <v>10</v>
      </c>
      <c r="CF190" s="150">
        <v>20</v>
      </c>
      <c r="CG190" s="150">
        <v>10</v>
      </c>
      <c r="CH190" s="150">
        <v>20</v>
      </c>
      <c r="CI190" s="150">
        <v>0</v>
      </c>
      <c r="CJ190" s="150">
        <v>25</v>
      </c>
      <c r="CK190" s="150"/>
      <c r="CL190" s="150"/>
      <c r="CM190" s="150"/>
      <c r="CN190" s="150" t="s">
        <v>522</v>
      </c>
      <c r="CO190" s="150">
        <f>CO28/5*4</f>
        <v>0</v>
      </c>
      <c r="CP190" s="150">
        <v>5</v>
      </c>
      <c r="CQ190" s="150">
        <v>0</v>
      </c>
      <c r="CR190" s="150">
        <v>10</v>
      </c>
      <c r="CS190" s="150">
        <v>5</v>
      </c>
      <c r="CT190" s="150">
        <v>10</v>
      </c>
      <c r="CU190" s="150">
        <v>5</v>
      </c>
      <c r="CV190" s="150">
        <v>15</v>
      </c>
      <c r="CW190" s="150">
        <v>10</v>
      </c>
      <c r="CX190" s="150">
        <v>20</v>
      </c>
      <c r="CY190" s="150">
        <v>0</v>
      </c>
      <c r="CZ190" s="150">
        <v>25</v>
      </c>
      <c r="DA190" s="150">
        <v>30</v>
      </c>
      <c r="DB190" s="150"/>
      <c r="DC190" s="150" t="s">
        <v>522</v>
      </c>
      <c r="DD190" s="150">
        <v>0</v>
      </c>
      <c r="DE190" s="154">
        <v>5</v>
      </c>
      <c r="DF190" s="150">
        <v>0</v>
      </c>
      <c r="DG190" s="150">
        <v>10</v>
      </c>
      <c r="DH190" s="150">
        <v>5</v>
      </c>
      <c r="DI190" s="150">
        <v>15</v>
      </c>
      <c r="DJ190" s="150">
        <v>10</v>
      </c>
      <c r="DK190" s="150">
        <v>20</v>
      </c>
      <c r="DL190" s="150">
        <v>0</v>
      </c>
      <c r="DM190" s="150">
        <v>25</v>
      </c>
      <c r="DN190" s="150">
        <v>5</v>
      </c>
      <c r="DO190" s="150">
        <v>30</v>
      </c>
      <c r="DP190" s="150">
        <v>10</v>
      </c>
      <c r="DQ190" s="181"/>
      <c r="DR190" s="181">
        <v>30</v>
      </c>
      <c r="DS190" s="181"/>
      <c r="DT190" s="150" t="s">
        <v>522</v>
      </c>
      <c r="DU190" s="150">
        <v>0</v>
      </c>
      <c r="DV190" s="150">
        <v>0</v>
      </c>
      <c r="DW190" s="150">
        <v>5</v>
      </c>
      <c r="DX190" s="150">
        <v>0</v>
      </c>
      <c r="DY190" s="150">
        <v>10</v>
      </c>
      <c r="DZ190" s="150">
        <v>5</v>
      </c>
      <c r="EA190" s="150">
        <v>15</v>
      </c>
      <c r="EB190" s="150">
        <v>10</v>
      </c>
      <c r="EC190" s="150">
        <v>20</v>
      </c>
      <c r="ED190" s="150">
        <v>20</v>
      </c>
      <c r="EE190" s="150">
        <v>30</v>
      </c>
      <c r="EF190" s="150">
        <v>25</v>
      </c>
      <c r="EG190" s="150">
        <v>35</v>
      </c>
      <c r="EH190" s="156"/>
      <c r="EI190" s="150"/>
      <c r="EJ190" s="155"/>
      <c r="EK190" s="150" t="s">
        <v>813</v>
      </c>
      <c r="EL190" s="150">
        <f t="shared" ref="EL190:FI190" si="446">EL87</f>
        <v>0</v>
      </c>
      <c r="EM190" s="150">
        <f t="shared" si="446"/>
        <v>4</v>
      </c>
      <c r="EN190" s="150">
        <f t="shared" si="446"/>
        <v>0</v>
      </c>
      <c r="EO190" s="150">
        <f t="shared" si="446"/>
        <v>0</v>
      </c>
      <c r="EP190" s="150">
        <f t="shared" si="446"/>
        <v>8</v>
      </c>
      <c r="EQ190" s="150">
        <f t="shared" si="446"/>
        <v>4</v>
      </c>
      <c r="ER190" s="150">
        <f t="shared" si="446"/>
        <v>0</v>
      </c>
      <c r="ES190" s="150">
        <f t="shared" si="446"/>
        <v>12</v>
      </c>
      <c r="ET190" s="150">
        <f t="shared" si="446"/>
        <v>8</v>
      </c>
      <c r="EU190" s="150">
        <f t="shared" si="446"/>
        <v>4</v>
      </c>
      <c r="EV190" s="150">
        <f t="shared" si="446"/>
        <v>16</v>
      </c>
      <c r="EW190" s="150">
        <f t="shared" si="446"/>
        <v>12</v>
      </c>
      <c r="EX190" s="150">
        <f t="shared" si="446"/>
        <v>8</v>
      </c>
      <c r="EY190" s="150">
        <f t="shared" si="446"/>
        <v>8</v>
      </c>
      <c r="EZ190" s="150">
        <f t="shared" si="446"/>
        <v>20</v>
      </c>
      <c r="FA190" s="150">
        <f t="shared" si="446"/>
        <v>16</v>
      </c>
      <c r="FB190" s="150">
        <f t="shared" si="446"/>
        <v>12</v>
      </c>
      <c r="FC190" s="150">
        <f t="shared" si="446"/>
        <v>24</v>
      </c>
      <c r="FD190" s="150">
        <f t="shared" si="446"/>
        <v>20</v>
      </c>
      <c r="FE190" s="150">
        <f t="shared" si="446"/>
        <v>16</v>
      </c>
      <c r="FF190" s="150">
        <f t="shared" si="446"/>
        <v>28</v>
      </c>
      <c r="FG190" s="150">
        <f t="shared" si="446"/>
        <v>24</v>
      </c>
      <c r="FH190" s="150">
        <f t="shared" si="446"/>
        <v>20</v>
      </c>
      <c r="FI190" s="150">
        <f t="shared" si="446"/>
        <v>32</v>
      </c>
      <c r="FJ190" s="150"/>
      <c r="FK190" s="150" t="s">
        <v>813</v>
      </c>
      <c r="FL190" s="150">
        <f t="shared" ref="FL190:GI190" si="447">FL87</f>
        <v>0</v>
      </c>
      <c r="FM190" s="150">
        <f t="shared" si="447"/>
        <v>0</v>
      </c>
      <c r="FN190" s="150">
        <f t="shared" si="447"/>
        <v>0</v>
      </c>
      <c r="FO190" s="150">
        <f t="shared" si="447"/>
        <v>0</v>
      </c>
      <c r="FP190" s="150">
        <f t="shared" si="447"/>
        <v>4</v>
      </c>
      <c r="FQ190" s="150">
        <f t="shared" si="447"/>
        <v>0</v>
      </c>
      <c r="FR190" s="150">
        <f t="shared" si="447"/>
        <v>12</v>
      </c>
      <c r="FS190" s="150">
        <f t="shared" si="447"/>
        <v>8</v>
      </c>
      <c r="FT190" s="150">
        <f t="shared" si="447"/>
        <v>4</v>
      </c>
      <c r="FU190" s="150">
        <f t="shared" si="447"/>
        <v>16</v>
      </c>
      <c r="FV190" s="150">
        <f t="shared" si="447"/>
        <v>12</v>
      </c>
      <c r="FW190" s="150">
        <f t="shared" si="447"/>
        <v>8</v>
      </c>
      <c r="FX190" s="150">
        <f t="shared" si="447"/>
        <v>20</v>
      </c>
      <c r="FY190" s="150">
        <f t="shared" si="447"/>
        <v>16</v>
      </c>
      <c r="FZ190" s="150">
        <f t="shared" si="447"/>
        <v>12</v>
      </c>
      <c r="GA190" s="150">
        <f t="shared" si="447"/>
        <v>24</v>
      </c>
      <c r="GB190" s="150">
        <f t="shared" si="447"/>
        <v>20</v>
      </c>
      <c r="GC190" s="150">
        <f t="shared" si="447"/>
        <v>16</v>
      </c>
      <c r="GD190" s="150">
        <f t="shared" si="447"/>
        <v>28</v>
      </c>
      <c r="GE190" s="150">
        <f t="shared" si="447"/>
        <v>24</v>
      </c>
      <c r="GF190" s="150">
        <f t="shared" si="447"/>
        <v>20</v>
      </c>
      <c r="GG190" s="150">
        <f t="shared" si="447"/>
        <v>32</v>
      </c>
      <c r="GH190" s="150">
        <f t="shared" si="447"/>
        <v>28</v>
      </c>
      <c r="GI190" s="150">
        <f t="shared" si="447"/>
        <v>24</v>
      </c>
      <c r="GJ190" s="150"/>
      <c r="GK190" s="150"/>
      <c r="GL190" s="150"/>
      <c r="GM190" s="150"/>
      <c r="GN190" s="150"/>
      <c r="GO190" s="150"/>
      <c r="GP190" s="150"/>
      <c r="GQ190" s="150"/>
      <c r="GR190" s="150" t="s">
        <v>813</v>
      </c>
      <c r="GS190" s="150">
        <f t="shared" ref="GS190:HP190" si="448">GS87</f>
        <v>0</v>
      </c>
      <c r="GT190" s="150">
        <f t="shared" si="448"/>
        <v>0</v>
      </c>
      <c r="GU190" s="150">
        <f t="shared" si="448"/>
        <v>0</v>
      </c>
      <c r="GV190" s="150">
        <f t="shared" si="448"/>
        <v>0</v>
      </c>
      <c r="GW190" s="150">
        <f t="shared" si="448"/>
        <v>4</v>
      </c>
      <c r="GX190" s="150">
        <f t="shared" si="448"/>
        <v>0</v>
      </c>
      <c r="GY190" s="150">
        <f t="shared" si="448"/>
        <v>12</v>
      </c>
      <c r="GZ190" s="150">
        <f t="shared" si="448"/>
        <v>4</v>
      </c>
      <c r="HA190" s="150">
        <f t="shared" si="448"/>
        <v>0</v>
      </c>
      <c r="HB190" s="150">
        <f t="shared" si="448"/>
        <v>12</v>
      </c>
      <c r="HC190" s="150">
        <f t="shared" si="448"/>
        <v>8</v>
      </c>
      <c r="HD190" s="150">
        <f t="shared" si="448"/>
        <v>4</v>
      </c>
      <c r="HE190" s="150">
        <f t="shared" si="448"/>
        <v>0</v>
      </c>
      <c r="HF190" s="150">
        <f t="shared" si="448"/>
        <v>12</v>
      </c>
      <c r="HG190" s="150">
        <f t="shared" si="448"/>
        <v>8</v>
      </c>
      <c r="HH190" s="150">
        <f t="shared" si="448"/>
        <v>4</v>
      </c>
      <c r="HI190" s="150">
        <f t="shared" si="448"/>
        <v>12</v>
      </c>
      <c r="HJ190" s="150">
        <f t="shared" si="448"/>
        <v>8</v>
      </c>
      <c r="HK190" s="150">
        <f t="shared" si="448"/>
        <v>4</v>
      </c>
      <c r="HL190" s="150">
        <f t="shared" si="448"/>
        <v>0</v>
      </c>
      <c r="HM190" s="150">
        <f t="shared" si="448"/>
        <v>12</v>
      </c>
      <c r="HN190" s="150">
        <f t="shared" si="448"/>
        <v>8</v>
      </c>
      <c r="HO190" s="150">
        <f t="shared" si="448"/>
        <v>4</v>
      </c>
      <c r="HP190" s="150">
        <f t="shared" si="448"/>
        <v>0</v>
      </c>
      <c r="HS190" s="150" t="s">
        <v>813</v>
      </c>
      <c r="HT190" s="150">
        <f t="shared" ref="HT190:IQ190" si="449">HT87</f>
        <v>0</v>
      </c>
      <c r="HU190" s="150">
        <f t="shared" si="449"/>
        <v>0</v>
      </c>
      <c r="HV190" s="150">
        <f t="shared" si="449"/>
        <v>0</v>
      </c>
      <c r="HW190" s="150">
        <f t="shared" si="449"/>
        <v>4</v>
      </c>
      <c r="HX190" s="150">
        <f t="shared" si="449"/>
        <v>0</v>
      </c>
      <c r="HY190" s="150">
        <f t="shared" si="449"/>
        <v>12</v>
      </c>
      <c r="HZ190" s="150">
        <f t="shared" si="449"/>
        <v>8</v>
      </c>
      <c r="IA190" s="150">
        <f t="shared" si="449"/>
        <v>4</v>
      </c>
      <c r="IB190" s="150">
        <f t="shared" si="449"/>
        <v>12</v>
      </c>
      <c r="IC190" s="150">
        <f t="shared" si="449"/>
        <v>8</v>
      </c>
      <c r="ID190" s="150">
        <f t="shared" si="449"/>
        <v>4</v>
      </c>
      <c r="IE190" s="150">
        <f t="shared" si="449"/>
        <v>0</v>
      </c>
      <c r="IF190" s="150">
        <f t="shared" si="449"/>
        <v>12</v>
      </c>
      <c r="IG190" s="150">
        <f t="shared" si="449"/>
        <v>4</v>
      </c>
      <c r="IH190" s="150">
        <f t="shared" si="449"/>
        <v>0</v>
      </c>
      <c r="II190" s="150">
        <f t="shared" si="449"/>
        <v>12</v>
      </c>
      <c r="IJ190" s="150">
        <f t="shared" si="449"/>
        <v>8</v>
      </c>
      <c r="IK190" s="150">
        <f t="shared" si="449"/>
        <v>4</v>
      </c>
      <c r="IL190" s="150">
        <f t="shared" si="449"/>
        <v>12</v>
      </c>
      <c r="IM190" s="150">
        <f t="shared" si="449"/>
        <v>8</v>
      </c>
      <c r="IN190" s="150">
        <f t="shared" si="449"/>
        <v>4</v>
      </c>
      <c r="IO190" s="150">
        <f t="shared" si="449"/>
        <v>0</v>
      </c>
      <c r="IP190" s="150">
        <f t="shared" si="449"/>
        <v>12</v>
      </c>
      <c r="IQ190" s="150">
        <f t="shared" si="449"/>
        <v>4</v>
      </c>
      <c r="IT190" s="157"/>
    </row>
    <row r="191" spans="1:254" ht="51.75" x14ac:dyDescent="0.25">
      <c r="A191" s="3" t="s">
        <v>443</v>
      </c>
      <c r="B191" s="3"/>
      <c r="C191" s="3" t="s">
        <v>444</v>
      </c>
      <c r="D191" s="9"/>
      <c r="E191" s="9"/>
      <c r="F191" s="9"/>
      <c r="G191" s="9"/>
      <c r="H191" s="9"/>
      <c r="I191" s="9"/>
      <c r="J191" s="9"/>
      <c r="K191" s="9"/>
      <c r="L191" s="360" t="str">
        <f>IF(E195="wbijana","KONSTRUKCJA W-H3G1-25°/30°",IF(E195="betonowana","KONSTRUKCJA W-H3B1-25°/30°",IF(E195="kotwiona","KONSTRUKCJA W-H3K1-25°/30°",IF(E195="wkręcana","KONSTRUKCJA W-H3S1-25°/30°"))))</f>
        <v>KONSTRUKCJA W-H3G1-25°/30°</v>
      </c>
      <c r="M191" s="360"/>
      <c r="N191" s="360"/>
      <c r="O191" s="360"/>
      <c r="P191" s="360"/>
      <c r="Q191" s="360"/>
      <c r="R191" s="360"/>
      <c r="S191" s="360"/>
      <c r="T191" s="360"/>
      <c r="U191" s="360"/>
      <c r="V191" s="150"/>
      <c r="W191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201,$EL$166:$EX$166,0),MATCH($E$193,$AE$33:$AE$46,0)))*C201</f>
        <v>0</v>
      </c>
      <c r="X191" s="150">
        <v>0</v>
      </c>
      <c r="Y191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201,$EL$166:$EX$166,0),MATCH($E$193,$AE$33:$AE$46,0)))*C201</f>
        <v>0</v>
      </c>
      <c r="Z191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201,$EL$166:$EX$166,0),MATCH($E$193,$AE$33:$AE$46,0)))*C201</f>
        <v>0</v>
      </c>
      <c r="AA191" s="150">
        <f t="shared" si="426"/>
        <v>0</v>
      </c>
      <c r="AB191" s="150">
        <f t="shared" si="427"/>
        <v>0</v>
      </c>
      <c r="AC191" s="150"/>
      <c r="AD191" s="150"/>
      <c r="AE191" s="150"/>
      <c r="AF191" s="150"/>
      <c r="AG191" s="150"/>
      <c r="AH191" s="150"/>
      <c r="AI191" s="150"/>
      <c r="AJ191" s="150"/>
      <c r="AK191" s="150" t="s">
        <v>152</v>
      </c>
      <c r="AL191" s="150" t="s">
        <v>153</v>
      </c>
      <c r="AM191" s="150"/>
      <c r="AN191" s="150"/>
      <c r="AO191" s="150"/>
      <c r="AP191" s="150"/>
      <c r="AQ191" s="150"/>
      <c r="AR191" s="62" t="s">
        <v>480</v>
      </c>
      <c r="AS191" s="62" t="s">
        <v>594</v>
      </c>
      <c r="AT191" s="62" t="s">
        <v>596</v>
      </c>
      <c r="AU191" s="150" t="s">
        <v>594</v>
      </c>
      <c r="AV191" s="150" t="s">
        <v>594</v>
      </c>
      <c r="AW191" s="150"/>
      <c r="AX191" s="150"/>
      <c r="AY191" s="150"/>
      <c r="AZ191" s="150"/>
      <c r="BA191" s="150"/>
      <c r="BB191" s="154" t="s">
        <v>480</v>
      </c>
      <c r="BC191" s="154" t="s">
        <v>592</v>
      </c>
      <c r="BD191" s="154" t="s">
        <v>151</v>
      </c>
      <c r="BE191" s="154" t="s">
        <v>151</v>
      </c>
      <c r="BF191" s="154" t="s">
        <v>151</v>
      </c>
      <c r="BH191" s="155" t="s">
        <v>523</v>
      </c>
      <c r="BI191" s="150">
        <v>0</v>
      </c>
      <c r="BJ191" s="150">
        <v>0</v>
      </c>
      <c r="BK191" s="150">
        <v>10</v>
      </c>
      <c r="BL191" s="150">
        <v>5</v>
      </c>
      <c r="BM191" s="150">
        <v>0</v>
      </c>
      <c r="BN191" s="150">
        <v>10</v>
      </c>
      <c r="BO191" s="150">
        <v>5</v>
      </c>
      <c r="BP191" s="150">
        <v>15</v>
      </c>
      <c r="BQ191" s="150">
        <v>5</v>
      </c>
      <c r="BR191" s="150">
        <v>20</v>
      </c>
      <c r="BS191" s="150">
        <v>10</v>
      </c>
      <c r="BT191" s="150">
        <v>5</v>
      </c>
      <c r="BU191" s="150">
        <v>35</v>
      </c>
      <c r="BV191" s="150"/>
      <c r="BW191" s="150" t="s">
        <v>523</v>
      </c>
      <c r="BX191" s="150">
        <v>0</v>
      </c>
      <c r="BY191" s="150">
        <v>0</v>
      </c>
      <c r="BZ191" s="150">
        <v>10</v>
      </c>
      <c r="CA191" s="150">
        <v>5</v>
      </c>
      <c r="CB191" s="150">
        <v>15</v>
      </c>
      <c r="CC191" s="150">
        <v>5</v>
      </c>
      <c r="CD191" s="150">
        <v>0</v>
      </c>
      <c r="CE191" s="150">
        <v>10</v>
      </c>
      <c r="CF191" s="150">
        <v>0</v>
      </c>
      <c r="CG191" s="150">
        <v>15</v>
      </c>
      <c r="CH191" s="150">
        <v>5</v>
      </c>
      <c r="CI191" s="150">
        <v>35</v>
      </c>
      <c r="CJ191" s="150">
        <v>5</v>
      </c>
      <c r="CK191" s="150"/>
      <c r="CL191" s="150"/>
      <c r="CM191" s="150"/>
      <c r="CN191" s="150" t="s">
        <v>523</v>
      </c>
      <c r="CO191" s="150">
        <f>CO29/5*4</f>
        <v>0</v>
      </c>
      <c r="CP191" s="150">
        <v>0</v>
      </c>
      <c r="CQ191" s="150">
        <v>10</v>
      </c>
      <c r="CR191" s="150">
        <v>0</v>
      </c>
      <c r="CS191" s="150">
        <v>10</v>
      </c>
      <c r="CT191" s="150">
        <v>5</v>
      </c>
      <c r="CU191" s="150">
        <v>15</v>
      </c>
      <c r="CV191" s="150">
        <v>5</v>
      </c>
      <c r="CW191" s="150">
        <v>15</v>
      </c>
      <c r="CX191" s="150">
        <v>5</v>
      </c>
      <c r="CY191" s="150">
        <v>35</v>
      </c>
      <c r="CZ191" s="150">
        <v>5</v>
      </c>
      <c r="DA191" s="150">
        <v>0</v>
      </c>
      <c r="DB191" s="150"/>
      <c r="DC191" s="150" t="s">
        <v>523</v>
      </c>
      <c r="DD191" s="150">
        <v>0</v>
      </c>
      <c r="DE191" s="150">
        <v>0</v>
      </c>
      <c r="DF191" s="150">
        <v>10</v>
      </c>
      <c r="DG191" s="150">
        <v>0</v>
      </c>
      <c r="DH191" s="150">
        <v>10</v>
      </c>
      <c r="DI191" s="150">
        <v>0</v>
      </c>
      <c r="DJ191" s="150">
        <v>10</v>
      </c>
      <c r="DK191" s="150">
        <v>0</v>
      </c>
      <c r="DL191" s="150">
        <v>30</v>
      </c>
      <c r="DM191" s="150">
        <v>0</v>
      </c>
      <c r="DN191" s="150">
        <v>30</v>
      </c>
      <c r="DO191" s="150">
        <v>0</v>
      </c>
      <c r="DP191" s="150">
        <v>30</v>
      </c>
      <c r="DQ191" s="181"/>
      <c r="DR191" s="181">
        <v>33</v>
      </c>
      <c r="DS191" s="181"/>
      <c r="DT191" s="150" t="s">
        <v>523</v>
      </c>
      <c r="DU191" s="150">
        <v>0</v>
      </c>
      <c r="DV191" s="150">
        <v>10</v>
      </c>
      <c r="DW191" s="150">
        <v>5</v>
      </c>
      <c r="DX191" s="150">
        <v>15</v>
      </c>
      <c r="DY191" s="150">
        <v>5</v>
      </c>
      <c r="DZ191" s="150">
        <v>15</v>
      </c>
      <c r="EA191" s="150">
        <v>5</v>
      </c>
      <c r="EB191" s="150">
        <v>15</v>
      </c>
      <c r="EC191" s="150">
        <v>5</v>
      </c>
      <c r="ED191" s="150">
        <v>10</v>
      </c>
      <c r="EE191" s="150">
        <v>0</v>
      </c>
      <c r="EF191" s="150">
        <v>10</v>
      </c>
      <c r="EG191" s="150">
        <v>0</v>
      </c>
      <c r="EH191" s="156"/>
      <c r="EI191" s="150"/>
      <c r="EJ191" s="155"/>
      <c r="EK191" s="158" t="s">
        <v>819</v>
      </c>
      <c r="EL191" s="150">
        <f t="shared" ref="EL191:FI191" si="450">EL88</f>
        <v>0</v>
      </c>
      <c r="EM191" s="150">
        <f t="shared" si="450"/>
        <v>0</v>
      </c>
      <c r="EN191" s="150">
        <f t="shared" si="450"/>
        <v>0</v>
      </c>
      <c r="EO191" s="150">
        <f t="shared" si="450"/>
        <v>0</v>
      </c>
      <c r="EP191" s="150">
        <f t="shared" si="450"/>
        <v>4</v>
      </c>
      <c r="EQ191" s="150">
        <f t="shared" si="450"/>
        <v>4</v>
      </c>
      <c r="ER191" s="150">
        <f t="shared" si="450"/>
        <v>4</v>
      </c>
      <c r="ES191" s="150">
        <f t="shared" si="450"/>
        <v>8</v>
      </c>
      <c r="ET191" s="150">
        <f t="shared" si="450"/>
        <v>8</v>
      </c>
      <c r="EU191" s="150">
        <f t="shared" si="450"/>
        <v>8</v>
      </c>
      <c r="EV191" s="150">
        <f t="shared" si="450"/>
        <v>12</v>
      </c>
      <c r="EW191" s="150">
        <f t="shared" si="450"/>
        <v>12</v>
      </c>
      <c r="EX191" s="150">
        <f t="shared" si="450"/>
        <v>12</v>
      </c>
      <c r="EY191" s="150">
        <f t="shared" si="450"/>
        <v>12</v>
      </c>
      <c r="EZ191" s="150">
        <f t="shared" si="450"/>
        <v>16</v>
      </c>
      <c r="FA191" s="150">
        <f t="shared" si="450"/>
        <v>16</v>
      </c>
      <c r="FB191" s="150">
        <f t="shared" si="450"/>
        <v>16</v>
      </c>
      <c r="FC191" s="150">
        <f t="shared" si="450"/>
        <v>20</v>
      </c>
      <c r="FD191" s="150">
        <f t="shared" si="450"/>
        <v>20</v>
      </c>
      <c r="FE191" s="150">
        <f t="shared" si="450"/>
        <v>20</v>
      </c>
      <c r="FF191" s="150">
        <f t="shared" si="450"/>
        <v>24</v>
      </c>
      <c r="FG191" s="150">
        <f t="shared" si="450"/>
        <v>24</v>
      </c>
      <c r="FH191" s="150">
        <f t="shared" si="450"/>
        <v>24</v>
      </c>
      <c r="FI191" s="150">
        <f t="shared" si="450"/>
        <v>28</v>
      </c>
      <c r="FJ191" s="150"/>
      <c r="FK191" s="158" t="s">
        <v>819</v>
      </c>
      <c r="FL191" s="150">
        <f t="shared" ref="FL191:GI191" si="451">FL88</f>
        <v>0</v>
      </c>
      <c r="FM191" s="150">
        <f t="shared" si="451"/>
        <v>0</v>
      </c>
      <c r="FN191" s="150">
        <f t="shared" si="451"/>
        <v>0</v>
      </c>
      <c r="FO191" s="150">
        <f t="shared" si="451"/>
        <v>0</v>
      </c>
      <c r="FP191" s="150">
        <f t="shared" si="451"/>
        <v>4</v>
      </c>
      <c r="FQ191" s="150">
        <f t="shared" si="451"/>
        <v>4</v>
      </c>
      <c r="FR191" s="150">
        <f t="shared" si="451"/>
        <v>8</v>
      </c>
      <c r="FS191" s="150">
        <f t="shared" si="451"/>
        <v>8</v>
      </c>
      <c r="FT191" s="150">
        <f t="shared" si="451"/>
        <v>8</v>
      </c>
      <c r="FU191" s="150">
        <f t="shared" si="451"/>
        <v>12</v>
      </c>
      <c r="FV191" s="150">
        <f t="shared" si="451"/>
        <v>12</v>
      </c>
      <c r="FW191" s="150">
        <f t="shared" si="451"/>
        <v>12</v>
      </c>
      <c r="FX191" s="150">
        <f t="shared" si="451"/>
        <v>16</v>
      </c>
      <c r="FY191" s="150">
        <f t="shared" si="451"/>
        <v>16</v>
      </c>
      <c r="FZ191" s="150">
        <f t="shared" si="451"/>
        <v>16</v>
      </c>
      <c r="GA191" s="150">
        <f t="shared" si="451"/>
        <v>20</v>
      </c>
      <c r="GB191" s="150">
        <f t="shared" si="451"/>
        <v>20</v>
      </c>
      <c r="GC191" s="150">
        <f t="shared" si="451"/>
        <v>20</v>
      </c>
      <c r="GD191" s="150">
        <f t="shared" si="451"/>
        <v>24</v>
      </c>
      <c r="GE191" s="150">
        <f t="shared" si="451"/>
        <v>24</v>
      </c>
      <c r="GF191" s="150">
        <f t="shared" si="451"/>
        <v>24</v>
      </c>
      <c r="GG191" s="150">
        <f t="shared" si="451"/>
        <v>28</v>
      </c>
      <c r="GH191" s="150">
        <f t="shared" si="451"/>
        <v>28</v>
      </c>
      <c r="GI191" s="150">
        <f t="shared" si="451"/>
        <v>28</v>
      </c>
      <c r="GJ191" s="150"/>
      <c r="GK191" s="150"/>
      <c r="GL191" s="150"/>
      <c r="GM191" s="150"/>
      <c r="GN191" s="150"/>
      <c r="GO191" s="150"/>
      <c r="GP191" s="150"/>
      <c r="GQ191" s="150"/>
      <c r="GR191" s="158" t="s">
        <v>819</v>
      </c>
      <c r="GS191" s="150">
        <f t="shared" ref="GS191:HP191" si="452">GS88</f>
        <v>0</v>
      </c>
      <c r="GT191" s="150">
        <f t="shared" si="452"/>
        <v>0</v>
      </c>
      <c r="GU191" s="150">
        <f t="shared" si="452"/>
        <v>0</v>
      </c>
      <c r="GV191" s="150">
        <f t="shared" si="452"/>
        <v>0</v>
      </c>
      <c r="GW191" s="150">
        <f t="shared" si="452"/>
        <v>4</v>
      </c>
      <c r="GX191" s="150">
        <f t="shared" si="452"/>
        <v>4</v>
      </c>
      <c r="GY191" s="150">
        <f t="shared" si="452"/>
        <v>8</v>
      </c>
      <c r="GZ191" s="150">
        <f t="shared" si="452"/>
        <v>8</v>
      </c>
      <c r="HA191" s="150">
        <f t="shared" si="452"/>
        <v>8</v>
      </c>
      <c r="HB191" s="150">
        <f t="shared" si="452"/>
        <v>12</v>
      </c>
      <c r="HC191" s="150">
        <f t="shared" si="452"/>
        <v>12</v>
      </c>
      <c r="HD191" s="150">
        <f t="shared" si="452"/>
        <v>12</v>
      </c>
      <c r="HE191" s="150">
        <f t="shared" si="452"/>
        <v>12</v>
      </c>
      <c r="HF191" s="150">
        <f t="shared" si="452"/>
        <v>16</v>
      </c>
      <c r="HG191" s="150">
        <f t="shared" si="452"/>
        <v>16</v>
      </c>
      <c r="HH191" s="150">
        <f t="shared" si="452"/>
        <v>16</v>
      </c>
      <c r="HI191" s="150">
        <f t="shared" si="452"/>
        <v>20</v>
      </c>
      <c r="HJ191" s="150">
        <f t="shared" si="452"/>
        <v>20</v>
      </c>
      <c r="HK191" s="150">
        <f t="shared" si="452"/>
        <v>20</v>
      </c>
      <c r="HL191" s="150">
        <f t="shared" si="452"/>
        <v>20</v>
      </c>
      <c r="HM191" s="150">
        <f t="shared" si="452"/>
        <v>24</v>
      </c>
      <c r="HN191" s="150">
        <f t="shared" si="452"/>
        <v>24</v>
      </c>
      <c r="HO191" s="150">
        <f t="shared" si="452"/>
        <v>24</v>
      </c>
      <c r="HP191" s="150">
        <f t="shared" si="452"/>
        <v>24</v>
      </c>
      <c r="HS191" s="158" t="s">
        <v>819</v>
      </c>
      <c r="HT191" s="150">
        <f t="shared" ref="HT191:IQ191" si="453">HT88</f>
        <v>0</v>
      </c>
      <c r="HU191" s="150">
        <f t="shared" si="453"/>
        <v>0</v>
      </c>
      <c r="HV191" s="150">
        <f t="shared" si="453"/>
        <v>0</v>
      </c>
      <c r="HW191" s="150">
        <f t="shared" si="453"/>
        <v>4</v>
      </c>
      <c r="HX191" s="150">
        <f t="shared" si="453"/>
        <v>4</v>
      </c>
      <c r="HY191" s="150">
        <f t="shared" si="453"/>
        <v>8</v>
      </c>
      <c r="HZ191" s="150">
        <f t="shared" si="453"/>
        <v>8</v>
      </c>
      <c r="IA191" s="150">
        <f t="shared" si="453"/>
        <v>8</v>
      </c>
      <c r="IB191" s="150">
        <f t="shared" si="453"/>
        <v>12</v>
      </c>
      <c r="IC191" s="150">
        <f t="shared" si="453"/>
        <v>12</v>
      </c>
      <c r="ID191" s="150">
        <f t="shared" si="453"/>
        <v>12</v>
      </c>
      <c r="IE191" s="150">
        <f t="shared" si="453"/>
        <v>12</v>
      </c>
      <c r="IF191" s="150">
        <f t="shared" si="453"/>
        <v>16</v>
      </c>
      <c r="IG191" s="150">
        <f t="shared" si="453"/>
        <v>16</v>
      </c>
      <c r="IH191" s="150">
        <f t="shared" si="453"/>
        <v>16</v>
      </c>
      <c r="II191" s="150">
        <f t="shared" si="453"/>
        <v>20</v>
      </c>
      <c r="IJ191" s="150">
        <f t="shared" si="453"/>
        <v>20</v>
      </c>
      <c r="IK191" s="150">
        <f t="shared" si="453"/>
        <v>20</v>
      </c>
      <c r="IL191" s="150">
        <f t="shared" si="453"/>
        <v>24</v>
      </c>
      <c r="IM191" s="150">
        <f t="shared" si="453"/>
        <v>24</v>
      </c>
      <c r="IN191" s="150">
        <f t="shared" si="453"/>
        <v>24</v>
      </c>
      <c r="IO191" s="150">
        <f t="shared" si="453"/>
        <v>24</v>
      </c>
      <c r="IP191" s="150">
        <f t="shared" si="453"/>
        <v>28</v>
      </c>
      <c r="IQ191" s="150">
        <f t="shared" si="453"/>
        <v>28</v>
      </c>
      <c r="IT191" s="157"/>
    </row>
    <row r="192" spans="1:254" x14ac:dyDescent="0.25">
      <c r="A192" s="33"/>
      <c r="B192" s="5" t="s">
        <v>116</v>
      </c>
      <c r="C192" s="33"/>
      <c r="D192" s="9"/>
      <c r="E192" s="1"/>
      <c r="F192" s="9"/>
      <c r="G192" s="9"/>
      <c r="H192" s="9"/>
      <c r="I192" s="9"/>
      <c r="J192" s="9"/>
      <c r="K192" s="9"/>
      <c r="L192" s="5" t="s">
        <v>103</v>
      </c>
      <c r="M192" s="5" t="s">
        <v>104</v>
      </c>
      <c r="N192" s="5" t="s">
        <v>107</v>
      </c>
      <c r="O192" s="5" t="s">
        <v>290</v>
      </c>
      <c r="P192" s="5" t="s">
        <v>446</v>
      </c>
      <c r="Q192" s="5" t="s">
        <v>448</v>
      </c>
      <c r="R192" s="5" t="s">
        <v>409</v>
      </c>
      <c r="S192" s="5" t="s">
        <v>447</v>
      </c>
      <c r="T192" s="5" t="s">
        <v>449</v>
      </c>
      <c r="U192" s="5" t="s">
        <v>106</v>
      </c>
      <c r="V192" s="150"/>
      <c r="W192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202,$EL$166:$EX$166,0),MATCH($E$193,$AE$33:$AE$46,0)))*C202</f>
        <v>0</v>
      </c>
      <c r="X192" s="150">
        <v>0</v>
      </c>
      <c r="Y192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202,$EL$166:$EX$166,0),MATCH($E$193,$AE$33:$AE$46,0)))*C202</f>
        <v>0</v>
      </c>
      <c r="Z192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202,$EL$166:$EX$166,0),MATCH($E$193,$AE$33:$AE$46,0)))*C202</f>
        <v>0</v>
      </c>
      <c r="AA192" s="150">
        <f t="shared" si="426"/>
        <v>0</v>
      </c>
      <c r="AB192" s="150">
        <f t="shared" si="427"/>
        <v>0</v>
      </c>
      <c r="AC192" s="150"/>
      <c r="AD192" s="150"/>
      <c r="AE192" s="150"/>
      <c r="AF192" s="150"/>
      <c r="AG192" s="150"/>
      <c r="AH192" s="150"/>
      <c r="AI192" s="150"/>
      <c r="AJ192" s="150"/>
      <c r="AK192" s="150">
        <v>52</v>
      </c>
      <c r="AL192" s="150">
        <v>2300</v>
      </c>
      <c r="AM192" s="150"/>
      <c r="AN192" s="150"/>
      <c r="AO192" s="150"/>
      <c r="AP192" s="150"/>
      <c r="AQ192" s="150"/>
      <c r="AR192" s="62" t="s">
        <v>713</v>
      </c>
      <c r="AS192" s="62" t="s">
        <v>594</v>
      </c>
      <c r="AT192" s="62" t="s">
        <v>596</v>
      </c>
      <c r="AU192" s="150" t="s">
        <v>594</v>
      </c>
      <c r="AV192" s="150" t="s">
        <v>594</v>
      </c>
      <c r="AW192" s="150"/>
      <c r="AX192" s="150"/>
      <c r="AY192" s="150"/>
      <c r="AZ192" s="150"/>
      <c r="BA192" s="150"/>
      <c r="BB192" s="154" t="s">
        <v>713</v>
      </c>
      <c r="BC192" s="154" t="s">
        <v>592</v>
      </c>
      <c r="BD192" s="154" t="s">
        <v>151</v>
      </c>
      <c r="BE192" s="154" t="s">
        <v>151</v>
      </c>
      <c r="BF192" s="154" t="s">
        <v>151</v>
      </c>
      <c r="BH192" s="158" t="s">
        <v>779</v>
      </c>
      <c r="BI192" s="150">
        <v>0</v>
      </c>
      <c r="BJ192" s="150">
        <v>8</v>
      </c>
      <c r="BK192" s="150">
        <v>12</v>
      </c>
      <c r="BL192" s="150">
        <v>16</v>
      </c>
      <c r="BM192" s="150">
        <v>20</v>
      </c>
      <c r="BN192" s="150">
        <v>24</v>
      </c>
      <c r="BO192" s="150">
        <v>28</v>
      </c>
      <c r="BP192" s="150">
        <v>32</v>
      </c>
      <c r="BQ192" s="150">
        <v>36</v>
      </c>
      <c r="BR192" s="150">
        <v>40</v>
      </c>
      <c r="BS192" s="150">
        <v>44</v>
      </c>
      <c r="BT192" s="150">
        <v>48</v>
      </c>
      <c r="BU192" s="150">
        <v>52</v>
      </c>
      <c r="BV192" s="150"/>
      <c r="BW192" s="158" t="s">
        <v>779</v>
      </c>
      <c r="BX192" s="150">
        <v>0</v>
      </c>
      <c r="BY192" s="150">
        <v>8</v>
      </c>
      <c r="BZ192" s="150">
        <v>12</v>
      </c>
      <c r="CA192" s="150">
        <v>16</v>
      </c>
      <c r="CB192" s="150">
        <v>20</v>
      </c>
      <c r="CC192" s="150">
        <v>24</v>
      </c>
      <c r="CD192" s="150">
        <v>28</v>
      </c>
      <c r="CE192" s="150">
        <v>32</v>
      </c>
      <c r="CF192" s="150">
        <v>36</v>
      </c>
      <c r="CG192" s="150">
        <v>40</v>
      </c>
      <c r="CH192" s="150">
        <v>44</v>
      </c>
      <c r="CI192" s="150">
        <v>48</v>
      </c>
      <c r="CJ192" s="150">
        <v>52</v>
      </c>
      <c r="CK192" s="150"/>
      <c r="CL192" s="150"/>
      <c r="CM192" s="150"/>
      <c r="CN192" s="158" t="s">
        <v>779</v>
      </c>
      <c r="CO192" s="150">
        <f>IF(SUM(CO190:CO191)&lt;6,0,IF(SUM(CO190:CO191)&gt;7,SUM(CO190:CO191)-5,0))</f>
        <v>0</v>
      </c>
      <c r="CP192" s="150">
        <f t="shared" ref="CP192:DA192" si="454">IF(SUM(CP190:CP191)&lt;6,0,IF(SUM(CP190:CP191)&gt;7,SUM(CP190:CP191)-5,0))</f>
        <v>0</v>
      </c>
      <c r="CQ192" s="150">
        <f t="shared" si="454"/>
        <v>5</v>
      </c>
      <c r="CR192" s="150">
        <f t="shared" si="454"/>
        <v>5</v>
      </c>
      <c r="CS192" s="150">
        <f t="shared" si="454"/>
        <v>10</v>
      </c>
      <c r="CT192" s="150">
        <f t="shared" si="454"/>
        <v>10</v>
      </c>
      <c r="CU192" s="150">
        <f t="shared" si="454"/>
        <v>15</v>
      </c>
      <c r="CV192" s="150">
        <f t="shared" si="454"/>
        <v>15</v>
      </c>
      <c r="CW192" s="150">
        <f t="shared" si="454"/>
        <v>20</v>
      </c>
      <c r="CX192" s="150">
        <f t="shared" si="454"/>
        <v>20</v>
      </c>
      <c r="CY192" s="150">
        <f t="shared" si="454"/>
        <v>30</v>
      </c>
      <c r="CZ192" s="150">
        <f t="shared" si="454"/>
        <v>25</v>
      </c>
      <c r="DA192" s="150">
        <f t="shared" si="454"/>
        <v>25</v>
      </c>
      <c r="DB192" s="150"/>
      <c r="DC192" s="158" t="s">
        <v>779</v>
      </c>
      <c r="DD192" s="150">
        <f>IF(SUM(DD190:DD191)&lt;6,0,IF(SUM(DD190:DD191)&gt;7,SUM(DD190:DD191)-5,0))</f>
        <v>0</v>
      </c>
      <c r="DE192" s="150">
        <f t="shared" ref="DE192:DP192" si="455">IF(SUM(DE190:DE191)&lt;6,0,IF(SUM(DE190:DE191)&gt;7,SUM(DE190:DE191)-5,0))</f>
        <v>0</v>
      </c>
      <c r="DF192" s="150">
        <f t="shared" si="455"/>
        <v>5</v>
      </c>
      <c r="DG192" s="150">
        <f t="shared" si="455"/>
        <v>5</v>
      </c>
      <c r="DH192" s="150">
        <f t="shared" si="455"/>
        <v>10</v>
      </c>
      <c r="DI192" s="150">
        <f t="shared" si="455"/>
        <v>10</v>
      </c>
      <c r="DJ192" s="150">
        <f t="shared" si="455"/>
        <v>15</v>
      </c>
      <c r="DK192" s="150">
        <f t="shared" si="455"/>
        <v>15</v>
      </c>
      <c r="DL192" s="150">
        <f t="shared" si="455"/>
        <v>25</v>
      </c>
      <c r="DM192" s="150">
        <f t="shared" si="455"/>
        <v>20</v>
      </c>
      <c r="DN192" s="150">
        <f t="shared" si="455"/>
        <v>30</v>
      </c>
      <c r="DO192" s="150">
        <f t="shared" si="455"/>
        <v>25</v>
      </c>
      <c r="DP192" s="150">
        <f t="shared" si="455"/>
        <v>35</v>
      </c>
      <c r="DQ192" s="181"/>
      <c r="DR192" s="181">
        <v>36</v>
      </c>
      <c r="DS192" s="181"/>
      <c r="DT192" s="158" t="s">
        <v>779</v>
      </c>
      <c r="DU192" s="150">
        <f>IF(SUM(DU190:DU191)&lt;6,0,IF(SUM(DU190:DU191)&gt;7,SUM(DU190:DU191)-5,0))</f>
        <v>0</v>
      </c>
      <c r="DV192" s="150">
        <f t="shared" ref="DV192:EG192" si="456">IF(SUM(DV190:DV191)&lt;6,0,IF(SUM(DV190:DV191)&gt;7,SUM(DV190:DV191)-5,0))</f>
        <v>5</v>
      </c>
      <c r="DW192" s="150">
        <f t="shared" si="456"/>
        <v>5</v>
      </c>
      <c r="DX192" s="150">
        <f t="shared" si="456"/>
        <v>10</v>
      </c>
      <c r="DY192" s="150">
        <f t="shared" si="456"/>
        <v>10</v>
      </c>
      <c r="DZ192" s="150">
        <f t="shared" si="456"/>
        <v>15</v>
      </c>
      <c r="EA192" s="150">
        <f t="shared" si="456"/>
        <v>15</v>
      </c>
      <c r="EB192" s="150">
        <f t="shared" si="456"/>
        <v>20</v>
      </c>
      <c r="EC192" s="150">
        <f t="shared" si="456"/>
        <v>20</v>
      </c>
      <c r="ED192" s="150">
        <f t="shared" si="456"/>
        <v>25</v>
      </c>
      <c r="EE192" s="150">
        <f t="shared" si="456"/>
        <v>25</v>
      </c>
      <c r="EF192" s="150">
        <f t="shared" si="456"/>
        <v>30</v>
      </c>
      <c r="EG192" s="150">
        <f t="shared" si="456"/>
        <v>30</v>
      </c>
      <c r="EH192" s="156"/>
      <c r="EI192" s="150"/>
      <c r="EJ192" s="155"/>
      <c r="EK192" s="150" t="s">
        <v>700</v>
      </c>
      <c r="EL192" s="150">
        <f t="shared" ref="EL192:FI192" si="457">EL89</f>
        <v>0</v>
      </c>
      <c r="EM192" s="150">
        <f t="shared" si="457"/>
        <v>0</v>
      </c>
      <c r="EN192" s="150">
        <f t="shared" si="457"/>
        <v>0</v>
      </c>
      <c r="EO192" s="150">
        <f t="shared" si="457"/>
        <v>0</v>
      </c>
      <c r="EP192" s="150">
        <f t="shared" si="457"/>
        <v>4</v>
      </c>
      <c r="EQ192" s="150">
        <f t="shared" si="457"/>
        <v>4</v>
      </c>
      <c r="ER192" s="150">
        <f t="shared" si="457"/>
        <v>4</v>
      </c>
      <c r="ES192" s="150">
        <f t="shared" si="457"/>
        <v>8</v>
      </c>
      <c r="ET192" s="150">
        <f t="shared" si="457"/>
        <v>8</v>
      </c>
      <c r="EU192" s="150">
        <f t="shared" si="457"/>
        <v>8</v>
      </c>
      <c r="EV192" s="150">
        <f t="shared" si="457"/>
        <v>12</v>
      </c>
      <c r="EW192" s="150">
        <f t="shared" si="457"/>
        <v>12</v>
      </c>
      <c r="EX192" s="150">
        <f t="shared" si="457"/>
        <v>12</v>
      </c>
      <c r="EY192" s="150">
        <f t="shared" si="457"/>
        <v>12</v>
      </c>
      <c r="EZ192" s="150">
        <f t="shared" si="457"/>
        <v>16</v>
      </c>
      <c r="FA192" s="150">
        <f t="shared" si="457"/>
        <v>16</v>
      </c>
      <c r="FB192" s="150">
        <f t="shared" si="457"/>
        <v>16</v>
      </c>
      <c r="FC192" s="150">
        <f t="shared" si="457"/>
        <v>20</v>
      </c>
      <c r="FD192" s="150">
        <f t="shared" si="457"/>
        <v>20</v>
      </c>
      <c r="FE192" s="150">
        <f t="shared" si="457"/>
        <v>20</v>
      </c>
      <c r="FF192" s="150">
        <f t="shared" si="457"/>
        <v>24</v>
      </c>
      <c r="FG192" s="150">
        <f t="shared" si="457"/>
        <v>24</v>
      </c>
      <c r="FH192" s="150">
        <f t="shared" si="457"/>
        <v>24</v>
      </c>
      <c r="FI192" s="150">
        <f t="shared" si="457"/>
        <v>28</v>
      </c>
      <c r="FJ192" s="150"/>
      <c r="FK192" s="150" t="s">
        <v>700</v>
      </c>
      <c r="FL192" s="150">
        <f t="shared" ref="FL192:GI192" si="458">FL89</f>
        <v>0</v>
      </c>
      <c r="FM192" s="150">
        <f t="shared" si="458"/>
        <v>0</v>
      </c>
      <c r="FN192" s="150">
        <f t="shared" si="458"/>
        <v>0</v>
      </c>
      <c r="FO192" s="150">
        <f t="shared" si="458"/>
        <v>0</v>
      </c>
      <c r="FP192" s="150">
        <f t="shared" si="458"/>
        <v>4</v>
      </c>
      <c r="FQ192" s="150">
        <f t="shared" si="458"/>
        <v>4</v>
      </c>
      <c r="FR192" s="150">
        <f t="shared" si="458"/>
        <v>8</v>
      </c>
      <c r="FS192" s="150">
        <f t="shared" si="458"/>
        <v>8</v>
      </c>
      <c r="FT192" s="150">
        <f t="shared" si="458"/>
        <v>8</v>
      </c>
      <c r="FU192" s="150">
        <f t="shared" si="458"/>
        <v>12</v>
      </c>
      <c r="FV192" s="150">
        <f t="shared" si="458"/>
        <v>12</v>
      </c>
      <c r="FW192" s="150">
        <f t="shared" si="458"/>
        <v>12</v>
      </c>
      <c r="FX192" s="150">
        <f t="shared" si="458"/>
        <v>16</v>
      </c>
      <c r="FY192" s="150">
        <f t="shared" si="458"/>
        <v>16</v>
      </c>
      <c r="FZ192" s="150">
        <f t="shared" si="458"/>
        <v>16</v>
      </c>
      <c r="GA192" s="150">
        <f t="shared" si="458"/>
        <v>20</v>
      </c>
      <c r="GB192" s="150">
        <f t="shared" si="458"/>
        <v>20</v>
      </c>
      <c r="GC192" s="150">
        <f t="shared" si="458"/>
        <v>20</v>
      </c>
      <c r="GD192" s="150">
        <f t="shared" si="458"/>
        <v>24</v>
      </c>
      <c r="GE192" s="150">
        <f t="shared" si="458"/>
        <v>24</v>
      </c>
      <c r="GF192" s="150">
        <f t="shared" si="458"/>
        <v>24</v>
      </c>
      <c r="GG192" s="150">
        <f t="shared" si="458"/>
        <v>28</v>
      </c>
      <c r="GH192" s="150">
        <f t="shared" si="458"/>
        <v>28</v>
      </c>
      <c r="GI192" s="150">
        <f t="shared" si="458"/>
        <v>28</v>
      </c>
      <c r="GJ192" s="150"/>
      <c r="GK192" s="150"/>
      <c r="GL192" s="150"/>
      <c r="GM192" s="150"/>
      <c r="GN192" s="150"/>
      <c r="GO192" s="150"/>
      <c r="GP192" s="150"/>
      <c r="GQ192" s="150"/>
      <c r="GR192" s="150" t="s">
        <v>700</v>
      </c>
      <c r="GS192" s="150">
        <f t="shared" ref="GS192:HP192" si="459">GS89</f>
        <v>0</v>
      </c>
      <c r="GT192" s="150">
        <f t="shared" si="459"/>
        <v>0</v>
      </c>
      <c r="GU192" s="150">
        <f t="shared" si="459"/>
        <v>0</v>
      </c>
      <c r="GV192" s="150">
        <f t="shared" si="459"/>
        <v>0</v>
      </c>
      <c r="GW192" s="150">
        <f t="shared" si="459"/>
        <v>4</v>
      </c>
      <c r="GX192" s="150">
        <f t="shared" si="459"/>
        <v>4</v>
      </c>
      <c r="GY192" s="150">
        <f t="shared" si="459"/>
        <v>8</v>
      </c>
      <c r="GZ192" s="150">
        <f t="shared" si="459"/>
        <v>8</v>
      </c>
      <c r="HA192" s="150">
        <f t="shared" si="459"/>
        <v>8</v>
      </c>
      <c r="HB192" s="150">
        <f t="shared" si="459"/>
        <v>12</v>
      </c>
      <c r="HC192" s="150">
        <f t="shared" si="459"/>
        <v>12</v>
      </c>
      <c r="HD192" s="150">
        <f t="shared" si="459"/>
        <v>12</v>
      </c>
      <c r="HE192" s="150">
        <f t="shared" si="459"/>
        <v>12</v>
      </c>
      <c r="HF192" s="150">
        <f t="shared" si="459"/>
        <v>16</v>
      </c>
      <c r="HG192" s="150">
        <f t="shared" si="459"/>
        <v>16</v>
      </c>
      <c r="HH192" s="150">
        <f t="shared" si="459"/>
        <v>16</v>
      </c>
      <c r="HI192" s="150">
        <f t="shared" si="459"/>
        <v>20</v>
      </c>
      <c r="HJ192" s="150">
        <f t="shared" si="459"/>
        <v>20</v>
      </c>
      <c r="HK192" s="150">
        <f t="shared" si="459"/>
        <v>20</v>
      </c>
      <c r="HL192" s="150">
        <f t="shared" si="459"/>
        <v>20</v>
      </c>
      <c r="HM192" s="150">
        <f t="shared" si="459"/>
        <v>24</v>
      </c>
      <c r="HN192" s="150">
        <f t="shared" si="459"/>
        <v>24</v>
      </c>
      <c r="HO192" s="150">
        <f t="shared" si="459"/>
        <v>24</v>
      </c>
      <c r="HP192" s="150">
        <f t="shared" si="459"/>
        <v>24</v>
      </c>
      <c r="HS192" s="150" t="s">
        <v>700</v>
      </c>
      <c r="HT192" s="150">
        <f t="shared" ref="HT192:IQ192" si="460">HT89</f>
        <v>0</v>
      </c>
      <c r="HU192" s="150">
        <f t="shared" si="460"/>
        <v>0</v>
      </c>
      <c r="HV192" s="150">
        <f t="shared" si="460"/>
        <v>0</v>
      </c>
      <c r="HW192" s="150">
        <f t="shared" si="460"/>
        <v>4</v>
      </c>
      <c r="HX192" s="150">
        <f t="shared" si="460"/>
        <v>4</v>
      </c>
      <c r="HY192" s="150">
        <f t="shared" si="460"/>
        <v>8</v>
      </c>
      <c r="HZ192" s="150">
        <f t="shared" si="460"/>
        <v>8</v>
      </c>
      <c r="IA192" s="150">
        <f t="shared" si="460"/>
        <v>8</v>
      </c>
      <c r="IB192" s="150">
        <f t="shared" si="460"/>
        <v>12</v>
      </c>
      <c r="IC192" s="150">
        <f t="shared" si="460"/>
        <v>12</v>
      </c>
      <c r="ID192" s="150">
        <f t="shared" si="460"/>
        <v>12</v>
      </c>
      <c r="IE192" s="150">
        <f t="shared" si="460"/>
        <v>12</v>
      </c>
      <c r="IF192" s="150">
        <f t="shared" si="460"/>
        <v>16</v>
      </c>
      <c r="IG192" s="150">
        <f t="shared" si="460"/>
        <v>16</v>
      </c>
      <c r="IH192" s="150">
        <f t="shared" si="460"/>
        <v>16</v>
      </c>
      <c r="II192" s="150">
        <f t="shared" si="460"/>
        <v>20</v>
      </c>
      <c r="IJ192" s="150">
        <f t="shared" si="460"/>
        <v>20</v>
      </c>
      <c r="IK192" s="150">
        <f t="shared" si="460"/>
        <v>20</v>
      </c>
      <c r="IL192" s="150">
        <f t="shared" si="460"/>
        <v>24</v>
      </c>
      <c r="IM192" s="150">
        <f t="shared" si="460"/>
        <v>24</v>
      </c>
      <c r="IN192" s="150">
        <f t="shared" si="460"/>
        <v>24</v>
      </c>
      <c r="IO192" s="150">
        <f t="shared" si="460"/>
        <v>24</v>
      </c>
      <c r="IP192" s="150">
        <f t="shared" si="460"/>
        <v>28</v>
      </c>
      <c r="IQ192" s="150">
        <f t="shared" si="460"/>
        <v>28</v>
      </c>
      <c r="IT192" s="157"/>
    </row>
    <row r="193" spans="1:254" x14ac:dyDescent="0.25">
      <c r="A193" s="33"/>
      <c r="B193" s="5" t="s">
        <v>116</v>
      </c>
      <c r="C193" s="33"/>
      <c r="D193" s="6" t="s">
        <v>118</v>
      </c>
      <c r="E193" s="33" t="s">
        <v>479</v>
      </c>
      <c r="F193" s="5" t="s">
        <v>116</v>
      </c>
      <c r="G193" s="33" t="s">
        <v>114</v>
      </c>
      <c r="H193" s="5" t="s">
        <v>116</v>
      </c>
      <c r="I193" s="33">
        <v>35</v>
      </c>
      <c r="J193" s="5" t="s">
        <v>119</v>
      </c>
      <c r="K193" s="9"/>
      <c r="L193" s="7" t="str">
        <f>IF(E195=$AC$5,"-------",IF(E195=$AC$6,"-------",IF(E195=$AC$7,"-------",IF(E195=$AC$8,"GSW76X2200N",0))))</f>
        <v>-------</v>
      </c>
      <c r="M193" s="11" t="str">
        <f>INDEX(cennik!$C$2:$L$529,MATCH($L193,cennik!$B$2:$B$522,0),MATCH(M$2,cennik!$C$1:$L$1,0))</f>
        <v>-------</v>
      </c>
      <c r="N193" s="11">
        <f>INDEX(cennik!$C$2:$L$529,MATCH($L193,cennik!$B$2:$B$522,0),MATCH(N$2,cennik!$C$1:$L$1,0))</f>
        <v>0</v>
      </c>
      <c r="O193" s="11">
        <f>IF(L193="GSW76X2200N",SUM(O195),IF(L193="-------",0,0))</f>
        <v>0</v>
      </c>
      <c r="P193" s="34">
        <f>INDEX(cennik!$C$2:$L$529,MATCH($L193,cennik!$B$2:$B$522,0),MATCH(P$2,cennik!$C$1:$L$1,0))</f>
        <v>0</v>
      </c>
      <c r="Q193" s="34">
        <f>O193*P193</f>
        <v>0</v>
      </c>
      <c r="R193" s="35">
        <f>$E$167</f>
        <v>0</v>
      </c>
      <c r="S193" s="34">
        <f>P193*((100-$E$167)/100)</f>
        <v>0</v>
      </c>
      <c r="T193" s="34">
        <f>O193*S193</f>
        <v>0</v>
      </c>
      <c r="U193" s="34">
        <f>INDEX(cennik!$C$2:$L$529,MATCH($L193,cennik!$B$2:$B$522,0),MATCH(U$2,cennik!$C$1:$L$1,0))*O193</f>
        <v>0</v>
      </c>
      <c r="V193" s="150"/>
      <c r="W193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203,$EL$166:$EX$166,0),MATCH($E$193,$AE$33:$AE$46,0)))*C203</f>
        <v>0</v>
      </c>
      <c r="X193" s="150">
        <v>0</v>
      </c>
      <c r="Y193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203,$EL$166:$EX$166,0),MATCH($E$193,$AE$33:$AE$46,0)))*C203</f>
        <v>0</v>
      </c>
      <c r="Z193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203,$EL$166:$EX$166,0),MATCH($E$193,$AE$33:$AE$46,0)))*C203</f>
        <v>0</v>
      </c>
      <c r="AA193" s="150">
        <f t="shared" si="426"/>
        <v>0</v>
      </c>
      <c r="AB193" s="150">
        <f t="shared" si="427"/>
        <v>0</v>
      </c>
      <c r="AC193" s="150"/>
      <c r="AD193" s="150"/>
      <c r="AE193" s="150"/>
      <c r="AF193" s="150"/>
      <c r="AG193" s="150"/>
      <c r="AH193" s="150"/>
      <c r="AI193" s="150"/>
      <c r="AJ193" s="150"/>
      <c r="AK193" s="150">
        <f>((AK192/4)*AL192)+(((AK192/4)-1)*20)</f>
        <v>30140</v>
      </c>
      <c r="AL193" s="150" t="s">
        <v>158</v>
      </c>
      <c r="AM193" s="150" t="s">
        <v>156</v>
      </c>
      <c r="AN193" s="150" t="s">
        <v>155</v>
      </c>
      <c r="AO193" s="150"/>
      <c r="AP193" s="150" t="s">
        <v>157</v>
      </c>
      <c r="AQ193" s="150"/>
      <c r="AR193" s="150" t="s">
        <v>714</v>
      </c>
      <c r="AS193" s="62" t="s">
        <v>594</v>
      </c>
      <c r="AT193" s="62" t="s">
        <v>596</v>
      </c>
      <c r="AU193" s="150" t="s">
        <v>594</v>
      </c>
      <c r="AV193" s="150" t="s">
        <v>594</v>
      </c>
      <c r="AW193" s="150"/>
      <c r="AX193" s="150"/>
      <c r="AY193" s="150"/>
      <c r="AZ193" s="150"/>
      <c r="BA193" s="150"/>
      <c r="BB193" s="154" t="s">
        <v>714</v>
      </c>
      <c r="BC193" s="154" t="s">
        <v>592</v>
      </c>
      <c r="BD193" s="154" t="s">
        <v>151</v>
      </c>
      <c r="BE193" s="154" t="s">
        <v>151</v>
      </c>
      <c r="BF193" s="154" t="s">
        <v>151</v>
      </c>
      <c r="BH193" s="155"/>
      <c r="BI193" s="150"/>
      <c r="BJ193" s="150"/>
      <c r="BK193" s="150"/>
      <c r="BL193" s="150"/>
      <c r="BM193" s="150"/>
      <c r="BN193" s="150"/>
      <c r="BO193" s="150"/>
      <c r="BP193" s="150"/>
      <c r="BQ193" s="150"/>
      <c r="BR193" s="150"/>
      <c r="BS193" s="150"/>
      <c r="BT193" s="150"/>
      <c r="BU193" s="150"/>
      <c r="BV193" s="150"/>
      <c r="BW193" s="150"/>
      <c r="BX193" s="150"/>
      <c r="BY193" s="150"/>
      <c r="BZ193" s="150"/>
      <c r="CA193" s="150"/>
      <c r="CB193" s="150"/>
      <c r="CC193" s="150"/>
      <c r="CD193" s="150"/>
      <c r="CE193" s="150"/>
      <c r="CF193" s="150"/>
      <c r="CG193" s="150"/>
      <c r="CH193" s="150"/>
      <c r="CI193" s="150"/>
      <c r="CJ193" s="150"/>
      <c r="CK193" s="150"/>
      <c r="CL193" s="150"/>
      <c r="CM193" s="150"/>
      <c r="CN193" s="150"/>
      <c r="CO193" s="150"/>
      <c r="CP193" s="150"/>
      <c r="CQ193" s="150"/>
      <c r="CR193" s="150"/>
      <c r="CS193" s="150"/>
      <c r="CT193" s="150"/>
      <c r="CU193" s="150"/>
      <c r="CV193" s="150"/>
      <c r="CW193" s="150"/>
      <c r="CX193" s="150"/>
      <c r="CY193" s="150"/>
      <c r="CZ193" s="150"/>
      <c r="DA193" s="150"/>
      <c r="DB193" s="150"/>
      <c r="DC193" s="150"/>
      <c r="DD193" s="150"/>
      <c r="DE193" s="150"/>
      <c r="DF193" s="150"/>
      <c r="DG193" s="150"/>
      <c r="DH193" s="150"/>
      <c r="DI193" s="150"/>
      <c r="DJ193" s="150"/>
      <c r="DK193" s="150"/>
      <c r="DL193" s="150"/>
      <c r="DM193" s="150"/>
      <c r="DN193" s="150"/>
      <c r="DO193" s="150"/>
      <c r="DP193" s="150"/>
      <c r="DQ193" s="181"/>
      <c r="DR193" s="181">
        <v>39</v>
      </c>
      <c r="DS193" s="181"/>
      <c r="DT193" s="150"/>
      <c r="DU193" s="150"/>
      <c r="DV193" s="150"/>
      <c r="DW193" s="150"/>
      <c r="DX193" s="150"/>
      <c r="DY193" s="150"/>
      <c r="DZ193" s="150"/>
      <c r="EA193" s="150"/>
      <c r="EB193" s="150"/>
      <c r="EC193" s="150"/>
      <c r="ED193" s="150"/>
      <c r="EE193" s="150"/>
      <c r="EF193" s="150"/>
      <c r="EG193" s="150"/>
      <c r="EH193" s="156"/>
      <c r="EI193" s="150"/>
      <c r="EJ193" s="155"/>
      <c r="GJ193" s="150"/>
      <c r="GK193" s="150"/>
      <c r="GL193" s="150"/>
      <c r="GM193" s="150"/>
      <c r="GN193" s="150"/>
      <c r="GO193" s="150"/>
      <c r="GP193" s="150"/>
      <c r="GQ193" s="150"/>
      <c r="GR193" s="150"/>
      <c r="GS193" s="150"/>
      <c r="GT193" s="150"/>
      <c r="GU193" s="150"/>
      <c r="GV193" s="150"/>
      <c r="GW193" s="150"/>
      <c r="GX193" s="150"/>
      <c r="GY193" s="150"/>
      <c r="GZ193" s="150"/>
      <c r="HA193" s="150"/>
      <c r="HB193" s="150"/>
      <c r="HC193" s="150"/>
      <c r="HD193" s="150"/>
      <c r="HE193" s="150"/>
      <c r="HF193" s="150"/>
      <c r="HG193" s="150"/>
      <c r="HH193" s="150"/>
      <c r="IT193" s="157"/>
    </row>
    <row r="194" spans="1:254" x14ac:dyDescent="0.25">
      <c r="A194" s="33"/>
      <c r="B194" s="5" t="s">
        <v>116</v>
      </c>
      <c r="C194" s="33"/>
      <c r="D194" s="6" t="s">
        <v>124</v>
      </c>
      <c r="E194" s="33" t="s">
        <v>125</v>
      </c>
      <c r="F194" s="5"/>
      <c r="G194" s="5"/>
      <c r="H194" s="5"/>
      <c r="I194" s="5"/>
      <c r="J194" s="5"/>
      <c r="K194" s="9"/>
      <c r="L194" s="7" t="str">
        <f>IF(E195=$AC$5,"-------",IF(E195=$AC$6,"-------",IF(E195=$AC$7,"PCB100",IF(E195=$AC$8,"PCS100",0))))</f>
        <v>-------</v>
      </c>
      <c r="M194" s="11" t="str">
        <f>INDEX(cennik!$C$2:$L$529,MATCH($L194,cennik!$B$2:$B$522,0),MATCH(M$2,cennik!$C$1:$L$1,0))</f>
        <v>-------</v>
      </c>
      <c r="N194" s="11">
        <f>INDEX(cennik!$C$2:$L$529,MATCH($L194,cennik!$B$2:$B$522,0),MATCH(N$2,cennik!$C$1:$L$1,0))</f>
        <v>0</v>
      </c>
      <c r="O194" s="11">
        <f>IF(E195=AC5,0,IF(E195=AC6,0,IF(E195=AC7,O195,IF(E195=AC8,O195,0))))</f>
        <v>0</v>
      </c>
      <c r="P194" s="34">
        <f>INDEX(cennik!$C$2:$L$529,MATCH($L194,cennik!$B$2:$B$522,0),MATCH(P$2,cennik!$C$1:$L$1,0))</f>
        <v>0</v>
      </c>
      <c r="Q194" s="34">
        <f>O194*P194</f>
        <v>0</v>
      </c>
      <c r="R194" s="35">
        <f>$E$167</f>
        <v>0</v>
      </c>
      <c r="S194" s="34">
        <f>P194*((100-$E$167)/100)</f>
        <v>0</v>
      </c>
      <c r="T194" s="34">
        <f>O194*S194</f>
        <v>0</v>
      </c>
      <c r="U194" s="34">
        <f>INDEX(cennik!$C$2:$L$529,MATCH($L194,cennik!$B$2:$B$522,0),MATCH(U$2,cennik!$C$1:$L$1,0))*O194</f>
        <v>0</v>
      </c>
      <c r="V194" s="150"/>
      <c r="W194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204,$EL$166:$EX$166,0),MATCH($E$193,$AE$33:$AE$46,0)))*C204</f>
        <v>0</v>
      </c>
      <c r="X194" s="150">
        <v>0</v>
      </c>
      <c r="Y194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204,$EL$166:$EX$166,0),MATCH($E$193,$AE$33:$AE$46,0)))*C204</f>
        <v>0</v>
      </c>
      <c r="Z194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204,$EL$166:$EX$166,0),MATCH($E$193,$AE$33:$AE$46,0)))*C204</f>
        <v>0</v>
      </c>
      <c r="AA194" s="150">
        <f t="shared" si="426"/>
        <v>0</v>
      </c>
      <c r="AB194" s="150">
        <f t="shared" si="427"/>
        <v>0</v>
      </c>
      <c r="AC194" s="150"/>
      <c r="AD194" s="150"/>
      <c r="AE194" s="150"/>
      <c r="AF194" s="150"/>
      <c r="AG194" s="150"/>
      <c r="AH194" s="150"/>
      <c r="AI194" s="150"/>
      <c r="AJ194" s="150" t="s">
        <v>216</v>
      </c>
      <c r="AK194" s="150">
        <v>4400</v>
      </c>
      <c r="AL194" s="150">
        <v>7</v>
      </c>
      <c r="AM194" s="150">
        <f>AK194*AL194</f>
        <v>30800</v>
      </c>
      <c r="AN194" s="150">
        <v>164.41</v>
      </c>
      <c r="AO194" s="150">
        <f>AL194*AN194</f>
        <v>1150.8699999999999</v>
      </c>
      <c r="AP194" s="150">
        <f>AL194*5</f>
        <v>35</v>
      </c>
      <c r="AQ194" s="150"/>
      <c r="AR194" s="150" t="s">
        <v>715</v>
      </c>
      <c r="AS194" s="62" t="s">
        <v>594</v>
      </c>
      <c r="AT194" s="62" t="s">
        <v>596</v>
      </c>
      <c r="AU194" s="150" t="s">
        <v>594</v>
      </c>
      <c r="AV194" s="150" t="s">
        <v>594</v>
      </c>
      <c r="AW194" s="150"/>
      <c r="AX194" s="150"/>
      <c r="AY194" s="150"/>
      <c r="AZ194" s="150"/>
      <c r="BA194" s="150"/>
      <c r="BB194" s="154" t="s">
        <v>715</v>
      </c>
      <c r="BC194" s="154" t="s">
        <v>592</v>
      </c>
      <c r="BD194" s="154" t="s">
        <v>151</v>
      </c>
      <c r="BE194" s="154" t="s">
        <v>151</v>
      </c>
      <c r="BF194" s="154" t="s">
        <v>151</v>
      </c>
      <c r="BH194" s="155" t="s">
        <v>132</v>
      </c>
      <c r="BI194" s="150">
        <v>0</v>
      </c>
      <c r="BJ194" s="150">
        <v>8</v>
      </c>
      <c r="BK194" s="150">
        <v>12</v>
      </c>
      <c r="BL194" s="150">
        <v>16</v>
      </c>
      <c r="BM194" s="150">
        <v>20</v>
      </c>
      <c r="BN194" s="150">
        <v>24</v>
      </c>
      <c r="BO194" s="150">
        <v>28</v>
      </c>
      <c r="BP194" s="150">
        <v>32</v>
      </c>
      <c r="BQ194" s="150">
        <v>36</v>
      </c>
      <c r="BR194" s="150">
        <v>40</v>
      </c>
      <c r="BS194" s="150">
        <v>44</v>
      </c>
      <c r="BT194" s="150">
        <v>48</v>
      </c>
      <c r="BU194" s="150">
        <v>52</v>
      </c>
      <c r="BV194" s="150"/>
      <c r="BW194" s="150" t="s">
        <v>471</v>
      </c>
      <c r="BX194" s="150">
        <v>0</v>
      </c>
      <c r="BY194" s="150">
        <v>8</v>
      </c>
      <c r="BZ194" s="150">
        <v>12</v>
      </c>
      <c r="CA194" s="150">
        <v>16</v>
      </c>
      <c r="CB194" s="150">
        <v>20</v>
      </c>
      <c r="CC194" s="150">
        <v>24</v>
      </c>
      <c r="CD194" s="150">
        <v>28</v>
      </c>
      <c r="CE194" s="150">
        <v>32</v>
      </c>
      <c r="CF194" s="150">
        <v>36</v>
      </c>
      <c r="CG194" s="150">
        <v>40</v>
      </c>
      <c r="CH194" s="150">
        <v>44</v>
      </c>
      <c r="CI194" s="150">
        <v>48</v>
      </c>
      <c r="CJ194" s="150">
        <v>52</v>
      </c>
      <c r="CK194" s="150"/>
      <c r="CL194" s="150"/>
      <c r="CM194" s="150"/>
      <c r="CN194" s="150" t="s">
        <v>137</v>
      </c>
      <c r="CO194" s="150">
        <v>0</v>
      </c>
      <c r="CP194" s="150">
        <v>8</v>
      </c>
      <c r="CQ194" s="150">
        <v>12</v>
      </c>
      <c r="CR194" s="150">
        <v>16</v>
      </c>
      <c r="CS194" s="150">
        <v>20</v>
      </c>
      <c r="CT194" s="150">
        <v>24</v>
      </c>
      <c r="CU194" s="150">
        <v>28</v>
      </c>
      <c r="CV194" s="150">
        <v>32</v>
      </c>
      <c r="CW194" s="150">
        <v>36</v>
      </c>
      <c r="CX194" s="150">
        <v>40</v>
      </c>
      <c r="CY194" s="150">
        <v>44</v>
      </c>
      <c r="CZ194" s="150">
        <v>48</v>
      </c>
      <c r="DA194" s="150">
        <v>52</v>
      </c>
      <c r="DB194" s="150"/>
      <c r="DC194" s="150" t="s">
        <v>479</v>
      </c>
      <c r="DD194" s="150">
        <v>0</v>
      </c>
      <c r="DE194" s="150">
        <v>8</v>
      </c>
      <c r="DF194" s="150">
        <v>12</v>
      </c>
      <c r="DG194" s="150">
        <v>16</v>
      </c>
      <c r="DH194" s="150">
        <v>20</v>
      </c>
      <c r="DI194" s="150">
        <v>24</v>
      </c>
      <c r="DJ194" s="150">
        <v>28</v>
      </c>
      <c r="DK194" s="150">
        <v>32</v>
      </c>
      <c r="DL194" s="150">
        <v>36</v>
      </c>
      <c r="DM194" s="150">
        <v>40</v>
      </c>
      <c r="DN194" s="150">
        <v>44</v>
      </c>
      <c r="DO194" s="150">
        <v>48</v>
      </c>
      <c r="DP194" s="150">
        <v>52</v>
      </c>
      <c r="DQ194" s="181"/>
      <c r="DR194" s="181"/>
      <c r="DS194" s="181"/>
      <c r="DT194" s="150"/>
      <c r="DU194" s="150"/>
      <c r="DV194" s="150"/>
      <c r="DW194" s="150"/>
      <c r="DX194" s="150"/>
      <c r="DY194" s="150"/>
      <c r="DZ194" s="150"/>
      <c r="EA194" s="150"/>
      <c r="EB194" s="150"/>
      <c r="EC194" s="150"/>
      <c r="ED194" s="150"/>
      <c r="EE194" s="150"/>
      <c r="EF194" s="150"/>
      <c r="EG194" s="150"/>
      <c r="EH194" s="156"/>
      <c r="EI194" s="150"/>
      <c r="EJ194" s="155"/>
      <c r="GJ194" s="150"/>
      <c r="GK194" s="150"/>
      <c r="GL194" s="150"/>
      <c r="GM194" s="150"/>
      <c r="GN194" s="150"/>
      <c r="GO194" s="150"/>
      <c r="GP194" s="150"/>
      <c r="GQ194" s="150"/>
      <c r="GR194" s="150" t="s">
        <v>714</v>
      </c>
      <c r="GS194" s="150">
        <v>0</v>
      </c>
      <c r="GT194" s="150">
        <v>6</v>
      </c>
      <c r="GU194" s="150">
        <v>8</v>
      </c>
      <c r="GV194" s="150">
        <v>10</v>
      </c>
      <c r="GW194" s="150">
        <v>12</v>
      </c>
      <c r="GX194" s="150">
        <v>14</v>
      </c>
      <c r="GY194" s="150">
        <v>16</v>
      </c>
      <c r="GZ194" s="150">
        <v>18</v>
      </c>
      <c r="HA194" s="150">
        <v>20</v>
      </c>
      <c r="HB194" s="150">
        <v>22</v>
      </c>
      <c r="HC194" s="150">
        <v>24</v>
      </c>
      <c r="HD194" s="150">
        <v>26</v>
      </c>
      <c r="HE194" s="150">
        <v>28</v>
      </c>
      <c r="HF194" s="150">
        <v>30</v>
      </c>
      <c r="HG194" s="150">
        <v>32</v>
      </c>
      <c r="HH194" s="150">
        <v>34</v>
      </c>
      <c r="HI194" s="154">
        <v>36</v>
      </c>
      <c r="HJ194" s="154">
        <v>38</v>
      </c>
      <c r="HK194" s="154">
        <v>40</v>
      </c>
      <c r="HL194" s="154">
        <v>42</v>
      </c>
      <c r="HM194" s="154">
        <v>44</v>
      </c>
      <c r="HN194" s="154">
        <v>46</v>
      </c>
      <c r="HO194" s="154">
        <v>48</v>
      </c>
      <c r="HP194" s="154">
        <v>50</v>
      </c>
      <c r="HS194" s="154" t="s">
        <v>762</v>
      </c>
      <c r="HT194" s="154">
        <v>0</v>
      </c>
      <c r="HU194" s="154">
        <v>6</v>
      </c>
      <c r="HV194" s="154">
        <v>8</v>
      </c>
      <c r="HW194" s="154">
        <v>10</v>
      </c>
      <c r="HX194" s="154">
        <v>12</v>
      </c>
      <c r="HY194" s="154">
        <v>14</v>
      </c>
      <c r="HZ194" s="154">
        <v>16</v>
      </c>
      <c r="IA194" s="154">
        <v>18</v>
      </c>
      <c r="IB194" s="154">
        <v>20</v>
      </c>
      <c r="IC194" s="154">
        <v>22</v>
      </c>
      <c r="ID194" s="154">
        <v>24</v>
      </c>
      <c r="IE194" s="154">
        <v>26</v>
      </c>
      <c r="IF194" s="154">
        <v>28</v>
      </c>
      <c r="IG194" s="154">
        <v>30</v>
      </c>
      <c r="IH194" s="154">
        <v>32</v>
      </c>
      <c r="II194" s="154">
        <v>34</v>
      </c>
      <c r="IJ194" s="154">
        <v>36</v>
      </c>
      <c r="IK194" s="154">
        <v>38</v>
      </c>
      <c r="IL194" s="154">
        <v>40</v>
      </c>
      <c r="IM194" s="154">
        <v>42</v>
      </c>
      <c r="IN194" s="154">
        <v>44</v>
      </c>
      <c r="IO194" s="154">
        <v>46</v>
      </c>
      <c r="IP194" s="154">
        <v>48</v>
      </c>
      <c r="IQ194" s="154">
        <v>50</v>
      </c>
      <c r="IT194" s="157"/>
    </row>
    <row r="195" spans="1:254" x14ac:dyDescent="0.25">
      <c r="A195" s="33"/>
      <c r="B195" s="5" t="s">
        <v>116</v>
      </c>
      <c r="C195" s="33"/>
      <c r="D195" s="6" t="s">
        <v>307</v>
      </c>
      <c r="E195" s="33" t="s">
        <v>314</v>
      </c>
      <c r="F195" s="5"/>
      <c r="G195" s="5"/>
      <c r="H195" s="5"/>
      <c r="I195" s="5"/>
      <c r="J195" s="5"/>
      <c r="K195" s="9"/>
      <c r="L195" s="6" t="str">
        <f>IF(E195=$AC$5,"CWE100H50/3,6NMC",IF(E195=$AC$6,"CWE100H50/3,2NMC",IF(E195=$AC$7,"CWE100H50/1,5NMC",IF(E195=$AC$8,"CWE100H50/1,5NMC",0))))</f>
        <v>CWE100H50/3,6NMC</v>
      </c>
      <c r="M195" s="11">
        <f>INDEX(cennik!$C$2:$L$529,MATCH($L195,cennik!$B$2:$B$522,0),MATCH(M$2,cennik!$C$1:$L$1,0))</f>
        <v>865136</v>
      </c>
      <c r="N195" s="11" t="str">
        <f>INDEX(cennik!$C$2:$L$529,MATCH($L195,cennik!$B$2:$B$522,0),MATCH(N$2,cennik!$C$1:$L$1,0))</f>
        <v>szt.</v>
      </c>
      <c r="O195" s="11">
        <f>SUM(AB180:AB195)</f>
        <v>0</v>
      </c>
      <c r="P195" s="34">
        <f>INDEX(cennik!$C$2:$L$529,MATCH($L195,cennik!$B$2:$B$522,0),MATCH(P$2,cennik!$C$1:$L$1,0))</f>
        <v>282.94</v>
      </c>
      <c r="Q195" s="34">
        <f t="shared" ref="Q195:Q200" si="461">O195*P195</f>
        <v>0</v>
      </c>
      <c r="R195" s="35">
        <f t="shared" ref="R195:R212" si="462">$E$197</f>
        <v>0</v>
      </c>
      <c r="S195" s="34">
        <f t="shared" ref="S195:S212" si="463">P195*((100-$E$197)/100)</f>
        <v>282.94</v>
      </c>
      <c r="T195" s="34">
        <f t="shared" ref="T195:T212" si="464">O195*S195</f>
        <v>0</v>
      </c>
      <c r="U195" s="34">
        <f>INDEX(cennik!$C$2:$L$529,MATCH($L195,cennik!$B$2:$B$522,0),MATCH(U$2,cennik!$C$1:$L$1,0))*O195</f>
        <v>0</v>
      </c>
      <c r="V195" s="150"/>
      <c r="W195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205,$EL$166:$EX$166,0),MATCH($E$193,$AE$33:$AE$46,0)))*C205</f>
        <v>0</v>
      </c>
      <c r="X195" s="150">
        <v>0</v>
      </c>
      <c r="Y195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205,$EL$166:$EX$166,0),MATCH($E$193,$AE$33:$AE$46,0)))*C205</f>
        <v>0</v>
      </c>
      <c r="Z195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205,$EL$166:$EX$166,0),MATCH($E$193,$AE$33:$AE$46,0)))*C205</f>
        <v>0</v>
      </c>
      <c r="AA195" s="150">
        <f t="shared" si="426"/>
        <v>0</v>
      </c>
      <c r="AB195" s="150">
        <f t="shared" si="427"/>
        <v>0</v>
      </c>
      <c r="AC195" s="150"/>
      <c r="AD195" s="150"/>
      <c r="AE195" s="150"/>
      <c r="AF195" s="150"/>
      <c r="AG195" s="150"/>
      <c r="AH195" s="150"/>
      <c r="AI195" s="150"/>
      <c r="AJ195" s="150" t="s">
        <v>17</v>
      </c>
      <c r="AK195" s="150">
        <v>3300</v>
      </c>
      <c r="AL195" s="150">
        <v>0</v>
      </c>
      <c r="AM195" s="150">
        <f>AK195*AL195</f>
        <v>0</v>
      </c>
      <c r="AN195" s="150">
        <v>123.46</v>
      </c>
      <c r="AO195" s="150">
        <f>AL195*AN195</f>
        <v>0</v>
      </c>
      <c r="AP195" s="150">
        <f>AL195*5</f>
        <v>0</v>
      </c>
      <c r="AQ195" s="150"/>
      <c r="AR195" s="150"/>
      <c r="AS195" s="150"/>
      <c r="AT195" s="150"/>
      <c r="AU195" s="150"/>
      <c r="AV195" s="150"/>
      <c r="AW195" s="150"/>
      <c r="AX195" s="150"/>
      <c r="AY195" s="150"/>
      <c r="AZ195" s="150"/>
      <c r="BA195" s="150"/>
      <c r="BB195" s="150"/>
      <c r="BC195" s="150"/>
      <c r="BD195" s="150"/>
      <c r="BE195" s="150"/>
      <c r="BF195" s="150"/>
      <c r="BH195" s="155" t="s">
        <v>522</v>
      </c>
      <c r="BI195" s="150">
        <f>BI34/5*4</f>
        <v>0</v>
      </c>
      <c r="BJ195" s="150">
        <v>5</v>
      </c>
      <c r="BK195" s="150">
        <v>0</v>
      </c>
      <c r="BL195" s="150">
        <v>5</v>
      </c>
      <c r="BM195" s="150">
        <v>0</v>
      </c>
      <c r="BN195" s="150">
        <v>5</v>
      </c>
      <c r="BO195" s="150">
        <v>15</v>
      </c>
      <c r="BP195" s="150">
        <v>5</v>
      </c>
      <c r="BQ195" s="150">
        <v>15</v>
      </c>
      <c r="BR195" s="150">
        <v>10</v>
      </c>
      <c r="BS195" s="150">
        <v>15</v>
      </c>
      <c r="BT195" s="150">
        <v>25</v>
      </c>
      <c r="BU195" s="150">
        <v>15</v>
      </c>
      <c r="BV195" s="150"/>
      <c r="BW195" s="150" t="s">
        <v>522</v>
      </c>
      <c r="BX195" s="150">
        <v>0</v>
      </c>
      <c r="BY195" s="154">
        <v>5</v>
      </c>
      <c r="BZ195" s="154">
        <v>0</v>
      </c>
      <c r="CA195" s="154">
        <v>5</v>
      </c>
      <c r="CB195" s="154">
        <v>0</v>
      </c>
      <c r="CC195" s="154">
        <v>10</v>
      </c>
      <c r="CD195" s="154">
        <v>5</v>
      </c>
      <c r="CE195" s="154">
        <v>10</v>
      </c>
      <c r="CF195" s="154">
        <v>20</v>
      </c>
      <c r="CG195" s="154">
        <v>0</v>
      </c>
      <c r="CH195" s="154">
        <v>25</v>
      </c>
      <c r="CI195" s="154">
        <v>15</v>
      </c>
      <c r="CJ195" s="154">
        <v>25</v>
      </c>
      <c r="CK195" s="150"/>
      <c r="CL195" s="150"/>
      <c r="CM195" s="150"/>
      <c r="CN195" s="150" t="s">
        <v>522</v>
      </c>
      <c r="CO195" s="150">
        <f>CO34/5*4</f>
        <v>0</v>
      </c>
      <c r="CP195" s="150">
        <v>5</v>
      </c>
      <c r="CQ195" s="150">
        <v>0</v>
      </c>
      <c r="CR195" s="150">
        <v>10</v>
      </c>
      <c r="CS195" s="150">
        <v>5</v>
      </c>
      <c r="CT195" s="150">
        <v>15</v>
      </c>
      <c r="CU195" s="150">
        <v>10</v>
      </c>
      <c r="CV195" s="150">
        <v>20</v>
      </c>
      <c r="CW195" s="150">
        <v>10</v>
      </c>
      <c r="CX195" s="150">
        <v>20</v>
      </c>
      <c r="CY195" s="150">
        <v>0</v>
      </c>
      <c r="CZ195" s="150">
        <v>25</v>
      </c>
      <c r="DA195" s="150">
        <v>5</v>
      </c>
      <c r="DB195" s="150"/>
      <c r="DC195" s="150" t="s">
        <v>522</v>
      </c>
      <c r="DD195" s="150">
        <v>0</v>
      </c>
      <c r="DE195" s="150">
        <v>0</v>
      </c>
      <c r="DF195" s="150">
        <v>5</v>
      </c>
      <c r="DG195" s="150">
        <v>0</v>
      </c>
      <c r="DH195" s="150">
        <v>10</v>
      </c>
      <c r="DI195" s="150">
        <v>5</v>
      </c>
      <c r="DJ195" s="150">
        <v>15</v>
      </c>
      <c r="DK195" s="150">
        <v>10</v>
      </c>
      <c r="DL195" s="150">
        <v>20</v>
      </c>
      <c r="DM195" s="150">
        <v>0</v>
      </c>
      <c r="DN195" s="150">
        <v>25</v>
      </c>
      <c r="DO195" s="150">
        <v>5</v>
      </c>
      <c r="DP195" s="150">
        <v>30</v>
      </c>
      <c r="DQ195" s="181"/>
      <c r="DR195" s="181"/>
      <c r="DS195" s="181"/>
      <c r="DT195" s="150" t="s">
        <v>765</v>
      </c>
      <c r="DU195" s="150"/>
      <c r="DV195" s="150"/>
      <c r="DW195" s="150"/>
      <c r="DX195" s="150"/>
      <c r="DY195" s="150"/>
      <c r="DZ195" s="150"/>
      <c r="EA195" s="150"/>
      <c r="EB195" s="150"/>
      <c r="EC195" s="150"/>
      <c r="ED195" s="150"/>
      <c r="EE195" s="150"/>
      <c r="EF195" s="150"/>
      <c r="EG195" s="150"/>
      <c r="EH195" s="156"/>
      <c r="EI195" s="150"/>
      <c r="EJ195" s="155"/>
      <c r="EK195" s="150" t="s">
        <v>115</v>
      </c>
      <c r="EL195" s="150">
        <v>0</v>
      </c>
      <c r="EM195" s="150">
        <v>6</v>
      </c>
      <c r="EN195" s="150">
        <v>8</v>
      </c>
      <c r="EO195" s="150">
        <v>10</v>
      </c>
      <c r="EP195" s="150">
        <v>12</v>
      </c>
      <c r="EQ195" s="150">
        <v>14</v>
      </c>
      <c r="ER195" s="150">
        <v>16</v>
      </c>
      <c r="ES195" s="150">
        <v>18</v>
      </c>
      <c r="ET195" s="150">
        <v>20</v>
      </c>
      <c r="EU195" s="150">
        <v>22</v>
      </c>
      <c r="EV195" s="150">
        <v>24</v>
      </c>
      <c r="EW195" s="150">
        <v>26</v>
      </c>
      <c r="EX195" s="150">
        <v>28</v>
      </c>
      <c r="EY195" s="150">
        <v>30</v>
      </c>
      <c r="EZ195" s="150">
        <v>32</v>
      </c>
      <c r="FA195" s="150">
        <v>34</v>
      </c>
      <c r="FB195" s="150">
        <v>36</v>
      </c>
      <c r="FC195" s="150">
        <v>38</v>
      </c>
      <c r="FD195" s="150">
        <v>40</v>
      </c>
      <c r="FE195" s="150">
        <v>42</v>
      </c>
      <c r="FF195" s="150">
        <v>44</v>
      </c>
      <c r="FG195" s="150">
        <v>46</v>
      </c>
      <c r="FH195" s="150">
        <v>48</v>
      </c>
      <c r="FI195" s="150">
        <v>50</v>
      </c>
      <c r="FJ195" s="150"/>
      <c r="FK195" s="150" t="s">
        <v>480</v>
      </c>
      <c r="FL195" s="150">
        <v>0</v>
      </c>
      <c r="FM195" s="150">
        <v>6</v>
      </c>
      <c r="FN195" s="150">
        <v>8</v>
      </c>
      <c r="FO195" s="150">
        <v>10</v>
      </c>
      <c r="FP195" s="150">
        <v>12</v>
      </c>
      <c r="FQ195" s="150">
        <v>14</v>
      </c>
      <c r="FR195" s="150">
        <v>16</v>
      </c>
      <c r="FS195" s="150">
        <v>18</v>
      </c>
      <c r="FT195" s="150">
        <v>20</v>
      </c>
      <c r="FU195" s="150">
        <v>22</v>
      </c>
      <c r="FV195" s="150">
        <v>24</v>
      </c>
      <c r="FW195" s="150">
        <v>26</v>
      </c>
      <c r="FX195" s="150">
        <v>28</v>
      </c>
      <c r="FY195" s="150">
        <v>30</v>
      </c>
      <c r="FZ195" s="150">
        <v>32</v>
      </c>
      <c r="GA195" s="150">
        <v>34</v>
      </c>
      <c r="GB195" s="150">
        <v>36</v>
      </c>
      <c r="GC195" s="150">
        <v>38</v>
      </c>
      <c r="GD195" s="150">
        <v>40</v>
      </c>
      <c r="GE195" s="150">
        <v>42</v>
      </c>
      <c r="GF195" s="150">
        <v>44</v>
      </c>
      <c r="GG195" s="150">
        <v>46</v>
      </c>
      <c r="GH195" s="150">
        <v>48</v>
      </c>
      <c r="GI195" s="150">
        <v>50</v>
      </c>
      <c r="GJ195" s="150"/>
      <c r="GK195" s="150"/>
      <c r="GL195" s="150"/>
      <c r="GM195" s="150"/>
      <c r="GN195" s="150"/>
      <c r="GO195" s="150"/>
      <c r="GP195" s="150"/>
      <c r="GQ195" s="150"/>
      <c r="GR195" s="154" t="s">
        <v>817</v>
      </c>
      <c r="GS195" s="150">
        <f>GS92</f>
        <v>0</v>
      </c>
      <c r="GT195" s="150">
        <f t="shared" ref="GT195:HP195" si="465">GT92</f>
        <v>0</v>
      </c>
      <c r="GU195" s="150">
        <f t="shared" si="465"/>
        <v>4</v>
      </c>
      <c r="GV195" s="150">
        <f t="shared" si="465"/>
        <v>4</v>
      </c>
      <c r="GW195" s="150">
        <f t="shared" si="465"/>
        <v>0</v>
      </c>
      <c r="GX195" s="150">
        <f t="shared" si="465"/>
        <v>0</v>
      </c>
      <c r="GY195" s="150">
        <f t="shared" si="465"/>
        <v>0</v>
      </c>
      <c r="GZ195" s="150">
        <f t="shared" si="465"/>
        <v>0</v>
      </c>
      <c r="HA195" s="150">
        <f t="shared" si="465"/>
        <v>0</v>
      </c>
      <c r="HB195" s="150">
        <f t="shared" si="465"/>
        <v>0</v>
      </c>
      <c r="HC195" s="150">
        <f t="shared" si="465"/>
        <v>0</v>
      </c>
      <c r="HD195" s="150">
        <f t="shared" si="465"/>
        <v>0</v>
      </c>
      <c r="HE195" s="150">
        <f t="shared" si="465"/>
        <v>0</v>
      </c>
      <c r="HF195" s="150">
        <f t="shared" si="465"/>
        <v>0</v>
      </c>
      <c r="HG195" s="150">
        <f t="shared" si="465"/>
        <v>0</v>
      </c>
      <c r="HH195" s="150">
        <f t="shared" si="465"/>
        <v>0</v>
      </c>
      <c r="HI195" s="150">
        <f t="shared" si="465"/>
        <v>0</v>
      </c>
      <c r="HJ195" s="150">
        <f t="shared" si="465"/>
        <v>0</v>
      </c>
      <c r="HK195" s="150">
        <f t="shared" si="465"/>
        <v>0</v>
      </c>
      <c r="HL195" s="150">
        <f t="shared" si="465"/>
        <v>0</v>
      </c>
      <c r="HM195" s="150">
        <f t="shared" si="465"/>
        <v>0</v>
      </c>
      <c r="HN195" s="150">
        <f t="shared" si="465"/>
        <v>0</v>
      </c>
      <c r="HO195" s="150">
        <f t="shared" si="465"/>
        <v>0</v>
      </c>
      <c r="HP195" s="150">
        <f t="shared" si="465"/>
        <v>0</v>
      </c>
      <c r="HS195" s="154" t="s">
        <v>817</v>
      </c>
      <c r="HT195" s="150">
        <f>HT92</f>
        <v>0</v>
      </c>
      <c r="HU195" s="150">
        <f t="shared" ref="HU195:IQ195" si="466">HU92</f>
        <v>0</v>
      </c>
      <c r="HV195" s="150">
        <f t="shared" si="466"/>
        <v>4</v>
      </c>
      <c r="HW195" s="150">
        <f t="shared" si="466"/>
        <v>0</v>
      </c>
      <c r="HX195" s="150">
        <f t="shared" si="466"/>
        <v>0</v>
      </c>
      <c r="HY195" s="150">
        <f t="shared" si="466"/>
        <v>0</v>
      </c>
      <c r="HZ195" s="150">
        <f t="shared" si="466"/>
        <v>0</v>
      </c>
      <c r="IA195" s="150">
        <f t="shared" si="466"/>
        <v>0</v>
      </c>
      <c r="IB195" s="150">
        <f t="shared" si="466"/>
        <v>0</v>
      </c>
      <c r="IC195" s="150">
        <f t="shared" si="466"/>
        <v>0</v>
      </c>
      <c r="ID195" s="150">
        <f t="shared" si="466"/>
        <v>0</v>
      </c>
      <c r="IE195" s="150">
        <f t="shared" si="466"/>
        <v>0</v>
      </c>
      <c r="IF195" s="150">
        <f t="shared" si="466"/>
        <v>0</v>
      </c>
      <c r="IG195" s="150">
        <f t="shared" si="466"/>
        <v>0</v>
      </c>
      <c r="IH195" s="150">
        <f t="shared" si="466"/>
        <v>0</v>
      </c>
      <c r="II195" s="150">
        <f t="shared" si="466"/>
        <v>0</v>
      </c>
      <c r="IJ195" s="150">
        <f t="shared" si="466"/>
        <v>0</v>
      </c>
      <c r="IK195" s="150">
        <f t="shared" si="466"/>
        <v>0</v>
      </c>
      <c r="IL195" s="150">
        <f t="shared" si="466"/>
        <v>0</v>
      </c>
      <c r="IM195" s="150">
        <f t="shared" si="466"/>
        <v>0</v>
      </c>
      <c r="IN195" s="150">
        <f t="shared" si="466"/>
        <v>0</v>
      </c>
      <c r="IO195" s="150">
        <f t="shared" si="466"/>
        <v>0</v>
      </c>
      <c r="IP195" s="150">
        <f t="shared" si="466"/>
        <v>0</v>
      </c>
      <c r="IQ195" s="150">
        <f t="shared" si="466"/>
        <v>0</v>
      </c>
      <c r="IT195" s="157"/>
    </row>
    <row r="196" spans="1:254" x14ac:dyDescent="0.25">
      <c r="A196" s="33"/>
      <c r="B196" s="5" t="s">
        <v>116</v>
      </c>
      <c r="C196" s="33"/>
      <c r="D196" s="6" t="s">
        <v>315</v>
      </c>
      <c r="E196" s="33">
        <v>0</v>
      </c>
      <c r="F196" s="5"/>
      <c r="G196" s="5"/>
      <c r="H196" s="5"/>
      <c r="I196" s="5"/>
      <c r="J196" s="5" t="s">
        <v>412</v>
      </c>
      <c r="K196" s="9"/>
      <c r="L196" s="6" t="str">
        <f>IF(G193=AE24,"BDFCH100/3,2NMC",IF(G193=AE25,"BDFCH120/3,6NMC",IF(G193=AE26,"BDFCH120/3,6NMC",IF(G193=AE27,"BDFCH120/3,6NMC",0))))</f>
        <v>BDFCH100/3,2NMC</v>
      </c>
      <c r="M196" s="11">
        <f>INDEX(cennik!$C$2:$L$529,MATCH($L196,cennik!$B$2:$B$522,0),MATCH(M$2,cennik!$C$1:$L$1,0))</f>
        <v>863132</v>
      </c>
      <c r="N196" s="11" t="str">
        <f>INDEX(cennik!$C$2:$L$529,MATCH($L196,cennik!$B$2:$B$522,0),MATCH(N$2,cennik!$C$1:$L$1,0))</f>
        <v>szt.</v>
      </c>
      <c r="O196" s="11">
        <f>O195</f>
        <v>0</v>
      </c>
      <c r="P196" s="34">
        <f>INDEX(cennik!$C$2:$L$529,MATCH($L196,cennik!$B$2:$B$522,0),MATCH(P$2,cennik!$C$1:$L$1,0))</f>
        <v>104.33</v>
      </c>
      <c r="Q196" s="34">
        <f t="shared" si="461"/>
        <v>0</v>
      </c>
      <c r="R196" s="35">
        <f t="shared" si="462"/>
        <v>0</v>
      </c>
      <c r="S196" s="34">
        <f t="shared" si="463"/>
        <v>104.33</v>
      </c>
      <c r="T196" s="34">
        <f t="shared" si="464"/>
        <v>0</v>
      </c>
      <c r="U196" s="34">
        <f>INDEX(cennik!$C$2:$L$529,MATCH($L196,cennik!$B$2:$B$522,0),MATCH(U$2,cennik!$C$1:$L$1,0))*O196</f>
        <v>0</v>
      </c>
      <c r="V196" s="150"/>
      <c r="W196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206,$EL$166:$EX$166,0),MATCH($E$193,$AE$33:$AE$46,0)))*C206</f>
        <v>0</v>
      </c>
      <c r="X196" s="150">
        <v>0</v>
      </c>
      <c r="Y196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206,$EL$166:$EX$166,0),MATCH($E$193,$AE$33:$AE$46,0)))*C206</f>
        <v>0</v>
      </c>
      <c r="Z196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206,$EL$166:$EX$166,0),MATCH($E$193,$AE$33:$AE$46,0)))*C206</f>
        <v>0</v>
      </c>
      <c r="AA196" s="150"/>
      <c r="AB196" s="150"/>
      <c r="AC196" s="150"/>
      <c r="AD196" s="150"/>
      <c r="AE196" s="150"/>
      <c r="AF196" s="150"/>
      <c r="AG196" s="150"/>
      <c r="AH196" s="150"/>
      <c r="AI196" s="150"/>
      <c r="AJ196" s="150"/>
      <c r="AK196" s="150" t="s">
        <v>317</v>
      </c>
      <c r="AL196" s="150">
        <f>IF(SUM(AL194:AL195)=0,0,IF(SUM(AL194:AL195)=1,0,IF(SUM(AL194:AL195)&gt;1,(SUM(AL194:AL195)-1),0)))</f>
        <v>6</v>
      </c>
      <c r="AM196" s="150"/>
      <c r="AN196" s="150">
        <v>8.1</v>
      </c>
      <c r="AO196" s="150">
        <f>AL196*AN196</f>
        <v>48.599999999999994</v>
      </c>
      <c r="AP196" s="150">
        <f>AL196*5</f>
        <v>30</v>
      </c>
      <c r="AQ196" s="150"/>
      <c r="AR196" s="150"/>
      <c r="AS196" s="150"/>
      <c r="AT196" s="150"/>
      <c r="AU196" s="150"/>
      <c r="AV196" s="150"/>
      <c r="AW196" s="150"/>
      <c r="AX196" s="150"/>
      <c r="AY196" s="150"/>
      <c r="AZ196" s="150"/>
      <c r="BA196" s="150"/>
      <c r="BB196" s="150"/>
      <c r="BC196" s="150"/>
      <c r="BD196" s="150"/>
      <c r="BE196" s="150"/>
      <c r="BF196" s="150"/>
      <c r="BH196" s="155" t="s">
        <v>523</v>
      </c>
      <c r="BI196" s="150">
        <f>BI35/5*4</f>
        <v>0</v>
      </c>
      <c r="BJ196" s="150">
        <v>0</v>
      </c>
      <c r="BK196" s="150">
        <v>10</v>
      </c>
      <c r="BL196" s="150">
        <v>5</v>
      </c>
      <c r="BM196" s="150">
        <v>15</v>
      </c>
      <c r="BN196" s="150">
        <v>10</v>
      </c>
      <c r="BO196" s="150">
        <v>0</v>
      </c>
      <c r="BP196" s="150">
        <v>15</v>
      </c>
      <c r="BQ196" s="150">
        <v>5</v>
      </c>
      <c r="BR196" s="150">
        <v>15</v>
      </c>
      <c r="BS196" s="150">
        <v>10</v>
      </c>
      <c r="BT196" s="150">
        <v>0</v>
      </c>
      <c r="BU196" s="150">
        <v>15</v>
      </c>
      <c r="BV196" s="150"/>
      <c r="BW196" s="150" t="s">
        <v>523</v>
      </c>
      <c r="BX196" s="150">
        <v>0</v>
      </c>
      <c r="BY196" s="154">
        <v>0</v>
      </c>
      <c r="BZ196" s="154">
        <v>10</v>
      </c>
      <c r="CA196" s="154">
        <v>5</v>
      </c>
      <c r="CB196" s="154">
        <v>15</v>
      </c>
      <c r="CC196" s="154">
        <v>5</v>
      </c>
      <c r="CD196" s="154">
        <v>15</v>
      </c>
      <c r="CE196" s="154">
        <v>10</v>
      </c>
      <c r="CF196" s="154">
        <v>0</v>
      </c>
      <c r="CG196" s="154">
        <v>30</v>
      </c>
      <c r="CH196" s="154">
        <v>0</v>
      </c>
      <c r="CI196" s="154">
        <v>15</v>
      </c>
      <c r="CJ196" s="154">
        <v>5</v>
      </c>
      <c r="CK196" s="150"/>
      <c r="CL196" s="150"/>
      <c r="CM196" s="150"/>
      <c r="CN196" s="150" t="s">
        <v>523</v>
      </c>
      <c r="CO196" s="150">
        <f>CO35/5*4</f>
        <v>0</v>
      </c>
      <c r="CP196" s="150">
        <v>0</v>
      </c>
      <c r="CQ196" s="150">
        <v>10</v>
      </c>
      <c r="CR196" s="150">
        <v>0</v>
      </c>
      <c r="CS196" s="150">
        <v>10</v>
      </c>
      <c r="CT196" s="150">
        <v>0</v>
      </c>
      <c r="CU196" s="150">
        <v>10</v>
      </c>
      <c r="CV196" s="150">
        <v>0</v>
      </c>
      <c r="CW196" s="150">
        <v>15</v>
      </c>
      <c r="CX196" s="150">
        <v>5</v>
      </c>
      <c r="CY196" s="150">
        <v>35</v>
      </c>
      <c r="CZ196" s="150">
        <v>5</v>
      </c>
      <c r="DA196" s="150">
        <v>35</v>
      </c>
      <c r="DB196" s="150"/>
      <c r="DC196" s="150" t="s">
        <v>523</v>
      </c>
      <c r="DD196" s="150">
        <v>0</v>
      </c>
      <c r="DE196" s="150">
        <v>10</v>
      </c>
      <c r="DF196" s="150">
        <v>5</v>
      </c>
      <c r="DG196" s="150">
        <v>15</v>
      </c>
      <c r="DH196" s="150">
        <v>5</v>
      </c>
      <c r="DI196" s="150">
        <v>15</v>
      </c>
      <c r="DJ196" s="150">
        <v>5</v>
      </c>
      <c r="DK196" s="150">
        <v>15</v>
      </c>
      <c r="DL196" s="150">
        <v>5</v>
      </c>
      <c r="DM196" s="150">
        <v>35</v>
      </c>
      <c r="DN196" s="150">
        <v>5</v>
      </c>
      <c r="DO196" s="150">
        <v>35</v>
      </c>
      <c r="DP196" s="150">
        <v>5</v>
      </c>
      <c r="DQ196" s="181"/>
      <c r="DR196" s="181"/>
      <c r="DS196" s="181"/>
      <c r="DT196" s="150"/>
      <c r="DU196" s="150"/>
      <c r="DV196" s="150"/>
      <c r="DW196" s="150"/>
      <c r="DX196" s="150"/>
      <c r="DY196" s="150"/>
      <c r="DZ196" s="150"/>
      <c r="EA196" s="150"/>
      <c r="EB196" s="150"/>
      <c r="EC196" s="150"/>
      <c r="ED196" s="150"/>
      <c r="EE196" s="150"/>
      <c r="EF196" s="150"/>
      <c r="EG196" s="150"/>
      <c r="EH196" s="156"/>
      <c r="EI196" s="150"/>
      <c r="EJ196" s="155"/>
      <c r="EK196" s="154" t="s">
        <v>817</v>
      </c>
      <c r="EL196" s="150">
        <f>EL93</f>
        <v>0</v>
      </c>
      <c r="EM196" s="150">
        <f t="shared" ref="EM196:FI196" si="467">EM93</f>
        <v>0</v>
      </c>
      <c r="EN196" s="150">
        <f t="shared" si="467"/>
        <v>0</v>
      </c>
      <c r="EO196" s="150">
        <f t="shared" si="467"/>
        <v>4</v>
      </c>
      <c r="EP196" s="150">
        <f t="shared" si="467"/>
        <v>0</v>
      </c>
      <c r="EQ196" s="150">
        <f t="shared" si="467"/>
        <v>0</v>
      </c>
      <c r="ER196" s="150">
        <f t="shared" si="467"/>
        <v>0</v>
      </c>
      <c r="ES196" s="150">
        <f t="shared" si="467"/>
        <v>0</v>
      </c>
      <c r="ET196" s="150">
        <f t="shared" si="467"/>
        <v>0</v>
      </c>
      <c r="EU196" s="150">
        <f t="shared" si="467"/>
        <v>0</v>
      </c>
      <c r="EV196" s="150">
        <f t="shared" si="467"/>
        <v>0</v>
      </c>
      <c r="EW196" s="150">
        <f t="shared" si="467"/>
        <v>0</v>
      </c>
      <c r="EX196" s="150">
        <f t="shared" si="467"/>
        <v>0</v>
      </c>
      <c r="EY196" s="150">
        <f>EY93</f>
        <v>0</v>
      </c>
      <c r="EZ196" s="150">
        <f t="shared" si="467"/>
        <v>0</v>
      </c>
      <c r="FA196" s="150">
        <f t="shared" si="467"/>
        <v>0</v>
      </c>
      <c r="FB196" s="150">
        <f t="shared" si="467"/>
        <v>0</v>
      </c>
      <c r="FC196" s="150">
        <f t="shared" si="467"/>
        <v>0</v>
      </c>
      <c r="FD196" s="150">
        <f t="shared" si="467"/>
        <v>0</v>
      </c>
      <c r="FE196" s="150">
        <f t="shared" si="467"/>
        <v>0</v>
      </c>
      <c r="FF196" s="150">
        <f t="shared" si="467"/>
        <v>0</v>
      </c>
      <c r="FG196" s="150">
        <f t="shared" si="467"/>
        <v>0</v>
      </c>
      <c r="FH196" s="150">
        <f t="shared" si="467"/>
        <v>0</v>
      </c>
      <c r="FI196" s="150">
        <f t="shared" si="467"/>
        <v>0</v>
      </c>
      <c r="FK196" s="154" t="s">
        <v>817</v>
      </c>
      <c r="FL196" s="150">
        <f>FL93</f>
        <v>0</v>
      </c>
      <c r="FM196" s="150">
        <f t="shared" ref="FM196:GI196" si="468">FM93</f>
        <v>0</v>
      </c>
      <c r="FN196" s="150">
        <f t="shared" si="468"/>
        <v>4</v>
      </c>
      <c r="FO196" s="150">
        <f t="shared" si="468"/>
        <v>4</v>
      </c>
      <c r="FP196" s="150">
        <f t="shared" si="468"/>
        <v>0</v>
      </c>
      <c r="FQ196" s="150">
        <f t="shared" si="468"/>
        <v>0</v>
      </c>
      <c r="FR196" s="150">
        <f t="shared" si="468"/>
        <v>0</v>
      </c>
      <c r="FS196" s="150">
        <f t="shared" si="468"/>
        <v>0</v>
      </c>
      <c r="FT196" s="150">
        <f t="shared" si="468"/>
        <v>0</v>
      </c>
      <c r="FU196" s="150">
        <f t="shared" si="468"/>
        <v>0</v>
      </c>
      <c r="FV196" s="150">
        <f t="shared" si="468"/>
        <v>0</v>
      </c>
      <c r="FW196" s="150">
        <f t="shared" si="468"/>
        <v>0</v>
      </c>
      <c r="FX196" s="150">
        <f t="shared" si="468"/>
        <v>0</v>
      </c>
      <c r="FY196" s="150">
        <f t="shared" si="468"/>
        <v>0</v>
      </c>
      <c r="FZ196" s="150">
        <f t="shared" si="468"/>
        <v>0</v>
      </c>
      <c r="GA196" s="150">
        <f t="shared" si="468"/>
        <v>0</v>
      </c>
      <c r="GB196" s="150">
        <f t="shared" si="468"/>
        <v>0</v>
      </c>
      <c r="GC196" s="150">
        <f t="shared" si="468"/>
        <v>0</v>
      </c>
      <c r="GD196" s="150">
        <f t="shared" si="468"/>
        <v>0</v>
      </c>
      <c r="GE196" s="150">
        <f t="shared" si="468"/>
        <v>0</v>
      </c>
      <c r="GF196" s="150">
        <f t="shared" si="468"/>
        <v>0</v>
      </c>
      <c r="GG196" s="150">
        <f t="shared" si="468"/>
        <v>0</v>
      </c>
      <c r="GH196" s="150">
        <f t="shared" si="468"/>
        <v>0</v>
      </c>
      <c r="GI196" s="150">
        <f t="shared" si="468"/>
        <v>0</v>
      </c>
      <c r="GJ196" s="150"/>
      <c r="GK196" s="150"/>
      <c r="GL196" s="150"/>
      <c r="GM196" s="150"/>
      <c r="GN196" s="150"/>
      <c r="GO196" s="150"/>
      <c r="GP196" s="150"/>
      <c r="GQ196" s="150"/>
      <c r="GR196" s="150" t="s">
        <v>815</v>
      </c>
      <c r="GS196" s="150">
        <f t="shared" ref="GS196:HP196" si="469">GS93</f>
        <v>0</v>
      </c>
      <c r="GT196" s="150">
        <f t="shared" si="469"/>
        <v>4</v>
      </c>
      <c r="GU196" s="150">
        <f t="shared" si="469"/>
        <v>0</v>
      </c>
      <c r="GV196" s="150">
        <f t="shared" si="469"/>
        <v>0</v>
      </c>
      <c r="GW196" s="150">
        <f t="shared" si="469"/>
        <v>4</v>
      </c>
      <c r="GX196" s="150">
        <f t="shared" si="469"/>
        <v>0</v>
      </c>
      <c r="GY196" s="150">
        <f t="shared" si="469"/>
        <v>4</v>
      </c>
      <c r="GZ196" s="150">
        <f t="shared" si="469"/>
        <v>8</v>
      </c>
      <c r="HA196" s="150">
        <f t="shared" si="469"/>
        <v>12</v>
      </c>
      <c r="HB196" s="150">
        <f t="shared" si="469"/>
        <v>4</v>
      </c>
      <c r="HC196" s="150">
        <f t="shared" si="469"/>
        <v>8</v>
      </c>
      <c r="HD196" s="150">
        <f t="shared" si="469"/>
        <v>16</v>
      </c>
      <c r="HE196" s="150">
        <f t="shared" si="469"/>
        <v>8</v>
      </c>
      <c r="HF196" s="150">
        <f t="shared" si="469"/>
        <v>12</v>
      </c>
      <c r="HG196" s="150">
        <f t="shared" si="469"/>
        <v>16</v>
      </c>
      <c r="HH196" s="150">
        <f t="shared" si="469"/>
        <v>20</v>
      </c>
      <c r="HI196" s="150">
        <f t="shared" si="469"/>
        <v>12</v>
      </c>
      <c r="HJ196" s="150">
        <f t="shared" si="469"/>
        <v>20</v>
      </c>
      <c r="HK196" s="150">
        <f t="shared" si="469"/>
        <v>24</v>
      </c>
      <c r="HL196" s="150">
        <f t="shared" si="469"/>
        <v>16</v>
      </c>
      <c r="HM196" s="150">
        <f t="shared" si="469"/>
        <v>20</v>
      </c>
      <c r="HN196" s="150">
        <f t="shared" si="469"/>
        <v>24</v>
      </c>
      <c r="HO196" s="150">
        <f t="shared" si="469"/>
        <v>28</v>
      </c>
      <c r="HP196" s="150">
        <f t="shared" si="469"/>
        <v>20</v>
      </c>
      <c r="HS196" s="150" t="s">
        <v>815</v>
      </c>
      <c r="HT196" s="150">
        <f t="shared" ref="HT196:IQ196" si="470">HT93</f>
        <v>0</v>
      </c>
      <c r="HU196" s="150">
        <f t="shared" si="470"/>
        <v>4</v>
      </c>
      <c r="HV196" s="150">
        <f t="shared" si="470"/>
        <v>0</v>
      </c>
      <c r="HW196" s="150">
        <f t="shared" si="470"/>
        <v>4</v>
      </c>
      <c r="HX196" s="150">
        <f t="shared" si="470"/>
        <v>8</v>
      </c>
      <c r="HY196" s="150">
        <f t="shared" si="470"/>
        <v>0</v>
      </c>
      <c r="HZ196" s="150">
        <f t="shared" si="470"/>
        <v>8</v>
      </c>
      <c r="IA196" s="150">
        <f t="shared" si="470"/>
        <v>12</v>
      </c>
      <c r="IB196" s="150">
        <f t="shared" si="470"/>
        <v>4</v>
      </c>
      <c r="IC196" s="150">
        <f t="shared" si="470"/>
        <v>8</v>
      </c>
      <c r="ID196" s="150">
        <f t="shared" si="470"/>
        <v>16</v>
      </c>
      <c r="IE196" s="150">
        <f t="shared" si="470"/>
        <v>8</v>
      </c>
      <c r="IF196" s="150">
        <f t="shared" si="470"/>
        <v>12</v>
      </c>
      <c r="IG196" s="150">
        <f t="shared" si="470"/>
        <v>16</v>
      </c>
      <c r="IH196" s="150">
        <f t="shared" si="470"/>
        <v>20</v>
      </c>
      <c r="II196" s="150">
        <f t="shared" si="470"/>
        <v>16</v>
      </c>
      <c r="IJ196" s="150">
        <f t="shared" si="470"/>
        <v>20</v>
      </c>
      <c r="IK196" s="150">
        <f t="shared" si="470"/>
        <v>24</v>
      </c>
      <c r="IL196" s="150">
        <f t="shared" si="470"/>
        <v>16</v>
      </c>
      <c r="IM196" s="150">
        <f t="shared" si="470"/>
        <v>24</v>
      </c>
      <c r="IN196" s="150">
        <f t="shared" si="470"/>
        <v>28</v>
      </c>
      <c r="IO196" s="150">
        <f t="shared" si="470"/>
        <v>20</v>
      </c>
      <c r="IP196" s="150">
        <f t="shared" si="470"/>
        <v>24</v>
      </c>
      <c r="IQ196" s="150">
        <f t="shared" si="470"/>
        <v>32</v>
      </c>
      <c r="IT196" s="157"/>
    </row>
    <row r="197" spans="1:254" ht="15.75" thickBot="1" x14ac:dyDescent="0.3">
      <c r="A197" s="33"/>
      <c r="B197" s="5" t="s">
        <v>116</v>
      </c>
      <c r="C197" s="33"/>
      <c r="D197" s="6" t="s">
        <v>162</v>
      </c>
      <c r="E197" s="33">
        <v>0</v>
      </c>
      <c r="F197" s="5"/>
      <c r="G197" s="5"/>
      <c r="H197" s="5"/>
      <c r="I197" s="5"/>
      <c r="J197" s="5" t="s">
        <v>163</v>
      </c>
      <c r="K197" s="9"/>
      <c r="L197" s="6" t="s">
        <v>9</v>
      </c>
      <c r="M197" s="11">
        <f>INDEX(cennik!$C$2:$L$529,MATCH($L197,cennik!$B$2:$B$522,0),MATCH(M$2,cennik!$C$1:$L$1,0))</f>
        <v>856211</v>
      </c>
      <c r="N197" s="11" t="str">
        <f>INDEX(cennik!$C$2:$L$529,MATCH($L197,cennik!$B$2:$B$522,0),MATCH(N$2,cennik!$C$1:$L$1,0))</f>
        <v>szt.</v>
      </c>
      <c r="O197" s="11">
        <f>O195</f>
        <v>0</v>
      </c>
      <c r="P197" s="34">
        <f>INDEX(cennik!$C$2:$L$529,MATCH($L197,cennik!$B$2:$B$522,0),MATCH(P$2,cennik!$C$1:$L$1,0))</f>
        <v>25.2</v>
      </c>
      <c r="Q197" s="34">
        <f t="shared" si="461"/>
        <v>0</v>
      </c>
      <c r="R197" s="35">
        <f t="shared" si="462"/>
        <v>0</v>
      </c>
      <c r="S197" s="34">
        <f t="shared" si="463"/>
        <v>25.2</v>
      </c>
      <c r="T197" s="34">
        <f t="shared" si="464"/>
        <v>0</v>
      </c>
      <c r="U197" s="34">
        <f>INDEX(cennik!$C$2:$L$529,MATCH($L197,cennik!$B$2:$B$522,0),MATCH(U$2,cennik!$C$1:$L$1,0))*O197</f>
        <v>0</v>
      </c>
      <c r="V197" s="150"/>
      <c r="W197" s="150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207,$EL$166:$EX$166,0),MATCH($E$193,$AE$33:$AE$46,0)))*C207</f>
        <v>0</v>
      </c>
      <c r="X197" s="150">
        <v>0</v>
      </c>
      <c r="Y197" s="150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207,$EL$166:$EX$166,0),MATCH($E$193,$AE$33:$AE$46,0)))*C207</f>
        <v>0</v>
      </c>
      <c r="Z197" s="150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207,$EL$166:$EX$166,0),MATCH($E$193,$AE$33:$AE$46,0)))*C207</f>
        <v>0</v>
      </c>
      <c r="AA197" s="150"/>
      <c r="AB197" s="150"/>
      <c r="AC197" s="150"/>
      <c r="AD197" s="150"/>
      <c r="AE197" s="150"/>
      <c r="AF197" s="150"/>
      <c r="AG197" s="150"/>
      <c r="AH197" s="150"/>
      <c r="AI197" s="150"/>
      <c r="AJ197" s="150"/>
      <c r="AK197" s="150"/>
      <c r="AL197" s="150"/>
      <c r="AM197" s="150">
        <f>SUM(AM194:AM195)</f>
        <v>30800</v>
      </c>
      <c r="AN197" s="150"/>
      <c r="AO197" s="150">
        <f>SUM(AO194:AO196)</f>
        <v>1199.4699999999998</v>
      </c>
      <c r="AP197" s="150"/>
      <c r="AQ197" s="150"/>
      <c r="AR197" s="150"/>
      <c r="AS197" s="150"/>
      <c r="AT197" s="150"/>
      <c r="AU197" s="150"/>
      <c r="AV197" s="150"/>
      <c r="AW197" s="150"/>
      <c r="AX197" s="150"/>
      <c r="AY197" s="150"/>
      <c r="AZ197" s="150"/>
      <c r="BA197" s="150"/>
      <c r="BB197" s="150"/>
      <c r="BC197" s="150"/>
      <c r="BD197" s="150"/>
      <c r="BE197" s="150"/>
      <c r="BF197" s="150"/>
      <c r="BH197" s="158" t="s">
        <v>779</v>
      </c>
      <c r="BI197" s="160">
        <f>IF(SUM(BI195:BI196)&lt;6,0,IF(SUM(BI195:BI196)&gt;7,SUM(BI195:BI196)-5,0))</f>
        <v>0</v>
      </c>
      <c r="BJ197" s="160">
        <f t="shared" ref="BJ197:BU197" si="471">IF(SUM(BJ195:BJ196)&lt;6,0,IF(SUM(BJ195:BJ196)&gt;7,SUM(BJ195:BJ196)-5,0))</f>
        <v>0</v>
      </c>
      <c r="BK197" s="160">
        <f t="shared" si="471"/>
        <v>5</v>
      </c>
      <c r="BL197" s="160">
        <f t="shared" si="471"/>
        <v>5</v>
      </c>
      <c r="BM197" s="160">
        <f t="shared" si="471"/>
        <v>10</v>
      </c>
      <c r="BN197" s="160">
        <f t="shared" si="471"/>
        <v>10</v>
      </c>
      <c r="BO197" s="160">
        <f t="shared" si="471"/>
        <v>10</v>
      </c>
      <c r="BP197" s="160">
        <f t="shared" si="471"/>
        <v>15</v>
      </c>
      <c r="BQ197" s="160">
        <f t="shared" si="471"/>
        <v>15</v>
      </c>
      <c r="BR197" s="160">
        <f t="shared" si="471"/>
        <v>20</v>
      </c>
      <c r="BS197" s="160">
        <f t="shared" si="471"/>
        <v>20</v>
      </c>
      <c r="BT197" s="160">
        <f t="shared" si="471"/>
        <v>20</v>
      </c>
      <c r="BU197" s="160">
        <f t="shared" si="471"/>
        <v>25</v>
      </c>
      <c r="BV197" s="160"/>
      <c r="BW197" s="158" t="s">
        <v>779</v>
      </c>
      <c r="BX197" s="160">
        <f>IF(SUM(BX195:BX196)&lt;6,0,IF(SUM(BX195:BX196)&gt;7,SUM(BX195:BX196)-5,0))</f>
        <v>0</v>
      </c>
      <c r="BY197" s="160">
        <f t="shared" ref="BY197:CJ197" si="472">IF(SUM(CP185:CP186)&lt;6,0,IF(SUM(CP185:CP186)&gt;7,SUM(CP185:CP186)-5,0))</f>
        <v>0</v>
      </c>
      <c r="BZ197" s="160">
        <f t="shared" si="472"/>
        <v>5</v>
      </c>
      <c r="CA197" s="160">
        <f t="shared" si="472"/>
        <v>5</v>
      </c>
      <c r="CB197" s="160">
        <f t="shared" si="472"/>
        <v>10</v>
      </c>
      <c r="CC197" s="160">
        <f t="shared" si="472"/>
        <v>10</v>
      </c>
      <c r="CD197" s="160">
        <f t="shared" si="472"/>
        <v>15</v>
      </c>
      <c r="CE197" s="160">
        <f t="shared" si="472"/>
        <v>15</v>
      </c>
      <c r="CF197" s="160">
        <f t="shared" si="472"/>
        <v>20</v>
      </c>
      <c r="CG197" s="160">
        <f t="shared" si="472"/>
        <v>25</v>
      </c>
      <c r="CH197" s="160">
        <f t="shared" si="472"/>
        <v>20</v>
      </c>
      <c r="CI197" s="160">
        <f t="shared" si="472"/>
        <v>30</v>
      </c>
      <c r="CJ197" s="160">
        <f t="shared" si="472"/>
        <v>25</v>
      </c>
      <c r="CK197" s="160"/>
      <c r="CL197" s="160"/>
      <c r="CM197" s="160"/>
      <c r="CN197" s="158" t="s">
        <v>779</v>
      </c>
      <c r="CO197" s="160">
        <f>IF(SUM(CO195:CO196)&lt;6,0,IF(SUM(CO195:CO196)&gt;7,SUM(CO195:CO196)-5,0))</f>
        <v>0</v>
      </c>
      <c r="CP197" s="160">
        <f t="shared" ref="CP197:DA197" si="473">IF(SUM(CP195:CP196)&lt;6,0,IF(SUM(CP195:CP196)&gt;7,SUM(CP195:CP196)-5,0))</f>
        <v>0</v>
      </c>
      <c r="CQ197" s="160">
        <f t="shared" si="473"/>
        <v>5</v>
      </c>
      <c r="CR197" s="160">
        <f t="shared" si="473"/>
        <v>5</v>
      </c>
      <c r="CS197" s="160">
        <f t="shared" si="473"/>
        <v>10</v>
      </c>
      <c r="CT197" s="160">
        <f t="shared" si="473"/>
        <v>10</v>
      </c>
      <c r="CU197" s="160">
        <f t="shared" si="473"/>
        <v>15</v>
      </c>
      <c r="CV197" s="160">
        <f t="shared" si="473"/>
        <v>15</v>
      </c>
      <c r="CW197" s="160">
        <f t="shared" si="473"/>
        <v>20</v>
      </c>
      <c r="CX197" s="160">
        <f t="shared" si="473"/>
        <v>20</v>
      </c>
      <c r="CY197" s="160">
        <f t="shared" si="473"/>
        <v>30</v>
      </c>
      <c r="CZ197" s="160">
        <f t="shared" si="473"/>
        <v>25</v>
      </c>
      <c r="DA197" s="160">
        <f t="shared" si="473"/>
        <v>35</v>
      </c>
      <c r="DB197" s="160"/>
      <c r="DC197" s="158" t="s">
        <v>779</v>
      </c>
      <c r="DD197" s="160">
        <f>IF(SUM(DD195:DD196)&lt;6,0,IF(SUM(DD195:DD196)&gt;7,SUM(DD195:DD196)-5,0))</f>
        <v>0</v>
      </c>
      <c r="DE197" s="160">
        <f t="shared" ref="DE197:DP197" si="474">IF(SUM(DE195:DE196)&lt;6,0,IF(SUM(DE195:DE196)&gt;7,SUM(DE195:DE196)-5,0))</f>
        <v>5</v>
      </c>
      <c r="DF197" s="160">
        <f t="shared" si="474"/>
        <v>5</v>
      </c>
      <c r="DG197" s="160">
        <f t="shared" si="474"/>
        <v>10</v>
      </c>
      <c r="DH197" s="160">
        <f t="shared" si="474"/>
        <v>10</v>
      </c>
      <c r="DI197" s="160">
        <f t="shared" si="474"/>
        <v>15</v>
      </c>
      <c r="DJ197" s="160">
        <f t="shared" si="474"/>
        <v>15</v>
      </c>
      <c r="DK197" s="160">
        <f t="shared" si="474"/>
        <v>20</v>
      </c>
      <c r="DL197" s="160">
        <f t="shared" si="474"/>
        <v>20</v>
      </c>
      <c r="DM197" s="160">
        <f t="shared" si="474"/>
        <v>30</v>
      </c>
      <c r="DN197" s="160">
        <f t="shared" si="474"/>
        <v>25</v>
      </c>
      <c r="DO197" s="160">
        <f t="shared" si="474"/>
        <v>35</v>
      </c>
      <c r="DP197" s="160">
        <f t="shared" si="474"/>
        <v>30</v>
      </c>
      <c r="DQ197" s="184"/>
      <c r="DR197" s="184"/>
      <c r="DS197" s="184"/>
      <c r="DT197" s="160"/>
      <c r="DU197" s="160"/>
      <c r="DV197" s="160"/>
      <c r="DW197" s="160"/>
      <c r="DX197" s="160"/>
      <c r="DY197" s="160"/>
      <c r="DZ197" s="160"/>
      <c r="EA197" s="160"/>
      <c r="EB197" s="160"/>
      <c r="EC197" s="160"/>
      <c r="ED197" s="160"/>
      <c r="EE197" s="160"/>
      <c r="EF197" s="160"/>
      <c r="EG197" s="160"/>
      <c r="EH197" s="161"/>
      <c r="EI197" s="150"/>
      <c r="EJ197" s="155"/>
      <c r="EK197" s="150" t="s">
        <v>815</v>
      </c>
      <c r="EL197" s="150">
        <f t="shared" ref="EL197:FI197" si="475">EL94</f>
        <v>0</v>
      </c>
      <c r="EM197" s="150">
        <f t="shared" si="475"/>
        <v>0</v>
      </c>
      <c r="EN197" s="150">
        <f t="shared" si="475"/>
        <v>4</v>
      </c>
      <c r="EO197" s="150">
        <f t="shared" si="475"/>
        <v>0</v>
      </c>
      <c r="EP197" s="150">
        <f t="shared" si="475"/>
        <v>0</v>
      </c>
      <c r="EQ197" s="150">
        <f t="shared" si="475"/>
        <v>4</v>
      </c>
      <c r="ER197" s="150">
        <f t="shared" si="475"/>
        <v>0</v>
      </c>
      <c r="ES197" s="150">
        <f t="shared" si="475"/>
        <v>0</v>
      </c>
      <c r="ET197" s="150">
        <f t="shared" si="475"/>
        <v>4</v>
      </c>
      <c r="EU197" s="150">
        <f t="shared" si="475"/>
        <v>8</v>
      </c>
      <c r="EV197" s="150">
        <f t="shared" si="475"/>
        <v>0</v>
      </c>
      <c r="EW197" s="150">
        <f t="shared" si="475"/>
        <v>4</v>
      </c>
      <c r="EX197" s="150">
        <f t="shared" si="475"/>
        <v>8</v>
      </c>
      <c r="EY197" s="150">
        <f t="shared" si="475"/>
        <v>0</v>
      </c>
      <c r="EZ197" s="150">
        <f t="shared" si="475"/>
        <v>4</v>
      </c>
      <c r="FA197" s="150">
        <f t="shared" si="475"/>
        <v>8</v>
      </c>
      <c r="FB197" s="150">
        <f t="shared" si="475"/>
        <v>0</v>
      </c>
      <c r="FC197" s="150">
        <f t="shared" si="475"/>
        <v>4</v>
      </c>
      <c r="FD197" s="150">
        <f t="shared" si="475"/>
        <v>8</v>
      </c>
      <c r="FE197" s="150">
        <f t="shared" si="475"/>
        <v>0</v>
      </c>
      <c r="FF197" s="150">
        <f t="shared" si="475"/>
        <v>4</v>
      </c>
      <c r="FG197" s="150">
        <f t="shared" si="475"/>
        <v>8</v>
      </c>
      <c r="FH197" s="150">
        <f t="shared" si="475"/>
        <v>0</v>
      </c>
      <c r="FI197" s="150">
        <f t="shared" si="475"/>
        <v>4</v>
      </c>
      <c r="FJ197" s="150"/>
      <c r="FK197" s="150" t="s">
        <v>815</v>
      </c>
      <c r="FL197" s="150">
        <f t="shared" ref="FL197:GI197" si="476">FL94</f>
        <v>0</v>
      </c>
      <c r="FM197" s="150">
        <f t="shared" si="476"/>
        <v>4</v>
      </c>
      <c r="FN197" s="150">
        <f t="shared" si="476"/>
        <v>0</v>
      </c>
      <c r="FO197" s="150">
        <f t="shared" si="476"/>
        <v>0</v>
      </c>
      <c r="FP197" s="150">
        <f t="shared" si="476"/>
        <v>4</v>
      </c>
      <c r="FQ197" s="150">
        <f t="shared" si="476"/>
        <v>8</v>
      </c>
      <c r="FR197" s="150">
        <f t="shared" si="476"/>
        <v>0</v>
      </c>
      <c r="FS197" s="150">
        <f t="shared" si="476"/>
        <v>4</v>
      </c>
      <c r="FT197" s="150">
        <f t="shared" si="476"/>
        <v>8</v>
      </c>
      <c r="FU197" s="150">
        <f t="shared" si="476"/>
        <v>0</v>
      </c>
      <c r="FV197" s="150">
        <f t="shared" si="476"/>
        <v>4</v>
      </c>
      <c r="FW197" s="150">
        <f t="shared" si="476"/>
        <v>8</v>
      </c>
      <c r="FX197" s="150">
        <f t="shared" si="476"/>
        <v>0</v>
      </c>
      <c r="FY197" s="150">
        <f t="shared" si="476"/>
        <v>8</v>
      </c>
      <c r="FZ197" s="150">
        <f t="shared" si="476"/>
        <v>0</v>
      </c>
      <c r="GA197" s="150">
        <f t="shared" si="476"/>
        <v>4</v>
      </c>
      <c r="GB197" s="150">
        <f t="shared" si="476"/>
        <v>8</v>
      </c>
      <c r="GC197" s="150">
        <f t="shared" si="476"/>
        <v>0</v>
      </c>
      <c r="GD197" s="150">
        <f t="shared" si="476"/>
        <v>4</v>
      </c>
      <c r="GE197" s="150">
        <f t="shared" si="476"/>
        <v>8</v>
      </c>
      <c r="GF197" s="150">
        <f t="shared" si="476"/>
        <v>0</v>
      </c>
      <c r="GG197" s="150">
        <f t="shared" si="476"/>
        <v>4</v>
      </c>
      <c r="GH197" s="150">
        <f t="shared" si="476"/>
        <v>8</v>
      </c>
      <c r="GI197" s="150">
        <f t="shared" si="476"/>
        <v>0</v>
      </c>
      <c r="GJ197" s="150"/>
      <c r="GK197" s="150"/>
      <c r="GL197" s="150"/>
      <c r="GM197" s="150"/>
      <c r="GN197" s="150"/>
      <c r="GO197" s="150"/>
      <c r="GP197" s="150"/>
      <c r="GQ197" s="150"/>
      <c r="GR197" s="150" t="s">
        <v>813</v>
      </c>
      <c r="GS197" s="150">
        <f t="shared" ref="GS197:HP197" si="477">GS94</f>
        <v>0</v>
      </c>
      <c r="GT197" s="150">
        <f t="shared" si="477"/>
        <v>0</v>
      </c>
      <c r="GU197" s="150">
        <f t="shared" si="477"/>
        <v>0</v>
      </c>
      <c r="GV197" s="150">
        <f t="shared" si="477"/>
        <v>0</v>
      </c>
      <c r="GW197" s="150">
        <f t="shared" si="477"/>
        <v>4</v>
      </c>
      <c r="GX197" s="150">
        <f t="shared" si="477"/>
        <v>12</v>
      </c>
      <c r="GY197" s="150">
        <f t="shared" si="477"/>
        <v>8</v>
      </c>
      <c r="GZ197" s="150">
        <f t="shared" si="477"/>
        <v>4</v>
      </c>
      <c r="HA197" s="150">
        <f t="shared" si="477"/>
        <v>0</v>
      </c>
      <c r="HB197" s="150">
        <f t="shared" si="477"/>
        <v>12</v>
      </c>
      <c r="HC197" s="150">
        <f t="shared" si="477"/>
        <v>8</v>
      </c>
      <c r="HD197" s="150">
        <f t="shared" si="477"/>
        <v>0</v>
      </c>
      <c r="HE197" s="150">
        <f t="shared" si="477"/>
        <v>12</v>
      </c>
      <c r="HF197" s="150">
        <f t="shared" si="477"/>
        <v>8</v>
      </c>
      <c r="HG197" s="150">
        <f t="shared" si="477"/>
        <v>4</v>
      </c>
      <c r="HH197" s="150">
        <f t="shared" si="477"/>
        <v>0</v>
      </c>
      <c r="HI197" s="150">
        <f t="shared" si="477"/>
        <v>12</v>
      </c>
      <c r="HJ197" s="150">
        <f t="shared" si="477"/>
        <v>4</v>
      </c>
      <c r="HK197" s="150">
        <f t="shared" si="477"/>
        <v>0</v>
      </c>
      <c r="HL197" s="150">
        <f t="shared" si="477"/>
        <v>12</v>
      </c>
      <c r="HM197" s="150">
        <f t="shared" si="477"/>
        <v>8</v>
      </c>
      <c r="HN197" s="150">
        <f t="shared" si="477"/>
        <v>4</v>
      </c>
      <c r="HO197" s="150">
        <f t="shared" si="477"/>
        <v>0</v>
      </c>
      <c r="HP197" s="150">
        <f t="shared" si="477"/>
        <v>12</v>
      </c>
      <c r="HS197" s="150" t="s">
        <v>813</v>
      </c>
      <c r="HT197" s="150">
        <f t="shared" ref="HT197:IQ197" si="478">HT94</f>
        <v>0</v>
      </c>
      <c r="HU197" s="150">
        <f t="shared" si="478"/>
        <v>0</v>
      </c>
      <c r="HV197" s="150">
        <f t="shared" si="478"/>
        <v>0</v>
      </c>
      <c r="HW197" s="150">
        <f t="shared" si="478"/>
        <v>4</v>
      </c>
      <c r="HX197" s="150">
        <f t="shared" si="478"/>
        <v>0</v>
      </c>
      <c r="HY197" s="150">
        <f t="shared" si="478"/>
        <v>12</v>
      </c>
      <c r="HZ197" s="150">
        <f t="shared" si="478"/>
        <v>4</v>
      </c>
      <c r="IA197" s="150">
        <f t="shared" si="478"/>
        <v>0</v>
      </c>
      <c r="IB197" s="150">
        <f t="shared" si="478"/>
        <v>12</v>
      </c>
      <c r="IC197" s="150">
        <f t="shared" si="478"/>
        <v>8</v>
      </c>
      <c r="ID197" s="150">
        <f t="shared" si="478"/>
        <v>0</v>
      </c>
      <c r="IE197" s="150">
        <f t="shared" si="478"/>
        <v>12</v>
      </c>
      <c r="IF197" s="150">
        <f t="shared" si="478"/>
        <v>8</v>
      </c>
      <c r="IG197" s="150">
        <f t="shared" si="478"/>
        <v>4</v>
      </c>
      <c r="IH197" s="150">
        <f t="shared" si="478"/>
        <v>0</v>
      </c>
      <c r="II197" s="150">
        <f t="shared" si="478"/>
        <v>8</v>
      </c>
      <c r="IJ197" s="150">
        <f t="shared" si="478"/>
        <v>4</v>
      </c>
      <c r="IK197" s="150">
        <f t="shared" si="478"/>
        <v>0</v>
      </c>
      <c r="IL197" s="150">
        <f t="shared" si="478"/>
        <v>12</v>
      </c>
      <c r="IM197" s="150">
        <f t="shared" si="478"/>
        <v>4</v>
      </c>
      <c r="IN197" s="150">
        <f t="shared" si="478"/>
        <v>0</v>
      </c>
      <c r="IO197" s="150">
        <f t="shared" si="478"/>
        <v>12</v>
      </c>
      <c r="IP197" s="150">
        <f t="shared" si="478"/>
        <v>8</v>
      </c>
      <c r="IQ197" s="150">
        <f t="shared" si="478"/>
        <v>0</v>
      </c>
      <c r="IT197" s="157"/>
    </row>
    <row r="198" spans="1:254" x14ac:dyDescent="0.25">
      <c r="A198" s="33"/>
      <c r="B198" s="5" t="s">
        <v>116</v>
      </c>
      <c r="C198" s="33"/>
      <c r="D198" s="6" t="s">
        <v>515</v>
      </c>
      <c r="E198" s="33">
        <v>0</v>
      </c>
      <c r="F198" s="5"/>
      <c r="G198" s="5"/>
      <c r="H198" s="5"/>
      <c r="I198" s="5"/>
      <c r="J198" s="5" t="s">
        <v>412</v>
      </c>
      <c r="K198" s="9"/>
      <c r="L198" s="6" t="s">
        <v>208</v>
      </c>
      <c r="M198" s="11">
        <f>INDEX(cennik!$C$2:$L$529,MATCH($L198,cennik!$B$2:$B$522,0),MATCH(M$2,cennik!$C$1:$L$1,0))</f>
        <v>851117</v>
      </c>
      <c r="N198" s="11" t="str">
        <f>INDEX(cennik!$C$2:$L$529,MATCH($L198,cennik!$B$2:$B$522,0),MATCH(N$2,cennik!$C$1:$L$1,0))</f>
        <v>szt.</v>
      </c>
      <c r="O198" s="11">
        <f>O195</f>
        <v>0</v>
      </c>
      <c r="P198" s="34">
        <f>INDEX(cennik!$C$2:$L$529,MATCH($L198,cennik!$B$2:$B$522,0),MATCH(P$2,cennik!$C$1:$L$1,0))</f>
        <v>35.700000000000003</v>
      </c>
      <c r="Q198" s="34">
        <f t="shared" si="461"/>
        <v>0</v>
      </c>
      <c r="R198" s="35">
        <f t="shared" si="462"/>
        <v>0</v>
      </c>
      <c r="S198" s="34">
        <f t="shared" si="463"/>
        <v>35.700000000000003</v>
      </c>
      <c r="T198" s="34">
        <f>O198*S198</f>
        <v>0</v>
      </c>
      <c r="U198" s="34">
        <f>INDEX(cennik!$C$2:$L$529,MATCH($L198,cennik!$B$2:$B$522,0),MATCH(U$2,cennik!$C$1:$L$1,0))*O198</f>
        <v>0</v>
      </c>
      <c r="V198" s="150"/>
      <c r="AG198" s="150"/>
      <c r="AH198" s="150"/>
      <c r="AI198" s="150"/>
      <c r="AJ198" s="150"/>
      <c r="AK198" s="150">
        <f>(AD178-1)*2900</f>
        <v>-2900</v>
      </c>
      <c r="AL198" s="150"/>
      <c r="AM198" s="150"/>
      <c r="AN198" s="150"/>
      <c r="AO198" s="150"/>
      <c r="AP198" s="150"/>
      <c r="AQ198" s="150"/>
      <c r="AR198" s="150"/>
      <c r="AS198" s="150"/>
      <c r="AT198" s="150"/>
      <c r="AU198" s="150"/>
      <c r="AV198" s="150"/>
      <c r="AW198" s="150"/>
      <c r="AX198" s="150"/>
      <c r="AY198" s="150"/>
      <c r="AZ198" s="150"/>
      <c r="BA198" s="150"/>
      <c r="BB198" s="150"/>
      <c r="BC198" s="150"/>
      <c r="BD198" s="150"/>
      <c r="BE198" s="150"/>
      <c r="BF198" s="150"/>
      <c r="BG198" s="150"/>
      <c r="BH198" s="150"/>
      <c r="BI198" s="150"/>
      <c r="BJ198" s="150"/>
      <c r="BK198" s="150"/>
      <c r="BL198" s="150"/>
      <c r="BM198" s="150"/>
      <c r="BN198" s="150"/>
      <c r="BO198" s="150"/>
      <c r="BP198" s="150"/>
      <c r="BQ198" s="150"/>
      <c r="BR198" s="150"/>
      <c r="BS198" s="150"/>
      <c r="BT198" s="150"/>
      <c r="BU198" s="150"/>
      <c r="BV198" s="150"/>
      <c r="BW198" s="150"/>
      <c r="BX198" s="150"/>
      <c r="BY198" s="150"/>
      <c r="BZ198" s="150"/>
      <c r="CA198" s="150"/>
      <c r="CB198" s="150"/>
      <c r="CC198" s="150"/>
      <c r="CD198" s="150"/>
      <c r="CE198" s="150"/>
      <c r="CF198" s="150"/>
      <c r="CG198" s="150"/>
      <c r="CH198" s="150"/>
      <c r="CI198" s="150"/>
      <c r="CJ198" s="150"/>
      <c r="CK198" s="150"/>
      <c r="CL198" s="150"/>
      <c r="CM198" s="150"/>
      <c r="CN198" s="150"/>
      <c r="CO198" s="150"/>
      <c r="CP198" s="150"/>
      <c r="CQ198" s="150"/>
      <c r="CR198" s="150"/>
      <c r="CS198" s="150"/>
      <c r="CT198" s="150"/>
      <c r="CU198" s="150"/>
      <c r="CV198" s="150"/>
      <c r="CW198" s="150"/>
      <c r="CX198" s="150"/>
      <c r="CY198" s="150"/>
      <c r="CZ198" s="150"/>
      <c r="DA198" s="150"/>
      <c r="DB198" s="150"/>
      <c r="DC198" s="150"/>
      <c r="DD198" s="150"/>
      <c r="DE198" s="150"/>
      <c r="DF198" s="150"/>
      <c r="DG198" s="150"/>
      <c r="DH198" s="150"/>
      <c r="DI198" s="150"/>
      <c r="DJ198" s="150"/>
      <c r="DK198" s="150"/>
      <c r="DL198" s="150"/>
      <c r="DM198" s="150"/>
      <c r="DN198" s="150"/>
      <c r="DO198" s="150"/>
      <c r="DP198" s="150"/>
      <c r="DQ198" s="181"/>
      <c r="DR198" s="181"/>
      <c r="DS198" s="181"/>
      <c r="DT198" s="150"/>
      <c r="DU198" s="150"/>
      <c r="DV198" s="150"/>
      <c r="DW198" s="150"/>
      <c r="DX198" s="150"/>
      <c r="DY198" s="150"/>
      <c r="DZ198" s="150"/>
      <c r="EA198" s="150"/>
      <c r="EB198" s="150"/>
      <c r="EC198" s="150"/>
      <c r="ED198" s="150"/>
      <c r="EE198" s="150"/>
      <c r="EF198" s="150"/>
      <c r="EG198" s="150"/>
      <c r="EH198" s="150"/>
      <c r="EI198" s="150"/>
      <c r="EJ198" s="155"/>
      <c r="EK198" s="150" t="s">
        <v>813</v>
      </c>
      <c r="EL198" s="150">
        <f t="shared" ref="EL198:FI198" si="479">EL95</f>
        <v>0</v>
      </c>
      <c r="EM198" s="150">
        <f t="shared" si="479"/>
        <v>4</v>
      </c>
      <c r="EN198" s="150">
        <f t="shared" si="479"/>
        <v>0</v>
      </c>
      <c r="EO198" s="150">
        <f t="shared" si="479"/>
        <v>0</v>
      </c>
      <c r="EP198" s="150">
        <f t="shared" si="479"/>
        <v>8</v>
      </c>
      <c r="EQ198" s="150">
        <f t="shared" si="479"/>
        <v>4</v>
      </c>
      <c r="ER198" s="150">
        <f t="shared" si="479"/>
        <v>12</v>
      </c>
      <c r="ES198" s="150">
        <f t="shared" si="479"/>
        <v>12</v>
      </c>
      <c r="ET198" s="150">
        <f t="shared" si="479"/>
        <v>8</v>
      </c>
      <c r="EU198" s="150">
        <f t="shared" si="479"/>
        <v>4</v>
      </c>
      <c r="EV198" s="150">
        <f t="shared" si="479"/>
        <v>16</v>
      </c>
      <c r="EW198" s="150">
        <f t="shared" si="479"/>
        <v>12</v>
      </c>
      <c r="EX198" s="150">
        <f t="shared" si="479"/>
        <v>8</v>
      </c>
      <c r="EY198" s="150">
        <f t="shared" si="479"/>
        <v>20</v>
      </c>
      <c r="EZ198" s="150">
        <f t="shared" si="479"/>
        <v>16</v>
      </c>
      <c r="FA198" s="150">
        <f t="shared" si="479"/>
        <v>12</v>
      </c>
      <c r="FB198" s="150">
        <f t="shared" si="479"/>
        <v>24</v>
      </c>
      <c r="FC198" s="150">
        <f t="shared" si="479"/>
        <v>20</v>
      </c>
      <c r="FD198" s="150">
        <f t="shared" si="479"/>
        <v>16</v>
      </c>
      <c r="FE198" s="150">
        <f t="shared" si="479"/>
        <v>28</v>
      </c>
      <c r="FF198" s="150">
        <f t="shared" si="479"/>
        <v>24</v>
      </c>
      <c r="FG198" s="150">
        <f t="shared" si="479"/>
        <v>20</v>
      </c>
      <c r="FH198" s="150">
        <f t="shared" si="479"/>
        <v>32</v>
      </c>
      <c r="FI198" s="150">
        <f t="shared" si="479"/>
        <v>28</v>
      </c>
      <c r="FJ198" s="150"/>
      <c r="FK198" s="150" t="s">
        <v>813</v>
      </c>
      <c r="FL198" s="150">
        <f t="shared" ref="FL198:GI198" si="480">FL95</f>
        <v>0</v>
      </c>
      <c r="FM198" s="150">
        <f t="shared" si="480"/>
        <v>0</v>
      </c>
      <c r="FN198" s="150">
        <f t="shared" si="480"/>
        <v>0</v>
      </c>
      <c r="FO198" s="150">
        <f t="shared" si="480"/>
        <v>0</v>
      </c>
      <c r="FP198" s="150">
        <f t="shared" si="480"/>
        <v>4</v>
      </c>
      <c r="FQ198" s="150">
        <f t="shared" si="480"/>
        <v>0</v>
      </c>
      <c r="FR198" s="150">
        <f t="shared" si="480"/>
        <v>12</v>
      </c>
      <c r="FS198" s="150">
        <f t="shared" si="480"/>
        <v>8</v>
      </c>
      <c r="FT198" s="150">
        <f t="shared" si="480"/>
        <v>4</v>
      </c>
      <c r="FU198" s="150">
        <f t="shared" si="480"/>
        <v>16</v>
      </c>
      <c r="FV198" s="150">
        <f t="shared" si="480"/>
        <v>12</v>
      </c>
      <c r="FW198" s="150">
        <f t="shared" si="480"/>
        <v>8</v>
      </c>
      <c r="FX198" s="150">
        <f t="shared" si="480"/>
        <v>20</v>
      </c>
      <c r="FY198" s="150">
        <f t="shared" si="480"/>
        <v>12</v>
      </c>
      <c r="FZ198" s="150">
        <f t="shared" si="480"/>
        <v>24</v>
      </c>
      <c r="GA198" s="150">
        <f t="shared" si="480"/>
        <v>20</v>
      </c>
      <c r="GB198" s="150">
        <f t="shared" si="480"/>
        <v>16</v>
      </c>
      <c r="GC198" s="150">
        <f t="shared" si="480"/>
        <v>28</v>
      </c>
      <c r="GD198" s="150">
        <f t="shared" si="480"/>
        <v>24</v>
      </c>
      <c r="GE198" s="150">
        <f t="shared" si="480"/>
        <v>20</v>
      </c>
      <c r="GF198" s="150">
        <f t="shared" si="480"/>
        <v>32</v>
      </c>
      <c r="GG198" s="150">
        <f t="shared" si="480"/>
        <v>28</v>
      </c>
      <c r="GH198" s="150">
        <f t="shared" si="480"/>
        <v>24</v>
      </c>
      <c r="GI198" s="150">
        <f t="shared" si="480"/>
        <v>36</v>
      </c>
      <c r="GJ198" s="150"/>
      <c r="GK198" s="150"/>
      <c r="GL198" s="150"/>
      <c r="GM198" s="150"/>
      <c r="GN198" s="150"/>
      <c r="GO198" s="150"/>
      <c r="GP198" s="150"/>
      <c r="GQ198" s="150"/>
      <c r="GR198" s="158" t="s">
        <v>819</v>
      </c>
      <c r="GS198" s="150">
        <f t="shared" ref="GS198:HP198" si="481">GS95</f>
        <v>0</v>
      </c>
      <c r="GT198" s="150">
        <f t="shared" si="481"/>
        <v>0</v>
      </c>
      <c r="GU198" s="150">
        <f t="shared" si="481"/>
        <v>0</v>
      </c>
      <c r="GV198" s="150">
        <f t="shared" si="481"/>
        <v>0</v>
      </c>
      <c r="GW198" s="150">
        <f t="shared" si="481"/>
        <v>4</v>
      </c>
      <c r="GX198" s="150">
        <f t="shared" si="481"/>
        <v>8</v>
      </c>
      <c r="GY198" s="150">
        <f t="shared" si="481"/>
        <v>8</v>
      </c>
      <c r="GZ198" s="150">
        <f t="shared" si="481"/>
        <v>8</v>
      </c>
      <c r="HA198" s="150">
        <f t="shared" si="481"/>
        <v>8</v>
      </c>
      <c r="HB198" s="150">
        <f t="shared" si="481"/>
        <v>12</v>
      </c>
      <c r="HC198" s="150">
        <f t="shared" si="481"/>
        <v>12</v>
      </c>
      <c r="HD198" s="150">
        <f t="shared" si="481"/>
        <v>12</v>
      </c>
      <c r="HE198" s="150">
        <f t="shared" si="481"/>
        <v>16</v>
      </c>
      <c r="HF198" s="150">
        <f t="shared" si="481"/>
        <v>16</v>
      </c>
      <c r="HG198" s="150">
        <f t="shared" si="481"/>
        <v>16</v>
      </c>
      <c r="HH198" s="150">
        <f t="shared" si="481"/>
        <v>16</v>
      </c>
      <c r="HI198" s="150">
        <f t="shared" si="481"/>
        <v>20</v>
      </c>
      <c r="HJ198" s="150">
        <f t="shared" si="481"/>
        <v>20</v>
      </c>
      <c r="HK198" s="150">
        <f t="shared" si="481"/>
        <v>20</v>
      </c>
      <c r="HL198" s="150">
        <f t="shared" si="481"/>
        <v>24</v>
      </c>
      <c r="HM198" s="150">
        <f t="shared" si="481"/>
        <v>24</v>
      </c>
      <c r="HN198" s="150">
        <f t="shared" si="481"/>
        <v>24</v>
      </c>
      <c r="HO198" s="150">
        <f t="shared" si="481"/>
        <v>24</v>
      </c>
      <c r="HP198" s="150">
        <f t="shared" si="481"/>
        <v>28</v>
      </c>
      <c r="HS198" s="158" t="s">
        <v>819</v>
      </c>
      <c r="HT198" s="150">
        <f t="shared" ref="HT198:IQ198" si="482">HT95</f>
        <v>0</v>
      </c>
      <c r="HU198" s="150">
        <f t="shared" si="482"/>
        <v>0</v>
      </c>
      <c r="HV198" s="150">
        <f t="shared" si="482"/>
        <v>0</v>
      </c>
      <c r="HW198" s="150">
        <f t="shared" si="482"/>
        <v>4</v>
      </c>
      <c r="HX198" s="150">
        <f t="shared" si="482"/>
        <v>4</v>
      </c>
      <c r="HY198" s="150">
        <f t="shared" si="482"/>
        <v>8</v>
      </c>
      <c r="HZ198" s="150">
        <f t="shared" si="482"/>
        <v>8</v>
      </c>
      <c r="IA198" s="150">
        <f t="shared" si="482"/>
        <v>8</v>
      </c>
      <c r="IB198" s="150">
        <f t="shared" si="482"/>
        <v>12</v>
      </c>
      <c r="IC198" s="150">
        <f t="shared" si="482"/>
        <v>12</v>
      </c>
      <c r="ID198" s="150">
        <f t="shared" si="482"/>
        <v>12</v>
      </c>
      <c r="IE198" s="150">
        <f t="shared" si="482"/>
        <v>16</v>
      </c>
      <c r="IF198" s="150">
        <f t="shared" si="482"/>
        <v>16</v>
      </c>
      <c r="IG198" s="150">
        <f t="shared" si="482"/>
        <v>16</v>
      </c>
      <c r="IH198" s="150">
        <f t="shared" si="482"/>
        <v>16</v>
      </c>
      <c r="II198" s="150">
        <f t="shared" si="482"/>
        <v>20</v>
      </c>
      <c r="IJ198" s="150">
        <f t="shared" si="482"/>
        <v>20</v>
      </c>
      <c r="IK198" s="150">
        <f t="shared" si="482"/>
        <v>20</v>
      </c>
      <c r="IL198" s="150">
        <f t="shared" si="482"/>
        <v>24</v>
      </c>
      <c r="IM198" s="150">
        <f t="shared" si="482"/>
        <v>24</v>
      </c>
      <c r="IN198" s="150">
        <f t="shared" si="482"/>
        <v>24</v>
      </c>
      <c r="IO198" s="150">
        <f t="shared" si="482"/>
        <v>28</v>
      </c>
      <c r="IP198" s="150">
        <f t="shared" si="482"/>
        <v>28</v>
      </c>
      <c r="IQ198" s="150">
        <f t="shared" si="482"/>
        <v>28</v>
      </c>
      <c r="IT198" s="157"/>
    </row>
    <row r="199" spans="1:254" ht="15.75" thickBot="1" x14ac:dyDescent="0.3">
      <c r="A199" s="33"/>
      <c r="B199" s="5" t="s">
        <v>116</v>
      </c>
      <c r="C199" s="33"/>
      <c r="D199" s="6" t="s">
        <v>511</v>
      </c>
      <c r="E199" s="4"/>
      <c r="F199" s="6"/>
      <c r="G199" s="6"/>
      <c r="H199" s="6"/>
      <c r="I199" s="6"/>
      <c r="J199" s="1"/>
      <c r="K199" s="9"/>
      <c r="L199" s="6" t="s">
        <v>212</v>
      </c>
      <c r="M199" s="11">
        <f>INDEX(cennik!$C$2:$L$529,MATCH($L199,cennik!$B$2:$B$522,0),MATCH(M$2,cennik!$C$1:$L$1,0))</f>
        <v>851135</v>
      </c>
      <c r="N199" s="11" t="str">
        <f>INDEX(cennik!$C$2:$L$529,MATCH($L199,cennik!$B$2:$B$522,0),MATCH(N$2,cennik!$C$1:$L$1,0))</f>
        <v>szt.</v>
      </c>
      <c r="O199" s="11">
        <f>SUM(AA180:AA195)*4</f>
        <v>0</v>
      </c>
      <c r="P199" s="34">
        <f>INDEX(cennik!$C$2:$L$529,MATCH($L199,cennik!$B$2:$B$522,0),MATCH(P$2,cennik!$C$1:$L$1,0))</f>
        <v>73.5</v>
      </c>
      <c r="Q199" s="34">
        <f t="shared" si="461"/>
        <v>0</v>
      </c>
      <c r="R199" s="35">
        <f t="shared" si="462"/>
        <v>0</v>
      </c>
      <c r="S199" s="34">
        <f t="shared" si="463"/>
        <v>73.5</v>
      </c>
      <c r="T199" s="34">
        <f t="shared" si="464"/>
        <v>0</v>
      </c>
      <c r="U199" s="34">
        <f>INDEX(cennik!$C$2:$L$529,MATCH($L199,cennik!$B$2:$B$522,0),MATCH(U$2,cennik!$C$1:$L$1,0))*O199</f>
        <v>0</v>
      </c>
      <c r="V199" s="150"/>
      <c r="AG199" s="150"/>
      <c r="AH199" s="150"/>
      <c r="AI199" s="150"/>
      <c r="AJ199" s="150"/>
      <c r="AK199" s="150"/>
      <c r="AL199" s="150"/>
      <c r="AM199" s="150"/>
      <c r="AN199" s="150"/>
      <c r="AO199" s="150"/>
      <c r="AP199" s="150"/>
      <c r="AQ199" s="150"/>
      <c r="AR199" s="150"/>
      <c r="AS199" s="150"/>
      <c r="AT199" s="150"/>
      <c r="AU199" s="150"/>
      <c r="AV199" s="150"/>
      <c r="AW199" s="150"/>
      <c r="AX199" s="150"/>
      <c r="AY199" s="150"/>
      <c r="AZ199" s="150"/>
      <c r="BA199" s="150"/>
      <c r="BB199" s="150"/>
      <c r="BC199" s="150"/>
      <c r="BD199" s="150"/>
      <c r="BE199" s="150"/>
      <c r="BF199" s="150"/>
      <c r="BG199" s="150"/>
      <c r="BV199" s="150"/>
      <c r="BW199" s="150"/>
      <c r="BX199" s="150"/>
      <c r="BY199" s="150"/>
      <c r="BZ199" s="150"/>
      <c r="CA199" s="150"/>
      <c r="CB199" s="150"/>
      <c r="CC199" s="150"/>
      <c r="CD199" s="150"/>
      <c r="CE199" s="150"/>
      <c r="CF199" s="150"/>
      <c r="CG199" s="150"/>
      <c r="CH199" s="150"/>
      <c r="CI199" s="150"/>
      <c r="CJ199" s="150"/>
      <c r="CK199" s="150"/>
      <c r="CL199" s="150"/>
      <c r="CM199" s="150"/>
      <c r="CN199" s="150"/>
      <c r="CO199" s="150"/>
      <c r="CP199" s="150"/>
      <c r="CQ199" s="150"/>
      <c r="CR199" s="150"/>
      <c r="CS199" s="150"/>
      <c r="CT199" s="150"/>
      <c r="CU199" s="150"/>
      <c r="CV199" s="150"/>
      <c r="CW199" s="150"/>
      <c r="CX199" s="150"/>
      <c r="CY199" s="150"/>
      <c r="CZ199" s="150"/>
      <c r="DA199" s="150"/>
      <c r="DB199" s="150"/>
      <c r="DC199" s="150"/>
      <c r="DD199" s="150"/>
      <c r="DE199" s="150"/>
      <c r="DF199" s="150"/>
      <c r="DG199" s="150"/>
      <c r="DH199" s="150"/>
      <c r="DI199" s="150"/>
      <c r="DJ199" s="150"/>
      <c r="DK199" s="150"/>
      <c r="DL199" s="150"/>
      <c r="DM199" s="150"/>
      <c r="DN199" s="150"/>
      <c r="DO199" s="150"/>
      <c r="DP199" s="150"/>
      <c r="DQ199" s="181"/>
      <c r="DR199" s="181"/>
      <c r="DS199" s="181"/>
      <c r="DT199" s="150"/>
      <c r="DU199" s="150"/>
      <c r="DV199" s="150"/>
      <c r="DW199" s="150"/>
      <c r="DX199" s="150"/>
      <c r="DY199" s="150"/>
      <c r="DZ199" s="150"/>
      <c r="EA199" s="150"/>
      <c r="EB199" s="150"/>
      <c r="EC199" s="150"/>
      <c r="ED199" s="150"/>
      <c r="EE199" s="150"/>
      <c r="EF199" s="150"/>
      <c r="EG199" s="150"/>
      <c r="EH199" s="150"/>
      <c r="EI199" s="150"/>
      <c r="EJ199" s="155"/>
      <c r="EK199" s="158" t="s">
        <v>819</v>
      </c>
      <c r="EL199" s="150">
        <f t="shared" ref="EL199:FI199" si="483">EL96</f>
        <v>0</v>
      </c>
      <c r="EM199" s="150">
        <f t="shared" si="483"/>
        <v>0</v>
      </c>
      <c r="EN199" s="150">
        <f t="shared" si="483"/>
        <v>0</v>
      </c>
      <c r="EO199" s="150">
        <f t="shared" si="483"/>
        <v>0</v>
      </c>
      <c r="EP199" s="150">
        <f t="shared" si="483"/>
        <v>4</v>
      </c>
      <c r="EQ199" s="150">
        <f t="shared" si="483"/>
        <v>4</v>
      </c>
      <c r="ER199" s="150">
        <f t="shared" si="483"/>
        <v>8</v>
      </c>
      <c r="ES199" s="150">
        <f t="shared" si="483"/>
        <v>8</v>
      </c>
      <c r="ET199" s="150">
        <f t="shared" si="483"/>
        <v>8</v>
      </c>
      <c r="EU199" s="150">
        <f t="shared" si="483"/>
        <v>8</v>
      </c>
      <c r="EV199" s="150">
        <f t="shared" si="483"/>
        <v>12</v>
      </c>
      <c r="EW199" s="150">
        <f t="shared" si="483"/>
        <v>12</v>
      </c>
      <c r="EX199" s="150">
        <f t="shared" si="483"/>
        <v>12</v>
      </c>
      <c r="EY199" s="150">
        <f t="shared" si="483"/>
        <v>16</v>
      </c>
      <c r="EZ199" s="150">
        <f t="shared" si="483"/>
        <v>16</v>
      </c>
      <c r="FA199" s="150">
        <f t="shared" si="483"/>
        <v>16</v>
      </c>
      <c r="FB199" s="150">
        <f t="shared" si="483"/>
        <v>20</v>
      </c>
      <c r="FC199" s="150">
        <f t="shared" si="483"/>
        <v>20</v>
      </c>
      <c r="FD199" s="150">
        <f t="shared" si="483"/>
        <v>20</v>
      </c>
      <c r="FE199" s="150">
        <f t="shared" si="483"/>
        <v>24</v>
      </c>
      <c r="FF199" s="150">
        <f t="shared" si="483"/>
        <v>24</v>
      </c>
      <c r="FG199" s="150">
        <f t="shared" si="483"/>
        <v>24</v>
      </c>
      <c r="FH199" s="150">
        <f t="shared" si="483"/>
        <v>28</v>
      </c>
      <c r="FI199" s="150">
        <f t="shared" si="483"/>
        <v>28</v>
      </c>
      <c r="FJ199" s="150"/>
      <c r="FK199" s="158" t="s">
        <v>819</v>
      </c>
      <c r="FL199" s="150">
        <f t="shared" ref="FL199:GI199" si="484">FL96</f>
        <v>0</v>
      </c>
      <c r="FM199" s="150">
        <f t="shared" si="484"/>
        <v>0</v>
      </c>
      <c r="FN199" s="150">
        <f t="shared" si="484"/>
        <v>0</v>
      </c>
      <c r="FO199" s="150">
        <f t="shared" si="484"/>
        <v>0</v>
      </c>
      <c r="FP199" s="150">
        <f t="shared" si="484"/>
        <v>4</v>
      </c>
      <c r="FQ199" s="150">
        <f t="shared" si="484"/>
        <v>4</v>
      </c>
      <c r="FR199" s="150">
        <f t="shared" si="484"/>
        <v>8</v>
      </c>
      <c r="FS199" s="150">
        <f t="shared" si="484"/>
        <v>8</v>
      </c>
      <c r="FT199" s="150">
        <f t="shared" si="484"/>
        <v>8</v>
      </c>
      <c r="FU199" s="150">
        <f t="shared" si="484"/>
        <v>12</v>
      </c>
      <c r="FV199" s="150">
        <f t="shared" si="484"/>
        <v>12</v>
      </c>
      <c r="FW199" s="150">
        <f t="shared" si="484"/>
        <v>12</v>
      </c>
      <c r="FX199" s="150">
        <f t="shared" si="484"/>
        <v>16</v>
      </c>
      <c r="FY199" s="150">
        <f t="shared" si="484"/>
        <v>16</v>
      </c>
      <c r="FZ199" s="150">
        <f t="shared" si="484"/>
        <v>20</v>
      </c>
      <c r="GA199" s="150">
        <f t="shared" si="484"/>
        <v>20</v>
      </c>
      <c r="GB199" s="150">
        <f t="shared" si="484"/>
        <v>20</v>
      </c>
      <c r="GC199" s="150">
        <f t="shared" si="484"/>
        <v>24</v>
      </c>
      <c r="GD199" s="150">
        <f t="shared" si="484"/>
        <v>24</v>
      </c>
      <c r="GE199" s="150">
        <f t="shared" si="484"/>
        <v>24</v>
      </c>
      <c r="GF199" s="150">
        <f t="shared" si="484"/>
        <v>28</v>
      </c>
      <c r="GG199" s="150">
        <f t="shared" si="484"/>
        <v>28</v>
      </c>
      <c r="GH199" s="150">
        <f t="shared" si="484"/>
        <v>28</v>
      </c>
      <c r="GI199" s="150">
        <f t="shared" si="484"/>
        <v>32</v>
      </c>
      <c r="GJ199" s="150"/>
      <c r="GK199" s="150"/>
      <c r="GL199" s="150"/>
      <c r="GM199" s="150"/>
      <c r="GN199" s="150"/>
      <c r="GO199" s="150"/>
      <c r="GP199" s="150"/>
      <c r="GQ199" s="150"/>
      <c r="GR199" s="150" t="s">
        <v>700</v>
      </c>
      <c r="GS199" s="150">
        <f t="shared" ref="GS199:HP199" si="485">GS96</f>
        <v>0</v>
      </c>
      <c r="GT199" s="150">
        <f t="shared" si="485"/>
        <v>0</v>
      </c>
      <c r="GU199" s="150">
        <f t="shared" si="485"/>
        <v>0</v>
      </c>
      <c r="GV199" s="150">
        <f t="shared" si="485"/>
        <v>0</v>
      </c>
      <c r="GW199" s="150">
        <f t="shared" si="485"/>
        <v>4</v>
      </c>
      <c r="GX199" s="150">
        <f t="shared" si="485"/>
        <v>8</v>
      </c>
      <c r="GY199" s="150">
        <f t="shared" si="485"/>
        <v>8</v>
      </c>
      <c r="GZ199" s="150">
        <f t="shared" si="485"/>
        <v>8</v>
      </c>
      <c r="HA199" s="150">
        <f t="shared" si="485"/>
        <v>8</v>
      </c>
      <c r="HB199" s="150">
        <f t="shared" si="485"/>
        <v>12</v>
      </c>
      <c r="HC199" s="150">
        <f t="shared" si="485"/>
        <v>12</v>
      </c>
      <c r="HD199" s="150">
        <f t="shared" si="485"/>
        <v>12</v>
      </c>
      <c r="HE199" s="150">
        <f t="shared" si="485"/>
        <v>16</v>
      </c>
      <c r="HF199" s="150">
        <f t="shared" si="485"/>
        <v>16</v>
      </c>
      <c r="HG199" s="150">
        <f t="shared" si="485"/>
        <v>16</v>
      </c>
      <c r="HH199" s="150">
        <f t="shared" si="485"/>
        <v>16</v>
      </c>
      <c r="HI199" s="150">
        <f t="shared" si="485"/>
        <v>20</v>
      </c>
      <c r="HJ199" s="150">
        <f t="shared" si="485"/>
        <v>20</v>
      </c>
      <c r="HK199" s="150">
        <f t="shared" si="485"/>
        <v>20</v>
      </c>
      <c r="HL199" s="150">
        <f t="shared" si="485"/>
        <v>24</v>
      </c>
      <c r="HM199" s="150">
        <f t="shared" si="485"/>
        <v>24</v>
      </c>
      <c r="HN199" s="150">
        <f t="shared" si="485"/>
        <v>24</v>
      </c>
      <c r="HO199" s="150">
        <f t="shared" si="485"/>
        <v>24</v>
      </c>
      <c r="HP199" s="150">
        <f t="shared" si="485"/>
        <v>28</v>
      </c>
      <c r="HS199" s="150" t="s">
        <v>700</v>
      </c>
      <c r="HT199" s="150">
        <f t="shared" ref="HT199:IQ199" si="486">HT96</f>
        <v>0</v>
      </c>
      <c r="HU199" s="150">
        <f t="shared" si="486"/>
        <v>0</v>
      </c>
      <c r="HV199" s="150">
        <f t="shared" si="486"/>
        <v>0</v>
      </c>
      <c r="HW199" s="150">
        <f t="shared" si="486"/>
        <v>4</v>
      </c>
      <c r="HX199" s="150">
        <f t="shared" si="486"/>
        <v>4</v>
      </c>
      <c r="HY199" s="150">
        <f t="shared" si="486"/>
        <v>8</v>
      </c>
      <c r="HZ199" s="150">
        <f t="shared" si="486"/>
        <v>8</v>
      </c>
      <c r="IA199" s="150">
        <f t="shared" si="486"/>
        <v>8</v>
      </c>
      <c r="IB199" s="150">
        <f t="shared" si="486"/>
        <v>12</v>
      </c>
      <c r="IC199" s="150">
        <f t="shared" si="486"/>
        <v>12</v>
      </c>
      <c r="ID199" s="150">
        <f t="shared" si="486"/>
        <v>12</v>
      </c>
      <c r="IE199" s="150">
        <f t="shared" si="486"/>
        <v>16</v>
      </c>
      <c r="IF199" s="150">
        <f t="shared" si="486"/>
        <v>16</v>
      </c>
      <c r="IG199" s="150">
        <f t="shared" si="486"/>
        <v>16</v>
      </c>
      <c r="IH199" s="150">
        <f t="shared" si="486"/>
        <v>16</v>
      </c>
      <c r="II199" s="150">
        <f t="shared" si="486"/>
        <v>20</v>
      </c>
      <c r="IJ199" s="150">
        <f t="shared" si="486"/>
        <v>20</v>
      </c>
      <c r="IK199" s="150">
        <f t="shared" si="486"/>
        <v>20</v>
      </c>
      <c r="IL199" s="150">
        <f t="shared" si="486"/>
        <v>24</v>
      </c>
      <c r="IM199" s="150">
        <f t="shared" si="486"/>
        <v>24</v>
      </c>
      <c r="IN199" s="150">
        <f t="shared" si="486"/>
        <v>24</v>
      </c>
      <c r="IO199" s="150">
        <f t="shared" si="486"/>
        <v>28</v>
      </c>
      <c r="IP199" s="150">
        <f t="shared" si="486"/>
        <v>28</v>
      </c>
      <c r="IQ199" s="150">
        <f t="shared" si="486"/>
        <v>28</v>
      </c>
      <c r="IT199" s="157"/>
    </row>
    <row r="200" spans="1:254" x14ac:dyDescent="0.25">
      <c r="A200" s="33"/>
      <c r="B200" s="5" t="s">
        <v>116</v>
      </c>
      <c r="C200" s="33"/>
      <c r="D200" s="9"/>
      <c r="E200" s="9"/>
      <c r="F200" s="9"/>
      <c r="G200" s="9"/>
      <c r="H200" s="9"/>
      <c r="I200" s="9"/>
      <c r="J200" s="9"/>
      <c r="K200" s="9"/>
      <c r="L200" s="6" t="s">
        <v>528</v>
      </c>
      <c r="M200" s="11" t="e">
        <f>INDEX(cennik!$C$2:$L$529,MATCH($L200,cennik!$B$2:$B$522,0),MATCH(M$2,cennik!$C$1:$L$1,0))</f>
        <v>#N/A</v>
      </c>
      <c r="N200" s="11" t="e">
        <f>INDEX(cennik!$C$2:$L$529,MATCH($L200,cennik!$B$2:$B$522,0),MATCH(N$2,cennik!$C$1:$L$1,0))</f>
        <v>#N/A</v>
      </c>
      <c r="O200" s="11">
        <f>O195</f>
        <v>0</v>
      </c>
      <c r="P200" s="34" t="e">
        <f>INDEX(cennik!$C$2:$L$529,MATCH($L200,cennik!$B$2:$B$522,0),MATCH(P$2,cennik!$C$1:$L$1,0))</f>
        <v>#N/A</v>
      </c>
      <c r="Q200" s="34" t="e">
        <f t="shared" si="461"/>
        <v>#N/A</v>
      </c>
      <c r="R200" s="35">
        <f t="shared" si="462"/>
        <v>0</v>
      </c>
      <c r="S200" s="34" t="e">
        <f t="shared" si="463"/>
        <v>#N/A</v>
      </c>
      <c r="T200" s="34" t="e">
        <f t="shared" si="464"/>
        <v>#N/A</v>
      </c>
      <c r="U200" s="34" t="e">
        <f>INDEX(cennik!$C$2:$L$529,MATCH($L200,cennik!$B$2:$B$522,0),MATCH(U$2,cennik!$C$1:$L$1,0))*O200</f>
        <v>#N/A</v>
      </c>
      <c r="V200" s="150"/>
      <c r="AG200" s="150"/>
      <c r="AH200" s="150"/>
      <c r="AI200" s="150">
        <v>0</v>
      </c>
      <c r="AJ200" s="176">
        <v>0</v>
      </c>
      <c r="AK200" s="150">
        <v>0</v>
      </c>
      <c r="AL200" s="150"/>
      <c r="AM200" s="150"/>
      <c r="AN200" s="150"/>
      <c r="AO200" s="150"/>
      <c r="AP200" s="150"/>
      <c r="AQ200" s="150"/>
      <c r="AR200" s="150"/>
      <c r="AS200" s="150"/>
      <c r="AT200" s="150"/>
      <c r="AU200" s="150"/>
      <c r="AV200" s="150"/>
      <c r="AW200" s="150"/>
      <c r="AX200" s="150"/>
      <c r="AY200" s="150"/>
      <c r="AZ200" s="150"/>
      <c r="BA200" s="150"/>
      <c r="BB200" s="150"/>
      <c r="BC200" s="150"/>
      <c r="BD200" s="150"/>
      <c r="BE200" s="150"/>
      <c r="BF200" s="150"/>
      <c r="BG200" s="150"/>
      <c r="BH200" s="177" t="s">
        <v>111</v>
      </c>
      <c r="BI200" s="162">
        <v>0</v>
      </c>
      <c r="BJ200" s="162">
        <v>8</v>
      </c>
      <c r="BK200" s="162">
        <v>12</v>
      </c>
      <c r="BL200" s="162">
        <v>16</v>
      </c>
      <c r="BM200" s="162">
        <v>20</v>
      </c>
      <c r="BN200" s="162">
        <v>24</v>
      </c>
      <c r="BO200" s="162">
        <v>28</v>
      </c>
      <c r="BP200" s="162">
        <v>32</v>
      </c>
      <c r="BQ200" s="162">
        <v>36</v>
      </c>
      <c r="BR200" s="162">
        <v>40</v>
      </c>
      <c r="BS200" s="162">
        <v>44</v>
      </c>
      <c r="BT200" s="162">
        <v>48</v>
      </c>
      <c r="BU200" s="162">
        <v>52</v>
      </c>
      <c r="BV200" s="152"/>
      <c r="BW200" s="152" t="s">
        <v>473</v>
      </c>
      <c r="BX200" s="152">
        <v>0</v>
      </c>
      <c r="BY200" s="152">
        <v>8</v>
      </c>
      <c r="BZ200" s="152">
        <v>12</v>
      </c>
      <c r="CA200" s="152">
        <v>16</v>
      </c>
      <c r="CB200" s="152">
        <v>20</v>
      </c>
      <c r="CC200" s="162">
        <v>24</v>
      </c>
      <c r="CD200" s="162">
        <v>28</v>
      </c>
      <c r="CE200" s="162">
        <v>32</v>
      </c>
      <c r="CF200" s="162">
        <v>36</v>
      </c>
      <c r="CG200" s="162">
        <v>40</v>
      </c>
      <c r="CH200" s="162">
        <v>44</v>
      </c>
      <c r="CI200" s="162">
        <v>48</v>
      </c>
      <c r="CJ200" s="162">
        <v>52</v>
      </c>
      <c r="CK200" s="152"/>
      <c r="CL200" s="152"/>
      <c r="CM200" s="152"/>
      <c r="CN200" s="162" t="s">
        <v>508</v>
      </c>
      <c r="CO200" s="162">
        <v>0</v>
      </c>
      <c r="CP200" s="162">
        <v>8</v>
      </c>
      <c r="CQ200" s="162">
        <v>12</v>
      </c>
      <c r="CR200" s="162">
        <v>16</v>
      </c>
      <c r="CS200" s="162">
        <v>20</v>
      </c>
      <c r="CT200" s="162">
        <v>24</v>
      </c>
      <c r="CU200" s="162">
        <v>28</v>
      </c>
      <c r="CV200" s="162">
        <v>32</v>
      </c>
      <c r="CW200" s="162">
        <v>36</v>
      </c>
      <c r="CX200" s="162">
        <v>40</v>
      </c>
      <c r="CY200" s="162">
        <v>44</v>
      </c>
      <c r="CZ200" s="162">
        <v>48</v>
      </c>
      <c r="DA200" s="163">
        <v>52</v>
      </c>
      <c r="DB200" s="150"/>
      <c r="DC200" s="150"/>
      <c r="DD200" s="150"/>
      <c r="DE200" s="150"/>
      <c r="DF200" s="150"/>
      <c r="DG200" s="150"/>
      <c r="DH200" s="150"/>
      <c r="DI200" s="150"/>
      <c r="DJ200" s="150"/>
      <c r="DK200" s="150"/>
      <c r="DL200" s="150"/>
      <c r="DM200" s="150"/>
      <c r="DN200" s="150"/>
      <c r="DO200" s="150"/>
      <c r="DP200" s="150"/>
      <c r="DQ200" s="181"/>
      <c r="DR200" s="181"/>
      <c r="DS200" s="181"/>
      <c r="DT200" s="150"/>
      <c r="DU200" s="150"/>
      <c r="DV200" s="150"/>
      <c r="DW200" s="150"/>
      <c r="DX200" s="150"/>
      <c r="DY200" s="150"/>
      <c r="DZ200" s="150"/>
      <c r="EA200" s="150"/>
      <c r="EB200" s="150"/>
      <c r="EC200" s="150"/>
      <c r="ED200" s="150"/>
      <c r="EE200" s="150"/>
      <c r="EF200" s="150"/>
      <c r="EG200" s="150"/>
      <c r="EH200" s="150"/>
      <c r="EI200" s="150"/>
      <c r="EJ200" s="155"/>
      <c r="EK200" s="150" t="s">
        <v>700</v>
      </c>
      <c r="EL200" s="150">
        <f t="shared" ref="EL200:FI200" si="487">EL97</f>
        <v>0</v>
      </c>
      <c r="EM200" s="150">
        <f t="shared" si="487"/>
        <v>0</v>
      </c>
      <c r="EN200" s="150">
        <f t="shared" si="487"/>
        <v>0</v>
      </c>
      <c r="EO200" s="150">
        <f t="shared" si="487"/>
        <v>0</v>
      </c>
      <c r="EP200" s="150">
        <f t="shared" si="487"/>
        <v>4</v>
      </c>
      <c r="EQ200" s="150">
        <f t="shared" si="487"/>
        <v>4</v>
      </c>
      <c r="ER200" s="150">
        <f t="shared" si="487"/>
        <v>8</v>
      </c>
      <c r="ES200" s="150">
        <f t="shared" si="487"/>
        <v>8</v>
      </c>
      <c r="ET200" s="150">
        <f t="shared" si="487"/>
        <v>8</v>
      </c>
      <c r="EU200" s="150">
        <f t="shared" si="487"/>
        <v>8</v>
      </c>
      <c r="EV200" s="150">
        <f t="shared" si="487"/>
        <v>12</v>
      </c>
      <c r="EW200" s="150">
        <f t="shared" si="487"/>
        <v>12</v>
      </c>
      <c r="EX200" s="150">
        <f t="shared" si="487"/>
        <v>12</v>
      </c>
      <c r="EY200" s="150">
        <f t="shared" si="487"/>
        <v>16</v>
      </c>
      <c r="EZ200" s="150">
        <f t="shared" si="487"/>
        <v>16</v>
      </c>
      <c r="FA200" s="150">
        <f t="shared" si="487"/>
        <v>16</v>
      </c>
      <c r="FB200" s="150">
        <f t="shared" si="487"/>
        <v>20</v>
      </c>
      <c r="FC200" s="150">
        <f t="shared" si="487"/>
        <v>20</v>
      </c>
      <c r="FD200" s="150">
        <f t="shared" si="487"/>
        <v>20</v>
      </c>
      <c r="FE200" s="150">
        <f t="shared" si="487"/>
        <v>24</v>
      </c>
      <c r="FF200" s="150">
        <f t="shared" si="487"/>
        <v>24</v>
      </c>
      <c r="FG200" s="150">
        <f t="shared" si="487"/>
        <v>24</v>
      </c>
      <c r="FH200" s="150">
        <f t="shared" si="487"/>
        <v>28</v>
      </c>
      <c r="FI200" s="150">
        <f t="shared" si="487"/>
        <v>28</v>
      </c>
      <c r="FJ200" s="150"/>
      <c r="FK200" s="150" t="s">
        <v>700</v>
      </c>
      <c r="FL200" s="150">
        <f t="shared" ref="FL200:GI200" si="488">FL97</f>
        <v>0</v>
      </c>
      <c r="FM200" s="150">
        <f t="shared" si="488"/>
        <v>0</v>
      </c>
      <c r="FN200" s="150">
        <f t="shared" si="488"/>
        <v>0</v>
      </c>
      <c r="FO200" s="150">
        <f t="shared" si="488"/>
        <v>0</v>
      </c>
      <c r="FP200" s="150">
        <f t="shared" si="488"/>
        <v>4</v>
      </c>
      <c r="FQ200" s="150">
        <f t="shared" si="488"/>
        <v>4</v>
      </c>
      <c r="FR200" s="150">
        <f t="shared" si="488"/>
        <v>8</v>
      </c>
      <c r="FS200" s="150">
        <f t="shared" si="488"/>
        <v>8</v>
      </c>
      <c r="FT200" s="150">
        <f t="shared" si="488"/>
        <v>8</v>
      </c>
      <c r="FU200" s="150">
        <f t="shared" si="488"/>
        <v>12</v>
      </c>
      <c r="FV200" s="150">
        <f t="shared" si="488"/>
        <v>12</v>
      </c>
      <c r="FW200" s="150">
        <f t="shared" si="488"/>
        <v>12</v>
      </c>
      <c r="FX200" s="150">
        <f t="shared" si="488"/>
        <v>16</v>
      </c>
      <c r="FY200" s="150">
        <f t="shared" si="488"/>
        <v>16</v>
      </c>
      <c r="FZ200" s="150">
        <f t="shared" si="488"/>
        <v>20</v>
      </c>
      <c r="GA200" s="150">
        <f t="shared" si="488"/>
        <v>20</v>
      </c>
      <c r="GB200" s="150">
        <f t="shared" si="488"/>
        <v>20</v>
      </c>
      <c r="GC200" s="150">
        <f t="shared" si="488"/>
        <v>24</v>
      </c>
      <c r="GD200" s="150">
        <f t="shared" si="488"/>
        <v>24</v>
      </c>
      <c r="GE200" s="150">
        <f t="shared" si="488"/>
        <v>24</v>
      </c>
      <c r="GF200" s="150">
        <f t="shared" si="488"/>
        <v>28</v>
      </c>
      <c r="GG200" s="150">
        <f t="shared" si="488"/>
        <v>28</v>
      </c>
      <c r="GH200" s="150">
        <f t="shared" si="488"/>
        <v>28</v>
      </c>
      <c r="GI200" s="150">
        <f t="shared" si="488"/>
        <v>32</v>
      </c>
      <c r="GJ200" s="150"/>
      <c r="GK200" s="150"/>
      <c r="GL200" s="150"/>
      <c r="GM200" s="150"/>
      <c r="GN200" s="150"/>
      <c r="GO200" s="150"/>
      <c r="GP200" s="150"/>
      <c r="GQ200" s="150"/>
      <c r="GR200" s="150"/>
      <c r="GS200" s="150"/>
      <c r="GT200" s="150"/>
      <c r="GU200" s="150"/>
      <c r="GV200" s="150"/>
      <c r="GW200" s="150"/>
      <c r="GX200" s="150"/>
      <c r="GY200" s="150"/>
      <c r="GZ200" s="150"/>
      <c r="HA200" s="150"/>
      <c r="HB200" s="150"/>
      <c r="HC200" s="150"/>
      <c r="HD200" s="150"/>
      <c r="HE200" s="150"/>
      <c r="HF200" s="150"/>
      <c r="HG200" s="150"/>
      <c r="HH200" s="150"/>
      <c r="IT200" s="157"/>
    </row>
    <row r="201" spans="1:254" x14ac:dyDescent="0.25">
      <c r="A201" s="33"/>
      <c r="B201" s="5" t="s">
        <v>116</v>
      </c>
      <c r="C201" s="33"/>
      <c r="D201" s="9"/>
      <c r="E201" s="9"/>
      <c r="F201" s="9"/>
      <c r="G201" s="9"/>
      <c r="H201" s="9"/>
      <c r="I201" s="9"/>
      <c r="J201" s="9"/>
      <c r="K201" s="9"/>
      <c r="L201" s="6" t="s">
        <v>522</v>
      </c>
      <c r="M201" s="11">
        <f>INDEX(cennik!$C$2:$L$529,MATCH($L201,cennik!$B$2:$B$522,0),MATCH(M$2,cennik!$C$1:$L$1,0))</f>
        <v>867644</v>
      </c>
      <c r="N201" s="11" t="str">
        <f>INDEX(cennik!$C$2:$L$529,MATCH($L201,cennik!$B$2:$B$522,0),MATCH(N$2,cennik!$C$1:$L$1,0))</f>
        <v>szt.</v>
      </c>
      <c r="O201" s="11">
        <f>SUM(Y182:Y197)</f>
        <v>0</v>
      </c>
      <c r="P201" s="34">
        <f>INDEX(cennik!$C$2:$L$529,MATCH($L201,cennik!$B$2:$B$522,0),MATCH(P$2,cennik!$C$1:$L$1,0))</f>
        <v>176.8</v>
      </c>
      <c r="Q201" s="34">
        <f>O201*P201</f>
        <v>0</v>
      </c>
      <c r="R201" s="35">
        <f t="shared" si="462"/>
        <v>0</v>
      </c>
      <c r="S201" s="34">
        <f t="shared" si="463"/>
        <v>176.8</v>
      </c>
      <c r="T201" s="34">
        <f>O201*S201</f>
        <v>0</v>
      </c>
      <c r="U201" s="34">
        <f>INDEX(cennik!$C$2:$L$529,MATCH($L201,cennik!$B$2:$B$522,0),MATCH(U$2,cennik!$C$1:$L$1,0))*O201</f>
        <v>0</v>
      </c>
      <c r="V201" s="150"/>
      <c r="AG201" s="150"/>
      <c r="AH201" s="150"/>
      <c r="AI201" s="150">
        <v>1</v>
      </c>
      <c r="AJ201" s="150" t="s">
        <v>697</v>
      </c>
      <c r="AK201" s="150">
        <v>2</v>
      </c>
      <c r="AL201" s="150"/>
      <c r="AM201" s="150"/>
      <c r="AN201" s="150"/>
      <c r="AO201" s="150"/>
      <c r="AP201" s="150"/>
      <c r="AQ201" s="150"/>
      <c r="AR201" s="150"/>
      <c r="AS201" s="150"/>
      <c r="AT201" s="150"/>
      <c r="AU201" s="150"/>
      <c r="AV201" s="150"/>
      <c r="AW201" s="150"/>
      <c r="AX201" s="150"/>
      <c r="AY201" s="150"/>
      <c r="AZ201" s="150"/>
      <c r="BA201" s="150"/>
      <c r="BB201" s="150"/>
      <c r="BC201" s="150"/>
      <c r="BD201" s="150"/>
      <c r="BE201" s="150"/>
      <c r="BF201" s="150"/>
      <c r="BG201" s="150"/>
      <c r="BH201" s="178" t="s">
        <v>586</v>
      </c>
      <c r="BI201" s="154">
        <v>0</v>
      </c>
      <c r="BJ201" s="154">
        <v>0</v>
      </c>
      <c r="BK201" s="154">
        <v>0</v>
      </c>
      <c r="BL201" s="154">
        <v>0</v>
      </c>
      <c r="BM201" s="154">
        <v>0</v>
      </c>
      <c r="BN201" s="154">
        <v>0</v>
      </c>
      <c r="BO201" s="154">
        <v>0</v>
      </c>
      <c r="BP201" s="154">
        <v>0</v>
      </c>
      <c r="BQ201" s="154">
        <v>0</v>
      </c>
      <c r="BR201" s="154">
        <v>0</v>
      </c>
      <c r="BS201" s="154">
        <v>0</v>
      </c>
      <c r="BT201" s="154">
        <v>0</v>
      </c>
      <c r="BU201" s="154">
        <v>0</v>
      </c>
      <c r="BV201" s="150"/>
      <c r="BW201" s="150" t="s">
        <v>586</v>
      </c>
      <c r="BX201" s="150">
        <v>0</v>
      </c>
      <c r="BY201" s="150">
        <v>0</v>
      </c>
      <c r="BZ201" s="150">
        <v>0</v>
      </c>
      <c r="CA201" s="150">
        <v>0</v>
      </c>
      <c r="CB201" s="150">
        <v>0</v>
      </c>
      <c r="CC201" s="154">
        <v>0</v>
      </c>
      <c r="CD201" s="154">
        <v>0</v>
      </c>
      <c r="CE201" s="154">
        <v>0</v>
      </c>
      <c r="CF201" s="154">
        <v>0</v>
      </c>
      <c r="CG201" s="154">
        <v>0</v>
      </c>
      <c r="CH201" s="154">
        <v>0</v>
      </c>
      <c r="CI201" s="154">
        <v>0</v>
      </c>
      <c r="CJ201" s="154">
        <v>0</v>
      </c>
      <c r="CK201" s="150"/>
      <c r="CL201" s="150"/>
      <c r="CM201" s="150"/>
      <c r="CN201" s="154" t="s">
        <v>586</v>
      </c>
      <c r="CO201" s="154">
        <v>0</v>
      </c>
      <c r="CP201" s="154">
        <v>5</v>
      </c>
      <c r="CQ201" s="154">
        <v>0</v>
      </c>
      <c r="CR201" s="154">
        <v>0</v>
      </c>
      <c r="CS201" s="154">
        <v>0</v>
      </c>
      <c r="CT201" s="154">
        <v>0</v>
      </c>
      <c r="CU201" s="154">
        <v>0</v>
      </c>
      <c r="CV201" s="154">
        <v>0</v>
      </c>
      <c r="CW201" s="154">
        <v>0</v>
      </c>
      <c r="CX201" s="154">
        <v>0</v>
      </c>
      <c r="CY201" s="154">
        <v>0</v>
      </c>
      <c r="CZ201" s="154">
        <v>0</v>
      </c>
      <c r="DA201" s="157">
        <v>0</v>
      </c>
      <c r="DB201" s="150"/>
      <c r="DC201" s="150"/>
      <c r="DD201" s="150"/>
      <c r="DE201" s="150"/>
      <c r="DF201" s="150"/>
      <c r="DG201" s="150"/>
      <c r="DH201" s="150"/>
      <c r="DI201" s="150"/>
      <c r="DJ201" s="150"/>
      <c r="DK201" s="150"/>
      <c r="DL201" s="150"/>
      <c r="DM201" s="150"/>
      <c r="DN201" s="150"/>
      <c r="DO201" s="150"/>
      <c r="DP201" s="150"/>
      <c r="DQ201" s="181"/>
      <c r="DR201" s="181"/>
      <c r="DS201" s="181"/>
      <c r="DT201" s="150"/>
      <c r="DU201" s="150"/>
      <c r="DV201" s="150"/>
      <c r="DW201" s="150"/>
      <c r="DX201" s="150"/>
      <c r="DY201" s="150"/>
      <c r="DZ201" s="150"/>
      <c r="EA201" s="150"/>
      <c r="EB201" s="150"/>
      <c r="EC201" s="150"/>
      <c r="ED201" s="150"/>
      <c r="EE201" s="150"/>
      <c r="EF201" s="150"/>
      <c r="EG201" s="150"/>
      <c r="EH201" s="150"/>
      <c r="EI201" s="150"/>
      <c r="EJ201" s="155"/>
      <c r="EK201" s="150"/>
      <c r="EL201" s="150"/>
      <c r="EM201" s="150"/>
      <c r="EN201" s="150"/>
      <c r="EO201" s="150"/>
      <c r="EP201" s="150"/>
      <c r="EQ201" s="150"/>
      <c r="ER201" s="150"/>
      <c r="ES201" s="150"/>
      <c r="ET201" s="150"/>
      <c r="EU201" s="150"/>
      <c r="EV201" s="150"/>
      <c r="EW201" s="150"/>
      <c r="EX201" s="150"/>
      <c r="EY201" s="150"/>
      <c r="EZ201" s="150"/>
      <c r="FA201" s="150"/>
      <c r="FB201" s="150"/>
      <c r="FC201" s="150"/>
      <c r="FD201" s="150"/>
      <c r="FE201" s="150"/>
      <c r="FF201" s="150"/>
      <c r="FG201" s="150"/>
      <c r="FH201" s="150"/>
      <c r="FI201" s="150"/>
      <c r="FJ201" s="150"/>
      <c r="FK201" s="150"/>
      <c r="FL201" s="150"/>
      <c r="FM201" s="150"/>
      <c r="FN201" s="150"/>
      <c r="FO201" s="150"/>
      <c r="FP201" s="150"/>
      <c r="FQ201" s="150"/>
      <c r="FR201" s="150"/>
      <c r="FS201" s="150"/>
      <c r="FT201" s="150"/>
      <c r="FU201" s="150"/>
      <c r="FV201" s="150"/>
      <c r="FW201" s="150"/>
      <c r="FX201" s="150"/>
      <c r="FY201" s="150"/>
      <c r="FZ201" s="150"/>
      <c r="GA201" s="150"/>
      <c r="GB201" s="150"/>
      <c r="GC201" s="150"/>
      <c r="GD201" s="150"/>
      <c r="GE201" s="150"/>
      <c r="GF201" s="150"/>
      <c r="GG201" s="150"/>
      <c r="GH201" s="150"/>
      <c r="GI201" s="150"/>
      <c r="GJ201" s="150"/>
      <c r="GK201" s="150"/>
      <c r="GL201" s="150"/>
      <c r="GM201" s="150"/>
      <c r="GN201" s="150"/>
      <c r="GO201" s="150"/>
      <c r="GP201" s="150"/>
      <c r="GQ201" s="150"/>
      <c r="GR201" s="150"/>
      <c r="GS201" s="150"/>
      <c r="GT201" s="150"/>
      <c r="GU201" s="150"/>
      <c r="GV201" s="150"/>
      <c r="GW201" s="150"/>
      <c r="GX201" s="150"/>
      <c r="GY201" s="150"/>
      <c r="GZ201" s="150"/>
      <c r="HA201" s="150"/>
      <c r="HB201" s="150"/>
      <c r="HC201" s="150"/>
      <c r="HD201" s="150"/>
      <c r="HE201" s="150"/>
      <c r="HF201" s="150"/>
      <c r="HG201" s="150"/>
      <c r="HH201" s="150"/>
      <c r="HS201" s="154" t="s">
        <v>767</v>
      </c>
      <c r="HT201" s="154">
        <v>0</v>
      </c>
      <c r="HU201" s="154">
        <v>6</v>
      </c>
      <c r="HV201" s="154">
        <v>8</v>
      </c>
      <c r="HW201" s="154">
        <v>10</v>
      </c>
      <c r="HX201" s="154">
        <v>12</v>
      </c>
      <c r="HY201" s="154">
        <v>14</v>
      </c>
      <c r="HZ201" s="154">
        <v>16</v>
      </c>
      <c r="IA201" s="154">
        <v>18</v>
      </c>
      <c r="IB201" s="154">
        <v>20</v>
      </c>
      <c r="IC201" s="154">
        <v>22</v>
      </c>
      <c r="ID201" s="154">
        <v>24</v>
      </c>
      <c r="IE201" s="154">
        <v>26</v>
      </c>
      <c r="IF201" s="154">
        <v>28</v>
      </c>
      <c r="IG201" s="154">
        <v>30</v>
      </c>
      <c r="IH201" s="154">
        <v>32</v>
      </c>
      <c r="II201" s="154">
        <v>34</v>
      </c>
      <c r="IJ201" s="154">
        <v>36</v>
      </c>
      <c r="IK201" s="154">
        <v>38</v>
      </c>
      <c r="IL201" s="154">
        <v>40</v>
      </c>
      <c r="IM201" s="154">
        <v>42</v>
      </c>
      <c r="IN201" s="154">
        <v>44</v>
      </c>
      <c r="IO201" s="154">
        <v>46</v>
      </c>
      <c r="IP201" s="154">
        <v>48</v>
      </c>
      <c r="IQ201" s="154">
        <v>50</v>
      </c>
      <c r="IT201" s="157"/>
    </row>
    <row r="202" spans="1:254" x14ac:dyDescent="0.25">
      <c r="A202" s="33"/>
      <c r="B202" s="5" t="s">
        <v>116</v>
      </c>
      <c r="C202" s="33"/>
      <c r="D202" s="9"/>
      <c r="E202" s="9"/>
      <c r="F202" s="9"/>
      <c r="G202" s="9"/>
      <c r="H202" s="9"/>
      <c r="I202" s="9"/>
      <c r="J202" s="9"/>
      <c r="K202" s="9"/>
      <c r="L202" s="6" t="s">
        <v>523</v>
      </c>
      <c r="M202" s="11">
        <f>INDEX(cennik!$C$2:$L$529,MATCH($L202,cennik!$B$2:$B$522,0),MATCH(M$2,cennik!$C$1:$L$1,0))</f>
        <v>867633</v>
      </c>
      <c r="N202" s="11" t="str">
        <f>INDEX(cennik!$C$2:$L$529,MATCH($L202,cennik!$B$2:$B$522,0),MATCH(N$2,cennik!$C$1:$L$1,0))</f>
        <v>szt.</v>
      </c>
      <c r="O202" s="11">
        <f>SUM(Z182:Z197)</f>
        <v>0</v>
      </c>
      <c r="P202" s="34">
        <f>INDEX(cennik!$C$2:$L$529,MATCH($L202,cennik!$B$2:$B$522,0),MATCH(P$2,cennik!$C$1:$L$1,0))</f>
        <v>132.6</v>
      </c>
      <c r="Q202" s="34">
        <f>O202*P202</f>
        <v>0</v>
      </c>
      <c r="R202" s="35">
        <f t="shared" si="462"/>
        <v>0</v>
      </c>
      <c r="S202" s="34">
        <f t="shared" si="463"/>
        <v>132.6</v>
      </c>
      <c r="T202" s="34">
        <f>O202*S202</f>
        <v>0</v>
      </c>
      <c r="U202" s="34">
        <f>INDEX(cennik!$C$2:$L$529,MATCH($L202,cennik!$B$2:$B$522,0),MATCH(U$2,cennik!$C$1:$L$1,0))*O202</f>
        <v>0</v>
      </c>
      <c r="V202" s="150"/>
      <c r="AG202" s="150"/>
      <c r="AH202" s="150"/>
      <c r="AI202" s="150">
        <v>5</v>
      </c>
      <c r="AJ202" s="150" t="s">
        <v>698</v>
      </c>
      <c r="AK202" s="150">
        <v>4</v>
      </c>
      <c r="AL202" s="150"/>
      <c r="AM202" s="150"/>
      <c r="AN202" s="150"/>
      <c r="AO202" s="150"/>
      <c r="AP202" s="150"/>
      <c r="AQ202" s="150"/>
      <c r="AR202" s="150"/>
      <c r="AS202" s="150"/>
      <c r="AT202" s="150"/>
      <c r="AU202" s="150"/>
      <c r="AV202" s="150"/>
      <c r="AW202" s="150"/>
      <c r="AX202" s="150"/>
      <c r="AY202" s="150"/>
      <c r="AZ202" s="150"/>
      <c r="BA202" s="150"/>
      <c r="BB202" s="150"/>
      <c r="BC202" s="150"/>
      <c r="BD202" s="150"/>
      <c r="BE202" s="150"/>
      <c r="BF202" s="150"/>
      <c r="BG202" s="150"/>
      <c r="BH202" s="178" t="s">
        <v>522</v>
      </c>
      <c r="BI202" s="154">
        <v>0</v>
      </c>
      <c r="BJ202" s="154">
        <v>5</v>
      </c>
      <c r="BK202" s="154">
        <v>0</v>
      </c>
      <c r="BL202" s="154">
        <v>5</v>
      </c>
      <c r="BM202" s="154">
        <v>10</v>
      </c>
      <c r="BN202" s="154">
        <v>5</v>
      </c>
      <c r="BO202" s="154">
        <v>10</v>
      </c>
      <c r="BP202" s="154">
        <v>5</v>
      </c>
      <c r="BQ202" s="154">
        <v>10</v>
      </c>
      <c r="BR202" s="154">
        <v>20</v>
      </c>
      <c r="BS202" s="154">
        <v>10</v>
      </c>
      <c r="BT202" s="154">
        <v>20</v>
      </c>
      <c r="BU202" s="154">
        <v>15</v>
      </c>
      <c r="BV202" s="150"/>
      <c r="BW202" s="150" t="s">
        <v>522</v>
      </c>
      <c r="BX202" s="150">
        <v>0</v>
      </c>
      <c r="BY202" s="150">
        <v>5</v>
      </c>
      <c r="BZ202" s="150">
        <v>0</v>
      </c>
      <c r="CA202" s="150">
        <v>10</v>
      </c>
      <c r="CB202" s="150">
        <v>5</v>
      </c>
      <c r="CC202" s="154">
        <v>10</v>
      </c>
      <c r="CD202" s="154">
        <v>5</v>
      </c>
      <c r="CE202" s="154">
        <v>15</v>
      </c>
      <c r="CF202" s="154">
        <v>10</v>
      </c>
      <c r="CG202" s="154">
        <v>20</v>
      </c>
      <c r="CH202" s="154">
        <v>15</v>
      </c>
      <c r="CI202" s="154">
        <v>20</v>
      </c>
      <c r="CJ202" s="154">
        <v>30</v>
      </c>
      <c r="CK202" s="150"/>
      <c r="CL202" s="150"/>
      <c r="CM202" s="150"/>
      <c r="CN202" s="154" t="s">
        <v>522</v>
      </c>
      <c r="CO202" s="154">
        <v>0</v>
      </c>
      <c r="CP202" s="154">
        <v>0</v>
      </c>
      <c r="CQ202" s="154">
        <v>5</v>
      </c>
      <c r="CR202" s="154">
        <v>0</v>
      </c>
      <c r="CS202" s="154">
        <v>10</v>
      </c>
      <c r="CT202" s="154">
        <v>5</v>
      </c>
      <c r="CU202" s="154">
        <v>15</v>
      </c>
      <c r="CV202" s="154">
        <v>10</v>
      </c>
      <c r="CW202" s="154">
        <v>20</v>
      </c>
      <c r="CX202" s="154">
        <v>15</v>
      </c>
      <c r="CY202" s="154">
        <v>30</v>
      </c>
      <c r="CZ202" s="154">
        <v>25</v>
      </c>
      <c r="DA202" s="157">
        <v>35</v>
      </c>
      <c r="DB202" s="150"/>
      <c r="DC202" s="150"/>
      <c r="DD202" s="150"/>
      <c r="DE202" s="150"/>
      <c r="DF202" s="150"/>
      <c r="DG202" s="150"/>
      <c r="DH202" s="150"/>
      <c r="DI202" s="150"/>
      <c r="DJ202" s="150"/>
      <c r="DK202" s="150"/>
      <c r="DL202" s="150"/>
      <c r="DM202" s="150"/>
      <c r="DN202" s="150"/>
      <c r="DO202" s="150"/>
      <c r="DP202" s="150"/>
      <c r="DQ202" s="181"/>
      <c r="DR202" s="181"/>
      <c r="DS202" s="181"/>
      <c r="DT202" s="150"/>
      <c r="DU202" s="150"/>
      <c r="DV202" s="150"/>
      <c r="DW202" s="150"/>
      <c r="DX202" s="150"/>
      <c r="DY202" s="150"/>
      <c r="DZ202" s="150"/>
      <c r="EA202" s="150"/>
      <c r="EB202" s="150"/>
      <c r="EC202" s="150"/>
      <c r="ED202" s="150"/>
      <c r="EE202" s="150"/>
      <c r="EF202" s="150"/>
      <c r="EG202" s="150"/>
      <c r="EH202" s="150"/>
      <c r="EI202" s="150"/>
      <c r="EJ202" s="155"/>
      <c r="EK202" s="150"/>
      <c r="EL202" s="150"/>
      <c r="EM202" s="150"/>
      <c r="EN202" s="150"/>
      <c r="EO202" s="150"/>
      <c r="EP202" s="150"/>
      <c r="EQ202" s="150"/>
      <c r="ER202" s="150"/>
      <c r="ES202" s="150"/>
      <c r="ET202" s="150"/>
      <c r="EU202" s="150"/>
      <c r="EV202" s="150"/>
      <c r="EW202" s="150"/>
      <c r="EX202" s="150"/>
      <c r="EY202" s="150"/>
      <c r="EZ202" s="150"/>
      <c r="FA202" s="150"/>
      <c r="FB202" s="150"/>
      <c r="FC202" s="150"/>
      <c r="FD202" s="150"/>
      <c r="FE202" s="150"/>
      <c r="FF202" s="150"/>
      <c r="FG202" s="150"/>
      <c r="FH202" s="150"/>
      <c r="FI202" s="150"/>
      <c r="FJ202" s="150"/>
      <c r="FK202" s="150"/>
      <c r="FL202" s="150"/>
      <c r="FM202" s="150"/>
      <c r="FN202" s="150"/>
      <c r="FO202" s="150"/>
      <c r="FP202" s="150"/>
      <c r="FQ202" s="150"/>
      <c r="FR202" s="150"/>
      <c r="FS202" s="150"/>
      <c r="FT202" s="150"/>
      <c r="FU202" s="150"/>
      <c r="FV202" s="150"/>
      <c r="FW202" s="150"/>
      <c r="FX202" s="150"/>
      <c r="FY202" s="150"/>
      <c r="FZ202" s="150"/>
      <c r="GA202" s="150"/>
      <c r="GB202" s="150"/>
      <c r="GC202" s="150"/>
      <c r="GD202" s="150"/>
      <c r="GE202" s="150"/>
      <c r="GF202" s="150"/>
      <c r="GG202" s="150"/>
      <c r="GH202" s="150"/>
      <c r="GI202" s="150"/>
      <c r="GJ202" s="150"/>
      <c r="GK202" s="150"/>
      <c r="GL202" s="150"/>
      <c r="GM202" s="150"/>
      <c r="GN202" s="150"/>
      <c r="GO202" s="150"/>
      <c r="GP202" s="150"/>
      <c r="GQ202" s="150"/>
      <c r="GR202" s="150"/>
      <c r="GS202" s="150"/>
      <c r="GT202" s="150"/>
      <c r="GU202" s="150"/>
      <c r="GV202" s="150"/>
      <c r="GW202" s="150"/>
      <c r="GX202" s="150"/>
      <c r="GY202" s="150"/>
      <c r="GZ202" s="150"/>
      <c r="HA202" s="150"/>
      <c r="HB202" s="150"/>
      <c r="HC202" s="150"/>
      <c r="HD202" s="150"/>
      <c r="HE202" s="150"/>
      <c r="HF202" s="150"/>
      <c r="HG202" s="150"/>
      <c r="HH202" s="150"/>
      <c r="HS202" s="154" t="s">
        <v>817</v>
      </c>
      <c r="HT202" s="150">
        <f>HT99</f>
        <v>0</v>
      </c>
      <c r="HU202" s="150">
        <f t="shared" ref="HU202:IQ202" si="489">HU99</f>
        <v>0</v>
      </c>
      <c r="HV202" s="150">
        <f t="shared" si="489"/>
        <v>4</v>
      </c>
      <c r="HW202" s="150">
        <f t="shared" si="489"/>
        <v>0</v>
      </c>
      <c r="HX202" s="150">
        <f t="shared" si="489"/>
        <v>0</v>
      </c>
      <c r="HY202" s="150">
        <f t="shared" si="489"/>
        <v>0</v>
      </c>
      <c r="HZ202" s="150">
        <f t="shared" si="489"/>
        <v>0</v>
      </c>
      <c r="IA202" s="150">
        <f t="shared" si="489"/>
        <v>0</v>
      </c>
      <c r="IB202" s="150">
        <f t="shared" si="489"/>
        <v>0</v>
      </c>
      <c r="IC202" s="150">
        <f t="shared" si="489"/>
        <v>0</v>
      </c>
      <c r="ID202" s="150">
        <f t="shared" si="489"/>
        <v>0</v>
      </c>
      <c r="IE202" s="150">
        <f t="shared" si="489"/>
        <v>0</v>
      </c>
      <c r="IF202" s="150">
        <f t="shared" si="489"/>
        <v>0</v>
      </c>
      <c r="IG202" s="150">
        <f t="shared" si="489"/>
        <v>0</v>
      </c>
      <c r="IH202" s="150">
        <f t="shared" si="489"/>
        <v>0</v>
      </c>
      <c r="II202" s="150">
        <f t="shared" si="489"/>
        <v>0</v>
      </c>
      <c r="IJ202" s="150">
        <f t="shared" si="489"/>
        <v>0</v>
      </c>
      <c r="IK202" s="150">
        <f t="shared" si="489"/>
        <v>0</v>
      </c>
      <c r="IL202" s="150">
        <f t="shared" si="489"/>
        <v>0</v>
      </c>
      <c r="IM202" s="150">
        <f t="shared" si="489"/>
        <v>0</v>
      </c>
      <c r="IN202" s="150">
        <f t="shared" si="489"/>
        <v>0</v>
      </c>
      <c r="IO202" s="150">
        <f t="shared" si="489"/>
        <v>0</v>
      </c>
      <c r="IP202" s="150">
        <f t="shared" si="489"/>
        <v>0</v>
      </c>
      <c r="IQ202" s="150">
        <f t="shared" si="489"/>
        <v>0</v>
      </c>
      <c r="IT202" s="157"/>
    </row>
    <row r="203" spans="1:254" x14ac:dyDescent="0.25">
      <c r="A203" s="33"/>
      <c r="B203" s="5" t="s">
        <v>116</v>
      </c>
      <c r="C203" s="33"/>
      <c r="D203" s="9"/>
      <c r="E203" s="9"/>
      <c r="F203" s="9"/>
      <c r="G203" s="9"/>
      <c r="H203" s="9"/>
      <c r="I203" s="9"/>
      <c r="J203" s="9"/>
      <c r="K203" s="9"/>
      <c r="L203" s="6" t="s">
        <v>524</v>
      </c>
      <c r="M203" s="11" t="e">
        <f>INDEX(cennik!$C$2:$L$529,MATCH($L203,cennik!$B$2:$B$522,0),MATCH(M$2,cennik!$C$1:$L$1,0))</f>
        <v>#N/A</v>
      </c>
      <c r="N203" s="11" t="e">
        <f>INDEX(cennik!$C$2:$L$529,MATCH($L203,cennik!$B$2:$B$522,0),MATCH(N$2,cennik!$C$1:$L$1,0))</f>
        <v>#N/A</v>
      </c>
      <c r="O203" s="11">
        <f>SUM(W182:W197)</f>
        <v>0</v>
      </c>
      <c r="P203" s="34" t="e">
        <f>INDEX(cennik!$C$2:$L$529,MATCH($L203,cennik!$B$2:$B$522,0),MATCH(P$2,cennik!$C$1:$L$1,0))</f>
        <v>#N/A</v>
      </c>
      <c r="Q203" s="34" t="e">
        <f>O203*P203</f>
        <v>#N/A</v>
      </c>
      <c r="R203" s="35">
        <f t="shared" si="462"/>
        <v>0</v>
      </c>
      <c r="S203" s="34" t="e">
        <f t="shared" si="463"/>
        <v>#N/A</v>
      </c>
      <c r="T203" s="34" t="e">
        <f>O203*S203</f>
        <v>#N/A</v>
      </c>
      <c r="U203" s="34" t="e">
        <f>INDEX(cennik!$C$2:$L$529,MATCH($L203,cennik!$B$2:$B$522,0),MATCH(U$2,cennik!$C$1:$L$1,0))*O203</f>
        <v>#N/A</v>
      </c>
      <c r="V203" s="150"/>
      <c r="AG203" s="150"/>
      <c r="AH203" s="150"/>
      <c r="AI203" s="150">
        <v>8</v>
      </c>
      <c r="AJ203" s="150" t="s">
        <v>699</v>
      </c>
      <c r="AK203" s="150">
        <v>6</v>
      </c>
      <c r="AL203" s="150"/>
      <c r="AM203" s="150"/>
      <c r="AN203" s="150"/>
      <c r="AO203" s="150"/>
      <c r="AP203" s="150"/>
      <c r="AQ203" s="150"/>
      <c r="AR203" s="150"/>
      <c r="AS203" s="150"/>
      <c r="AT203" s="150"/>
      <c r="AU203" s="150"/>
      <c r="AV203" s="150"/>
      <c r="AW203" s="150"/>
      <c r="AX203" s="150"/>
      <c r="AY203" s="150"/>
      <c r="AZ203" s="150"/>
      <c r="BA203" s="150"/>
      <c r="BB203" s="150"/>
      <c r="BC203" s="150"/>
      <c r="BD203" s="150"/>
      <c r="BE203" s="150"/>
      <c r="BF203" s="150"/>
      <c r="BG203" s="150"/>
      <c r="BH203" s="178" t="s">
        <v>523</v>
      </c>
      <c r="BI203" s="154">
        <v>0</v>
      </c>
      <c r="BJ203" s="154">
        <v>0</v>
      </c>
      <c r="BK203" s="154">
        <v>10</v>
      </c>
      <c r="BL203" s="154">
        <v>5</v>
      </c>
      <c r="BM203" s="154">
        <v>0</v>
      </c>
      <c r="BN203" s="154">
        <v>10</v>
      </c>
      <c r="BO203" s="154">
        <v>5</v>
      </c>
      <c r="BP203" s="154">
        <v>15</v>
      </c>
      <c r="BQ203" s="154">
        <v>10</v>
      </c>
      <c r="BR203" s="154">
        <v>0</v>
      </c>
      <c r="BS203" s="154">
        <v>15</v>
      </c>
      <c r="BT203" s="154">
        <v>5</v>
      </c>
      <c r="BU203" s="154">
        <v>15</v>
      </c>
      <c r="BV203" s="150"/>
      <c r="BW203" s="150" t="s">
        <v>523</v>
      </c>
      <c r="BX203" s="150">
        <v>0</v>
      </c>
      <c r="BY203" s="150">
        <v>0</v>
      </c>
      <c r="BZ203" s="150">
        <v>10</v>
      </c>
      <c r="CA203" s="150">
        <v>0</v>
      </c>
      <c r="CB203" s="150">
        <v>10</v>
      </c>
      <c r="CC203" s="154">
        <v>5</v>
      </c>
      <c r="CD203" s="154">
        <v>15</v>
      </c>
      <c r="CE203" s="154">
        <v>5</v>
      </c>
      <c r="CF203" s="154">
        <v>15</v>
      </c>
      <c r="CG203" s="154">
        <v>5</v>
      </c>
      <c r="CH203" s="154">
        <v>15</v>
      </c>
      <c r="CI203" s="154">
        <v>10</v>
      </c>
      <c r="CJ203" s="154">
        <v>0</v>
      </c>
      <c r="CK203" s="150"/>
      <c r="CL203" s="150"/>
      <c r="CM203" s="150"/>
      <c r="CN203" s="154" t="s">
        <v>523</v>
      </c>
      <c r="CO203" s="154">
        <v>0</v>
      </c>
      <c r="CP203" s="154">
        <v>0</v>
      </c>
      <c r="CQ203" s="154">
        <v>5</v>
      </c>
      <c r="CR203" s="154">
        <v>15</v>
      </c>
      <c r="CS203" s="154">
        <v>5</v>
      </c>
      <c r="CT203" s="154">
        <v>15</v>
      </c>
      <c r="CU203" s="154">
        <v>5</v>
      </c>
      <c r="CV203" s="154">
        <v>15</v>
      </c>
      <c r="CW203" s="154">
        <v>5</v>
      </c>
      <c r="CX203" s="154">
        <v>15</v>
      </c>
      <c r="CY203" s="154">
        <v>0</v>
      </c>
      <c r="CZ203" s="154">
        <v>10</v>
      </c>
      <c r="DA203" s="157">
        <v>0</v>
      </c>
      <c r="DB203" s="150"/>
      <c r="DC203" s="150"/>
      <c r="DD203" s="150"/>
      <c r="DE203" s="150"/>
      <c r="DF203" s="150"/>
      <c r="DG203" s="150"/>
      <c r="DH203" s="150"/>
      <c r="DI203" s="150"/>
      <c r="DJ203" s="150"/>
      <c r="DK203" s="150"/>
      <c r="DL203" s="150"/>
      <c r="DM203" s="150"/>
      <c r="DN203" s="150"/>
      <c r="DO203" s="150"/>
      <c r="DP203" s="150"/>
      <c r="DQ203" s="181"/>
      <c r="DR203" s="181"/>
      <c r="DS203" s="181"/>
      <c r="DT203" s="150"/>
      <c r="DU203" s="150"/>
      <c r="DV203" s="150"/>
      <c r="DW203" s="150"/>
      <c r="DX203" s="150"/>
      <c r="DY203" s="150"/>
      <c r="DZ203" s="150"/>
      <c r="EA203" s="150"/>
      <c r="EB203" s="150"/>
      <c r="EC203" s="150"/>
      <c r="ED203" s="150"/>
      <c r="EE203" s="150"/>
      <c r="EF203" s="150"/>
      <c r="EG203" s="150"/>
      <c r="EH203" s="150"/>
      <c r="EI203" s="150"/>
      <c r="EJ203" s="155"/>
      <c r="EK203" s="150"/>
      <c r="EL203" s="150"/>
      <c r="EM203" s="150"/>
      <c r="EN203" s="150"/>
      <c r="EO203" s="150"/>
      <c r="EP203" s="150"/>
      <c r="EQ203" s="150"/>
      <c r="ER203" s="150"/>
      <c r="ES203" s="150"/>
      <c r="ET203" s="150"/>
      <c r="EU203" s="150"/>
      <c r="EV203" s="150"/>
      <c r="EW203" s="150"/>
      <c r="EX203" s="150"/>
      <c r="EY203" s="150"/>
      <c r="EZ203" s="150"/>
      <c r="FA203" s="150"/>
      <c r="FB203" s="150"/>
      <c r="FC203" s="150"/>
      <c r="FD203" s="150"/>
      <c r="FE203" s="150"/>
      <c r="FF203" s="150"/>
      <c r="FG203" s="150"/>
      <c r="FH203" s="150"/>
      <c r="FI203" s="150"/>
      <c r="FJ203" s="150"/>
      <c r="FK203" s="150"/>
      <c r="FL203" s="150"/>
      <c r="FM203" s="150"/>
      <c r="FN203" s="150"/>
      <c r="FO203" s="150"/>
      <c r="FP203" s="150"/>
      <c r="FQ203" s="150"/>
      <c r="FR203" s="150"/>
      <c r="FS203" s="150"/>
      <c r="FT203" s="150"/>
      <c r="FU203" s="150"/>
      <c r="FV203" s="150"/>
      <c r="FW203" s="150"/>
      <c r="FX203" s="150"/>
      <c r="FY203" s="150"/>
      <c r="FZ203" s="150"/>
      <c r="GA203" s="150"/>
      <c r="GB203" s="150"/>
      <c r="GC203" s="150"/>
      <c r="GD203" s="150"/>
      <c r="GE203" s="150"/>
      <c r="GF203" s="150"/>
      <c r="GG203" s="150"/>
      <c r="GH203" s="150"/>
      <c r="GI203" s="150"/>
      <c r="GJ203" s="150"/>
      <c r="GK203" s="150"/>
      <c r="GL203" s="150"/>
      <c r="GM203" s="150"/>
      <c r="GN203" s="150"/>
      <c r="GO203" s="150"/>
      <c r="GP203" s="150"/>
      <c r="GQ203" s="150"/>
      <c r="GR203" s="150"/>
      <c r="GS203" s="150"/>
      <c r="GT203" s="150"/>
      <c r="GU203" s="150"/>
      <c r="GV203" s="150"/>
      <c r="GW203" s="150"/>
      <c r="GX203" s="150"/>
      <c r="GY203" s="150"/>
      <c r="GZ203" s="150"/>
      <c r="HA203" s="150"/>
      <c r="HB203" s="150"/>
      <c r="HC203" s="150"/>
      <c r="HD203" s="150"/>
      <c r="HE203" s="150"/>
      <c r="HF203" s="150"/>
      <c r="HG203" s="150"/>
      <c r="HH203" s="150"/>
      <c r="HS203" s="150" t="s">
        <v>815</v>
      </c>
      <c r="HT203" s="150">
        <f t="shared" ref="HT203:IQ203" si="490">HT100</f>
        <v>0</v>
      </c>
      <c r="HU203" s="150">
        <f t="shared" si="490"/>
        <v>4</v>
      </c>
      <c r="HV203" s="150">
        <f t="shared" si="490"/>
        <v>0</v>
      </c>
      <c r="HW203" s="150">
        <f t="shared" si="490"/>
        <v>4</v>
      </c>
      <c r="HX203" s="150">
        <f t="shared" si="490"/>
        <v>8</v>
      </c>
      <c r="HY203" s="150">
        <f t="shared" si="490"/>
        <v>4</v>
      </c>
      <c r="HZ203" s="150">
        <f t="shared" si="490"/>
        <v>8</v>
      </c>
      <c r="IA203" s="150">
        <f t="shared" si="490"/>
        <v>12</v>
      </c>
      <c r="IB203" s="150">
        <f t="shared" si="490"/>
        <v>4</v>
      </c>
      <c r="IC203" s="150">
        <f t="shared" si="490"/>
        <v>12</v>
      </c>
      <c r="ID203" s="150">
        <f t="shared" si="490"/>
        <v>16</v>
      </c>
      <c r="IE203" s="150">
        <f t="shared" si="490"/>
        <v>8</v>
      </c>
      <c r="IF203" s="150">
        <f t="shared" si="490"/>
        <v>16</v>
      </c>
      <c r="IG203" s="150">
        <f t="shared" si="490"/>
        <v>20</v>
      </c>
      <c r="IH203" s="150">
        <f t="shared" si="490"/>
        <v>12</v>
      </c>
      <c r="II203" s="150">
        <f t="shared" si="490"/>
        <v>20</v>
      </c>
      <c r="IJ203" s="150">
        <f t="shared" si="490"/>
        <v>24</v>
      </c>
      <c r="IK203" s="150">
        <f t="shared" si="490"/>
        <v>16</v>
      </c>
      <c r="IL203" s="150">
        <f t="shared" si="490"/>
        <v>20</v>
      </c>
      <c r="IM203" s="150">
        <f t="shared" si="490"/>
        <v>28</v>
      </c>
      <c r="IN203" s="150">
        <f t="shared" si="490"/>
        <v>20</v>
      </c>
      <c r="IO203" s="150">
        <f t="shared" si="490"/>
        <v>24</v>
      </c>
      <c r="IP203" s="150">
        <f t="shared" si="490"/>
        <v>32</v>
      </c>
      <c r="IQ203" s="150">
        <f t="shared" si="490"/>
        <v>24</v>
      </c>
      <c r="IT203" s="157"/>
    </row>
    <row r="204" spans="1:254" x14ac:dyDescent="0.25">
      <c r="A204" s="33"/>
      <c r="B204" s="5" t="s">
        <v>116</v>
      </c>
      <c r="C204" s="33"/>
      <c r="D204" s="9"/>
      <c r="E204" s="9"/>
      <c r="F204" s="9"/>
      <c r="G204" s="9"/>
      <c r="H204" s="9"/>
      <c r="I204" s="9"/>
      <c r="J204" s="9"/>
      <c r="K204" s="9"/>
      <c r="L204" s="6" t="str">
        <f>INDEX(($AH$3:$AI$12),MATCH(I193,$AG$3:$AG$12,0),MATCH(E194,$AH$2:$AI$2,0))</f>
        <v>BUF35</v>
      </c>
      <c r="M204" s="11">
        <f>INDEX(cennik!$C$2:$L$529,MATCH($L204,cennik!$B$2:$B$522,0),MATCH(M$2,cennik!$C$1:$L$1,0))</f>
        <v>897335</v>
      </c>
      <c r="N204" s="11" t="str">
        <f>INDEX(cennik!$C$2:$L$529,MATCH($L204,cennik!$B$2:$B$522,0),MATCH(N$2,cennik!$C$1:$L$1,0))</f>
        <v>szt.</v>
      </c>
      <c r="O204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4" s="34">
        <f>INDEX(cennik!$C$2:$L$529,MATCH($L204,cennik!$B$2:$B$522,0),MATCH(P$2,cennik!$C$1:$L$1,0))</f>
        <v>1.92</v>
      </c>
      <c r="Q204" s="34">
        <f>O204*P204</f>
        <v>0</v>
      </c>
      <c r="R204" s="35">
        <f t="shared" si="462"/>
        <v>0</v>
      </c>
      <c r="S204" s="34">
        <f t="shared" si="463"/>
        <v>1.92</v>
      </c>
      <c r="T204" s="34">
        <f>O204*S204</f>
        <v>0</v>
      </c>
      <c r="U204" s="34">
        <f>INDEX(cennik!$C$2:$L$529,MATCH($L204,cennik!$B$2:$B$522,0),MATCH(U$2,cennik!$C$1:$L$1,0))*O204</f>
        <v>0</v>
      </c>
      <c r="V204" s="150"/>
      <c r="AG204" s="150"/>
      <c r="AH204" s="150"/>
      <c r="AI204" s="150">
        <v>13</v>
      </c>
      <c r="AJ204" s="150" t="s">
        <v>696</v>
      </c>
      <c r="AK204" s="150">
        <v>8</v>
      </c>
      <c r="AL204" s="150"/>
      <c r="AM204" s="150"/>
      <c r="AN204" s="150"/>
      <c r="AO204" s="150"/>
      <c r="AP204" s="150"/>
      <c r="AQ204" s="150"/>
      <c r="AR204" s="150"/>
      <c r="AS204" s="150"/>
      <c r="AT204" s="150"/>
      <c r="AU204" s="150"/>
      <c r="AV204" s="150"/>
      <c r="AW204" s="150"/>
      <c r="AX204" s="150"/>
      <c r="AY204" s="150"/>
      <c r="AZ204" s="150"/>
      <c r="BA204" s="150"/>
      <c r="BB204" s="150"/>
      <c r="BC204" s="150"/>
      <c r="BD204" s="150"/>
      <c r="BE204" s="150"/>
      <c r="BF204" s="150"/>
      <c r="BG204" s="150"/>
      <c r="BH204" s="158" t="s">
        <v>779</v>
      </c>
      <c r="BI204" s="154">
        <v>0</v>
      </c>
      <c r="BJ204" s="154">
        <v>0</v>
      </c>
      <c r="BK204" s="154">
        <v>5</v>
      </c>
      <c r="BL204" s="154">
        <v>5</v>
      </c>
      <c r="BM204" s="154">
        <v>5</v>
      </c>
      <c r="BN204" s="154">
        <v>10</v>
      </c>
      <c r="BO204" s="154">
        <v>10</v>
      </c>
      <c r="BP204" s="154">
        <v>15</v>
      </c>
      <c r="BQ204" s="154">
        <v>15</v>
      </c>
      <c r="BR204" s="154">
        <v>15</v>
      </c>
      <c r="BS204" s="154">
        <v>20</v>
      </c>
      <c r="BT204" s="154">
        <v>20</v>
      </c>
      <c r="BU204" s="154">
        <v>25</v>
      </c>
      <c r="BV204" s="150"/>
      <c r="BW204" s="158" t="s">
        <v>779</v>
      </c>
      <c r="BX204" s="150">
        <v>0</v>
      </c>
      <c r="BY204" s="150">
        <v>0</v>
      </c>
      <c r="BZ204" s="150">
        <v>5</v>
      </c>
      <c r="CA204" s="150">
        <v>5</v>
      </c>
      <c r="CB204" s="150">
        <v>10</v>
      </c>
      <c r="CC204" s="154">
        <v>10</v>
      </c>
      <c r="CD204" s="154">
        <v>15</v>
      </c>
      <c r="CE204" s="154">
        <v>15</v>
      </c>
      <c r="CF204" s="154">
        <v>20</v>
      </c>
      <c r="CG204" s="154">
        <v>20</v>
      </c>
      <c r="CH204" s="154">
        <v>25</v>
      </c>
      <c r="CI204" s="154">
        <v>25</v>
      </c>
      <c r="CJ204" s="154">
        <v>25</v>
      </c>
      <c r="CK204" s="150"/>
      <c r="CL204" s="150"/>
      <c r="CM204" s="150"/>
      <c r="CN204" s="158" t="s">
        <v>779</v>
      </c>
      <c r="CO204" s="154">
        <v>0</v>
      </c>
      <c r="CP204" s="154">
        <v>0</v>
      </c>
      <c r="CQ204" s="154">
        <v>5</v>
      </c>
      <c r="CR204" s="154">
        <v>10</v>
      </c>
      <c r="CS204" s="154">
        <v>10</v>
      </c>
      <c r="CT204" s="154">
        <v>15</v>
      </c>
      <c r="CU204" s="154">
        <v>15</v>
      </c>
      <c r="CV204" s="154">
        <v>20</v>
      </c>
      <c r="CW204" s="154">
        <v>20</v>
      </c>
      <c r="CX204" s="154">
        <v>25</v>
      </c>
      <c r="CY204" s="154">
        <v>25</v>
      </c>
      <c r="CZ204" s="154">
        <v>30</v>
      </c>
      <c r="DA204" s="157">
        <v>30</v>
      </c>
      <c r="DB204" s="150"/>
      <c r="DC204" s="150"/>
      <c r="DD204" s="150"/>
      <c r="DE204" s="150"/>
      <c r="DF204" s="150"/>
      <c r="DG204" s="150"/>
      <c r="DH204" s="150"/>
      <c r="DI204" s="150"/>
      <c r="DJ204" s="150"/>
      <c r="DK204" s="150"/>
      <c r="DL204" s="150"/>
      <c r="DM204" s="150"/>
      <c r="DN204" s="150"/>
      <c r="DO204" s="150"/>
      <c r="DP204" s="150"/>
      <c r="DQ204" s="181"/>
      <c r="DR204" s="181"/>
      <c r="DS204" s="181"/>
      <c r="DT204" s="150"/>
      <c r="DU204" s="150"/>
      <c r="DV204" s="150"/>
      <c r="DW204" s="150"/>
      <c r="DX204" s="150"/>
      <c r="DY204" s="150"/>
      <c r="DZ204" s="150"/>
      <c r="EA204" s="150"/>
      <c r="EB204" s="150"/>
      <c r="EC204" s="150"/>
      <c r="ED204" s="150"/>
      <c r="EE204" s="150"/>
      <c r="EF204" s="150"/>
      <c r="EG204" s="150"/>
      <c r="EH204" s="150"/>
      <c r="EI204" s="150"/>
      <c r="EJ204" s="155"/>
      <c r="EK204" s="150"/>
      <c r="EL204" s="150"/>
      <c r="EM204" s="150"/>
      <c r="EN204" s="150"/>
      <c r="EO204" s="150"/>
      <c r="EP204" s="150"/>
      <c r="EQ204" s="150"/>
      <c r="ER204" s="150"/>
      <c r="ES204" s="150"/>
      <c r="ET204" s="150"/>
      <c r="EU204" s="150"/>
      <c r="EV204" s="150"/>
      <c r="EW204" s="150"/>
      <c r="EX204" s="150"/>
      <c r="EY204" s="150"/>
      <c r="EZ204" s="150"/>
      <c r="FA204" s="150"/>
      <c r="FB204" s="150"/>
      <c r="FC204" s="150"/>
      <c r="FD204" s="150"/>
      <c r="FE204" s="150"/>
      <c r="FF204" s="150"/>
      <c r="FG204" s="150"/>
      <c r="FH204" s="150"/>
      <c r="FI204" s="150"/>
      <c r="FJ204" s="150"/>
      <c r="FK204" s="150"/>
      <c r="FL204" s="150"/>
      <c r="FM204" s="150"/>
      <c r="FN204" s="150"/>
      <c r="FO204" s="150"/>
      <c r="FP204" s="150"/>
      <c r="FQ204" s="150"/>
      <c r="FR204" s="150"/>
      <c r="FS204" s="150"/>
      <c r="FT204" s="150"/>
      <c r="FU204" s="150"/>
      <c r="FV204" s="150"/>
      <c r="FW204" s="150"/>
      <c r="FX204" s="150"/>
      <c r="FY204" s="150"/>
      <c r="FZ204" s="150"/>
      <c r="GA204" s="150"/>
      <c r="GB204" s="150"/>
      <c r="GC204" s="150"/>
      <c r="GD204" s="150"/>
      <c r="GE204" s="150"/>
      <c r="GF204" s="150"/>
      <c r="GG204" s="150"/>
      <c r="GH204" s="150"/>
      <c r="GI204" s="150"/>
      <c r="GJ204" s="150"/>
      <c r="GK204" s="150"/>
      <c r="GL204" s="150"/>
      <c r="GM204" s="150"/>
      <c r="GN204" s="150"/>
      <c r="GO204" s="150"/>
      <c r="GP204" s="150"/>
      <c r="GQ204" s="150"/>
      <c r="GR204" s="150"/>
      <c r="GS204" s="150"/>
      <c r="GT204" s="150"/>
      <c r="GU204" s="150"/>
      <c r="GV204" s="150"/>
      <c r="GW204" s="150"/>
      <c r="GX204" s="150"/>
      <c r="GY204" s="150"/>
      <c r="GZ204" s="150"/>
      <c r="HA204" s="150"/>
      <c r="HB204" s="150"/>
      <c r="HC204" s="150"/>
      <c r="HD204" s="150"/>
      <c r="HE204" s="150"/>
      <c r="HF204" s="150"/>
      <c r="HG204" s="150"/>
      <c r="HH204" s="150"/>
      <c r="HS204" s="150" t="s">
        <v>813</v>
      </c>
      <c r="HT204" s="150">
        <f t="shared" ref="HT204:IQ204" si="491">HT101</f>
        <v>0</v>
      </c>
      <c r="HU204" s="150">
        <f t="shared" si="491"/>
        <v>0</v>
      </c>
      <c r="HV204" s="150">
        <f t="shared" si="491"/>
        <v>0</v>
      </c>
      <c r="HW204" s="150">
        <f t="shared" si="491"/>
        <v>4</v>
      </c>
      <c r="HX204" s="150">
        <f t="shared" si="491"/>
        <v>0</v>
      </c>
      <c r="HY204" s="150">
        <f t="shared" si="491"/>
        <v>8</v>
      </c>
      <c r="HZ204" s="150">
        <f t="shared" si="491"/>
        <v>4</v>
      </c>
      <c r="IA204" s="150">
        <f t="shared" si="491"/>
        <v>0</v>
      </c>
      <c r="IB204" s="150">
        <f t="shared" si="491"/>
        <v>12</v>
      </c>
      <c r="IC204" s="150">
        <f t="shared" si="491"/>
        <v>4</v>
      </c>
      <c r="ID204" s="150">
        <f t="shared" si="491"/>
        <v>0</v>
      </c>
      <c r="IE204" s="150">
        <f t="shared" si="491"/>
        <v>12</v>
      </c>
      <c r="IF204" s="150">
        <f t="shared" si="491"/>
        <v>4</v>
      </c>
      <c r="IG204" s="150">
        <f t="shared" si="491"/>
        <v>0</v>
      </c>
      <c r="IH204" s="150">
        <f t="shared" si="491"/>
        <v>12</v>
      </c>
      <c r="II204" s="150">
        <f t="shared" si="491"/>
        <v>4</v>
      </c>
      <c r="IJ204" s="150">
        <f t="shared" si="491"/>
        <v>0</v>
      </c>
      <c r="IK204" s="150">
        <f t="shared" si="491"/>
        <v>12</v>
      </c>
      <c r="IL204" s="150">
        <f t="shared" si="491"/>
        <v>8</v>
      </c>
      <c r="IM204" s="150">
        <f t="shared" si="491"/>
        <v>0</v>
      </c>
      <c r="IN204" s="150">
        <f t="shared" si="491"/>
        <v>12</v>
      </c>
      <c r="IO204" s="150">
        <f t="shared" si="491"/>
        <v>8</v>
      </c>
      <c r="IP204" s="150">
        <f t="shared" si="491"/>
        <v>0</v>
      </c>
      <c r="IQ204" s="150">
        <f t="shared" si="491"/>
        <v>12</v>
      </c>
      <c r="IT204" s="157"/>
    </row>
    <row r="205" spans="1:254" x14ac:dyDescent="0.25">
      <c r="A205" s="33"/>
      <c r="B205" s="5" t="s">
        <v>116</v>
      </c>
      <c r="C205" s="33"/>
      <c r="D205" s="9"/>
      <c r="E205" s="9"/>
      <c r="F205" s="9"/>
      <c r="G205" s="9"/>
      <c r="H205" s="9"/>
      <c r="I205" s="9"/>
      <c r="J205" s="9"/>
      <c r="K205" s="9"/>
      <c r="L205" s="6" t="str">
        <f>INDEX(($AH$13:$AI$13),1,MATCH(E194,$AH$2:$AI$2,0))</f>
        <v>PUF</v>
      </c>
      <c r="M205" s="11">
        <f>INDEX(cennik!$C$2:$L$529,MATCH($L205,cennik!$B$2:$B$522,0),MATCH(M$2,cennik!$C$1:$L$1,0))</f>
        <v>897300</v>
      </c>
      <c r="N205" s="11" t="str">
        <f>INDEX(cennik!$C$2:$L$529,MATCH($L205,cennik!$B$2:$B$522,0),MATCH(N$2,cennik!$C$1:$L$1,0))</f>
        <v>szt.</v>
      </c>
      <c r="O205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5" s="34">
        <f>INDEX(cennik!$C$2:$L$529,MATCH($L205,cennik!$B$2:$B$522,0),MATCH(P$2,cennik!$C$1:$L$1,0))</f>
        <v>2.06</v>
      </c>
      <c r="Q205" s="34">
        <f>O205*P205</f>
        <v>0</v>
      </c>
      <c r="R205" s="35">
        <f t="shared" si="462"/>
        <v>0</v>
      </c>
      <c r="S205" s="34">
        <f t="shared" si="463"/>
        <v>2.06</v>
      </c>
      <c r="T205" s="34">
        <f>O205*S205</f>
        <v>0</v>
      </c>
      <c r="U205" s="34">
        <f>INDEX(cennik!$C$2:$L$529,MATCH($L205,cennik!$B$2:$B$522,0),MATCH(U$2,cennik!$C$1:$L$1,0))*O205</f>
        <v>0</v>
      </c>
      <c r="V205" s="150"/>
      <c r="AG205" s="150"/>
      <c r="AH205" s="150"/>
      <c r="AI205" s="150"/>
      <c r="AJ205" s="150"/>
      <c r="AK205" s="150"/>
      <c r="AL205" s="150"/>
      <c r="AM205" s="150"/>
      <c r="AN205" s="150"/>
      <c r="AO205" s="150"/>
      <c r="AP205" s="150"/>
      <c r="AQ205" s="150"/>
      <c r="AR205" s="150"/>
      <c r="AS205" s="150"/>
      <c r="AT205" s="150"/>
      <c r="AU205" s="150"/>
      <c r="AV205" s="150"/>
      <c r="AW205" s="150"/>
      <c r="AX205" s="150"/>
      <c r="AY205" s="150"/>
      <c r="AZ205" s="150"/>
      <c r="BA205" s="150"/>
      <c r="BB205" s="150"/>
      <c r="BC205" s="150"/>
      <c r="BD205" s="150"/>
      <c r="BE205" s="150"/>
      <c r="BF205" s="150"/>
      <c r="BG205" s="150"/>
      <c r="BH205" s="178"/>
      <c r="BV205" s="150"/>
      <c r="BW205" s="150"/>
      <c r="BX205" s="150"/>
      <c r="BY205" s="150"/>
      <c r="BZ205" s="150"/>
      <c r="CA205" s="150"/>
      <c r="CB205" s="150"/>
      <c r="CK205" s="150"/>
      <c r="CL205" s="150"/>
      <c r="CM205" s="150"/>
      <c r="DA205" s="157"/>
      <c r="DB205" s="150"/>
      <c r="DC205" s="150"/>
      <c r="DD205" s="150"/>
      <c r="DE205" s="150"/>
      <c r="DF205" s="150"/>
      <c r="DG205" s="150"/>
      <c r="DH205" s="150"/>
      <c r="DI205" s="150"/>
      <c r="DJ205" s="150"/>
      <c r="DK205" s="150"/>
      <c r="DL205" s="150"/>
      <c r="DM205" s="150"/>
      <c r="DN205" s="150"/>
      <c r="DO205" s="150"/>
      <c r="DP205" s="150"/>
      <c r="DQ205" s="181"/>
      <c r="DR205" s="181"/>
      <c r="DS205" s="181"/>
      <c r="DT205" s="150"/>
      <c r="DU205" s="150"/>
      <c r="DV205" s="150"/>
      <c r="DW205" s="150"/>
      <c r="DX205" s="150"/>
      <c r="DY205" s="150"/>
      <c r="DZ205" s="150"/>
      <c r="EA205" s="150"/>
      <c r="EB205" s="150"/>
      <c r="EC205" s="150"/>
      <c r="ED205" s="150"/>
      <c r="EE205" s="150"/>
      <c r="EF205" s="150"/>
      <c r="EG205" s="150"/>
      <c r="EH205" s="150"/>
      <c r="EI205" s="150"/>
      <c r="EJ205" s="155"/>
      <c r="EK205" s="150"/>
      <c r="EL205" s="150"/>
      <c r="EM205" s="150"/>
      <c r="EN205" s="150"/>
      <c r="EO205" s="150"/>
      <c r="EP205" s="150"/>
      <c r="EQ205" s="150"/>
      <c r="ER205" s="150"/>
      <c r="ES205" s="150"/>
      <c r="ET205" s="150"/>
      <c r="EU205" s="150"/>
      <c r="EV205" s="150"/>
      <c r="EW205" s="150"/>
      <c r="EX205" s="150"/>
      <c r="EY205" s="150"/>
      <c r="EZ205" s="150"/>
      <c r="FA205" s="150"/>
      <c r="FB205" s="150"/>
      <c r="FC205" s="150"/>
      <c r="FD205" s="150"/>
      <c r="FE205" s="150"/>
      <c r="FF205" s="150"/>
      <c r="FG205" s="150"/>
      <c r="FH205" s="150"/>
      <c r="FI205" s="150"/>
      <c r="FJ205" s="150"/>
      <c r="FK205" s="150"/>
      <c r="FL205" s="150"/>
      <c r="FM205" s="150"/>
      <c r="FN205" s="150"/>
      <c r="FO205" s="150"/>
      <c r="FP205" s="150"/>
      <c r="FQ205" s="150"/>
      <c r="FR205" s="150"/>
      <c r="FS205" s="150"/>
      <c r="FT205" s="150"/>
      <c r="FU205" s="150"/>
      <c r="FV205" s="150"/>
      <c r="FW205" s="150"/>
      <c r="FX205" s="150"/>
      <c r="FY205" s="150"/>
      <c r="FZ205" s="150"/>
      <c r="GA205" s="150"/>
      <c r="GB205" s="150"/>
      <c r="GC205" s="150"/>
      <c r="GD205" s="150"/>
      <c r="GE205" s="150"/>
      <c r="GF205" s="150"/>
      <c r="GG205" s="150"/>
      <c r="GH205" s="150"/>
      <c r="GI205" s="150"/>
      <c r="GJ205" s="150"/>
      <c r="GK205" s="150"/>
      <c r="GL205" s="150"/>
      <c r="GM205" s="150"/>
      <c r="GN205" s="150"/>
      <c r="GO205" s="150"/>
      <c r="GP205" s="150"/>
      <c r="GQ205" s="150"/>
      <c r="GR205" s="150"/>
      <c r="GS205" s="150"/>
      <c r="GT205" s="150"/>
      <c r="GU205" s="150"/>
      <c r="GV205" s="150"/>
      <c r="GW205" s="150"/>
      <c r="GX205" s="150"/>
      <c r="GY205" s="150"/>
      <c r="GZ205" s="150"/>
      <c r="HA205" s="150"/>
      <c r="HB205" s="150"/>
      <c r="HC205" s="150"/>
      <c r="HD205" s="150"/>
      <c r="HE205" s="150"/>
      <c r="HF205" s="150"/>
      <c r="HG205" s="150"/>
      <c r="HH205" s="150"/>
      <c r="HS205" s="158" t="s">
        <v>819</v>
      </c>
      <c r="HT205" s="150">
        <f t="shared" ref="HT205:IQ205" si="492">HT102</f>
        <v>0</v>
      </c>
      <c r="HU205" s="150">
        <f t="shared" si="492"/>
        <v>0</v>
      </c>
      <c r="HV205" s="150">
        <f t="shared" si="492"/>
        <v>0</v>
      </c>
      <c r="HW205" s="150">
        <f t="shared" si="492"/>
        <v>4</v>
      </c>
      <c r="HX205" s="150">
        <f t="shared" si="492"/>
        <v>4</v>
      </c>
      <c r="HY205" s="150">
        <f t="shared" si="492"/>
        <v>8</v>
      </c>
      <c r="HZ205" s="150">
        <f t="shared" si="492"/>
        <v>8</v>
      </c>
      <c r="IA205" s="150">
        <f t="shared" si="492"/>
        <v>8</v>
      </c>
      <c r="IB205" s="150">
        <f t="shared" si="492"/>
        <v>12</v>
      </c>
      <c r="IC205" s="150">
        <f t="shared" si="492"/>
        <v>12</v>
      </c>
      <c r="ID205" s="150">
        <f t="shared" si="492"/>
        <v>12</v>
      </c>
      <c r="IE205" s="150">
        <f t="shared" si="492"/>
        <v>16</v>
      </c>
      <c r="IF205" s="150">
        <f t="shared" si="492"/>
        <v>16</v>
      </c>
      <c r="IG205" s="150">
        <f t="shared" si="492"/>
        <v>16</v>
      </c>
      <c r="IH205" s="150">
        <f t="shared" si="492"/>
        <v>20</v>
      </c>
      <c r="II205" s="150">
        <f t="shared" si="492"/>
        <v>20</v>
      </c>
      <c r="IJ205" s="150">
        <f t="shared" si="492"/>
        <v>20</v>
      </c>
      <c r="IK205" s="150">
        <f t="shared" si="492"/>
        <v>24</v>
      </c>
      <c r="IL205" s="150">
        <f t="shared" si="492"/>
        <v>24</v>
      </c>
      <c r="IM205" s="150">
        <f t="shared" si="492"/>
        <v>24</v>
      </c>
      <c r="IN205" s="150">
        <f t="shared" si="492"/>
        <v>28</v>
      </c>
      <c r="IO205" s="150">
        <f t="shared" si="492"/>
        <v>28</v>
      </c>
      <c r="IP205" s="150">
        <f t="shared" si="492"/>
        <v>28</v>
      </c>
      <c r="IQ205" s="150">
        <f t="shared" si="492"/>
        <v>32</v>
      </c>
      <c r="IT205" s="157"/>
    </row>
    <row r="206" spans="1:254" x14ac:dyDescent="0.25">
      <c r="A206" s="33"/>
      <c r="B206" s="5" t="s">
        <v>116</v>
      </c>
      <c r="C206" s="33"/>
      <c r="D206" s="9"/>
      <c r="E206" s="9"/>
      <c r="F206" s="9"/>
      <c r="G206" s="9"/>
      <c r="H206" s="9"/>
      <c r="I206" s="9"/>
      <c r="J206" s="9"/>
      <c r="K206" s="9"/>
      <c r="L206" s="6" t="str">
        <f>INDEX(($AJ$3:$AJ$12),MATCH(I193,$AG$3:$AG$12,0),1)</f>
        <v>SAM8X30E</v>
      </c>
      <c r="M206" s="11">
        <f>INDEX(cennik!$C$2:$L$529,MATCH($L206,cennik!$B$2:$B$522,0),MATCH(M$2,cennik!$C$1:$L$1,0))</f>
        <v>898530</v>
      </c>
      <c r="N206" s="11" t="str">
        <f>INDEX(cennik!$C$2:$L$529,MATCH($L206,cennik!$B$2:$B$522,0),MATCH(N$2,cennik!$C$1:$L$1,0))</f>
        <v>szt.</v>
      </c>
      <c r="O206" s="11">
        <f>SUM(O204:O205)</f>
        <v>0</v>
      </c>
      <c r="P206" s="34">
        <f>INDEX(cennik!$C$2:$L$529,MATCH($L206,cennik!$B$2:$B$522,0),MATCH(P$2,cennik!$C$1:$L$1,0))</f>
        <v>0.5</v>
      </c>
      <c r="Q206" s="34">
        <f t="shared" ref="Q206:Q212" si="493">O206*P206</f>
        <v>0</v>
      </c>
      <c r="R206" s="35">
        <f t="shared" si="462"/>
        <v>0</v>
      </c>
      <c r="S206" s="34">
        <f t="shared" si="463"/>
        <v>0.5</v>
      </c>
      <c r="T206" s="34">
        <f t="shared" si="464"/>
        <v>0</v>
      </c>
      <c r="U206" s="34">
        <f>INDEX(cennik!$C$2:$L$529,MATCH($L206,cennik!$B$2:$B$522,0),MATCH(U$2,cennik!$C$1:$L$1,0))*O206</f>
        <v>0</v>
      </c>
      <c r="V206" s="150"/>
      <c r="W206" s="166"/>
      <c r="X206" s="166"/>
      <c r="Y206" s="166"/>
      <c r="Z206" s="166"/>
      <c r="AA206" s="167" t="s">
        <v>693</v>
      </c>
      <c r="AB206" s="168" t="s">
        <v>318</v>
      </c>
      <c r="AC206" s="150"/>
      <c r="AD206" s="167" t="s">
        <v>693</v>
      </c>
      <c r="AE206" s="168" t="s">
        <v>318</v>
      </c>
      <c r="AF206" s="150"/>
      <c r="AG206" s="150" t="s">
        <v>777</v>
      </c>
      <c r="AH206" s="150"/>
      <c r="AI206" s="150"/>
      <c r="AJ206" s="150"/>
      <c r="AK206" s="150"/>
      <c r="AL206" s="150"/>
      <c r="AM206" s="150"/>
      <c r="AN206" s="150"/>
      <c r="AO206" s="150"/>
      <c r="AP206" s="150"/>
      <c r="AQ206" s="150"/>
      <c r="AR206" s="150"/>
      <c r="AS206" s="150"/>
      <c r="AT206" s="150"/>
      <c r="AU206" s="150"/>
      <c r="AV206" s="150"/>
      <c r="AW206" s="150"/>
      <c r="AX206" s="150"/>
      <c r="AY206" s="150"/>
      <c r="AZ206" s="150"/>
      <c r="BA206" s="150"/>
      <c r="BB206" s="150"/>
      <c r="BC206" s="150"/>
      <c r="BD206" s="150"/>
      <c r="BE206" s="150"/>
      <c r="BF206" s="150"/>
      <c r="BG206" s="150"/>
      <c r="BH206" s="178" t="s">
        <v>112</v>
      </c>
      <c r="BI206" s="154">
        <v>0</v>
      </c>
      <c r="BJ206" s="154">
        <v>8</v>
      </c>
      <c r="BK206" s="154">
        <v>12</v>
      </c>
      <c r="BL206" s="154">
        <v>16</v>
      </c>
      <c r="BM206" s="154">
        <v>20</v>
      </c>
      <c r="BN206" s="154">
        <v>24</v>
      </c>
      <c r="BO206" s="154">
        <v>28</v>
      </c>
      <c r="BP206" s="154">
        <v>32</v>
      </c>
      <c r="BQ206" s="154">
        <v>36</v>
      </c>
      <c r="BR206" s="154">
        <v>40</v>
      </c>
      <c r="BS206" s="154">
        <v>44</v>
      </c>
      <c r="BT206" s="154">
        <v>48</v>
      </c>
      <c r="BU206" s="154">
        <v>52</v>
      </c>
      <c r="BV206" s="150"/>
      <c r="BW206" s="150" t="s">
        <v>113</v>
      </c>
      <c r="BX206" s="150">
        <v>0</v>
      </c>
      <c r="BY206" s="150">
        <v>8</v>
      </c>
      <c r="BZ206" s="150">
        <v>12</v>
      </c>
      <c r="CA206" s="150">
        <v>16</v>
      </c>
      <c r="CB206" s="150">
        <v>20</v>
      </c>
      <c r="CC206" s="154">
        <v>24</v>
      </c>
      <c r="CD206" s="154">
        <v>28</v>
      </c>
      <c r="CE206" s="154">
        <v>32</v>
      </c>
      <c r="CF206" s="154">
        <v>36</v>
      </c>
      <c r="CG206" s="154">
        <v>40</v>
      </c>
      <c r="CH206" s="154">
        <v>44</v>
      </c>
      <c r="CI206" s="154">
        <v>48</v>
      </c>
      <c r="CJ206" s="154">
        <v>52</v>
      </c>
      <c r="CK206" s="150"/>
      <c r="CL206" s="150"/>
      <c r="CM206" s="150"/>
      <c r="CN206" s="154" t="s">
        <v>507</v>
      </c>
      <c r="CO206" s="154">
        <v>0</v>
      </c>
      <c r="CP206" s="154">
        <v>8</v>
      </c>
      <c r="CQ206" s="154">
        <v>12</v>
      </c>
      <c r="CR206" s="154">
        <v>16</v>
      </c>
      <c r="CS206" s="154">
        <v>20</v>
      </c>
      <c r="CT206" s="154">
        <v>24</v>
      </c>
      <c r="CU206" s="154">
        <v>28</v>
      </c>
      <c r="CV206" s="154">
        <v>32</v>
      </c>
      <c r="CW206" s="154">
        <v>36</v>
      </c>
      <c r="CX206" s="154">
        <v>40</v>
      </c>
      <c r="CY206" s="154">
        <v>44</v>
      </c>
      <c r="CZ206" s="154">
        <v>48</v>
      </c>
      <c r="DA206" s="157">
        <v>52</v>
      </c>
      <c r="DB206" s="150"/>
      <c r="DC206" s="150"/>
      <c r="DD206" s="150"/>
      <c r="DE206" s="150"/>
      <c r="DF206" s="150"/>
      <c r="DG206" s="150"/>
      <c r="DH206" s="150"/>
      <c r="DI206" s="150"/>
      <c r="DJ206" s="150"/>
      <c r="DK206" s="150"/>
      <c r="DL206" s="150"/>
      <c r="DM206" s="150"/>
      <c r="DN206" s="150"/>
      <c r="DO206" s="150"/>
      <c r="DP206" s="150"/>
      <c r="DQ206" s="181"/>
      <c r="DR206" s="181"/>
      <c r="DS206" s="181"/>
      <c r="DT206" s="150"/>
      <c r="DU206" s="150"/>
      <c r="DV206" s="150"/>
      <c r="DW206" s="150"/>
      <c r="DX206" s="150"/>
      <c r="DY206" s="150"/>
      <c r="DZ206" s="150"/>
      <c r="EA206" s="150"/>
      <c r="EB206" s="150"/>
      <c r="EC206" s="150"/>
      <c r="ED206" s="150"/>
      <c r="EE206" s="150"/>
      <c r="EF206" s="150"/>
      <c r="EG206" s="150"/>
      <c r="EH206" s="150"/>
      <c r="EI206" s="150"/>
      <c r="EJ206" s="155"/>
      <c r="EK206" s="150"/>
      <c r="EL206" s="150"/>
      <c r="EM206" s="150"/>
      <c r="EN206" s="150"/>
      <c r="EO206" s="150"/>
      <c r="EP206" s="150"/>
      <c r="EQ206" s="150"/>
      <c r="ER206" s="150"/>
      <c r="ES206" s="150"/>
      <c r="ET206" s="150"/>
      <c r="EU206" s="150"/>
      <c r="EV206" s="150"/>
      <c r="EW206" s="150"/>
      <c r="EX206" s="150"/>
      <c r="EY206" s="150"/>
      <c r="EZ206" s="150"/>
      <c r="FA206" s="150"/>
      <c r="FB206" s="150"/>
      <c r="FC206" s="150"/>
      <c r="FD206" s="150"/>
      <c r="FE206" s="150"/>
      <c r="FF206" s="150"/>
      <c r="FG206" s="150"/>
      <c r="FH206" s="150"/>
      <c r="FI206" s="150"/>
      <c r="FJ206" s="150"/>
      <c r="FK206" s="150"/>
      <c r="FL206" s="150"/>
      <c r="FM206" s="150"/>
      <c r="FN206" s="150"/>
      <c r="FO206" s="150"/>
      <c r="FP206" s="150"/>
      <c r="FQ206" s="150"/>
      <c r="FR206" s="150"/>
      <c r="FS206" s="150"/>
      <c r="FT206" s="150"/>
      <c r="FU206" s="150"/>
      <c r="FV206" s="150"/>
      <c r="FW206" s="150"/>
      <c r="FX206" s="150"/>
      <c r="FY206" s="150"/>
      <c r="FZ206" s="150"/>
      <c r="GA206" s="150"/>
      <c r="GB206" s="150"/>
      <c r="GC206" s="150"/>
      <c r="GD206" s="150"/>
      <c r="GE206" s="150"/>
      <c r="GF206" s="150"/>
      <c r="GG206" s="150"/>
      <c r="GH206" s="150"/>
      <c r="GI206" s="150"/>
      <c r="GJ206" s="150"/>
      <c r="GK206" s="150"/>
      <c r="GL206" s="150"/>
      <c r="GM206" s="150"/>
      <c r="GN206" s="150"/>
      <c r="GO206" s="150"/>
      <c r="GP206" s="150"/>
      <c r="GQ206" s="150"/>
      <c r="GR206" s="150"/>
      <c r="GS206" s="150"/>
      <c r="GT206" s="150"/>
      <c r="GU206" s="150"/>
      <c r="GV206" s="150"/>
      <c r="GW206" s="150"/>
      <c r="GX206" s="150"/>
      <c r="GY206" s="150"/>
      <c r="GZ206" s="150"/>
      <c r="HA206" s="150"/>
      <c r="HB206" s="150"/>
      <c r="HC206" s="150"/>
      <c r="HD206" s="150"/>
      <c r="HE206" s="150"/>
      <c r="HF206" s="150"/>
      <c r="HG206" s="150"/>
      <c r="HH206" s="150"/>
      <c r="HS206" s="150" t="s">
        <v>700</v>
      </c>
      <c r="HT206" s="150">
        <f t="shared" ref="HT206:IQ206" si="494">HT103</f>
        <v>0</v>
      </c>
      <c r="HU206" s="150">
        <f t="shared" si="494"/>
        <v>0</v>
      </c>
      <c r="HV206" s="150">
        <f t="shared" si="494"/>
        <v>0</v>
      </c>
      <c r="HW206" s="150">
        <f t="shared" si="494"/>
        <v>4</v>
      </c>
      <c r="HX206" s="150">
        <f t="shared" si="494"/>
        <v>4</v>
      </c>
      <c r="HY206" s="150">
        <f t="shared" si="494"/>
        <v>8</v>
      </c>
      <c r="HZ206" s="150">
        <f t="shared" si="494"/>
        <v>8</v>
      </c>
      <c r="IA206" s="150">
        <f t="shared" si="494"/>
        <v>8</v>
      </c>
      <c r="IB206" s="150">
        <f t="shared" si="494"/>
        <v>12</v>
      </c>
      <c r="IC206" s="150">
        <f t="shared" si="494"/>
        <v>12</v>
      </c>
      <c r="ID206" s="150">
        <f t="shared" si="494"/>
        <v>12</v>
      </c>
      <c r="IE206" s="150">
        <f t="shared" si="494"/>
        <v>16</v>
      </c>
      <c r="IF206" s="150">
        <f t="shared" si="494"/>
        <v>16</v>
      </c>
      <c r="IG206" s="150">
        <f t="shared" si="494"/>
        <v>16</v>
      </c>
      <c r="IH206" s="150">
        <f t="shared" si="494"/>
        <v>20</v>
      </c>
      <c r="II206" s="150">
        <f t="shared" si="494"/>
        <v>20</v>
      </c>
      <c r="IJ206" s="150">
        <f t="shared" si="494"/>
        <v>20</v>
      </c>
      <c r="IK206" s="150">
        <f t="shared" si="494"/>
        <v>24</v>
      </c>
      <c r="IL206" s="150">
        <f t="shared" si="494"/>
        <v>24</v>
      </c>
      <c r="IM206" s="150">
        <f t="shared" si="494"/>
        <v>24</v>
      </c>
      <c r="IN206" s="150">
        <f t="shared" si="494"/>
        <v>28</v>
      </c>
      <c r="IO206" s="150">
        <f t="shared" si="494"/>
        <v>28</v>
      </c>
      <c r="IP206" s="150">
        <f>IP103</f>
        <v>28</v>
      </c>
      <c r="IQ206" s="150">
        <f t="shared" si="494"/>
        <v>32</v>
      </c>
      <c r="IT206" s="157"/>
    </row>
    <row r="207" spans="1:254" x14ac:dyDescent="0.25">
      <c r="A207" s="33"/>
      <c r="B207" s="5" t="s">
        <v>116</v>
      </c>
      <c r="C207" s="33"/>
      <c r="D207" s="9"/>
      <c r="E207" s="9"/>
      <c r="F207" s="9"/>
      <c r="G207" s="9"/>
      <c r="H207" s="9"/>
      <c r="I207" s="9"/>
      <c r="J207" s="9"/>
      <c r="K207" s="9"/>
      <c r="L207" s="6" t="s">
        <v>526</v>
      </c>
      <c r="M207" s="11" t="e">
        <f>INDEX(cennik!$C$2:$L$529,MATCH($L207,cennik!$B$2:$B$522,0),MATCH(M$2,cennik!$C$1:$L$1,0))</f>
        <v>#N/A</v>
      </c>
      <c r="N207" s="11" t="e">
        <f>INDEX(cennik!$C$2:$L$529,MATCH($L207,cennik!$B$2:$B$522,0),MATCH(N$2,cennik!$C$1:$L$1,0))</f>
        <v>#N/A</v>
      </c>
      <c r="O207" s="11">
        <f>ROUNDUP(O206/100,0)</f>
        <v>0</v>
      </c>
      <c r="P207" s="34" t="e">
        <f>INDEX(cennik!$C$2:$L$529,MATCH($L207,cennik!$B$2:$B$522,0),MATCH(P$2,cennik!$C$1:$L$1,0))</f>
        <v>#N/A</v>
      </c>
      <c r="Q207" s="34" t="e">
        <f t="shared" si="493"/>
        <v>#N/A</v>
      </c>
      <c r="R207" s="35">
        <f t="shared" si="462"/>
        <v>0</v>
      </c>
      <c r="S207" s="34" t="e">
        <f t="shared" si="463"/>
        <v>#N/A</v>
      </c>
      <c r="T207" s="34" t="e">
        <f t="shared" si="464"/>
        <v>#N/A</v>
      </c>
      <c r="U207" s="34" t="e">
        <f>INDEX(cennik!$C$2:$L$529,MATCH($L207,cennik!$B$2:$B$522,0),MATCH(U$2,cennik!$C$1:$L$1,0))*O207</f>
        <v>#N/A</v>
      </c>
      <c r="V207" s="150"/>
      <c r="W207" s="166"/>
      <c r="X207" s="166"/>
      <c r="Y207" s="166"/>
      <c r="Z207" s="166"/>
      <c r="AA207" s="150">
        <f t="shared" ref="AA207:AA222" si="495">IF(AC207=0,0,IF(AC207&gt;=1,2,IF(AC207&gt;=5,4,IF(AC207&gt;=8,6,IF(AC207&gt;=13,8,0)))))*C219</f>
        <v>0</v>
      </c>
      <c r="AB207" s="150">
        <f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*C219</f>
        <v>0</v>
      </c>
      <c r="AC207" s="150">
        <f t="shared" ref="AC207:AC222" si="496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D207" s="150">
        <f t="shared" ref="AD207:AD222" si="497">VLOOKUP(AG207,$AI$200:$AK$204,3,1)*C219</f>
        <v>0</v>
      </c>
      <c r="AE207" s="150">
        <f t="shared" ref="AE207:AE222" si="498">((A219/4)+1)*C219</f>
        <v>0</v>
      </c>
      <c r="AF207" s="150">
        <f t="shared" ref="AF207:AF222" si="499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G207" s="150">
        <f t="shared" ref="AG207:AG222" si="500">((A219/4)+1)</f>
        <v>1</v>
      </c>
      <c r="AH207" s="150"/>
      <c r="AI207" s="150"/>
      <c r="AJ207" s="150"/>
      <c r="AK207" s="150"/>
      <c r="AL207" s="150"/>
      <c r="AM207" s="150"/>
      <c r="AN207" s="150"/>
      <c r="AO207" s="150"/>
      <c r="AP207" s="150"/>
      <c r="AQ207" s="150"/>
      <c r="AR207" s="150" t="s">
        <v>750</v>
      </c>
      <c r="AS207" s="150"/>
      <c r="AT207" s="150"/>
      <c r="AU207" s="150"/>
      <c r="AV207" s="150"/>
      <c r="AW207" s="150"/>
      <c r="AX207" s="150"/>
      <c r="AY207" s="150"/>
      <c r="AZ207" s="150"/>
      <c r="BA207" s="150"/>
      <c r="BB207" s="150"/>
      <c r="BC207" s="150"/>
      <c r="BD207" s="150"/>
      <c r="BE207" s="150"/>
      <c r="BF207" s="150"/>
      <c r="BG207" s="150"/>
      <c r="BH207" s="178" t="s">
        <v>586</v>
      </c>
      <c r="BI207" s="154">
        <v>0</v>
      </c>
      <c r="BJ207" s="154">
        <v>0</v>
      </c>
      <c r="BK207" s="154">
        <v>0</v>
      </c>
      <c r="BL207" s="154">
        <v>0</v>
      </c>
      <c r="BM207" s="154">
        <v>0</v>
      </c>
      <c r="BN207" s="154">
        <v>0</v>
      </c>
      <c r="BO207" s="154">
        <v>0</v>
      </c>
      <c r="BP207" s="154">
        <v>0</v>
      </c>
      <c r="BQ207" s="154">
        <v>0</v>
      </c>
      <c r="BR207" s="154">
        <v>0</v>
      </c>
      <c r="BS207" s="154">
        <v>0</v>
      </c>
      <c r="BT207" s="154">
        <v>0</v>
      </c>
      <c r="BU207" s="154">
        <v>0</v>
      </c>
      <c r="BV207" s="150"/>
      <c r="BW207" s="150" t="s">
        <v>586</v>
      </c>
      <c r="BX207" s="150">
        <v>0</v>
      </c>
      <c r="BY207" s="150">
        <v>0</v>
      </c>
      <c r="BZ207" s="150">
        <v>0</v>
      </c>
      <c r="CA207" s="150">
        <v>0</v>
      </c>
      <c r="CB207" s="150">
        <v>0</v>
      </c>
      <c r="CC207" s="154">
        <v>0</v>
      </c>
      <c r="CD207" s="154">
        <v>0</v>
      </c>
      <c r="CE207" s="154">
        <v>0</v>
      </c>
      <c r="CF207" s="154">
        <v>0</v>
      </c>
      <c r="CG207" s="154">
        <v>0</v>
      </c>
      <c r="CH207" s="154">
        <v>0</v>
      </c>
      <c r="CI207" s="154">
        <v>0</v>
      </c>
      <c r="CJ207" s="154">
        <v>0</v>
      </c>
      <c r="CK207" s="150"/>
      <c r="CL207" s="150"/>
      <c r="CM207" s="150"/>
      <c r="CN207" s="154" t="s">
        <v>586</v>
      </c>
      <c r="CO207" s="154">
        <v>0</v>
      </c>
      <c r="CP207" s="154">
        <v>5</v>
      </c>
      <c r="CQ207" s="154">
        <v>0</v>
      </c>
      <c r="CR207" s="154">
        <v>0</v>
      </c>
      <c r="CS207" s="154">
        <v>0</v>
      </c>
      <c r="CT207" s="154">
        <v>0</v>
      </c>
      <c r="CU207" s="154">
        <v>0</v>
      </c>
      <c r="CV207" s="154">
        <v>0</v>
      </c>
      <c r="CW207" s="154">
        <v>0</v>
      </c>
      <c r="CX207" s="154">
        <v>0</v>
      </c>
      <c r="CY207" s="154">
        <v>0</v>
      </c>
      <c r="CZ207" s="154">
        <v>0</v>
      </c>
      <c r="DA207" s="157">
        <v>0</v>
      </c>
      <c r="DB207" s="150"/>
      <c r="DC207" s="150"/>
      <c r="DD207" s="150"/>
      <c r="DE207" s="150"/>
      <c r="DF207" s="150"/>
      <c r="DG207" s="150"/>
      <c r="DH207" s="150"/>
      <c r="DI207" s="150"/>
      <c r="DJ207" s="150"/>
      <c r="DK207" s="150"/>
      <c r="DL207" s="150"/>
      <c r="DM207" s="150"/>
      <c r="DN207" s="150"/>
      <c r="DO207" s="150"/>
      <c r="DP207" s="150"/>
      <c r="DQ207" s="181"/>
      <c r="DR207" s="181"/>
      <c r="DS207" s="181"/>
      <c r="DT207" s="150"/>
      <c r="DU207" s="150"/>
      <c r="DV207" s="150"/>
      <c r="DW207" s="150"/>
      <c r="DX207" s="150"/>
      <c r="DY207" s="150"/>
      <c r="DZ207" s="150"/>
      <c r="EA207" s="150"/>
      <c r="EB207" s="150"/>
      <c r="EC207" s="150"/>
      <c r="ED207" s="150"/>
      <c r="EE207" s="150"/>
      <c r="EF207" s="150"/>
      <c r="EG207" s="150"/>
      <c r="EH207" s="150"/>
      <c r="EI207" s="150"/>
      <c r="EJ207" s="155"/>
      <c r="EK207" s="150"/>
      <c r="EL207" s="150"/>
      <c r="EM207" s="150"/>
      <c r="EN207" s="150"/>
      <c r="EO207" s="150"/>
      <c r="EP207" s="150"/>
      <c r="EQ207" s="150"/>
      <c r="ER207" s="150"/>
      <c r="ES207" s="150"/>
      <c r="ET207" s="150"/>
      <c r="EU207" s="150"/>
      <c r="EV207" s="150"/>
      <c r="EW207" s="150"/>
      <c r="EX207" s="150"/>
      <c r="EY207" s="150"/>
      <c r="EZ207" s="150"/>
      <c r="FA207" s="150"/>
      <c r="FB207" s="150"/>
      <c r="FC207" s="150"/>
      <c r="FD207" s="150"/>
      <c r="FE207" s="150"/>
      <c r="FF207" s="150"/>
      <c r="FG207" s="150"/>
      <c r="FH207" s="150"/>
      <c r="FI207" s="150"/>
      <c r="FJ207" s="150"/>
      <c r="FK207" s="150"/>
      <c r="FL207" s="150"/>
      <c r="FM207" s="150"/>
      <c r="FN207" s="150"/>
      <c r="FO207" s="150"/>
      <c r="FP207" s="150"/>
      <c r="FQ207" s="150"/>
      <c r="FR207" s="150"/>
      <c r="FS207" s="150"/>
      <c r="FT207" s="150"/>
      <c r="FU207" s="150"/>
      <c r="FV207" s="150"/>
      <c r="FW207" s="150"/>
      <c r="FX207" s="150"/>
      <c r="FY207" s="150"/>
      <c r="FZ207" s="150"/>
      <c r="GA207" s="150"/>
      <c r="GB207" s="150"/>
      <c r="GC207" s="150"/>
      <c r="GD207" s="150"/>
      <c r="GE207" s="150"/>
      <c r="GF207" s="150"/>
      <c r="GG207" s="150"/>
      <c r="GH207" s="150"/>
      <c r="GI207" s="150"/>
      <c r="GJ207" s="150"/>
      <c r="GK207" s="150"/>
      <c r="GL207" s="150"/>
      <c r="GM207" s="150"/>
      <c r="GN207" s="150"/>
      <c r="GO207" s="150"/>
      <c r="GP207" s="150"/>
      <c r="GQ207" s="150"/>
      <c r="GR207" s="150"/>
      <c r="GS207" s="150"/>
      <c r="GT207" s="150"/>
      <c r="GU207" s="150"/>
      <c r="GV207" s="150"/>
      <c r="GW207" s="150"/>
      <c r="GX207" s="150"/>
      <c r="GY207" s="150"/>
      <c r="GZ207" s="150"/>
      <c r="HA207" s="150"/>
      <c r="HB207" s="150"/>
      <c r="HC207" s="150"/>
      <c r="HD207" s="150"/>
      <c r="HE207" s="150"/>
      <c r="HF207" s="150"/>
      <c r="HG207" s="150"/>
      <c r="HH207" s="150"/>
      <c r="IT207" s="157"/>
    </row>
    <row r="208" spans="1:254" ht="15.75" thickBot="1" x14ac:dyDescent="0.3">
      <c r="A208" s="9"/>
      <c r="B208" s="6"/>
      <c r="C208" s="9"/>
      <c r="D208" s="9"/>
      <c r="E208" s="9"/>
      <c r="F208" s="9"/>
      <c r="G208" s="9"/>
      <c r="H208" s="9"/>
      <c r="I208" s="9"/>
      <c r="J208" s="9"/>
      <c r="K208" s="9"/>
      <c r="L208" s="6" t="s">
        <v>525</v>
      </c>
      <c r="M208" s="11">
        <f>INDEX(cennik!$C$2:$L$529,MATCH($L208,cennik!$B$2:$B$522,0),MATCH(M$2,cennik!$C$1:$L$1,0))</f>
        <v>660245</v>
      </c>
      <c r="N208" s="11" t="str">
        <f>INDEX(cennik!$C$2:$L$529,MATCH($L208,cennik!$B$2:$B$522,0),MATCH(N$2,cennik!$C$1:$L$1,0))</f>
        <v>szt.</v>
      </c>
      <c r="O208" s="11">
        <f>O206</f>
        <v>0</v>
      </c>
      <c r="P208" s="34">
        <f>INDEX(cennik!$C$2:$L$529,MATCH($L208,cennik!$B$2:$B$522,0),MATCH(P$2,cennik!$C$1:$L$1,0))</f>
        <v>1.56</v>
      </c>
      <c r="Q208" s="34">
        <f t="shared" si="493"/>
        <v>0</v>
      </c>
      <c r="R208" s="35">
        <f t="shared" si="462"/>
        <v>0</v>
      </c>
      <c r="S208" s="34">
        <f t="shared" si="463"/>
        <v>1.56</v>
      </c>
      <c r="T208" s="34">
        <f t="shared" si="464"/>
        <v>0</v>
      </c>
      <c r="U208" s="34">
        <f>INDEX(cennik!$C$2:$L$529,MATCH($L208,cennik!$B$2:$B$522,0),MATCH(U$2,cennik!$C$1:$L$1,0))*O208</f>
        <v>0</v>
      </c>
      <c r="V208" s="150"/>
      <c r="W208" s="158" t="s">
        <v>18</v>
      </c>
      <c r="X208" s="150" t="s">
        <v>217</v>
      </c>
      <c r="Y208" s="150" t="s">
        <v>216</v>
      </c>
      <c r="Z208" s="150" t="s">
        <v>17</v>
      </c>
      <c r="AA208" s="150">
        <f t="shared" si="495"/>
        <v>0</v>
      </c>
      <c r="AB208" s="150">
        <f t="shared" ref="AB208:AB222" si="501">IF($E$220=$AE$33,INT((A220/4)*1.5),IF($E$220=$AE$34,INT((A220/4)*1.5),IF($E$220=$AE$35,INT((A220/4)*1.5),IF($E$220=$AE$36,INT((A220/4)*1.5),IF($E$220=$AE$37,INT((A220/4)*1.5),IF($E$220=$AE$38,INT((A220/4)*1.5),IF($E$220=$AE$39,A220/4,IF($E$220=$AE$40,A220/4,IF($E$220=$AE$41,A220/4,IF($E$220=$AE$42,A220/4,IF($E$220=$AE$43,A220/4,IF($E$220=$AE$44,A220/4,IF($E$220=$AE$45,A220/4,IF($E$220=$AE$46,A220/4,0))))))))))))))</f>
        <v>0</v>
      </c>
      <c r="AC208" s="150">
        <f t="shared" si="496"/>
        <v>0</v>
      </c>
      <c r="AD208" s="150">
        <f t="shared" si="497"/>
        <v>0</v>
      </c>
      <c r="AE208" s="150">
        <f t="shared" si="498"/>
        <v>0</v>
      </c>
      <c r="AF208" s="150">
        <f t="shared" si="499"/>
        <v>0</v>
      </c>
      <c r="AG208" s="150">
        <f t="shared" si="500"/>
        <v>1</v>
      </c>
      <c r="AH208" s="150"/>
      <c r="AI208" s="150"/>
      <c r="AJ208" s="150"/>
      <c r="AK208" s="150"/>
      <c r="AL208" s="150"/>
      <c r="AM208" s="150"/>
      <c r="AN208" s="150"/>
      <c r="AO208" s="150"/>
      <c r="AP208" s="150"/>
      <c r="AQ208" s="150"/>
      <c r="AR208" s="150" t="s">
        <v>717</v>
      </c>
      <c r="AS208" s="150" t="s">
        <v>1157</v>
      </c>
      <c r="AT208" s="150">
        <v>2</v>
      </c>
      <c r="AU208" s="150" t="s">
        <v>1022</v>
      </c>
      <c r="AV208" s="150">
        <v>4</v>
      </c>
      <c r="AW208" s="150">
        <v>5</v>
      </c>
      <c r="AX208" s="150"/>
      <c r="AY208" s="150"/>
      <c r="AZ208" s="150"/>
      <c r="BA208" s="150"/>
      <c r="BB208" s="150"/>
      <c r="BC208" s="150"/>
      <c r="BD208" s="150"/>
      <c r="BE208" s="150"/>
      <c r="BF208" s="150"/>
      <c r="BG208" s="150"/>
      <c r="BH208" s="155" t="s">
        <v>522</v>
      </c>
      <c r="BI208" s="150">
        <v>0</v>
      </c>
      <c r="BJ208" s="150">
        <v>5</v>
      </c>
      <c r="BK208" s="150">
        <v>0</v>
      </c>
      <c r="BL208" s="150">
        <v>5</v>
      </c>
      <c r="BM208" s="150">
        <v>10</v>
      </c>
      <c r="BN208" s="150">
        <v>5</v>
      </c>
      <c r="BO208" s="150">
        <v>15</v>
      </c>
      <c r="BP208" s="150">
        <v>5</v>
      </c>
      <c r="BQ208" s="150">
        <v>15</v>
      </c>
      <c r="BR208" s="150">
        <v>20</v>
      </c>
      <c r="BS208" s="150">
        <v>15</v>
      </c>
      <c r="BT208" s="150">
        <v>25</v>
      </c>
      <c r="BU208" s="150">
        <v>15</v>
      </c>
      <c r="BV208" s="150"/>
      <c r="BW208" s="150" t="s">
        <v>522</v>
      </c>
      <c r="BX208" s="150">
        <v>0</v>
      </c>
      <c r="BY208" s="150">
        <v>5</v>
      </c>
      <c r="BZ208" s="150">
        <v>0</v>
      </c>
      <c r="CA208" s="150">
        <v>10</v>
      </c>
      <c r="CB208" s="150">
        <v>5</v>
      </c>
      <c r="CC208" s="154">
        <v>15</v>
      </c>
      <c r="CD208" s="154">
        <v>10</v>
      </c>
      <c r="CE208" s="154">
        <v>15</v>
      </c>
      <c r="CF208" s="154">
        <v>10</v>
      </c>
      <c r="CG208" s="154">
        <v>20</v>
      </c>
      <c r="CH208" s="154">
        <v>15</v>
      </c>
      <c r="CI208" s="154">
        <v>25</v>
      </c>
      <c r="CJ208" s="154">
        <v>20</v>
      </c>
      <c r="CK208" s="150"/>
      <c r="CL208" s="150"/>
      <c r="CM208" s="150"/>
      <c r="CN208" s="154" t="s">
        <v>522</v>
      </c>
      <c r="CO208" s="154">
        <v>0</v>
      </c>
      <c r="CP208" s="154">
        <v>0</v>
      </c>
      <c r="CQ208" s="154">
        <v>5</v>
      </c>
      <c r="CR208" s="154">
        <v>0</v>
      </c>
      <c r="CS208" s="154">
        <v>10</v>
      </c>
      <c r="CT208" s="154">
        <v>5</v>
      </c>
      <c r="CU208" s="154">
        <v>15</v>
      </c>
      <c r="CV208" s="154">
        <v>15</v>
      </c>
      <c r="CW208" s="154">
        <v>25</v>
      </c>
      <c r="CX208" s="154">
        <v>20</v>
      </c>
      <c r="CY208" s="154">
        <v>30</v>
      </c>
      <c r="CZ208" s="154">
        <v>25</v>
      </c>
      <c r="DA208" s="157">
        <v>35</v>
      </c>
      <c r="DB208" s="150"/>
      <c r="DC208" s="150"/>
      <c r="DD208" s="150"/>
      <c r="DE208" s="150"/>
      <c r="DF208" s="150"/>
      <c r="DG208" s="150"/>
      <c r="DH208" s="150"/>
      <c r="DI208" s="150"/>
      <c r="DJ208" s="150"/>
      <c r="DK208" s="150"/>
      <c r="DL208" s="150"/>
      <c r="DM208" s="150"/>
      <c r="DN208" s="150"/>
      <c r="DO208" s="150"/>
      <c r="DP208" s="150"/>
      <c r="DQ208" s="181"/>
      <c r="DR208" s="181"/>
      <c r="DS208" s="181"/>
      <c r="DT208" s="150"/>
      <c r="DU208" s="150"/>
      <c r="DV208" s="150"/>
      <c r="DW208" s="150"/>
      <c r="DX208" s="150"/>
      <c r="DY208" s="150"/>
      <c r="DZ208" s="150"/>
      <c r="EA208" s="150"/>
      <c r="EB208" s="150"/>
      <c r="EC208" s="150"/>
      <c r="ED208" s="150"/>
      <c r="EE208" s="150"/>
      <c r="EF208" s="150"/>
      <c r="EG208" s="150"/>
      <c r="EH208" s="150"/>
      <c r="EI208" s="150"/>
      <c r="EJ208" s="159"/>
      <c r="EK208" s="160"/>
      <c r="EL208" s="160"/>
      <c r="EM208" s="160"/>
      <c r="EN208" s="160"/>
      <c r="EO208" s="160"/>
      <c r="EP208" s="160"/>
      <c r="EQ208" s="160"/>
      <c r="ER208" s="160"/>
      <c r="ES208" s="160"/>
      <c r="ET208" s="160"/>
      <c r="EU208" s="160"/>
      <c r="EV208" s="160"/>
      <c r="EW208" s="160"/>
      <c r="EX208" s="160"/>
      <c r="EY208" s="160"/>
      <c r="EZ208" s="160"/>
      <c r="FA208" s="160"/>
      <c r="FB208" s="160"/>
      <c r="FC208" s="160"/>
      <c r="FD208" s="160"/>
      <c r="FE208" s="160"/>
      <c r="FF208" s="160"/>
      <c r="FG208" s="160"/>
      <c r="FH208" s="160"/>
      <c r="FI208" s="160"/>
      <c r="FJ208" s="160"/>
      <c r="FK208" s="160"/>
      <c r="FL208" s="160"/>
      <c r="FM208" s="160"/>
      <c r="FN208" s="160"/>
      <c r="FO208" s="160"/>
      <c r="FP208" s="160"/>
      <c r="FQ208" s="160"/>
      <c r="FR208" s="160"/>
      <c r="FS208" s="160"/>
      <c r="FT208" s="160"/>
      <c r="FU208" s="160"/>
      <c r="FV208" s="160"/>
      <c r="FW208" s="160"/>
      <c r="FX208" s="160"/>
      <c r="FY208" s="160"/>
      <c r="FZ208" s="160"/>
      <c r="GA208" s="160"/>
      <c r="GB208" s="160"/>
      <c r="GC208" s="160"/>
      <c r="GD208" s="160"/>
      <c r="GE208" s="160"/>
      <c r="GF208" s="160"/>
      <c r="GG208" s="160"/>
      <c r="GH208" s="160"/>
      <c r="GI208" s="160"/>
      <c r="GJ208" s="160"/>
      <c r="GK208" s="160"/>
      <c r="GL208" s="160"/>
      <c r="GM208" s="160"/>
      <c r="GN208" s="160"/>
      <c r="GO208" s="160"/>
      <c r="GP208" s="160"/>
      <c r="GQ208" s="160"/>
      <c r="GR208" s="160"/>
      <c r="GS208" s="160"/>
      <c r="GT208" s="160"/>
      <c r="GU208" s="160"/>
      <c r="GV208" s="160"/>
      <c r="GW208" s="160"/>
      <c r="GX208" s="160"/>
      <c r="GY208" s="160"/>
      <c r="GZ208" s="160"/>
      <c r="HA208" s="160"/>
      <c r="HB208" s="160"/>
      <c r="HC208" s="160"/>
      <c r="HD208" s="160"/>
      <c r="HE208" s="160"/>
      <c r="HF208" s="160"/>
      <c r="HG208" s="160"/>
      <c r="HH208" s="160"/>
      <c r="HI208" s="164"/>
      <c r="HJ208" s="164"/>
      <c r="HK208" s="164"/>
      <c r="HL208" s="164"/>
      <c r="HM208" s="164"/>
      <c r="HN208" s="164"/>
      <c r="HO208" s="164"/>
      <c r="HP208" s="164"/>
      <c r="HQ208" s="164"/>
      <c r="HR208" s="164"/>
      <c r="HS208" s="164"/>
      <c r="HT208" s="164"/>
      <c r="HU208" s="164"/>
      <c r="HV208" s="164"/>
      <c r="HW208" s="164"/>
      <c r="HX208" s="164"/>
      <c r="HY208" s="164"/>
      <c r="HZ208" s="164"/>
      <c r="IA208" s="164"/>
      <c r="IB208" s="164"/>
      <c r="IC208" s="164"/>
      <c r="ID208" s="164"/>
      <c r="IE208" s="164"/>
      <c r="IF208" s="164"/>
      <c r="IG208" s="164"/>
      <c r="IH208" s="164"/>
      <c r="II208" s="164"/>
      <c r="IJ208" s="164"/>
      <c r="IK208" s="164"/>
      <c r="IL208" s="164"/>
      <c r="IM208" s="164"/>
      <c r="IN208" s="164"/>
      <c r="IO208" s="164"/>
      <c r="IP208" s="164"/>
      <c r="IQ208" s="164"/>
      <c r="IR208" s="164"/>
      <c r="IS208" s="164"/>
      <c r="IT208" s="165"/>
    </row>
    <row r="209" spans="1:216" x14ac:dyDescent="0.2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6" t="s">
        <v>350</v>
      </c>
      <c r="M209" s="11">
        <f>INDEX(cennik!$C$2:$L$529,MATCH($L209,cennik!$B$2:$B$522,0),MATCH(M$2,cennik!$C$1:$L$1,0))</f>
        <v>651643</v>
      </c>
      <c r="N209" s="11" t="str">
        <f>INDEX(cennik!$C$2:$L$529,MATCH($L209,cennik!$B$2:$B$522,0),MATCH(N$2,cennik!$C$1:$L$1,0))</f>
        <v>100 szt.</v>
      </c>
      <c r="O209" s="11">
        <f>ROUNDUP(((O195*12)+(O199*2)+(O203*4)+O211+(O194*6)+(O214*2)+E198)/100,0)</f>
        <v>0</v>
      </c>
      <c r="P209" s="34">
        <f>INDEX(cennik!$C$2:$L$529,MATCH($L209,cennik!$B$2:$B$522,0),MATCH(P$2,cennik!$C$1:$L$1,0))</f>
        <v>144.19</v>
      </c>
      <c r="Q209" s="34">
        <f t="shared" si="493"/>
        <v>0</v>
      </c>
      <c r="R209" s="35">
        <f t="shared" si="462"/>
        <v>0</v>
      </c>
      <c r="S209" s="34">
        <f t="shared" si="463"/>
        <v>144.19</v>
      </c>
      <c r="T209" s="34">
        <f t="shared" si="464"/>
        <v>0</v>
      </c>
      <c r="U209" s="34">
        <f>INDEX(cennik!$C$2:$L$529,MATCH($L209,cennik!$B$2:$B$522,0),MATCH(U$2,cennik!$C$1:$L$1,0))*O209</f>
        <v>0</v>
      </c>
      <c r="V209" s="150"/>
      <c r="W20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219,$BI$200:$BU$200,0),MATCH($E$220,$AE$33:$AE$47,0))*$C219</f>
        <v>0</v>
      </c>
      <c r="X20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219,$BI$200:$BU$200,0),MATCH($E$220,$AE$33:$AE$47,0))*$C219</f>
        <v>0</v>
      </c>
      <c r="Y20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219,$BI$200:$BU$200,0),MATCH($E$220,$AE$33:$AE$47,0))*$C219</f>
        <v>0</v>
      </c>
      <c r="Z20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219,$BI$200:$BU$200,0),MATCH($E$220,$AE$33:$AE$47,0))*$C219</f>
        <v>0</v>
      </c>
      <c r="AA209" s="150">
        <f t="shared" si="495"/>
        <v>0</v>
      </c>
      <c r="AB209" s="150">
        <f t="shared" si="501"/>
        <v>0</v>
      </c>
      <c r="AC209" s="150">
        <f t="shared" si="496"/>
        <v>0</v>
      </c>
      <c r="AD209" s="150">
        <f t="shared" si="497"/>
        <v>0</v>
      </c>
      <c r="AE209" s="150">
        <f t="shared" si="498"/>
        <v>0</v>
      </c>
      <c r="AF209" s="150">
        <f t="shared" si="499"/>
        <v>0</v>
      </c>
      <c r="AG209" s="150">
        <f t="shared" si="500"/>
        <v>1</v>
      </c>
      <c r="AH209" s="150"/>
      <c r="AI209" s="150"/>
      <c r="AJ209" s="150"/>
      <c r="AK209" s="150"/>
      <c r="AL209" s="150"/>
      <c r="AM209" s="150"/>
      <c r="AN209" s="150"/>
      <c r="AO209" s="150"/>
      <c r="AP209" s="150"/>
      <c r="AQ209" s="150"/>
      <c r="AR209" s="150">
        <v>1</v>
      </c>
      <c r="AS209" s="150" t="s">
        <v>751</v>
      </c>
      <c r="AT209" s="150" t="s">
        <v>751</v>
      </c>
      <c r="AU209" s="150" t="s">
        <v>751</v>
      </c>
      <c r="AV209" s="150" t="s">
        <v>751</v>
      </c>
      <c r="AW209" s="150" t="s">
        <v>719</v>
      </c>
      <c r="AX209" s="150"/>
      <c r="AY209" s="150"/>
      <c r="AZ209" s="150"/>
      <c r="BA209" s="150"/>
      <c r="BB209" s="150"/>
      <c r="BC209" s="150"/>
      <c r="BD209" s="150"/>
      <c r="BE209" s="150"/>
      <c r="BF209" s="150"/>
      <c r="BG209" s="150"/>
      <c r="BH209" s="155" t="s">
        <v>523</v>
      </c>
      <c r="BI209" s="150">
        <v>0</v>
      </c>
      <c r="BJ209" s="150">
        <v>0</v>
      </c>
      <c r="BK209" s="150">
        <v>10</v>
      </c>
      <c r="BL209" s="150">
        <v>5</v>
      </c>
      <c r="BM209" s="150">
        <v>0</v>
      </c>
      <c r="BN209" s="150">
        <v>10</v>
      </c>
      <c r="BO209" s="150">
        <v>0</v>
      </c>
      <c r="BP209" s="150">
        <v>15</v>
      </c>
      <c r="BQ209" s="150">
        <v>5</v>
      </c>
      <c r="BR209" s="150">
        <v>0</v>
      </c>
      <c r="BS209" s="150">
        <v>10</v>
      </c>
      <c r="BT209" s="150">
        <v>0</v>
      </c>
      <c r="BU209" s="150">
        <v>15</v>
      </c>
      <c r="BV209" s="150"/>
      <c r="BW209" s="150" t="s">
        <v>523</v>
      </c>
      <c r="BX209" s="150">
        <v>0</v>
      </c>
      <c r="BY209" s="150">
        <v>0</v>
      </c>
      <c r="BZ209" s="150">
        <v>10</v>
      </c>
      <c r="CA209" s="150">
        <v>0</v>
      </c>
      <c r="CB209" s="150">
        <v>10</v>
      </c>
      <c r="CC209" s="150">
        <v>0</v>
      </c>
      <c r="CD209" s="150">
        <v>10</v>
      </c>
      <c r="CE209" s="150">
        <v>5</v>
      </c>
      <c r="CF209" s="150">
        <v>15</v>
      </c>
      <c r="CG209" s="150">
        <v>5</v>
      </c>
      <c r="CH209" s="150">
        <v>15</v>
      </c>
      <c r="CI209" s="150">
        <v>5</v>
      </c>
      <c r="CJ209" s="150">
        <v>15</v>
      </c>
      <c r="CK209" s="150"/>
      <c r="CL209" s="150"/>
      <c r="CM209" s="150"/>
      <c r="CN209" s="154" t="s">
        <v>523</v>
      </c>
      <c r="CO209" s="154">
        <v>0</v>
      </c>
      <c r="CP209" s="154">
        <v>0</v>
      </c>
      <c r="CQ209" s="154">
        <v>5</v>
      </c>
      <c r="CR209" s="154">
        <v>15</v>
      </c>
      <c r="CS209" s="154">
        <v>5</v>
      </c>
      <c r="CT209" s="154">
        <v>15</v>
      </c>
      <c r="CU209" s="154">
        <v>5</v>
      </c>
      <c r="CV209" s="154">
        <v>10</v>
      </c>
      <c r="CW209" s="154">
        <v>0</v>
      </c>
      <c r="CX209" s="154">
        <v>10</v>
      </c>
      <c r="CY209" s="154">
        <v>0</v>
      </c>
      <c r="CZ209" s="154">
        <v>10</v>
      </c>
      <c r="DA209" s="157">
        <v>0</v>
      </c>
      <c r="DB209" s="150"/>
      <c r="DC209" s="150"/>
      <c r="DD209" s="150"/>
      <c r="DE209" s="150"/>
      <c r="DF209" s="150"/>
      <c r="DG209" s="150"/>
      <c r="DH209" s="150"/>
      <c r="DI209" s="150"/>
      <c r="DJ209" s="150"/>
      <c r="DK209" s="150"/>
      <c r="DL209" s="150"/>
      <c r="DM209" s="150"/>
      <c r="DN209" s="150"/>
      <c r="DO209" s="150"/>
      <c r="DP209" s="150"/>
      <c r="DQ209" s="181"/>
      <c r="DR209" s="181"/>
      <c r="DS209" s="181"/>
      <c r="DT209" s="150"/>
      <c r="DU209" s="150"/>
      <c r="DV209" s="150"/>
      <c r="DW209" s="150"/>
      <c r="DX209" s="150"/>
      <c r="DY209" s="150"/>
      <c r="DZ209" s="150"/>
      <c r="EA209" s="150"/>
      <c r="EB209" s="150"/>
      <c r="EC209" s="150"/>
      <c r="ED209" s="150"/>
      <c r="EE209" s="150"/>
      <c r="EF209" s="150"/>
      <c r="EG209" s="150"/>
      <c r="EH209" s="150"/>
      <c r="EI209" s="150"/>
      <c r="EJ209" s="150"/>
      <c r="EK209" s="150"/>
      <c r="EL209" s="150"/>
      <c r="EM209" s="150"/>
      <c r="EN209" s="150"/>
      <c r="EO209" s="150"/>
      <c r="EP209" s="150"/>
      <c r="EQ209" s="150"/>
      <c r="ER209" s="150"/>
      <c r="ES209" s="150"/>
      <c r="ET209" s="150"/>
      <c r="EU209" s="150"/>
      <c r="EV209" s="150"/>
      <c r="EW209" s="150"/>
      <c r="EX209" s="150"/>
      <c r="EY209" s="150"/>
      <c r="EZ209" s="150"/>
      <c r="FA209" s="150"/>
      <c r="FB209" s="150"/>
      <c r="FC209" s="150"/>
      <c r="FD209" s="150"/>
      <c r="FE209" s="150"/>
      <c r="FF209" s="150"/>
      <c r="FG209" s="150"/>
      <c r="FH209" s="150"/>
      <c r="FI209" s="150"/>
      <c r="FJ209" s="150"/>
      <c r="FK209" s="150"/>
      <c r="FL209" s="150"/>
      <c r="FM209" s="150"/>
      <c r="FN209" s="150"/>
      <c r="FO209" s="150"/>
      <c r="FP209" s="150"/>
      <c r="FQ209" s="150"/>
      <c r="FR209" s="150"/>
      <c r="FS209" s="150"/>
      <c r="FT209" s="150"/>
      <c r="FU209" s="150"/>
      <c r="FV209" s="150"/>
      <c r="FW209" s="150"/>
      <c r="FX209" s="150"/>
      <c r="FY209" s="150"/>
      <c r="FZ209" s="150"/>
      <c r="GA209" s="150"/>
      <c r="GB209" s="150"/>
      <c r="GC209" s="150"/>
      <c r="GD209" s="150"/>
      <c r="GE209" s="150"/>
      <c r="GF209" s="150"/>
      <c r="GG209" s="150"/>
      <c r="GH209" s="150"/>
      <c r="GI209" s="150"/>
      <c r="GJ209" s="150"/>
      <c r="GK209" s="150"/>
      <c r="GL209" s="150"/>
      <c r="GM209" s="150"/>
      <c r="GN209" s="150"/>
      <c r="GO209" s="150"/>
      <c r="GP209" s="150"/>
      <c r="GQ209" s="150"/>
      <c r="GR209" s="150"/>
      <c r="GS209" s="150"/>
      <c r="GT209" s="150"/>
      <c r="GU209" s="150"/>
      <c r="GV209" s="150"/>
      <c r="GW209" s="150"/>
      <c r="GX209" s="150"/>
      <c r="GY209" s="150"/>
      <c r="GZ209" s="150"/>
      <c r="HA209" s="150"/>
      <c r="HB209" s="150"/>
      <c r="HC209" s="150"/>
      <c r="HD209" s="150"/>
      <c r="HE209" s="150"/>
      <c r="HF209" s="150"/>
      <c r="HG209" s="150"/>
      <c r="HH209" s="150"/>
    </row>
    <row r="210" spans="1:216" x14ac:dyDescent="0.2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6" t="s">
        <v>128</v>
      </c>
      <c r="M210" s="11">
        <f>INDEX(cennik!$C$2:$L$529,MATCH($L210,cennik!$B$2:$B$522,0),MATCH(M$2,cennik!$C$1:$L$1,0))</f>
        <v>897303</v>
      </c>
      <c r="N210" s="11" t="str">
        <f>INDEX(cennik!$C$2:$L$529,MATCH($L210,cennik!$B$2:$B$522,0),MATCH(N$2,cennik!$C$1:$L$1,0))</f>
        <v>szt.</v>
      </c>
      <c r="O210" s="11">
        <f>0.25*SUM(O204:O206)</f>
        <v>0</v>
      </c>
      <c r="P210" s="34">
        <f>INDEX(cennik!$C$2:$L$529,MATCH($L210,cennik!$B$2:$B$522,0),MATCH(P$2,cennik!$C$1:$L$1,0))</f>
        <v>2.4</v>
      </c>
      <c r="Q210" s="34">
        <f t="shared" si="493"/>
        <v>0</v>
      </c>
      <c r="R210" s="35">
        <f t="shared" si="462"/>
        <v>0</v>
      </c>
      <c r="S210" s="34">
        <f t="shared" si="463"/>
        <v>2.4</v>
      </c>
      <c r="T210" s="34">
        <f t="shared" si="464"/>
        <v>0</v>
      </c>
      <c r="U210" s="34">
        <f>INDEX(cennik!$C$2:$L$529,MATCH($L210,cennik!$B$2:$B$522,0),MATCH(U$2,cennik!$C$1:$L$1,0))*O210</f>
        <v>0</v>
      </c>
      <c r="V210" s="150"/>
      <c r="W21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220,$BI$200:$BU$200,0),MATCH($E$220,$AE$33:$AE$47,0))*$C220</f>
        <v>0</v>
      </c>
      <c r="X21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220,$BI$200:$BU$200,0),MATCH($E$220,$AE$33:$AE$47,0))*$C220</f>
        <v>0</v>
      </c>
      <c r="Y21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220,$BI$200:$BU$200,0),MATCH($E$220,$AE$33:$AE$47,0))*$C220</f>
        <v>0</v>
      </c>
      <c r="Z21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220,$BI$200:$BU$200,0),MATCH($E$220,$AE$33:$AE$47,0))*$C220</f>
        <v>0</v>
      </c>
      <c r="AA210" s="150">
        <f t="shared" si="495"/>
        <v>0</v>
      </c>
      <c r="AB210" s="150">
        <f t="shared" si="501"/>
        <v>0</v>
      </c>
      <c r="AC210" s="150">
        <f t="shared" si="496"/>
        <v>0</v>
      </c>
      <c r="AD210" s="150">
        <f t="shared" si="497"/>
        <v>0</v>
      </c>
      <c r="AE210" s="150">
        <f t="shared" si="498"/>
        <v>0</v>
      </c>
      <c r="AF210" s="150">
        <f t="shared" si="499"/>
        <v>0</v>
      </c>
      <c r="AG210" s="150">
        <f t="shared" si="500"/>
        <v>1</v>
      </c>
      <c r="AH210" s="150"/>
      <c r="AI210" s="150"/>
      <c r="AJ210" s="150"/>
      <c r="AK210" s="150"/>
      <c r="AL210" s="150"/>
      <c r="AM210" s="150"/>
      <c r="AN210" s="150"/>
      <c r="AO210" s="150"/>
      <c r="AP210" s="150"/>
      <c r="AQ210" s="150"/>
      <c r="AR210" s="150">
        <v>2</v>
      </c>
      <c r="AS210" s="150" t="s">
        <v>719</v>
      </c>
      <c r="AT210" s="150" t="s">
        <v>751</v>
      </c>
      <c r="AU210" s="150" t="s">
        <v>751</v>
      </c>
      <c r="AV210" s="150" t="s">
        <v>719</v>
      </c>
      <c r="AW210" s="150" t="s">
        <v>719</v>
      </c>
      <c r="AX210" s="150"/>
      <c r="AY210" s="150"/>
      <c r="AZ210" s="150"/>
      <c r="BA210" s="150"/>
      <c r="BB210" s="150"/>
      <c r="BC210" s="150"/>
      <c r="BD210" s="150"/>
      <c r="BE210" s="150"/>
      <c r="BF210" s="150"/>
      <c r="BG210" s="150"/>
      <c r="BH210" s="158" t="s">
        <v>779</v>
      </c>
      <c r="BI210" s="150">
        <v>0</v>
      </c>
      <c r="BJ210" s="150">
        <v>0</v>
      </c>
      <c r="BK210" s="150">
        <v>5</v>
      </c>
      <c r="BL210" s="150">
        <v>5</v>
      </c>
      <c r="BM210" s="150">
        <v>5</v>
      </c>
      <c r="BN210" s="150">
        <v>10</v>
      </c>
      <c r="BO210" s="150">
        <v>10</v>
      </c>
      <c r="BP210" s="150">
        <v>15</v>
      </c>
      <c r="BQ210" s="150">
        <v>15</v>
      </c>
      <c r="BR210" s="150">
        <v>15</v>
      </c>
      <c r="BS210" s="150">
        <v>20</v>
      </c>
      <c r="BT210" s="150">
        <v>20</v>
      </c>
      <c r="BU210" s="150">
        <v>25</v>
      </c>
      <c r="BV210" s="150"/>
      <c r="BW210" s="158" t="s">
        <v>779</v>
      </c>
      <c r="BX210" s="150">
        <v>0</v>
      </c>
      <c r="BY210" s="150">
        <v>0</v>
      </c>
      <c r="BZ210" s="150">
        <v>5</v>
      </c>
      <c r="CA210" s="150">
        <v>5</v>
      </c>
      <c r="CB210" s="150">
        <v>10</v>
      </c>
      <c r="CC210" s="150">
        <v>10</v>
      </c>
      <c r="CD210" s="150">
        <v>15</v>
      </c>
      <c r="CE210" s="150">
        <v>15</v>
      </c>
      <c r="CF210" s="150">
        <v>20</v>
      </c>
      <c r="CG210" s="150">
        <v>20</v>
      </c>
      <c r="CH210" s="150">
        <v>25</v>
      </c>
      <c r="CI210" s="150">
        <v>25</v>
      </c>
      <c r="CJ210" s="150">
        <v>30</v>
      </c>
      <c r="CK210" s="150"/>
      <c r="CL210" s="150"/>
      <c r="CM210" s="150"/>
      <c r="CN210" s="158" t="s">
        <v>779</v>
      </c>
      <c r="CO210" s="154">
        <v>0</v>
      </c>
      <c r="CP210" s="154">
        <v>0</v>
      </c>
      <c r="CQ210" s="154">
        <v>5</v>
      </c>
      <c r="CR210" s="154">
        <v>10</v>
      </c>
      <c r="CS210" s="154">
        <v>10</v>
      </c>
      <c r="CT210" s="154">
        <v>15</v>
      </c>
      <c r="CU210" s="154">
        <v>15</v>
      </c>
      <c r="CV210" s="154">
        <v>20</v>
      </c>
      <c r="CW210" s="154">
        <v>20</v>
      </c>
      <c r="CX210" s="154">
        <v>25</v>
      </c>
      <c r="CY210" s="154">
        <v>25</v>
      </c>
      <c r="CZ210" s="154">
        <v>30</v>
      </c>
      <c r="DA210" s="157">
        <v>30</v>
      </c>
      <c r="DB210" s="150"/>
      <c r="DC210" s="150"/>
      <c r="DD210" s="150"/>
      <c r="DE210" s="150"/>
      <c r="DF210" s="150"/>
      <c r="DG210" s="150"/>
      <c r="DH210" s="150"/>
      <c r="DI210" s="150"/>
      <c r="DJ210" s="150"/>
      <c r="DK210" s="150"/>
      <c r="DL210" s="150"/>
      <c r="DM210" s="150"/>
      <c r="DN210" s="150"/>
      <c r="DO210" s="150"/>
      <c r="DP210" s="150"/>
      <c r="DQ210" s="181"/>
      <c r="DR210" s="181"/>
      <c r="DS210" s="181"/>
      <c r="DT210" s="150"/>
      <c r="DU210" s="150"/>
      <c r="DV210" s="150"/>
      <c r="DW210" s="150"/>
      <c r="DX210" s="150"/>
      <c r="DY210" s="150"/>
      <c r="DZ210" s="150"/>
      <c r="EA210" s="150"/>
      <c r="EB210" s="150"/>
      <c r="EC210" s="150"/>
      <c r="ED210" s="150"/>
      <c r="EE210" s="150"/>
      <c r="EF210" s="150"/>
      <c r="EG210" s="150"/>
      <c r="EH210" s="150"/>
      <c r="EI210" s="150"/>
      <c r="EJ210" s="150"/>
      <c r="EK210" s="150"/>
      <c r="EL210" s="150"/>
      <c r="EM210" s="150"/>
      <c r="EN210" s="150"/>
      <c r="EO210" s="150"/>
      <c r="EP210" s="150"/>
      <c r="EQ210" s="150"/>
      <c r="ER210" s="150"/>
      <c r="ES210" s="150"/>
      <c r="ET210" s="150"/>
      <c r="EU210" s="150"/>
      <c r="EV210" s="150"/>
      <c r="EW210" s="150"/>
      <c r="EX210" s="150"/>
      <c r="EY210" s="150"/>
      <c r="EZ210" s="150"/>
      <c r="FA210" s="150"/>
      <c r="FB210" s="150"/>
      <c r="FC210" s="150"/>
      <c r="FD210" s="150"/>
      <c r="FE210" s="150"/>
      <c r="FF210" s="150"/>
      <c r="FG210" s="150"/>
      <c r="FH210" s="150"/>
      <c r="FI210" s="150"/>
      <c r="FJ210" s="150"/>
      <c r="FK210" s="150"/>
      <c r="FL210" s="150"/>
      <c r="FM210" s="150"/>
      <c r="FN210" s="150"/>
      <c r="FO210" s="150"/>
      <c r="FP210" s="150"/>
      <c r="FQ210" s="150"/>
      <c r="FR210" s="150"/>
      <c r="FS210" s="150"/>
      <c r="FT210" s="150"/>
      <c r="FU210" s="150"/>
      <c r="FV210" s="150"/>
      <c r="FW210" s="150"/>
      <c r="FX210" s="150"/>
      <c r="FY210" s="150"/>
      <c r="FZ210" s="150"/>
      <c r="GA210" s="150"/>
      <c r="GB210" s="150"/>
      <c r="GC210" s="150"/>
      <c r="GD210" s="150"/>
      <c r="GE210" s="150"/>
      <c r="GF210" s="150"/>
      <c r="GG210" s="150"/>
      <c r="GH210" s="150"/>
      <c r="GI210" s="150"/>
      <c r="GJ210" s="150"/>
      <c r="GK210" s="150"/>
      <c r="GL210" s="150"/>
      <c r="GM210" s="150"/>
      <c r="GN210" s="150"/>
      <c r="GO210" s="150"/>
      <c r="GP210" s="150"/>
      <c r="GQ210" s="150"/>
      <c r="GR210" s="150"/>
      <c r="GS210" s="150"/>
      <c r="GT210" s="150"/>
      <c r="GU210" s="150"/>
      <c r="GV210" s="150"/>
      <c r="GW210" s="150"/>
      <c r="GX210" s="150"/>
      <c r="GY210" s="150"/>
      <c r="GZ210" s="150"/>
      <c r="HA210" s="150"/>
      <c r="HB210" s="150"/>
      <c r="HC210" s="150"/>
      <c r="HD210" s="150"/>
      <c r="HE210" s="150"/>
      <c r="HF210" s="150"/>
      <c r="HG210" s="150"/>
      <c r="HH210" s="150"/>
    </row>
    <row r="211" spans="1:216" x14ac:dyDescent="0.2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6" t="s">
        <v>445</v>
      </c>
      <c r="M211" s="11">
        <f>INDEX(cennik!$C$2:$L$529,MATCH($L211,cennik!$B$2:$B$522,0),MATCH(M$2,cennik!$C$1:$L$1,0))</f>
        <v>858022</v>
      </c>
      <c r="N211" s="11" t="str">
        <f>INDEX(cennik!$C$2:$L$529,MATCH($L211,cennik!$B$2:$B$522,0),MATCH(N$2,cennik!$C$1:$L$1,0))</f>
        <v>szt.</v>
      </c>
      <c r="O211" s="11">
        <f>2*O196</f>
        <v>0</v>
      </c>
      <c r="P211" s="34">
        <f>INDEX(cennik!$C$2:$L$529,MATCH($L211,cennik!$B$2:$B$522,0),MATCH(P$2,cennik!$C$1:$L$1,0))</f>
        <v>4.5</v>
      </c>
      <c r="Q211" s="34">
        <f t="shared" si="493"/>
        <v>0</v>
      </c>
      <c r="R211" s="35">
        <f t="shared" si="462"/>
        <v>0</v>
      </c>
      <c r="S211" s="34">
        <f t="shared" si="463"/>
        <v>4.5</v>
      </c>
      <c r="T211" s="34">
        <f t="shared" si="464"/>
        <v>0</v>
      </c>
      <c r="U211" s="34">
        <f>INDEX(cennik!$C$2:$L$529,MATCH($L211,cennik!$B$2:$B$522,0),MATCH(U$2,cennik!$C$1:$L$1,0))*O211</f>
        <v>0</v>
      </c>
      <c r="V211" s="150"/>
      <c r="W21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221,$BI$200:$BU$200,0),MATCH($E$220,$AE$33:$AE$47,0))*$C221</f>
        <v>0</v>
      </c>
      <c r="X21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221,$BI$200:$BU$200,0),MATCH($E$220,$AE$33:$AE$47,0))*$C221</f>
        <v>0</v>
      </c>
      <c r="Y21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221,$BI$200:$BU$200,0),MATCH($E$220,$AE$33:$AE$47,0))*$C221</f>
        <v>0</v>
      </c>
      <c r="Z21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221,$BI$200:$BU$200,0),MATCH($E$220,$AE$33:$AE$47,0))*$C221</f>
        <v>0</v>
      </c>
      <c r="AA211" s="150">
        <f t="shared" si="495"/>
        <v>0</v>
      </c>
      <c r="AB211" s="150">
        <f t="shared" si="501"/>
        <v>0</v>
      </c>
      <c r="AC211" s="150">
        <f t="shared" si="496"/>
        <v>0</v>
      </c>
      <c r="AD211" s="150">
        <f t="shared" si="497"/>
        <v>0</v>
      </c>
      <c r="AE211" s="150">
        <f t="shared" si="498"/>
        <v>0</v>
      </c>
      <c r="AF211" s="150">
        <f t="shared" si="499"/>
        <v>0</v>
      </c>
      <c r="AG211" s="150">
        <f t="shared" si="500"/>
        <v>1</v>
      </c>
      <c r="AH211" s="150"/>
      <c r="AI211" s="150"/>
      <c r="AJ211" s="150"/>
      <c r="AK211" s="150"/>
      <c r="AL211" s="150"/>
      <c r="AM211" s="150"/>
      <c r="AN211" s="150"/>
      <c r="AO211" s="150"/>
      <c r="AP211" s="150"/>
      <c r="AQ211" s="150"/>
      <c r="AR211" s="150" t="s">
        <v>725</v>
      </c>
      <c r="AS211" s="150" t="s">
        <v>751</v>
      </c>
      <c r="AT211" s="150" t="s">
        <v>719</v>
      </c>
      <c r="AU211" s="150" t="s">
        <v>751</v>
      </c>
      <c r="AV211" s="150" t="s">
        <v>719</v>
      </c>
      <c r="AW211" s="150" t="s">
        <v>741</v>
      </c>
      <c r="AX211" s="150"/>
      <c r="AY211" s="150"/>
      <c r="AZ211" s="150"/>
      <c r="BA211" s="150"/>
      <c r="BB211" s="150"/>
      <c r="BC211" s="150"/>
      <c r="BD211" s="150"/>
      <c r="BE211" s="150"/>
      <c r="BF211" s="150"/>
      <c r="BG211" s="150"/>
      <c r="BH211" s="155"/>
      <c r="BI211" s="150"/>
      <c r="BJ211" s="150"/>
      <c r="BK211" s="150"/>
      <c r="BL211" s="150"/>
      <c r="BM211" s="150"/>
      <c r="BN211" s="150"/>
      <c r="BO211" s="150"/>
      <c r="BP211" s="150"/>
      <c r="BQ211" s="150"/>
      <c r="BR211" s="150"/>
      <c r="BS211" s="150"/>
      <c r="BT211" s="150"/>
      <c r="BU211" s="150"/>
      <c r="BV211" s="150"/>
      <c r="BW211" s="150"/>
      <c r="BX211" s="150"/>
      <c r="BY211" s="150"/>
      <c r="BZ211" s="150"/>
      <c r="CA211" s="150"/>
      <c r="CB211" s="150"/>
      <c r="CC211" s="150"/>
      <c r="CD211" s="150"/>
      <c r="CE211" s="150"/>
      <c r="CF211" s="150"/>
      <c r="CG211" s="150"/>
      <c r="CH211" s="150"/>
      <c r="CI211" s="150"/>
      <c r="CJ211" s="150"/>
      <c r="CK211" s="150"/>
      <c r="CL211" s="150"/>
      <c r="CM211" s="150"/>
      <c r="DA211" s="157"/>
      <c r="DB211" s="150"/>
      <c r="DC211" s="150"/>
      <c r="DD211" s="150"/>
      <c r="DE211" s="150"/>
      <c r="DF211" s="150"/>
      <c r="DG211" s="150"/>
      <c r="DH211" s="150"/>
      <c r="DI211" s="150"/>
      <c r="DJ211" s="150"/>
      <c r="DK211" s="150"/>
      <c r="DL211" s="150"/>
      <c r="DM211" s="150"/>
      <c r="DN211" s="150"/>
      <c r="DO211" s="150"/>
      <c r="DP211" s="150"/>
      <c r="DQ211" s="181"/>
      <c r="DR211" s="181"/>
      <c r="DS211" s="181"/>
      <c r="DT211" s="150"/>
      <c r="DU211" s="150"/>
      <c r="DV211" s="150"/>
      <c r="DW211" s="150"/>
      <c r="DX211" s="150"/>
      <c r="DY211" s="150"/>
      <c r="DZ211" s="150"/>
      <c r="EA211" s="150"/>
      <c r="EB211" s="150"/>
      <c r="EC211" s="150"/>
      <c r="ED211" s="150"/>
      <c r="EE211" s="150"/>
      <c r="EF211" s="150"/>
      <c r="EG211" s="150"/>
      <c r="EH211" s="150"/>
      <c r="EI211" s="150"/>
      <c r="EJ211" s="150"/>
      <c r="EK211" s="150"/>
      <c r="EL211" s="150"/>
      <c r="EM211" s="150"/>
      <c r="EN211" s="150"/>
      <c r="EO211" s="150"/>
      <c r="EP211" s="150"/>
      <c r="EQ211" s="150"/>
      <c r="ER211" s="150"/>
      <c r="ES211" s="150"/>
      <c r="ET211" s="150"/>
      <c r="EU211" s="150"/>
      <c r="EV211" s="150"/>
      <c r="EW211" s="150"/>
      <c r="EX211" s="150"/>
      <c r="EY211" s="150"/>
      <c r="EZ211" s="150"/>
      <c r="FA211" s="150"/>
      <c r="FB211" s="150"/>
      <c r="FC211" s="150"/>
      <c r="FD211" s="150"/>
      <c r="FE211" s="150"/>
      <c r="FF211" s="150"/>
      <c r="FG211" s="150"/>
      <c r="FH211" s="150"/>
      <c r="FI211" s="150"/>
      <c r="FJ211" s="150"/>
      <c r="FK211" s="150"/>
      <c r="FL211" s="150"/>
      <c r="FM211" s="150"/>
      <c r="FN211" s="150"/>
      <c r="FO211" s="150"/>
      <c r="FP211" s="150"/>
      <c r="FQ211" s="150"/>
      <c r="FR211" s="150"/>
      <c r="FS211" s="150"/>
      <c r="FT211" s="150"/>
      <c r="FU211" s="150"/>
      <c r="FV211" s="150"/>
      <c r="FW211" s="150"/>
      <c r="FX211" s="150"/>
      <c r="FY211" s="150"/>
      <c r="FZ211" s="150"/>
      <c r="GA211" s="150"/>
      <c r="GB211" s="150"/>
      <c r="GC211" s="150"/>
      <c r="GD211" s="150"/>
      <c r="GE211" s="150"/>
      <c r="GF211" s="150"/>
      <c r="GG211" s="150"/>
      <c r="GH211" s="150"/>
      <c r="GI211" s="150"/>
      <c r="GJ211" s="150"/>
      <c r="GK211" s="150"/>
      <c r="GL211" s="150"/>
      <c r="GM211" s="150"/>
      <c r="GN211" s="150"/>
      <c r="GO211" s="150"/>
      <c r="GP211" s="150"/>
      <c r="GQ211" s="150"/>
      <c r="GR211" s="150"/>
      <c r="GS211" s="150"/>
      <c r="GT211" s="150"/>
      <c r="GU211" s="150"/>
      <c r="GV211" s="150"/>
      <c r="GW211" s="150"/>
      <c r="GX211" s="150"/>
      <c r="GY211" s="150"/>
      <c r="GZ211" s="150"/>
      <c r="HA211" s="150"/>
      <c r="HB211" s="150"/>
      <c r="HC211" s="150"/>
      <c r="HD211" s="150"/>
      <c r="HE211" s="150"/>
      <c r="HF211" s="150"/>
      <c r="HG211" s="150"/>
      <c r="HH211" s="150"/>
    </row>
    <row r="212" spans="1:216" x14ac:dyDescent="0.2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6" t="s">
        <v>319</v>
      </c>
      <c r="M212" s="11">
        <f>INDEX(cennik!$C$2:$L$529,MATCH($L212,cennik!$B$2:$B$522,0),MATCH(M$2,cennik!$C$1:$L$1,0))</f>
        <v>890111</v>
      </c>
      <c r="N212" s="11" t="str">
        <f>INDEX(cennik!$C$2:$L$529,MATCH($L212,cennik!$B$2:$B$522,0),MATCH(N$2,cennik!$C$1:$L$1,0))</f>
        <v>100 szt.</v>
      </c>
      <c r="O212" s="11">
        <f>ROUNDUP((O193*4)/100,0)</f>
        <v>0</v>
      </c>
      <c r="P212" s="34">
        <f>INDEX(cennik!$C$2:$L$529,MATCH($L212,cennik!$B$2:$B$522,0),MATCH(P$2,cennik!$C$1:$L$1,0))</f>
        <v>174.59</v>
      </c>
      <c r="Q212" s="34">
        <f t="shared" si="493"/>
        <v>0</v>
      </c>
      <c r="R212" s="35">
        <f t="shared" si="462"/>
        <v>0</v>
      </c>
      <c r="S212" s="34">
        <f t="shared" si="463"/>
        <v>174.59</v>
      </c>
      <c r="T212" s="34">
        <f t="shared" si="464"/>
        <v>0</v>
      </c>
      <c r="U212" s="34">
        <f>INDEX(cennik!$C$2:$L$529,MATCH($L212,cennik!$B$2:$B$522,0),MATCH(U$2,cennik!$C$1:$L$1,0))*O212</f>
        <v>0</v>
      </c>
      <c r="V212" s="150"/>
      <c r="W21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222,$BI$200:$BU$200,0),MATCH($E$220,$AE$33:$AE$47,0))*$C222</f>
        <v>0</v>
      </c>
      <c r="X21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222,$BI$200:$BU$200,0),MATCH($E$220,$AE$33:$AE$47,0))*$C222</f>
        <v>0</v>
      </c>
      <c r="Y21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222,$BI$200:$BU$200,0),MATCH($E$220,$AE$33:$AE$47,0))*$C222</f>
        <v>0</v>
      </c>
      <c r="Z21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222,$BI$200:$BU$200,0),MATCH($E$220,$AE$33:$AE$47,0))*$C222</f>
        <v>0</v>
      </c>
      <c r="AA212" s="150">
        <f t="shared" si="495"/>
        <v>0</v>
      </c>
      <c r="AB212" s="150">
        <f t="shared" si="501"/>
        <v>0</v>
      </c>
      <c r="AC212" s="150">
        <f t="shared" si="496"/>
        <v>0</v>
      </c>
      <c r="AD212" s="150">
        <f t="shared" si="497"/>
        <v>0</v>
      </c>
      <c r="AE212" s="150">
        <f t="shared" si="498"/>
        <v>0</v>
      </c>
      <c r="AF212" s="150">
        <f t="shared" si="499"/>
        <v>0</v>
      </c>
      <c r="AG212" s="150">
        <f t="shared" si="500"/>
        <v>1</v>
      </c>
      <c r="AH212" s="150"/>
      <c r="AI212" s="150"/>
      <c r="AJ212" s="150"/>
      <c r="AK212" s="150"/>
      <c r="AL212" s="150"/>
      <c r="AM212" s="150"/>
      <c r="AN212" s="150"/>
      <c r="AO212" s="150"/>
      <c r="AP212" s="150"/>
      <c r="AQ212" s="150"/>
      <c r="AR212" s="150"/>
      <c r="AS212" s="150"/>
      <c r="AT212" s="150"/>
      <c r="AU212" s="150"/>
      <c r="AV212" s="150"/>
      <c r="AW212" s="150"/>
      <c r="AX212" s="150"/>
      <c r="AY212" s="150"/>
      <c r="AZ212" s="150"/>
      <c r="BA212" s="150"/>
      <c r="BB212" s="150"/>
      <c r="BC212" s="150"/>
      <c r="BD212" s="150"/>
      <c r="BE212" s="150"/>
      <c r="BF212" s="150"/>
      <c r="BG212" s="150"/>
      <c r="BH212" s="155" t="s">
        <v>132</v>
      </c>
      <c r="BI212" s="150">
        <v>0</v>
      </c>
      <c r="BJ212" s="150">
        <v>8</v>
      </c>
      <c r="BK212" s="150">
        <v>12</v>
      </c>
      <c r="BL212" s="150">
        <v>16</v>
      </c>
      <c r="BM212" s="150">
        <v>20</v>
      </c>
      <c r="BN212" s="150">
        <v>24</v>
      </c>
      <c r="BO212" s="150">
        <v>28</v>
      </c>
      <c r="BP212" s="150">
        <v>32</v>
      </c>
      <c r="BQ212" s="150">
        <v>36</v>
      </c>
      <c r="BR212" s="150">
        <v>40</v>
      </c>
      <c r="BS212" s="150">
        <v>44</v>
      </c>
      <c r="BT212" s="150">
        <v>48</v>
      </c>
      <c r="BU212" s="150">
        <v>52</v>
      </c>
      <c r="BV212" s="150"/>
      <c r="BW212" s="150" t="s">
        <v>137</v>
      </c>
      <c r="BX212" s="150">
        <v>0</v>
      </c>
      <c r="BY212" s="150">
        <v>8</v>
      </c>
      <c r="BZ212" s="150">
        <v>12</v>
      </c>
      <c r="CA212" s="150">
        <v>16</v>
      </c>
      <c r="CB212" s="150">
        <v>20</v>
      </c>
      <c r="CC212" s="150">
        <v>24</v>
      </c>
      <c r="CD212" s="150">
        <v>28</v>
      </c>
      <c r="CE212" s="150">
        <v>32</v>
      </c>
      <c r="CF212" s="150">
        <v>36</v>
      </c>
      <c r="CG212" s="150">
        <v>40</v>
      </c>
      <c r="CH212" s="150">
        <v>44</v>
      </c>
      <c r="CI212" s="150">
        <v>48</v>
      </c>
      <c r="CJ212" s="150">
        <v>52</v>
      </c>
      <c r="CK212" s="150"/>
      <c r="CL212" s="150"/>
      <c r="CM212" s="150"/>
      <c r="CN212" s="154" t="s">
        <v>763</v>
      </c>
      <c r="CO212" s="154">
        <v>0</v>
      </c>
      <c r="CP212" s="154">
        <v>8</v>
      </c>
      <c r="CQ212" s="154">
        <v>12</v>
      </c>
      <c r="CR212" s="154">
        <v>16</v>
      </c>
      <c r="CS212" s="154">
        <v>20</v>
      </c>
      <c r="CT212" s="154">
        <v>24</v>
      </c>
      <c r="CU212" s="154">
        <v>28</v>
      </c>
      <c r="CV212" s="154">
        <v>32</v>
      </c>
      <c r="CW212" s="154">
        <v>36</v>
      </c>
      <c r="CX212" s="154">
        <v>40</v>
      </c>
      <c r="CY212" s="154">
        <v>44</v>
      </c>
      <c r="CZ212" s="154">
        <v>48</v>
      </c>
      <c r="DA212" s="157">
        <v>52</v>
      </c>
      <c r="DB212" s="150"/>
      <c r="DC212" s="150"/>
      <c r="DD212" s="150"/>
      <c r="DE212" s="150"/>
      <c r="DF212" s="150"/>
      <c r="DG212" s="150"/>
      <c r="DH212" s="150"/>
      <c r="DI212" s="150"/>
      <c r="DJ212" s="150"/>
      <c r="DK212" s="150"/>
      <c r="DL212" s="150"/>
      <c r="DM212" s="150"/>
      <c r="DN212" s="150"/>
      <c r="DO212" s="150"/>
      <c r="DP212" s="150"/>
      <c r="DQ212" s="181"/>
      <c r="DR212" s="181"/>
      <c r="DS212" s="181"/>
      <c r="DT212" s="150"/>
      <c r="DU212" s="150"/>
      <c r="DV212" s="150"/>
      <c r="DW212" s="150"/>
      <c r="DX212" s="150"/>
      <c r="DY212" s="150"/>
      <c r="DZ212" s="150"/>
      <c r="EA212" s="150"/>
      <c r="EB212" s="150"/>
      <c r="EC212" s="150"/>
      <c r="ED212" s="150"/>
      <c r="EE212" s="150"/>
      <c r="EF212" s="150"/>
      <c r="EG212" s="150"/>
      <c r="EH212" s="150"/>
      <c r="EI212" s="150"/>
      <c r="EJ212" s="150"/>
      <c r="EK212" s="150"/>
      <c r="EL212" s="150"/>
      <c r="EM212" s="150"/>
      <c r="EN212" s="150"/>
      <c r="EO212" s="150"/>
      <c r="EP212" s="150"/>
      <c r="EQ212" s="150"/>
      <c r="ER212" s="150"/>
      <c r="ES212" s="150"/>
      <c r="ET212" s="150"/>
      <c r="EU212" s="150"/>
      <c r="EV212" s="150"/>
      <c r="EW212" s="150"/>
      <c r="EX212" s="150"/>
      <c r="EY212" s="150"/>
      <c r="EZ212" s="150"/>
      <c r="FA212" s="150"/>
      <c r="FB212" s="150"/>
      <c r="FC212" s="150"/>
      <c r="FD212" s="150"/>
      <c r="FE212" s="150"/>
      <c r="FF212" s="150"/>
      <c r="FG212" s="150"/>
      <c r="FH212" s="150"/>
      <c r="FI212" s="150"/>
      <c r="FJ212" s="150"/>
      <c r="FK212" s="150"/>
      <c r="FL212" s="150"/>
      <c r="FM212" s="150"/>
      <c r="FN212" s="150"/>
      <c r="FO212" s="150"/>
      <c r="FP212" s="150"/>
      <c r="FQ212" s="150"/>
      <c r="FR212" s="150"/>
      <c r="FS212" s="150"/>
      <c r="FT212" s="150"/>
      <c r="FU212" s="150"/>
      <c r="FV212" s="150"/>
      <c r="FW212" s="150"/>
      <c r="FX212" s="150"/>
      <c r="FY212" s="150"/>
      <c r="FZ212" s="150"/>
      <c r="GA212" s="150"/>
      <c r="GB212" s="150"/>
      <c r="GC212" s="150"/>
      <c r="GD212" s="150"/>
      <c r="GE212" s="150"/>
      <c r="GF212" s="150"/>
      <c r="GG212" s="150"/>
      <c r="GH212" s="150"/>
      <c r="GI212" s="150"/>
      <c r="GJ212" s="150"/>
      <c r="GK212" s="150"/>
      <c r="GL212" s="150"/>
      <c r="GM212" s="150"/>
      <c r="GN212" s="150"/>
      <c r="GO212" s="150"/>
      <c r="GP212" s="150"/>
      <c r="GQ212" s="150"/>
      <c r="GR212" s="150"/>
      <c r="GS212" s="150"/>
      <c r="GT212" s="150"/>
      <c r="GU212" s="150"/>
      <c r="GV212" s="150"/>
      <c r="GW212" s="150"/>
      <c r="GX212" s="150"/>
      <c r="GY212" s="150"/>
      <c r="GZ212" s="150"/>
      <c r="HA212" s="150"/>
      <c r="HB212" s="150"/>
      <c r="HC212" s="150"/>
      <c r="HD212" s="150"/>
      <c r="HE212" s="150"/>
      <c r="HF212" s="150"/>
      <c r="HG212" s="150"/>
      <c r="HH212" s="150"/>
    </row>
    <row r="213" spans="1:216" x14ac:dyDescent="0.2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6" t="s">
        <v>316</v>
      </c>
      <c r="M213" s="11"/>
      <c r="N213" s="11"/>
      <c r="O213" s="11"/>
      <c r="P213" s="34"/>
      <c r="Q213" s="34"/>
      <c r="R213" s="35"/>
      <c r="S213" s="34"/>
      <c r="T213" s="34"/>
      <c r="U213" s="34"/>
      <c r="V213" s="150"/>
      <c r="W21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223,$BI$200:$BU$200,0),MATCH($E$220,$AE$33:$AE$47,0))*$C223</f>
        <v>0</v>
      </c>
      <c r="X21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223,$BI$200:$BU$200,0),MATCH($E$220,$AE$33:$AE$47,0))*$C223</f>
        <v>0</v>
      </c>
      <c r="Y21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223,$BI$200:$BU$200,0),MATCH($E$220,$AE$33:$AE$47,0))*$C223</f>
        <v>0</v>
      </c>
      <c r="Z21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223,$BI$200:$BU$200,0),MATCH($E$220,$AE$33:$AE$47,0))*$C223</f>
        <v>0</v>
      </c>
      <c r="AA213" s="150">
        <f t="shared" si="495"/>
        <v>0</v>
      </c>
      <c r="AB213" s="150">
        <f t="shared" si="501"/>
        <v>0</v>
      </c>
      <c r="AC213" s="150">
        <f t="shared" si="496"/>
        <v>0</v>
      </c>
      <c r="AD213" s="150">
        <f t="shared" si="497"/>
        <v>0</v>
      </c>
      <c r="AE213" s="150">
        <f t="shared" si="498"/>
        <v>0</v>
      </c>
      <c r="AF213" s="150">
        <f t="shared" si="499"/>
        <v>0</v>
      </c>
      <c r="AG213" s="150">
        <f t="shared" si="500"/>
        <v>1</v>
      </c>
      <c r="AH213" s="150"/>
      <c r="AI213" s="150"/>
      <c r="AJ213" s="150"/>
      <c r="AK213" s="150"/>
      <c r="AL213" s="150"/>
      <c r="AM213" s="150"/>
      <c r="AN213" s="150"/>
      <c r="AO213" s="150"/>
      <c r="AP213" s="150"/>
      <c r="AQ213" s="150"/>
      <c r="AR213" s="150" t="s">
        <v>716</v>
      </c>
      <c r="AS213" s="150"/>
      <c r="AT213" s="150"/>
      <c r="AU213" s="150"/>
      <c r="AV213" s="150"/>
      <c r="AW213" s="150"/>
      <c r="AX213" s="150"/>
      <c r="AY213" s="150"/>
      <c r="AZ213" s="150"/>
      <c r="BA213" s="150"/>
      <c r="BB213" s="150"/>
      <c r="BC213" s="150"/>
      <c r="BD213" s="150"/>
      <c r="BE213" s="150"/>
      <c r="BF213" s="150"/>
      <c r="BG213" s="150"/>
      <c r="BH213" s="155" t="s">
        <v>586</v>
      </c>
      <c r="BI213" s="150">
        <v>0</v>
      </c>
      <c r="BJ213" s="150">
        <v>0</v>
      </c>
      <c r="BK213" s="150">
        <v>0</v>
      </c>
      <c r="BL213" s="150">
        <v>0</v>
      </c>
      <c r="BM213" s="150">
        <v>0</v>
      </c>
      <c r="BN213" s="150">
        <v>0</v>
      </c>
      <c r="BO213" s="150">
        <v>0</v>
      </c>
      <c r="BP213" s="150">
        <v>0</v>
      </c>
      <c r="BQ213" s="150">
        <v>0</v>
      </c>
      <c r="BR213" s="150">
        <v>0</v>
      </c>
      <c r="BS213" s="150">
        <v>0</v>
      </c>
      <c r="BT213" s="150">
        <v>0</v>
      </c>
      <c r="BU213" s="150">
        <v>0</v>
      </c>
      <c r="BV213" s="150"/>
      <c r="BW213" s="150" t="s">
        <v>586</v>
      </c>
      <c r="BX213" s="150">
        <v>0</v>
      </c>
      <c r="BY213" s="150">
        <v>0</v>
      </c>
      <c r="BZ213" s="150">
        <v>0</v>
      </c>
      <c r="CA213" s="150">
        <v>0</v>
      </c>
      <c r="CB213" s="150">
        <v>0</v>
      </c>
      <c r="CC213" s="150">
        <v>0</v>
      </c>
      <c r="CD213" s="150">
        <v>0</v>
      </c>
      <c r="CE213" s="150">
        <v>0</v>
      </c>
      <c r="CF213" s="150">
        <v>0</v>
      </c>
      <c r="CG213" s="150">
        <v>0</v>
      </c>
      <c r="CH213" s="150">
        <v>0</v>
      </c>
      <c r="CI213" s="150">
        <v>0</v>
      </c>
      <c r="CJ213" s="150">
        <v>0</v>
      </c>
      <c r="CK213" s="150"/>
      <c r="CL213" s="150"/>
      <c r="CM213" s="150"/>
      <c r="CN213" s="154" t="s">
        <v>586</v>
      </c>
      <c r="CO213" s="154">
        <v>0</v>
      </c>
      <c r="CP213" s="154">
        <v>5</v>
      </c>
      <c r="CQ213" s="154">
        <v>0</v>
      </c>
      <c r="CR213" s="154">
        <v>0</v>
      </c>
      <c r="CS213" s="154">
        <v>0</v>
      </c>
      <c r="CT213" s="154">
        <v>0</v>
      </c>
      <c r="CU213" s="154">
        <v>0</v>
      </c>
      <c r="CV213" s="154">
        <v>0</v>
      </c>
      <c r="CW213" s="154">
        <v>0</v>
      </c>
      <c r="CX213" s="154">
        <v>0</v>
      </c>
      <c r="CY213" s="154">
        <v>0</v>
      </c>
      <c r="CZ213" s="154">
        <v>0</v>
      </c>
      <c r="DA213" s="157">
        <v>0</v>
      </c>
      <c r="DB213" s="150"/>
      <c r="DC213" s="150"/>
      <c r="DD213" s="150"/>
      <c r="DE213" s="150"/>
      <c r="DF213" s="150"/>
      <c r="DG213" s="150"/>
      <c r="DH213" s="150"/>
      <c r="DI213" s="150"/>
      <c r="DJ213" s="150"/>
      <c r="DK213" s="150"/>
      <c r="DL213" s="150"/>
      <c r="DM213" s="150"/>
      <c r="DN213" s="150"/>
      <c r="DO213" s="150"/>
      <c r="DP213" s="150"/>
      <c r="DQ213" s="181"/>
      <c r="DR213" s="181"/>
      <c r="DS213" s="181"/>
      <c r="DT213" s="150"/>
      <c r="DU213" s="150"/>
      <c r="DV213" s="150"/>
      <c r="DW213" s="150"/>
      <c r="DX213" s="150"/>
      <c r="DY213" s="150"/>
      <c r="DZ213" s="150"/>
      <c r="EA213" s="150"/>
      <c r="EB213" s="150"/>
      <c r="EC213" s="150"/>
      <c r="ED213" s="150"/>
      <c r="EE213" s="150"/>
      <c r="EF213" s="150"/>
      <c r="EG213" s="150"/>
      <c r="EH213" s="150"/>
      <c r="EI213" s="150"/>
      <c r="EJ213" s="150"/>
      <c r="EK213" s="150"/>
      <c r="EL213" s="150"/>
      <c r="EM213" s="150"/>
      <c r="EN213" s="150"/>
      <c r="EO213" s="150"/>
      <c r="EP213" s="150"/>
      <c r="EQ213" s="150"/>
      <c r="ER213" s="150"/>
      <c r="ES213" s="150"/>
      <c r="ET213" s="150"/>
      <c r="EU213" s="150"/>
      <c r="EV213" s="150"/>
      <c r="EW213" s="150"/>
      <c r="EX213" s="150"/>
      <c r="EY213" s="150"/>
      <c r="EZ213" s="150"/>
      <c r="FA213" s="150"/>
      <c r="FB213" s="150"/>
      <c r="FC213" s="150"/>
      <c r="FD213" s="150"/>
      <c r="FE213" s="150"/>
      <c r="FF213" s="150"/>
      <c r="FG213" s="150"/>
      <c r="FH213" s="150"/>
      <c r="FI213" s="150"/>
      <c r="FJ213" s="150"/>
      <c r="FK213" s="150"/>
      <c r="FL213" s="150"/>
      <c r="FM213" s="150"/>
      <c r="FN213" s="150"/>
      <c r="FO213" s="150"/>
      <c r="FP213" s="150"/>
      <c r="FQ213" s="150"/>
      <c r="FR213" s="150"/>
      <c r="FS213" s="150"/>
      <c r="FT213" s="150"/>
      <c r="FU213" s="150"/>
      <c r="FV213" s="150"/>
      <c r="FW213" s="150"/>
      <c r="FX213" s="150"/>
      <c r="FY213" s="150"/>
      <c r="FZ213" s="150"/>
      <c r="GA213" s="150"/>
      <c r="GB213" s="150"/>
      <c r="GC213" s="150"/>
      <c r="GD213" s="150"/>
      <c r="GE213" s="150"/>
      <c r="GF213" s="150"/>
      <c r="GG213" s="150"/>
      <c r="GH213" s="150"/>
      <c r="GI213" s="150"/>
      <c r="GJ213" s="150"/>
      <c r="GK213" s="150"/>
      <c r="GL213" s="150"/>
      <c r="GM213" s="150"/>
      <c r="GN213" s="150"/>
      <c r="GO213" s="150"/>
      <c r="GP213" s="150"/>
      <c r="GQ213" s="150"/>
      <c r="GR213" s="150"/>
      <c r="GS213" s="150"/>
      <c r="GT213" s="150"/>
      <c r="GU213" s="150"/>
      <c r="GV213" s="150"/>
      <c r="GW213" s="150"/>
      <c r="GX213" s="150"/>
      <c r="GY213" s="150"/>
      <c r="GZ213" s="150"/>
      <c r="HA213" s="150"/>
      <c r="HB213" s="150"/>
      <c r="HC213" s="150"/>
      <c r="HD213" s="150"/>
      <c r="HE213" s="150"/>
      <c r="HF213" s="150"/>
      <c r="HG213" s="150"/>
      <c r="HH213" s="150"/>
    </row>
    <row r="214" spans="1:216" x14ac:dyDescent="0.2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6" t="s">
        <v>529</v>
      </c>
      <c r="M214" s="11">
        <f>INDEX(cennik!$C$2:$L$529,MATCH($L214,cennik!$B$2:$B$522,0),MATCH(M$2,cennik!$C$1:$L$1,0))</f>
        <v>867832</v>
      </c>
      <c r="N214" s="11" t="str">
        <f>INDEX(cennik!$C$2:$L$529,MATCH($L214,cennik!$B$2:$B$522,0),MATCH(N$2,cennik!$C$1:$L$1,0))</f>
        <v>szt.</v>
      </c>
      <c r="O214" s="11">
        <f>E196*2</f>
        <v>0</v>
      </c>
      <c r="P214" s="34">
        <f>INDEX(cennik!$C$2:$L$529,MATCH($L214,cennik!$B$2:$B$522,0),MATCH(P$2,cennik!$C$1:$L$1,0))</f>
        <v>161.94999999999999</v>
      </c>
      <c r="Q214" s="34">
        <f>O214*P214</f>
        <v>0</v>
      </c>
      <c r="R214" s="35">
        <f>$E$7</f>
        <v>0</v>
      </c>
      <c r="S214" s="34">
        <f>P214*((100-$E$197)/100)</f>
        <v>161.94999999999999</v>
      </c>
      <c r="T214" s="34">
        <f>O214*S214</f>
        <v>0</v>
      </c>
      <c r="U214" s="34">
        <f>INDEX(cennik!$C$2:$L$529,MATCH($L214,cennik!$B$2:$B$522,0),MATCH(U$2,cennik!$C$1:$L$1,0))*O214</f>
        <v>0</v>
      </c>
      <c r="V214" s="150"/>
      <c r="W21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224,$BI$200:$BU$200,0),MATCH($E$220,$AE$33:$AE$47,0))*$C224</f>
        <v>0</v>
      </c>
      <c r="X21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224,$BI$200:$BU$200,0),MATCH($E$220,$AE$33:$AE$47,0))*$C224</f>
        <v>0</v>
      </c>
      <c r="Y21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224,$BI$200:$BU$200,0),MATCH($E$220,$AE$33:$AE$47,0))*$C224</f>
        <v>0</v>
      </c>
      <c r="Z21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224,$BI$200:$BU$200,0),MATCH($E$220,$AE$33:$AE$47,0))*$C224</f>
        <v>0</v>
      </c>
      <c r="AA214" s="150">
        <f t="shared" si="495"/>
        <v>0</v>
      </c>
      <c r="AB214" s="150">
        <f t="shared" si="501"/>
        <v>0</v>
      </c>
      <c r="AC214" s="150">
        <f t="shared" si="496"/>
        <v>0</v>
      </c>
      <c r="AD214" s="150">
        <f t="shared" si="497"/>
        <v>0</v>
      </c>
      <c r="AE214" s="150">
        <f t="shared" si="498"/>
        <v>0</v>
      </c>
      <c r="AF214" s="150">
        <f t="shared" si="499"/>
        <v>0</v>
      </c>
      <c r="AG214" s="150">
        <f t="shared" si="500"/>
        <v>1</v>
      </c>
      <c r="AH214" s="150"/>
      <c r="AI214" s="150"/>
      <c r="AJ214" s="150"/>
      <c r="AK214" s="150"/>
      <c r="AL214" s="150"/>
      <c r="AM214" s="150"/>
      <c r="AN214" s="150"/>
      <c r="AO214" s="150"/>
      <c r="AP214" s="150"/>
      <c r="AQ214" s="150"/>
      <c r="AR214" s="150"/>
      <c r="AS214" s="150" t="s">
        <v>314</v>
      </c>
      <c r="AT214" s="150" t="s">
        <v>312</v>
      </c>
      <c r="AU214" s="150" t="s">
        <v>309</v>
      </c>
      <c r="AV214" s="150" t="s">
        <v>313</v>
      </c>
      <c r="AW214" s="150"/>
      <c r="AX214" s="150"/>
      <c r="AY214" s="150"/>
      <c r="AZ214" s="150"/>
      <c r="BA214" s="150"/>
      <c r="BB214" s="150"/>
      <c r="BC214" s="150"/>
      <c r="BD214" s="150"/>
      <c r="BE214" s="150"/>
      <c r="BF214" s="150"/>
      <c r="BG214" s="150"/>
      <c r="BH214" s="155" t="s">
        <v>522</v>
      </c>
      <c r="BI214" s="150">
        <v>0</v>
      </c>
      <c r="BJ214" s="150">
        <v>5</v>
      </c>
      <c r="BK214" s="150">
        <v>0</v>
      </c>
      <c r="BL214" s="150">
        <v>5</v>
      </c>
      <c r="BM214" s="150">
        <v>0</v>
      </c>
      <c r="BN214" s="150">
        <v>5</v>
      </c>
      <c r="BO214" s="150">
        <v>15</v>
      </c>
      <c r="BP214" s="150">
        <v>10</v>
      </c>
      <c r="BQ214" s="150">
        <v>15</v>
      </c>
      <c r="BR214" s="150">
        <v>10</v>
      </c>
      <c r="BS214" s="150">
        <v>15</v>
      </c>
      <c r="BT214" s="150">
        <v>25</v>
      </c>
      <c r="BU214" s="150">
        <v>20</v>
      </c>
      <c r="BV214" s="150"/>
      <c r="BW214" s="150" t="s">
        <v>522</v>
      </c>
      <c r="BX214" s="150">
        <v>0</v>
      </c>
      <c r="BY214" s="150">
        <v>5</v>
      </c>
      <c r="BZ214" s="150">
        <v>0</v>
      </c>
      <c r="CA214" s="150">
        <v>10</v>
      </c>
      <c r="CB214" s="150">
        <v>5</v>
      </c>
      <c r="CC214" s="150">
        <v>15</v>
      </c>
      <c r="CD214" s="150">
        <v>10</v>
      </c>
      <c r="CE214" s="150">
        <v>20</v>
      </c>
      <c r="CF214" s="150">
        <v>15</v>
      </c>
      <c r="CG214" s="150">
        <v>25</v>
      </c>
      <c r="CH214" s="150">
        <v>20</v>
      </c>
      <c r="CI214" s="150">
        <v>25</v>
      </c>
      <c r="CJ214" s="150">
        <v>20</v>
      </c>
      <c r="CK214" s="150"/>
      <c r="CL214" s="150"/>
      <c r="CM214" s="150"/>
      <c r="CN214" s="154" t="s">
        <v>522</v>
      </c>
      <c r="CO214" s="154">
        <v>0</v>
      </c>
      <c r="CP214" s="154">
        <v>0</v>
      </c>
      <c r="CQ214" s="154">
        <v>5</v>
      </c>
      <c r="CR214" s="154">
        <v>0</v>
      </c>
      <c r="CS214" s="154">
        <v>10</v>
      </c>
      <c r="CT214" s="154">
        <v>10</v>
      </c>
      <c r="CU214" s="154">
        <v>20</v>
      </c>
      <c r="CV214" s="154">
        <v>15</v>
      </c>
      <c r="CW214" s="154">
        <v>25</v>
      </c>
      <c r="CX214" s="154">
        <v>20</v>
      </c>
      <c r="CY214" s="154">
        <v>20</v>
      </c>
      <c r="CZ214" s="154">
        <v>30</v>
      </c>
      <c r="DA214" s="157">
        <v>25</v>
      </c>
      <c r="DB214" s="150"/>
      <c r="DC214" s="150"/>
      <c r="DD214" s="150"/>
      <c r="DE214" s="150"/>
      <c r="DF214" s="150"/>
      <c r="DG214" s="150"/>
      <c r="DH214" s="150"/>
      <c r="DI214" s="150"/>
      <c r="DJ214" s="150"/>
      <c r="DK214" s="150"/>
      <c r="DL214" s="150"/>
      <c r="DM214" s="150"/>
      <c r="DN214" s="150"/>
      <c r="DO214" s="150"/>
      <c r="DP214" s="150"/>
      <c r="DQ214" s="181"/>
      <c r="DR214" s="181"/>
      <c r="DS214" s="181"/>
      <c r="DT214" s="150"/>
      <c r="DU214" s="150"/>
      <c r="DV214" s="150"/>
      <c r="DW214" s="150"/>
      <c r="DX214" s="150"/>
      <c r="DY214" s="150"/>
      <c r="DZ214" s="150"/>
      <c r="EA214" s="150"/>
      <c r="EB214" s="150"/>
      <c r="EC214" s="150"/>
      <c r="ED214" s="150"/>
      <c r="EE214" s="150"/>
      <c r="EF214" s="150"/>
      <c r="EG214" s="150"/>
      <c r="EH214" s="150"/>
      <c r="EI214" s="150"/>
      <c r="EJ214" s="150"/>
      <c r="EK214" s="150"/>
      <c r="EL214" s="150"/>
      <c r="EM214" s="150"/>
      <c r="EN214" s="150"/>
      <c r="EO214" s="150"/>
      <c r="EP214" s="150"/>
      <c r="EQ214" s="150"/>
      <c r="ER214" s="150"/>
      <c r="ES214" s="150"/>
      <c r="ET214" s="150"/>
      <c r="EU214" s="150"/>
      <c r="EV214" s="150"/>
      <c r="EW214" s="150"/>
      <c r="EX214" s="150"/>
      <c r="EY214" s="150"/>
      <c r="EZ214" s="150"/>
      <c r="FA214" s="150"/>
      <c r="FB214" s="150"/>
      <c r="FC214" s="150"/>
      <c r="FD214" s="150"/>
      <c r="FE214" s="150"/>
      <c r="FF214" s="150"/>
      <c r="FG214" s="150"/>
      <c r="FH214" s="150"/>
      <c r="FI214" s="150"/>
      <c r="FJ214" s="150"/>
      <c r="FK214" s="150"/>
      <c r="FL214" s="150"/>
      <c r="FM214" s="150"/>
      <c r="FN214" s="150"/>
      <c r="FO214" s="150"/>
      <c r="FP214" s="150"/>
      <c r="FQ214" s="150"/>
      <c r="FR214" s="150"/>
      <c r="FS214" s="150"/>
      <c r="FT214" s="150"/>
      <c r="FU214" s="150"/>
      <c r="FV214" s="150"/>
      <c r="FW214" s="150"/>
      <c r="FX214" s="150"/>
      <c r="FY214" s="150"/>
      <c r="FZ214" s="150"/>
      <c r="GA214" s="150"/>
      <c r="GB214" s="150"/>
      <c r="GC214" s="150"/>
      <c r="GD214" s="150"/>
      <c r="GE214" s="150"/>
      <c r="GF214" s="150"/>
      <c r="GG214" s="150"/>
      <c r="GH214" s="150"/>
      <c r="GI214" s="150"/>
      <c r="GJ214" s="150"/>
      <c r="GK214" s="150"/>
      <c r="GL214" s="150"/>
      <c r="GM214" s="150"/>
      <c r="GN214" s="150"/>
      <c r="GO214" s="150"/>
      <c r="GP214" s="150"/>
      <c r="GQ214" s="150"/>
      <c r="GR214" s="150"/>
      <c r="GS214" s="150"/>
      <c r="GT214" s="150"/>
      <c r="GU214" s="150"/>
      <c r="GV214" s="150"/>
      <c r="GW214" s="150"/>
      <c r="GX214" s="150"/>
      <c r="GY214" s="150"/>
      <c r="GZ214" s="150"/>
      <c r="HA214" s="150"/>
      <c r="HB214" s="150"/>
      <c r="HC214" s="150"/>
      <c r="HD214" s="150"/>
      <c r="HE214" s="150"/>
      <c r="HF214" s="150"/>
      <c r="HG214" s="150"/>
      <c r="HH214" s="150"/>
    </row>
    <row r="215" spans="1:216" x14ac:dyDescent="0.2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9"/>
      <c r="M215" s="11"/>
      <c r="N215" s="11"/>
      <c r="O215" s="11"/>
      <c r="P215" s="34"/>
      <c r="Q215" s="34"/>
      <c r="R215" s="34"/>
      <c r="S215" s="34"/>
      <c r="T215" s="34" t="e">
        <f>SUM(T193:T214)</f>
        <v>#N/A</v>
      </c>
      <c r="U215" s="34" t="e">
        <f>SUM(U193:U214)</f>
        <v>#N/A</v>
      </c>
      <c r="V215" s="150"/>
      <c r="W215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225,$BI$200:$BU$200,0),MATCH($E$220,$AE$33:$AE$47,0))*$C225</f>
        <v>0</v>
      </c>
      <c r="X215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225,$BI$200:$BU$200,0),MATCH($E$220,$AE$33:$AE$47,0))*$C225</f>
        <v>0</v>
      </c>
      <c r="Y215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225,$BI$200:$BU$200,0),MATCH($E$220,$AE$33:$AE$47,0))*$C225</f>
        <v>0</v>
      </c>
      <c r="Z215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225,$BI$200:$BU$200,0),MATCH($E$220,$AE$33:$AE$47,0))*$C225</f>
        <v>0</v>
      </c>
      <c r="AA215" s="150">
        <f t="shared" si="495"/>
        <v>0</v>
      </c>
      <c r="AB215" s="150">
        <f t="shared" si="501"/>
        <v>0</v>
      </c>
      <c r="AC215" s="150">
        <f t="shared" si="496"/>
        <v>0</v>
      </c>
      <c r="AD215" s="150">
        <f t="shared" si="497"/>
        <v>0</v>
      </c>
      <c r="AE215" s="150">
        <f t="shared" si="498"/>
        <v>0</v>
      </c>
      <c r="AF215" s="150">
        <f t="shared" si="499"/>
        <v>0</v>
      </c>
      <c r="AG215" s="150">
        <f t="shared" si="500"/>
        <v>1</v>
      </c>
      <c r="AH215" s="150"/>
      <c r="AI215" s="150"/>
      <c r="AJ215" s="150"/>
      <c r="AK215" s="150"/>
      <c r="AL215" s="150"/>
      <c r="AM215" s="150"/>
      <c r="AN215" s="150"/>
      <c r="AO215" s="150"/>
      <c r="AP215" s="150"/>
      <c r="AQ215" s="150"/>
      <c r="AR215" s="150" t="s">
        <v>114</v>
      </c>
      <c r="AS215" s="150" t="s">
        <v>596</v>
      </c>
      <c r="AT215" s="150" t="s">
        <v>595</v>
      </c>
      <c r="AU215" s="150" t="s">
        <v>593</v>
      </c>
      <c r="AV215" s="150" t="s">
        <v>593</v>
      </c>
      <c r="AW215" s="150"/>
      <c r="AX215" s="150"/>
      <c r="AY215" s="150"/>
      <c r="AZ215" s="150"/>
      <c r="BA215" s="150"/>
      <c r="BB215" s="150"/>
      <c r="BC215" s="150"/>
      <c r="BD215" s="150"/>
      <c r="BE215" s="150"/>
      <c r="BF215" s="150"/>
      <c r="BG215" s="150"/>
      <c r="BH215" s="155" t="s">
        <v>523</v>
      </c>
      <c r="BI215" s="150">
        <v>0</v>
      </c>
      <c r="BJ215" s="150">
        <v>0</v>
      </c>
      <c r="BK215" s="150">
        <v>10</v>
      </c>
      <c r="BL215" s="150">
        <v>5</v>
      </c>
      <c r="BM215" s="150">
        <v>15</v>
      </c>
      <c r="BN215" s="150">
        <v>10</v>
      </c>
      <c r="BO215" s="150">
        <v>0</v>
      </c>
      <c r="BP215" s="150">
        <v>10</v>
      </c>
      <c r="BQ215" s="150">
        <v>5</v>
      </c>
      <c r="BR215" s="150">
        <v>15</v>
      </c>
      <c r="BS215" s="150">
        <v>10</v>
      </c>
      <c r="BT215" s="150">
        <v>0</v>
      </c>
      <c r="BU215" s="150">
        <v>10</v>
      </c>
      <c r="BV215" s="150"/>
      <c r="BW215" s="150" t="s">
        <v>523</v>
      </c>
      <c r="BX215" s="150">
        <v>0</v>
      </c>
      <c r="BY215" s="150">
        <v>0</v>
      </c>
      <c r="BZ215" s="150">
        <v>10</v>
      </c>
      <c r="CA215" s="150">
        <v>0</v>
      </c>
      <c r="CB215" s="150">
        <v>10</v>
      </c>
      <c r="CC215" s="150">
        <v>0</v>
      </c>
      <c r="CD215" s="150">
        <v>10</v>
      </c>
      <c r="CE215" s="150">
        <v>0</v>
      </c>
      <c r="CF215" s="150">
        <v>10</v>
      </c>
      <c r="CG215" s="150">
        <v>0</v>
      </c>
      <c r="CH215" s="150">
        <v>10</v>
      </c>
      <c r="CI215" s="150">
        <v>5</v>
      </c>
      <c r="CJ215" s="150">
        <v>15</v>
      </c>
      <c r="CK215" s="150"/>
      <c r="CL215" s="150"/>
      <c r="CM215" s="150"/>
      <c r="CN215" s="154" t="s">
        <v>523</v>
      </c>
      <c r="CO215" s="154">
        <v>0</v>
      </c>
      <c r="CP215" s="154">
        <v>0</v>
      </c>
      <c r="CQ215" s="154">
        <v>5</v>
      </c>
      <c r="CR215" s="154">
        <v>15</v>
      </c>
      <c r="CS215" s="154">
        <v>5</v>
      </c>
      <c r="CT215" s="154">
        <v>10</v>
      </c>
      <c r="CU215" s="154">
        <v>0</v>
      </c>
      <c r="CV215" s="154">
        <v>10</v>
      </c>
      <c r="CW215" s="154">
        <v>0</v>
      </c>
      <c r="CX215" s="154">
        <v>10</v>
      </c>
      <c r="CY215" s="154">
        <v>15</v>
      </c>
      <c r="CZ215" s="154">
        <v>5</v>
      </c>
      <c r="DA215" s="157">
        <v>15</v>
      </c>
      <c r="DB215" s="150"/>
      <c r="DC215" s="150"/>
      <c r="DD215" s="150"/>
      <c r="DE215" s="150"/>
      <c r="DF215" s="150"/>
      <c r="DG215" s="150"/>
      <c r="DH215" s="150"/>
      <c r="DI215" s="150"/>
      <c r="DJ215" s="150"/>
      <c r="DK215" s="150"/>
      <c r="DL215" s="150"/>
      <c r="DM215" s="150"/>
      <c r="DN215" s="150"/>
      <c r="DO215" s="150"/>
      <c r="DP215" s="150"/>
      <c r="DQ215" s="181"/>
      <c r="DR215" s="181"/>
      <c r="DS215" s="181"/>
      <c r="DT215" s="150"/>
      <c r="DU215" s="150"/>
      <c r="DV215" s="150"/>
      <c r="DW215" s="150"/>
      <c r="DX215" s="150"/>
      <c r="DY215" s="150"/>
      <c r="DZ215" s="150"/>
      <c r="EA215" s="150"/>
      <c r="EB215" s="150"/>
      <c r="EC215" s="150"/>
      <c r="ED215" s="150"/>
      <c r="EE215" s="150"/>
      <c r="EF215" s="150"/>
      <c r="EG215" s="150"/>
      <c r="EH215" s="150"/>
      <c r="EI215" s="150"/>
      <c r="EJ215" s="150"/>
      <c r="EK215" s="150"/>
      <c r="EL215" s="150"/>
      <c r="EM215" s="150"/>
      <c r="EN215" s="150"/>
      <c r="EO215" s="150"/>
      <c r="EP215" s="150"/>
      <c r="EQ215" s="150"/>
      <c r="ER215" s="150"/>
      <c r="ES215" s="150"/>
      <c r="ET215" s="150"/>
      <c r="EU215" s="150"/>
      <c r="EV215" s="150"/>
      <c r="EW215" s="150"/>
      <c r="EX215" s="150"/>
      <c r="EY215" s="150"/>
      <c r="EZ215" s="150"/>
      <c r="FA215" s="150"/>
      <c r="FB215" s="150"/>
      <c r="FC215" s="150"/>
      <c r="FD215" s="150"/>
      <c r="FE215" s="150"/>
      <c r="FF215" s="150"/>
      <c r="FG215" s="150"/>
      <c r="FH215" s="150"/>
      <c r="FI215" s="150"/>
      <c r="FJ215" s="150"/>
      <c r="FK215" s="150"/>
      <c r="FL215" s="150"/>
      <c r="FM215" s="150"/>
      <c r="FN215" s="150"/>
      <c r="FO215" s="150"/>
      <c r="FP215" s="150"/>
      <c r="FQ215" s="150"/>
      <c r="FR215" s="150"/>
      <c r="FS215" s="150"/>
      <c r="FT215" s="150"/>
      <c r="FU215" s="150"/>
      <c r="FV215" s="150"/>
      <c r="FW215" s="150"/>
      <c r="FX215" s="150"/>
      <c r="FY215" s="150"/>
      <c r="FZ215" s="150"/>
      <c r="GA215" s="150"/>
      <c r="GB215" s="150"/>
      <c r="GC215" s="150"/>
      <c r="GD215" s="150"/>
      <c r="GE215" s="150"/>
      <c r="GF215" s="150"/>
      <c r="GG215" s="150"/>
      <c r="GH215" s="150"/>
      <c r="GI215" s="150"/>
      <c r="GJ215" s="150"/>
      <c r="GK215" s="150"/>
      <c r="GL215" s="150"/>
      <c r="GM215" s="150"/>
      <c r="GN215" s="150"/>
      <c r="GO215" s="150"/>
      <c r="GP215" s="150"/>
      <c r="GQ215" s="150"/>
      <c r="GR215" s="150"/>
      <c r="GS215" s="150"/>
      <c r="GT215" s="150"/>
      <c r="GU215" s="150"/>
      <c r="GV215" s="150"/>
      <c r="GW215" s="150"/>
      <c r="GX215" s="150"/>
      <c r="GY215" s="150"/>
      <c r="GZ215" s="150"/>
      <c r="HA215" s="150"/>
      <c r="HB215" s="150"/>
      <c r="HC215" s="150"/>
      <c r="HD215" s="150"/>
      <c r="HE215" s="150"/>
      <c r="HF215" s="150"/>
      <c r="HG215" s="150"/>
      <c r="HH215" s="150"/>
    </row>
    <row r="216" spans="1:216" x14ac:dyDescent="0.2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24"/>
      <c r="N216" s="24"/>
      <c r="O216" s="24"/>
      <c r="P216" s="24"/>
      <c r="Q216" s="24"/>
      <c r="R216" s="24"/>
      <c r="S216" s="24"/>
      <c r="T216" s="24"/>
      <c r="U216" s="24"/>
      <c r="V216" s="150"/>
      <c r="W216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226,$BI$200:$BU$200,0),MATCH($E$220,$AE$33:$AE$47,0))*$C226</f>
        <v>0</v>
      </c>
      <c r="X216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226,$BI$200:$BU$200,0),MATCH($E$220,$AE$33:$AE$47,0))*$C226</f>
        <v>0</v>
      </c>
      <c r="Y216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226,$BI$200:$BU$200,0),MATCH($E$220,$AE$33:$AE$47,0))*$C226</f>
        <v>0</v>
      </c>
      <c r="Z216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226,$BI$200:$BU$200,0),MATCH($E$220,$AE$33:$AE$47,0))*$C226</f>
        <v>0</v>
      </c>
      <c r="AA216" s="150">
        <f t="shared" si="495"/>
        <v>0</v>
      </c>
      <c r="AB216" s="150">
        <f t="shared" si="501"/>
        <v>0</v>
      </c>
      <c r="AC216" s="150">
        <f t="shared" si="496"/>
        <v>0</v>
      </c>
      <c r="AD216" s="150">
        <f t="shared" si="497"/>
        <v>0</v>
      </c>
      <c r="AE216" s="150">
        <f t="shared" si="498"/>
        <v>0</v>
      </c>
      <c r="AF216" s="150">
        <f t="shared" si="499"/>
        <v>0</v>
      </c>
      <c r="AG216" s="150">
        <f t="shared" si="500"/>
        <v>1</v>
      </c>
      <c r="AH216" s="150"/>
      <c r="AI216" s="150"/>
      <c r="AJ216" s="150"/>
      <c r="AK216" s="150"/>
      <c r="AL216" s="150"/>
      <c r="AM216" s="150"/>
      <c r="AN216" s="150"/>
      <c r="AO216" s="150"/>
      <c r="AP216" s="150"/>
      <c r="AQ216" s="150"/>
      <c r="AR216" s="150" t="s">
        <v>115</v>
      </c>
      <c r="AS216" s="150" t="s">
        <v>596</v>
      </c>
      <c r="AT216" s="150" t="s">
        <v>595</v>
      </c>
      <c r="AU216" s="150" t="s">
        <v>593</v>
      </c>
      <c r="AV216" s="150" t="s">
        <v>593</v>
      </c>
      <c r="AW216" s="150"/>
      <c r="AX216" s="150"/>
      <c r="AY216" s="150"/>
      <c r="AZ216" s="150"/>
      <c r="BA216" s="150"/>
      <c r="BB216" s="150"/>
      <c r="BC216" s="150"/>
      <c r="BD216" s="150"/>
      <c r="BE216" s="150"/>
      <c r="BF216" s="150"/>
      <c r="BG216" s="150"/>
      <c r="BH216" s="158" t="s">
        <v>779</v>
      </c>
      <c r="BI216" s="150">
        <v>0</v>
      </c>
      <c r="BJ216" s="150">
        <v>0</v>
      </c>
      <c r="BK216" s="150">
        <v>5</v>
      </c>
      <c r="BL216" s="150">
        <v>5</v>
      </c>
      <c r="BM216" s="150">
        <v>10</v>
      </c>
      <c r="BN216" s="150">
        <v>10</v>
      </c>
      <c r="BO216" s="150">
        <v>10</v>
      </c>
      <c r="BP216" s="150">
        <v>15</v>
      </c>
      <c r="BQ216" s="150">
        <v>15</v>
      </c>
      <c r="BR216" s="150">
        <v>20</v>
      </c>
      <c r="BS216" s="150">
        <v>20</v>
      </c>
      <c r="BT216" s="150">
        <v>20</v>
      </c>
      <c r="BU216" s="150">
        <v>25</v>
      </c>
      <c r="BV216" s="150"/>
      <c r="BW216" s="158" t="s">
        <v>779</v>
      </c>
      <c r="BX216" s="150">
        <v>0</v>
      </c>
      <c r="BY216" s="150">
        <v>0</v>
      </c>
      <c r="BZ216" s="150">
        <v>5</v>
      </c>
      <c r="CA216" s="150">
        <v>5</v>
      </c>
      <c r="CB216" s="150">
        <v>10</v>
      </c>
      <c r="CC216" s="150">
        <v>10</v>
      </c>
      <c r="CD216" s="150">
        <v>15</v>
      </c>
      <c r="CE216" s="150">
        <v>15</v>
      </c>
      <c r="CF216" s="150">
        <v>20</v>
      </c>
      <c r="CG216" s="150">
        <v>20</v>
      </c>
      <c r="CH216" s="150">
        <v>25</v>
      </c>
      <c r="CI216" s="150">
        <v>25</v>
      </c>
      <c r="CJ216" s="150">
        <v>30</v>
      </c>
      <c r="CK216" s="150"/>
      <c r="CL216" s="150"/>
      <c r="CM216" s="150"/>
      <c r="CN216" s="158" t="s">
        <v>779</v>
      </c>
      <c r="CO216" s="154">
        <v>0</v>
      </c>
      <c r="CP216" s="154">
        <v>0</v>
      </c>
      <c r="CQ216" s="154">
        <v>5</v>
      </c>
      <c r="CR216" s="154">
        <v>10</v>
      </c>
      <c r="CS216" s="154">
        <v>10</v>
      </c>
      <c r="CT216" s="154">
        <v>15</v>
      </c>
      <c r="CU216" s="154">
        <v>15</v>
      </c>
      <c r="CV216" s="154">
        <v>20</v>
      </c>
      <c r="CW216" s="154">
        <v>20</v>
      </c>
      <c r="CX216" s="154">
        <v>25</v>
      </c>
      <c r="CY216" s="154">
        <v>30</v>
      </c>
      <c r="CZ216" s="154">
        <v>30</v>
      </c>
      <c r="DA216" s="157">
        <v>35</v>
      </c>
      <c r="DB216" s="150"/>
      <c r="DC216" s="150"/>
      <c r="DD216" s="150"/>
      <c r="DE216" s="150"/>
      <c r="DF216" s="150"/>
      <c r="DG216" s="150"/>
      <c r="DH216" s="150"/>
      <c r="DI216" s="150"/>
      <c r="DJ216" s="150"/>
      <c r="DK216" s="150"/>
      <c r="DL216" s="150"/>
      <c r="DM216" s="150"/>
      <c r="DN216" s="150"/>
      <c r="DO216" s="150"/>
      <c r="DP216" s="150"/>
      <c r="DQ216" s="181"/>
      <c r="DR216" s="181"/>
      <c r="DS216" s="181"/>
      <c r="DT216" s="150"/>
      <c r="DU216" s="150"/>
      <c r="DV216" s="150"/>
      <c r="DW216" s="150"/>
      <c r="DX216" s="150"/>
      <c r="DY216" s="150"/>
      <c r="DZ216" s="150"/>
      <c r="EA216" s="150"/>
      <c r="EB216" s="150"/>
      <c r="EC216" s="150"/>
      <c r="ED216" s="150"/>
      <c r="EE216" s="150"/>
      <c r="EF216" s="150"/>
      <c r="EG216" s="150"/>
      <c r="EH216" s="150"/>
      <c r="EI216" s="150"/>
      <c r="EJ216" s="150"/>
      <c r="EK216" s="150"/>
      <c r="EL216" s="150"/>
      <c r="EM216" s="150"/>
      <c r="EN216" s="150"/>
      <c r="EO216" s="150"/>
      <c r="EP216" s="150"/>
      <c r="EQ216" s="150"/>
      <c r="ER216" s="150"/>
      <c r="ES216" s="150"/>
      <c r="ET216" s="150"/>
      <c r="EU216" s="150"/>
      <c r="EV216" s="150"/>
      <c r="EW216" s="150"/>
      <c r="EX216" s="150"/>
      <c r="EY216" s="150"/>
      <c r="EZ216" s="150"/>
      <c r="FA216" s="150"/>
      <c r="FB216" s="150"/>
      <c r="FC216" s="150"/>
      <c r="FD216" s="150"/>
      <c r="FE216" s="150"/>
      <c r="FF216" s="150"/>
      <c r="FG216" s="150"/>
      <c r="FH216" s="150"/>
      <c r="FI216" s="150"/>
      <c r="FJ216" s="150"/>
      <c r="FK216" s="150"/>
      <c r="FL216" s="150"/>
      <c r="FM216" s="150"/>
      <c r="FN216" s="150"/>
      <c r="FO216" s="150"/>
      <c r="FP216" s="150"/>
      <c r="FQ216" s="150"/>
      <c r="FR216" s="150"/>
      <c r="FS216" s="150"/>
      <c r="FT216" s="150"/>
      <c r="FU216" s="150"/>
      <c r="FV216" s="150"/>
      <c r="FW216" s="150"/>
      <c r="FX216" s="150"/>
      <c r="FY216" s="150"/>
      <c r="FZ216" s="150"/>
      <c r="GA216" s="150"/>
      <c r="GB216" s="150"/>
      <c r="GC216" s="150"/>
      <c r="GD216" s="150"/>
      <c r="GE216" s="150"/>
      <c r="GF216" s="150"/>
      <c r="GG216" s="150"/>
      <c r="GH216" s="150"/>
      <c r="GI216" s="150"/>
      <c r="GJ216" s="150"/>
      <c r="GK216" s="150"/>
      <c r="GL216" s="150"/>
      <c r="GM216" s="150"/>
      <c r="GN216" s="150"/>
      <c r="GO216" s="150"/>
      <c r="GP216" s="150"/>
      <c r="GQ216" s="150"/>
      <c r="GR216" s="150"/>
      <c r="GS216" s="150"/>
      <c r="GT216" s="150"/>
      <c r="GU216" s="150"/>
      <c r="GV216" s="150"/>
      <c r="GW216" s="150"/>
      <c r="GX216" s="150"/>
      <c r="GY216" s="150"/>
      <c r="GZ216" s="150"/>
      <c r="HA216" s="150"/>
      <c r="HB216" s="150"/>
      <c r="HC216" s="150"/>
      <c r="HD216" s="150"/>
      <c r="HE216" s="150"/>
      <c r="HF216" s="150"/>
      <c r="HG216" s="150"/>
      <c r="HH216" s="150"/>
    </row>
    <row r="217" spans="1:216" x14ac:dyDescent="0.25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24"/>
      <c r="N217" s="24"/>
      <c r="O217" s="24"/>
      <c r="P217" s="24"/>
      <c r="Q217" s="24"/>
      <c r="R217" s="24"/>
      <c r="S217" s="24"/>
      <c r="T217" s="24"/>
      <c r="U217" s="24"/>
      <c r="V217" s="150"/>
      <c r="W217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227,$BI$200:$BU$200,0),MATCH($E$220,$AE$33:$AE$47,0))*$C227</f>
        <v>0</v>
      </c>
      <c r="X217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227,$BI$200:$BU$200,0),MATCH($E$220,$AE$33:$AE$47,0))*$C227</f>
        <v>0</v>
      </c>
      <c r="Y217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227,$BI$200:$BU$200,0),MATCH($E$220,$AE$33:$AE$47,0))*$C227</f>
        <v>0</v>
      </c>
      <c r="Z217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227,$BI$200:$BU$200,0),MATCH($E$220,$AE$33:$AE$47,0))*$C227</f>
        <v>0</v>
      </c>
      <c r="AA217" s="150">
        <f t="shared" si="495"/>
        <v>0</v>
      </c>
      <c r="AB217" s="150">
        <f t="shared" si="501"/>
        <v>0</v>
      </c>
      <c r="AC217" s="150">
        <f t="shared" si="496"/>
        <v>0</v>
      </c>
      <c r="AD217" s="150">
        <f t="shared" si="497"/>
        <v>0</v>
      </c>
      <c r="AE217" s="150">
        <f t="shared" si="498"/>
        <v>0</v>
      </c>
      <c r="AF217" s="150">
        <f t="shared" si="499"/>
        <v>0</v>
      </c>
      <c r="AG217" s="150">
        <f t="shared" si="500"/>
        <v>1</v>
      </c>
      <c r="AH217" s="150"/>
      <c r="AI217" s="150"/>
      <c r="AJ217" s="150"/>
      <c r="AK217" s="150"/>
      <c r="AL217" s="150"/>
      <c r="AM217" s="150"/>
      <c r="AN217" s="150"/>
      <c r="AO217" s="150"/>
      <c r="AP217" s="150"/>
      <c r="AQ217" s="150"/>
      <c r="AR217" s="150" t="s">
        <v>474</v>
      </c>
      <c r="AS217" s="150" t="s">
        <v>596</v>
      </c>
      <c r="AT217" s="150" t="s">
        <v>595</v>
      </c>
      <c r="AU217" s="150" t="s">
        <v>594</v>
      </c>
      <c r="AV217" s="150" t="s">
        <v>594</v>
      </c>
      <c r="AW217" s="150"/>
      <c r="AX217" s="150"/>
      <c r="AY217" s="150"/>
      <c r="AZ217" s="150"/>
      <c r="BA217" s="150"/>
      <c r="BB217" s="150"/>
      <c r="BC217" s="150"/>
      <c r="BD217" s="150"/>
      <c r="BE217" s="150"/>
      <c r="BF217" s="150"/>
      <c r="BG217" s="150"/>
      <c r="BH217" s="155"/>
      <c r="BI217" s="150"/>
      <c r="BJ217" s="150"/>
      <c r="BK217" s="150"/>
      <c r="BL217" s="150"/>
      <c r="BM217" s="150"/>
      <c r="BN217" s="150"/>
      <c r="BO217" s="150"/>
      <c r="BP217" s="150"/>
      <c r="BQ217" s="150"/>
      <c r="BR217" s="150"/>
      <c r="BS217" s="150"/>
      <c r="BT217" s="150"/>
      <c r="BU217" s="150"/>
      <c r="BV217" s="150"/>
      <c r="BW217" s="150"/>
      <c r="BX217" s="150"/>
      <c r="BY217" s="150"/>
      <c r="BZ217" s="150"/>
      <c r="CA217" s="150"/>
      <c r="CB217" s="150"/>
      <c r="CC217" s="150"/>
      <c r="CD217" s="150"/>
      <c r="CE217" s="150"/>
      <c r="CF217" s="150"/>
      <c r="CG217" s="150"/>
      <c r="CH217" s="150"/>
      <c r="CI217" s="150"/>
      <c r="CJ217" s="150"/>
      <c r="CK217" s="150"/>
      <c r="CL217" s="150"/>
      <c r="CM217" s="150"/>
      <c r="CN217" s="150"/>
      <c r="CO217" s="150"/>
      <c r="CP217" s="150"/>
      <c r="CQ217" s="150"/>
      <c r="CR217" s="150"/>
      <c r="CS217" s="150"/>
      <c r="CT217" s="150"/>
      <c r="CU217" s="150"/>
      <c r="CV217" s="150"/>
      <c r="CW217" s="150"/>
      <c r="CX217" s="150"/>
      <c r="CY217" s="150"/>
      <c r="CZ217" s="150"/>
      <c r="DA217" s="156"/>
      <c r="DB217" s="150"/>
      <c r="DC217" s="150"/>
      <c r="DD217" s="150"/>
      <c r="DE217" s="150"/>
      <c r="DF217" s="150"/>
      <c r="DG217" s="150"/>
      <c r="DH217" s="150"/>
      <c r="DI217" s="150"/>
      <c r="DJ217" s="150"/>
      <c r="DK217" s="150"/>
      <c r="DL217" s="150"/>
      <c r="DM217" s="150"/>
      <c r="DN217" s="150"/>
      <c r="DO217" s="150"/>
      <c r="DP217" s="150"/>
      <c r="DQ217" s="181"/>
      <c r="DR217" s="181"/>
      <c r="DS217" s="181"/>
      <c r="DT217" s="150"/>
      <c r="DU217" s="150"/>
      <c r="DV217" s="150"/>
      <c r="DW217" s="150"/>
      <c r="DX217" s="150"/>
      <c r="DY217" s="150"/>
      <c r="DZ217" s="150"/>
      <c r="EA217" s="150"/>
      <c r="EB217" s="150"/>
      <c r="EC217" s="150"/>
      <c r="ED217" s="150"/>
      <c r="EE217" s="150"/>
      <c r="EF217" s="150"/>
      <c r="EG217" s="150"/>
      <c r="EH217" s="150"/>
      <c r="EI217" s="150"/>
      <c r="EJ217" s="150"/>
      <c r="EK217" s="150"/>
      <c r="EL217" s="150"/>
      <c r="EM217" s="150"/>
      <c r="EN217" s="150"/>
      <c r="EO217" s="150"/>
      <c r="EP217" s="150"/>
      <c r="EQ217" s="150"/>
      <c r="ER217" s="150"/>
      <c r="ES217" s="150"/>
      <c r="ET217" s="150"/>
      <c r="EU217" s="150"/>
      <c r="EV217" s="150"/>
      <c r="EW217" s="150"/>
      <c r="EX217" s="150"/>
      <c r="EY217" s="150"/>
      <c r="EZ217" s="150"/>
      <c r="FA217" s="150"/>
      <c r="FB217" s="150"/>
      <c r="FC217" s="150"/>
      <c r="FD217" s="150"/>
      <c r="FE217" s="150"/>
      <c r="FF217" s="150"/>
      <c r="FG217" s="150"/>
      <c r="FH217" s="150"/>
      <c r="FI217" s="150"/>
      <c r="FJ217" s="150"/>
      <c r="FK217" s="150"/>
      <c r="FL217" s="150"/>
      <c r="FM217" s="150"/>
      <c r="FN217" s="150"/>
      <c r="FO217" s="150"/>
      <c r="FP217" s="150"/>
      <c r="FQ217" s="150"/>
      <c r="FR217" s="150"/>
      <c r="FS217" s="150"/>
      <c r="FT217" s="150"/>
      <c r="FU217" s="150"/>
      <c r="FV217" s="150"/>
      <c r="FW217" s="150"/>
      <c r="FX217" s="150"/>
      <c r="FY217" s="150"/>
      <c r="FZ217" s="150"/>
      <c r="GA217" s="150"/>
      <c r="GB217" s="150"/>
      <c r="GC217" s="150"/>
      <c r="GD217" s="150"/>
      <c r="GE217" s="150"/>
      <c r="GF217" s="150"/>
      <c r="GG217" s="150"/>
      <c r="GH217" s="150"/>
      <c r="GI217" s="150"/>
      <c r="GJ217" s="150"/>
      <c r="GK217" s="150"/>
      <c r="GL217" s="150"/>
      <c r="GM217" s="150"/>
      <c r="GN217" s="150"/>
      <c r="GO217" s="150"/>
      <c r="GP217" s="150"/>
      <c r="GQ217" s="150"/>
      <c r="GR217" s="150"/>
      <c r="GS217" s="150"/>
      <c r="GT217" s="150"/>
      <c r="GU217" s="150"/>
      <c r="GV217" s="150"/>
      <c r="GW217" s="150"/>
      <c r="GX217" s="150"/>
      <c r="GY217" s="150"/>
      <c r="GZ217" s="150"/>
      <c r="HA217" s="150"/>
      <c r="HB217" s="150"/>
      <c r="HC217" s="150"/>
      <c r="HD217" s="150"/>
      <c r="HE217" s="150"/>
      <c r="HF217" s="150"/>
      <c r="HG217" s="150"/>
      <c r="HH217" s="150"/>
    </row>
    <row r="218" spans="1:216" ht="51.75" x14ac:dyDescent="0.25">
      <c r="A218" s="3" t="s">
        <v>443</v>
      </c>
      <c r="B218" s="3"/>
      <c r="C218" s="3" t="s">
        <v>444</v>
      </c>
      <c r="D218" s="9"/>
      <c r="E218" s="9"/>
      <c r="F218" s="9"/>
      <c r="G218" s="9"/>
      <c r="H218" s="9"/>
      <c r="I218" s="9"/>
      <c r="J218" s="9"/>
      <c r="K218" s="9"/>
      <c r="L218" s="360" t="str">
        <f>IF(E222="wbijana","KONSTRUKCJA W-H4G2-BI-25°/30°",IF(E222="betonowana","KONSTRUKCJA W-H4B2-BI-25°/30°",IF(E222="kotwiona","KONSTRUKCJA W-H4K2-BI-25°/30°",IF(E222="wkręcana","KONSTRUKCJA W-H4S2-BI-25°/30°"))))</f>
        <v>KONSTRUKCJA W-H4G2-BI-25°/30°</v>
      </c>
      <c r="M218" s="360"/>
      <c r="N218" s="360"/>
      <c r="O218" s="360"/>
      <c r="P218" s="360"/>
      <c r="Q218" s="360"/>
      <c r="R218" s="360"/>
      <c r="S218" s="360"/>
      <c r="T218" s="360"/>
      <c r="U218" s="360"/>
      <c r="V218" s="150"/>
      <c r="W218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228,$BI$200:$BU$200,0),MATCH($E$220,$AE$33:$AE$47,0))*$C228</f>
        <v>0</v>
      </c>
      <c r="X218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228,$BI$200:$BU$200,0),MATCH($E$220,$AE$33:$AE$47,0))*$C228</f>
        <v>0</v>
      </c>
      <c r="Y218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228,$BI$200:$BU$200,0),MATCH($E$220,$AE$33:$AE$47,0))*$C228</f>
        <v>0</v>
      </c>
      <c r="Z218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228,$BI$200:$BU$200,0),MATCH($E$220,$AE$33:$AE$47,0))*$C228</f>
        <v>0</v>
      </c>
      <c r="AA218" s="150">
        <f t="shared" si="495"/>
        <v>0</v>
      </c>
      <c r="AB218" s="150">
        <f t="shared" si="501"/>
        <v>0</v>
      </c>
      <c r="AC218" s="150">
        <f t="shared" si="496"/>
        <v>0</v>
      </c>
      <c r="AD218" s="150">
        <f t="shared" si="497"/>
        <v>0</v>
      </c>
      <c r="AE218" s="150">
        <f t="shared" si="498"/>
        <v>0</v>
      </c>
      <c r="AF218" s="150">
        <f t="shared" si="499"/>
        <v>0</v>
      </c>
      <c r="AG218" s="150">
        <f t="shared" si="500"/>
        <v>1</v>
      </c>
      <c r="AH218" s="150"/>
      <c r="AI218" s="150"/>
      <c r="AJ218" s="150"/>
      <c r="AK218" s="150"/>
      <c r="AL218" s="150"/>
      <c r="AM218" s="150"/>
      <c r="AN218" s="150"/>
      <c r="AO218" s="150"/>
      <c r="AP218" s="150"/>
      <c r="AQ218" s="150"/>
      <c r="AR218" s="150" t="s">
        <v>480</v>
      </c>
      <c r="AS218" s="150" t="s">
        <v>596</v>
      </c>
      <c r="AT218" s="150" t="s">
        <v>595</v>
      </c>
      <c r="AU218" s="150" t="s">
        <v>594</v>
      </c>
      <c r="AV218" s="150" t="s">
        <v>594</v>
      </c>
      <c r="AW218" s="150"/>
      <c r="AX218" s="150"/>
      <c r="AY218" s="150"/>
      <c r="AZ218" s="150"/>
      <c r="BA218" s="150"/>
      <c r="BB218" s="150"/>
      <c r="BC218" s="150"/>
      <c r="BD218" s="150"/>
      <c r="BE218" s="150"/>
      <c r="BF218" s="150"/>
      <c r="BG218" s="150"/>
      <c r="BH218" s="155" t="s">
        <v>470</v>
      </c>
      <c r="BI218" s="150">
        <v>0</v>
      </c>
      <c r="BJ218" s="150">
        <v>8</v>
      </c>
      <c r="BK218" s="150">
        <v>12</v>
      </c>
      <c r="BL218" s="150">
        <v>16</v>
      </c>
      <c r="BM218" s="150">
        <v>20</v>
      </c>
      <c r="BN218" s="150">
        <v>24</v>
      </c>
      <c r="BO218" s="150">
        <v>28</v>
      </c>
      <c r="BP218" s="150">
        <v>32</v>
      </c>
      <c r="BQ218" s="150">
        <v>36</v>
      </c>
      <c r="BR218" s="150">
        <v>40</v>
      </c>
      <c r="BS218" s="150">
        <v>44</v>
      </c>
      <c r="BT218" s="150">
        <v>48</v>
      </c>
      <c r="BU218" s="150">
        <v>52</v>
      </c>
      <c r="BW218" s="154" t="s">
        <v>138</v>
      </c>
      <c r="BX218" s="154">
        <v>0</v>
      </c>
      <c r="BY218" s="154">
        <v>8</v>
      </c>
      <c r="BZ218" s="154">
        <v>12</v>
      </c>
      <c r="CA218" s="154">
        <v>16</v>
      </c>
      <c r="CB218" s="154">
        <v>20</v>
      </c>
      <c r="CC218" s="154">
        <v>24</v>
      </c>
      <c r="CD218" s="154">
        <v>28</v>
      </c>
      <c r="CE218" s="154">
        <v>32</v>
      </c>
      <c r="CF218" s="154">
        <v>36</v>
      </c>
      <c r="CG218" s="154">
        <v>40</v>
      </c>
      <c r="CH218" s="154">
        <v>44</v>
      </c>
      <c r="CI218" s="154">
        <v>48</v>
      </c>
      <c r="CJ218" s="154">
        <v>52</v>
      </c>
      <c r="DA218" s="157"/>
      <c r="DQ218" s="181"/>
      <c r="DR218" s="181"/>
      <c r="DS218" s="181"/>
      <c r="DT218" s="150"/>
      <c r="DU218" s="150"/>
      <c r="DV218" s="150"/>
      <c r="DW218" s="150"/>
      <c r="DX218" s="150"/>
      <c r="DY218" s="150"/>
      <c r="DZ218" s="150"/>
      <c r="EA218" s="150"/>
      <c r="EB218" s="150"/>
      <c r="EC218" s="150"/>
      <c r="ED218" s="150"/>
      <c r="EE218" s="150"/>
      <c r="EF218" s="150"/>
      <c r="EG218" s="150"/>
      <c r="EH218" s="150"/>
      <c r="EI218" s="150"/>
      <c r="EJ218" s="150"/>
      <c r="EK218" s="150"/>
      <c r="EL218" s="150"/>
      <c r="EM218" s="150"/>
      <c r="EN218" s="150"/>
      <c r="EO218" s="150"/>
      <c r="EP218" s="150"/>
      <c r="EQ218" s="150"/>
      <c r="ER218" s="150"/>
      <c r="ES218" s="150"/>
      <c r="ET218" s="150"/>
      <c r="EU218" s="150"/>
      <c r="EV218" s="150"/>
      <c r="EW218" s="150"/>
      <c r="EX218" s="150"/>
      <c r="EY218" s="150"/>
      <c r="EZ218" s="150"/>
      <c r="FA218" s="150"/>
      <c r="FB218" s="150"/>
      <c r="FC218" s="150"/>
      <c r="FD218" s="150"/>
      <c r="FE218" s="150"/>
      <c r="FF218" s="150"/>
      <c r="FG218" s="150"/>
      <c r="FH218" s="150"/>
      <c r="FI218" s="150"/>
      <c r="FJ218" s="150"/>
      <c r="FK218" s="150"/>
      <c r="FL218" s="150"/>
      <c r="FM218" s="150"/>
      <c r="FN218" s="150"/>
      <c r="FO218" s="150"/>
      <c r="FP218" s="150"/>
      <c r="FQ218" s="150"/>
      <c r="FR218" s="150"/>
      <c r="FS218" s="150"/>
      <c r="FT218" s="150"/>
      <c r="FU218" s="150"/>
      <c r="FV218" s="150"/>
      <c r="FW218" s="150"/>
      <c r="FX218" s="150"/>
      <c r="FY218" s="150"/>
      <c r="FZ218" s="150"/>
      <c r="GA218" s="150"/>
      <c r="GB218" s="150"/>
      <c r="GC218" s="150"/>
      <c r="GD218" s="150"/>
      <c r="GE218" s="150"/>
      <c r="GF218" s="150"/>
      <c r="GG218" s="150"/>
      <c r="GH218" s="150"/>
      <c r="GI218" s="150"/>
      <c r="GJ218" s="150"/>
      <c r="GK218" s="150"/>
      <c r="GL218" s="150"/>
      <c r="GM218" s="150"/>
      <c r="GN218" s="150"/>
      <c r="GO218" s="150"/>
      <c r="GP218" s="150"/>
      <c r="GQ218" s="150"/>
      <c r="GR218" s="150"/>
      <c r="GS218" s="150"/>
      <c r="GT218" s="150"/>
      <c r="GU218" s="150"/>
      <c r="GV218" s="150"/>
      <c r="GW218" s="150"/>
      <c r="GX218" s="150"/>
      <c r="GY218" s="150"/>
      <c r="GZ218" s="150"/>
      <c r="HA218" s="150"/>
      <c r="HB218" s="150"/>
      <c r="HC218" s="150"/>
      <c r="HD218" s="150"/>
      <c r="HE218" s="150"/>
      <c r="HF218" s="150"/>
      <c r="HG218" s="150"/>
      <c r="HH218" s="150"/>
    </row>
    <row r="219" spans="1:216" x14ac:dyDescent="0.25">
      <c r="A219" s="8"/>
      <c r="B219" s="5" t="s">
        <v>116</v>
      </c>
      <c r="C219" s="8"/>
      <c r="D219" s="9"/>
      <c r="E219" s="1"/>
      <c r="F219" s="9"/>
      <c r="G219" s="9"/>
      <c r="H219" s="9"/>
      <c r="I219" s="9"/>
      <c r="J219" s="9"/>
      <c r="K219" s="9"/>
      <c r="L219" s="5" t="s">
        <v>103</v>
      </c>
      <c r="M219" s="5" t="s">
        <v>104</v>
      </c>
      <c r="N219" s="5" t="s">
        <v>107</v>
      </c>
      <c r="O219" s="5" t="s">
        <v>290</v>
      </c>
      <c r="P219" s="5" t="s">
        <v>446</v>
      </c>
      <c r="Q219" s="5" t="s">
        <v>448</v>
      </c>
      <c r="R219" s="5" t="s">
        <v>409</v>
      </c>
      <c r="S219" s="5" t="s">
        <v>447</v>
      </c>
      <c r="T219" s="5" t="s">
        <v>449</v>
      </c>
      <c r="U219" s="5" t="s">
        <v>106</v>
      </c>
      <c r="V219" s="150"/>
      <c r="W21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229,$BI$200:$BU$200,0),MATCH($E$220,$AE$33:$AE$47,0))*$C229</f>
        <v>0</v>
      </c>
      <c r="X21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229,$BI$200:$BU$200,0),MATCH($E$220,$AE$33:$AE$47,0))*$C229</f>
        <v>0</v>
      </c>
      <c r="Y21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229,$BI$200:$BU$200,0),MATCH($E$220,$AE$33:$AE$47,0))*$C229</f>
        <v>0</v>
      </c>
      <c r="Z219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229,$BI$200:$BU$200,0),MATCH($E$220,$AE$33:$AE$47,0))*$C229</f>
        <v>0</v>
      </c>
      <c r="AA219" s="150">
        <f t="shared" si="495"/>
        <v>0</v>
      </c>
      <c r="AB219" s="150">
        <f t="shared" si="501"/>
        <v>0</v>
      </c>
      <c r="AC219" s="150">
        <f t="shared" si="496"/>
        <v>0</v>
      </c>
      <c r="AD219" s="150">
        <f t="shared" si="497"/>
        <v>0</v>
      </c>
      <c r="AE219" s="150">
        <f t="shared" si="498"/>
        <v>0</v>
      </c>
      <c r="AF219" s="150">
        <f t="shared" si="499"/>
        <v>0</v>
      </c>
      <c r="AG219" s="150">
        <f t="shared" si="500"/>
        <v>1</v>
      </c>
      <c r="AH219" s="150"/>
      <c r="AI219" s="150"/>
      <c r="AJ219" s="150"/>
      <c r="AK219" s="150"/>
      <c r="AL219" s="150"/>
      <c r="AM219" s="150"/>
      <c r="AN219" s="150"/>
      <c r="AO219" s="150"/>
      <c r="AP219" s="150"/>
      <c r="AQ219" s="150"/>
      <c r="AR219" s="150" t="s">
        <v>713</v>
      </c>
      <c r="AS219" s="150" t="s">
        <v>594</v>
      </c>
      <c r="AT219" s="150" t="s">
        <v>596</v>
      </c>
      <c r="AU219" s="150" t="s">
        <v>594</v>
      </c>
      <c r="AV219" s="150" t="s">
        <v>594</v>
      </c>
      <c r="AW219" s="150"/>
      <c r="AX219" s="150"/>
      <c r="AY219" s="150"/>
      <c r="AZ219" s="150"/>
      <c r="BA219" s="150"/>
      <c r="BB219" s="150"/>
      <c r="BC219" s="150"/>
      <c r="BD219" s="150"/>
      <c r="BE219" s="150"/>
      <c r="BF219" s="150"/>
      <c r="BG219" s="150"/>
      <c r="BH219" s="155" t="s">
        <v>586</v>
      </c>
      <c r="BI219" s="150">
        <v>0</v>
      </c>
      <c r="BJ219" s="150">
        <v>0</v>
      </c>
      <c r="BK219" s="150">
        <v>0</v>
      </c>
      <c r="BL219" s="150">
        <v>0</v>
      </c>
      <c r="BM219" s="150">
        <v>0</v>
      </c>
      <c r="BN219" s="150">
        <v>0</v>
      </c>
      <c r="BO219" s="150">
        <v>0</v>
      </c>
      <c r="BP219" s="150">
        <v>0</v>
      </c>
      <c r="BQ219" s="150">
        <v>0</v>
      </c>
      <c r="BR219" s="150">
        <v>0</v>
      </c>
      <c r="BS219" s="150">
        <v>0</v>
      </c>
      <c r="BT219" s="150">
        <v>0</v>
      </c>
      <c r="BU219" s="150">
        <v>0</v>
      </c>
      <c r="BW219" s="154" t="s">
        <v>586</v>
      </c>
      <c r="BX219" s="154">
        <v>0</v>
      </c>
      <c r="BY219" s="154">
        <v>0</v>
      </c>
      <c r="BZ219" s="154">
        <v>0</v>
      </c>
      <c r="CA219" s="154">
        <v>0</v>
      </c>
      <c r="CB219" s="154">
        <v>0</v>
      </c>
      <c r="CC219" s="154">
        <v>0</v>
      </c>
      <c r="CD219" s="154">
        <v>0</v>
      </c>
      <c r="CE219" s="154">
        <v>0</v>
      </c>
      <c r="CF219" s="154">
        <v>0</v>
      </c>
      <c r="CG219" s="154">
        <v>0</v>
      </c>
      <c r="CH219" s="154">
        <v>0</v>
      </c>
      <c r="CI219" s="154">
        <v>0</v>
      </c>
      <c r="CJ219" s="154">
        <v>0</v>
      </c>
      <c r="DA219" s="157"/>
      <c r="EH219" s="150"/>
      <c r="EI219" s="150"/>
      <c r="EJ219" s="150"/>
      <c r="EK219" s="150"/>
      <c r="EL219" s="150"/>
      <c r="EM219" s="150"/>
      <c r="EN219" s="150"/>
      <c r="EO219" s="150"/>
      <c r="EP219" s="150"/>
      <c r="EQ219" s="150"/>
      <c r="ER219" s="150"/>
      <c r="ES219" s="150"/>
      <c r="ET219" s="150"/>
      <c r="EU219" s="150"/>
      <c r="EV219" s="150"/>
      <c r="EW219" s="150"/>
      <c r="EX219" s="150"/>
      <c r="EY219" s="150"/>
      <c r="EZ219" s="150"/>
      <c r="FA219" s="150"/>
      <c r="FB219" s="150"/>
      <c r="FC219" s="150"/>
      <c r="FD219" s="150"/>
      <c r="FE219" s="150"/>
      <c r="FF219" s="150"/>
      <c r="FG219" s="150"/>
      <c r="FH219" s="150"/>
      <c r="FI219" s="150"/>
      <c r="FJ219" s="150"/>
      <c r="FK219" s="150"/>
      <c r="FL219" s="150"/>
      <c r="FM219" s="150"/>
      <c r="FN219" s="150"/>
      <c r="FO219" s="150"/>
      <c r="FP219" s="150"/>
      <c r="FQ219" s="150"/>
      <c r="FR219" s="150"/>
      <c r="FS219" s="150"/>
      <c r="FT219" s="150"/>
      <c r="FU219" s="150"/>
      <c r="FV219" s="150"/>
      <c r="FW219" s="150"/>
      <c r="FX219" s="150"/>
      <c r="FY219" s="150"/>
      <c r="FZ219" s="150"/>
      <c r="GA219" s="150"/>
      <c r="GB219" s="150"/>
      <c r="GC219" s="150"/>
      <c r="GD219" s="150"/>
      <c r="GE219" s="150"/>
      <c r="GF219" s="150"/>
      <c r="GG219" s="150"/>
      <c r="GH219" s="150"/>
      <c r="GI219" s="150"/>
      <c r="GJ219" s="150"/>
      <c r="GK219" s="150"/>
      <c r="GL219" s="150"/>
      <c r="GM219" s="150"/>
      <c r="GN219" s="150"/>
      <c r="GO219" s="150"/>
      <c r="GP219" s="150"/>
      <c r="GQ219" s="150"/>
      <c r="GR219" s="150"/>
      <c r="GS219" s="150"/>
      <c r="GT219" s="150"/>
      <c r="GU219" s="150"/>
      <c r="GV219" s="150"/>
      <c r="GW219" s="150"/>
      <c r="GX219" s="150"/>
      <c r="GY219" s="150"/>
      <c r="GZ219" s="150"/>
      <c r="HA219" s="150"/>
      <c r="HB219" s="150"/>
      <c r="HC219" s="150"/>
      <c r="HD219" s="150"/>
      <c r="HE219" s="150"/>
      <c r="HF219" s="150"/>
      <c r="HG219" s="150"/>
      <c r="HH219" s="150"/>
    </row>
    <row r="220" spans="1:216" x14ac:dyDescent="0.25">
      <c r="A220" s="8"/>
      <c r="B220" s="5" t="s">
        <v>116</v>
      </c>
      <c r="C220" s="8"/>
      <c r="D220" s="6" t="s">
        <v>118</v>
      </c>
      <c r="E220" s="8" t="s">
        <v>763</v>
      </c>
      <c r="F220" s="5" t="s">
        <v>116</v>
      </c>
      <c r="G220" s="8" t="s">
        <v>715</v>
      </c>
      <c r="H220" s="5" t="s">
        <v>116</v>
      </c>
      <c r="I220" s="8">
        <v>30</v>
      </c>
      <c r="J220" s="5" t="s">
        <v>119</v>
      </c>
      <c r="K220" s="9"/>
      <c r="L220" s="7" t="str">
        <f>IF(E222=$AC$5,"-------",IF(E222=$AC$6,"-------",IF(E222=$AC$7,"-------",IF(E222=$AC$8,IF(E231=$DS$10,"GSW76X1600N",IF(E231=$DS$11,"GSW76X2200N","")),0))))</f>
        <v>-------</v>
      </c>
      <c r="M220" s="11" t="str">
        <f>INDEX(cennik!$C$2:$L$531,MATCH($L220,cennik!$B$2:$B$524,0),MATCH(M$2,cennik!$C$1:$L$1,0))</f>
        <v>-------</v>
      </c>
      <c r="N220" s="11">
        <f>INDEX(cennik!$C$2:$L$531,MATCH($L220,cennik!$B$2:$B$524,0),MATCH(N$2,cennik!$C$1:$L$1,0))</f>
        <v>0</v>
      </c>
      <c r="O220" s="11">
        <f>IF(L220="-------",0,SUM(O222:O223))</f>
        <v>0</v>
      </c>
      <c r="P220" s="34">
        <f>INDEX(cennik!$C$2:$L$531,MATCH($L220,cennik!$B$2:$B$524,0),MATCH(P$2,cennik!$C$1:$L$1,0))</f>
        <v>0</v>
      </c>
      <c r="Q220" s="34">
        <f>O220*P220</f>
        <v>0</v>
      </c>
      <c r="R220" s="35">
        <f t="shared" ref="R220:R247" si="502">$E$224</f>
        <v>0</v>
      </c>
      <c r="S220" s="34">
        <f t="shared" ref="S220:S247" si="503">P220*((100-$E$224)/100)</f>
        <v>0</v>
      </c>
      <c r="T220" s="34">
        <f>O220*S220</f>
        <v>0</v>
      </c>
      <c r="U220" s="34">
        <f>INDEX(cennik!$C$2:$L$531,MATCH($L220,cennik!$B$2:$B$524,0),MATCH(U$2,cennik!$C$1:$L$1,0))*O220</f>
        <v>0</v>
      </c>
      <c r="V220" s="150"/>
      <c r="W22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230,$BI$200:$BU$200,0),MATCH($E$220,$AE$33:$AE$47,0))*$C230</f>
        <v>0</v>
      </c>
      <c r="X22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230,$BI$200:$BU$200,0),MATCH($E$220,$AE$33:$AE$47,0))*$C230</f>
        <v>0</v>
      </c>
      <c r="Y22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230,$BI$200:$BU$200,0),MATCH($E$220,$AE$33:$AE$47,0))*$C230</f>
        <v>0</v>
      </c>
      <c r="Z220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230,$BI$200:$BU$200,0),MATCH($E$220,$AE$33:$AE$47,0))*$C230</f>
        <v>0</v>
      </c>
      <c r="AA220" s="150">
        <f t="shared" si="495"/>
        <v>0</v>
      </c>
      <c r="AB220" s="150">
        <f t="shared" si="501"/>
        <v>0</v>
      </c>
      <c r="AC220" s="150">
        <f t="shared" si="496"/>
        <v>0</v>
      </c>
      <c r="AD220" s="150">
        <f t="shared" si="497"/>
        <v>0</v>
      </c>
      <c r="AE220" s="150">
        <f t="shared" si="498"/>
        <v>0</v>
      </c>
      <c r="AF220" s="150">
        <f t="shared" si="499"/>
        <v>0</v>
      </c>
      <c r="AG220" s="150">
        <f t="shared" si="500"/>
        <v>1</v>
      </c>
      <c r="AH220" s="150"/>
      <c r="AI220" s="150"/>
      <c r="AJ220" s="150"/>
      <c r="AR220" s="154" t="s">
        <v>714</v>
      </c>
      <c r="AS220" s="154" t="s">
        <v>594</v>
      </c>
      <c r="AT220" s="154" t="s">
        <v>596</v>
      </c>
      <c r="AU220" s="154" t="s">
        <v>594</v>
      </c>
      <c r="AV220" s="154" t="s">
        <v>594</v>
      </c>
      <c r="BG220" s="150"/>
      <c r="BH220" s="155" t="s">
        <v>522</v>
      </c>
      <c r="BI220" s="150">
        <v>0</v>
      </c>
      <c r="BJ220" s="150">
        <v>5</v>
      </c>
      <c r="BK220" s="150">
        <v>0</v>
      </c>
      <c r="BL220" s="150">
        <v>5</v>
      </c>
      <c r="BM220" s="150">
        <v>0</v>
      </c>
      <c r="BN220" s="150">
        <v>10</v>
      </c>
      <c r="BO220" s="150">
        <v>15</v>
      </c>
      <c r="BP220" s="150">
        <v>10</v>
      </c>
      <c r="BQ220" s="150">
        <v>20</v>
      </c>
      <c r="BR220" s="150">
        <v>10</v>
      </c>
      <c r="BS220" s="150">
        <v>20</v>
      </c>
      <c r="BT220" s="150">
        <v>15</v>
      </c>
      <c r="BU220" s="150">
        <v>20</v>
      </c>
      <c r="BW220" s="154" t="s">
        <v>522</v>
      </c>
      <c r="BX220" s="154">
        <v>0</v>
      </c>
      <c r="BY220" s="154">
        <v>5</v>
      </c>
      <c r="BZ220" s="154">
        <v>0</v>
      </c>
      <c r="CA220" s="154">
        <v>10</v>
      </c>
      <c r="CB220" s="154">
        <v>5</v>
      </c>
      <c r="CC220" s="154">
        <v>15</v>
      </c>
      <c r="CD220" s="154">
        <v>10</v>
      </c>
      <c r="CE220" s="154">
        <v>20</v>
      </c>
      <c r="CF220" s="154">
        <v>15</v>
      </c>
      <c r="CG220" s="154">
        <v>25</v>
      </c>
      <c r="CH220" s="154">
        <v>20</v>
      </c>
      <c r="CI220" s="154">
        <v>30</v>
      </c>
      <c r="CJ220" s="154">
        <v>25</v>
      </c>
      <c r="DA220" s="157"/>
      <c r="EH220" s="150"/>
      <c r="EI220" s="150"/>
      <c r="EJ220" s="150"/>
      <c r="EK220" s="150"/>
      <c r="EL220" s="150"/>
      <c r="EM220" s="150"/>
      <c r="EN220" s="150"/>
      <c r="EO220" s="150"/>
      <c r="EP220" s="150"/>
      <c r="EQ220" s="150"/>
      <c r="ER220" s="150"/>
      <c r="ES220" s="150"/>
      <c r="ET220" s="150"/>
      <c r="EU220" s="150"/>
      <c r="EV220" s="150"/>
      <c r="EW220" s="150"/>
      <c r="EX220" s="150"/>
      <c r="EY220" s="150"/>
      <c r="EZ220" s="150"/>
      <c r="FA220" s="150"/>
      <c r="FB220" s="150"/>
      <c r="FC220" s="150"/>
      <c r="FD220" s="150"/>
      <c r="FE220" s="150"/>
      <c r="FF220" s="150"/>
      <c r="FG220" s="150"/>
      <c r="FH220" s="150"/>
      <c r="FI220" s="150"/>
      <c r="FJ220" s="150"/>
      <c r="FK220" s="150"/>
      <c r="FL220" s="150"/>
      <c r="FM220" s="150"/>
      <c r="FN220" s="150"/>
      <c r="FO220" s="150"/>
      <c r="FP220" s="150"/>
      <c r="FQ220" s="150"/>
      <c r="FR220" s="150"/>
      <c r="FS220" s="150"/>
      <c r="FT220" s="150"/>
      <c r="FU220" s="150"/>
      <c r="FV220" s="150"/>
      <c r="FW220" s="150"/>
      <c r="FX220" s="150"/>
      <c r="FY220" s="150"/>
      <c r="FZ220" s="150"/>
      <c r="GA220" s="150"/>
      <c r="GB220" s="150"/>
      <c r="GC220" s="150"/>
      <c r="GD220" s="150"/>
      <c r="GE220" s="150"/>
      <c r="GF220" s="150"/>
      <c r="GG220" s="150"/>
      <c r="GH220" s="150"/>
      <c r="GI220" s="150"/>
      <c r="GJ220" s="150"/>
      <c r="GK220" s="150"/>
      <c r="GL220" s="150"/>
      <c r="GM220" s="150"/>
      <c r="GN220" s="150"/>
      <c r="GO220" s="150"/>
      <c r="GP220" s="150"/>
      <c r="GQ220" s="150"/>
      <c r="GR220" s="150"/>
      <c r="GS220" s="150"/>
      <c r="GT220" s="150"/>
      <c r="GU220" s="150"/>
      <c r="GV220" s="150"/>
      <c r="GW220" s="150"/>
      <c r="GX220" s="150"/>
      <c r="GY220" s="150"/>
      <c r="GZ220" s="150"/>
      <c r="HA220" s="150"/>
      <c r="HB220" s="150"/>
      <c r="HC220" s="150"/>
      <c r="HD220" s="150"/>
      <c r="HE220" s="150"/>
      <c r="HF220" s="150"/>
      <c r="HG220" s="150"/>
      <c r="HH220" s="150"/>
    </row>
    <row r="221" spans="1:216" x14ac:dyDescent="0.25">
      <c r="A221" s="8"/>
      <c r="B221" s="5" t="s">
        <v>116</v>
      </c>
      <c r="C221" s="8"/>
      <c r="D221" s="6" t="s">
        <v>124</v>
      </c>
      <c r="E221" s="8" t="s">
        <v>125</v>
      </c>
      <c r="F221" s="5"/>
      <c r="G221" s="5"/>
      <c r="H221" s="5"/>
      <c r="I221" s="5"/>
      <c r="J221" s="5"/>
      <c r="K221" s="9"/>
      <c r="L221" s="7" t="str">
        <f>IF(E222=$AC$5,"-------",IF(E222=$AC$6,"-------",IF(E222=$AC$7,"PCB70",IF(E222=$AC$8,"PCS70",0))))</f>
        <v>-------</v>
      </c>
      <c r="M221" s="11" t="str">
        <f>INDEX(cennik!$C$2:$L$531,MATCH($L221,cennik!$B$2:$B$524,0),MATCH(M$2,cennik!$C$1:$L$1,0))</f>
        <v>-------</v>
      </c>
      <c r="N221" s="11">
        <f>INDEX(cennik!$C$2:$L$531,MATCH($L221,cennik!$B$2:$B$524,0),MATCH(N$2,cennik!$C$1:$L$1,0))</f>
        <v>0</v>
      </c>
      <c r="O221" s="11">
        <f>IF(E222=AC7,SUM(O222:O223),IF(E222=AC8,SUM(O222:O223),IF(E222=AC5,0,IF(E222=AC6,0,0))))</f>
        <v>0</v>
      </c>
      <c r="P221" s="34">
        <f>INDEX(cennik!$C$2:$L$531,MATCH($L221,cennik!$B$2:$B$524,0),MATCH(P$2,cennik!$C$1:$L$1,0))</f>
        <v>0</v>
      </c>
      <c r="Q221" s="34">
        <f>O221*P221</f>
        <v>0</v>
      </c>
      <c r="R221" s="35">
        <f t="shared" si="502"/>
        <v>0</v>
      </c>
      <c r="S221" s="34">
        <f t="shared" si="503"/>
        <v>0</v>
      </c>
      <c r="T221" s="34">
        <f>O221*S221</f>
        <v>0</v>
      </c>
      <c r="U221" s="34">
        <f>INDEX(cennik!$C$2:$L$531,MATCH($L221,cennik!$B$2:$B$524,0),MATCH(U$2,cennik!$C$1:$L$1,0))*O221</f>
        <v>0</v>
      </c>
      <c r="W22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231,$BI$200:$BU$200,0),MATCH($E$220,$AE$33:$AE$47,0))*$C231</f>
        <v>0</v>
      </c>
      <c r="X22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231,$BI$200:$BU$200,0),MATCH($E$220,$AE$33:$AE$47,0))*$C231</f>
        <v>0</v>
      </c>
      <c r="Y22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231,$BI$200:$BU$200,0),MATCH($E$220,$AE$33:$AE$47,0))*$C231</f>
        <v>0</v>
      </c>
      <c r="Z221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231,$BI$200:$BU$200,0),MATCH($E$220,$AE$33:$AE$47,0))*$C231</f>
        <v>0</v>
      </c>
      <c r="AA221" s="150">
        <f t="shared" si="495"/>
        <v>0</v>
      </c>
      <c r="AB221" s="150">
        <f t="shared" si="501"/>
        <v>0</v>
      </c>
      <c r="AC221" s="150">
        <f t="shared" si="496"/>
        <v>0</v>
      </c>
      <c r="AD221" s="150">
        <f t="shared" si="497"/>
        <v>0</v>
      </c>
      <c r="AE221" s="150">
        <f t="shared" si="498"/>
        <v>0</v>
      </c>
      <c r="AF221" s="150">
        <f t="shared" si="499"/>
        <v>0</v>
      </c>
      <c r="AG221" s="150">
        <f t="shared" si="500"/>
        <v>1</v>
      </c>
      <c r="AR221" s="154" t="s">
        <v>715</v>
      </c>
      <c r="AS221" s="154" t="s">
        <v>594</v>
      </c>
      <c r="AT221" s="154" t="s">
        <v>596</v>
      </c>
      <c r="AU221" s="154" t="s">
        <v>594</v>
      </c>
      <c r="AV221" s="154" t="s">
        <v>594</v>
      </c>
      <c r="BH221" s="155" t="s">
        <v>523</v>
      </c>
      <c r="BI221" s="150">
        <v>0</v>
      </c>
      <c r="BJ221" s="150">
        <v>0</v>
      </c>
      <c r="BK221" s="150">
        <v>10</v>
      </c>
      <c r="BL221" s="150">
        <v>5</v>
      </c>
      <c r="BM221" s="150">
        <v>15</v>
      </c>
      <c r="BN221" s="150">
        <v>5</v>
      </c>
      <c r="BO221" s="150">
        <v>0</v>
      </c>
      <c r="BP221" s="150">
        <v>10</v>
      </c>
      <c r="BQ221" s="150">
        <v>0</v>
      </c>
      <c r="BR221" s="150">
        <v>15</v>
      </c>
      <c r="BS221" s="150">
        <v>5</v>
      </c>
      <c r="BT221" s="150">
        <v>15</v>
      </c>
      <c r="BU221" s="150">
        <v>10</v>
      </c>
      <c r="BW221" s="154" t="s">
        <v>523</v>
      </c>
      <c r="BX221" s="154">
        <v>0</v>
      </c>
      <c r="BY221" s="154">
        <v>0</v>
      </c>
      <c r="BZ221" s="154">
        <v>10</v>
      </c>
      <c r="CA221" s="154">
        <v>0</v>
      </c>
      <c r="CB221" s="154">
        <v>10</v>
      </c>
      <c r="CC221" s="154">
        <v>0</v>
      </c>
      <c r="CD221" s="154">
        <v>10</v>
      </c>
      <c r="CE221" s="154">
        <v>0</v>
      </c>
      <c r="CF221" s="154">
        <v>10</v>
      </c>
      <c r="CG221" s="154">
        <v>0</v>
      </c>
      <c r="CH221" s="154">
        <v>10</v>
      </c>
      <c r="CI221" s="154">
        <v>0</v>
      </c>
      <c r="CJ221" s="154">
        <v>10</v>
      </c>
      <c r="DA221" s="157"/>
    </row>
    <row r="222" spans="1:216" x14ac:dyDescent="0.25">
      <c r="A222" s="8"/>
      <c r="B222" s="5" t="s">
        <v>116</v>
      </c>
      <c r="C222" s="8"/>
      <c r="D222" s="6" t="s">
        <v>307</v>
      </c>
      <c r="E222" s="8" t="s">
        <v>314</v>
      </c>
      <c r="F222" s="5"/>
      <c r="G222" s="5"/>
      <c r="H222" s="5"/>
      <c r="I222" s="5"/>
      <c r="J222" s="5"/>
      <c r="K222" s="9"/>
      <c r="L222" s="6" t="str">
        <f>IF(E222=$AC$5,"CWT70H50/3NMC",IF(E222=$AC$6,"CWT70H50/2NMC",IF(E222=$AC$7,"CWT70H50/1NMC",IF(E222=$AC$8,"CWT70H50/1NMC",0))))</f>
        <v>CWT70H50/3NMC</v>
      </c>
      <c r="M222" s="11">
        <f>INDEX(cennik!$C$2:$L$531,MATCH($L222,cennik!$B$2:$B$524,0),MATCH(M$2,cennik!$C$1:$L$1,0))</f>
        <v>867830</v>
      </c>
      <c r="N222" s="11" t="str">
        <f>INDEX(cennik!$C$2:$L$531,MATCH($L222,cennik!$B$2:$B$524,0),MATCH(N$2,cennik!$C$1:$L$1,0))</f>
        <v>szt.</v>
      </c>
      <c r="O222" s="11">
        <f>SUM(AE207:AE222)</f>
        <v>0</v>
      </c>
      <c r="P222" s="34">
        <f>INDEX(cennik!$C$2:$L$531,MATCH($L222,cennik!$B$2:$B$524,0),MATCH(P$2,cennik!$C$1:$L$1,0))</f>
        <v>151.83000000000001</v>
      </c>
      <c r="Q222" s="34">
        <f t="shared" ref="Q222:Q223" si="504">O222*P222</f>
        <v>0</v>
      </c>
      <c r="R222" s="35">
        <f t="shared" si="502"/>
        <v>0</v>
      </c>
      <c r="S222" s="34">
        <f t="shared" si="503"/>
        <v>151.83000000000001</v>
      </c>
      <c r="T222" s="34">
        <f t="shared" ref="T222:T223" si="505">O222*S222</f>
        <v>0</v>
      </c>
      <c r="U222" s="34">
        <f>INDEX(cennik!$C$2:$L$531,MATCH($L222,cennik!$B$2:$B$524,0),MATCH(U$2,cennik!$C$1:$L$1,0))*O222</f>
        <v>0</v>
      </c>
      <c r="W22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232,$BI$200:$BU$200,0),MATCH($E$220,$AE$33:$AE$47,0))*$C232</f>
        <v>0</v>
      </c>
      <c r="X22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232,$BI$200:$BU$200,0),MATCH($E$220,$AE$33:$AE$47,0))*$C232</f>
        <v>0</v>
      </c>
      <c r="Y22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232,$BI$200:$BU$200,0),MATCH($E$220,$AE$33:$AE$47,0))*$C232</f>
        <v>0</v>
      </c>
      <c r="Z222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232,$BI$200:$BU$200,0),MATCH($E$220,$AE$33:$AE$47,0))*$C232</f>
        <v>0</v>
      </c>
      <c r="AA222" s="150">
        <f t="shared" si="495"/>
        <v>0</v>
      </c>
      <c r="AB222" s="150">
        <f t="shared" si="501"/>
        <v>0</v>
      </c>
      <c r="AC222" s="150">
        <f t="shared" si="496"/>
        <v>0</v>
      </c>
      <c r="AD222" s="150">
        <f t="shared" si="497"/>
        <v>0</v>
      </c>
      <c r="AE222" s="150">
        <f t="shared" si="498"/>
        <v>0</v>
      </c>
      <c r="AF222" s="150">
        <f t="shared" si="499"/>
        <v>0</v>
      </c>
      <c r="AG222" s="150">
        <f t="shared" si="500"/>
        <v>1</v>
      </c>
      <c r="BH222" s="158" t="s">
        <v>779</v>
      </c>
      <c r="BI222" s="150">
        <v>0</v>
      </c>
      <c r="BJ222" s="150">
        <v>0</v>
      </c>
      <c r="BK222" s="150">
        <v>5</v>
      </c>
      <c r="BL222" s="150">
        <v>5</v>
      </c>
      <c r="BM222" s="150">
        <v>10</v>
      </c>
      <c r="BN222" s="150">
        <v>10</v>
      </c>
      <c r="BO222" s="150">
        <v>10</v>
      </c>
      <c r="BP222" s="150">
        <v>15</v>
      </c>
      <c r="BQ222" s="150">
        <v>15</v>
      </c>
      <c r="BR222" s="150">
        <v>20</v>
      </c>
      <c r="BS222" s="150">
        <v>20</v>
      </c>
      <c r="BT222" s="150">
        <v>25</v>
      </c>
      <c r="BU222" s="150">
        <v>25</v>
      </c>
      <c r="BW222" s="158" t="s">
        <v>779</v>
      </c>
      <c r="BX222" s="154">
        <v>0</v>
      </c>
      <c r="BY222" s="154">
        <v>0</v>
      </c>
      <c r="BZ222" s="154">
        <v>5</v>
      </c>
      <c r="CA222" s="154">
        <v>5</v>
      </c>
      <c r="CB222" s="154">
        <v>10</v>
      </c>
      <c r="CC222" s="154">
        <v>10</v>
      </c>
      <c r="CD222" s="154">
        <v>15</v>
      </c>
      <c r="CE222" s="154">
        <v>15</v>
      </c>
      <c r="CF222" s="154">
        <v>20</v>
      </c>
      <c r="CG222" s="154">
        <v>20</v>
      </c>
      <c r="CH222" s="154">
        <v>25</v>
      </c>
      <c r="CI222" s="154">
        <v>25</v>
      </c>
      <c r="CJ222" s="154">
        <v>30</v>
      </c>
      <c r="DA222" s="157"/>
    </row>
    <row r="223" spans="1:216" x14ac:dyDescent="0.25">
      <c r="A223" s="8"/>
      <c r="B223" s="5" t="s">
        <v>116</v>
      </c>
      <c r="C223" s="8"/>
      <c r="D223" s="6" t="s">
        <v>315</v>
      </c>
      <c r="E223" s="8">
        <v>0</v>
      </c>
      <c r="F223" s="5"/>
      <c r="G223" s="5"/>
      <c r="H223" s="5"/>
      <c r="I223" s="5"/>
      <c r="J223" s="5" t="s">
        <v>412</v>
      </c>
      <c r="K223" s="9"/>
      <c r="L223" s="6" t="str">
        <f>INDEX((AS178:AV184,AS188:AV194),MATCH(G220,AR178:AR184,0),MATCH(E222,AS177:AV177,0),MATCH(E227,DS6:DS7,0))</f>
        <v>CWT70H50/4,4NMC</v>
      </c>
      <c r="M223" s="11">
        <f>INDEX(cennik!$C$2:$L$531,MATCH($L223,cennik!$B$2:$B$524,0),MATCH(M$2,cennik!$C$1:$L$1,0))</f>
        <v>867844</v>
      </c>
      <c r="N223" s="11" t="str">
        <f>INDEX(cennik!$C$2:$L$531,MATCH($L223,cennik!$B$2:$B$524,0),MATCH(N$2,cennik!$C$1:$L$1,0))</f>
        <v>szt.</v>
      </c>
      <c r="O223" s="11">
        <f>O222</f>
        <v>0</v>
      </c>
      <c r="P223" s="34">
        <f>INDEX(cennik!$C$2:$L$531,MATCH($L223,cennik!$B$2:$B$524,0),MATCH(P$2,cennik!$C$1:$L$1,0))</f>
        <v>222.68</v>
      </c>
      <c r="Q223" s="34">
        <f t="shared" si="504"/>
        <v>0</v>
      </c>
      <c r="R223" s="35">
        <f t="shared" si="502"/>
        <v>0</v>
      </c>
      <c r="S223" s="34">
        <f t="shared" si="503"/>
        <v>222.68</v>
      </c>
      <c r="T223" s="34">
        <f t="shared" si="505"/>
        <v>0</v>
      </c>
      <c r="U223" s="34">
        <f>INDEX(cennik!$C$2:$L$531,MATCH($L223,cennik!$B$2:$B$524,0),MATCH(U$2,cennik!$C$1:$L$1,0))*O223</f>
        <v>0</v>
      </c>
      <c r="W22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233,$BI$200:$BU$200,0),MATCH($E$220,$AE$33:$AE$47,0))*$C233</f>
        <v>0</v>
      </c>
      <c r="X22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233,$BI$200:$BU$200,0),MATCH($E$220,$AE$33:$AE$47,0))*$C233</f>
        <v>0</v>
      </c>
      <c r="Y22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233,$BI$200:$BU$200,0),MATCH($E$220,$AE$33:$AE$47,0))*$C233</f>
        <v>0</v>
      </c>
      <c r="Z223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233,$BI$200:$BU$200,0),MATCH($E$220,$AE$33:$AE$47,0))*$C233</f>
        <v>0</v>
      </c>
      <c r="AA223" s="150"/>
      <c r="AB223" s="150"/>
      <c r="AC223" s="150"/>
      <c r="AD223" s="150"/>
      <c r="AE223" s="150"/>
      <c r="AF223" s="150"/>
      <c r="AR223" s="154" t="s">
        <v>716</v>
      </c>
      <c r="BH223" s="178"/>
      <c r="DA223" s="157"/>
    </row>
    <row r="224" spans="1:216" x14ac:dyDescent="0.25">
      <c r="A224" s="8"/>
      <c r="B224" s="5" t="s">
        <v>116</v>
      </c>
      <c r="C224" s="8"/>
      <c r="D224" s="6" t="s">
        <v>162</v>
      </c>
      <c r="E224" s="8">
        <v>0</v>
      </c>
      <c r="F224" s="5"/>
      <c r="G224" s="5"/>
      <c r="H224" s="5"/>
      <c r="I224" s="5"/>
      <c r="J224" s="5" t="s">
        <v>163</v>
      </c>
      <c r="K224" s="9"/>
      <c r="L224" s="6" t="str">
        <f>IF(E227=25,"-------",IF(E227=30,(INDEX((BC188:BF194),MATCH(G220,BB188:BB194,0),MATCH(E222,BC187:BF187,0))),0))</f>
        <v>-------</v>
      </c>
      <c r="M224" s="11" t="str">
        <f>INDEX(cennik!$C$2:$L$531,MATCH($L224,cennik!$B$2:$B$524,0),MATCH(M$2,cennik!$C$1:$L$1,0))</f>
        <v>-------</v>
      </c>
      <c r="N224" s="11">
        <f>INDEX(cennik!$C$2:$L$531,MATCH($L224,cennik!$B$2:$B$524,0),MATCH(N$2,cennik!$C$1:$L$1,0))</f>
        <v>0</v>
      </c>
      <c r="O224" s="11">
        <f>IF(L224="CWT70H50/2NMC",O223,0)</f>
        <v>0</v>
      </c>
      <c r="P224" s="34">
        <f>INDEX(cennik!$C$2:$L$531,MATCH($L224,cennik!$B$2:$B$524,0),MATCH(P$2,cennik!$C$1:$L$1,0))</f>
        <v>0</v>
      </c>
      <c r="Q224" s="34">
        <f t="shared" ref="Q224:Q225" si="506">O224*P224</f>
        <v>0</v>
      </c>
      <c r="R224" s="35">
        <f t="shared" si="502"/>
        <v>0</v>
      </c>
      <c r="S224" s="34">
        <f t="shared" si="503"/>
        <v>0</v>
      </c>
      <c r="T224" s="34">
        <f t="shared" ref="T224:T225" si="507">O224*S224</f>
        <v>0</v>
      </c>
      <c r="U224" s="34">
        <f>INDEX(cennik!$C$2:$L$531,MATCH($L224,cennik!$B$2:$B$524,0),MATCH(U$2,cennik!$C$1:$L$1,0))*O224</f>
        <v>0</v>
      </c>
      <c r="W22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234,$BI$200:$BU$200,0),MATCH($E$220,$AE$33:$AE$47,0))*$C234</f>
        <v>0</v>
      </c>
      <c r="X22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234,$BI$200:$BU$200,0),MATCH($E$220,$AE$33:$AE$47,0))*$C234</f>
        <v>0</v>
      </c>
      <c r="Y22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234,$BI$200:$BU$200,0),MATCH($E$220,$AE$33:$AE$47,0))*$C234</f>
        <v>0</v>
      </c>
      <c r="Z224" s="150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234,$BI$200:$BU$200,0),MATCH($E$220,$AE$33:$AE$47,0))*$C234</f>
        <v>0</v>
      </c>
      <c r="AA224" s="150"/>
      <c r="AB224" s="150"/>
      <c r="AC224" s="150"/>
      <c r="AD224" s="150"/>
      <c r="AE224" s="150"/>
      <c r="AF224" s="150"/>
      <c r="AS224" s="154" t="s">
        <v>314</v>
      </c>
      <c r="AT224" s="154" t="s">
        <v>312</v>
      </c>
      <c r="AU224" s="154" t="s">
        <v>309</v>
      </c>
      <c r="AV224" s="154" t="s">
        <v>313</v>
      </c>
      <c r="BH224" s="155" t="s">
        <v>472</v>
      </c>
      <c r="BI224" s="150">
        <v>0</v>
      </c>
      <c r="BJ224" s="150">
        <v>8</v>
      </c>
      <c r="BK224" s="150">
        <v>12</v>
      </c>
      <c r="BL224" s="150">
        <v>16</v>
      </c>
      <c r="BM224" s="150">
        <v>20</v>
      </c>
      <c r="BN224" s="150">
        <v>24</v>
      </c>
      <c r="BO224" s="150">
        <v>28</v>
      </c>
      <c r="BP224" s="150">
        <v>32</v>
      </c>
      <c r="BQ224" s="150">
        <v>36</v>
      </c>
      <c r="BR224" s="150">
        <v>40</v>
      </c>
      <c r="BS224" s="150">
        <v>44</v>
      </c>
      <c r="BT224" s="150">
        <v>48</v>
      </c>
      <c r="BU224" s="150">
        <v>52</v>
      </c>
      <c r="BW224" s="154" t="s">
        <v>478</v>
      </c>
      <c r="BX224" s="154">
        <v>0</v>
      </c>
      <c r="BY224" s="154">
        <v>8</v>
      </c>
      <c r="BZ224" s="154">
        <v>12</v>
      </c>
      <c r="CA224" s="154">
        <v>16</v>
      </c>
      <c r="CB224" s="154">
        <v>20</v>
      </c>
      <c r="CC224" s="154">
        <v>24</v>
      </c>
      <c r="CD224" s="154">
        <v>28</v>
      </c>
      <c r="CE224" s="154">
        <v>32</v>
      </c>
      <c r="CF224" s="154">
        <v>36</v>
      </c>
      <c r="CG224" s="154">
        <v>40</v>
      </c>
      <c r="CH224" s="154">
        <v>44</v>
      </c>
      <c r="CI224" s="154">
        <v>48</v>
      </c>
      <c r="CJ224" s="154">
        <v>52</v>
      </c>
      <c r="DA224" s="157"/>
    </row>
    <row r="225" spans="1:105" x14ac:dyDescent="0.25">
      <c r="A225" s="8"/>
      <c r="B225" s="5" t="s">
        <v>116</v>
      </c>
      <c r="C225" s="8"/>
      <c r="D225" s="6" t="s">
        <v>515</v>
      </c>
      <c r="E225" s="8">
        <v>0</v>
      </c>
      <c r="F225" s="5"/>
      <c r="G225" s="5"/>
      <c r="H225" s="5"/>
      <c r="I225" s="5"/>
      <c r="J225" s="5" t="s">
        <v>412</v>
      </c>
      <c r="K225" s="9"/>
      <c r="L225" s="6" t="str">
        <f>IF(L224="CWT70H50/2NMC","LCT70H50NMC","-------")</f>
        <v>-------</v>
      </c>
      <c r="M225" s="11" t="str">
        <f>INDEX(cennik!$C$2:$L$531,MATCH($L225,cennik!$B$2:$B$524,0),MATCH(M$2,cennik!$C$1:$L$1,0))</f>
        <v>-------</v>
      </c>
      <c r="N225" s="11">
        <f>INDEX(cennik!$C$2:$L$531,MATCH($L225,cennik!$B$2:$B$524,0),MATCH(N$2,cennik!$C$1:$L$1,0))</f>
        <v>0</v>
      </c>
      <c r="O225" s="11">
        <f>O224</f>
        <v>0</v>
      </c>
      <c r="P225" s="34">
        <f>INDEX(cennik!$C$2:$L$531,MATCH($L225,cennik!$B$2:$B$524,0),MATCH(P$2,cennik!$C$1:$L$1,0))</f>
        <v>0</v>
      </c>
      <c r="Q225" s="34">
        <f t="shared" si="506"/>
        <v>0</v>
      </c>
      <c r="R225" s="35">
        <f t="shared" si="502"/>
        <v>0</v>
      </c>
      <c r="S225" s="34">
        <f t="shared" si="503"/>
        <v>0</v>
      </c>
      <c r="T225" s="34">
        <f t="shared" si="507"/>
        <v>0</v>
      </c>
      <c r="U225" s="34">
        <f>INDEX(cennik!$C$2:$L$531,MATCH($L225,cennik!$B$2:$B$524,0),MATCH(U$2,cennik!$C$1:$L$1,0))*O225</f>
        <v>0</v>
      </c>
      <c r="W225" s="150"/>
      <c r="X225" s="150"/>
      <c r="Y225" s="150"/>
      <c r="Z225" s="150"/>
      <c r="AA225" s="150"/>
      <c r="AB225" s="150"/>
      <c r="AC225" s="150"/>
      <c r="AD225" s="150"/>
      <c r="AE225" s="150"/>
      <c r="AF225" s="150"/>
      <c r="AR225" s="154" t="s">
        <v>114</v>
      </c>
      <c r="AS225" s="154" t="s">
        <v>151</v>
      </c>
      <c r="AT225" s="154" t="s">
        <v>151</v>
      </c>
      <c r="AU225" s="154" t="s">
        <v>151</v>
      </c>
      <c r="AV225" s="154" t="s">
        <v>151</v>
      </c>
      <c r="BH225" s="155" t="s">
        <v>586</v>
      </c>
      <c r="BI225" s="150">
        <v>0</v>
      </c>
      <c r="BJ225" s="150">
        <v>0</v>
      </c>
      <c r="BK225" s="150">
        <v>0</v>
      </c>
      <c r="BL225" s="150">
        <v>0</v>
      </c>
      <c r="BM225" s="150">
        <v>0</v>
      </c>
      <c r="BN225" s="150">
        <v>0</v>
      </c>
      <c r="BO225" s="150">
        <v>0</v>
      </c>
      <c r="BP225" s="150">
        <v>0</v>
      </c>
      <c r="BQ225" s="150">
        <v>0</v>
      </c>
      <c r="BR225" s="150">
        <v>0</v>
      </c>
      <c r="BS225" s="150">
        <v>0</v>
      </c>
      <c r="BT225" s="150">
        <v>0</v>
      </c>
      <c r="BU225" s="150">
        <v>0</v>
      </c>
      <c r="BW225" s="154" t="s">
        <v>586</v>
      </c>
      <c r="BX225" s="154">
        <v>0</v>
      </c>
      <c r="BY225" s="154">
        <v>0</v>
      </c>
      <c r="BZ225" s="154">
        <v>0</v>
      </c>
      <c r="CA225" s="154">
        <v>0</v>
      </c>
      <c r="CB225" s="154">
        <v>0</v>
      </c>
      <c r="CC225" s="154">
        <v>0</v>
      </c>
      <c r="CD225" s="154">
        <v>0</v>
      </c>
      <c r="CE225" s="154">
        <v>0</v>
      </c>
      <c r="CF225" s="154">
        <v>0</v>
      </c>
      <c r="CG225" s="154">
        <v>0</v>
      </c>
      <c r="CH225" s="154">
        <v>0</v>
      </c>
      <c r="CI225" s="154">
        <v>0</v>
      </c>
      <c r="CJ225" s="154">
        <v>0</v>
      </c>
      <c r="DA225" s="157"/>
    </row>
    <row r="226" spans="1:105" x14ac:dyDescent="0.25">
      <c r="A226" s="8"/>
      <c r="B226" s="5" t="s">
        <v>116</v>
      </c>
      <c r="C226" s="8"/>
      <c r="D226" s="6" t="s">
        <v>511</v>
      </c>
      <c r="E226" s="4"/>
      <c r="F226" s="6"/>
      <c r="G226" s="6"/>
      <c r="H226" s="6"/>
      <c r="I226" s="6"/>
      <c r="J226" s="1"/>
      <c r="K226" s="9"/>
      <c r="L226" s="6" t="str">
        <f>IF(G220=$AE$24,"BDFCH120/4,4NMC",IF(G220=$AE$25,"BDFCH120/4,8NMC",IF(G220=$AE$26,"BDFCH120/4,8NMC",IF(G220=$AE$27,"BDFCH120/5,4NMC",IF(G220=$AE$28,"BDFCH120/5,4NMC",IF(G220=$AE$29,"BDFCH120/5,4NMC",IF(G220=$AE$30,"BDFTH120/6NMC",IF(G220=$AE$31,"BDFtH120/6NMC",IF(G220=$AE$32,"BDFtH120/6NMC",0)))))))))</f>
        <v>BDFTH120/6NMC</v>
      </c>
      <c r="M226" s="11">
        <f>INDEX(cennik!$C$2:$L$531,MATCH($L226,cennik!$B$2:$B$524,0),MATCH(M$2,cennik!$C$1:$L$1,0))</f>
        <v>863461</v>
      </c>
      <c r="N226" s="11" t="str">
        <f>INDEX(cennik!$C$2:$L$531,MATCH($L226,cennik!$B$2:$B$524,0),MATCH(N$2,cennik!$C$1:$L$1,0))</f>
        <v>szt.</v>
      </c>
      <c r="O226" s="11">
        <f>O222</f>
        <v>0</v>
      </c>
      <c r="P226" s="34">
        <f>INDEX(cennik!$C$2:$L$531,MATCH($L226,cennik!$B$2:$B$524,0),MATCH(P$2,cennik!$C$1:$L$1,0))</f>
        <v>374.57</v>
      </c>
      <c r="Q226" s="34">
        <f t="shared" ref="Q226:Q232" si="508">O226*P226</f>
        <v>0</v>
      </c>
      <c r="R226" s="35">
        <f t="shared" si="502"/>
        <v>0</v>
      </c>
      <c r="S226" s="34">
        <f t="shared" si="503"/>
        <v>374.57</v>
      </c>
      <c r="T226" s="34">
        <f t="shared" ref="T226:T232" si="509">O226*S226</f>
        <v>0</v>
      </c>
      <c r="U226" s="34">
        <f>INDEX(cennik!$C$2:$L$531,MATCH($L226,cennik!$B$2:$B$524,0),MATCH(U$2,cennik!$C$1:$L$1,0))*O226</f>
        <v>0</v>
      </c>
      <c r="W226" s="150"/>
      <c r="X226" s="150"/>
      <c r="Y226" s="150"/>
      <c r="Z226" s="150"/>
      <c r="AA226" s="150"/>
      <c r="AB226" s="150"/>
      <c r="AC226" s="150"/>
      <c r="AD226" s="150"/>
      <c r="AE226" s="150"/>
      <c r="AF226" s="150"/>
      <c r="AR226" s="154" t="s">
        <v>115</v>
      </c>
      <c r="AS226" s="154" t="s">
        <v>151</v>
      </c>
      <c r="AT226" s="154" t="s">
        <v>151</v>
      </c>
      <c r="AU226" s="154" t="s">
        <v>151</v>
      </c>
      <c r="AV226" s="154" t="s">
        <v>151</v>
      </c>
      <c r="BH226" s="155" t="s">
        <v>522</v>
      </c>
      <c r="BI226" s="150">
        <v>0</v>
      </c>
      <c r="BJ226" s="150">
        <v>5</v>
      </c>
      <c r="BK226" s="150">
        <v>0</v>
      </c>
      <c r="BL226" s="150">
        <v>5</v>
      </c>
      <c r="BM226" s="150">
        <v>0</v>
      </c>
      <c r="BN226" s="150">
        <v>10</v>
      </c>
      <c r="BO226" s="150">
        <v>5</v>
      </c>
      <c r="BP226" s="150">
        <v>10</v>
      </c>
      <c r="BQ226" s="150">
        <v>20</v>
      </c>
      <c r="BR226" s="150">
        <v>15</v>
      </c>
      <c r="BS226" s="150">
        <v>20</v>
      </c>
      <c r="BT226" s="150">
        <v>15</v>
      </c>
      <c r="BU226" s="150">
        <v>25</v>
      </c>
      <c r="BW226" s="154" t="s">
        <v>522</v>
      </c>
      <c r="BX226" s="154">
        <v>0</v>
      </c>
      <c r="BY226" s="154">
        <v>0</v>
      </c>
      <c r="BZ226" s="154">
        <v>5</v>
      </c>
      <c r="CA226" s="154">
        <v>0</v>
      </c>
      <c r="CB226" s="154">
        <v>10</v>
      </c>
      <c r="CC226" s="154">
        <v>5</v>
      </c>
      <c r="CD226" s="154">
        <v>15</v>
      </c>
      <c r="CE226" s="154">
        <v>10</v>
      </c>
      <c r="CF226" s="154">
        <v>20</v>
      </c>
      <c r="CG226" s="154">
        <v>15</v>
      </c>
      <c r="CH226" s="154">
        <v>25</v>
      </c>
      <c r="CI226" s="154">
        <v>20</v>
      </c>
      <c r="CJ226" s="154">
        <v>30</v>
      </c>
      <c r="DA226" s="157"/>
    </row>
    <row r="227" spans="1:105" x14ac:dyDescent="0.25">
      <c r="A227" s="8"/>
      <c r="B227" s="5" t="s">
        <v>116</v>
      </c>
      <c r="C227" s="8"/>
      <c r="D227" s="6" t="s">
        <v>310</v>
      </c>
      <c r="E227" s="8">
        <v>25</v>
      </c>
      <c r="F227" s="6"/>
      <c r="G227" s="6"/>
      <c r="H227" s="6"/>
      <c r="I227" s="6"/>
      <c r="J227" s="1"/>
      <c r="K227" s="9"/>
      <c r="L227" s="6" t="str">
        <f>IF(G220=$AE$24,"CMP41H41/1,5MC",IF(G220=$AE$25,"CMP41H41/1,5MC",IF(G220=$AE$26,"CMP41H41/1,5MC",IF(G220=$AE$27,"CMP41H41/2,2MC",IF(G220=$AE$28,"CMP41H41/2,2MC",IF(G220=$AE$29,"CMP41H41/2,2MC",IF(G220=$AE$30,"CMP41H41/2,2MC",0)))))))</f>
        <v>CMP41H41/2,2MC</v>
      </c>
      <c r="M227" s="11">
        <f>INDEX(cennik!$C$2:$L$531,MATCH($L227,cennik!$B$2:$B$524,0),MATCH(M$2,cennik!$C$1:$L$1,0))</f>
        <v>851122</v>
      </c>
      <c r="N227" s="11" t="str">
        <f>INDEX(cennik!$C$2:$L$531,MATCH($L227,cennik!$B$2:$B$524,0),MATCH(N$2,cennik!$C$1:$L$1,0))</f>
        <v>szt.</v>
      </c>
      <c r="O227" s="11">
        <f>O222</f>
        <v>0</v>
      </c>
      <c r="P227" s="34">
        <f>INDEX(cennik!$C$2:$L$531,MATCH($L227,cennik!$B$2:$B$524,0),MATCH(P$2,cennik!$C$1:$L$1,0))</f>
        <v>46.2</v>
      </c>
      <c r="Q227" s="34">
        <f t="shared" si="508"/>
        <v>0</v>
      </c>
      <c r="R227" s="35">
        <f t="shared" si="502"/>
        <v>0</v>
      </c>
      <c r="S227" s="34">
        <f t="shared" si="503"/>
        <v>46.2</v>
      </c>
      <c r="T227" s="34">
        <f t="shared" si="509"/>
        <v>0</v>
      </c>
      <c r="U227" s="34">
        <f>INDEX(cennik!$C$2:$L$531,MATCH($L227,cennik!$B$2:$B$524,0),MATCH(U$2,cennik!$C$1:$L$1,0))*O227</f>
        <v>0</v>
      </c>
      <c r="W227" s="150"/>
      <c r="X227" s="150"/>
      <c r="Y227" s="150"/>
      <c r="Z227" s="150"/>
      <c r="AA227" s="150"/>
      <c r="AB227" s="150"/>
      <c r="AC227" s="150"/>
      <c r="AD227" s="150"/>
      <c r="AE227" s="150"/>
      <c r="AF227" s="150"/>
      <c r="AR227" s="154" t="s">
        <v>474</v>
      </c>
      <c r="AS227" s="154" t="s">
        <v>151</v>
      </c>
      <c r="AT227" s="154" t="s">
        <v>151</v>
      </c>
      <c r="AU227" s="154" t="s">
        <v>151</v>
      </c>
      <c r="AV227" s="154" t="s">
        <v>151</v>
      </c>
      <c r="BH227" s="155" t="s">
        <v>523</v>
      </c>
      <c r="BI227" s="150">
        <v>0</v>
      </c>
      <c r="BJ227" s="150">
        <v>0</v>
      </c>
      <c r="BK227" s="150">
        <v>10</v>
      </c>
      <c r="BL227" s="150">
        <v>5</v>
      </c>
      <c r="BM227" s="150">
        <v>15</v>
      </c>
      <c r="BN227" s="150">
        <v>5</v>
      </c>
      <c r="BO227" s="150">
        <v>15</v>
      </c>
      <c r="BP227" s="150">
        <v>10</v>
      </c>
      <c r="BQ227" s="150">
        <v>0</v>
      </c>
      <c r="BR227" s="150">
        <v>10</v>
      </c>
      <c r="BS227" s="150">
        <v>5</v>
      </c>
      <c r="BT227" s="150">
        <v>15</v>
      </c>
      <c r="BU227" s="150">
        <v>5</v>
      </c>
      <c r="BW227" s="154" t="s">
        <v>523</v>
      </c>
      <c r="BX227" s="154">
        <v>0</v>
      </c>
      <c r="BY227" s="154">
        <v>10</v>
      </c>
      <c r="BZ227" s="154">
        <v>5</v>
      </c>
      <c r="CA227" s="154">
        <v>15</v>
      </c>
      <c r="CB227" s="154">
        <v>5</v>
      </c>
      <c r="CC227" s="154">
        <v>15</v>
      </c>
      <c r="CD227" s="154">
        <v>5</v>
      </c>
      <c r="CE227" s="154">
        <v>15</v>
      </c>
      <c r="CF227" s="154">
        <v>5</v>
      </c>
      <c r="CG227" s="154">
        <v>15</v>
      </c>
      <c r="CH227" s="154">
        <v>5</v>
      </c>
      <c r="CI227" s="154">
        <v>15</v>
      </c>
      <c r="CJ227" s="154">
        <v>5</v>
      </c>
      <c r="CM227" s="154" t="s">
        <v>771</v>
      </c>
      <c r="DA227" s="157"/>
    </row>
    <row r="228" spans="1:105" x14ac:dyDescent="0.25">
      <c r="A228" s="8"/>
      <c r="B228" s="5" t="s">
        <v>116</v>
      </c>
      <c r="C228" s="8"/>
      <c r="D228" s="6" t="s">
        <v>787</v>
      </c>
      <c r="E228" s="8">
        <v>1</v>
      </c>
      <c r="F228" s="39" t="s">
        <v>789</v>
      </c>
      <c r="G228" s="9"/>
      <c r="H228" s="9"/>
      <c r="I228" s="9"/>
      <c r="J228" s="9"/>
      <c r="K228" s="9"/>
      <c r="L228" s="6" t="str">
        <f>IF(G220=$AE$24,"-------",IF(G220=$AE$25,"-------",IF(G220=$AE$26,"-------",IF(G220=$AE$27,"CMP41H41/1,2MC",IF(G220=$AE$28,"CMP41H41/1,2MC",IF(G220=$AE$29,"CMP41H41/1,2MC",IF(G220=$AE$30,"CMP41H41/1,2MC",0)))))))</f>
        <v>CMP41H41/1,2MC</v>
      </c>
      <c r="M228" s="11">
        <f>INDEX(cennik!$C$2:$L$531,MATCH($L228,cennik!$B$2:$B$524,0),MATCH(M$2,cennik!$C$1:$L$1,0))</f>
        <v>856211</v>
      </c>
      <c r="N228" s="11" t="str">
        <f>INDEX(cennik!$C$2:$L$531,MATCH($L228,cennik!$B$2:$B$524,0),MATCH(N$2,cennik!$C$1:$L$1,0))</f>
        <v>szt.</v>
      </c>
      <c r="O228" s="11">
        <f>IF(L227="CMP41H41/2,2MC",O227,0)</f>
        <v>0</v>
      </c>
      <c r="P228" s="34">
        <f>INDEX(cennik!$C$2:$L$531,MATCH($L228,cennik!$B$2:$B$524,0),MATCH(P$2,cennik!$C$1:$L$1,0))</f>
        <v>25.2</v>
      </c>
      <c r="Q228" s="34">
        <f t="shared" si="508"/>
        <v>0</v>
      </c>
      <c r="R228" s="35">
        <f t="shared" si="502"/>
        <v>0</v>
      </c>
      <c r="S228" s="34">
        <f t="shared" si="503"/>
        <v>25.2</v>
      </c>
      <c r="T228" s="34">
        <f t="shared" si="509"/>
        <v>0</v>
      </c>
      <c r="U228" s="34">
        <f>INDEX(cennik!$C$2:$L$531,MATCH($L228,cennik!$B$2:$B$524,0),MATCH(U$2,cennik!$C$1:$L$1,0))*O228</f>
        <v>0</v>
      </c>
      <c r="W228" s="150"/>
      <c r="X228" s="150"/>
      <c r="Y228" s="150"/>
      <c r="Z228" s="150"/>
      <c r="AA228" s="150"/>
      <c r="AB228" s="150"/>
      <c r="AC228" s="150"/>
      <c r="AD228" s="150"/>
      <c r="AE228" s="150"/>
      <c r="AF228" s="150"/>
      <c r="AR228" s="154" t="s">
        <v>480</v>
      </c>
      <c r="AS228" s="154" t="s">
        <v>151</v>
      </c>
      <c r="AT228" s="154" t="s">
        <v>151</v>
      </c>
      <c r="AU228" s="154" t="s">
        <v>151</v>
      </c>
      <c r="AV228" s="154" t="s">
        <v>151</v>
      </c>
      <c r="BH228" s="158" t="s">
        <v>779</v>
      </c>
      <c r="BI228" s="150">
        <v>0</v>
      </c>
      <c r="BJ228" s="150">
        <v>0</v>
      </c>
      <c r="BK228" s="150">
        <v>5</v>
      </c>
      <c r="BL228" s="150">
        <v>5</v>
      </c>
      <c r="BM228" s="150">
        <v>10</v>
      </c>
      <c r="BN228" s="150">
        <v>10</v>
      </c>
      <c r="BO228" s="150">
        <v>15</v>
      </c>
      <c r="BP228" s="150">
        <v>15</v>
      </c>
      <c r="BQ228" s="150">
        <v>15</v>
      </c>
      <c r="BR228" s="150">
        <v>20</v>
      </c>
      <c r="BS228" s="150">
        <v>20</v>
      </c>
      <c r="BT228" s="150">
        <v>25</v>
      </c>
      <c r="BU228" s="150">
        <v>25</v>
      </c>
      <c r="BW228" s="158" t="s">
        <v>779</v>
      </c>
      <c r="BX228" s="154">
        <v>0</v>
      </c>
      <c r="BY228" s="154">
        <v>5</v>
      </c>
      <c r="BZ228" s="154">
        <v>5</v>
      </c>
      <c r="CA228" s="154">
        <v>10</v>
      </c>
      <c r="CB228" s="154">
        <v>10</v>
      </c>
      <c r="CC228" s="154">
        <v>15</v>
      </c>
      <c r="CD228" s="154">
        <v>15</v>
      </c>
      <c r="CE228" s="154">
        <v>20</v>
      </c>
      <c r="CF228" s="154">
        <v>20</v>
      </c>
      <c r="CG228" s="154">
        <v>25</v>
      </c>
      <c r="CH228" s="154">
        <v>25</v>
      </c>
      <c r="CI228" s="154">
        <v>30</v>
      </c>
      <c r="CJ228" s="154">
        <v>30</v>
      </c>
      <c r="DA228" s="157"/>
    </row>
    <row r="229" spans="1:105" x14ac:dyDescent="0.25">
      <c r="A229" s="8"/>
      <c r="B229" s="5" t="s">
        <v>116</v>
      </c>
      <c r="C229" s="8"/>
      <c r="D229" s="6" t="s">
        <v>788</v>
      </c>
      <c r="E229" s="8" t="s">
        <v>1157</v>
      </c>
      <c r="F229" s="39" t="s">
        <v>790</v>
      </c>
      <c r="G229" s="9"/>
      <c r="H229" s="9"/>
      <c r="I229" s="9"/>
      <c r="J229" s="9"/>
      <c r="K229" s="9"/>
      <c r="L229" s="6" t="s">
        <v>616</v>
      </c>
      <c r="M229" s="11">
        <f>INDEX(cennik!$C$2:$L$531,MATCH($L229,cennik!$B$2:$B$524,0),MATCH(M$2,cennik!$C$1:$L$1,0))</f>
        <v>731305</v>
      </c>
      <c r="N229" s="11" t="str">
        <f>INDEX(cennik!$C$2:$L$531,MATCH($L229,cennik!$B$2:$B$524,0),MATCH(N$2,cennik!$C$1:$L$1,0))</f>
        <v>szt.</v>
      </c>
      <c r="O229" s="11">
        <f>O230*2</f>
        <v>0</v>
      </c>
      <c r="P229" s="34">
        <f>INDEX(cennik!$C$2:$L$531,MATCH($L229,cennik!$B$2:$B$524,0),MATCH(P$2,cennik!$C$1:$L$1,0))</f>
        <v>5.12</v>
      </c>
      <c r="Q229" s="34">
        <f t="shared" si="508"/>
        <v>0</v>
      </c>
      <c r="R229" s="35">
        <f t="shared" si="502"/>
        <v>0</v>
      </c>
      <c r="S229" s="34">
        <f t="shared" si="503"/>
        <v>5.12</v>
      </c>
      <c r="T229" s="34">
        <f t="shared" si="509"/>
        <v>0</v>
      </c>
      <c r="U229" s="34">
        <f>INDEX(cennik!$C$2:$L$531,MATCH($L229,cennik!$B$2:$B$524,0),MATCH(U$2,cennik!$C$1:$L$1,0))*O229</f>
        <v>0</v>
      </c>
      <c r="W229" s="150"/>
      <c r="X229" s="150"/>
      <c r="Y229" s="150"/>
      <c r="Z229" s="150"/>
      <c r="AA229" s="150"/>
      <c r="AB229" s="150"/>
      <c r="AC229" s="150"/>
      <c r="AD229" s="150"/>
      <c r="AE229" s="150"/>
      <c r="AF229" s="150"/>
      <c r="AR229" s="154" t="s">
        <v>713</v>
      </c>
      <c r="AS229" s="154" t="s">
        <v>592</v>
      </c>
      <c r="AT229" s="154" t="s">
        <v>151</v>
      </c>
      <c r="AU229" s="154" t="s">
        <v>151</v>
      </c>
      <c r="AV229" s="154" t="s">
        <v>151</v>
      </c>
      <c r="BH229" s="155"/>
      <c r="BI229" s="150"/>
      <c r="BJ229" s="150"/>
      <c r="BK229" s="150"/>
      <c r="BL229" s="150"/>
      <c r="BM229" s="150"/>
      <c r="BN229" s="150"/>
      <c r="BO229" s="150"/>
      <c r="BP229" s="150"/>
      <c r="BQ229" s="150"/>
      <c r="BR229" s="150"/>
      <c r="BS229" s="150"/>
      <c r="BT229" s="150"/>
      <c r="BU229" s="150"/>
      <c r="DA229" s="157"/>
    </row>
    <row r="230" spans="1:105" x14ac:dyDescent="0.25">
      <c r="A230" s="8"/>
      <c r="B230" s="5" t="s">
        <v>116</v>
      </c>
      <c r="C230" s="8"/>
      <c r="D230" s="6" t="s">
        <v>752</v>
      </c>
      <c r="E230" s="59" t="str">
        <f>INDEX((AS209:AW211),MATCH(E228,AR209:AR211,0),MATCH(E229,AS208:AW208,0))</f>
        <v>DŁUGOŚĆ MODUŁU+50mm</v>
      </c>
      <c r="F230" s="9"/>
      <c r="G230" s="9"/>
      <c r="H230" s="9"/>
      <c r="I230" s="9"/>
      <c r="J230" s="29" t="s">
        <v>119</v>
      </c>
      <c r="K230" s="9"/>
      <c r="L230" s="6" t="s">
        <v>695</v>
      </c>
      <c r="M230" s="11">
        <f>INDEX(cennik!$C$2:$L$531,MATCH($L230,cennik!$B$2:$B$524,0),MATCH(M$2,cennik!$C$1:$L$1,0))</f>
        <v>650400</v>
      </c>
      <c r="N230" s="11" t="str">
        <f>INDEX(cennik!$C$2:$L$531,MATCH($L230,cennik!$B$2:$B$524,0),MATCH(N$2,cennik!$C$1:$L$1,0))</f>
        <v>szt.</v>
      </c>
      <c r="O230" s="11">
        <f>SUM(AD207:AD222)</f>
        <v>0</v>
      </c>
      <c r="P230" s="34">
        <f>INDEX(cennik!$C$2:$L$531,MATCH($L230,cennik!$B$2:$B$524,0),MATCH(P$2,cennik!$C$1:$L$1,0))</f>
        <v>14.53</v>
      </c>
      <c r="Q230" s="34">
        <f t="shared" si="508"/>
        <v>0</v>
      </c>
      <c r="R230" s="35">
        <f t="shared" si="502"/>
        <v>0</v>
      </c>
      <c r="S230" s="34">
        <f t="shared" si="503"/>
        <v>14.53</v>
      </c>
      <c r="T230" s="34">
        <f t="shared" si="509"/>
        <v>0</v>
      </c>
      <c r="U230" s="34">
        <f>INDEX(cennik!$C$2:$L$531,MATCH($L230,cennik!$B$2:$B$524,0),MATCH(U$2,cennik!$C$1:$L$1,0))*O230</f>
        <v>0</v>
      </c>
      <c r="W230" s="150"/>
      <c r="X230" s="150"/>
      <c r="Y230" s="150"/>
      <c r="Z230" s="150"/>
      <c r="AA230" s="150"/>
      <c r="AB230" s="150"/>
      <c r="AC230" s="150"/>
      <c r="AD230" s="150"/>
      <c r="AE230" s="150"/>
      <c r="AF230" s="150"/>
      <c r="AR230" s="154" t="s">
        <v>714</v>
      </c>
      <c r="AS230" s="154" t="s">
        <v>592</v>
      </c>
      <c r="AT230" s="154" t="s">
        <v>151</v>
      </c>
      <c r="AU230" s="154" t="s">
        <v>151</v>
      </c>
      <c r="AV230" s="154" t="s">
        <v>151</v>
      </c>
      <c r="BH230" s="155" t="s">
        <v>471</v>
      </c>
      <c r="BI230" s="150">
        <v>0</v>
      </c>
      <c r="BJ230" s="150">
        <v>8</v>
      </c>
      <c r="BK230" s="150">
        <v>12</v>
      </c>
      <c r="BL230" s="150">
        <v>16</v>
      </c>
      <c r="BM230" s="150">
        <v>20</v>
      </c>
      <c r="BN230" s="150">
        <v>24</v>
      </c>
      <c r="BO230" s="150">
        <v>28</v>
      </c>
      <c r="BP230" s="150">
        <v>32</v>
      </c>
      <c r="BQ230" s="150">
        <v>36</v>
      </c>
      <c r="BR230" s="150">
        <v>40</v>
      </c>
      <c r="BS230" s="150">
        <v>44</v>
      </c>
      <c r="BT230" s="150">
        <v>48</v>
      </c>
      <c r="BU230" s="150">
        <v>52</v>
      </c>
      <c r="BW230" s="154" t="s">
        <v>479</v>
      </c>
      <c r="BX230" s="154">
        <v>0</v>
      </c>
      <c r="BY230" s="154">
        <v>8</v>
      </c>
      <c r="BZ230" s="154">
        <v>12</v>
      </c>
      <c r="CA230" s="154">
        <v>16</v>
      </c>
      <c r="CB230" s="154">
        <v>20</v>
      </c>
      <c r="CC230" s="154">
        <v>24</v>
      </c>
      <c r="CD230" s="154">
        <v>28</v>
      </c>
      <c r="CE230" s="154">
        <v>32</v>
      </c>
      <c r="CF230" s="154">
        <v>36</v>
      </c>
      <c r="CG230" s="154">
        <v>40</v>
      </c>
      <c r="CH230" s="154">
        <v>44</v>
      </c>
      <c r="CI230" s="154">
        <v>48</v>
      </c>
      <c r="CJ230" s="154">
        <v>52</v>
      </c>
      <c r="DA230" s="157"/>
    </row>
    <row r="231" spans="1:105" x14ac:dyDescent="0.25">
      <c r="A231" s="8"/>
      <c r="B231" s="5" t="s">
        <v>116</v>
      </c>
      <c r="C231" s="8"/>
      <c r="D231" s="6" t="str">
        <f>IF(E222=$AC$8,"długość śruby GSW","")</f>
        <v/>
      </c>
      <c r="E231" s="38">
        <v>1600</v>
      </c>
      <c r="F231" s="9"/>
      <c r="G231" s="9"/>
      <c r="H231" s="9"/>
      <c r="I231" s="9"/>
      <c r="J231" s="29" t="str">
        <f>IF(E222=$AC$8,"[mm]","")</f>
        <v/>
      </c>
      <c r="K231" s="9"/>
      <c r="L231" s="6" t="s">
        <v>694</v>
      </c>
      <c r="M231" s="11">
        <f>INDEX(cennik!$C$2:$L$531,MATCH($L231,cennik!$B$2:$B$524,0),MATCH(M$2,cennik!$C$1:$L$1,0))</f>
        <v>6500451</v>
      </c>
      <c r="N231" s="11" t="str">
        <f>INDEX(cennik!$C$2:$L$531,MATCH($L231,cennik!$B$2:$B$524,0),MATCH(N$2,cennik!$C$1:$L$1,0))</f>
        <v>100 szt.</v>
      </c>
      <c r="O231" s="11">
        <f>ROUNDUP((O229*2)/100,0)</f>
        <v>0</v>
      </c>
      <c r="P231" s="34">
        <f>INDEX(cennik!$C$2:$L$531,MATCH($L231,cennik!$B$2:$B$524,0),MATCH(P$2,cennik!$C$1:$L$1,0))</f>
        <v>14.29</v>
      </c>
      <c r="Q231" s="34">
        <f t="shared" si="508"/>
        <v>0</v>
      </c>
      <c r="R231" s="35">
        <f t="shared" si="502"/>
        <v>0</v>
      </c>
      <c r="S231" s="34">
        <f t="shared" si="503"/>
        <v>14.29</v>
      </c>
      <c r="T231" s="34">
        <f t="shared" si="509"/>
        <v>0</v>
      </c>
      <c r="U231" s="34">
        <f>INDEX(cennik!$C$2:$L$531,MATCH($L231,cennik!$B$2:$B$524,0),MATCH(U$2,cennik!$C$1:$L$1,0))*O231</f>
        <v>0</v>
      </c>
      <c r="W231" s="150"/>
      <c r="X231" s="150"/>
      <c r="Y231" s="150"/>
      <c r="Z231" s="150"/>
      <c r="AA231" s="150"/>
      <c r="AB231" s="150"/>
      <c r="AC231" s="150"/>
      <c r="AD231" s="150"/>
      <c r="AE231" s="150"/>
      <c r="AF231" s="150"/>
      <c r="AR231" s="154" t="s">
        <v>715</v>
      </c>
      <c r="AS231" s="154" t="s">
        <v>592</v>
      </c>
      <c r="AT231" s="154" t="s">
        <v>151</v>
      </c>
      <c r="AU231" s="154" t="s">
        <v>151</v>
      </c>
      <c r="AV231" s="154" t="s">
        <v>151</v>
      </c>
      <c r="BH231" s="155" t="s">
        <v>586</v>
      </c>
      <c r="BI231" s="150">
        <v>0</v>
      </c>
      <c r="BJ231" s="150">
        <v>0</v>
      </c>
      <c r="BK231" s="150">
        <v>0</v>
      </c>
      <c r="BL231" s="150">
        <v>0</v>
      </c>
      <c r="BM231" s="150">
        <v>0</v>
      </c>
      <c r="BN231" s="150">
        <v>0</v>
      </c>
      <c r="BO231" s="150">
        <v>0</v>
      </c>
      <c r="BP231" s="150">
        <v>0</v>
      </c>
      <c r="BQ231" s="150">
        <v>0</v>
      </c>
      <c r="BR231" s="150">
        <v>0</v>
      </c>
      <c r="BS231" s="150">
        <v>0</v>
      </c>
      <c r="BT231" s="150">
        <v>0</v>
      </c>
      <c r="BU231" s="150">
        <v>0</v>
      </c>
      <c r="BW231" s="154" t="s">
        <v>586</v>
      </c>
      <c r="BX231" s="154">
        <v>0</v>
      </c>
      <c r="BY231" s="154">
        <v>5</v>
      </c>
      <c r="BZ231" s="154">
        <v>0</v>
      </c>
      <c r="CA231" s="154">
        <v>0</v>
      </c>
      <c r="CB231" s="154">
        <v>0</v>
      </c>
      <c r="CC231" s="154">
        <v>0</v>
      </c>
      <c r="CD231" s="154">
        <v>0</v>
      </c>
      <c r="CE231" s="154">
        <v>0</v>
      </c>
      <c r="CF231" s="154">
        <v>0</v>
      </c>
      <c r="CG231" s="154">
        <v>0</v>
      </c>
      <c r="CH231" s="154">
        <v>0</v>
      </c>
      <c r="CI231" s="154">
        <v>0</v>
      </c>
      <c r="CJ231" s="154">
        <v>0</v>
      </c>
      <c r="DA231" s="157"/>
    </row>
    <row r="232" spans="1:105" x14ac:dyDescent="0.25">
      <c r="A232" s="8"/>
      <c r="B232" s="5" t="s">
        <v>116</v>
      </c>
      <c r="C232" s="8"/>
      <c r="D232" s="40" t="s">
        <v>795</v>
      </c>
      <c r="E232" s="9"/>
      <c r="F232" s="9"/>
      <c r="G232" s="9"/>
      <c r="H232" s="9"/>
      <c r="I232" s="9"/>
      <c r="J232" s="9"/>
      <c r="K232" s="9"/>
      <c r="L232" s="6" t="s">
        <v>1111</v>
      </c>
      <c r="M232" s="11">
        <f>INDEX(cennik!$C$2:$L$531,MATCH($L232,cennik!$B$2:$B$524,0),MATCH(M$2,cennik!$C$1:$L$1,0))</f>
        <v>850252</v>
      </c>
      <c r="N232" s="11" t="str">
        <f>INDEX(cennik!$C$2:$L$531,MATCH($L232,cennik!$B$2:$B$524,0),MATCH(N$2,cennik!$C$1:$L$1,0))</f>
        <v>szt.</v>
      </c>
      <c r="O232" s="11">
        <f>O222+O228</f>
        <v>0</v>
      </c>
      <c r="P232" s="34">
        <f>INDEX(cennik!$C$2:$L$531,MATCH($L232,cennik!$B$2:$B$524,0),MATCH(P$2,cennik!$C$1:$L$1,0))</f>
        <v>6.06</v>
      </c>
      <c r="Q232" s="34">
        <f t="shared" si="508"/>
        <v>0</v>
      </c>
      <c r="R232" s="35">
        <f t="shared" si="502"/>
        <v>0</v>
      </c>
      <c r="S232" s="34">
        <f t="shared" si="503"/>
        <v>6.06</v>
      </c>
      <c r="T232" s="34">
        <f t="shared" si="509"/>
        <v>0</v>
      </c>
      <c r="U232" s="34">
        <f>INDEX(cennik!$C$2:$L$531,MATCH($L232,cennik!$B$2:$B$524,0),MATCH(U$2,cennik!$C$1:$L$1,0))*O232</f>
        <v>0</v>
      </c>
      <c r="W232" s="150"/>
      <c r="X232" s="150"/>
      <c r="Y232" s="150"/>
      <c r="Z232" s="150"/>
      <c r="AA232" s="150"/>
      <c r="AB232" s="150"/>
      <c r="AC232" s="150"/>
      <c r="AD232" s="150"/>
      <c r="AE232" s="150"/>
      <c r="AF232" s="150"/>
      <c r="BH232" s="155" t="s">
        <v>522</v>
      </c>
      <c r="BI232" s="150">
        <v>0</v>
      </c>
      <c r="BJ232" s="150">
        <v>5</v>
      </c>
      <c r="BK232" s="150">
        <v>0</v>
      </c>
      <c r="BL232" s="150">
        <v>10</v>
      </c>
      <c r="BM232" s="150">
        <v>0</v>
      </c>
      <c r="BN232" s="150">
        <v>10</v>
      </c>
      <c r="BO232" s="150">
        <v>5</v>
      </c>
      <c r="BP232" s="150">
        <v>15</v>
      </c>
      <c r="BQ232" s="150">
        <v>20</v>
      </c>
      <c r="BR232" s="150">
        <v>15</v>
      </c>
      <c r="BS232" s="150">
        <v>25</v>
      </c>
      <c r="BT232" s="150">
        <v>20</v>
      </c>
      <c r="BU232" s="150">
        <v>30</v>
      </c>
      <c r="BW232" s="154" t="s">
        <v>522</v>
      </c>
      <c r="BX232" s="154">
        <v>0</v>
      </c>
      <c r="BY232" s="154">
        <v>0</v>
      </c>
      <c r="BZ232" s="154">
        <v>5</v>
      </c>
      <c r="CA232" s="154">
        <v>0</v>
      </c>
      <c r="CB232" s="154">
        <v>10</v>
      </c>
      <c r="CC232" s="154">
        <v>5</v>
      </c>
      <c r="CD232" s="154">
        <v>15</v>
      </c>
      <c r="CE232" s="154">
        <v>10</v>
      </c>
      <c r="CF232" s="154">
        <v>20</v>
      </c>
      <c r="CG232" s="154">
        <v>15</v>
      </c>
      <c r="CH232" s="154">
        <v>25</v>
      </c>
      <c r="CI232" s="154">
        <v>20</v>
      </c>
      <c r="CJ232" s="154">
        <v>30</v>
      </c>
      <c r="DA232" s="157"/>
    </row>
    <row r="233" spans="1:105" x14ac:dyDescent="0.25">
      <c r="A233" s="8"/>
      <c r="B233" s="5" t="s">
        <v>116</v>
      </c>
      <c r="C233" s="8"/>
      <c r="D233" s="40" t="s">
        <v>796</v>
      </c>
      <c r="E233" s="9"/>
      <c r="F233" s="9"/>
      <c r="G233" s="9"/>
      <c r="H233" s="9"/>
      <c r="I233" s="9"/>
      <c r="J233" s="9"/>
      <c r="K233" s="9"/>
      <c r="L233" s="6" t="s">
        <v>586</v>
      </c>
      <c r="M233" s="11">
        <f>INDEX(cennik!$C$2:$L$531,MATCH($L233,cennik!$B$2:$B$524,0),MATCH(M$2,cennik!$C$1:$L$1,0))</f>
        <v>867566</v>
      </c>
      <c r="N233" s="11" t="str">
        <f>INDEX(cennik!$C$2:$L$531,MATCH($L233,cennik!$B$2:$B$524,0),MATCH(N$2,cennik!$C$1:$L$1,0))</f>
        <v>szt.</v>
      </c>
      <c r="O233" s="11">
        <f>SUM(X209:X224)</f>
        <v>0</v>
      </c>
      <c r="P233" s="34">
        <f>INDEX(cennik!$C$2:$L$531,MATCH($L233,cennik!$B$2:$B$524,0),MATCH(P$2,cennik!$C$1:$L$1,0))</f>
        <v>265.20999999999998</v>
      </c>
      <c r="Q233" s="34">
        <f t="shared" ref="Q233" si="510">O233*P233</f>
        <v>0</v>
      </c>
      <c r="R233" s="35">
        <f t="shared" si="502"/>
        <v>0</v>
      </c>
      <c r="S233" s="34">
        <f t="shared" si="503"/>
        <v>265.20999999999998</v>
      </c>
      <c r="T233" s="34">
        <f t="shared" ref="T233" si="511">O233*S233</f>
        <v>0</v>
      </c>
      <c r="U233" s="34">
        <f>INDEX(cennik!$C$2:$L$531,MATCH($L233,cennik!$B$2:$B$524,0),MATCH(U$2,cennik!$C$1:$L$1,0))*O233</f>
        <v>0</v>
      </c>
      <c r="W233" s="150"/>
      <c r="X233" s="150"/>
      <c r="Y233" s="150"/>
      <c r="Z233" s="150"/>
      <c r="AA233" s="150"/>
      <c r="AB233" s="150"/>
      <c r="AC233" s="150"/>
      <c r="AD233" s="150"/>
      <c r="AE233" s="150"/>
      <c r="AF233" s="150"/>
      <c r="AK233" s="154" t="s">
        <v>314</v>
      </c>
      <c r="AL233" s="154" t="s">
        <v>312</v>
      </c>
      <c r="AM233" s="154" t="s">
        <v>309</v>
      </c>
      <c r="AN233" s="154" t="s">
        <v>313</v>
      </c>
      <c r="AP233" s="154" t="s">
        <v>753</v>
      </c>
      <c r="BH233" s="155" t="s">
        <v>523</v>
      </c>
      <c r="BI233" s="150">
        <v>0</v>
      </c>
      <c r="BJ233" s="150">
        <v>0</v>
      </c>
      <c r="BK233" s="150">
        <v>10</v>
      </c>
      <c r="BL233" s="150">
        <v>0</v>
      </c>
      <c r="BM233" s="150">
        <v>15</v>
      </c>
      <c r="BN233" s="150">
        <v>5</v>
      </c>
      <c r="BO233" s="150">
        <v>15</v>
      </c>
      <c r="BP233" s="150">
        <v>5</v>
      </c>
      <c r="BQ233" s="150">
        <v>0</v>
      </c>
      <c r="BR233" s="150">
        <v>10</v>
      </c>
      <c r="BS233" s="150">
        <v>0</v>
      </c>
      <c r="BT233" s="150">
        <v>10</v>
      </c>
      <c r="BU233" s="150">
        <v>0</v>
      </c>
      <c r="BW233" s="154" t="s">
        <v>523</v>
      </c>
      <c r="BX233" s="154">
        <v>0</v>
      </c>
      <c r="BY233" s="154">
        <v>0</v>
      </c>
      <c r="BZ233" s="154">
        <v>5</v>
      </c>
      <c r="CA233" s="154">
        <v>15</v>
      </c>
      <c r="CB233" s="154">
        <v>5</v>
      </c>
      <c r="CC233" s="154">
        <v>15</v>
      </c>
      <c r="CD233" s="154">
        <v>5</v>
      </c>
      <c r="CE233" s="154">
        <v>15</v>
      </c>
      <c r="CF233" s="154">
        <v>5</v>
      </c>
      <c r="CG233" s="154">
        <v>15</v>
      </c>
      <c r="CH233" s="154">
        <v>5</v>
      </c>
      <c r="CI233" s="154">
        <v>15</v>
      </c>
      <c r="CJ233" s="154">
        <v>5</v>
      </c>
      <c r="DA233" s="157"/>
    </row>
    <row r="234" spans="1:105" x14ac:dyDescent="0.25">
      <c r="A234" s="8"/>
      <c r="B234" s="5" t="s">
        <v>116</v>
      </c>
      <c r="C234" s="8"/>
      <c r="D234" s="40" t="s">
        <v>797</v>
      </c>
      <c r="E234" s="9"/>
      <c r="F234" s="9"/>
      <c r="G234" s="9"/>
      <c r="H234" s="9"/>
      <c r="I234" s="9"/>
      <c r="J234" s="9"/>
      <c r="K234" s="9"/>
      <c r="L234" s="6" t="s">
        <v>522</v>
      </c>
      <c r="M234" s="11">
        <f>INDEX(cennik!$C$2:$L$531,MATCH($L234,cennik!$B$2:$B$524,0),MATCH(M$2,cennik!$C$1:$L$1,0))</f>
        <v>867644</v>
      </c>
      <c r="N234" s="11" t="str">
        <f>INDEX(cennik!$C$2:$L$531,MATCH($L234,cennik!$B$2:$B$524,0),MATCH(N$2,cennik!$C$1:$L$1,0))</f>
        <v>szt.</v>
      </c>
      <c r="O234" s="11">
        <f>SUM(Y209:Y224)</f>
        <v>0</v>
      </c>
      <c r="P234" s="34">
        <f>INDEX(cennik!$C$2:$L$531,MATCH($L234,cennik!$B$2:$B$524,0),MATCH(P$2,cennik!$C$1:$L$1,0))</f>
        <v>176.8</v>
      </c>
      <c r="Q234" s="34">
        <f t="shared" ref="Q234:Q247" si="512">O234*P234</f>
        <v>0</v>
      </c>
      <c r="R234" s="35">
        <f t="shared" si="502"/>
        <v>0</v>
      </c>
      <c r="S234" s="34">
        <f t="shared" si="503"/>
        <v>176.8</v>
      </c>
      <c r="T234" s="34">
        <f t="shared" ref="T234:T247" si="513">O234*S234</f>
        <v>0</v>
      </c>
      <c r="U234" s="34">
        <f>INDEX(cennik!$C$2:$L$531,MATCH($L234,cennik!$B$2:$B$524,0),MATCH(U$2,cennik!$C$1:$L$1,0))*O234</f>
        <v>0</v>
      </c>
      <c r="W234" s="150"/>
      <c r="X234" s="150"/>
      <c r="Y234" s="150"/>
      <c r="Z234" s="150"/>
      <c r="AA234" s="150"/>
      <c r="AB234" s="150"/>
      <c r="AC234" s="150"/>
      <c r="AD234" s="150"/>
      <c r="AE234" s="150"/>
      <c r="AF234" s="150"/>
      <c r="AJ234" s="154">
        <v>25</v>
      </c>
      <c r="AK234" s="154" t="s">
        <v>754</v>
      </c>
      <c r="AL234" s="154" t="s">
        <v>756</v>
      </c>
      <c r="AM234" s="154" t="s">
        <v>758</v>
      </c>
      <c r="AN234" s="154" t="s">
        <v>760</v>
      </c>
      <c r="AP234" s="154" t="s">
        <v>717</v>
      </c>
      <c r="AQ234" s="154" t="s">
        <v>1157</v>
      </c>
      <c r="AR234" s="154">
        <v>2</v>
      </c>
      <c r="AS234" s="154" t="s">
        <v>1022</v>
      </c>
      <c r="AT234" s="154">
        <v>4</v>
      </c>
      <c r="AU234" s="154">
        <v>5</v>
      </c>
      <c r="BH234" s="158" t="s">
        <v>779</v>
      </c>
      <c r="BI234" s="150">
        <v>0</v>
      </c>
      <c r="BJ234" s="150">
        <v>0</v>
      </c>
      <c r="BK234" s="150">
        <v>5</v>
      </c>
      <c r="BL234" s="150">
        <v>5</v>
      </c>
      <c r="BM234" s="150">
        <v>10</v>
      </c>
      <c r="BN234" s="150">
        <v>10</v>
      </c>
      <c r="BO234" s="150">
        <v>15</v>
      </c>
      <c r="BP234" s="150">
        <v>15</v>
      </c>
      <c r="BQ234" s="150">
        <v>15</v>
      </c>
      <c r="BR234" s="150">
        <v>20</v>
      </c>
      <c r="BS234" s="150">
        <v>20</v>
      </c>
      <c r="BT234" s="150">
        <v>25</v>
      </c>
      <c r="BU234" s="150">
        <v>25</v>
      </c>
      <c r="BW234" s="158" t="s">
        <v>779</v>
      </c>
      <c r="BX234" s="154">
        <v>0</v>
      </c>
      <c r="BY234" s="154">
        <v>0</v>
      </c>
      <c r="BZ234" s="154">
        <v>5</v>
      </c>
      <c r="CA234" s="154">
        <v>10</v>
      </c>
      <c r="CB234" s="154">
        <v>10</v>
      </c>
      <c r="CC234" s="154">
        <v>15</v>
      </c>
      <c r="CD234" s="154">
        <v>15</v>
      </c>
      <c r="CE234" s="154">
        <v>20</v>
      </c>
      <c r="CF234" s="154">
        <v>20</v>
      </c>
      <c r="CG234" s="154">
        <v>25</v>
      </c>
      <c r="CH234" s="154">
        <v>25</v>
      </c>
      <c r="CI234" s="154">
        <v>30</v>
      </c>
      <c r="CJ234" s="154">
        <v>30</v>
      </c>
      <c r="DA234" s="157"/>
    </row>
    <row r="235" spans="1:105" ht="15.75" thickBot="1" x14ac:dyDescent="0.3">
      <c r="A235" s="9"/>
      <c r="B235" s="6"/>
      <c r="C235" s="9"/>
      <c r="D235" s="40" t="s">
        <v>798</v>
      </c>
      <c r="E235" s="9"/>
      <c r="F235" s="9"/>
      <c r="G235" s="9"/>
      <c r="H235" s="9"/>
      <c r="I235" s="9"/>
      <c r="J235" s="9"/>
      <c r="K235" s="9"/>
      <c r="L235" s="6" t="s">
        <v>523</v>
      </c>
      <c r="M235" s="11">
        <f>INDEX(cennik!$C$2:$L$531,MATCH($L235,cennik!$B$2:$B$524,0),MATCH(M$2,cennik!$C$1:$L$1,0))</f>
        <v>867633</v>
      </c>
      <c r="N235" s="11" t="str">
        <f>INDEX(cennik!$C$2:$L$531,MATCH($L235,cennik!$B$2:$B$524,0),MATCH(N$2,cennik!$C$1:$L$1,0))</f>
        <v>szt.</v>
      </c>
      <c r="O235" s="11">
        <f>SUM(Z209:Z224)</f>
        <v>0</v>
      </c>
      <c r="P235" s="34">
        <f>INDEX(cennik!$C$2:$L$531,MATCH($L235,cennik!$B$2:$B$524,0),MATCH(P$2,cennik!$C$1:$L$1,0))</f>
        <v>132.6</v>
      </c>
      <c r="Q235" s="34">
        <f t="shared" si="512"/>
        <v>0</v>
      </c>
      <c r="R235" s="35">
        <f t="shared" si="502"/>
        <v>0</v>
      </c>
      <c r="S235" s="34">
        <f t="shared" si="503"/>
        <v>132.6</v>
      </c>
      <c r="T235" s="34">
        <f t="shared" si="513"/>
        <v>0</v>
      </c>
      <c r="U235" s="34">
        <f>INDEX(cennik!$C$2:$L$531,MATCH($L235,cennik!$B$2:$B$524,0),MATCH(U$2,cennik!$C$1:$L$1,0))*O235</f>
        <v>0</v>
      </c>
      <c r="AJ235" s="154">
        <v>30</v>
      </c>
      <c r="AK235" s="154" t="s">
        <v>755</v>
      </c>
      <c r="AL235" s="154" t="s">
        <v>757</v>
      </c>
      <c r="AM235" s="154" t="s">
        <v>759</v>
      </c>
      <c r="AN235" s="154" t="s">
        <v>761</v>
      </c>
      <c r="AP235" s="154">
        <v>1</v>
      </c>
      <c r="AQ235" s="154" t="s">
        <v>775</v>
      </c>
      <c r="AR235" s="154" t="s">
        <v>775</v>
      </c>
      <c r="AS235" s="154" t="s">
        <v>775</v>
      </c>
      <c r="AT235" s="154" t="s">
        <v>775</v>
      </c>
      <c r="AU235" s="154" t="s">
        <v>719</v>
      </c>
      <c r="BH235" s="179"/>
      <c r="BI235" s="164"/>
      <c r="BJ235" s="164"/>
      <c r="BK235" s="164"/>
      <c r="BL235" s="164"/>
      <c r="BM235" s="164"/>
      <c r="BN235" s="164"/>
      <c r="BO235" s="164"/>
      <c r="BP235" s="164"/>
      <c r="BQ235" s="164"/>
      <c r="BR235" s="164"/>
      <c r="BS235" s="164"/>
      <c r="BT235" s="164"/>
      <c r="BU235" s="164"/>
      <c r="BV235" s="164"/>
      <c r="BW235" s="164"/>
      <c r="BX235" s="164"/>
      <c r="BY235" s="164"/>
      <c r="BZ235" s="164"/>
      <c r="CA235" s="164"/>
      <c r="CB235" s="164"/>
      <c r="CC235" s="164"/>
      <c r="CD235" s="164"/>
      <c r="CE235" s="164"/>
      <c r="CF235" s="164"/>
      <c r="CG235" s="164"/>
      <c r="CH235" s="164"/>
      <c r="CI235" s="164"/>
      <c r="CJ235" s="164"/>
      <c r="CK235" s="164"/>
      <c r="CL235" s="164"/>
      <c r="CM235" s="164"/>
      <c r="CN235" s="164"/>
      <c r="CO235" s="164"/>
      <c r="CP235" s="164"/>
      <c r="CQ235" s="164"/>
      <c r="CR235" s="164"/>
      <c r="CS235" s="164"/>
      <c r="CT235" s="164"/>
      <c r="CU235" s="164"/>
      <c r="CV235" s="164"/>
      <c r="CW235" s="164"/>
      <c r="CX235" s="164"/>
      <c r="CY235" s="164"/>
      <c r="CZ235" s="164"/>
      <c r="DA235" s="165"/>
    </row>
    <row r="236" spans="1:105" x14ac:dyDescent="0.25">
      <c r="A236" s="1"/>
      <c r="B236" s="1"/>
      <c r="C236" s="1"/>
      <c r="D236" s="9"/>
      <c r="E236" s="9"/>
      <c r="F236" s="9"/>
      <c r="G236" s="9"/>
      <c r="H236" s="9"/>
      <c r="I236" s="9"/>
      <c r="J236" s="9"/>
      <c r="K236" s="9"/>
      <c r="L236" s="6" t="s">
        <v>779</v>
      </c>
      <c r="M236" s="11">
        <f>INDEX(cennik!$C$2:$L$531,MATCH($L236,cennik!$B$2:$B$524,0),MATCH(M$2,cennik!$C$1:$L$1,0))</f>
        <v>856105</v>
      </c>
      <c r="N236" s="11" t="str">
        <f>INDEX(cennik!$C$2:$L$531,MATCH($L236,cennik!$B$2:$B$524,0),MATCH(N$2,cennik!$C$1:$L$1,0))</f>
        <v>szt.</v>
      </c>
      <c r="O236" s="11">
        <f>SUM(W209:W224)</f>
        <v>0</v>
      </c>
      <c r="P236" s="34">
        <f>INDEX(cennik!$C$2:$L$531,MATCH($L236,cennik!$B$2:$B$524,0),MATCH(P$2,cennik!$C$1:$L$1,0))</f>
        <v>21.81</v>
      </c>
      <c r="Q236" s="34">
        <f t="shared" si="512"/>
        <v>0</v>
      </c>
      <c r="R236" s="35">
        <f t="shared" si="502"/>
        <v>0</v>
      </c>
      <c r="S236" s="34">
        <f t="shared" si="503"/>
        <v>21.81</v>
      </c>
      <c r="T236" s="34">
        <f t="shared" si="513"/>
        <v>0</v>
      </c>
      <c r="U236" s="34">
        <f>INDEX(cennik!$C$2:$L$531,MATCH($L236,cennik!$B$2:$B$524,0),MATCH(U$2,cennik!$C$1:$L$1,0))*O236</f>
        <v>0</v>
      </c>
      <c r="AP236" s="154">
        <v>2</v>
      </c>
      <c r="AQ236" s="154" t="s">
        <v>719</v>
      </c>
      <c r="AR236" s="154" t="s">
        <v>775</v>
      </c>
      <c r="AS236" s="154" t="s">
        <v>775</v>
      </c>
      <c r="AT236" s="154" t="s">
        <v>719</v>
      </c>
      <c r="AU236" s="154" t="s">
        <v>719</v>
      </c>
    </row>
    <row r="237" spans="1:105" x14ac:dyDescent="0.2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6" t="str">
        <f>INDEX(($AH$3:$AI$12),MATCH(I220,$AG$3:$AG$12,0),MATCH(E221,$AH$2:$AI$2,0))</f>
        <v>BUF30</v>
      </c>
      <c r="M237" s="11">
        <f>INDEX(cennik!$C$2:$L$531,MATCH($L237,cennik!$B$2:$B$524,0),MATCH(M$2,cennik!$C$1:$L$1,0))</f>
        <v>897330</v>
      </c>
      <c r="N237" s="11" t="str">
        <f>INDEX(cennik!$C$2:$L$531,MATCH($L237,cennik!$B$2:$B$524,0),MATCH(N$2,cennik!$C$1:$L$1,0))</f>
        <v>szt.</v>
      </c>
      <c r="O237" s="11">
        <f>SUM((A219*C219),(A220*C220),(A221*C221),(A222*C222),(A223*C223),(A224*C224),(A225*C225),(A226*C226),(A227*C227),(A228*C228),(A229*C229),(A230*C230),(A231*C231),(A232*C232),(A233*C233),(A234*C234))</f>
        <v>0</v>
      </c>
      <c r="P237" s="34">
        <f>INDEX(cennik!$C$2:$L$531,MATCH($L237,cennik!$B$2:$B$524,0),MATCH(P$2,cennik!$C$1:$L$1,0))</f>
        <v>1.92</v>
      </c>
      <c r="Q237" s="34">
        <f t="shared" si="512"/>
        <v>0</v>
      </c>
      <c r="R237" s="35">
        <f t="shared" si="502"/>
        <v>0</v>
      </c>
      <c r="S237" s="34">
        <f t="shared" si="503"/>
        <v>1.92</v>
      </c>
      <c r="T237" s="34">
        <f t="shared" si="513"/>
        <v>0</v>
      </c>
      <c r="U237" s="34">
        <f>INDEX(cennik!$C$2:$L$531,MATCH($L237,cennik!$B$2:$B$524,0),MATCH(U$2,cennik!$C$1:$L$1,0))*O237</f>
        <v>0</v>
      </c>
      <c r="AP237" s="154" t="s">
        <v>725</v>
      </c>
      <c r="AQ237" s="154" t="s">
        <v>775</v>
      </c>
      <c r="AR237" s="154" t="s">
        <v>719</v>
      </c>
      <c r="AS237" s="154" t="s">
        <v>775</v>
      </c>
      <c r="AT237" s="154" t="s">
        <v>719</v>
      </c>
      <c r="AU237" s="154" t="s">
        <v>741</v>
      </c>
    </row>
    <row r="238" spans="1:105" x14ac:dyDescent="0.2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6" t="str">
        <f>INDEX(($AH$13:$AI$13),1,MATCH(E221,$AH$2:$AI$2,0))</f>
        <v>PUF</v>
      </c>
      <c r="M238" s="11">
        <f>INDEX(cennik!$C$2:$L$531,MATCH($L238,cennik!$B$2:$B$524,0),MATCH(M$2,cennik!$C$1:$L$1,0))</f>
        <v>897300</v>
      </c>
      <c r="N238" s="11" t="str">
        <f>INDEX(cennik!$C$2:$L$531,MATCH($L238,cennik!$B$2:$B$524,0),MATCH(N$2,cennik!$C$1:$L$1,0))</f>
        <v>szt.</v>
      </c>
      <c r="O238" s="11">
        <f>SUM(((A219/4)*6)*C219,((A220/4)*6)*C220,((A221/4)*6)*C221,((A222/4)*6)*C222,((A223/4)*6)*C223,((A224/4)*6)*C224,((A225/4)*6)*C225,((A226/4)*6)*C226,((A227/4)*6)*C227,((A228/4)*6)*C228,((A229/4)*6)*C229,((A230/4)*6)*C230,((A231/4)*6)*C231,((A232/4)*6)*C232,((A233/4)*6)*C233,((A234/4)*6)*C234)</f>
        <v>0</v>
      </c>
      <c r="P238" s="34">
        <f>INDEX(cennik!$C$2:$L$531,MATCH($L238,cennik!$B$2:$B$524,0),MATCH(P$2,cennik!$C$1:$L$1,0))</f>
        <v>2.06</v>
      </c>
      <c r="Q238" s="34">
        <f t="shared" si="512"/>
        <v>0</v>
      </c>
      <c r="R238" s="35">
        <f t="shared" si="502"/>
        <v>0</v>
      </c>
      <c r="S238" s="34">
        <f t="shared" si="503"/>
        <v>2.06</v>
      </c>
      <c r="T238" s="34">
        <f t="shared" si="513"/>
        <v>0</v>
      </c>
      <c r="U238" s="34">
        <f>INDEX(cennik!$C$2:$L$531,MATCH($L238,cennik!$B$2:$B$524,0),MATCH(U$2,cennik!$C$1:$L$1,0))*O238</f>
        <v>0</v>
      </c>
    </row>
    <row r="239" spans="1:105" x14ac:dyDescent="0.25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6" t="str">
        <f>INDEX(($AJ$3:$AJ$12),MATCH(I220,$AG$3:$AG$12,0),1)</f>
        <v>SAM8X25E</v>
      </c>
      <c r="M239" s="11">
        <f>INDEX(cennik!$C$2:$L$531,MATCH($L239,cennik!$B$2:$B$524,0),MATCH(M$2,cennik!$C$1:$L$1,0))</f>
        <v>898525</v>
      </c>
      <c r="N239" s="11" t="str">
        <f>INDEX(cennik!$C$2:$L$531,MATCH($L239,cennik!$B$2:$B$524,0),MATCH(N$2,cennik!$C$1:$L$1,0))</f>
        <v>szt.</v>
      </c>
      <c r="O239" s="11">
        <f>SUM(O237:O238)</f>
        <v>0</v>
      </c>
      <c r="P239" s="34">
        <f>INDEX(cennik!$C$2:$L$531,MATCH($L239,cennik!$B$2:$B$524,0),MATCH(P$2,cennik!$C$1:$L$1,0))</f>
        <v>0.45</v>
      </c>
      <c r="Q239" s="34">
        <f t="shared" si="512"/>
        <v>0</v>
      </c>
      <c r="R239" s="35">
        <f t="shared" si="502"/>
        <v>0</v>
      </c>
      <c r="S239" s="34">
        <f t="shared" si="503"/>
        <v>0.45</v>
      </c>
      <c r="T239" s="34">
        <f t="shared" si="513"/>
        <v>0</v>
      </c>
      <c r="U239" s="34">
        <f>INDEX(cennik!$C$2:$L$531,MATCH($L239,cennik!$B$2:$B$524,0),MATCH(U$2,cennik!$C$1:$L$1,0))*O239</f>
        <v>0</v>
      </c>
      <c r="X239" s="158" t="s">
        <v>18</v>
      </c>
      <c r="Y239" s="150" t="s">
        <v>217</v>
      </c>
      <c r="Z239" s="150" t="s">
        <v>216</v>
      </c>
      <c r="AA239" s="150" t="s">
        <v>17</v>
      </c>
      <c r="AD239" s="167" t="s">
        <v>693</v>
      </c>
      <c r="AE239" s="168" t="s">
        <v>318</v>
      </c>
      <c r="AG239" s="168" t="s">
        <v>776</v>
      </c>
      <c r="AP239" s="154" t="s">
        <v>791</v>
      </c>
      <c r="AV239" s="154" t="s">
        <v>792</v>
      </c>
    </row>
    <row r="240" spans="1:105" x14ac:dyDescent="0.25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6" t="s">
        <v>1019</v>
      </c>
      <c r="M240" s="11">
        <f>INDEX(cennik!$C$2:$L$531,MATCH($L240,cennik!$B$2:$B$524,0),MATCH(M$2,cennik!$C$1:$L$1,0))</f>
        <v>166794</v>
      </c>
      <c r="N240" s="11" t="str">
        <f>INDEX(cennik!$C$2:$L$531,MATCH($L240,cennik!$B$2:$B$524,0),MATCH(N$2,cennik!$C$1:$L$1,0))</f>
        <v>100 szt.</v>
      </c>
      <c r="O240" s="11">
        <f>ROUNDUP(O239/100,0)</f>
        <v>0</v>
      </c>
      <c r="P240" s="34">
        <f>INDEX(cennik!$C$2:$L$531,MATCH($L240,cennik!$B$2:$B$524,0),MATCH(P$2,cennik!$C$1:$L$1,0))</f>
        <v>3.95</v>
      </c>
      <c r="Q240" s="34">
        <f t="shared" si="512"/>
        <v>0</v>
      </c>
      <c r="R240" s="35">
        <f t="shared" si="502"/>
        <v>0</v>
      </c>
      <c r="S240" s="34">
        <f t="shared" si="503"/>
        <v>3.95</v>
      </c>
      <c r="T240" s="34">
        <f t="shared" si="513"/>
        <v>0</v>
      </c>
      <c r="U240" s="34">
        <f>INDEX(cennik!$C$2:$L$531,MATCH($L240,cennik!$B$2:$B$524,0),MATCH(U$2,cennik!$C$1:$L$1,0))*O240</f>
        <v>0</v>
      </c>
      <c r="W240" s="154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X240" s="170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Y240" s="170">
        <f>INDEX(($EL$188:$FI$192,$EL$196:$FI$200,$FL$188:$GI$192,$FL$196:$GI$200,$GS$188:$HP$192,$GS$195:$HP$199,$HT$188:$IQ$192,$HT$195:$IQ$199,$HT$202:$IQ$206),MATCH($L$264,$EK$188:$EK$192,0),MATCH(A254,$EL$187:$FI$187,0),MATCH($G$255,$AE$24:$AE$32,0))*C254</f>
        <v>0</v>
      </c>
      <c r="Z240" s="170">
        <f>INDEX(($EL$188:$FI$192,$EL$196:$FI$200,$FL$188:$GI$192,$FL$196:$GI$200,$GS$188:$HP$192,$GS$195:$HP$199,$HT$188:$IQ$192,$HT$195:$IQ$199,$HT$202:$IQ$206),MATCH($L$265,$EK$188:$EK$192,0),MATCH(A254,$EL$187:$FI$187,0),MATCH($G$255,$AE$24:$AE$32,0))*C254</f>
        <v>0</v>
      </c>
      <c r="AA240" s="170">
        <f>INDEX(($EL$188:$FI$192,$EL$196:$FI$200,$FL$188:$GI$192,$FL$196:$GI$200,$GS$188:$HP$192,$GS$195:$HP$199,$HT$188:$IQ$192,$HT$195:$IQ$199,$HT$202:$IQ$206),MATCH($L$266,$EK$188:$EK$192,0),MATCH(A254,$EL$187:$FI$187,0),MATCH($G$255,$AE$24:$AE$32,0))*C254</f>
        <v>0</v>
      </c>
      <c r="AD240" s="150">
        <f>VLOOKUP(AG240,$AI$200:$AK$204,3,1)*C254</f>
        <v>0</v>
      </c>
      <c r="AE240" s="150">
        <f>ROUNDUP(((A254/4)+1),0)*C254</f>
        <v>0</v>
      </c>
      <c r="AG240" s="150">
        <f>ROUNDUP(((A254/4)+1),0)</f>
        <v>1</v>
      </c>
      <c r="AQ240" s="154" t="s">
        <v>314</v>
      </c>
      <c r="AR240" s="154" t="s">
        <v>312</v>
      </c>
      <c r="AS240" s="154" t="s">
        <v>309</v>
      </c>
      <c r="AT240" s="154" t="s">
        <v>313</v>
      </c>
      <c r="AW240" s="154" t="s">
        <v>314</v>
      </c>
      <c r="AX240" s="154" t="s">
        <v>312</v>
      </c>
      <c r="AY240" s="154" t="s">
        <v>309</v>
      </c>
      <c r="AZ240" s="154" t="s">
        <v>313</v>
      </c>
    </row>
    <row r="241" spans="1:52" x14ac:dyDescent="0.2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6" t="s">
        <v>525</v>
      </c>
      <c r="M241" s="11">
        <f>INDEX(cennik!$C$2:$L$531,MATCH($L241,cennik!$B$2:$B$524,0),MATCH(M$2,cennik!$C$1:$L$1,0))</f>
        <v>660245</v>
      </c>
      <c r="N241" s="11" t="str">
        <f>INDEX(cennik!$C$2:$L$531,MATCH($L241,cennik!$B$2:$B$524,0),MATCH(N$2,cennik!$C$1:$L$1,0))</f>
        <v>szt.</v>
      </c>
      <c r="O241" s="11">
        <f>SUM(O237:O238)</f>
        <v>0</v>
      </c>
      <c r="P241" s="34">
        <f>INDEX(cennik!$C$2:$L$531,MATCH($L241,cennik!$B$2:$B$524,0),MATCH(P$2,cennik!$C$1:$L$1,0))</f>
        <v>1.56</v>
      </c>
      <c r="Q241" s="34">
        <f t="shared" si="512"/>
        <v>0</v>
      </c>
      <c r="R241" s="35">
        <f t="shared" si="502"/>
        <v>0</v>
      </c>
      <c r="S241" s="34">
        <f t="shared" si="503"/>
        <v>1.56</v>
      </c>
      <c r="T241" s="34">
        <f t="shared" si="513"/>
        <v>0</v>
      </c>
      <c r="U241" s="34">
        <f>INDEX(cennik!$C$2:$L$531,MATCH($L241,cennik!$B$2:$B$524,0),MATCH(U$2,cennik!$C$1:$L$1,0))*O241</f>
        <v>0</v>
      </c>
      <c r="X241" s="170">
        <f>INDEX(($EL$188:$FI$192,$EL$196:$FI$200,$FL$188:$GI$192,$FL$196:$GI$200,$GS$188:$HP$192,$GS$195:$HP$199,$HT$188:$IQ$192,$HT$195:$IQ$199,$HT$202:$IQ$206),MATCH($L$267,$EK$188:$EK$192,0),MATCH(A255,$EL$187:$FI$187,0),MATCH($G$255,$AE$24:$AE$32,0))*C255</f>
        <v>32</v>
      </c>
      <c r="Y241" s="170">
        <f>INDEX(($EL$188:$FI$192,$EL$196:$FI$200,$FL$188:$GI$192,$FL$196:$GI$200,$GS$188:$HP$192,$GS$195:$HP$199,$HT$188:$IQ$192,$HT$195:$IQ$199,$HT$202:$IQ$206),MATCH($L$264,$EK$188:$EK$192,0),MATCH(A255,$EL$187:$FI$187,0),MATCH($G$255,$AE$24:$AE$32,0))*C255</f>
        <v>0</v>
      </c>
      <c r="Z241" s="170">
        <f>INDEX(($EL$188:$FI$192,$EL$196:$FI$200,$FL$188:$GI$192,$FL$196:$GI$200,$GS$188:$HP$192,$GS$195:$HP$199,$HT$188:$IQ$192,$HT$195:$IQ$199,$HT$202:$IQ$206),MATCH($L$265,$EK$188:$EK$192,0),MATCH(A255,$EL$187:$FI$187,0),MATCH($G$255,$AE$24:$AE$32,0))*C255</f>
        <v>16</v>
      </c>
      <c r="AA241" s="170">
        <f>INDEX(($EL$188:$FI$192,$EL$196:$FI$200,$FL$188:$GI$192,$FL$196:$GI$200,$GS$188:$HP$192,$GS$195:$HP$199,$HT$188:$IQ$192,$HT$195:$IQ$199,$HT$202:$IQ$206),MATCH($L$266,$EK$188:$EK$192,0),MATCH(A255,$EL$187:$FI$187,0),MATCH($G$255,$AE$24:$AE$32,0))*C255</f>
        <v>24</v>
      </c>
      <c r="AD241" s="150">
        <f t="shared" ref="AD241:AD255" si="514">VLOOKUP(AE241,$AI$200:$AK$204,3,1)*C255</f>
        <v>16</v>
      </c>
      <c r="AE241" s="150">
        <f t="shared" ref="AE241:AE255" si="515">ROUNDUP(((A255/4)+1),0)*C255</f>
        <v>18</v>
      </c>
      <c r="AG241" s="150">
        <f t="shared" ref="AG241:AG255" si="516">ROUNDUP(((A255/4)+1),0)</f>
        <v>9</v>
      </c>
      <c r="AP241" s="154" t="s">
        <v>111</v>
      </c>
      <c r="AQ241" s="154" t="s">
        <v>529</v>
      </c>
      <c r="AR241" s="154" t="s">
        <v>592</v>
      </c>
      <c r="AS241" s="154" t="s">
        <v>591</v>
      </c>
      <c r="AT241" s="154" t="s">
        <v>591</v>
      </c>
      <c r="AV241" s="154" t="s">
        <v>111</v>
      </c>
      <c r="AW241" s="154" t="s">
        <v>529</v>
      </c>
      <c r="AX241" s="154" t="s">
        <v>593</v>
      </c>
      <c r="AY241" s="154" t="s">
        <v>592</v>
      </c>
      <c r="AZ241" s="154" t="s">
        <v>592</v>
      </c>
    </row>
    <row r="242" spans="1:52" x14ac:dyDescent="0.2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6" t="s">
        <v>799</v>
      </c>
      <c r="M242" s="11">
        <f>INDEX(cennik!$C$2:$L$531,MATCH($L242,cennik!$B$2:$B$524,0),MATCH(M$2,cennik!$C$1:$L$1,0))</f>
        <v>6510443</v>
      </c>
      <c r="N242" s="11" t="str">
        <f>INDEX(cennik!$C$2:$L$531,MATCH($L242,cennik!$B$2:$B$524,0),MATCH(N$2,cennik!$C$1:$L$1,0))</f>
        <v>100 szt.</v>
      </c>
      <c r="O242" s="11">
        <f>O243</f>
        <v>0</v>
      </c>
      <c r="P242" s="34">
        <f>INDEX(cennik!$C$2:$L$531,MATCH($L242,cennik!$B$2:$B$524,0),MATCH(P$2,cennik!$C$1:$L$1,0))</f>
        <v>43.51</v>
      </c>
      <c r="Q242" s="34">
        <f t="shared" ref="Q242" si="517">O242*P242</f>
        <v>0</v>
      </c>
      <c r="R242" s="35">
        <f t="shared" si="502"/>
        <v>0</v>
      </c>
      <c r="S242" s="34">
        <f t="shared" si="503"/>
        <v>43.51</v>
      </c>
      <c r="T242" s="34">
        <f t="shared" ref="T242" si="518">O242*S242</f>
        <v>0</v>
      </c>
      <c r="U242" s="34">
        <f>INDEX(cennik!$C$2:$L$531,MATCH($L242,cennik!$B$2:$B$524,0),MATCH(U$2,cennik!$C$1:$L$1,0))*O242</f>
        <v>0</v>
      </c>
      <c r="X242" s="170">
        <f>INDEX(($EL$188:$FI$192,$EL$196:$FI$200,$FL$188:$GI$192,$FL$196:$GI$200,$GS$188:$HP$192,$GS$195:$HP$199,$HT$188:$IQ$192,$HT$195:$IQ$199,$HT$202:$IQ$206),MATCH($L$267,$EK$188:$EK$192,0),MATCH(A256,$EL$187:$FI$187,0),MATCH($G$255,$AE$24:$AE$32,0))*C256</f>
        <v>0</v>
      </c>
      <c r="Y242" s="170">
        <f>INDEX(($EL$188:$FI$192,$EL$196:$FI$200,$FL$188:$GI$192,$FL$196:$GI$200,$GS$188:$HP$192,$GS$195:$HP$199,$HT$188:$IQ$192,$HT$195:$IQ$199,$HT$202:$IQ$206),MATCH($L$264,$EK$188:$EK$192,0),MATCH(A256,$EL$187:$FI$187,0),MATCH($G$255,$AE$24:$AE$32,0))*C256</f>
        <v>0</v>
      </c>
      <c r="Z242" s="170">
        <f>INDEX(($EL$188:$FI$192,$EL$196:$FI$200,$FL$188:$GI$192,$FL$196:$GI$200,$GS$188:$HP$192,$GS$195:$HP$199,$HT$188:$IQ$192,$HT$195:$IQ$199,$HT$202:$IQ$206),MATCH($L$265,$EK$188:$EK$192,0),MATCH(A256,$EL$187:$FI$187,0),MATCH($G$255,$AE$24:$AE$32,0))*C256</f>
        <v>0</v>
      </c>
      <c r="AA242" s="170">
        <f>INDEX(($EL$188:$FI$192,$EL$196:$FI$200,$FL$188:$GI$192,$FL$196:$GI$200,$GS$188:$HP$192,$GS$195:$HP$199,$HT$188:$IQ$192,$HT$195:$IQ$199,$HT$202:$IQ$206),MATCH($L$266,$EK$188:$EK$192,0),MATCH(A256,$EL$187:$FI$187,0),MATCH($G$255,$AE$24:$AE$32,0))*C256</f>
        <v>0</v>
      </c>
      <c r="AD242" s="150">
        <f t="shared" si="514"/>
        <v>0</v>
      </c>
      <c r="AE242" s="150">
        <f t="shared" si="515"/>
        <v>0</v>
      </c>
      <c r="AG242" s="150">
        <f t="shared" si="516"/>
        <v>1</v>
      </c>
      <c r="AP242" s="154" t="s">
        <v>112</v>
      </c>
      <c r="AQ242" s="154" t="s">
        <v>529</v>
      </c>
      <c r="AR242" s="154" t="s">
        <v>592</v>
      </c>
      <c r="AS242" s="154" t="s">
        <v>591</v>
      </c>
      <c r="AT242" s="154" t="s">
        <v>591</v>
      </c>
      <c r="AV242" s="154" t="s">
        <v>112</v>
      </c>
      <c r="AW242" s="154" t="s">
        <v>529</v>
      </c>
      <c r="AX242" s="154" t="s">
        <v>593</v>
      </c>
      <c r="AY242" s="154" t="s">
        <v>592</v>
      </c>
      <c r="AZ242" s="154" t="s">
        <v>592</v>
      </c>
    </row>
    <row r="243" spans="1:52" x14ac:dyDescent="0.2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6" t="s">
        <v>350</v>
      </c>
      <c r="M243" s="11">
        <f>INDEX(cennik!$C$2:$L$531,MATCH($L243,cennik!$B$2:$B$524,0),MATCH(M$2,cennik!$C$1:$L$1,0))</f>
        <v>651643</v>
      </c>
      <c r="N243" s="11" t="str">
        <f>INDEX(cennik!$C$2:$L$531,MATCH($L243,cennik!$B$2:$B$524,0),MATCH(N$2,cennik!$C$1:$L$1,0))</f>
        <v>100 szt.</v>
      </c>
      <c r="O243" s="11">
        <f>ROUNDUP(((O222*12)+(O229)+(O250*4)+(O236*4)+(O221*9)+(2*O245)+E225+(O228*3)+(O225*12))/100,0)</f>
        <v>0</v>
      </c>
      <c r="P243" s="34">
        <f>INDEX(cennik!$C$2:$L$531,MATCH($L243,cennik!$B$2:$B$524,0),MATCH(P$2,cennik!$C$1:$L$1,0))</f>
        <v>144.19</v>
      </c>
      <c r="Q243" s="34">
        <f t="shared" si="512"/>
        <v>0</v>
      </c>
      <c r="R243" s="35">
        <f t="shared" si="502"/>
        <v>0</v>
      </c>
      <c r="S243" s="34">
        <f t="shared" si="503"/>
        <v>144.19</v>
      </c>
      <c r="T243" s="34">
        <f t="shared" si="513"/>
        <v>0</v>
      </c>
      <c r="U243" s="34">
        <f>INDEX(cennik!$C$2:$L$531,MATCH($L243,cennik!$B$2:$B$524,0),MATCH(U$2,cennik!$C$1:$L$1,0))*O243</f>
        <v>0</v>
      </c>
      <c r="X243" s="170">
        <f>INDEX(($EL$188:$FI$192,$EL$196:$FI$200,$FL$188:$GI$192,$FL$196:$GI$200,$GS$188:$HP$192,$GS$195:$HP$199,$HT$188:$IQ$192,$HT$195:$IQ$199,$HT$202:$IQ$206),MATCH($L$267,$EK$188:$EK$192,0),MATCH(A257,$EL$187:$FI$187,0),MATCH($G$255,$AE$24:$AE$32,0))*C257</f>
        <v>0</v>
      </c>
      <c r="Y243" s="170">
        <f>INDEX(($EL$188:$FI$192,$EL$196:$FI$200,$FL$188:$GI$192,$FL$196:$GI$200,$GS$188:$HP$192,$GS$195:$HP$199,$HT$188:$IQ$192,$HT$195:$IQ$199,$HT$202:$IQ$206),MATCH($L$264,$EK$188:$EK$192,0),MATCH(A257,$EL$187:$FI$187,0),MATCH($G$255,$AE$24:$AE$32,0))*C257</f>
        <v>0</v>
      </c>
      <c r="Z243" s="170">
        <f>INDEX(($EL$188:$FI$192,$EL$196:$FI$200,$FL$188:$GI$192,$FL$196:$GI$200,$GS$188:$HP$192,$GS$195:$HP$199,$HT$188:$IQ$192,$HT$195:$IQ$199,$HT$202:$IQ$206),MATCH($L$265,$EK$188:$EK$192,0),MATCH(A257,$EL$187:$FI$187,0),MATCH($G$255,$AE$24:$AE$32,0))*C257</f>
        <v>0</v>
      </c>
      <c r="AA243" s="170">
        <f>INDEX(($EL$188:$FI$192,$EL$196:$FI$200,$FL$188:$GI$192,$FL$196:$GI$200,$GS$188:$HP$192,$GS$195:$HP$199,$HT$188:$IQ$192,$HT$195:$IQ$199,$HT$202:$IQ$206),MATCH($L$266,$EK$188:$EK$192,0),MATCH(A257,$EL$187:$FI$187,0),MATCH($G$255,$AE$24:$AE$32,0))*C257</f>
        <v>0</v>
      </c>
      <c r="AD243" s="150">
        <f t="shared" si="514"/>
        <v>0</v>
      </c>
      <c r="AE243" s="150">
        <f t="shared" si="515"/>
        <v>0</v>
      </c>
      <c r="AG243" s="150">
        <f t="shared" si="516"/>
        <v>1</v>
      </c>
      <c r="AP243" s="154" t="s">
        <v>132</v>
      </c>
      <c r="AQ243" s="154" t="s">
        <v>529</v>
      </c>
      <c r="AR243" s="154" t="s">
        <v>592</v>
      </c>
      <c r="AS243" s="154" t="s">
        <v>591</v>
      </c>
      <c r="AT243" s="154" t="s">
        <v>591</v>
      </c>
      <c r="AV243" s="154" t="s">
        <v>132</v>
      </c>
      <c r="AW243" s="154" t="s">
        <v>529</v>
      </c>
      <c r="AX243" s="154" t="s">
        <v>593</v>
      </c>
      <c r="AY243" s="154" t="s">
        <v>592</v>
      </c>
      <c r="AZ243" s="154" t="s">
        <v>592</v>
      </c>
    </row>
    <row r="244" spans="1:52" x14ac:dyDescent="0.2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6" t="s">
        <v>128</v>
      </c>
      <c r="M244" s="11">
        <f>INDEX(cennik!$C$2:$L$531,MATCH($L244,cennik!$B$2:$B$524,0),MATCH(M$2,cennik!$C$1:$L$1,0))</f>
        <v>897303</v>
      </c>
      <c r="N244" s="11" t="str">
        <f>INDEX(cennik!$C$2:$L$531,MATCH($L244,cennik!$B$2:$B$524,0),MATCH(N$2,cennik!$C$1:$L$1,0))</f>
        <v>szt.</v>
      </c>
      <c r="O244" s="11">
        <f>0.2*SUM(O237:O238)</f>
        <v>0</v>
      </c>
      <c r="P244" s="34">
        <f>INDEX(cennik!$C$2:$L$531,MATCH($L244,cennik!$B$2:$B$524,0),MATCH(P$2,cennik!$C$1:$L$1,0))</f>
        <v>2.4</v>
      </c>
      <c r="Q244" s="34">
        <f t="shared" si="512"/>
        <v>0</v>
      </c>
      <c r="R244" s="35">
        <f t="shared" si="502"/>
        <v>0</v>
      </c>
      <c r="S244" s="34">
        <f t="shared" si="503"/>
        <v>2.4</v>
      </c>
      <c r="T244" s="34">
        <f t="shared" si="513"/>
        <v>0</v>
      </c>
      <c r="U244" s="34">
        <f>INDEX(cennik!$C$2:$L$531,MATCH($L244,cennik!$B$2:$B$524,0),MATCH(U$2,cennik!$C$1:$L$1,0))*O244</f>
        <v>0</v>
      </c>
      <c r="X244" s="170">
        <f>INDEX(($EL$188:$FI$192,$EL$196:$FI$200,$FL$188:$GI$192,$FL$196:$GI$200,$GS$188:$HP$192,$GS$195:$HP$199,$HT$188:$IQ$192,$HT$195:$IQ$199,$HT$202:$IQ$206),MATCH($L$267,$EK$188:$EK$192,0),MATCH(A258,$EL$187:$FI$187,0),MATCH($G$255,$AE$24:$AE$32,0))*C258</f>
        <v>0</v>
      </c>
      <c r="Y244" s="170">
        <f>INDEX(($EL$188:$FI$192,$EL$196:$FI$200,$FL$188:$GI$192,$FL$196:$GI$200,$GS$188:$HP$192,$GS$195:$HP$199,$HT$188:$IQ$192,$HT$195:$IQ$199,$HT$202:$IQ$206),MATCH($L$264,$EK$188:$EK$192,0),MATCH(A258,$EL$187:$FI$187,0),MATCH($G$255,$AE$24:$AE$32,0))*C258</f>
        <v>0</v>
      </c>
      <c r="Z244" s="170">
        <f>INDEX(($EL$188:$FI$192,$EL$196:$FI$200,$FL$188:$GI$192,$FL$196:$GI$200,$GS$188:$HP$192,$GS$195:$HP$199,$HT$188:$IQ$192,$HT$195:$IQ$199,$HT$202:$IQ$206),MATCH($L$265,$EK$188:$EK$192,0),MATCH(A258,$EL$187:$FI$187,0),MATCH($G$255,$AE$24:$AE$32,0))*C258</f>
        <v>0</v>
      </c>
      <c r="AA244" s="170">
        <f>INDEX(($EL$188:$FI$192,$EL$196:$FI$200,$FL$188:$GI$192,$FL$196:$GI$200,$GS$188:$HP$192,$GS$195:$HP$199,$HT$188:$IQ$192,$HT$195:$IQ$199,$HT$202:$IQ$206),MATCH($L$266,$EK$188:$EK$192,0),MATCH(A258,$EL$187:$FI$187,0),MATCH($G$255,$AE$24:$AE$32,0))*C258</f>
        <v>0</v>
      </c>
      <c r="AD244" s="150">
        <f t="shared" si="514"/>
        <v>0</v>
      </c>
      <c r="AE244" s="150">
        <f t="shared" si="515"/>
        <v>0</v>
      </c>
      <c r="AG244" s="150">
        <f t="shared" si="516"/>
        <v>1</v>
      </c>
      <c r="AP244" s="154" t="s">
        <v>470</v>
      </c>
      <c r="AQ244" s="154" t="s">
        <v>529</v>
      </c>
      <c r="AR244" s="154" t="s">
        <v>592</v>
      </c>
      <c r="AS244" s="154" t="s">
        <v>591</v>
      </c>
      <c r="AT244" s="154" t="s">
        <v>591</v>
      </c>
      <c r="AV244" s="154" t="s">
        <v>470</v>
      </c>
      <c r="AW244" s="154" t="s">
        <v>529</v>
      </c>
      <c r="AX244" s="154" t="s">
        <v>593</v>
      </c>
      <c r="AY244" s="154" t="s">
        <v>592</v>
      </c>
      <c r="AZ244" s="154" t="s">
        <v>592</v>
      </c>
    </row>
    <row r="245" spans="1:52" x14ac:dyDescent="0.2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6" t="s">
        <v>445</v>
      </c>
      <c r="M245" s="11">
        <f>INDEX(cennik!$C$2:$L$531,MATCH($L245,cennik!$B$2:$B$524,0),MATCH(M$2,cennik!$C$1:$L$1,0))</f>
        <v>858022</v>
      </c>
      <c r="N245" s="11" t="str">
        <f>INDEX(cennik!$C$2:$L$531,MATCH($L245,cennik!$B$2:$B$524,0),MATCH(N$2,cennik!$C$1:$L$1,0))</f>
        <v>szt.</v>
      </c>
      <c r="O245" s="11">
        <f>2*O226</f>
        <v>0</v>
      </c>
      <c r="P245" s="34">
        <f>INDEX(cennik!$C$2:$L$531,MATCH($L245,cennik!$B$2:$B$524,0),MATCH(P$2,cennik!$C$1:$L$1,0))</f>
        <v>4.5</v>
      </c>
      <c r="Q245" s="34">
        <f t="shared" si="512"/>
        <v>0</v>
      </c>
      <c r="R245" s="35">
        <f t="shared" si="502"/>
        <v>0</v>
      </c>
      <c r="S245" s="34">
        <f t="shared" si="503"/>
        <v>4.5</v>
      </c>
      <c r="T245" s="34">
        <f t="shared" si="513"/>
        <v>0</v>
      </c>
      <c r="U245" s="34">
        <f>INDEX(cennik!$C$2:$L$531,MATCH($L245,cennik!$B$2:$B$524,0),MATCH(U$2,cennik!$C$1:$L$1,0))*O245</f>
        <v>0</v>
      </c>
      <c r="X245" s="170">
        <f>INDEX(($EL$188:$FI$192,$EL$196:$FI$200,$FL$188:$GI$192,$FL$196:$GI$200,$GS$188:$HP$192,$GS$195:$HP$199,$HT$188:$IQ$192,$HT$195:$IQ$199,$HT$202:$IQ$206),MATCH($L$267,$EK$188:$EK$192,0),MATCH(A259,$EL$187:$FI$187,0),MATCH($G$255,$AE$24:$AE$32,0))*C259</f>
        <v>0</v>
      </c>
      <c r="Y245" s="170">
        <f>INDEX(($EL$188:$FI$192,$EL$196:$FI$200,$FL$188:$GI$192,$FL$196:$GI$200,$GS$188:$HP$192,$GS$195:$HP$199,$HT$188:$IQ$192,$HT$195:$IQ$199,$HT$202:$IQ$206),MATCH($L$264,$EK$188:$EK$192,0),MATCH(A259,$EL$187:$FI$187,0),MATCH($G$255,$AE$24:$AE$32,0))*C259</f>
        <v>0</v>
      </c>
      <c r="Z245" s="170">
        <f>INDEX(($EL$188:$FI$192,$EL$196:$FI$200,$FL$188:$GI$192,$FL$196:$GI$200,$GS$188:$HP$192,$GS$195:$HP$199,$HT$188:$IQ$192,$HT$195:$IQ$199,$HT$202:$IQ$206),MATCH($L$265,$EK$188:$EK$192,0),MATCH(A259,$EL$187:$FI$187,0),MATCH($G$255,$AE$24:$AE$32,0))*C259</f>
        <v>0</v>
      </c>
      <c r="AA245" s="170">
        <f>INDEX(($EL$188:$FI$192,$EL$196:$FI$200,$FL$188:$GI$192,$FL$196:$GI$200,$GS$188:$HP$192,$GS$195:$HP$199,$HT$188:$IQ$192,$HT$195:$IQ$199,$HT$202:$IQ$206),MATCH($L$266,$EK$188:$EK$192,0),MATCH(A259,$EL$187:$FI$187,0),MATCH($G$255,$AE$24:$AE$32,0))*C259</f>
        <v>0</v>
      </c>
      <c r="AD245" s="150">
        <f t="shared" si="514"/>
        <v>0</v>
      </c>
      <c r="AE245" s="150">
        <f t="shared" si="515"/>
        <v>0</v>
      </c>
      <c r="AG245" s="150">
        <f t="shared" si="516"/>
        <v>1</v>
      </c>
      <c r="AP245" s="154" t="s">
        <v>472</v>
      </c>
      <c r="AQ245" s="154" t="s">
        <v>529</v>
      </c>
      <c r="AR245" s="154" t="s">
        <v>592</v>
      </c>
      <c r="AS245" s="154" t="s">
        <v>591</v>
      </c>
      <c r="AT245" s="154" t="s">
        <v>591</v>
      </c>
      <c r="AV245" s="154" t="s">
        <v>472</v>
      </c>
      <c r="AW245" s="154" t="s">
        <v>529</v>
      </c>
      <c r="AX245" s="154" t="s">
        <v>593</v>
      </c>
      <c r="AY245" s="154" t="s">
        <v>592</v>
      </c>
      <c r="AZ245" s="154" t="s">
        <v>592</v>
      </c>
    </row>
    <row r="246" spans="1:52" x14ac:dyDescent="0.25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6" t="s">
        <v>319</v>
      </c>
      <c r="M246" s="11">
        <f>INDEX(cennik!$C$2:$L$531,MATCH($L246,cennik!$B$2:$B$524,0),MATCH(M$2,cennik!$C$1:$L$1,0))</f>
        <v>890111</v>
      </c>
      <c r="N246" s="11" t="str">
        <f>INDEX(cennik!$C$2:$L$531,MATCH($L246,cennik!$B$2:$B$524,0),MATCH(N$2,cennik!$C$1:$L$1,0))</f>
        <v>100 szt.</v>
      </c>
      <c r="O246" s="11">
        <f>ROUNDUP((O220*4)/100,0)</f>
        <v>0</v>
      </c>
      <c r="P246" s="34">
        <f>INDEX(cennik!$C$2:$L$531,MATCH($L246,cennik!$B$2:$B$524,0),MATCH(P$2,cennik!$C$1:$L$1,0))</f>
        <v>174.59</v>
      </c>
      <c r="Q246" s="34">
        <f t="shared" si="512"/>
        <v>0</v>
      </c>
      <c r="R246" s="35">
        <f t="shared" si="502"/>
        <v>0</v>
      </c>
      <c r="S246" s="34">
        <f t="shared" si="503"/>
        <v>174.59</v>
      </c>
      <c r="T246" s="34">
        <f t="shared" si="513"/>
        <v>0</v>
      </c>
      <c r="U246" s="34">
        <f>INDEX(cennik!$C$2:$L$531,MATCH($L246,cennik!$B$2:$B$524,0),MATCH(U$2,cennik!$C$1:$L$1,0))*O246</f>
        <v>0</v>
      </c>
      <c r="X246" s="170">
        <f>INDEX(($EL$188:$FI$192,$EL$196:$FI$200,$FL$188:$GI$192,$FL$196:$GI$200,$GS$188:$HP$192,$GS$195:$HP$199,$HT$188:$IQ$192,$HT$195:$IQ$199,$HT$202:$IQ$206),MATCH($L$267,$EK$188:$EK$192,0),MATCH(A260,$EL$187:$FI$187,0),MATCH($G$255,$AE$24:$AE$32,0))*C260</f>
        <v>0</v>
      </c>
      <c r="Y246" s="170">
        <f>INDEX(($EL$188:$FI$192,$EL$196:$FI$200,$FL$188:$GI$192,$FL$196:$GI$200,$GS$188:$HP$192,$GS$195:$HP$199,$HT$188:$IQ$192,$HT$195:$IQ$199,$HT$202:$IQ$206),MATCH($L$264,$EK$188:$EK$192,0),MATCH(A260,$EL$187:$FI$187,0),MATCH($G$255,$AE$24:$AE$32,0))*C260</f>
        <v>0</v>
      </c>
      <c r="Z246" s="170">
        <f>INDEX(($EL$188:$FI$192,$EL$196:$FI$200,$FL$188:$GI$192,$FL$196:$GI$200,$GS$188:$HP$192,$GS$195:$HP$199,$HT$188:$IQ$192,$HT$195:$IQ$199,$HT$202:$IQ$206),MATCH($L$265,$EK$188:$EK$192,0),MATCH(A260,$EL$187:$FI$187,0),MATCH($G$255,$AE$24:$AE$32,0))*C260</f>
        <v>0</v>
      </c>
      <c r="AA246" s="170">
        <f>INDEX(($EL$188:$FI$192,$EL$196:$FI$200,$FL$188:$GI$192,$FL$196:$GI$200,$GS$188:$HP$192,$GS$195:$HP$199,$HT$188:$IQ$192,$HT$195:$IQ$199,$HT$202:$IQ$206),MATCH($L$266,$EK$188:$EK$192,0),MATCH(A260,$EL$187:$FI$187,0),MATCH($G$255,$AE$24:$AE$32,0))*C260</f>
        <v>0</v>
      </c>
      <c r="AD246" s="150">
        <f t="shared" si="514"/>
        <v>0</v>
      </c>
      <c r="AE246" s="150">
        <f t="shared" si="515"/>
        <v>0</v>
      </c>
      <c r="AG246" s="150">
        <f t="shared" si="516"/>
        <v>1</v>
      </c>
      <c r="AP246" s="154" t="s">
        <v>471</v>
      </c>
      <c r="AQ246" s="154" t="s">
        <v>529</v>
      </c>
      <c r="AR246" s="154" t="s">
        <v>592</v>
      </c>
      <c r="AS246" s="154" t="s">
        <v>591</v>
      </c>
      <c r="AT246" s="154" t="s">
        <v>591</v>
      </c>
      <c r="AV246" s="154" t="s">
        <v>471</v>
      </c>
      <c r="AW246" s="154" t="s">
        <v>529</v>
      </c>
      <c r="AX246" s="154" t="s">
        <v>593</v>
      </c>
      <c r="AY246" s="154" t="s">
        <v>592</v>
      </c>
      <c r="AZ246" s="154" t="s">
        <v>592</v>
      </c>
    </row>
    <row r="247" spans="1:52" x14ac:dyDescent="0.25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6" t="s">
        <v>722</v>
      </c>
      <c r="M247" s="11">
        <f>INDEX(cennik!$C$2:$L$531,MATCH($L247,cennik!$B$2:$B$524,0),MATCH(M$2,cennik!$C$1:$L$1,0))</f>
        <v>890504</v>
      </c>
      <c r="N247" s="11" t="str">
        <f>INDEX(cennik!$C$2:$L$531,MATCH($L247,cennik!$B$2:$B$524,0),MATCH(N$2,cennik!$C$1:$L$1,0))</f>
        <v>szt.</v>
      </c>
      <c r="O247" s="11">
        <f>SUM(C219:C234)*10</f>
        <v>0</v>
      </c>
      <c r="P247" s="34">
        <f>INDEX(cennik!$C$2:$L$531,MATCH($L247,cennik!$B$2:$B$524,0),MATCH(P$2,cennik!$C$1:$L$1,0))</f>
        <v>4.58</v>
      </c>
      <c r="Q247" s="34">
        <f t="shared" si="512"/>
        <v>0</v>
      </c>
      <c r="R247" s="35">
        <f t="shared" si="502"/>
        <v>0</v>
      </c>
      <c r="S247" s="34">
        <f t="shared" si="503"/>
        <v>4.58</v>
      </c>
      <c r="T247" s="34">
        <f t="shared" si="513"/>
        <v>0</v>
      </c>
      <c r="U247" s="34">
        <f>INDEX(cennik!$C$2:$L$531,MATCH($L247,cennik!$B$2:$B$524,0),MATCH(U$2,cennik!$C$1:$L$1,0))*O247</f>
        <v>0</v>
      </c>
      <c r="X247" s="170">
        <f>INDEX(($EL$188:$FI$192,$EL$196:$FI$200,$FL$188:$GI$192,$FL$196:$GI$200,$GS$188:$HP$192,$GS$195:$HP$199,$HT$188:$IQ$192,$HT$195:$IQ$199,$HT$202:$IQ$206),MATCH($L$267,$EK$188:$EK$192,0),MATCH(A261,$EL$187:$FI$187,0),MATCH($G$255,$AE$24:$AE$32,0))*C261</f>
        <v>0</v>
      </c>
      <c r="Y247" s="170">
        <f>INDEX(($EL$188:$FI$192,$EL$196:$FI$200,$FL$188:$GI$192,$FL$196:$GI$200,$GS$188:$HP$192,$GS$195:$HP$199,$HT$188:$IQ$192,$HT$195:$IQ$199,$HT$202:$IQ$206),MATCH($L$264,$EK$188:$EK$192,0),MATCH(A261,$EL$187:$FI$187,0),MATCH($G$255,$AE$24:$AE$32,0))*C261</f>
        <v>0</v>
      </c>
      <c r="Z247" s="170">
        <f>INDEX(($EL$188:$FI$192,$EL$196:$FI$200,$FL$188:$GI$192,$FL$196:$GI$200,$GS$188:$HP$192,$GS$195:$HP$199,$HT$188:$IQ$192,$HT$195:$IQ$199,$HT$202:$IQ$206),MATCH($L$265,$EK$188:$EK$192,0),MATCH(A261,$EL$187:$FI$187,0),MATCH($G$255,$AE$24:$AE$32,0))*C261</f>
        <v>0</v>
      </c>
      <c r="AA247" s="170">
        <f>INDEX(($EL$188:$FI$192,$EL$196:$FI$200,$FL$188:$GI$192,$FL$196:$GI$200,$GS$188:$HP$192,$GS$195:$HP$199,$HT$188:$IQ$192,$HT$195:$IQ$199,$HT$202:$IQ$206),MATCH($L$266,$EK$188:$EK$192,0),MATCH(A261,$EL$187:$FI$187,0),MATCH($G$255,$AE$24:$AE$32,0))*C261</f>
        <v>0</v>
      </c>
      <c r="AD247" s="150">
        <f t="shared" si="514"/>
        <v>0</v>
      </c>
      <c r="AE247" s="150">
        <f t="shared" si="515"/>
        <v>0</v>
      </c>
      <c r="AG247" s="150">
        <f t="shared" si="516"/>
        <v>1</v>
      </c>
      <c r="AP247" s="154" t="s">
        <v>473</v>
      </c>
      <c r="AQ247" s="154" t="s">
        <v>529</v>
      </c>
      <c r="AR247" s="154" t="s">
        <v>592</v>
      </c>
      <c r="AS247" s="154" t="s">
        <v>591</v>
      </c>
      <c r="AT247" s="154" t="s">
        <v>591</v>
      </c>
      <c r="AV247" s="154" t="s">
        <v>473</v>
      </c>
      <c r="AW247" s="154" t="s">
        <v>529</v>
      </c>
      <c r="AX247" s="154" t="s">
        <v>593</v>
      </c>
      <c r="AY247" s="154" t="s">
        <v>592</v>
      </c>
      <c r="AZ247" s="154" t="s">
        <v>592</v>
      </c>
    </row>
    <row r="248" spans="1:52" x14ac:dyDescent="0.25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6" t="s">
        <v>316</v>
      </c>
      <c r="M248" s="11"/>
      <c r="N248" s="11"/>
      <c r="O248" s="11"/>
      <c r="P248" s="34"/>
      <c r="Q248" s="34"/>
      <c r="R248" s="35"/>
      <c r="S248" s="34"/>
      <c r="T248" s="34"/>
      <c r="U248" s="34"/>
      <c r="X248" s="170">
        <f>INDEX(($EL$188:$FI$192,$EL$196:$FI$200,$FL$188:$GI$192,$FL$196:$GI$200,$GS$188:$HP$192,$GS$195:$HP$199,$HT$188:$IQ$192,$HT$195:$IQ$199,$HT$202:$IQ$206),MATCH($L$267,$EK$188:$EK$192,0),MATCH(A262,$EL$187:$FI$187,0),MATCH($G$255,$AE$24:$AE$32,0))*C262</f>
        <v>0</v>
      </c>
      <c r="Y248" s="170">
        <f>INDEX(($EL$188:$FI$192,$EL$196:$FI$200,$FL$188:$GI$192,$FL$196:$GI$200,$GS$188:$HP$192,$GS$195:$HP$199,$HT$188:$IQ$192,$HT$195:$IQ$199,$HT$202:$IQ$206),MATCH($L$264,$EK$188:$EK$192,0),MATCH(A262,$EL$187:$FI$187,0),MATCH($G$255,$AE$24:$AE$32,0))*C262</f>
        <v>0</v>
      </c>
      <c r="Z248" s="170">
        <f>INDEX(($EL$188:$FI$192,$EL$196:$FI$200,$FL$188:$GI$192,$FL$196:$GI$200,$GS$188:$HP$192,$GS$195:$HP$199,$HT$188:$IQ$192,$HT$195:$IQ$199,$HT$202:$IQ$206),MATCH($L$265,$EK$188:$EK$192,0),MATCH(A262,$EL$187:$FI$187,0),MATCH($G$255,$AE$24:$AE$32,0))*C262</f>
        <v>0</v>
      </c>
      <c r="AA248" s="170">
        <f>INDEX(($EL$188:$FI$192,$EL$196:$FI$200,$FL$188:$GI$192,$FL$196:$GI$200,$GS$188:$HP$192,$GS$195:$HP$199,$HT$188:$IQ$192,$HT$195:$IQ$199,$HT$202:$IQ$206),MATCH($L$266,$EK$188:$EK$192,0),MATCH(A262,$EL$187:$FI$187,0),MATCH($G$255,$AE$24:$AE$32,0))*C262</f>
        <v>0</v>
      </c>
      <c r="AD248" s="150">
        <f t="shared" si="514"/>
        <v>0</v>
      </c>
      <c r="AE248" s="150">
        <f t="shared" si="515"/>
        <v>0</v>
      </c>
      <c r="AG248" s="150">
        <f t="shared" si="516"/>
        <v>1</v>
      </c>
      <c r="AP248" s="154" t="s">
        <v>113</v>
      </c>
      <c r="AQ248" s="154" t="s">
        <v>529</v>
      </c>
      <c r="AR248" s="154" t="s">
        <v>592</v>
      </c>
      <c r="AS248" s="154" t="s">
        <v>591</v>
      </c>
      <c r="AT248" s="154" t="s">
        <v>591</v>
      </c>
      <c r="AV248" s="154" t="s">
        <v>113</v>
      </c>
      <c r="AW248" s="154" t="s">
        <v>529</v>
      </c>
      <c r="AX248" s="154" t="s">
        <v>593</v>
      </c>
      <c r="AY248" s="154" t="s">
        <v>592</v>
      </c>
      <c r="AZ248" s="154" t="s">
        <v>592</v>
      </c>
    </row>
    <row r="249" spans="1:52" x14ac:dyDescent="0.2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6" t="s">
        <v>591</v>
      </c>
      <c r="M249" s="11">
        <f>INDEX(cennik!$C$2:$L$531,MATCH($L249,cennik!$B$2:$B$524,0),MATCH(M$2,cennik!$C$1:$L$1,0))</f>
        <v>867810</v>
      </c>
      <c r="N249" s="11" t="str">
        <f>INDEX(cennik!$C$2:$L$531,MATCH($L249,cennik!$B$2:$B$524,0),MATCH(N$2,cennik!$C$1:$L$1,0))</f>
        <v>szt.</v>
      </c>
      <c r="O249" s="24">
        <f>E223*2</f>
        <v>0</v>
      </c>
      <c r="P249" s="34">
        <f>INDEX(cennik!$C$2:$L$531,MATCH($L249,cennik!$B$2:$B$524,0),MATCH(P$2,cennik!$C$1:$L$1,0))</f>
        <v>50.61</v>
      </c>
      <c r="Q249" s="34">
        <f>O249*P249</f>
        <v>0</v>
      </c>
      <c r="R249" s="35">
        <f>$E$224</f>
        <v>0</v>
      </c>
      <c r="S249" s="34">
        <f>P249*((100-$E$224)/100)</f>
        <v>50.61</v>
      </c>
      <c r="T249" s="34">
        <f>O249*S249</f>
        <v>0</v>
      </c>
      <c r="U249" s="34">
        <f>INDEX(cennik!$C$2:$L$531,MATCH($L249,cennik!$B$2:$B$524,0),MATCH(U$2,cennik!$C$1:$L$1,0))*O249</f>
        <v>0</v>
      </c>
      <c r="X249" s="170">
        <f>INDEX(($EL$188:$FI$192,$EL$196:$FI$200,$FL$188:$GI$192,$FL$196:$GI$200,$GS$188:$HP$192,$GS$195:$HP$199,$HT$188:$IQ$192,$HT$195:$IQ$199,$HT$202:$IQ$206),MATCH($L$267,$EK$188:$EK$192,0),MATCH(A263,$EL$187:$FI$187,0),MATCH($G$255,$AE$24:$AE$32,0))*C263</f>
        <v>0</v>
      </c>
      <c r="Y249" s="170">
        <f>INDEX(($EL$188:$FI$192,$EL$196:$FI$200,$FL$188:$GI$192,$FL$196:$GI$200,$GS$188:$HP$192,$GS$195:$HP$199,$HT$188:$IQ$192,$HT$195:$IQ$199,$HT$202:$IQ$206),MATCH($L$264,$EK$188:$EK$192,0),MATCH(A263,$EL$187:$FI$187,0),MATCH($G$255,$AE$24:$AE$32,0))*C263</f>
        <v>0</v>
      </c>
      <c r="Z249" s="170">
        <f>INDEX(($EL$188:$FI$192,$EL$196:$FI$200,$FL$188:$GI$192,$FL$196:$GI$200,$GS$188:$HP$192,$GS$195:$HP$199,$HT$188:$IQ$192,$HT$195:$IQ$199,$HT$202:$IQ$206),MATCH($L$265,$EK$188:$EK$192,0),MATCH(A263,$EL$187:$FI$187,0),MATCH($G$255,$AE$24:$AE$32,0))*C263</f>
        <v>0</v>
      </c>
      <c r="AA249" s="170">
        <f>INDEX(($EL$188:$FI$192,$EL$196:$FI$200,$FL$188:$GI$192,$FL$196:$GI$200,$GS$188:$HP$192,$GS$195:$HP$199,$HT$188:$IQ$192,$HT$195:$IQ$199,$HT$202:$IQ$206),MATCH($L$266,$EK$188:$EK$192,0),MATCH(A263,$EL$187:$FI$187,0),MATCH($G$255,$AE$24:$AE$32,0))*C263</f>
        <v>0</v>
      </c>
      <c r="AD249" s="150">
        <f t="shared" si="514"/>
        <v>0</v>
      </c>
      <c r="AE249" s="150">
        <f t="shared" si="515"/>
        <v>0</v>
      </c>
      <c r="AG249" s="150">
        <f t="shared" si="516"/>
        <v>1</v>
      </c>
      <c r="AP249" s="154" t="s">
        <v>137</v>
      </c>
      <c r="AQ249" s="154" t="s">
        <v>529</v>
      </c>
      <c r="AR249" s="154" t="s">
        <v>592</v>
      </c>
      <c r="AS249" s="154" t="s">
        <v>591</v>
      </c>
      <c r="AT249" s="154" t="s">
        <v>591</v>
      </c>
      <c r="AV249" s="154" t="s">
        <v>137</v>
      </c>
      <c r="AW249" s="154" t="s">
        <v>529</v>
      </c>
      <c r="AX249" s="154" t="s">
        <v>593</v>
      </c>
      <c r="AY249" s="154" t="s">
        <v>592</v>
      </c>
      <c r="AZ249" s="154" t="s">
        <v>592</v>
      </c>
    </row>
    <row r="250" spans="1:52" x14ac:dyDescent="0.25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6" t="s">
        <v>594</v>
      </c>
      <c r="M250" s="11">
        <f>INDEX(cennik!$C$2:$L$531,MATCH($L250,cennik!$B$2:$B$524,0),MATCH(M$2,cennik!$C$1:$L$1,0))</f>
        <v>867830</v>
      </c>
      <c r="N250" s="11" t="str">
        <f>INDEX(cennik!$C$2:$L$531,MATCH($L250,cennik!$B$2:$B$524,0),MATCH(N$2,cennik!$C$1:$L$1,0))</f>
        <v>szt.</v>
      </c>
      <c r="O250" s="11">
        <f>E223*2</f>
        <v>0</v>
      </c>
      <c r="P250" s="34">
        <f>INDEX(cennik!$C$2:$L$531,MATCH($L250,cennik!$B$2:$B$524,0),MATCH(P$2,cennik!$C$1:$L$1,0))</f>
        <v>151.83000000000001</v>
      </c>
      <c r="Q250" s="34">
        <f>O250*P250</f>
        <v>0</v>
      </c>
      <c r="R250" s="35">
        <f>$E$224</f>
        <v>0</v>
      </c>
      <c r="S250" s="34">
        <f>P250*((100-$E$224)/100)</f>
        <v>151.83000000000001</v>
      </c>
      <c r="T250" s="34">
        <f>O250*S250</f>
        <v>0</v>
      </c>
      <c r="U250" s="34">
        <f>INDEX(cennik!$C$2:$L$531,MATCH($L250,cennik!$B$2:$B$524,0),MATCH(U$2,cennik!$C$1:$L$1,0))*O250</f>
        <v>0</v>
      </c>
      <c r="X250" s="170">
        <f>INDEX(($EL$188:$FI$192,$EL$196:$FI$200,$FL$188:$GI$192,$FL$196:$GI$200,$GS$188:$HP$192,$GS$195:$HP$199,$HT$188:$IQ$192,$HT$195:$IQ$199,$HT$202:$IQ$206),MATCH($L$267,$EK$188:$EK$192,0),MATCH(A264,$EL$187:$FI$187,0),MATCH($G$255,$AE$24:$AE$32,0))*C264</f>
        <v>0</v>
      </c>
      <c r="Y250" s="170">
        <f>INDEX(($EL$188:$FI$192,$EL$196:$FI$200,$FL$188:$GI$192,$FL$196:$GI$200,$GS$188:$HP$192,$GS$195:$HP$199,$HT$188:$IQ$192,$HT$195:$IQ$199,$HT$202:$IQ$206),MATCH($L$264,$EK$188:$EK$192,0),MATCH(A264,$EL$187:$FI$187,0),MATCH($G$255,$AE$24:$AE$32,0))*C264</f>
        <v>0</v>
      </c>
      <c r="Z250" s="170">
        <f>INDEX(($EL$188:$FI$192,$EL$196:$FI$200,$FL$188:$GI$192,$FL$196:$GI$200,$GS$188:$HP$192,$GS$195:$HP$199,$HT$188:$IQ$192,$HT$195:$IQ$199,$HT$202:$IQ$206),MATCH($L$265,$EK$188:$EK$192,0),MATCH(A264,$EL$187:$FI$187,0),MATCH($G$255,$AE$24:$AE$32,0))*C264</f>
        <v>0</v>
      </c>
      <c r="AA250" s="170">
        <f>INDEX(($EL$188:$FI$192,$EL$196:$FI$200,$FL$188:$GI$192,$FL$196:$GI$200,$GS$188:$HP$192,$GS$195:$HP$199,$HT$188:$IQ$192,$HT$195:$IQ$199,$HT$202:$IQ$206),MATCH($L$266,$EK$188:$EK$192,0),MATCH(A264,$EL$187:$FI$187,0),MATCH($G$255,$AE$24:$AE$32,0))*C264</f>
        <v>0</v>
      </c>
      <c r="AD250" s="150">
        <f t="shared" si="514"/>
        <v>0</v>
      </c>
      <c r="AE250" s="150">
        <f t="shared" si="515"/>
        <v>0</v>
      </c>
      <c r="AG250" s="150">
        <f t="shared" si="516"/>
        <v>1</v>
      </c>
      <c r="AP250" s="154" t="s">
        <v>138</v>
      </c>
      <c r="AQ250" s="154" t="s">
        <v>529</v>
      </c>
      <c r="AR250" s="154" t="s">
        <v>592</v>
      </c>
      <c r="AS250" s="154" t="s">
        <v>591</v>
      </c>
      <c r="AT250" s="154" t="s">
        <v>591</v>
      </c>
      <c r="AV250" s="154" t="s">
        <v>138</v>
      </c>
      <c r="AW250" s="154" t="s">
        <v>529</v>
      </c>
      <c r="AX250" s="154" t="s">
        <v>593</v>
      </c>
      <c r="AY250" s="154" t="s">
        <v>592</v>
      </c>
      <c r="AZ250" s="154" t="s">
        <v>592</v>
      </c>
    </row>
    <row r="251" spans="1:52" x14ac:dyDescent="0.25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9"/>
      <c r="M251" s="11"/>
      <c r="N251" s="11"/>
      <c r="O251" s="11"/>
      <c r="P251" s="34"/>
      <c r="Q251" s="34"/>
      <c r="R251" s="34"/>
      <c r="S251" s="34"/>
      <c r="T251" s="34">
        <f>SUM(T220:T250)</f>
        <v>0</v>
      </c>
      <c r="U251" s="34">
        <f>SUM(U220:U250)</f>
        <v>0</v>
      </c>
      <c r="X251" s="170">
        <f>INDEX(($EL$188:$FI$192,$EL$196:$FI$200,$FL$188:$GI$192,$FL$196:$GI$200,$GS$188:$HP$192,$GS$195:$HP$199,$HT$188:$IQ$192,$HT$195:$IQ$199,$HT$202:$IQ$206),MATCH($L$267,$EK$188:$EK$192,0),MATCH(A265,$EL$187:$FI$187,0),MATCH($G$255,$AE$24:$AE$32,0))*C265</f>
        <v>0</v>
      </c>
      <c r="Y251" s="170">
        <f>INDEX(($EL$188:$FI$192,$EL$196:$FI$200,$FL$188:$GI$192,$FL$196:$GI$200,$GS$188:$HP$192,$GS$195:$HP$199,$HT$188:$IQ$192,$HT$195:$IQ$199,$HT$202:$IQ$206),MATCH($L$264,$EK$188:$EK$192,0),MATCH(A265,$EL$187:$FI$187,0),MATCH($G$255,$AE$24:$AE$32,0))*C265</f>
        <v>0</v>
      </c>
      <c r="Z251" s="170">
        <f>INDEX(($EL$188:$FI$192,$EL$196:$FI$200,$FL$188:$GI$192,$FL$196:$GI$200,$GS$188:$HP$192,$GS$195:$HP$199,$HT$188:$IQ$192,$HT$195:$IQ$199,$HT$202:$IQ$206),MATCH($L$265,$EK$188:$EK$192,0),MATCH(A265,$EL$187:$FI$187,0),MATCH($G$255,$AE$24:$AE$32,0))*C265</f>
        <v>0</v>
      </c>
      <c r="AA251" s="170">
        <f>INDEX(($EL$188:$FI$192,$EL$196:$FI$200,$FL$188:$GI$192,$FL$196:$GI$200,$GS$188:$HP$192,$GS$195:$HP$199,$HT$188:$IQ$192,$HT$195:$IQ$199,$HT$202:$IQ$206),MATCH($L$266,$EK$188:$EK$192,0),MATCH(A265,$EL$187:$FI$187,0),MATCH($G$255,$AE$24:$AE$32,0))*C265</f>
        <v>0</v>
      </c>
      <c r="AD251" s="150">
        <f t="shared" si="514"/>
        <v>0</v>
      </c>
      <c r="AE251" s="150">
        <f t="shared" si="515"/>
        <v>0</v>
      </c>
      <c r="AG251" s="150">
        <f t="shared" si="516"/>
        <v>1</v>
      </c>
      <c r="AP251" s="154" t="s">
        <v>478</v>
      </c>
      <c r="AQ251" s="154" t="s">
        <v>529</v>
      </c>
      <c r="AR251" s="154" t="s">
        <v>592</v>
      </c>
      <c r="AS251" s="154" t="s">
        <v>591</v>
      </c>
      <c r="AT251" s="154" t="s">
        <v>591</v>
      </c>
      <c r="AV251" s="154" t="s">
        <v>478</v>
      </c>
      <c r="AW251" s="154" t="s">
        <v>529</v>
      </c>
      <c r="AX251" s="154" t="s">
        <v>593</v>
      </c>
      <c r="AY251" s="154" t="s">
        <v>592</v>
      </c>
      <c r="AZ251" s="154" t="s">
        <v>592</v>
      </c>
    </row>
    <row r="252" spans="1:52" x14ac:dyDescent="0.25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24"/>
      <c r="N252" s="24"/>
      <c r="O252" s="24"/>
      <c r="P252" s="24"/>
      <c r="Q252" s="24"/>
      <c r="R252" s="24"/>
      <c r="S252" s="24"/>
      <c r="T252" s="24"/>
      <c r="U252" s="24"/>
      <c r="X252" s="170">
        <f>INDEX(($EL$188:$FI$192,$EL$196:$FI$200,$FL$188:$GI$192,$FL$196:$GI$200,$GS$188:$HP$192,$GS$195:$HP$199,$HT$188:$IQ$192,$HT$195:$IQ$199,$HT$202:$IQ$206),MATCH($L$267,$EK$188:$EK$192,0),MATCH(A266,$EL$187:$FI$187,0),MATCH($G$255,$AE$24:$AE$32,0))*C266</f>
        <v>0</v>
      </c>
      <c r="Y252" s="170">
        <f>INDEX(($EL$188:$FI$192,$EL$196:$FI$200,$FL$188:$GI$192,$FL$196:$GI$200,$GS$188:$HP$192,$GS$195:$HP$199,$HT$188:$IQ$192,$HT$195:$IQ$199,$HT$202:$IQ$206),MATCH($L$264,$EK$188:$EK$192,0),MATCH(A266,$EL$187:$FI$187,0),MATCH($G$255,$AE$24:$AE$32,0))*C266</f>
        <v>0</v>
      </c>
      <c r="Z252" s="170">
        <f>INDEX(($EL$188:$FI$192,$EL$196:$FI$200,$FL$188:$GI$192,$FL$196:$GI$200,$GS$188:$HP$192,$GS$195:$HP$199,$HT$188:$IQ$192,$HT$195:$IQ$199,$HT$202:$IQ$206),MATCH($L$265,$EK$188:$EK$192,0),MATCH(A266,$EL$187:$FI$187,0),MATCH($G$255,$AE$24:$AE$32,0))*C266</f>
        <v>0</v>
      </c>
      <c r="AA252" s="170">
        <f>INDEX(($EL$188:$FI$192,$EL$196:$FI$200,$FL$188:$GI$192,$FL$196:$GI$200,$GS$188:$HP$192,$GS$195:$HP$199,$HT$188:$IQ$192,$HT$195:$IQ$199,$HT$202:$IQ$206),MATCH($L$266,$EK$188:$EK$192,0),MATCH(A266,$EL$187:$FI$187,0),MATCH($G$255,$AE$24:$AE$32,0))*C266</f>
        <v>0</v>
      </c>
      <c r="AD252" s="150">
        <f t="shared" si="514"/>
        <v>0</v>
      </c>
      <c r="AE252" s="150">
        <f t="shared" si="515"/>
        <v>0</v>
      </c>
      <c r="AG252" s="150">
        <f t="shared" si="516"/>
        <v>1</v>
      </c>
      <c r="AP252" s="154" t="s">
        <v>479</v>
      </c>
      <c r="AQ252" s="154" t="s">
        <v>529</v>
      </c>
      <c r="AR252" s="154" t="s">
        <v>592</v>
      </c>
      <c r="AS252" s="154" t="s">
        <v>591</v>
      </c>
      <c r="AT252" s="154" t="s">
        <v>591</v>
      </c>
      <c r="AV252" s="154" t="s">
        <v>479</v>
      </c>
      <c r="AW252" s="154" t="s">
        <v>529</v>
      </c>
      <c r="AX252" s="154" t="s">
        <v>593</v>
      </c>
      <c r="AY252" s="154" t="s">
        <v>592</v>
      </c>
      <c r="AZ252" s="154" t="s">
        <v>592</v>
      </c>
    </row>
    <row r="253" spans="1:52" ht="51.75" x14ac:dyDescent="0.25">
      <c r="A253" s="3" t="s">
        <v>443</v>
      </c>
      <c r="B253" s="3"/>
      <c r="C253" s="3" t="s">
        <v>444</v>
      </c>
      <c r="D253" s="9"/>
      <c r="E253" s="9"/>
      <c r="F253" s="9"/>
      <c r="G253" s="9"/>
      <c r="H253" s="9"/>
      <c r="I253" s="9"/>
      <c r="J253" s="9"/>
      <c r="K253" s="9"/>
      <c r="L253" s="360" t="str">
        <f>INDEX((AK234:AN235),MATCH(E262,AJ234:AJ235,0),MATCH(E257,AK233:AN233,0))</f>
        <v>KONSTRUKCJA W-V2G2-BI-25°</v>
      </c>
      <c r="M253" s="360"/>
      <c r="N253" s="360"/>
      <c r="O253" s="360"/>
      <c r="P253" s="360"/>
      <c r="Q253" s="360"/>
      <c r="R253" s="360"/>
      <c r="S253" s="360"/>
      <c r="T253" s="360"/>
      <c r="U253" s="360"/>
      <c r="X253" s="170">
        <f>INDEX(($EL$188:$FI$192,$EL$196:$FI$200,$FL$188:$GI$192,$FL$196:$GI$200,$GS$188:$HP$192,$GS$195:$HP$199,$HT$188:$IQ$192,$HT$195:$IQ$199,$HT$202:$IQ$206),MATCH($L$267,$EK$188:$EK$192,0),MATCH(A267,$EL$187:$FI$187,0),MATCH($G$255,$AE$24:$AE$32,0))*C267</f>
        <v>0</v>
      </c>
      <c r="Y253" s="170">
        <f>INDEX(($EL$188:$FI$192,$EL$196:$FI$200,$FL$188:$GI$192,$FL$196:$GI$200,$GS$188:$HP$192,$GS$195:$HP$199,$HT$188:$IQ$192,$HT$195:$IQ$199,$HT$202:$IQ$206),MATCH($L$264,$EK$188:$EK$192,0),MATCH(A267,$EL$187:$FI$187,0),MATCH($G$255,$AE$24:$AE$32,0))*C267</f>
        <v>0</v>
      </c>
      <c r="Z253" s="170">
        <f>INDEX(($EL$188:$FI$192,$EL$196:$FI$200,$FL$188:$GI$192,$FL$196:$GI$200,$GS$188:$HP$192,$GS$195:$HP$199,$HT$188:$IQ$192,$HT$195:$IQ$199,$HT$202:$IQ$206),MATCH($L$265,$EK$188:$EK$192,0),MATCH(A267,$EL$187:$FI$187,0),MATCH($G$255,$AE$24:$AE$32,0))*C267</f>
        <v>0</v>
      </c>
      <c r="AA253" s="170">
        <f>INDEX(($EL$188:$FI$192,$EL$196:$FI$200,$FL$188:$GI$192,$FL$196:$GI$200,$GS$188:$HP$192,$GS$195:$HP$199,$HT$188:$IQ$192,$HT$195:$IQ$199,$HT$202:$IQ$206),MATCH($L$266,$EK$188:$EK$192,0),MATCH(A267,$EL$187:$FI$187,0),MATCH($G$255,$AE$24:$AE$32,0))*C267</f>
        <v>0</v>
      </c>
      <c r="AD253" s="150">
        <f t="shared" si="514"/>
        <v>0</v>
      </c>
      <c r="AE253" s="150">
        <f t="shared" si="515"/>
        <v>0</v>
      </c>
      <c r="AG253" s="150">
        <f t="shared" si="516"/>
        <v>1</v>
      </c>
      <c r="AP253" s="154" t="s">
        <v>508</v>
      </c>
      <c r="AQ253" s="154" t="s">
        <v>529</v>
      </c>
      <c r="AR253" s="154" t="s">
        <v>592</v>
      </c>
      <c r="AS253" s="154" t="s">
        <v>591</v>
      </c>
      <c r="AT253" s="154" t="s">
        <v>591</v>
      </c>
      <c r="AV253" s="154" t="s">
        <v>508</v>
      </c>
      <c r="AW253" s="154" t="s">
        <v>529</v>
      </c>
      <c r="AX253" s="154" t="s">
        <v>593</v>
      </c>
      <c r="AY253" s="154" t="s">
        <v>592</v>
      </c>
      <c r="AZ253" s="154" t="s">
        <v>592</v>
      </c>
    </row>
    <row r="254" spans="1:52" x14ac:dyDescent="0.25">
      <c r="A254" s="8"/>
      <c r="B254" s="5" t="s">
        <v>116</v>
      </c>
      <c r="C254" s="8"/>
      <c r="D254" s="9"/>
      <c r="E254" s="1"/>
      <c r="F254" s="9"/>
      <c r="G254" s="9"/>
      <c r="H254" s="9"/>
      <c r="I254" s="9"/>
      <c r="J254" s="9"/>
      <c r="K254" s="9"/>
      <c r="L254" s="5" t="s">
        <v>103</v>
      </c>
      <c r="M254" s="5" t="s">
        <v>104</v>
      </c>
      <c r="N254" s="5" t="s">
        <v>107</v>
      </c>
      <c r="O254" s="5" t="s">
        <v>290</v>
      </c>
      <c r="P254" s="5" t="s">
        <v>446</v>
      </c>
      <c r="Q254" s="5" t="s">
        <v>448</v>
      </c>
      <c r="R254" s="5" t="s">
        <v>409</v>
      </c>
      <c r="S254" s="5" t="s">
        <v>447</v>
      </c>
      <c r="T254" s="5" t="s">
        <v>449</v>
      </c>
      <c r="U254" s="5" t="s">
        <v>106</v>
      </c>
      <c r="X254" s="170">
        <f>INDEX(($EL$188:$FI$192,$EL$196:$FI$200,$FL$188:$GI$192,$FL$196:$GI$200,$GS$188:$HP$192,$GS$195:$HP$199,$HT$188:$IQ$192,$HT$195:$IQ$199,$HT$202:$IQ$206),MATCH($L$267,$EK$188:$EK$192,0),MATCH(A268,$EL$187:$FI$187,0),MATCH($G$255,$AE$24:$AE$32,0))*C268</f>
        <v>0</v>
      </c>
      <c r="Y254" s="170">
        <f>INDEX(($EL$188:$FI$192,$EL$196:$FI$200,$FL$188:$GI$192,$FL$196:$GI$200,$GS$188:$HP$192,$GS$195:$HP$199,$HT$188:$IQ$192,$HT$195:$IQ$199,$HT$202:$IQ$206),MATCH($L$264,$EK$188:$EK$192,0),MATCH(A268,$EL$187:$FI$187,0),MATCH($G$255,$AE$24:$AE$32,0))*C268</f>
        <v>0</v>
      </c>
      <c r="Z254" s="170">
        <f>INDEX(($EL$188:$FI$192,$EL$196:$FI$200,$FL$188:$GI$192,$FL$196:$GI$200,$GS$188:$HP$192,$GS$195:$HP$199,$HT$188:$IQ$192,$HT$195:$IQ$199,$HT$202:$IQ$206),MATCH($L$265,$EK$188:$EK$192,0),MATCH(A268,$EL$187:$FI$187,0),MATCH($G$255,$AE$24:$AE$32,0))*C268</f>
        <v>0</v>
      </c>
      <c r="AA254" s="170">
        <f>INDEX(($EL$188:$FI$192,$EL$196:$FI$200,$FL$188:$GI$192,$FL$196:$GI$200,$GS$188:$HP$192,$GS$195:$HP$199,$HT$188:$IQ$192,$HT$195:$IQ$199,$HT$202:$IQ$206),MATCH($L$266,$EK$188:$EK$192,0),MATCH(A268,$EL$187:$FI$187,0),MATCH($G$255,$AE$24:$AE$32,0))*C268</f>
        <v>0</v>
      </c>
      <c r="AD254" s="150">
        <f t="shared" si="514"/>
        <v>0</v>
      </c>
      <c r="AE254" s="150">
        <f t="shared" si="515"/>
        <v>0</v>
      </c>
      <c r="AG254" s="150">
        <f t="shared" si="516"/>
        <v>1</v>
      </c>
      <c r="AP254" s="154" t="s">
        <v>507</v>
      </c>
      <c r="AQ254" s="154" t="s">
        <v>529</v>
      </c>
      <c r="AR254" s="154" t="s">
        <v>592</v>
      </c>
      <c r="AS254" s="154" t="s">
        <v>591</v>
      </c>
      <c r="AT254" s="154" t="s">
        <v>591</v>
      </c>
      <c r="AV254" s="154" t="s">
        <v>507</v>
      </c>
      <c r="AW254" s="154" t="s">
        <v>529</v>
      </c>
      <c r="AX254" s="154" t="s">
        <v>593</v>
      </c>
      <c r="AY254" s="154" t="s">
        <v>592</v>
      </c>
      <c r="AZ254" s="154" t="s">
        <v>592</v>
      </c>
    </row>
    <row r="255" spans="1:52" x14ac:dyDescent="0.25">
      <c r="A255" s="8">
        <v>30</v>
      </c>
      <c r="B255" s="5" t="s">
        <v>116</v>
      </c>
      <c r="C255" s="8">
        <v>2</v>
      </c>
      <c r="D255" s="6" t="s">
        <v>118</v>
      </c>
      <c r="E255" s="8" t="s">
        <v>113</v>
      </c>
      <c r="F255" s="5" t="s">
        <v>116</v>
      </c>
      <c r="G255" s="8" t="s">
        <v>480</v>
      </c>
      <c r="H255" s="5" t="s">
        <v>116</v>
      </c>
      <c r="I255" s="8">
        <v>30</v>
      </c>
      <c r="J255" s="5" t="s">
        <v>119</v>
      </c>
      <c r="K255" s="9"/>
      <c r="L255" s="7" t="str">
        <f>IF(E257=$AC$5,"-------",IF(E257=$AC$6,"-------",IF(E257=$AC$7,"-------",IF(E257=$AC$8,IF(E266=$DS$10,"GSW76X1600N",IF(E266=$DS$11,"GSW76X2200N","")),0))))</f>
        <v>-------</v>
      </c>
      <c r="M255" s="11" t="str">
        <f>INDEX(cennik!$C$2:$L$531,MATCH($L255,cennik!$B$2:$B$524,0),MATCH(M$2,cennik!$C$1:$L$1,0))</f>
        <v>-------</v>
      </c>
      <c r="N255" s="11">
        <f>INDEX(cennik!$C$2:$L$531,MATCH($L255,cennik!$B$2:$B$524,0),MATCH(N$2,cennik!$C$1:$L$1,0))</f>
        <v>0</v>
      </c>
      <c r="O255" s="11">
        <f>IF(L255="-------",0,SUM(O257:O258))</f>
        <v>0</v>
      </c>
      <c r="P255" s="34">
        <f>INDEX(cennik!$C$2:$L$531,MATCH($L255,cennik!$B$2:$B$524,0),MATCH(P$2,cennik!$C$1:$L$1,0))</f>
        <v>0</v>
      </c>
      <c r="Q255" s="34">
        <f>O255*P255</f>
        <v>0</v>
      </c>
      <c r="R255" s="35">
        <f>$E$259</f>
        <v>0</v>
      </c>
      <c r="S255" s="34">
        <f>P255*((100-$E$259)/100)</f>
        <v>0</v>
      </c>
      <c r="T255" s="34">
        <f t="shared" ref="T255:T260" si="519">O255*S255</f>
        <v>0</v>
      </c>
      <c r="U255" s="34">
        <f>INDEX(cennik!$C$2:$L$531,MATCH($L255,cennik!$B$2:$B$524,0),MATCH(U$2,cennik!$C$1:$L$1,0))*O255</f>
        <v>0</v>
      </c>
      <c r="X255" s="170">
        <f>INDEX(($EL$188:$FI$192,$EL$196:$FI$200,$FL$188:$GI$192,$FL$196:$GI$200,$GS$188:$HP$192,$GS$195:$HP$199,$HT$188:$IQ$192,$HT$195:$IQ$199,$HT$202:$IQ$206),MATCH($L$267,$EK$188:$EK$192,0),MATCH(A269,$EL$187:$FI$187,0),MATCH($G$255,$AE$24:$AE$32,0))*C269</f>
        <v>0</v>
      </c>
      <c r="Y255" s="170">
        <f>INDEX(($EL$188:$FI$192,$EL$196:$FI$200,$FL$188:$GI$192,$FL$196:$GI$200,$GS$188:$HP$192,$GS$195:$HP$199,$HT$188:$IQ$192,$HT$195:$IQ$199,$HT$202:$IQ$206),MATCH($L$264,$EK$188:$EK$192,0),MATCH(A269,$EL$187:$FI$187,0),MATCH($G$255,$AE$24:$AE$32,0))*C269</f>
        <v>0</v>
      </c>
      <c r="Z255" s="170">
        <f>INDEX(($EL$188:$FI$192,$EL$196:$FI$200,$FL$188:$GI$192,$FL$196:$GI$200,$GS$188:$HP$192,$GS$195:$HP$199,$HT$188:$IQ$192,$HT$195:$IQ$199,$HT$202:$IQ$206),MATCH($L$265,$EK$188:$EK$192,0),MATCH(A269,$EL$187:$FI$187,0),MATCH($G$255,$AE$24:$AE$32,0))*C269</f>
        <v>0</v>
      </c>
      <c r="AA255" s="170">
        <f>INDEX(($EL$188:$FI$192,$EL$196:$FI$200,$FL$188:$GI$192,$FL$196:$GI$200,$GS$188:$HP$192,$GS$195:$HP$199,$HT$188:$IQ$192,$HT$195:$IQ$199,$HT$202:$IQ$206),MATCH($L$266,$EK$188:$EK$192,0),MATCH(A269,$EL$187:$FI$187,0),MATCH($G$255,$AE$24:$AE$32,0))*C269</f>
        <v>0</v>
      </c>
      <c r="AD255" s="150">
        <f t="shared" si="514"/>
        <v>0</v>
      </c>
      <c r="AE255" s="150">
        <f t="shared" si="515"/>
        <v>0</v>
      </c>
      <c r="AG255" s="150">
        <f t="shared" si="516"/>
        <v>1</v>
      </c>
    </row>
    <row r="256" spans="1:52" x14ac:dyDescent="0.25">
      <c r="A256" s="8"/>
      <c r="B256" s="5" t="s">
        <v>116</v>
      </c>
      <c r="C256" s="8"/>
      <c r="D256" s="6" t="s">
        <v>124</v>
      </c>
      <c r="E256" s="8" t="s">
        <v>125</v>
      </c>
      <c r="F256" s="5"/>
      <c r="G256" s="5"/>
      <c r="H256" s="5"/>
      <c r="I256" s="5"/>
      <c r="J256" s="5"/>
      <c r="K256" s="9"/>
      <c r="L256" s="7" t="str">
        <f>IF(E257=$AC$5,"-------",IF(E257=$AC$6,"-------",IF(E257=$AC$7,"PCB70",IF(E257=$AC$8,"PCS70",0))))</f>
        <v>-------</v>
      </c>
      <c r="M256" s="11" t="str">
        <f>INDEX(cennik!$C$2:$L$531,MATCH($L256,cennik!$B$2:$B$524,0),MATCH(M$2,cennik!$C$1:$L$1,0))</f>
        <v>-------</v>
      </c>
      <c r="N256" s="11">
        <f>INDEX(cennik!$C$2:$L$531,MATCH($L256,cennik!$B$2:$B$524,0),MATCH(N$2,cennik!$C$1:$L$1,0))</f>
        <v>0</v>
      </c>
      <c r="O256" s="11">
        <f>IF(E257=AC7,SUM(O257:O258),IF(E257=AC8,SUM(O257:O258),IF(E257=AC5,0,IF(E257=AC6,0,0))))</f>
        <v>0</v>
      </c>
      <c r="P256" s="34">
        <f>INDEX(cennik!$C$2:$L$531,MATCH($L256,cennik!$B$2:$B$524,0),MATCH(P$2,cennik!$C$1:$L$1,0))</f>
        <v>0</v>
      </c>
      <c r="Q256" s="34">
        <f>O256*P256</f>
        <v>0</v>
      </c>
      <c r="R256" s="35">
        <f t="shared" ref="R256:R276" si="520">$E$259</f>
        <v>0</v>
      </c>
      <c r="S256" s="34">
        <f t="shared" ref="S256:S279" si="521">P256*((100-$E$259)/100)</f>
        <v>0</v>
      </c>
      <c r="T256" s="34">
        <f t="shared" si="519"/>
        <v>0</v>
      </c>
      <c r="U256" s="34">
        <f>INDEX(cennik!$C$2:$L$531,MATCH($L256,cennik!$B$2:$B$524,0),MATCH(U$2,cennik!$C$1:$L$1,0))*O256</f>
        <v>0</v>
      </c>
    </row>
    <row r="257" spans="1:52" x14ac:dyDescent="0.25">
      <c r="A257" s="8"/>
      <c r="B257" s="5" t="s">
        <v>116</v>
      </c>
      <c r="C257" s="8"/>
      <c r="D257" s="6" t="s">
        <v>307</v>
      </c>
      <c r="E257" s="8" t="s">
        <v>314</v>
      </c>
      <c r="F257" s="5"/>
      <c r="G257" s="5"/>
      <c r="H257" s="5"/>
      <c r="I257" s="5"/>
      <c r="J257" s="5"/>
      <c r="K257" s="9"/>
      <c r="L257" s="6" t="str">
        <f>INDEX((AQ241:AT254,AW241:AZ254),MATCH(E255,AP241:AP254,0),MATCH(E257,AQ240:AT240,0),MATCH(E262,DS6:DS7,0))</f>
        <v>CWT70H50/3,2NMC</v>
      </c>
      <c r="M257" s="11">
        <f>INDEX(cennik!$C$2:$L$531,MATCH($L257,cennik!$B$2:$B$524,0),MATCH(M$2,cennik!$C$1:$L$1,0))</f>
        <v>867832</v>
      </c>
      <c r="N257" s="11" t="str">
        <f>INDEX(cennik!$C$2:$L$531,MATCH($L257,cennik!$B$2:$B$524,0),MATCH(N$2,cennik!$C$1:$L$1,0))</f>
        <v>szt.</v>
      </c>
      <c r="O257" s="10">
        <f>SUM(AE240:AE255)</f>
        <v>18</v>
      </c>
      <c r="P257" s="34">
        <f>INDEX(cennik!$C$2:$L$531,MATCH($L257,cennik!$B$2:$B$524,0),MATCH(P$2,cennik!$C$1:$L$1,0))</f>
        <v>161.94999999999999</v>
      </c>
      <c r="Q257" s="34">
        <f t="shared" ref="Q257:Q263" si="522">O257*P257</f>
        <v>2915.1</v>
      </c>
      <c r="R257" s="35">
        <f t="shared" si="520"/>
        <v>0</v>
      </c>
      <c r="S257" s="34">
        <f t="shared" si="521"/>
        <v>161.94999999999999</v>
      </c>
      <c r="T257" s="34">
        <f t="shared" si="519"/>
        <v>2915.1</v>
      </c>
      <c r="U257" s="34">
        <f>INDEX(cennik!$C$2:$L$531,MATCH($L257,cennik!$B$2:$B$524,0),MATCH(U$2,cennik!$C$1:$L$1,0))*O257</f>
        <v>216.54</v>
      </c>
      <c r="AP257" s="154" t="s">
        <v>793</v>
      </c>
      <c r="AV257" s="154" t="s">
        <v>794</v>
      </c>
    </row>
    <row r="258" spans="1:52" x14ac:dyDescent="0.25">
      <c r="A258" s="8"/>
      <c r="B258" s="5" t="s">
        <v>116</v>
      </c>
      <c r="C258" s="8"/>
      <c r="D258" s="6" t="s">
        <v>315</v>
      </c>
      <c r="E258" s="8">
        <v>0</v>
      </c>
      <c r="F258" s="5"/>
      <c r="G258" s="5"/>
      <c r="H258" s="5"/>
      <c r="I258" s="5"/>
      <c r="J258" s="5" t="s">
        <v>412</v>
      </c>
      <c r="K258" s="9"/>
      <c r="L258" s="6" t="str">
        <f>INDEX((AQ259:AT272,AW259:AZ272),MATCH(E255,AP259:AP272,0),MATCH(E257,AQ258:AT258,0),MATCH(E262,DS6:DS7,0))</f>
        <v>CWT70H50/4,4NMC</v>
      </c>
      <c r="M258" s="11">
        <f>INDEX(cennik!$C$2:$L$531,MATCH($L258,cennik!$B$2:$B$524,0),MATCH(M$2,cennik!$C$1:$L$1,0))</f>
        <v>867844</v>
      </c>
      <c r="N258" s="11" t="str">
        <f>INDEX(cennik!$C$2:$L$531,MATCH($L258,cennik!$B$2:$B$524,0),MATCH(N$2,cennik!$C$1:$L$1,0))</f>
        <v>szt.</v>
      </c>
      <c r="O258" s="11">
        <f>O257</f>
        <v>18</v>
      </c>
      <c r="P258" s="34">
        <f>INDEX(cennik!$C$2:$L$531,MATCH($L258,cennik!$B$2:$B$524,0),MATCH(P$2,cennik!$C$1:$L$1,0))</f>
        <v>222.68</v>
      </c>
      <c r="Q258" s="34">
        <f t="shared" si="522"/>
        <v>4008.2400000000002</v>
      </c>
      <c r="R258" s="35">
        <f t="shared" si="520"/>
        <v>0</v>
      </c>
      <c r="S258" s="34">
        <f t="shared" si="521"/>
        <v>222.68</v>
      </c>
      <c r="T258" s="34">
        <f t="shared" si="519"/>
        <v>4008.2400000000002</v>
      </c>
      <c r="U258" s="34">
        <f>INDEX(cennik!$C$2:$L$531,MATCH($L258,cennik!$B$2:$B$524,0),MATCH(U$2,cennik!$C$1:$L$1,0))*O258</f>
        <v>297.71999999999997</v>
      </c>
      <c r="AP258" s="154">
        <v>25</v>
      </c>
      <c r="AQ258" s="154" t="s">
        <v>314</v>
      </c>
      <c r="AR258" s="154" t="s">
        <v>312</v>
      </c>
      <c r="AS258" s="154" t="s">
        <v>309</v>
      </c>
      <c r="AT258" s="154" t="s">
        <v>313</v>
      </c>
      <c r="AV258" s="154">
        <v>30</v>
      </c>
      <c r="AW258" s="154" t="s">
        <v>314</v>
      </c>
      <c r="AX258" s="154" t="s">
        <v>312</v>
      </c>
      <c r="AY258" s="154" t="s">
        <v>309</v>
      </c>
      <c r="AZ258" s="154" t="s">
        <v>313</v>
      </c>
    </row>
    <row r="259" spans="1:52" x14ac:dyDescent="0.25">
      <c r="A259" s="8"/>
      <c r="B259" s="5" t="s">
        <v>116</v>
      </c>
      <c r="C259" s="8"/>
      <c r="D259" s="6" t="s">
        <v>162</v>
      </c>
      <c r="E259" s="8">
        <v>0</v>
      </c>
      <c r="F259" s="5"/>
      <c r="G259" s="5"/>
      <c r="H259" s="5"/>
      <c r="I259" s="5"/>
      <c r="J259" s="5" t="s">
        <v>163</v>
      </c>
      <c r="K259" s="9"/>
      <c r="L259" s="6" t="str">
        <f>IF(E255=AE33,"CWC100H50/3,3NMC",IF(E255=AE34,"CWC100H50/3,3NMC",IF(E255=AE35,"CWC100H50/3,3NMC",IF(E255=AE36,"CWC100H50/3,3NMC",IF(E255=AE37,"CWC100H50/3,3NMC",IF(E255=AE38,"CWC100H50/3,3NMC",IF(E255=AE39,"CWC100H50/3,3NMC",IF(E255=AE40,"CWC100H50/3,3NMC",IF(E255=AE41,"CWC100H50/3,3NMC",IF(E255=AE42,"CWC100H50/4,4NMC",IF(E255=AE43,"CWC100H50/4,4NMC",IF(E255=AE44,"CWC100H50/4,4NMC",IF(E255=AE45,"CWC100H50/4,4NMC",IF(E255=AE46,"CWC100H50/4,4NMC",0))))))))))))))</f>
        <v>CWC100H50/3,3NMC</v>
      </c>
      <c r="M259" s="11">
        <f>INDEX(cennik!$C$2:$L$531,MATCH($L259,cennik!$B$2:$B$524,0),MATCH(M$2,cennik!$C$1:$L$1,0))</f>
        <v>867633</v>
      </c>
      <c r="N259" s="11" t="str">
        <f>INDEX(cennik!$C$2:$L$531,MATCH($L259,cennik!$B$2:$B$524,0),MATCH(N$2,cennik!$C$1:$L$1,0))</f>
        <v>szt.</v>
      </c>
      <c r="O259" s="11">
        <f>SUM(((A254/2+1)*C254),((A255/2+1)*C255),((A256/2+1)*C256),((A257/2+1)*C257),((A258/2+1)*C258),((A259/2+1)*C259),((A260/2+1)*C260),((A261/2+1)*C261),((A262/2+1)*C262),((A263/2+1)*C263),((A264/2+1)*C264),((A265/2+1)*C265),((A266/2+1)*C266),((A267/2+1)*C267),((A268/2+1)*C268),((A269/2+1)*C269))</f>
        <v>32</v>
      </c>
      <c r="P259" s="34">
        <f>INDEX(cennik!$C$2:$L$531,MATCH($L259,cennik!$B$2:$B$524,0),MATCH(P$2,cennik!$C$1:$L$1,0))</f>
        <v>132.6</v>
      </c>
      <c r="Q259" s="34">
        <f t="shared" si="522"/>
        <v>4243.2</v>
      </c>
      <c r="R259" s="35">
        <f t="shared" si="520"/>
        <v>0</v>
      </c>
      <c r="S259" s="34">
        <f t="shared" si="521"/>
        <v>132.6</v>
      </c>
      <c r="T259" s="34">
        <f t="shared" si="519"/>
        <v>4243.2</v>
      </c>
      <c r="U259" s="34">
        <f>INDEX(cennik!$C$2:$L$531,MATCH($L259,cennik!$B$2:$B$524,0),MATCH(U$2,cennik!$C$1:$L$1,0))*O259</f>
        <v>315.2</v>
      </c>
      <c r="AP259" s="154" t="s">
        <v>111</v>
      </c>
      <c r="AQ259" s="154" t="s">
        <v>596</v>
      </c>
      <c r="AR259" s="154" t="s">
        <v>594</v>
      </c>
      <c r="AS259" s="154" t="s">
        <v>592</v>
      </c>
      <c r="AT259" s="154" t="s">
        <v>592</v>
      </c>
      <c r="AV259" s="154" t="s">
        <v>111</v>
      </c>
      <c r="AW259" s="154" t="s">
        <v>596</v>
      </c>
      <c r="AX259" s="154" t="s">
        <v>595</v>
      </c>
      <c r="AY259" s="154" t="s">
        <v>593</v>
      </c>
      <c r="AZ259" s="154" t="s">
        <v>593</v>
      </c>
    </row>
    <row r="260" spans="1:52" x14ac:dyDescent="0.25">
      <c r="A260" s="8"/>
      <c r="B260" s="5" t="s">
        <v>116</v>
      </c>
      <c r="C260" s="8"/>
      <c r="D260" s="6" t="s">
        <v>515</v>
      </c>
      <c r="E260" s="8">
        <v>0</v>
      </c>
      <c r="F260" s="5"/>
      <c r="G260" s="5"/>
      <c r="H260" s="5"/>
      <c r="I260" s="5"/>
      <c r="J260" s="5" t="s">
        <v>412</v>
      </c>
      <c r="K260" s="9"/>
      <c r="L260" s="6" t="s">
        <v>293</v>
      </c>
      <c r="M260" s="11">
        <f>INDEX(cennik!$C$2:$L$531,MATCH($L260,cennik!$B$2:$B$524,0),MATCH(M$2,cennik!$C$1:$L$1,0))</f>
        <v>851122</v>
      </c>
      <c r="N260" s="11" t="str">
        <f>INDEX(cennik!$C$2:$L$531,MATCH($L260,cennik!$B$2:$B$524,0),MATCH(N$2,cennik!$C$1:$L$1,0))</f>
        <v>szt.</v>
      </c>
      <c r="O260" s="11">
        <f>O257</f>
        <v>18</v>
      </c>
      <c r="P260" s="34">
        <f>INDEX(cennik!$C$2:$L$531,MATCH($L260,cennik!$B$2:$B$524,0),MATCH(P$2,cennik!$C$1:$L$1,0))</f>
        <v>46.2</v>
      </c>
      <c r="Q260" s="34">
        <f t="shared" si="522"/>
        <v>831.6</v>
      </c>
      <c r="R260" s="35">
        <f>$E$259</f>
        <v>0</v>
      </c>
      <c r="S260" s="34">
        <f t="shared" si="521"/>
        <v>46.2</v>
      </c>
      <c r="T260" s="34">
        <f t="shared" si="519"/>
        <v>831.6</v>
      </c>
      <c r="U260" s="34">
        <f>INDEX(cennik!$C$2:$L$531,MATCH($L260,cennik!$B$2:$B$524,0),MATCH(U$2,cennik!$C$1:$L$1,0))*O260</f>
        <v>60.12</v>
      </c>
      <c r="AP260" s="154" t="s">
        <v>112</v>
      </c>
      <c r="AQ260" s="154" t="s">
        <v>596</v>
      </c>
      <c r="AR260" s="154" t="s">
        <v>594</v>
      </c>
      <c r="AS260" s="154" t="s">
        <v>592</v>
      </c>
      <c r="AT260" s="154" t="s">
        <v>592</v>
      </c>
      <c r="AV260" s="154" t="s">
        <v>112</v>
      </c>
      <c r="AW260" s="154" t="s">
        <v>596</v>
      </c>
      <c r="AX260" s="154" t="s">
        <v>595</v>
      </c>
      <c r="AY260" s="154" t="s">
        <v>593</v>
      </c>
      <c r="AZ260" s="154" t="s">
        <v>593</v>
      </c>
    </row>
    <row r="261" spans="1:52" x14ac:dyDescent="0.25">
      <c r="A261" s="8"/>
      <c r="B261" s="5" t="s">
        <v>116</v>
      </c>
      <c r="C261" s="8"/>
      <c r="D261" s="6" t="s">
        <v>511</v>
      </c>
      <c r="E261" s="4"/>
      <c r="F261" s="6"/>
      <c r="G261" s="6"/>
      <c r="H261" s="6"/>
      <c r="I261" s="6"/>
      <c r="J261" s="1"/>
      <c r="K261" s="9"/>
      <c r="L261" s="6" t="s">
        <v>616</v>
      </c>
      <c r="M261" s="11">
        <f>INDEX(cennik!$C$2:$L$531,MATCH($L261,cennik!$B$2:$B$524,0),MATCH(M$2,cennik!$C$1:$L$1,0))</f>
        <v>731305</v>
      </c>
      <c r="N261" s="11" t="str">
        <f>INDEX(cennik!$C$2:$L$531,MATCH($L261,cennik!$B$2:$B$524,0),MATCH(N$2,cennik!$C$1:$L$1,0))</f>
        <v>szt.</v>
      </c>
      <c r="O261" s="11">
        <f>O262*2</f>
        <v>32</v>
      </c>
      <c r="P261" s="34">
        <f>INDEX(cennik!$C$2:$L$531,MATCH($L261,cennik!$B$2:$B$524,0),MATCH(P$2,cennik!$C$1:$L$1,0))</f>
        <v>5.12</v>
      </c>
      <c r="Q261" s="34">
        <f t="shared" si="522"/>
        <v>163.84</v>
      </c>
      <c r="R261" s="35">
        <f t="shared" si="520"/>
        <v>0</v>
      </c>
      <c r="S261" s="34">
        <f>P261*((100-$E$259)/100)</f>
        <v>5.12</v>
      </c>
      <c r="T261" s="34">
        <f t="shared" ref="T261:T263" si="523">O261*S261</f>
        <v>163.84</v>
      </c>
      <c r="U261" s="34">
        <f>INDEX(cennik!$C$2:$L$531,MATCH($L261,cennik!$B$2:$B$524,0),MATCH(U$2,cennik!$C$1:$L$1,0))*O261</f>
        <v>3.52</v>
      </c>
      <c r="AP261" s="154" t="s">
        <v>132</v>
      </c>
      <c r="AQ261" s="154" t="s">
        <v>596</v>
      </c>
      <c r="AR261" s="154" t="s">
        <v>594</v>
      </c>
      <c r="AS261" s="154" t="s">
        <v>592</v>
      </c>
      <c r="AT261" s="154" t="s">
        <v>592</v>
      </c>
      <c r="AV261" s="154" t="s">
        <v>132</v>
      </c>
      <c r="AW261" s="154" t="s">
        <v>596</v>
      </c>
      <c r="AX261" s="154" t="s">
        <v>595</v>
      </c>
      <c r="AY261" s="154" t="s">
        <v>593</v>
      </c>
      <c r="AZ261" s="154" t="s">
        <v>593</v>
      </c>
    </row>
    <row r="262" spans="1:52" x14ac:dyDescent="0.25">
      <c r="A262" s="8"/>
      <c r="B262" s="5" t="s">
        <v>116</v>
      </c>
      <c r="C262" s="8"/>
      <c r="D262" s="6" t="s">
        <v>310</v>
      </c>
      <c r="E262" s="5">
        <v>25</v>
      </c>
      <c r="F262" s="9"/>
      <c r="G262" s="9"/>
      <c r="H262" s="9"/>
      <c r="I262" s="9"/>
      <c r="J262" s="9"/>
      <c r="K262" s="9"/>
      <c r="L262" s="6" t="s">
        <v>695</v>
      </c>
      <c r="M262" s="11">
        <f>INDEX(cennik!$C$2:$L$531,MATCH($L262,cennik!$B$2:$B$524,0),MATCH(M$2,cennik!$C$1:$L$1,0))</f>
        <v>650400</v>
      </c>
      <c r="N262" s="11" t="str">
        <f>INDEX(cennik!$C$2:$L$531,MATCH($L262,cennik!$B$2:$B$524,0),MATCH(N$2,cennik!$C$1:$L$1,0))</f>
        <v>szt.</v>
      </c>
      <c r="O262" s="11">
        <f>SUM(AD240:AD255)</f>
        <v>16</v>
      </c>
      <c r="P262" s="34">
        <f>INDEX(cennik!$C$2:$L$531,MATCH($L262,cennik!$B$2:$B$524,0),MATCH(P$2,cennik!$C$1:$L$1,0))</f>
        <v>14.53</v>
      </c>
      <c r="Q262" s="34">
        <f t="shared" si="522"/>
        <v>232.48</v>
      </c>
      <c r="R262" s="35">
        <f t="shared" si="520"/>
        <v>0</v>
      </c>
      <c r="S262" s="34">
        <f t="shared" si="521"/>
        <v>14.53</v>
      </c>
      <c r="T262" s="34">
        <f t="shared" si="523"/>
        <v>232.48</v>
      </c>
      <c r="U262" s="34">
        <f>INDEX(cennik!$C$2:$L$531,MATCH($L262,cennik!$B$2:$B$524,0),MATCH(U$2,cennik!$C$1:$L$1,0))*O262</f>
        <v>7.68</v>
      </c>
      <c r="AP262" s="154" t="s">
        <v>470</v>
      </c>
      <c r="AQ262" s="154" t="s">
        <v>596</v>
      </c>
      <c r="AR262" s="154" t="s">
        <v>594</v>
      </c>
      <c r="AS262" s="154" t="s">
        <v>592</v>
      </c>
      <c r="AT262" s="154" t="s">
        <v>592</v>
      </c>
      <c r="AV262" s="154" t="s">
        <v>470</v>
      </c>
      <c r="AW262" s="154" t="s">
        <v>596</v>
      </c>
      <c r="AX262" s="154" t="s">
        <v>595</v>
      </c>
      <c r="AY262" s="154" t="s">
        <v>593</v>
      </c>
      <c r="AZ262" s="154" t="s">
        <v>593</v>
      </c>
    </row>
    <row r="263" spans="1:52" x14ac:dyDescent="0.25">
      <c r="A263" s="8"/>
      <c r="B263" s="5" t="s">
        <v>116</v>
      </c>
      <c r="C263" s="8"/>
      <c r="D263" s="6" t="s">
        <v>787</v>
      </c>
      <c r="E263" s="8">
        <v>1</v>
      </c>
      <c r="F263" s="39" t="s">
        <v>789</v>
      </c>
      <c r="G263" s="9"/>
      <c r="H263" s="9"/>
      <c r="I263" s="9"/>
      <c r="J263" s="9"/>
      <c r="K263" s="9"/>
      <c r="L263" s="6" t="s">
        <v>694</v>
      </c>
      <c r="M263" s="11">
        <f>INDEX(cennik!$C$2:$L$531,MATCH($L263,cennik!$B$2:$B$524,0),MATCH(M$2,cennik!$C$1:$L$1,0))</f>
        <v>6500451</v>
      </c>
      <c r="N263" s="11" t="str">
        <f>INDEX(cennik!$C$2:$L$531,MATCH($L263,cennik!$B$2:$B$524,0),MATCH(N$2,cennik!$C$1:$L$1,0))</f>
        <v>100 szt.</v>
      </c>
      <c r="O263" s="11">
        <f>ROUNDUP((O261*2)/100,0)</f>
        <v>1</v>
      </c>
      <c r="P263" s="34">
        <f>INDEX(cennik!$C$2:$L$531,MATCH($L263,cennik!$B$2:$B$524,0),MATCH(P$2,cennik!$C$1:$L$1,0))</f>
        <v>14.29</v>
      </c>
      <c r="Q263" s="34">
        <f t="shared" si="522"/>
        <v>14.29</v>
      </c>
      <c r="R263" s="35">
        <f t="shared" si="520"/>
        <v>0</v>
      </c>
      <c r="S263" s="34">
        <f t="shared" si="521"/>
        <v>14.29</v>
      </c>
      <c r="T263" s="34">
        <f t="shared" si="523"/>
        <v>14.29</v>
      </c>
      <c r="U263" s="34">
        <f>INDEX(cennik!$C$2:$L$531,MATCH($L263,cennik!$B$2:$B$524,0),MATCH(U$2,cennik!$C$1:$L$1,0))*O263</f>
        <v>0</v>
      </c>
      <c r="AP263" s="154" t="s">
        <v>472</v>
      </c>
      <c r="AQ263" s="154" t="s">
        <v>596</v>
      </c>
      <c r="AR263" s="154" t="s">
        <v>594</v>
      </c>
      <c r="AS263" s="154" t="s">
        <v>592</v>
      </c>
      <c r="AT263" s="154" t="s">
        <v>592</v>
      </c>
      <c r="AV263" s="154" t="s">
        <v>472</v>
      </c>
      <c r="AW263" s="154" t="s">
        <v>596</v>
      </c>
      <c r="AX263" s="154" t="s">
        <v>595</v>
      </c>
      <c r="AY263" s="154" t="s">
        <v>593</v>
      </c>
      <c r="AZ263" s="154" t="s">
        <v>593</v>
      </c>
    </row>
    <row r="264" spans="1:52" x14ac:dyDescent="0.25">
      <c r="A264" s="8"/>
      <c r="B264" s="5" t="s">
        <v>116</v>
      </c>
      <c r="C264" s="8"/>
      <c r="D264" s="6" t="s">
        <v>788</v>
      </c>
      <c r="E264" s="8">
        <v>2</v>
      </c>
      <c r="F264" s="39" t="s">
        <v>790</v>
      </c>
      <c r="G264" s="9"/>
      <c r="H264" s="9"/>
      <c r="I264" s="9"/>
      <c r="J264" s="9"/>
      <c r="K264" s="9"/>
      <c r="L264" s="6" t="s">
        <v>817</v>
      </c>
      <c r="M264" s="11">
        <f>INDEX(cennik!$C$2:$L$531,MATCH($L264,cennik!$B$2:$B$524,0),MATCH(M$2,cennik!$C$1:$L$1,0))</f>
        <v>881566</v>
      </c>
      <c r="N264" s="11" t="str">
        <f>INDEX(cennik!$C$2:$L$531,MATCH($L264,cennik!$B$2:$B$524,0),MATCH(N$2,cennik!$C$1:$L$1,0))</f>
        <v>szt.</v>
      </c>
      <c r="O264" s="11">
        <f>SUM(Y240:Y255)/2</f>
        <v>0</v>
      </c>
      <c r="P264" s="34">
        <f>INDEX(cennik!$C$2:$L$531,MATCH($L264,cennik!$B$2:$B$524,0),MATCH(P$2,cennik!$C$1:$L$1,0))</f>
        <v>265.20999999999998</v>
      </c>
      <c r="Q264" s="34">
        <f t="shared" ref="Q264:Q276" si="524">O264*P264</f>
        <v>0</v>
      </c>
      <c r="R264" s="35">
        <f t="shared" si="520"/>
        <v>0</v>
      </c>
      <c r="S264" s="34">
        <f t="shared" si="521"/>
        <v>265.20999999999998</v>
      </c>
      <c r="T264" s="34">
        <f t="shared" ref="T264:T276" si="525">O264*S264</f>
        <v>0</v>
      </c>
      <c r="U264" s="34">
        <f>INDEX(cennik!$C$2:$L$531,MATCH($L264,cennik!$B$2:$B$524,0),MATCH(U$2,cennik!$C$1:$L$1,0))*O264</f>
        <v>0</v>
      </c>
      <c r="AP264" s="154" t="s">
        <v>471</v>
      </c>
      <c r="AQ264" s="154" t="s">
        <v>596</v>
      </c>
      <c r="AR264" s="154" t="s">
        <v>594</v>
      </c>
      <c r="AS264" s="154" t="s">
        <v>592</v>
      </c>
      <c r="AT264" s="154" t="s">
        <v>592</v>
      </c>
      <c r="AV264" s="154" t="s">
        <v>471</v>
      </c>
      <c r="AW264" s="154" t="s">
        <v>596</v>
      </c>
      <c r="AX264" s="154" t="s">
        <v>595</v>
      </c>
      <c r="AY264" s="154" t="s">
        <v>593</v>
      </c>
      <c r="AZ264" s="154" t="s">
        <v>593</v>
      </c>
    </row>
    <row r="265" spans="1:52" x14ac:dyDescent="0.25">
      <c r="A265" s="8"/>
      <c r="B265" s="5" t="s">
        <v>116</v>
      </c>
      <c r="C265" s="8"/>
      <c r="D265" s="6" t="s">
        <v>752</v>
      </c>
      <c r="E265" s="59" t="str">
        <f>INDEX((AQ235:AU237),MATCH(E263,AP235:AP237,0),MATCH(E264,AQ234:AU234,0))</f>
        <v>2XSZEROKOŚĆ MODUŁU+40mm</v>
      </c>
      <c r="F265" s="9"/>
      <c r="G265" s="9"/>
      <c r="H265" s="9"/>
      <c r="I265" s="9"/>
      <c r="J265" s="29" t="s">
        <v>119</v>
      </c>
      <c r="K265" s="9"/>
      <c r="L265" s="6" t="s">
        <v>815</v>
      </c>
      <c r="M265" s="11">
        <f>INDEX(cennik!$C$2:$L$531,MATCH($L265,cennik!$B$2:$B$524,0),MATCH(M$2,cennik!$C$1:$L$1,0))</f>
        <v>881544</v>
      </c>
      <c r="N265" s="11" t="str">
        <f>INDEX(cennik!$C$2:$L$531,MATCH($L265,cennik!$B$2:$B$524,0),MATCH(N$2,cennik!$C$1:$L$1,0))</f>
        <v>szt.</v>
      </c>
      <c r="O265" s="11">
        <f>SUM(Z240:Z255)/2</f>
        <v>8</v>
      </c>
      <c r="P265" s="34">
        <f>INDEX(cennik!$C$2:$L$531,MATCH($L265,cennik!$B$2:$B$524,0),MATCH(P$2,cennik!$C$1:$L$1,0))</f>
        <v>176.8</v>
      </c>
      <c r="Q265" s="34">
        <f t="shared" si="524"/>
        <v>1414.4</v>
      </c>
      <c r="R265" s="35">
        <f t="shared" si="520"/>
        <v>0</v>
      </c>
      <c r="S265" s="34">
        <f t="shared" si="521"/>
        <v>176.8</v>
      </c>
      <c r="T265" s="34">
        <f t="shared" si="525"/>
        <v>1414.4</v>
      </c>
      <c r="U265" s="34">
        <f>INDEX(cennik!$C$2:$L$531,MATCH($L265,cennik!$B$2:$B$524,0),MATCH(U$2,cennik!$C$1:$L$1,0))*O265</f>
        <v>105.04</v>
      </c>
      <c r="AP265" s="154" t="s">
        <v>473</v>
      </c>
      <c r="AQ265" s="154" t="s">
        <v>596</v>
      </c>
      <c r="AR265" s="154" t="s">
        <v>594</v>
      </c>
      <c r="AS265" s="154" t="s">
        <v>592</v>
      </c>
      <c r="AT265" s="154" t="s">
        <v>592</v>
      </c>
      <c r="AV265" s="154" t="s">
        <v>473</v>
      </c>
      <c r="AW265" s="154" t="s">
        <v>596</v>
      </c>
      <c r="AX265" s="154" t="s">
        <v>595</v>
      </c>
      <c r="AY265" s="154" t="s">
        <v>593</v>
      </c>
      <c r="AZ265" s="154" t="s">
        <v>593</v>
      </c>
    </row>
    <row r="266" spans="1:52" x14ac:dyDescent="0.25">
      <c r="A266" s="8"/>
      <c r="B266" s="5" t="s">
        <v>116</v>
      </c>
      <c r="C266" s="8"/>
      <c r="D266" s="6" t="str">
        <f>IF(E257=$AC$8,"długość śruby GSW","")</f>
        <v/>
      </c>
      <c r="E266" s="38">
        <v>1600</v>
      </c>
      <c r="F266" s="9"/>
      <c r="G266" s="9"/>
      <c r="H266" s="9"/>
      <c r="I266" s="9"/>
      <c r="J266" s="29" t="str">
        <f>IF(E257=$AC$8,"[mm]","")</f>
        <v/>
      </c>
      <c r="K266" s="9"/>
      <c r="L266" s="6" t="s">
        <v>813</v>
      </c>
      <c r="M266" s="11">
        <f>INDEX(cennik!$C$2:$L$531,MATCH($L266,cennik!$B$2:$B$524,0),MATCH(M$2,cennik!$C$1:$L$1,0))</f>
        <v>881533</v>
      </c>
      <c r="N266" s="11" t="str">
        <f>INDEX(cennik!$C$2:$L$531,MATCH($L266,cennik!$B$2:$B$524,0),MATCH(N$2,cennik!$C$1:$L$1,0))</f>
        <v>szt.</v>
      </c>
      <c r="O266" s="11">
        <f>SUM(AA240:AA255)/2</f>
        <v>12</v>
      </c>
      <c r="P266" s="34">
        <f>INDEX(cennik!$C$2:$L$531,MATCH($L266,cennik!$B$2:$B$524,0),MATCH(P$2,cennik!$C$1:$L$1,0))</f>
        <v>132.6</v>
      </c>
      <c r="Q266" s="34">
        <f t="shared" si="524"/>
        <v>1591.1999999999998</v>
      </c>
      <c r="R266" s="35">
        <f t="shared" si="520"/>
        <v>0</v>
      </c>
      <c r="S266" s="34">
        <f t="shared" si="521"/>
        <v>132.6</v>
      </c>
      <c r="T266" s="34">
        <f t="shared" si="525"/>
        <v>1591.1999999999998</v>
      </c>
      <c r="U266" s="34">
        <f>INDEX(cennik!$C$2:$L$531,MATCH($L266,cennik!$B$2:$B$524,0),MATCH(U$2,cennik!$C$1:$L$1,0))*O266</f>
        <v>118.19999999999999</v>
      </c>
      <c r="AP266" s="154" t="s">
        <v>113</v>
      </c>
      <c r="AQ266" s="154" t="s">
        <v>596</v>
      </c>
      <c r="AR266" s="154" t="s">
        <v>594</v>
      </c>
      <c r="AS266" s="154" t="s">
        <v>592</v>
      </c>
      <c r="AT266" s="154" t="s">
        <v>592</v>
      </c>
      <c r="AV266" s="154" t="s">
        <v>113</v>
      </c>
      <c r="AW266" s="154" t="s">
        <v>596</v>
      </c>
      <c r="AX266" s="154" t="s">
        <v>595</v>
      </c>
      <c r="AY266" s="154" t="s">
        <v>593</v>
      </c>
      <c r="AZ266" s="154" t="s">
        <v>593</v>
      </c>
    </row>
    <row r="267" spans="1:52" x14ac:dyDescent="0.25">
      <c r="A267" s="8"/>
      <c r="B267" s="5" t="s">
        <v>116</v>
      </c>
      <c r="C267" s="8"/>
      <c r="D267" s="40" t="s">
        <v>795</v>
      </c>
      <c r="E267" s="9"/>
      <c r="F267" s="9"/>
      <c r="G267" s="9"/>
      <c r="H267" s="9"/>
      <c r="I267" s="9"/>
      <c r="J267" s="9"/>
      <c r="K267" s="9"/>
      <c r="L267" s="6" t="s">
        <v>819</v>
      </c>
      <c r="M267" s="11">
        <f>INDEX(cennik!$C$2:$L$531,MATCH($L267,cennik!$B$2:$B$524,0),MATCH(M$2,cennik!$C$1:$L$1,0))</f>
        <v>856106</v>
      </c>
      <c r="N267" s="11" t="str">
        <f>INDEX(cennik!$C$2:$L$531,MATCH($L267,cennik!$B$2:$B$524,0),MATCH(N$2,cennik!$C$1:$L$1,0))</f>
        <v>szt.</v>
      </c>
      <c r="O267" s="11">
        <f>SUM(X240:X255)/2</f>
        <v>16</v>
      </c>
      <c r="P267" s="34">
        <f>INDEX(cennik!$C$2:$L$531,MATCH($L267,cennik!$B$2:$B$524,0),MATCH(P$2,cennik!$C$1:$L$1,0))</f>
        <v>21.81</v>
      </c>
      <c r="Q267" s="34">
        <f t="shared" si="524"/>
        <v>348.96</v>
      </c>
      <c r="R267" s="35">
        <f t="shared" si="520"/>
        <v>0</v>
      </c>
      <c r="S267" s="34">
        <f t="shared" si="521"/>
        <v>21.81</v>
      </c>
      <c r="T267" s="34">
        <f t="shared" si="525"/>
        <v>348.96</v>
      </c>
      <c r="U267" s="34">
        <f>INDEX(cennik!$C$2:$L$531,MATCH($L267,cennik!$B$2:$B$524,0),MATCH(U$2,cennik!$C$1:$L$1,0))*O267</f>
        <v>36.799999999999997</v>
      </c>
      <c r="AP267" s="154" t="s">
        <v>137</v>
      </c>
      <c r="AQ267" s="154" t="s">
        <v>596</v>
      </c>
      <c r="AR267" s="154" t="s">
        <v>594</v>
      </c>
      <c r="AS267" s="154" t="s">
        <v>592</v>
      </c>
      <c r="AT267" s="154" t="s">
        <v>592</v>
      </c>
      <c r="AV267" s="154" t="s">
        <v>137</v>
      </c>
      <c r="AW267" s="154" t="s">
        <v>596</v>
      </c>
      <c r="AX267" s="154" t="s">
        <v>595</v>
      </c>
      <c r="AY267" s="154" t="s">
        <v>593</v>
      </c>
      <c r="AZ267" s="154" t="s">
        <v>593</v>
      </c>
    </row>
    <row r="268" spans="1:52" x14ac:dyDescent="0.25">
      <c r="A268" s="8"/>
      <c r="B268" s="5" t="s">
        <v>116</v>
      </c>
      <c r="C268" s="8"/>
      <c r="D268" s="40" t="s">
        <v>796</v>
      </c>
      <c r="E268" s="9"/>
      <c r="F268" s="9"/>
      <c r="G268" s="9"/>
      <c r="H268" s="9"/>
      <c r="I268" s="9"/>
      <c r="J268" s="9"/>
      <c r="K268" s="9"/>
      <c r="L268" s="6" t="str">
        <f>INDEX(($AH$3:$AI$12),MATCH(I255,$AG$3:$AG$12,0),MATCH(E256,$AH$2:$AI$2,0))</f>
        <v>BUF30</v>
      </c>
      <c r="M268" s="11">
        <f>INDEX(cennik!$C$2:$L$531,MATCH($L268,cennik!$B$2:$B$524,0),MATCH(M$2,cennik!$C$1:$L$1,0))</f>
        <v>897330</v>
      </c>
      <c r="N268" s="11" t="str">
        <f>INDEX(cennik!$C$2:$L$531,MATCH($L268,cennik!$B$2:$B$524,0),MATCH(N$2,cennik!$C$1:$L$1,0))</f>
        <v>szt.</v>
      </c>
      <c r="O268" s="11">
        <f>SUM((C254*8),(C255*8),(C256*8),(C257*8),(C258*8),(C259*8),(C260*8),(C261*8),(C262*8),(C263*8),(C264*8),(C265*8),(C266*8),(C267*8),(C268*8),(C269*8))</f>
        <v>16</v>
      </c>
      <c r="P268" s="34">
        <f>INDEX(cennik!$C$2:$L$531,MATCH($L268,cennik!$B$2:$B$524,0),MATCH(P$2,cennik!$C$1:$L$1,0))</f>
        <v>1.92</v>
      </c>
      <c r="Q268" s="34">
        <f t="shared" si="524"/>
        <v>30.72</v>
      </c>
      <c r="R268" s="35">
        <f t="shared" si="520"/>
        <v>0</v>
      </c>
      <c r="S268" s="34">
        <f t="shared" si="521"/>
        <v>1.92</v>
      </c>
      <c r="T268" s="34">
        <f t="shared" si="525"/>
        <v>30.72</v>
      </c>
      <c r="U268" s="34">
        <f>INDEX(cennik!$C$2:$L$531,MATCH($L268,cennik!$B$2:$B$524,0),MATCH(U$2,cennik!$C$1:$L$1,0))*O268</f>
        <v>0.32</v>
      </c>
      <c r="AP268" s="154" t="s">
        <v>138</v>
      </c>
      <c r="AQ268" s="154" t="s">
        <v>596</v>
      </c>
      <c r="AR268" s="154" t="s">
        <v>594</v>
      </c>
      <c r="AS268" s="154" t="s">
        <v>592</v>
      </c>
      <c r="AT268" s="154" t="s">
        <v>592</v>
      </c>
      <c r="AV268" s="154" t="s">
        <v>138</v>
      </c>
      <c r="AW268" s="154" t="s">
        <v>596</v>
      </c>
      <c r="AX268" s="154" t="s">
        <v>595</v>
      </c>
      <c r="AY268" s="154" t="s">
        <v>593</v>
      </c>
      <c r="AZ268" s="154" t="s">
        <v>593</v>
      </c>
    </row>
    <row r="269" spans="1:52" x14ac:dyDescent="0.25">
      <c r="A269" s="8"/>
      <c r="B269" s="5" t="s">
        <v>116</v>
      </c>
      <c r="C269" s="8"/>
      <c r="D269" s="40" t="s">
        <v>797</v>
      </c>
      <c r="E269" s="9"/>
      <c r="F269" s="9"/>
      <c r="G269" s="9"/>
      <c r="H269" s="9"/>
      <c r="I269" s="9"/>
      <c r="J269" s="9"/>
      <c r="K269" s="9"/>
      <c r="L269" s="6" t="str">
        <f>INDEX(($AH$13:$AI$13),1,MATCH(E256,$AH$2:$AI$2,0))</f>
        <v>PUF</v>
      </c>
      <c r="M269" s="11">
        <f>INDEX(cennik!$C$2:$L$531,MATCH($L269,cennik!$B$2:$B$524,0),MATCH(M$2,cennik!$C$1:$L$1,0))</f>
        <v>897300</v>
      </c>
      <c r="N269" s="11" t="str">
        <f>INDEX(cennik!$C$2:$L$531,MATCH($L269,cennik!$B$2:$B$524,0),MATCH(N$2,cennik!$C$1:$L$1,0))</f>
        <v>szt.</v>
      </c>
      <c r="O269" s="11">
        <f>SUM((((A254/2)-1)*4)*C254,(((A255/2)-1)*4)*C255,(((A256/2)-1)*4)*C256,(((A257/2)-1)*4)*C257,(((A258/2)-1)*4)*C258,(((A259/2)-1)*4)*C259,(((A260/2)-1)*4)*C260,(((A261/2)-1)*4)*C261,(((A262/2)-1)*4)*C262,(((A263/2)-1)*4)*C263,(((A264/2)-1)*4)*C264,(((A265/2)-1)*4)*C265,(((A266/2)-1)*4)*C266,(((A267/2)-1)*4)*C267,(((A268/2)-1)*4)*C268,(((A269/2)-1)*4)*C269)</f>
        <v>112</v>
      </c>
      <c r="P269" s="34">
        <f>INDEX(cennik!$C$2:$L$531,MATCH($L269,cennik!$B$2:$B$524,0),MATCH(P$2,cennik!$C$1:$L$1,0))</f>
        <v>2.06</v>
      </c>
      <c r="Q269" s="34">
        <f t="shared" si="524"/>
        <v>230.72</v>
      </c>
      <c r="R269" s="35">
        <f t="shared" si="520"/>
        <v>0</v>
      </c>
      <c r="S269" s="34">
        <f t="shared" si="521"/>
        <v>2.06</v>
      </c>
      <c r="T269" s="34">
        <f t="shared" si="525"/>
        <v>230.72</v>
      </c>
      <c r="U269" s="34">
        <f>INDEX(cennik!$C$2:$L$531,MATCH($L269,cennik!$B$2:$B$524,0),MATCH(U$2,cennik!$C$1:$L$1,0))*O269</f>
        <v>2.2400000000000002</v>
      </c>
      <c r="AP269" s="154" t="s">
        <v>478</v>
      </c>
      <c r="AQ269" s="154" t="s">
        <v>596</v>
      </c>
      <c r="AR269" s="154" t="s">
        <v>594</v>
      </c>
      <c r="AS269" s="154" t="s">
        <v>592</v>
      </c>
      <c r="AT269" s="154" t="s">
        <v>592</v>
      </c>
      <c r="AV269" s="154" t="s">
        <v>478</v>
      </c>
      <c r="AW269" s="154" t="s">
        <v>596</v>
      </c>
      <c r="AX269" s="154" t="s">
        <v>595</v>
      </c>
      <c r="AY269" s="154" t="s">
        <v>593</v>
      </c>
      <c r="AZ269" s="154" t="s">
        <v>593</v>
      </c>
    </row>
    <row r="270" spans="1:52" x14ac:dyDescent="0.25">
      <c r="A270" s="9"/>
      <c r="B270" s="6"/>
      <c r="C270" s="9"/>
      <c r="D270" s="40" t="s">
        <v>798</v>
      </c>
      <c r="E270" s="9"/>
      <c r="F270" s="9"/>
      <c r="G270" s="9"/>
      <c r="H270" s="9"/>
      <c r="I270" s="9"/>
      <c r="J270" s="9"/>
      <c r="K270" s="9"/>
      <c r="L270" s="6" t="str">
        <f>INDEX(($AJ$3:$AJ$12),MATCH(I255,$AG$3:$AG$12,0),1)</f>
        <v>SAM8X25E</v>
      </c>
      <c r="M270" s="11">
        <f>INDEX(cennik!$C$2:$L$531,MATCH($L270,cennik!$B$2:$B$524,0),MATCH(M$2,cennik!$C$1:$L$1,0))</f>
        <v>898525</v>
      </c>
      <c r="N270" s="11" t="str">
        <f>INDEX(cennik!$C$2:$L$531,MATCH($L270,cennik!$B$2:$B$524,0),MATCH(N$2,cennik!$C$1:$L$1,0))</f>
        <v>szt.</v>
      </c>
      <c r="O270" s="11">
        <f>SUM(O268:O269)</f>
        <v>128</v>
      </c>
      <c r="P270" s="34">
        <f>INDEX(cennik!$C$2:$L$531,MATCH($L270,cennik!$B$2:$B$524,0),MATCH(P$2,cennik!$C$1:$L$1,0))</f>
        <v>0.45</v>
      </c>
      <c r="Q270" s="34">
        <f t="shared" si="524"/>
        <v>57.6</v>
      </c>
      <c r="R270" s="35">
        <f t="shared" si="520"/>
        <v>0</v>
      </c>
      <c r="S270" s="34">
        <f t="shared" si="521"/>
        <v>0.45</v>
      </c>
      <c r="T270" s="34">
        <f t="shared" si="525"/>
        <v>57.6</v>
      </c>
      <c r="U270" s="34">
        <f>INDEX(cennik!$C$2:$L$531,MATCH($L270,cennik!$B$2:$B$524,0),MATCH(U$2,cennik!$C$1:$L$1,0))*O270</f>
        <v>6.4</v>
      </c>
      <c r="AP270" s="154" t="s">
        <v>479</v>
      </c>
      <c r="AQ270" s="154" t="s">
        <v>596</v>
      </c>
      <c r="AR270" s="154" t="s">
        <v>594</v>
      </c>
      <c r="AS270" s="154" t="s">
        <v>592</v>
      </c>
      <c r="AT270" s="154" t="s">
        <v>592</v>
      </c>
      <c r="AV270" s="154" t="s">
        <v>479</v>
      </c>
      <c r="AW270" s="154" t="s">
        <v>596</v>
      </c>
      <c r="AX270" s="154" t="s">
        <v>595</v>
      </c>
      <c r="AY270" s="154" t="s">
        <v>593</v>
      </c>
      <c r="AZ270" s="154" t="s">
        <v>593</v>
      </c>
    </row>
    <row r="271" spans="1:52" x14ac:dyDescent="0.2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6" t="s">
        <v>1019</v>
      </c>
      <c r="M271" s="11">
        <f>INDEX(cennik!$C$2:$L$531,MATCH($L271,cennik!$B$2:$B$524,0),MATCH(M$2,cennik!$C$1:$L$1,0))</f>
        <v>166794</v>
      </c>
      <c r="N271" s="11" t="str">
        <f>INDEX(cennik!$C$2:$L$531,MATCH($L271,cennik!$B$2:$B$524,0),MATCH(N$2,cennik!$C$1:$L$1,0))</f>
        <v>100 szt.</v>
      </c>
      <c r="O271" s="11">
        <f>ROUNDUP(O270/100,0)</f>
        <v>2</v>
      </c>
      <c r="P271" s="34">
        <f>INDEX(cennik!$C$2:$L$531,MATCH($L271,cennik!$B$2:$B$524,0),MATCH(P$2,cennik!$C$1:$L$1,0))</f>
        <v>3.95</v>
      </c>
      <c r="Q271" s="34">
        <f t="shared" si="524"/>
        <v>7.9</v>
      </c>
      <c r="R271" s="35">
        <f t="shared" si="520"/>
        <v>0</v>
      </c>
      <c r="S271" s="34">
        <f t="shared" si="521"/>
        <v>3.95</v>
      </c>
      <c r="T271" s="34">
        <f t="shared" si="525"/>
        <v>7.9</v>
      </c>
      <c r="U271" s="34">
        <f>INDEX(cennik!$C$2:$L$531,MATCH($L271,cennik!$B$2:$B$524,0),MATCH(U$2,cennik!$C$1:$L$1,0))*O271</f>
        <v>0</v>
      </c>
      <c r="AP271" s="154" t="s">
        <v>508</v>
      </c>
      <c r="AQ271" s="154" t="s">
        <v>596</v>
      </c>
      <c r="AR271" s="154" t="s">
        <v>594</v>
      </c>
      <c r="AS271" s="154" t="s">
        <v>592</v>
      </c>
      <c r="AT271" s="154" t="s">
        <v>592</v>
      </c>
      <c r="AV271" s="154" t="s">
        <v>508</v>
      </c>
      <c r="AW271" s="154" t="s">
        <v>596</v>
      </c>
      <c r="AX271" s="154" t="s">
        <v>595</v>
      </c>
      <c r="AY271" s="154" t="s">
        <v>593</v>
      </c>
      <c r="AZ271" s="154" t="s">
        <v>593</v>
      </c>
    </row>
    <row r="272" spans="1:52" x14ac:dyDescent="0.2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6" t="s">
        <v>525</v>
      </c>
      <c r="M272" s="11">
        <f>INDEX(cennik!$C$2:$L$531,MATCH($L272,cennik!$B$2:$B$524,0),MATCH(M$2,cennik!$C$1:$L$1,0))</f>
        <v>660245</v>
      </c>
      <c r="N272" s="11" t="str">
        <f>INDEX(cennik!$C$2:$L$531,MATCH($L272,cennik!$B$2:$B$524,0),MATCH(N$2,cennik!$C$1:$L$1,0))</f>
        <v>szt.</v>
      </c>
      <c r="O272" s="11">
        <f>SUM(O268:O269)</f>
        <v>128</v>
      </c>
      <c r="P272" s="34">
        <f>INDEX(cennik!$C$2:$L$531,MATCH($L272,cennik!$B$2:$B$524,0),MATCH(P$2,cennik!$C$1:$L$1,0))</f>
        <v>1.56</v>
      </c>
      <c r="Q272" s="34">
        <f t="shared" si="524"/>
        <v>199.68</v>
      </c>
      <c r="R272" s="35">
        <f t="shared" si="520"/>
        <v>0</v>
      </c>
      <c r="S272" s="34">
        <f t="shared" si="521"/>
        <v>1.56</v>
      </c>
      <c r="T272" s="34">
        <f t="shared" si="525"/>
        <v>199.68</v>
      </c>
      <c r="U272" s="34">
        <f>INDEX(cennik!$C$2:$L$531,MATCH($L272,cennik!$B$2:$B$524,0),MATCH(U$2,cennik!$C$1:$L$1,0))*O272</f>
        <v>0</v>
      </c>
      <c r="AP272" s="154" t="s">
        <v>507</v>
      </c>
      <c r="AQ272" s="154" t="s">
        <v>596</v>
      </c>
      <c r="AR272" s="154" t="s">
        <v>594</v>
      </c>
      <c r="AS272" s="154" t="s">
        <v>592</v>
      </c>
      <c r="AT272" s="154" t="s">
        <v>592</v>
      </c>
      <c r="AV272" s="154" t="s">
        <v>507</v>
      </c>
      <c r="AW272" s="154" t="s">
        <v>596</v>
      </c>
      <c r="AX272" s="154" t="s">
        <v>595</v>
      </c>
      <c r="AY272" s="154" t="s">
        <v>593</v>
      </c>
      <c r="AZ272" s="154" t="s">
        <v>593</v>
      </c>
    </row>
    <row r="273" spans="1:21" x14ac:dyDescent="0.2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6" t="s">
        <v>799</v>
      </c>
      <c r="M273" s="11">
        <f>INDEX(cennik!$C$2:$L$531,MATCH($L273,cennik!$B$2:$B$524,0),MATCH(M$2,cennik!$C$1:$L$1,0))</f>
        <v>6510443</v>
      </c>
      <c r="N273" s="11" t="str">
        <f>INDEX(cennik!$C$2:$L$531,MATCH($L273,cennik!$B$2:$B$524,0),MATCH(N$2,cennik!$C$1:$L$1,0))</f>
        <v>100 szt.</v>
      </c>
      <c r="O273" s="11">
        <f>O274</f>
        <v>4</v>
      </c>
      <c r="P273" s="34">
        <f>INDEX(cennik!$C$2:$L$531,MATCH($L273,cennik!$B$2:$B$524,0),MATCH(P$2,cennik!$C$1:$L$1,0))</f>
        <v>43.51</v>
      </c>
      <c r="Q273" s="34">
        <f t="shared" ref="Q273" si="526">O273*P273</f>
        <v>174.04</v>
      </c>
      <c r="R273" s="35">
        <f t="shared" si="520"/>
        <v>0</v>
      </c>
      <c r="S273" s="34">
        <f t="shared" ref="S273" si="527">P273*((100-$E$259)/100)</f>
        <v>43.51</v>
      </c>
      <c r="T273" s="34">
        <f t="shared" ref="T273" si="528">O273*S273</f>
        <v>174.04</v>
      </c>
      <c r="U273" s="34">
        <f>INDEX(cennik!$C$2:$L$531,MATCH($L273,cennik!$B$2:$B$524,0),MATCH(U$2,cennik!$C$1:$L$1,0))*O273</f>
        <v>0</v>
      </c>
    </row>
    <row r="274" spans="1:21" x14ac:dyDescent="0.2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6" t="s">
        <v>350</v>
      </c>
      <c r="M274" s="11">
        <f>INDEX(cennik!$C$2:$L$531,MATCH($L274,cennik!$B$2:$B$524,0),MATCH(M$2,cennik!$C$1:$L$1,0))</f>
        <v>651643</v>
      </c>
      <c r="N274" s="11" t="str">
        <f>INDEX(cennik!$C$2:$L$531,MATCH($L274,cennik!$B$2:$B$524,0),MATCH(N$2,cennik!$C$1:$L$1,0))</f>
        <v>100 szt.</v>
      </c>
      <c r="O274" s="11">
        <f>ROUNDUP(((O257*4)+(O261)+(O279*4)+(O267*12)+(O256*9)+(E260)+(O259*2))/100,0)</f>
        <v>4</v>
      </c>
      <c r="P274" s="34">
        <f>INDEX(cennik!$C$2:$L$531,MATCH($L274,cennik!$B$2:$B$524,0),MATCH(P$2,cennik!$C$1:$L$1,0))</f>
        <v>144.19</v>
      </c>
      <c r="Q274" s="34">
        <f t="shared" si="524"/>
        <v>576.76</v>
      </c>
      <c r="R274" s="35">
        <f t="shared" si="520"/>
        <v>0</v>
      </c>
      <c r="S274" s="34">
        <f t="shared" si="521"/>
        <v>144.19</v>
      </c>
      <c r="T274" s="34">
        <f t="shared" si="525"/>
        <v>576.76</v>
      </c>
      <c r="U274" s="34">
        <f>INDEX(cennik!$C$2:$L$531,MATCH($L274,cennik!$B$2:$B$524,0),MATCH(U$2,cennik!$C$1:$L$1,0))*O274</f>
        <v>13.2</v>
      </c>
    </row>
    <row r="275" spans="1:21" x14ac:dyDescent="0.2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6" t="s">
        <v>128</v>
      </c>
      <c r="M275" s="11">
        <f>INDEX(cennik!$C$2:$L$531,MATCH($L275,cennik!$B$2:$B$524,0),MATCH(M$2,cennik!$C$1:$L$1,0))</f>
        <v>897303</v>
      </c>
      <c r="N275" s="11" t="str">
        <f>INDEX(cennik!$C$2:$L$531,MATCH($L275,cennik!$B$2:$B$524,0),MATCH(N$2,cennik!$C$1:$L$1,0))</f>
        <v>szt.</v>
      </c>
      <c r="O275" s="11">
        <f>SUM((IF(MOD((A254/2),2)=0,(A254/2)/2,IF(MOD((A254/2),2)=1,FLOOR((A254/2)/2,1)+1,0))*C254*2),(IF(MOD((A255/2),2)=0,(A255/2)/2,IF(MOD((A255/2),2)=1,FLOOR((A255/2)/2,1)+1,0))*C255*2),(IF(MOD((A256/2),2)=0,(A256/2)/2,IF(MOD((A256/2),2)=1,FLOOR((A256/2)/2,1)+1,0))*C256*2),(IF(MOD((A257/2),2)=0,(A257/2)/2,IF(MOD((A257/2),2)=1,FLOOR((A257/2)/2,1)+1,0))*C257*2),(IF(MOD((A258/2),2)=0,(A258/2)/2,IF(MOD((A258/2),2)=1,FLOOR((A258/2)/2,1)+1,0))*C258*2),(IF(MOD((A259/2),2)=0,(A259/2)/2,IF(MOD((A259/2),2)=1,FLOOR((A259/2)/2,1)+1,0))*C259*2),(IF(MOD((A260/2),2)=0,(A260/2)/2,IF(MOD((A260/2),2)=1,FLOOR((A260/2)/2,1)+1,0))*C260*2),(IF(MOD((A261/2),2)=0,(A261/2)/2,IF(MOD((A261/2),2)=1,FLOOR((A261/2)/2,1)+1,0))*C261*2),(IF(MOD((A262/2),2)=0,(A262/2)/2,IF(MOD((A262/2),2)=1,FLOOR((A262/2)/2,1)+1,0))*C262*2),(IF(MOD((A263/2),2)=0,(A263/2)/2,IF(MOD((A263/2),2)=1,FLOOR((A263/2)/2,1)+1,0))*C263*2),(IF(MOD((A264/2),2)=0,(A264/2)/2,IF(MOD((A264/2),2)=1,FLOOR((A264/2)/2,1)+1,0))*C264*2),(IF(MOD((A265/2),2)=0,(A265/2)/2,IF(MOD((A265/2),2)=1,FLOOR((A265/2)/2,1)+1,0))*C265*2),(IF(MOD((A266/2),2)=0,(A266/2)/2,IF(MOD((A266/2),2)=1,FLOOR((A266/2)/2,1)+1,0))*C266*2),(IF(MOD((A267/2),2)=0,(A267/2)/2,IF(MOD((A267/2),2)=1,FLOOR((A267/2)/2,1)+1,0))*C267*2),(IF(MOD((A268/2),2)=0,(A268/2)/2,IF(MOD((A268/2),2)=1,FLOOR((A268/2)/2,1)+1,0))*C268*2),(IF(MOD((A269/2),2)=0,(A269/2)/2,IF(MOD((A269/2),2)=1,FLOOR((A269/2)/2,1)+1,0))*C269*2))</f>
        <v>32</v>
      </c>
      <c r="P275" s="34">
        <f>INDEX(cennik!$C$2:$L$531,MATCH($L275,cennik!$B$2:$B$524,0),MATCH(P$2,cennik!$C$1:$L$1,0))</f>
        <v>2.4</v>
      </c>
      <c r="Q275" s="34">
        <f t="shared" si="524"/>
        <v>76.8</v>
      </c>
      <c r="R275" s="35">
        <f t="shared" si="520"/>
        <v>0</v>
      </c>
      <c r="S275" s="34">
        <f t="shared" si="521"/>
        <v>2.4</v>
      </c>
      <c r="T275" s="34">
        <f t="shared" si="525"/>
        <v>76.8</v>
      </c>
      <c r="U275" s="34">
        <f>INDEX(cennik!$C$2:$L$531,MATCH($L275,cennik!$B$2:$B$524,0),MATCH(U$2,cennik!$C$1:$L$1,0))*O275</f>
        <v>0.51200000000000001</v>
      </c>
    </row>
    <row r="276" spans="1:21" x14ac:dyDescent="0.2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6" t="s">
        <v>319</v>
      </c>
      <c r="M276" s="11">
        <f>INDEX(cennik!$C$2:$L$531,MATCH($L276,cennik!$B$2:$B$524,0),MATCH(M$2,cennik!$C$1:$L$1,0))</f>
        <v>890111</v>
      </c>
      <c r="N276" s="11" t="str">
        <f>INDEX(cennik!$C$2:$L$531,MATCH($L276,cennik!$B$2:$B$524,0),MATCH(N$2,cennik!$C$1:$L$1,0))</f>
        <v>100 szt.</v>
      </c>
      <c r="O276" s="11">
        <f>ROUNDUP((O255*4)/100,0)</f>
        <v>0</v>
      </c>
      <c r="P276" s="34">
        <f>INDEX(cennik!$C$2:$L$531,MATCH($L276,cennik!$B$2:$B$524,0),MATCH(P$2,cennik!$C$1:$L$1,0))</f>
        <v>174.59</v>
      </c>
      <c r="Q276" s="34">
        <f t="shared" si="524"/>
        <v>0</v>
      </c>
      <c r="R276" s="35">
        <f t="shared" si="520"/>
        <v>0</v>
      </c>
      <c r="S276" s="34">
        <f t="shared" si="521"/>
        <v>174.59</v>
      </c>
      <c r="T276" s="34">
        <f t="shared" si="525"/>
        <v>0</v>
      </c>
      <c r="U276" s="34">
        <f>INDEX(cennik!$C$2:$L$531,MATCH($L276,cennik!$B$2:$B$524,0),MATCH(U$2,cennik!$C$1:$L$1,0))*O276</f>
        <v>0</v>
      </c>
    </row>
    <row r="277" spans="1:21" x14ac:dyDescent="0.2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6" t="s">
        <v>316</v>
      </c>
      <c r="M277" s="11"/>
      <c r="N277" s="11"/>
      <c r="O277" s="11"/>
      <c r="P277" s="34"/>
      <c r="Q277" s="34"/>
      <c r="R277" s="35"/>
      <c r="S277" s="34"/>
      <c r="T277" s="34"/>
      <c r="U277" s="34"/>
    </row>
    <row r="278" spans="1:21" x14ac:dyDescent="0.2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6" t="s">
        <v>591</v>
      </c>
      <c r="M278" s="11">
        <f>INDEX(cennik!$C$2:$L$531,MATCH($L278,cennik!$B$2:$B$524,0),MATCH(M$2,cennik!$C$1:$L$1,0))</f>
        <v>867810</v>
      </c>
      <c r="N278" s="11" t="str">
        <f>INDEX(cennik!$C$2:$L$531,MATCH($L278,cennik!$B$2:$B$524,0),MATCH(N$2,cennik!$C$1:$L$1,0))</f>
        <v>szt.</v>
      </c>
      <c r="O278" s="24">
        <f>E258*2</f>
        <v>0</v>
      </c>
      <c r="P278" s="34">
        <f>INDEX(cennik!$C$2:$L$531,MATCH($L278,cennik!$B$2:$B$524,0),MATCH(P$2,cennik!$C$1:$L$1,0))</f>
        <v>50.61</v>
      </c>
      <c r="Q278" s="34">
        <f>O278*P278</f>
        <v>0</v>
      </c>
      <c r="R278" s="35">
        <f>$E$259</f>
        <v>0</v>
      </c>
      <c r="S278" s="34">
        <f t="shared" si="521"/>
        <v>50.61</v>
      </c>
      <c r="T278" s="34">
        <f>O278*S278</f>
        <v>0</v>
      </c>
      <c r="U278" s="34">
        <f>INDEX(cennik!$C$2:$L$531,MATCH($L278,cennik!$B$2:$B$524,0),MATCH(U$2,cennik!$C$1:$L$1,0))*O278</f>
        <v>0</v>
      </c>
    </row>
    <row r="279" spans="1:21" x14ac:dyDescent="0.25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6" t="s">
        <v>594</v>
      </c>
      <c r="M279" s="11">
        <f>INDEX(cennik!$C$2:$L$531,MATCH($L279,cennik!$B$2:$B$524,0),MATCH(M$2,cennik!$C$1:$L$1,0))</f>
        <v>867830</v>
      </c>
      <c r="N279" s="11" t="str">
        <f>INDEX(cennik!$C$2:$L$531,MATCH($L279,cennik!$B$2:$B$524,0),MATCH(N$2,cennik!$C$1:$L$1,0))</f>
        <v>szt.</v>
      </c>
      <c r="O279" s="11">
        <f>E258*2</f>
        <v>0</v>
      </c>
      <c r="P279" s="34">
        <f>INDEX(cennik!$C$2:$L$531,MATCH($L279,cennik!$B$2:$B$524,0),MATCH(P$2,cennik!$C$1:$L$1,0))</f>
        <v>151.83000000000001</v>
      </c>
      <c r="Q279" s="34">
        <f>O279*P279</f>
        <v>0</v>
      </c>
      <c r="R279" s="35">
        <f>$E$259</f>
        <v>0</v>
      </c>
      <c r="S279" s="34">
        <f t="shared" si="521"/>
        <v>151.83000000000001</v>
      </c>
      <c r="T279" s="34">
        <f>O279*S279</f>
        <v>0</v>
      </c>
      <c r="U279" s="34">
        <f>INDEX(cennik!$C$2:$L$531,MATCH($L279,cennik!$B$2:$B$524,0),MATCH(U$2,cennik!$C$1:$L$1,0))*O279</f>
        <v>0</v>
      </c>
    </row>
    <row r="280" spans="1:21" x14ac:dyDescent="0.25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9"/>
      <c r="M280" s="11"/>
      <c r="N280" s="11"/>
      <c r="O280" s="11"/>
      <c r="P280" s="34"/>
      <c r="Q280" s="34"/>
      <c r="R280" s="34"/>
      <c r="S280" s="34"/>
      <c r="T280" s="34">
        <f>SUM(T255:T279)</f>
        <v>17117.53</v>
      </c>
      <c r="U280" s="34">
        <f>SUM(U255:U279)</f>
        <v>1183.492</v>
      </c>
    </row>
    <row r="281" spans="1:21" x14ac:dyDescent="0.25"/>
    <row r="282" spans="1:21" x14ac:dyDescent="0.25"/>
  </sheetData>
  <sheetProtection algorithmName="SHA-512" hashValue="K3fY6MPEpg8eG0w/JD9RhQAQS4swlBb9M/nz1F6Od8HfR3mpxX7sQkhnuqq6zjfw93vS2t+RgaspQLC1fwf8+w==" saltValue="vzyNsvzrNrRKCB0arGfH7w==" spinCount="100000" sheet="1" objects="1" scenarios="1"/>
  <dataConsolidate/>
  <mergeCells count="9">
    <mergeCell ref="L253:U253"/>
    <mergeCell ref="L191:U191"/>
    <mergeCell ref="L218:U218"/>
    <mergeCell ref="L1:U1"/>
    <mergeCell ref="L33:U33"/>
    <mergeCell ref="L65:U65"/>
    <mergeCell ref="L97:U97"/>
    <mergeCell ref="L129:U129"/>
    <mergeCell ref="L161:U161"/>
  </mergeCells>
  <phoneticPr fontId="40" type="noConversion"/>
  <conditionalFormatting sqref="E14">
    <cfRule type="expression" dxfId="20" priority="8">
      <formula>IF($E$5="wkręcana",1)</formula>
    </cfRule>
  </conditionalFormatting>
  <conditionalFormatting sqref="E45">
    <cfRule type="expression" dxfId="19" priority="7">
      <formula>IF($E$37="wkręcana",1)</formula>
    </cfRule>
  </conditionalFormatting>
  <conditionalFormatting sqref="E77">
    <cfRule type="expression" dxfId="18" priority="6">
      <formula>IF($E$69="wkręcana",1)</formula>
    </cfRule>
  </conditionalFormatting>
  <conditionalFormatting sqref="E110">
    <cfRule type="expression" dxfId="17" priority="5">
      <formula>IF($E$101="wkręcana",1)</formula>
    </cfRule>
  </conditionalFormatting>
  <conditionalFormatting sqref="E141">
    <cfRule type="expression" dxfId="16" priority="4">
      <formula>IF($E$133="wkręcana",1)</formula>
    </cfRule>
  </conditionalFormatting>
  <conditionalFormatting sqref="E174">
    <cfRule type="expression" dxfId="15" priority="3">
      <formula>IF($E$165="wkręcana",1)</formula>
    </cfRule>
  </conditionalFormatting>
  <conditionalFormatting sqref="E231">
    <cfRule type="expression" dxfId="14" priority="2">
      <formula>IF($E$222="wkręcana",1)</formula>
    </cfRule>
  </conditionalFormatting>
  <conditionalFormatting sqref="E266">
    <cfRule type="expression" dxfId="13" priority="1">
      <formula>IF($E$257="wkręcana",1)</formula>
    </cfRule>
  </conditionalFormatting>
  <dataValidations count="37">
    <dataValidation type="list" allowBlank="1" showInputMessage="1" showErrorMessage="1" sqref="I3 I255 I220 I35 I67 I99 I131 I163 I193" xr:uid="{00000000-0002-0000-0400-000000000000}">
      <formula1>$DR$19:$DR$26</formula1>
    </dataValidation>
    <dataValidation type="whole" allowBlank="1" showInputMessage="1" showErrorMessage="1" sqref="E8 E168 E40 E72 E104 E136 E198 E225 E260" xr:uid="{00000000-0002-0000-0400-000001000000}">
      <formula1>0</formula1>
      <formula2>5000</formula2>
    </dataValidation>
    <dataValidation type="list" allowBlank="1" showInputMessage="1" showErrorMessage="1" sqref="AH170" xr:uid="{00000000-0002-0000-0400-000002000000}">
      <formula1>$BJ$166:$BU$166</formula1>
    </dataValidation>
    <dataValidation type="list" allowBlank="1" showInputMessage="1" showErrorMessage="1" sqref="AH139" xr:uid="{00000000-0002-0000-0400-000003000000}">
      <formula1>$BJ$138:$CF$138</formula1>
    </dataValidation>
    <dataValidation type="list" allowBlank="1" showInputMessage="1" showErrorMessage="1" sqref="AH113" xr:uid="{00000000-0002-0000-0400-000004000000}">
      <formula1>$BJ$111:$CF$111</formula1>
    </dataValidation>
    <dataValidation type="list" allowBlank="1" showInputMessage="1" showErrorMessage="1" sqref="A162:A177" xr:uid="{00000000-0002-0000-0400-000005000000}">
      <formula1>$DR$137:$DR$160</formula1>
    </dataValidation>
    <dataValidation type="list" allowBlank="1" showInputMessage="1" showErrorMessage="1" sqref="AJ20" xr:uid="{00000000-0002-0000-0400-000006000000}">
      <formula1>$DR$2:$DR$13</formula1>
    </dataValidation>
    <dataValidation type="list" allowBlank="1" showInputMessage="1" showErrorMessage="1" sqref="A2:A17 A219:A234" xr:uid="{00000000-0002-0000-0400-000007000000}">
      <formula1>$DR$1:$DR$13</formula1>
    </dataValidation>
    <dataValidation type="list" allowBlank="1" showInputMessage="1" showErrorMessage="1" sqref="A66" xr:uid="{00000000-0002-0000-0400-000008000000}">
      <formula1>$DR$57:$DR$68</formula1>
    </dataValidation>
    <dataValidation type="list" allowBlank="1" showInputMessage="1" showErrorMessage="1" sqref="A34" xr:uid="{00000000-0002-0000-0400-000009000000}">
      <formula1>$DR$30:$DR$41</formula1>
    </dataValidation>
    <dataValidation type="list" allowBlank="1" showInputMessage="1" showErrorMessage="1" sqref="A192:A207" xr:uid="{00000000-0002-0000-0400-00000A000000}">
      <formula1>$DR$165:$DR$177</formula1>
    </dataValidation>
    <dataValidation type="list" allowBlank="1" showInputMessage="1" showErrorMessage="1" sqref="A130:A145" xr:uid="{00000000-0002-0000-0400-00000B000000}">
      <formula1>$DR$110:$DR$133</formula1>
    </dataValidation>
    <dataValidation type="list" allowBlank="1" showInputMessage="1" showErrorMessage="1" sqref="A254:A269 A98:A113" xr:uid="{00000000-0002-0000-0400-00000C000000}">
      <formula1>$DR$83:$DR$106</formula1>
    </dataValidation>
    <dataValidation type="list" allowBlank="1" showInputMessage="1" showErrorMessage="1" sqref="A67:A81" xr:uid="{00000000-0002-0000-0400-00000D000000}">
      <formula1>$DR$56:$DR$68</formula1>
    </dataValidation>
    <dataValidation type="list" allowBlank="1" showInputMessage="1" showErrorMessage="1" sqref="A35:A49" xr:uid="{00000000-0002-0000-0400-00000E000000}">
      <formula1>$DR$29:$DR$41</formula1>
    </dataValidation>
    <dataValidation type="list" allowBlank="1" showInputMessage="1" showErrorMessage="1" sqref="AI86" xr:uid="{00000000-0002-0000-0400-00000F000000}">
      <formula1>$CO$84:$DL$84</formula1>
    </dataValidation>
    <dataValidation type="custom" showInputMessage="1" showErrorMessage="1" error="W pierwszej kolejności należy uzupełnić ilość modułów na stole" sqref="C2:C17 C98:C113 C130:C145 C162:C177 C219:C234 C254:C269 C34:C49 C66:C81" xr:uid="{00000000-0002-0000-0400-000010000000}">
      <formula1>A2&gt;0</formula1>
    </dataValidation>
    <dataValidation type="custom" showInputMessage="1" showErrorMessage="1" error="W pierwszej kolejności należy uzupełnić ilość modułów w rzędzie" sqref="C192:C207" xr:uid="{00000000-0002-0000-0400-000011000000}">
      <formula1>A192&gt;0</formula1>
    </dataValidation>
    <dataValidation type="list" allowBlank="1" showInputMessage="1" showErrorMessage="1" sqref="E5 E37 E69 E101 E133 E165 E195 E222 E257" xr:uid="{00000000-0002-0000-0400-000012000000}">
      <formula1>$AC$5:$AC$8</formula1>
    </dataValidation>
    <dataValidation type="list" allowBlank="1" showInputMessage="1" showErrorMessage="1" sqref="E4 E36 E68 E100 E132 E164 E194 E221 E256" xr:uid="{00000000-0002-0000-0400-000013000000}">
      <formula1>$AC$2:$AC$3</formula1>
    </dataValidation>
    <dataValidation type="list" allowBlank="1" showInputMessage="1" showErrorMessage="1" sqref="AK192" xr:uid="{00000000-0002-0000-0400-000014000000}">
      <formula1>$BI$184:$BU$184</formula1>
    </dataValidation>
    <dataValidation type="list" allowBlank="1" showInputMessage="1" showErrorMessage="1" sqref="G67" xr:uid="{00000000-0002-0000-0400-000015000000}">
      <formula1>$AE$24:$AE$26</formula1>
    </dataValidation>
    <dataValidation type="list" allowBlank="1" showInputMessage="1" showErrorMessage="1" sqref="G193 G163 G35" xr:uid="{00000000-0002-0000-0400-000016000000}">
      <formula1>$AE$24:$AE$27</formula1>
    </dataValidation>
    <dataValidation type="list" allowBlank="1" showInputMessage="1" showErrorMessage="1" sqref="G3 G220" xr:uid="{00000000-0002-0000-0400-000017000000}">
      <formula1>$AE$24:$AE$30</formula1>
    </dataValidation>
    <dataValidation type="list" allowBlank="1" showInputMessage="1" showErrorMessage="1" sqref="E11 E263 E171 E138 E107 E74 E42 E228" xr:uid="{00000000-0002-0000-0400-000018000000}">
      <formula1>$DS$21:$DS$23</formula1>
    </dataValidation>
    <dataValidation type="list" allowBlank="1" showInputMessage="1" showErrorMessage="1" sqref="E12 E264 E172 E139 E108 E75 E43 E229" xr:uid="{00000000-0002-0000-0400-000019000000}">
      <formula1>$DS$15:$DS$19</formula1>
    </dataValidation>
    <dataValidation type="list" allowBlank="1" showInputMessage="1" showErrorMessage="1" sqref="AK20" xr:uid="{00000000-0002-0000-0400-00001A000000}">
      <formula1>$AF$45:$AF$46</formula1>
    </dataValidation>
    <dataValidation type="list" allowBlank="1" showInputMessage="1" showErrorMessage="1" sqref="AI170" xr:uid="{00000000-0002-0000-0400-00001B000000}">
      <formula1>$AF$33:$AF$44</formula1>
    </dataValidation>
    <dataValidation type="list" allowBlank="1" showInputMessage="1" showErrorMessage="1" sqref="E193 E255 E3 E67 E35" xr:uid="{00000000-0002-0000-0400-00001C000000}">
      <formula1>$AE$33:$AE$46</formula1>
    </dataValidation>
    <dataValidation type="list" allowBlank="1" showInputMessage="1" showErrorMessage="1" sqref="E163" xr:uid="{00000000-0002-0000-0400-00001D000000}">
      <formula1>$AE$33:$AE$35</formula1>
    </dataValidation>
    <dataValidation type="list" allowBlank="1" showInputMessage="1" showErrorMessage="1" sqref="AL192" xr:uid="{00000000-0002-0000-0400-00001E000000}">
      <formula1>$AF$33:$AF$46</formula1>
    </dataValidation>
    <dataValidation type="list" allowBlank="1" showInputMessage="1" showErrorMessage="1" sqref="E131" xr:uid="{00000000-0002-0000-0400-00001F000000}">
      <formula1>$AE$33:$AE$41</formula1>
    </dataValidation>
    <dataValidation type="list" allowBlank="1" showInputMessage="1" showErrorMessage="1" sqref="E220" xr:uid="{00000000-0002-0000-0400-000020000000}">
      <formula1>$AE$33:$AE$47</formula1>
    </dataValidation>
    <dataValidation type="list" allowBlank="1" showInputMessage="1" showErrorMessage="1" sqref="G255 G99 G131" xr:uid="{00000000-0002-0000-0400-000021000000}">
      <formula1>$AE$24:$AE$32</formula1>
    </dataValidation>
    <dataValidation type="list" allowBlank="1" showInputMessage="1" showErrorMessage="1" sqref="E14 E266 E231 E174 E141 E110 E77 E45" xr:uid="{00000000-0002-0000-0400-000022000000}">
      <formula1>$DS$10:$DS$11</formula1>
    </dataValidation>
    <dataValidation type="list" allowBlank="1" showInputMessage="1" showErrorMessage="1" sqref="E106 E10 E170 E227" xr:uid="{00000000-0002-0000-0400-000023000000}">
      <formula1>$DS$6:$DS$7</formula1>
    </dataValidation>
    <dataValidation type="list" allowBlank="1" showInputMessage="1" showErrorMessage="1" sqref="E99" xr:uid="{00000000-0002-0000-0400-000024000000}">
      <formula1>$AE$33:$AE$50</formula1>
    </dataValidation>
  </dataValidations>
  <hyperlinks>
    <hyperlink ref="D15" r:id="rId1" xr:uid="{00000000-0004-0000-0400-000000000000}"/>
    <hyperlink ref="D16" r:id="rId2" xr:uid="{00000000-0004-0000-0400-000001000000}"/>
    <hyperlink ref="D18" r:id="rId3" xr:uid="{00000000-0004-0000-0400-000003000000}"/>
    <hyperlink ref="D46" r:id="rId4" xr:uid="{00000000-0004-0000-0400-000004000000}"/>
    <hyperlink ref="D47" r:id="rId5" xr:uid="{00000000-0004-0000-0400-000005000000}"/>
    <hyperlink ref="D48" r:id="rId6" xr:uid="{00000000-0004-0000-0400-000006000000}"/>
    <hyperlink ref="D49" r:id="rId7" xr:uid="{00000000-0004-0000-0400-000007000000}"/>
    <hyperlink ref="D78" r:id="rId8" xr:uid="{00000000-0004-0000-0400-000008000000}"/>
    <hyperlink ref="D79" r:id="rId9" xr:uid="{00000000-0004-0000-0400-000009000000}"/>
    <hyperlink ref="D80" r:id="rId10" xr:uid="{00000000-0004-0000-0400-00000A000000}"/>
    <hyperlink ref="D81" r:id="rId11" xr:uid="{00000000-0004-0000-0400-00000B000000}"/>
    <hyperlink ref="D111" r:id="rId12" xr:uid="{00000000-0004-0000-0400-00000C000000}"/>
    <hyperlink ref="D112" r:id="rId13" xr:uid="{00000000-0004-0000-0400-00000D000000}"/>
    <hyperlink ref="D113" r:id="rId14" xr:uid="{00000000-0004-0000-0400-00000E000000}"/>
    <hyperlink ref="D114" r:id="rId15" xr:uid="{00000000-0004-0000-0400-00000F000000}"/>
    <hyperlink ref="D142" r:id="rId16" xr:uid="{00000000-0004-0000-0400-000010000000}"/>
    <hyperlink ref="D143" r:id="rId17" xr:uid="{00000000-0004-0000-0400-000011000000}"/>
    <hyperlink ref="D144" r:id="rId18" xr:uid="{00000000-0004-0000-0400-000012000000}"/>
    <hyperlink ref="D145" r:id="rId19" xr:uid="{00000000-0004-0000-0400-000013000000}"/>
    <hyperlink ref="D175" r:id="rId20" xr:uid="{00000000-0004-0000-0400-000014000000}"/>
    <hyperlink ref="D176" r:id="rId21" xr:uid="{00000000-0004-0000-0400-000015000000}"/>
    <hyperlink ref="D177" r:id="rId22" xr:uid="{00000000-0004-0000-0400-000016000000}"/>
    <hyperlink ref="D178" r:id="rId23" xr:uid="{00000000-0004-0000-0400-000017000000}"/>
    <hyperlink ref="D232" r:id="rId24" xr:uid="{00000000-0004-0000-0400-000018000000}"/>
    <hyperlink ref="D233" r:id="rId25" xr:uid="{00000000-0004-0000-0400-000019000000}"/>
    <hyperlink ref="D234" r:id="rId26" xr:uid="{00000000-0004-0000-0400-00001A000000}"/>
    <hyperlink ref="D235" r:id="rId27" xr:uid="{00000000-0004-0000-0400-00001B000000}"/>
    <hyperlink ref="D267" r:id="rId28" xr:uid="{00000000-0004-0000-0400-00001C000000}"/>
    <hyperlink ref="D268" r:id="rId29" xr:uid="{00000000-0004-0000-0400-00001D000000}"/>
    <hyperlink ref="D269" r:id="rId30" xr:uid="{00000000-0004-0000-0400-00001E000000}"/>
    <hyperlink ref="D270" r:id="rId31" xr:uid="{00000000-0004-0000-0400-00001F000000}"/>
    <hyperlink ref="D17" r:id="rId32" xr:uid="{00000000-0004-0000-0400-000002000000}"/>
  </hyperlinks>
  <pageMargins left="0.7" right="0.7" top="0.75" bottom="0.75" header="0.3" footer="0.3"/>
  <pageSetup paperSize="9" orientation="portrait" r:id="rId33"/>
  <drawing r:id="rId34"/>
  <legacyDrawing r:id="rId35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C5B4B3-DD9F-4DEA-A3A1-96E6A87F2731}">
  <sheetPr codeName="Arkusz9"/>
  <dimension ref="A1:IT360"/>
  <sheetViews>
    <sheetView showGridLines="0" zoomScale="70" zoomScaleNormal="70" workbookViewId="0">
      <selection activeCell="A2" sqref="A2"/>
    </sheetView>
  </sheetViews>
  <sheetFormatPr defaultColWidth="0" defaultRowHeight="15" zeroHeight="1" x14ac:dyDescent="0.25"/>
  <cols>
    <col min="1" max="1" width="9.140625" customWidth="1"/>
    <col min="2" max="2" width="2.7109375" customWidth="1"/>
    <col min="3" max="3" width="9.140625" customWidth="1"/>
    <col min="4" max="4" width="24.5703125" customWidth="1"/>
    <col min="5" max="5" width="11.85546875" customWidth="1"/>
    <col min="6" max="6" width="1.42578125" customWidth="1"/>
    <col min="7" max="7" width="9.140625" customWidth="1"/>
    <col min="8" max="8" width="1.42578125" customWidth="1"/>
    <col min="9" max="9" width="7.140625" customWidth="1"/>
    <col min="10" max="10" width="6.140625" customWidth="1"/>
    <col min="11" max="11" width="9.140625" customWidth="1"/>
    <col min="12" max="12" width="18.28515625" bestFit="1" customWidth="1"/>
    <col min="13" max="13" width="12.28515625" bestFit="1" customWidth="1"/>
    <col min="14" max="15" width="9.140625" customWidth="1"/>
    <col min="16" max="16" width="12" bestFit="1" customWidth="1"/>
    <col min="17" max="17" width="14.7109375" bestFit="1" customWidth="1"/>
    <col min="18" max="18" width="9.140625" customWidth="1"/>
    <col min="19" max="19" width="20.7109375" bestFit="1" customWidth="1"/>
    <col min="20" max="20" width="23.42578125" bestFit="1" customWidth="1"/>
    <col min="21" max="21" width="13.5703125" bestFit="1" customWidth="1"/>
    <col min="22" max="34" width="9.140625" style="180" customWidth="1"/>
    <col min="35" max="120" width="9.140625" style="180" hidden="1" customWidth="1"/>
    <col min="121" max="123" width="9.140625" style="190" hidden="1" customWidth="1"/>
    <col min="124" max="16384" width="9.140625" style="180" hidden="1"/>
  </cols>
  <sheetData>
    <row r="1" spans="1:216" ht="51.75" x14ac:dyDescent="0.25">
      <c r="A1" s="3" t="s">
        <v>443</v>
      </c>
      <c r="B1" s="3"/>
      <c r="C1" s="3" t="s">
        <v>444</v>
      </c>
      <c r="D1" s="9"/>
      <c r="E1" s="9"/>
      <c r="F1" s="9"/>
      <c r="G1" s="9"/>
      <c r="H1" s="9"/>
      <c r="I1" s="9"/>
      <c r="J1" s="9"/>
      <c r="K1" s="9"/>
      <c r="L1" s="360" t="str">
        <f>INDEX((AK33:AN34),MATCH(E10,AJ33:AJ34,0),MATCH(E5,AK32:AN32,0))</f>
        <v>KONSTRUKCJA W-H4G2-30°</v>
      </c>
      <c r="M1" s="360"/>
      <c r="N1" s="360"/>
      <c r="O1" s="360"/>
      <c r="P1" s="360"/>
      <c r="Q1" s="360"/>
      <c r="R1" s="360"/>
      <c r="S1" s="360"/>
      <c r="T1" s="360"/>
      <c r="U1" s="360"/>
      <c r="V1" s="27"/>
      <c r="W1" s="27"/>
      <c r="X1" s="27"/>
      <c r="Y1" s="27"/>
      <c r="Z1" s="27"/>
      <c r="AA1" s="186" t="s">
        <v>311</v>
      </c>
      <c r="AB1" s="192" t="s">
        <v>318</v>
      </c>
      <c r="AC1" s="21"/>
      <c r="AD1" s="21"/>
      <c r="AE1" s="21"/>
      <c r="AF1" s="21"/>
      <c r="AG1" s="21"/>
      <c r="AH1" s="21"/>
      <c r="AI1" s="21"/>
      <c r="AJ1" s="21"/>
      <c r="AK1" s="21"/>
      <c r="AL1" s="21"/>
      <c r="AM1" s="21"/>
      <c r="AN1" s="21"/>
      <c r="AO1" s="21"/>
      <c r="AP1" s="21"/>
      <c r="AQ1" s="21"/>
      <c r="AR1" s="27" t="s">
        <v>716</v>
      </c>
      <c r="AS1" s="25"/>
      <c r="AT1" s="25"/>
      <c r="AU1" s="25"/>
      <c r="AV1" s="21"/>
      <c r="AX1" s="188"/>
      <c r="AY1" s="21"/>
      <c r="AZ1" s="21"/>
      <c r="BA1" s="21"/>
      <c r="BG1" s="192" t="s">
        <v>318</v>
      </c>
      <c r="BH1" s="21"/>
      <c r="BI1" s="21"/>
      <c r="BJ1" s="21"/>
      <c r="BK1" s="21"/>
      <c r="BL1" s="21"/>
      <c r="BM1" s="21"/>
      <c r="BN1" s="21"/>
      <c r="BO1" s="21"/>
      <c r="BP1" s="21"/>
      <c r="BQ1" s="21"/>
      <c r="BR1" s="21"/>
      <c r="BS1" s="21"/>
      <c r="BT1" s="21"/>
      <c r="BU1" s="21"/>
      <c r="BV1" s="21"/>
      <c r="BW1" s="21"/>
      <c r="BX1" s="21"/>
      <c r="BY1" s="21"/>
      <c r="BZ1" s="21"/>
      <c r="CA1" s="21"/>
      <c r="CB1" s="21"/>
      <c r="CC1" s="21"/>
      <c r="CD1" s="21"/>
      <c r="CE1" s="21"/>
      <c r="CF1" s="21"/>
      <c r="CG1" s="21"/>
      <c r="CH1" s="21"/>
      <c r="CI1" s="21"/>
      <c r="CJ1" s="21"/>
      <c r="CK1" s="21"/>
      <c r="CL1" s="21"/>
      <c r="CM1" s="21"/>
      <c r="CN1" s="21"/>
      <c r="CO1" s="21"/>
      <c r="CP1" s="21"/>
      <c r="CQ1" s="21"/>
      <c r="CR1" s="21"/>
      <c r="CS1" s="21"/>
      <c r="CT1" s="21"/>
      <c r="CU1" s="21"/>
      <c r="CV1" s="21"/>
      <c r="CW1" s="21"/>
      <c r="CX1" s="21"/>
      <c r="CY1" s="21"/>
      <c r="CZ1" s="21"/>
      <c r="DA1" s="21"/>
      <c r="DB1" s="21"/>
      <c r="DC1" s="21"/>
      <c r="DD1" s="21"/>
      <c r="DE1" s="21"/>
      <c r="DF1" s="21"/>
      <c r="DG1" s="21"/>
      <c r="DH1" s="21"/>
      <c r="DI1" s="21"/>
      <c r="DJ1" s="21"/>
      <c r="DK1" s="21"/>
      <c r="DL1" s="21"/>
      <c r="DM1" s="21"/>
      <c r="DN1" s="21"/>
      <c r="DO1" s="21"/>
      <c r="DP1" s="21"/>
      <c r="DQ1" s="87"/>
      <c r="DR1" s="87">
        <v>0</v>
      </c>
      <c r="DS1" s="87"/>
      <c r="DT1" s="21"/>
      <c r="DU1" s="21"/>
      <c r="DV1" s="21"/>
      <c r="DW1" s="21"/>
      <c r="DX1" s="21"/>
      <c r="DY1" s="21"/>
      <c r="DZ1" s="21"/>
      <c r="EA1" s="21"/>
      <c r="EB1" s="21"/>
      <c r="EC1" s="21"/>
      <c r="ED1" s="21"/>
      <c r="EE1" s="21"/>
      <c r="EF1" s="21"/>
      <c r="EG1" s="21"/>
      <c r="EH1" s="21"/>
      <c r="EI1" s="21"/>
      <c r="EJ1" s="193" t="s">
        <v>770</v>
      </c>
      <c r="EK1" s="194"/>
      <c r="EL1" s="194"/>
      <c r="EM1" s="194"/>
      <c r="EN1" s="194"/>
      <c r="EO1" s="194"/>
      <c r="EP1" s="194"/>
      <c r="EQ1" s="194"/>
      <c r="ER1" s="194"/>
      <c r="ES1" s="194"/>
      <c r="ET1" s="194"/>
      <c r="EU1" s="194"/>
      <c r="EV1" s="194"/>
      <c r="EW1" s="194"/>
      <c r="EX1" s="194"/>
      <c r="EY1" s="194"/>
      <c r="EZ1" s="194"/>
      <c r="FA1" s="194"/>
      <c r="FB1" s="194"/>
      <c r="FC1" s="194"/>
      <c r="FD1" s="194"/>
      <c r="FE1" s="194"/>
      <c r="FF1" s="194"/>
      <c r="FG1" s="194"/>
      <c r="FH1" s="194"/>
      <c r="FI1" s="194"/>
      <c r="FJ1" s="194"/>
      <c r="FK1" s="194"/>
      <c r="FL1" s="194"/>
      <c r="FM1" s="194"/>
      <c r="FN1" s="194"/>
      <c r="FO1" s="194"/>
      <c r="FP1" s="194"/>
      <c r="FQ1" s="194"/>
      <c r="FR1" s="194"/>
      <c r="FS1" s="194"/>
      <c r="FT1" s="194"/>
      <c r="FU1" s="194"/>
      <c r="FV1" s="194"/>
      <c r="FW1" s="194"/>
      <c r="FX1" s="194"/>
      <c r="FY1" s="194"/>
      <c r="FZ1" s="194"/>
      <c r="GA1" s="194"/>
      <c r="GB1" s="194"/>
      <c r="GC1" s="194"/>
      <c r="GD1" s="194"/>
      <c r="GE1" s="194"/>
      <c r="GF1" s="194"/>
      <c r="GG1" s="194"/>
      <c r="GH1" s="194"/>
      <c r="GI1" s="194"/>
      <c r="GJ1" s="194"/>
      <c r="GK1" s="194"/>
      <c r="GL1" s="194"/>
      <c r="GM1" s="194"/>
      <c r="GN1" s="194"/>
      <c r="GO1" s="194"/>
      <c r="GP1" s="194"/>
      <c r="GQ1" s="194"/>
      <c r="GR1" s="194"/>
      <c r="GS1" s="194"/>
      <c r="GT1" s="194"/>
      <c r="GU1" s="194"/>
      <c r="GV1" s="194"/>
      <c r="GW1" s="194"/>
      <c r="GX1" s="194"/>
      <c r="GY1" s="194"/>
      <c r="GZ1" s="194"/>
      <c r="HA1" s="194"/>
      <c r="HB1" s="194"/>
      <c r="HC1" s="194"/>
      <c r="HD1" s="194"/>
      <c r="HE1" s="194"/>
      <c r="HF1" s="194"/>
      <c r="HG1" s="195"/>
      <c r="HH1" s="21"/>
    </row>
    <row r="2" spans="1:216" x14ac:dyDescent="0.25">
      <c r="A2" s="8"/>
      <c r="B2" s="5" t="s">
        <v>116</v>
      </c>
      <c r="C2" s="8"/>
      <c r="D2" s="9"/>
      <c r="E2" s="1"/>
      <c r="F2" s="9"/>
      <c r="G2" s="9"/>
      <c r="H2" s="9"/>
      <c r="I2" s="9"/>
      <c r="J2" s="9"/>
      <c r="K2" s="9"/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V2" s="27"/>
      <c r="W2" s="27"/>
      <c r="X2" s="27"/>
      <c r="Y2" s="27"/>
      <c r="Z2" s="27"/>
      <c r="AA2" s="21">
        <f t="shared" ref="AA2:AA17" si="0">(VLOOKUP(BG2,$AY$5:$BA$9,3,1))*C2</f>
        <v>0</v>
      </c>
      <c r="AB2" s="21">
        <f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*C2</f>
        <v>0</v>
      </c>
      <c r="AC2" s="25" t="s">
        <v>125</v>
      </c>
      <c r="AD2" s="25" t="s">
        <v>130</v>
      </c>
      <c r="AE2" s="21"/>
      <c r="AF2" s="21"/>
      <c r="AG2" s="20" t="s">
        <v>130</v>
      </c>
      <c r="AH2" s="20" t="s">
        <v>125</v>
      </c>
      <c r="AI2" s="20" t="s">
        <v>144</v>
      </c>
      <c r="AJ2" s="27"/>
      <c r="AK2" s="27"/>
      <c r="AL2" s="20" t="s">
        <v>140</v>
      </c>
      <c r="AM2" s="20" t="s">
        <v>125</v>
      </c>
      <c r="AN2" s="20" t="s">
        <v>144</v>
      </c>
      <c r="AO2" s="27"/>
      <c r="AP2" s="27"/>
      <c r="AQ2" s="27"/>
      <c r="AR2" s="25">
        <v>25</v>
      </c>
      <c r="AS2" s="25" t="s">
        <v>314</v>
      </c>
      <c r="AT2" s="25" t="s">
        <v>312</v>
      </c>
      <c r="AU2" s="25" t="s">
        <v>309</v>
      </c>
      <c r="AV2" s="21" t="s">
        <v>313</v>
      </c>
      <c r="AX2" s="188"/>
      <c r="AY2" s="27"/>
      <c r="AZ2" s="27"/>
      <c r="BA2" s="21"/>
      <c r="BG2" s="189">
        <f>(IF(((INT((((A2/4)*(INDEX($AF$33:$AF$46,MATCH($E$3,$AE$33:$AE$46),1,1)))+(((A2/4)-1)*20))/$E$13))*$E$13)+1000&gt;=((A2/4)*(INDEX($AF$33:$AF$46,MATCH($E$3,$AE$33:$AE$46),1,1)))+(((A2/4)-1)*20),(INT((((A2/4)*(INDEX($AF$33:$AF$46,MATCH($E$3,$AE$33:$AE$46),1,1)))+(((A2/4)-1)*20))/$E$13))+1,IF(((INT((((A2/4)*(INDEX($AF$33:$AF$46,MATCH($E$3,$AE$33:$AE$46),1,1)))+(((A2/4)-1)*20))/$E$13))*$E$13)+1000&lt;((A2/4)*(INDEX($AF$33:$AF$46,MATCH($E$3,$AE$33:$AE$46),1,1)))+(((A2/4)-1)*20),(INT((((A2/4)*(INDEX($AF$33:$AF$46,MATCH($E$3,$AE$33:$AE$46),1,1)))+(((A2/4)-1)*20))/$E$13))+2,0)))</f>
        <v>1</v>
      </c>
      <c r="BH2" s="21" t="s">
        <v>111</v>
      </c>
      <c r="BI2" s="21">
        <v>0</v>
      </c>
      <c r="BJ2" s="21">
        <v>8</v>
      </c>
      <c r="BK2" s="21">
        <v>12</v>
      </c>
      <c r="BL2" s="21">
        <v>16</v>
      </c>
      <c r="BM2" s="21">
        <v>20</v>
      </c>
      <c r="BN2" s="21">
        <v>24</v>
      </c>
      <c r="BO2" s="21">
        <v>28</v>
      </c>
      <c r="BP2" s="21">
        <v>32</v>
      </c>
      <c r="BQ2" s="21">
        <v>36</v>
      </c>
      <c r="BR2" s="21">
        <v>40</v>
      </c>
      <c r="BS2" s="21">
        <v>44</v>
      </c>
      <c r="BT2" s="21">
        <v>48</v>
      </c>
      <c r="BU2" s="21">
        <v>52</v>
      </c>
      <c r="BV2" s="21"/>
      <c r="BW2" s="21" t="s">
        <v>470</v>
      </c>
      <c r="BX2" s="21">
        <v>0</v>
      </c>
      <c r="BY2" s="21">
        <v>8</v>
      </c>
      <c r="BZ2" s="21">
        <v>12</v>
      </c>
      <c r="CA2" s="21">
        <v>16</v>
      </c>
      <c r="CB2" s="21">
        <v>20</v>
      </c>
      <c r="CC2" s="21">
        <v>24</v>
      </c>
      <c r="CD2" s="21">
        <v>28</v>
      </c>
      <c r="CE2" s="21">
        <v>32</v>
      </c>
      <c r="CF2" s="21">
        <v>36</v>
      </c>
      <c r="CG2" s="21">
        <v>40</v>
      </c>
      <c r="CH2" s="21">
        <v>44</v>
      </c>
      <c r="CI2" s="21">
        <v>48</v>
      </c>
      <c r="CJ2" s="21">
        <v>52</v>
      </c>
      <c r="CK2" s="21"/>
      <c r="CL2" s="21"/>
      <c r="CM2" s="21"/>
      <c r="CN2" s="21" t="s">
        <v>473</v>
      </c>
      <c r="CO2" s="21">
        <v>0</v>
      </c>
      <c r="CP2" s="21">
        <v>8</v>
      </c>
      <c r="CQ2" s="21">
        <v>12</v>
      </c>
      <c r="CR2" s="21">
        <v>16</v>
      </c>
      <c r="CS2" s="21">
        <v>20</v>
      </c>
      <c r="CT2" s="21">
        <v>24</v>
      </c>
      <c r="CU2" s="21">
        <v>28</v>
      </c>
      <c r="CV2" s="21">
        <v>32</v>
      </c>
      <c r="CW2" s="21">
        <v>36</v>
      </c>
      <c r="CX2" s="21">
        <v>40</v>
      </c>
      <c r="CY2" s="21">
        <v>44</v>
      </c>
      <c r="CZ2" s="21">
        <v>48</v>
      </c>
      <c r="DA2" s="21">
        <v>52</v>
      </c>
      <c r="DB2" s="21"/>
      <c r="DC2" s="21" t="s">
        <v>138</v>
      </c>
      <c r="DD2" s="21">
        <v>0</v>
      </c>
      <c r="DE2" s="21">
        <v>8</v>
      </c>
      <c r="DF2" s="21">
        <v>12</v>
      </c>
      <c r="DG2" s="21">
        <v>16</v>
      </c>
      <c r="DH2" s="21">
        <v>20</v>
      </c>
      <c r="DI2" s="21">
        <v>24</v>
      </c>
      <c r="DJ2" s="21">
        <v>28</v>
      </c>
      <c r="DK2" s="21">
        <v>32</v>
      </c>
      <c r="DL2" s="21">
        <v>36</v>
      </c>
      <c r="DM2" s="21">
        <v>40</v>
      </c>
      <c r="DN2" s="21">
        <v>44</v>
      </c>
      <c r="DO2" s="21">
        <v>48</v>
      </c>
      <c r="DP2" s="21">
        <v>52</v>
      </c>
      <c r="DQ2" s="87"/>
      <c r="DR2" s="87">
        <v>8</v>
      </c>
      <c r="DS2" s="87"/>
      <c r="DT2" s="21" t="s">
        <v>508</v>
      </c>
      <c r="DU2" s="21">
        <v>0</v>
      </c>
      <c r="DV2" s="21">
        <v>8</v>
      </c>
      <c r="DW2" s="21">
        <v>12</v>
      </c>
      <c r="DX2" s="21">
        <v>16</v>
      </c>
      <c r="DY2" s="21">
        <v>20</v>
      </c>
      <c r="DZ2" s="21">
        <v>24</v>
      </c>
      <c r="EA2" s="21">
        <v>28</v>
      </c>
      <c r="EB2" s="21">
        <v>32</v>
      </c>
      <c r="EC2" s="21">
        <v>36</v>
      </c>
      <c r="ED2" s="21">
        <v>40</v>
      </c>
      <c r="EE2" s="21">
        <v>44</v>
      </c>
      <c r="EF2" s="21">
        <v>48</v>
      </c>
      <c r="EG2" s="21">
        <v>52</v>
      </c>
      <c r="EH2" s="21"/>
      <c r="EI2" s="21"/>
      <c r="EJ2" s="196"/>
      <c r="EK2" s="21" t="s">
        <v>111</v>
      </c>
      <c r="EL2" s="21">
        <v>0</v>
      </c>
      <c r="EM2" s="21">
        <v>8</v>
      </c>
      <c r="EN2" s="21">
        <v>12</v>
      </c>
      <c r="EO2" s="21">
        <v>16</v>
      </c>
      <c r="EP2" s="21">
        <v>20</v>
      </c>
      <c r="EQ2" s="21">
        <v>24</v>
      </c>
      <c r="ER2" s="21">
        <v>28</v>
      </c>
      <c r="ES2" s="21">
        <v>32</v>
      </c>
      <c r="ET2" s="21">
        <v>36</v>
      </c>
      <c r="EU2" s="21">
        <v>40</v>
      </c>
      <c r="EV2" s="21">
        <v>44</v>
      </c>
      <c r="EW2" s="21">
        <v>48</v>
      </c>
      <c r="EX2" s="21">
        <v>52</v>
      </c>
      <c r="EY2" s="21"/>
      <c r="EZ2" s="21" t="s">
        <v>470</v>
      </c>
      <c r="FA2" s="21">
        <v>0</v>
      </c>
      <c r="FB2" s="21">
        <v>8</v>
      </c>
      <c r="FC2" s="21">
        <v>12</v>
      </c>
      <c r="FD2" s="21">
        <v>16</v>
      </c>
      <c r="FE2" s="21">
        <v>20</v>
      </c>
      <c r="FF2" s="21">
        <v>24</v>
      </c>
      <c r="FG2" s="21">
        <v>28</v>
      </c>
      <c r="FH2" s="21">
        <v>32</v>
      </c>
      <c r="FI2" s="21">
        <v>36</v>
      </c>
      <c r="FJ2" s="21">
        <v>40</v>
      </c>
      <c r="FK2" s="21">
        <v>44</v>
      </c>
      <c r="FL2" s="21">
        <v>48</v>
      </c>
      <c r="FM2" s="21">
        <v>52</v>
      </c>
      <c r="FN2" s="21"/>
      <c r="FO2" s="21" t="s">
        <v>473</v>
      </c>
      <c r="FP2" s="21">
        <v>0</v>
      </c>
      <c r="FQ2" s="21">
        <v>8</v>
      </c>
      <c r="FR2" s="21">
        <v>12</v>
      </c>
      <c r="FS2" s="21">
        <v>16</v>
      </c>
      <c r="FT2" s="21">
        <v>20</v>
      </c>
      <c r="FU2" s="21">
        <v>24</v>
      </c>
      <c r="FV2" s="21">
        <v>28</v>
      </c>
      <c r="FW2" s="21">
        <v>32</v>
      </c>
      <c r="FX2" s="21">
        <v>36</v>
      </c>
      <c r="FY2" s="21">
        <v>40</v>
      </c>
      <c r="FZ2" s="21">
        <v>44</v>
      </c>
      <c r="GA2" s="21">
        <v>48</v>
      </c>
      <c r="GB2" s="21">
        <v>52</v>
      </c>
      <c r="GC2" s="21"/>
      <c r="GD2" s="21" t="s">
        <v>138</v>
      </c>
      <c r="GE2" s="21">
        <v>0</v>
      </c>
      <c r="GF2" s="21">
        <v>8</v>
      </c>
      <c r="GG2" s="21">
        <v>12</v>
      </c>
      <c r="GH2" s="21">
        <v>16</v>
      </c>
      <c r="GI2" s="21">
        <v>20</v>
      </c>
      <c r="GJ2" s="21">
        <v>24</v>
      </c>
      <c r="GK2" s="21">
        <v>28</v>
      </c>
      <c r="GL2" s="21">
        <v>32</v>
      </c>
      <c r="GM2" s="21">
        <v>36</v>
      </c>
      <c r="GN2" s="21">
        <v>40</v>
      </c>
      <c r="GO2" s="21">
        <v>44</v>
      </c>
      <c r="GP2" s="21">
        <v>48</v>
      </c>
      <c r="GQ2" s="21">
        <v>52</v>
      </c>
      <c r="GR2" s="21"/>
      <c r="GS2" s="21" t="s">
        <v>508</v>
      </c>
      <c r="GT2" s="21">
        <v>0</v>
      </c>
      <c r="GU2" s="21">
        <v>8</v>
      </c>
      <c r="GV2" s="21">
        <v>12</v>
      </c>
      <c r="GW2" s="21">
        <v>16</v>
      </c>
      <c r="GX2" s="21">
        <v>20</v>
      </c>
      <c r="GY2" s="21">
        <v>24</v>
      </c>
      <c r="GZ2" s="21">
        <v>28</v>
      </c>
      <c r="HA2" s="21">
        <v>32</v>
      </c>
      <c r="HB2" s="21">
        <v>36</v>
      </c>
      <c r="HC2" s="21">
        <v>40</v>
      </c>
      <c r="HD2" s="21">
        <v>44</v>
      </c>
      <c r="HE2" s="21">
        <v>48</v>
      </c>
      <c r="HF2" s="21">
        <v>52</v>
      </c>
      <c r="HG2" s="197"/>
      <c r="HH2" s="21"/>
    </row>
    <row r="3" spans="1:216" x14ac:dyDescent="0.25">
      <c r="A3" s="8"/>
      <c r="B3" s="5" t="s">
        <v>116</v>
      </c>
      <c r="C3" s="8"/>
      <c r="D3" s="6" t="s">
        <v>118</v>
      </c>
      <c r="E3" s="8" t="s">
        <v>138</v>
      </c>
      <c r="F3" s="5" t="s">
        <v>116</v>
      </c>
      <c r="G3" s="8" t="s">
        <v>480</v>
      </c>
      <c r="H3" s="5" t="s">
        <v>116</v>
      </c>
      <c r="I3" s="8">
        <v>35</v>
      </c>
      <c r="J3" s="5" t="s">
        <v>119</v>
      </c>
      <c r="K3" s="9"/>
      <c r="L3" s="7" t="str">
        <f>IF(E5=$AC$5,"-------",IF(E5=$AC$6,"-------",IF(E5=$AC$7,"-------",IF(E5=$AC$8,IF(E14=$DS$10,"GSW76X1600N",IF(E14=$DS$11,"GSW76X2200N","")),0))))</f>
        <v>-------</v>
      </c>
      <c r="M3" s="11" t="str">
        <f>INDEX(cennik!$C$2:$L$529,MATCH($L3,cennik!$B$2:$B$522,0),MATCH(M$2,cennik!$C$1:$L$1,0))</f>
        <v>-------</v>
      </c>
      <c r="N3" s="11">
        <f>INDEX(cennik!$C$2:$L$529,MATCH($L3,cennik!$B$2:$B$522,0),MATCH(N$2,cennik!$C$1:$L$1,0))</f>
        <v>0</v>
      </c>
      <c r="O3" s="11">
        <f>IF(L3="-------",0,SUM(O5:O6))</f>
        <v>0</v>
      </c>
      <c r="P3" s="34">
        <f>INDEX(cennik!$C$2:$L$529,MATCH($L3,cennik!$B$2:$B$522,0),MATCH(P$2,cennik!$C$1:$L$1,0))</f>
        <v>0</v>
      </c>
      <c r="Q3" s="34">
        <f>O3*P3</f>
        <v>0</v>
      </c>
      <c r="R3" s="35">
        <f t="shared" ref="R3:R28" si="1">$E$7</f>
        <v>0</v>
      </c>
      <c r="S3" s="34">
        <f>P3*((100-$E$7)/100)</f>
        <v>0</v>
      </c>
      <c r="T3" s="34">
        <f>O3*S3</f>
        <v>0</v>
      </c>
      <c r="U3" s="34">
        <f>INDEX(cennik!$C$2:$L$529,MATCH($L3,cennik!$B$2:$B$522,0),MATCH(U$2,cennik!$C$1:$L$1,0))*O3</f>
        <v>0</v>
      </c>
      <c r="V3" s="25"/>
      <c r="W3" s="20" t="s">
        <v>18</v>
      </c>
      <c r="X3" s="21" t="s">
        <v>217</v>
      </c>
      <c r="Y3" s="21" t="s">
        <v>216</v>
      </c>
      <c r="Z3" s="21" t="s">
        <v>17</v>
      </c>
      <c r="AA3" s="21">
        <f t="shared" si="0"/>
        <v>0</v>
      </c>
      <c r="AB3" s="21">
        <f t="shared" ref="AB3:AB17" si="2">(IF(((INT((((A3/4)*(INDEX($AF$33:$AF$46,MATCH($E$3,$AE$33:$AE$46),1,1)))+(((A3/4)-1)*20))/$E$13))*$E$13)+1000&gt;=((A3/4)*(INDEX($AF$33:$AF$46,MATCH($E$3,$AE$33:$AE$46),1,1)))+(((A3/4)-1)*20),(INT((((A3/4)*(INDEX($AF$33:$AF$46,MATCH($E$3,$AE$33:$AE$46),1,1)))+(((A3/4)-1)*20))/$E$13))+1,IF(((INT((((A3/4)*(INDEX($AF$33:$AF$46,MATCH($E$3,$AE$33:$AE$46),1,1)))+(((A3/4)-1)*20))/$E$13))*$E$13)+1000&lt;((A3/4)*(INDEX($AF$33:$AF$46,MATCH($E$3,$AE$33:$AE$46),1,1)))+(((A3/4)-1)*20),(INT((((A3/4)*(INDEX($AF$33:$AF$46,MATCH($E$3,$AE$33:$AE$46),1,1)))+(((A3/4)-1)*20))/$E$13))+2,0)))*C3</f>
        <v>0</v>
      </c>
      <c r="AC3" s="25" t="s">
        <v>144</v>
      </c>
      <c r="AD3" s="25" t="s">
        <v>140</v>
      </c>
      <c r="AE3" s="21"/>
      <c r="AF3" s="21"/>
      <c r="AG3" s="26">
        <v>30</v>
      </c>
      <c r="AH3" s="20" t="s">
        <v>475</v>
      </c>
      <c r="AI3" s="20" t="s">
        <v>476</v>
      </c>
      <c r="AJ3" s="20" t="s">
        <v>477</v>
      </c>
      <c r="AK3" s="20" t="s">
        <v>67</v>
      </c>
      <c r="AL3" s="20">
        <v>30</v>
      </c>
      <c r="AM3" s="20" t="s">
        <v>506</v>
      </c>
      <c r="AN3" s="20" t="s">
        <v>506</v>
      </c>
      <c r="AO3" s="188" t="s">
        <v>151</v>
      </c>
      <c r="AP3" s="188" t="s">
        <v>151</v>
      </c>
      <c r="AQ3" s="188"/>
      <c r="AR3" s="25" t="s">
        <v>114</v>
      </c>
      <c r="AS3" s="25" t="s">
        <v>596</v>
      </c>
      <c r="AT3" s="25" t="s">
        <v>595</v>
      </c>
      <c r="AU3" s="25" t="s">
        <v>593</v>
      </c>
      <c r="AV3" s="21" t="s">
        <v>593</v>
      </c>
      <c r="AX3" s="188"/>
      <c r="AY3" s="188"/>
      <c r="AZ3" s="188"/>
      <c r="BA3" s="21"/>
      <c r="BG3" s="189">
        <f t="shared" ref="BG3:BG17" si="3">(IF(((INT((((A3/4)*(INDEX($AF$33:$AF$46,MATCH($E$3,$AE$33:$AE$46),1,1)))+(((A3/4)-1)*20))/$E$13))*$E$13)+1000&gt;=((A3/4)*(INDEX($AF$33:$AF$46,MATCH($E$3,$AE$33:$AE$46),1,1)))+(((A3/4)-1)*20),(INT((((A3/4)*(INDEX($AF$33:$AF$46,MATCH($E$3,$AE$33:$AE$46),1,1)))+(((A3/4)-1)*20))/$E$13))+1,IF(((INT((((A3/4)*(INDEX($AF$33:$AF$46,MATCH($E$3,$AE$33:$AE$46),1,1)))+(((A3/4)-1)*20))/$E$13))*$E$13)+1000&lt;((A3/4)*(INDEX($AF$33:$AF$46,MATCH($E$3,$AE$33:$AE$46),1,1)))+(((A3/4)-1)*20),(INT((((A3/4)*(INDEX($AF$33:$AF$46,MATCH($E$3,$AE$33:$AE$46),1,1)))+(((A3/4)-1)*20))/$E$13))+2,0)))</f>
        <v>1</v>
      </c>
      <c r="BH3" s="21" t="s">
        <v>217</v>
      </c>
      <c r="BI3" s="21">
        <v>0</v>
      </c>
      <c r="BJ3" s="21">
        <v>0</v>
      </c>
      <c r="BK3" s="21">
        <v>0</v>
      </c>
      <c r="BL3" s="21">
        <v>5</v>
      </c>
      <c r="BM3" s="21">
        <v>0</v>
      </c>
      <c r="BN3" s="21">
        <v>5</v>
      </c>
      <c r="BO3" s="21">
        <v>0</v>
      </c>
      <c r="BP3" s="21">
        <v>10</v>
      </c>
      <c r="BQ3" s="21">
        <v>5</v>
      </c>
      <c r="BR3" s="21">
        <v>10</v>
      </c>
      <c r="BS3" s="21">
        <v>5</v>
      </c>
      <c r="BT3" s="21">
        <v>10</v>
      </c>
      <c r="BU3" s="21">
        <v>10</v>
      </c>
      <c r="BV3" s="21"/>
      <c r="BW3" s="21" t="s">
        <v>217</v>
      </c>
      <c r="BX3" s="21">
        <v>0</v>
      </c>
      <c r="BY3" s="21">
        <v>0</v>
      </c>
      <c r="BZ3" s="21">
        <v>5</v>
      </c>
      <c r="CA3" s="21">
        <v>5</v>
      </c>
      <c r="CB3" s="21">
        <v>0</v>
      </c>
      <c r="CC3" s="21">
        <v>5</v>
      </c>
      <c r="CD3" s="21">
        <v>0</v>
      </c>
      <c r="CE3" s="21">
        <v>5</v>
      </c>
      <c r="CF3" s="21">
        <v>10</v>
      </c>
      <c r="CG3" s="21">
        <v>10</v>
      </c>
      <c r="CH3" s="21">
        <v>10</v>
      </c>
      <c r="CI3" s="21">
        <v>10</v>
      </c>
      <c r="CJ3" s="21">
        <v>15</v>
      </c>
      <c r="CK3" s="21"/>
      <c r="CL3" s="21"/>
      <c r="CM3" s="21"/>
      <c r="CN3" s="21" t="s">
        <v>217</v>
      </c>
      <c r="CO3" s="21">
        <v>0</v>
      </c>
      <c r="CP3" s="21">
        <v>0</v>
      </c>
      <c r="CQ3" s="21">
        <v>5</v>
      </c>
      <c r="CR3" s="21">
        <v>0</v>
      </c>
      <c r="CS3" s="21">
        <v>5</v>
      </c>
      <c r="CT3" s="21">
        <v>0</v>
      </c>
      <c r="CU3" s="21">
        <v>10</v>
      </c>
      <c r="CV3" s="21">
        <v>5</v>
      </c>
      <c r="CW3" s="21">
        <v>10</v>
      </c>
      <c r="CX3" s="21">
        <v>15</v>
      </c>
      <c r="CY3" s="21">
        <v>10</v>
      </c>
      <c r="CZ3" s="21">
        <v>15</v>
      </c>
      <c r="DA3" s="21">
        <v>20</v>
      </c>
      <c r="DB3" s="21"/>
      <c r="DC3" s="21" t="s">
        <v>217</v>
      </c>
      <c r="DD3" s="21">
        <v>0</v>
      </c>
      <c r="DE3" s="21">
        <v>0</v>
      </c>
      <c r="DF3" s="21">
        <v>5</v>
      </c>
      <c r="DG3" s="21">
        <v>0</v>
      </c>
      <c r="DH3" s="21">
        <v>5</v>
      </c>
      <c r="DI3" s="21">
        <v>0</v>
      </c>
      <c r="DJ3" s="21">
        <v>5</v>
      </c>
      <c r="DK3" s="21">
        <v>10</v>
      </c>
      <c r="DL3" s="21">
        <v>5</v>
      </c>
      <c r="DM3" s="21">
        <v>10</v>
      </c>
      <c r="DN3" s="21">
        <v>15</v>
      </c>
      <c r="DO3" s="21">
        <v>10</v>
      </c>
      <c r="DP3" s="21">
        <v>15</v>
      </c>
      <c r="DQ3" s="87"/>
      <c r="DR3" s="87">
        <v>12</v>
      </c>
      <c r="DS3" s="87"/>
      <c r="DT3" s="21" t="s">
        <v>217</v>
      </c>
      <c r="DU3" s="21">
        <v>0</v>
      </c>
      <c r="DV3" s="21">
        <v>0</v>
      </c>
      <c r="DW3" s="21">
        <v>5</v>
      </c>
      <c r="DX3" s="21">
        <v>0</v>
      </c>
      <c r="DY3" s="21">
        <v>0</v>
      </c>
      <c r="DZ3" s="21">
        <v>10</v>
      </c>
      <c r="EA3" s="21">
        <v>5</v>
      </c>
      <c r="EB3" s="21">
        <v>10</v>
      </c>
      <c r="EC3" s="21">
        <v>10</v>
      </c>
      <c r="ED3" s="21">
        <v>15</v>
      </c>
      <c r="EE3" s="21">
        <v>10</v>
      </c>
      <c r="EF3" s="21">
        <v>15</v>
      </c>
      <c r="EG3" s="21">
        <v>20</v>
      </c>
      <c r="EH3" s="21"/>
      <c r="EI3" s="21"/>
      <c r="EJ3" s="196"/>
      <c r="EK3" s="21" t="s">
        <v>586</v>
      </c>
      <c r="EL3" s="21">
        <v>0</v>
      </c>
      <c r="EM3" s="21">
        <v>0</v>
      </c>
      <c r="EN3" s="21">
        <v>0</v>
      </c>
      <c r="EO3" s="180">
        <v>5</v>
      </c>
      <c r="EP3" s="180">
        <v>0</v>
      </c>
      <c r="EQ3" s="180">
        <v>0</v>
      </c>
      <c r="ER3" s="180">
        <v>0</v>
      </c>
      <c r="ES3" s="180">
        <v>0</v>
      </c>
      <c r="ET3" s="180">
        <v>0</v>
      </c>
      <c r="EU3" s="180">
        <v>0</v>
      </c>
      <c r="EV3" s="180">
        <v>0</v>
      </c>
      <c r="EW3" s="180">
        <v>0</v>
      </c>
      <c r="EX3" s="180">
        <v>0</v>
      </c>
      <c r="EZ3" s="180" t="s">
        <v>586</v>
      </c>
      <c r="FA3" s="21">
        <v>0</v>
      </c>
      <c r="FB3" s="21">
        <v>0</v>
      </c>
      <c r="FC3" s="180">
        <v>5</v>
      </c>
      <c r="FD3" s="180">
        <v>5</v>
      </c>
      <c r="FE3" s="180">
        <v>0</v>
      </c>
      <c r="FF3" s="180">
        <v>0</v>
      </c>
      <c r="FG3" s="180">
        <v>0</v>
      </c>
      <c r="FH3" s="180">
        <v>0</v>
      </c>
      <c r="FI3" s="180">
        <v>0</v>
      </c>
      <c r="FJ3" s="180">
        <v>0</v>
      </c>
      <c r="FK3" s="180">
        <v>0</v>
      </c>
      <c r="FL3" s="180">
        <v>0</v>
      </c>
      <c r="FM3" s="180">
        <v>0</v>
      </c>
      <c r="FO3" s="180" t="s">
        <v>586</v>
      </c>
      <c r="FP3" s="21">
        <v>0</v>
      </c>
      <c r="FQ3" s="21">
        <v>0</v>
      </c>
      <c r="FR3" s="180">
        <v>5</v>
      </c>
      <c r="FS3" s="180">
        <v>0</v>
      </c>
      <c r="FT3" s="180">
        <v>0</v>
      </c>
      <c r="FU3" s="180">
        <v>0</v>
      </c>
      <c r="FV3" s="180">
        <v>0</v>
      </c>
      <c r="FW3" s="180">
        <v>0</v>
      </c>
      <c r="FX3" s="180">
        <v>0</v>
      </c>
      <c r="FY3" s="180">
        <v>0</v>
      </c>
      <c r="FZ3" s="180">
        <v>0</v>
      </c>
      <c r="GA3" s="180">
        <v>0</v>
      </c>
      <c r="GB3" s="180">
        <v>0</v>
      </c>
      <c r="GD3" s="180" t="s">
        <v>586</v>
      </c>
      <c r="GE3" s="21">
        <v>0</v>
      </c>
      <c r="GF3" s="21">
        <v>0</v>
      </c>
      <c r="GG3" s="180">
        <v>5</v>
      </c>
      <c r="GH3" s="180">
        <v>0</v>
      </c>
      <c r="GI3" s="180">
        <v>0</v>
      </c>
      <c r="GJ3" s="180">
        <v>0</v>
      </c>
      <c r="GK3" s="180">
        <v>0</v>
      </c>
      <c r="GL3" s="180">
        <v>0</v>
      </c>
      <c r="GM3" s="180">
        <v>0</v>
      </c>
      <c r="GN3" s="180">
        <v>0</v>
      </c>
      <c r="GO3" s="180">
        <v>0</v>
      </c>
      <c r="GP3" s="180">
        <v>0</v>
      </c>
      <c r="GQ3" s="180">
        <v>0</v>
      </c>
      <c r="GS3" s="180" t="s">
        <v>586</v>
      </c>
      <c r="GT3" s="21">
        <v>0</v>
      </c>
      <c r="GU3" s="21">
        <v>0</v>
      </c>
      <c r="GV3" s="180">
        <v>5</v>
      </c>
      <c r="GW3" s="180">
        <v>0</v>
      </c>
      <c r="GX3" s="180">
        <v>0</v>
      </c>
      <c r="GY3" s="180">
        <v>0</v>
      </c>
      <c r="GZ3" s="180">
        <v>0</v>
      </c>
      <c r="HA3" s="180">
        <v>0</v>
      </c>
      <c r="HB3" s="180">
        <v>0</v>
      </c>
      <c r="HC3" s="180">
        <v>0</v>
      </c>
      <c r="HD3" s="180">
        <v>0</v>
      </c>
      <c r="HE3" s="180">
        <v>0</v>
      </c>
      <c r="HF3" s="180">
        <v>0</v>
      </c>
      <c r="HG3" s="197"/>
      <c r="HH3" s="21"/>
    </row>
    <row r="4" spans="1:216" x14ac:dyDescent="0.25">
      <c r="A4" s="8"/>
      <c r="B4" s="5" t="s">
        <v>116</v>
      </c>
      <c r="C4" s="8"/>
      <c r="D4" s="6" t="s">
        <v>124</v>
      </c>
      <c r="E4" s="8" t="s">
        <v>125</v>
      </c>
      <c r="F4" s="5"/>
      <c r="G4" s="5"/>
      <c r="H4" s="5"/>
      <c r="I4" s="5"/>
      <c r="J4" s="5"/>
      <c r="K4" s="9"/>
      <c r="L4" s="7" t="str">
        <f>IF(E5=$AC$5,"-------",IF(E5=$AC$6,"-------",IF(E5=$AC$7,"PCB70",IF(E5=$AC$8,"PCS70",0))))</f>
        <v>-------</v>
      </c>
      <c r="M4" s="11" t="str">
        <f>INDEX(cennik!$C$2:$L$529,MATCH($L4,cennik!$B$2:$B$522,0),MATCH(M$2,cennik!$C$1:$L$1,0))</f>
        <v>-------</v>
      </c>
      <c r="N4" s="11">
        <f>INDEX(cennik!$C$2:$L$529,MATCH($L4,cennik!$B$2:$B$522,0),MATCH(N$2,cennik!$C$1:$L$1,0))</f>
        <v>0</v>
      </c>
      <c r="O4" s="11">
        <f>IF(E5=AC7,SUM(O5:O6),IF(E5=AC8,SUM(O5:O6),IF(E5=AC5,0,IF(E5=AC6,0,0))))</f>
        <v>0</v>
      </c>
      <c r="P4" s="34">
        <f>INDEX(cennik!$C$2:$L$529,MATCH($L4,cennik!$B$2:$B$522,0),MATCH(P$2,cennik!$C$1:$L$1,0))</f>
        <v>0</v>
      </c>
      <c r="Q4" s="34">
        <f>O4*P4</f>
        <v>0</v>
      </c>
      <c r="R4" s="35">
        <f t="shared" si="1"/>
        <v>0</v>
      </c>
      <c r="S4" s="34">
        <f t="shared" ref="S4:S13" si="4">P4*((100-$E$7)/100)</f>
        <v>0</v>
      </c>
      <c r="T4" s="34">
        <f>O4*S4</f>
        <v>0</v>
      </c>
      <c r="U4" s="34">
        <f>INDEX(cennik!$C$2:$L$529,MATCH($L4,cennik!$B$2:$B$522,0),MATCH(U$2,cennik!$C$1:$L$1,0))*O4</f>
        <v>0</v>
      </c>
      <c r="V4" s="25"/>
      <c r="W4" s="21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0</v>
      </c>
      <c r="X4" s="21">
        <f>INDEX(($EL$3:$EX$6,$EL$9:$EX$12,$EL$15:$EX$18,$FA$3:$FM$6,$FA$9:$FM$12,$FA$15:$FM$18,$FP$3:$GB$6,$FP$9:$GB$12,$FP$15:$GB$18,$GE$3:$GQ$6,$GE$9:$GQ$12,$GE$15:$GQ$18,$GT$3:$HF$6,$GT$9:$HF$12),MATCH($L$14,$EK$3:$EK$6,0),MATCH($A2,$EL$2:$EX$2,0),MATCH($E$3,$AE$33:$AE$48,0))*$C2</f>
        <v>0</v>
      </c>
      <c r="Y4" s="21">
        <f>INDEX(($EL$3:$EX$6,$EL$9:$EX$12,$EL$15:$EX$18,$FA$3:$FM$6,$FA$9:$FM$12,$FA$15:$FM$18,$FP$3:$GB$6,$FP$9:$GB$12,$FP$15:$GB$18,$GE$3:$GQ$6,$GE$9:$GQ$12,$GE$15:$GQ$18,$GT$3:$HF$6,$GT$9:$HF$12),MATCH($L$15,$EK$3:$EK$6,0),MATCH($A2,$EL$2:$EX$2,0),MATCH($E$3,$AE$33:$AE$48,0))*$C2</f>
        <v>0</v>
      </c>
      <c r="Z4" s="21">
        <f>INDEX(($EL$3:$EX$6,$EL$9:$EX$12,$EL$15:$EX$18,$FA$3:$FM$6,$FA$9:$FM$12,$FA$15:$FM$18,$FP$3:$GB$6,$FP$9:$GB$12,$FP$15:$GB$18,$GE$3:$GQ$6,$GE$9:$GQ$12,$GE$15:$GQ$18,$GT$3:$HF$6,$GT$9:$HF$12),MATCH($L$16,$EK$3:$EK$6,0),MATCH($A2,$EL$2:$EX$2,0),MATCH($E$3,$AE$33:$AE$48,0))*$C2</f>
        <v>0</v>
      </c>
      <c r="AA4" s="21">
        <f t="shared" si="0"/>
        <v>0</v>
      </c>
      <c r="AB4" s="21">
        <f t="shared" si="2"/>
        <v>0</v>
      </c>
      <c r="AC4" s="21"/>
      <c r="AD4" s="21"/>
      <c r="AE4" s="21"/>
      <c r="AF4" s="21"/>
      <c r="AG4" s="26">
        <v>32</v>
      </c>
      <c r="AH4" s="20" t="s">
        <v>26</v>
      </c>
      <c r="AI4" s="20" t="s">
        <v>27</v>
      </c>
      <c r="AJ4" s="20" t="s">
        <v>110</v>
      </c>
      <c r="AK4" s="20" t="s">
        <v>67</v>
      </c>
      <c r="AL4" s="20">
        <v>32</v>
      </c>
      <c r="AM4" s="20" t="s">
        <v>38</v>
      </c>
      <c r="AN4" s="20" t="s">
        <v>39</v>
      </c>
      <c r="AO4" s="188" t="s">
        <v>151</v>
      </c>
      <c r="AP4" s="188" t="s">
        <v>151</v>
      </c>
      <c r="AQ4" s="188"/>
      <c r="AR4" s="25" t="s">
        <v>115</v>
      </c>
      <c r="AS4" s="25" t="s">
        <v>596</v>
      </c>
      <c r="AT4" s="25" t="s">
        <v>595</v>
      </c>
      <c r="AU4" s="25" t="s">
        <v>593</v>
      </c>
      <c r="AV4" s="21" t="s">
        <v>594</v>
      </c>
      <c r="AX4" s="188"/>
      <c r="AY4" s="188"/>
      <c r="AZ4" s="188"/>
      <c r="BA4" s="21"/>
      <c r="BG4" s="189">
        <f t="shared" si="3"/>
        <v>1</v>
      </c>
      <c r="BH4" s="21" t="s">
        <v>216</v>
      </c>
      <c r="BI4" s="21">
        <v>0</v>
      </c>
      <c r="BJ4" s="21">
        <v>0</v>
      </c>
      <c r="BK4" s="21">
        <v>5</v>
      </c>
      <c r="BL4" s="21">
        <v>0</v>
      </c>
      <c r="BM4" s="21">
        <v>10</v>
      </c>
      <c r="BN4" s="21">
        <v>0</v>
      </c>
      <c r="BO4" s="21">
        <v>10</v>
      </c>
      <c r="BP4" s="21">
        <v>0</v>
      </c>
      <c r="BQ4" s="21">
        <v>10</v>
      </c>
      <c r="BR4" s="21">
        <v>0</v>
      </c>
      <c r="BS4" s="21">
        <v>10</v>
      </c>
      <c r="BT4" s="21">
        <v>5</v>
      </c>
      <c r="BU4" s="21">
        <v>10</v>
      </c>
      <c r="BV4" s="21"/>
      <c r="BW4" s="21" t="s">
        <v>216</v>
      </c>
      <c r="BX4" s="21">
        <v>0</v>
      </c>
      <c r="BY4" s="21">
        <v>0</v>
      </c>
      <c r="BZ4" s="21">
        <v>0</v>
      </c>
      <c r="CA4" s="21">
        <v>0</v>
      </c>
      <c r="CB4" s="21">
        <v>10</v>
      </c>
      <c r="CC4" s="21">
        <v>5</v>
      </c>
      <c r="CD4" s="21">
        <v>10</v>
      </c>
      <c r="CE4" s="21">
        <v>10</v>
      </c>
      <c r="CF4" s="21">
        <v>0</v>
      </c>
      <c r="CG4" s="21">
        <v>5</v>
      </c>
      <c r="CH4" s="21">
        <v>5</v>
      </c>
      <c r="CI4" s="21">
        <v>10</v>
      </c>
      <c r="CJ4" s="21">
        <v>5</v>
      </c>
      <c r="CK4" s="21"/>
      <c r="CL4" s="21"/>
      <c r="CM4" s="21"/>
      <c r="CN4" s="21" t="s">
        <v>216</v>
      </c>
      <c r="CO4" s="21">
        <v>0</v>
      </c>
      <c r="CP4" s="21">
        <v>0</v>
      </c>
      <c r="CQ4" s="21">
        <v>0</v>
      </c>
      <c r="CR4" s="21">
        <v>5</v>
      </c>
      <c r="CS4" s="21">
        <v>0</v>
      </c>
      <c r="CT4" s="21">
        <v>10</v>
      </c>
      <c r="CU4" s="21">
        <v>0</v>
      </c>
      <c r="CV4" s="21">
        <v>10</v>
      </c>
      <c r="CW4" s="21">
        <v>5</v>
      </c>
      <c r="CX4" s="21">
        <v>0</v>
      </c>
      <c r="CY4" s="21">
        <v>10</v>
      </c>
      <c r="CZ4" s="21">
        <v>5</v>
      </c>
      <c r="DA4" s="21">
        <v>0</v>
      </c>
      <c r="DB4" s="21"/>
      <c r="DC4" s="21" t="s">
        <v>216</v>
      </c>
      <c r="DD4" s="21">
        <v>0</v>
      </c>
      <c r="DE4" s="21">
        <v>5</v>
      </c>
      <c r="DF4" s="21">
        <v>0</v>
      </c>
      <c r="DG4" s="21">
        <v>10</v>
      </c>
      <c r="DH4" s="21">
        <v>0</v>
      </c>
      <c r="DI4" s="21">
        <v>10</v>
      </c>
      <c r="DJ4" s="21">
        <v>10</v>
      </c>
      <c r="DK4" s="21">
        <v>5</v>
      </c>
      <c r="DL4" s="21">
        <v>10</v>
      </c>
      <c r="DM4" s="21">
        <v>5</v>
      </c>
      <c r="DN4" s="21">
        <v>5</v>
      </c>
      <c r="DO4" s="21">
        <v>10</v>
      </c>
      <c r="DP4" s="21">
        <v>5</v>
      </c>
      <c r="DQ4" s="87"/>
      <c r="DR4" s="87">
        <v>16</v>
      </c>
      <c r="DS4" s="87"/>
      <c r="DT4" s="21" t="s">
        <v>216</v>
      </c>
      <c r="DU4" s="21">
        <v>0</v>
      </c>
      <c r="DV4" s="21">
        <v>5</v>
      </c>
      <c r="DW4" s="21">
        <v>0</v>
      </c>
      <c r="DX4" s="21">
        <v>10</v>
      </c>
      <c r="DY4" s="21">
        <v>10</v>
      </c>
      <c r="DZ4" s="21">
        <v>0</v>
      </c>
      <c r="EA4" s="21">
        <v>10</v>
      </c>
      <c r="EB4" s="21">
        <v>5</v>
      </c>
      <c r="EC4" s="21">
        <v>5</v>
      </c>
      <c r="ED4" s="21">
        <v>5</v>
      </c>
      <c r="EE4" s="21">
        <v>10</v>
      </c>
      <c r="EF4" s="21">
        <v>5</v>
      </c>
      <c r="EG4" s="21">
        <v>0</v>
      </c>
      <c r="EH4" s="21"/>
      <c r="EI4" s="21"/>
      <c r="EJ4" s="196"/>
      <c r="EK4" s="21" t="s">
        <v>522</v>
      </c>
      <c r="EL4" s="21">
        <v>0</v>
      </c>
      <c r="EM4" s="21">
        <f>BJ4</f>
        <v>0</v>
      </c>
      <c r="EN4" s="21">
        <f>BK4</f>
        <v>5</v>
      </c>
      <c r="EO4" s="21">
        <v>0</v>
      </c>
      <c r="EP4" s="21">
        <f t="shared" ref="EP4:EX4" si="5">BM4</f>
        <v>10</v>
      </c>
      <c r="EQ4" s="21">
        <f t="shared" si="5"/>
        <v>0</v>
      </c>
      <c r="ER4" s="21">
        <f t="shared" si="5"/>
        <v>10</v>
      </c>
      <c r="ES4" s="21">
        <f t="shared" si="5"/>
        <v>0</v>
      </c>
      <c r="ET4" s="21">
        <f t="shared" si="5"/>
        <v>10</v>
      </c>
      <c r="EU4" s="21">
        <f t="shared" si="5"/>
        <v>0</v>
      </c>
      <c r="EV4" s="21">
        <f t="shared" si="5"/>
        <v>10</v>
      </c>
      <c r="EW4" s="21">
        <f t="shared" si="5"/>
        <v>5</v>
      </c>
      <c r="EX4" s="21">
        <f t="shared" si="5"/>
        <v>10</v>
      </c>
      <c r="EY4" s="21"/>
      <c r="EZ4" s="21" t="s">
        <v>522</v>
      </c>
      <c r="FA4" s="21">
        <v>0</v>
      </c>
      <c r="FB4" s="21">
        <f>BY4</f>
        <v>0</v>
      </c>
      <c r="FC4" s="21">
        <v>0</v>
      </c>
      <c r="FD4" s="21">
        <v>0</v>
      </c>
      <c r="FE4" s="21">
        <f t="shared" ref="FE4:FM4" si="6">CB4</f>
        <v>10</v>
      </c>
      <c r="FF4" s="21">
        <f t="shared" si="6"/>
        <v>5</v>
      </c>
      <c r="FG4" s="21">
        <f t="shared" si="6"/>
        <v>10</v>
      </c>
      <c r="FH4" s="21">
        <f t="shared" si="6"/>
        <v>10</v>
      </c>
      <c r="FI4" s="21">
        <f t="shared" si="6"/>
        <v>0</v>
      </c>
      <c r="FJ4" s="21">
        <f t="shared" si="6"/>
        <v>5</v>
      </c>
      <c r="FK4" s="21">
        <f t="shared" si="6"/>
        <v>5</v>
      </c>
      <c r="FL4" s="21">
        <f t="shared" si="6"/>
        <v>10</v>
      </c>
      <c r="FM4" s="21">
        <f t="shared" si="6"/>
        <v>5</v>
      </c>
      <c r="FN4" s="21"/>
      <c r="FO4" s="21" t="s">
        <v>522</v>
      </c>
      <c r="FP4" s="21">
        <v>0</v>
      </c>
      <c r="FQ4" s="21">
        <f>CP4</f>
        <v>0</v>
      </c>
      <c r="FR4" s="21">
        <v>0</v>
      </c>
      <c r="FS4" s="21">
        <f t="shared" ref="FS4:GB4" si="7">CR4</f>
        <v>5</v>
      </c>
      <c r="FT4" s="21">
        <f t="shared" si="7"/>
        <v>0</v>
      </c>
      <c r="FU4" s="21">
        <f t="shared" si="7"/>
        <v>10</v>
      </c>
      <c r="FV4" s="21">
        <f t="shared" si="7"/>
        <v>0</v>
      </c>
      <c r="FW4" s="21">
        <f t="shared" si="7"/>
        <v>10</v>
      </c>
      <c r="FX4" s="21">
        <f t="shared" si="7"/>
        <v>5</v>
      </c>
      <c r="FY4" s="21">
        <f t="shared" si="7"/>
        <v>0</v>
      </c>
      <c r="FZ4" s="21">
        <f t="shared" si="7"/>
        <v>10</v>
      </c>
      <c r="GA4" s="21">
        <f t="shared" si="7"/>
        <v>5</v>
      </c>
      <c r="GB4" s="21">
        <f t="shared" si="7"/>
        <v>0</v>
      </c>
      <c r="GC4" s="21"/>
      <c r="GD4" s="21" t="s">
        <v>522</v>
      </c>
      <c r="GE4" s="21">
        <v>0</v>
      </c>
      <c r="GF4" s="21">
        <f>DE4</f>
        <v>5</v>
      </c>
      <c r="GG4" s="21">
        <v>0</v>
      </c>
      <c r="GH4" s="21">
        <f t="shared" ref="GH4:GQ4" si="8">DG4</f>
        <v>10</v>
      </c>
      <c r="GI4" s="21">
        <f t="shared" si="8"/>
        <v>0</v>
      </c>
      <c r="GJ4" s="21">
        <f t="shared" si="8"/>
        <v>10</v>
      </c>
      <c r="GK4" s="21">
        <f t="shared" si="8"/>
        <v>10</v>
      </c>
      <c r="GL4" s="21">
        <f t="shared" si="8"/>
        <v>5</v>
      </c>
      <c r="GM4" s="21">
        <f t="shared" si="8"/>
        <v>10</v>
      </c>
      <c r="GN4" s="21">
        <f t="shared" si="8"/>
        <v>5</v>
      </c>
      <c r="GO4" s="21">
        <f t="shared" si="8"/>
        <v>5</v>
      </c>
      <c r="GP4" s="21">
        <f t="shared" si="8"/>
        <v>10</v>
      </c>
      <c r="GQ4" s="21">
        <f t="shared" si="8"/>
        <v>5</v>
      </c>
      <c r="GR4" s="21"/>
      <c r="GS4" s="21" t="s">
        <v>522</v>
      </c>
      <c r="GT4" s="21">
        <v>0</v>
      </c>
      <c r="GU4" s="21">
        <f>DV4</f>
        <v>5</v>
      </c>
      <c r="GV4" s="21">
        <v>0</v>
      </c>
      <c r="GW4" s="21">
        <f t="shared" ref="GW4:HF4" si="9">DX4</f>
        <v>10</v>
      </c>
      <c r="GX4" s="21">
        <f t="shared" si="9"/>
        <v>10</v>
      </c>
      <c r="GY4" s="21">
        <f t="shared" si="9"/>
        <v>0</v>
      </c>
      <c r="GZ4" s="21">
        <f t="shared" si="9"/>
        <v>10</v>
      </c>
      <c r="HA4" s="21">
        <f t="shared" si="9"/>
        <v>5</v>
      </c>
      <c r="HB4" s="21">
        <f t="shared" si="9"/>
        <v>5</v>
      </c>
      <c r="HC4" s="21">
        <f t="shared" si="9"/>
        <v>5</v>
      </c>
      <c r="HD4" s="21">
        <f t="shared" si="9"/>
        <v>10</v>
      </c>
      <c r="HE4" s="21">
        <f t="shared" si="9"/>
        <v>5</v>
      </c>
      <c r="HF4" s="21">
        <f t="shared" si="9"/>
        <v>0</v>
      </c>
      <c r="HG4" s="198"/>
      <c r="HH4" s="21"/>
    </row>
    <row r="5" spans="1:216" x14ac:dyDescent="0.25">
      <c r="A5" s="8"/>
      <c r="B5" s="5" t="s">
        <v>116</v>
      </c>
      <c r="C5" s="8"/>
      <c r="D5" s="6" t="s">
        <v>307</v>
      </c>
      <c r="E5" s="8" t="s">
        <v>314</v>
      </c>
      <c r="F5" s="5"/>
      <c r="G5" s="5"/>
      <c r="H5" s="5"/>
      <c r="I5" s="5"/>
      <c r="J5" s="5"/>
      <c r="K5" s="9"/>
      <c r="L5" s="6" t="str">
        <f>IF(E5=$AC$5,"CWT70H50/3NMC",IF(E5=$AC$6,"CWT70H50/2NMC",IF(E5=$AC$7,"CWT70H50/1NMC",IF(E5=$AC$8,"CWT70H50/1NMC",0))))</f>
        <v>CWT70H50/3NMC</v>
      </c>
      <c r="M5" s="11">
        <f>INDEX(cennik!$C$2:$L$529,MATCH($L5,cennik!$B$2:$B$522,0),MATCH(M$2,cennik!$C$1:$L$1,0))</f>
        <v>867830</v>
      </c>
      <c r="N5" s="11" t="str">
        <f>INDEX(cennik!$C$2:$L$529,MATCH($L5,cennik!$B$2:$B$522,0),MATCH(N$2,cennik!$C$1:$L$1,0))</f>
        <v>szt.</v>
      </c>
      <c r="O5" s="10">
        <f>SUM(AB2:AB17)</f>
        <v>0</v>
      </c>
      <c r="P5" s="34">
        <f>INDEX(cennik!$C$2:$L$529,MATCH($L5,cennik!$B$2:$B$522,0),MATCH(P$2,cennik!$C$1:$L$1,0))</f>
        <v>151.83000000000001</v>
      </c>
      <c r="Q5" s="34">
        <f t="shared" ref="Q5:Q23" si="10">O5*P5</f>
        <v>0</v>
      </c>
      <c r="R5" s="35">
        <f t="shared" si="1"/>
        <v>0</v>
      </c>
      <c r="S5" s="34">
        <f t="shared" si="4"/>
        <v>151.83000000000001</v>
      </c>
      <c r="T5" s="34">
        <f t="shared" ref="T5:T23" si="11">O5*S5</f>
        <v>0</v>
      </c>
      <c r="U5" s="34">
        <f>INDEX(cennik!$C$2:$L$529,MATCH($L5,cennik!$B$2:$B$522,0),MATCH(U$2,cennik!$C$1:$L$1,0))*O5</f>
        <v>0</v>
      </c>
      <c r="V5" s="25"/>
      <c r="W5" s="21">
        <f>INDEX(($EL$3:$EX$6,$EL$9:$EX$12,$EL$15:$EX$18,$FA$3:$FM$6,$FA$9:$FM$12,$FA$15:$FM$18,$FP$3:$GB$6,$FP$9:$GB$12,$FP$15:$GB$18,$GE$3:$GQ$6,$GE$9:$GQ$12,$GE$15:$GQ$18,$GT$3:$HF$6,$GT$9:$HF$12),MATCH($L$17,$EK$3:$EK$6,0),MATCH($A3,$EL$2:$EX$2,0),MATCH($E$3,$AE$33:$AE$48,0))*$C3</f>
        <v>0</v>
      </c>
      <c r="X5" s="21">
        <f>INDEX(($EL$3:$EX$6,$EL$9:$EX$12,$EL$15:$EX$18,$FA$3:$FM$6,$FA$9:$FM$12,$FA$15:$FM$18,$FP$3:$GB$6,$FP$9:$GB$12,$FP$15:$GB$18,$GE$3:$GQ$6,$GE$9:$GQ$12,$GE$15:$GQ$18,$GT$3:$HF$6,$GT$9:$HF$12),MATCH($L$14,$EK$3:$EK$6,0),MATCH($A3,$EL$2:$EX$2,0),MATCH($E$3,$AE$33:$AE$48,0))*$C3</f>
        <v>0</v>
      </c>
      <c r="Y5" s="21">
        <f>INDEX(($EL$3:$EX$6,$EL$9:$EX$12,$EL$15:$EX$18,$FA$3:$FM$6,$FA$9:$FM$12,$FA$15:$FM$18,$FP$3:$GB$6,$FP$9:$GB$12,$FP$15:$GB$18,$GE$3:$GQ$6,$GE$9:$GQ$12,$GE$15:$GQ$18,$GT$3:$HF$6,$GT$9:$HF$12),MATCH($L$15,$EK$3:$EK$6,0),MATCH($A3,$EL$2:$EX$2,0),MATCH($E$3,$AE$33:$AE$48,0))*$C3</f>
        <v>0</v>
      </c>
      <c r="Z5" s="21">
        <f>INDEX(($EL$3:$EX$6,$EL$9:$EX$12,$EL$15:$EX$18,$FA$3:$FM$6,$FA$9:$FM$12,$FA$15:$FM$18,$FP$3:$GB$6,$FP$9:$GB$12,$FP$15:$GB$18,$GE$3:$GQ$6,$GE$9:$GQ$12,$GE$15:$GQ$18,$GT$3:$HF$6,$GT$9:$HF$12),MATCH($L$16,$EK$3:$EK$6,0),MATCH($A3,$EL$2:$EX$2,0),MATCH($E$3,$AE$33:$AE$48,0))*$C3</f>
        <v>0</v>
      </c>
      <c r="AA5" s="21">
        <f t="shared" si="0"/>
        <v>0</v>
      </c>
      <c r="AB5" s="21">
        <f t="shared" si="2"/>
        <v>0</v>
      </c>
      <c r="AC5" s="21" t="s">
        <v>314</v>
      </c>
      <c r="AD5" s="21"/>
      <c r="AE5" s="21"/>
      <c r="AF5" s="21"/>
      <c r="AG5" s="26">
        <v>33</v>
      </c>
      <c r="AH5" s="20" t="s">
        <v>28</v>
      </c>
      <c r="AI5" s="20"/>
      <c r="AJ5" s="20" t="s">
        <v>110</v>
      </c>
      <c r="AK5" s="20" t="s">
        <v>67</v>
      </c>
      <c r="AL5" s="20">
        <v>33</v>
      </c>
      <c r="AM5" s="20"/>
      <c r="AN5" s="20"/>
      <c r="AO5" s="188" t="s">
        <v>151</v>
      </c>
      <c r="AP5" s="188" t="s">
        <v>151</v>
      </c>
      <c r="AQ5" s="188"/>
      <c r="AR5" s="25" t="s">
        <v>474</v>
      </c>
      <c r="AS5" s="21" t="s">
        <v>596</v>
      </c>
      <c r="AT5" s="25" t="s">
        <v>595</v>
      </c>
      <c r="AU5" s="25" t="s">
        <v>593</v>
      </c>
      <c r="AV5" s="21" t="s">
        <v>594</v>
      </c>
      <c r="AX5" s="188"/>
      <c r="AY5" s="199">
        <v>0</v>
      </c>
      <c r="AZ5" s="199">
        <v>0</v>
      </c>
      <c r="BA5" s="189">
        <v>0</v>
      </c>
      <c r="BG5" s="189">
        <f t="shared" si="3"/>
        <v>1</v>
      </c>
      <c r="BH5" s="21" t="s">
        <v>17</v>
      </c>
      <c r="BI5" s="21">
        <v>0</v>
      </c>
      <c r="BJ5" s="21">
        <v>5</v>
      </c>
      <c r="BK5" s="21">
        <v>0</v>
      </c>
      <c r="BL5" s="21">
        <v>0</v>
      </c>
      <c r="BM5" s="21">
        <v>0</v>
      </c>
      <c r="BN5" s="21">
        <v>5</v>
      </c>
      <c r="BO5" s="21">
        <v>5</v>
      </c>
      <c r="BP5" s="21">
        <v>0</v>
      </c>
      <c r="BQ5" s="21">
        <v>0</v>
      </c>
      <c r="BR5" s="21">
        <v>5</v>
      </c>
      <c r="BS5" s="21">
        <v>5</v>
      </c>
      <c r="BT5" s="21">
        <v>5</v>
      </c>
      <c r="BU5" s="21">
        <v>0</v>
      </c>
      <c r="BV5" s="21"/>
      <c r="BW5" s="21" t="s">
        <v>17</v>
      </c>
      <c r="BX5" s="21">
        <v>0</v>
      </c>
      <c r="BY5" s="21">
        <v>5</v>
      </c>
      <c r="BZ5" s="21">
        <v>0</v>
      </c>
      <c r="CA5" s="21">
        <v>0</v>
      </c>
      <c r="CB5" s="21">
        <v>0</v>
      </c>
      <c r="CC5" s="21">
        <v>0</v>
      </c>
      <c r="CD5" s="21">
        <v>5</v>
      </c>
      <c r="CE5" s="21">
        <v>0</v>
      </c>
      <c r="CF5" s="21">
        <v>5</v>
      </c>
      <c r="CG5" s="21">
        <v>0</v>
      </c>
      <c r="CH5" s="21">
        <v>5</v>
      </c>
      <c r="CI5" s="21">
        <v>0</v>
      </c>
      <c r="CJ5" s="21">
        <v>0</v>
      </c>
      <c r="CK5" s="21"/>
      <c r="CL5" s="21"/>
      <c r="CM5" s="21"/>
      <c r="CN5" s="21" t="s">
        <v>17</v>
      </c>
      <c r="CO5" s="21">
        <v>0</v>
      </c>
      <c r="CP5" s="21">
        <v>5</v>
      </c>
      <c r="CQ5" s="21">
        <v>0</v>
      </c>
      <c r="CR5" s="21">
        <v>5</v>
      </c>
      <c r="CS5" s="21">
        <v>5</v>
      </c>
      <c r="CT5" s="21">
        <v>5</v>
      </c>
      <c r="CU5" s="21">
        <v>0</v>
      </c>
      <c r="CV5" s="21">
        <v>0</v>
      </c>
      <c r="CW5" s="21">
        <v>0</v>
      </c>
      <c r="CX5" s="21">
        <v>0</v>
      </c>
      <c r="CY5" s="21">
        <v>0</v>
      </c>
      <c r="CZ5" s="21">
        <v>0</v>
      </c>
      <c r="DA5" s="21">
        <v>0</v>
      </c>
      <c r="DB5" s="21"/>
      <c r="DC5" s="21" t="s">
        <v>17</v>
      </c>
      <c r="DD5" s="21">
        <v>0</v>
      </c>
      <c r="DE5" s="21">
        <v>0</v>
      </c>
      <c r="DF5" s="21">
        <v>0</v>
      </c>
      <c r="DG5" s="21">
        <v>0</v>
      </c>
      <c r="DH5" s="21">
        <v>5</v>
      </c>
      <c r="DI5" s="21">
        <v>5</v>
      </c>
      <c r="DJ5" s="21">
        <v>0</v>
      </c>
      <c r="DK5" s="21">
        <v>0</v>
      </c>
      <c r="DL5" s="21">
        <v>5</v>
      </c>
      <c r="DM5" s="21">
        <v>5</v>
      </c>
      <c r="DN5" s="21">
        <v>0</v>
      </c>
      <c r="DO5" s="21">
        <v>5</v>
      </c>
      <c r="DP5" s="21">
        <v>5</v>
      </c>
      <c r="DQ5" s="87"/>
      <c r="DR5" s="87">
        <v>20</v>
      </c>
      <c r="DS5" s="87"/>
      <c r="DT5" s="21" t="s">
        <v>17</v>
      </c>
      <c r="DU5" s="21">
        <v>0</v>
      </c>
      <c r="DV5" s="21">
        <v>0</v>
      </c>
      <c r="DW5" s="21">
        <v>0</v>
      </c>
      <c r="DX5" s="21">
        <v>0</v>
      </c>
      <c r="DY5" s="21">
        <v>5</v>
      </c>
      <c r="DZ5" s="21">
        <v>0</v>
      </c>
      <c r="EA5" s="21">
        <v>0</v>
      </c>
      <c r="EB5" s="21">
        <v>0</v>
      </c>
      <c r="EC5" s="21">
        <v>5</v>
      </c>
      <c r="ED5" s="21">
        <v>0</v>
      </c>
      <c r="EE5" s="21">
        <v>5</v>
      </c>
      <c r="EF5" s="21">
        <v>5</v>
      </c>
      <c r="EG5" s="21">
        <v>5</v>
      </c>
      <c r="EH5" s="21"/>
      <c r="EI5" s="21"/>
      <c r="EJ5" s="196"/>
      <c r="EK5" s="21" t="s">
        <v>523</v>
      </c>
      <c r="EL5" s="21">
        <v>0</v>
      </c>
      <c r="EM5" s="21">
        <f>BJ5+(BJ3*2)</f>
        <v>5</v>
      </c>
      <c r="EN5" s="21">
        <f>BK5+(BK3*2)</f>
        <v>0</v>
      </c>
      <c r="EO5" s="21">
        <v>0</v>
      </c>
      <c r="EP5" s="21">
        <f t="shared" ref="EP5:EX5" si="12">BM5+(BM3*2)</f>
        <v>0</v>
      </c>
      <c r="EQ5" s="21">
        <f t="shared" si="12"/>
        <v>15</v>
      </c>
      <c r="ER5" s="21">
        <f t="shared" si="12"/>
        <v>5</v>
      </c>
      <c r="ES5" s="21">
        <f t="shared" si="12"/>
        <v>20</v>
      </c>
      <c r="ET5" s="21">
        <f t="shared" si="12"/>
        <v>10</v>
      </c>
      <c r="EU5" s="21">
        <f t="shared" si="12"/>
        <v>25</v>
      </c>
      <c r="EV5" s="21">
        <f t="shared" si="12"/>
        <v>15</v>
      </c>
      <c r="EW5" s="21">
        <f t="shared" si="12"/>
        <v>25</v>
      </c>
      <c r="EX5" s="21">
        <f t="shared" si="12"/>
        <v>20</v>
      </c>
      <c r="EY5" s="21"/>
      <c r="EZ5" s="21" t="s">
        <v>523</v>
      </c>
      <c r="FA5" s="21">
        <v>0</v>
      </c>
      <c r="FB5" s="21">
        <f>BY5+(BY3*2)</f>
        <v>5</v>
      </c>
      <c r="FC5" s="21">
        <v>0</v>
      </c>
      <c r="FD5" s="21">
        <v>0</v>
      </c>
      <c r="FE5" s="21">
        <f t="shared" ref="FE5:FM5" si="13">CB5+(CB3*2)</f>
        <v>0</v>
      </c>
      <c r="FF5" s="21">
        <f t="shared" si="13"/>
        <v>10</v>
      </c>
      <c r="FG5" s="21">
        <f t="shared" si="13"/>
        <v>5</v>
      </c>
      <c r="FH5" s="21">
        <f t="shared" si="13"/>
        <v>10</v>
      </c>
      <c r="FI5" s="21">
        <f t="shared" si="13"/>
        <v>25</v>
      </c>
      <c r="FJ5" s="21">
        <f t="shared" si="13"/>
        <v>20</v>
      </c>
      <c r="FK5" s="21">
        <f t="shared" si="13"/>
        <v>25</v>
      </c>
      <c r="FL5" s="21">
        <f t="shared" si="13"/>
        <v>20</v>
      </c>
      <c r="FM5" s="21">
        <f t="shared" si="13"/>
        <v>30</v>
      </c>
      <c r="FN5" s="21"/>
      <c r="FO5" s="21" t="s">
        <v>523</v>
      </c>
      <c r="FP5" s="21">
        <v>0</v>
      </c>
      <c r="FQ5" s="21">
        <f>CP5+(CP3*2)</f>
        <v>5</v>
      </c>
      <c r="FR5" s="21">
        <v>0</v>
      </c>
      <c r="FS5" s="21">
        <f t="shared" ref="FS5:GB5" si="14">CR5+(CR3*2)</f>
        <v>5</v>
      </c>
      <c r="FT5" s="21">
        <f t="shared" si="14"/>
        <v>15</v>
      </c>
      <c r="FU5" s="21">
        <f t="shared" si="14"/>
        <v>5</v>
      </c>
      <c r="FV5" s="21">
        <f t="shared" si="14"/>
        <v>20</v>
      </c>
      <c r="FW5" s="21">
        <f t="shared" si="14"/>
        <v>10</v>
      </c>
      <c r="FX5" s="21">
        <f t="shared" si="14"/>
        <v>20</v>
      </c>
      <c r="FY5" s="21">
        <f t="shared" si="14"/>
        <v>30</v>
      </c>
      <c r="FZ5" s="21">
        <f t="shared" si="14"/>
        <v>20</v>
      </c>
      <c r="GA5" s="21">
        <f t="shared" si="14"/>
        <v>30</v>
      </c>
      <c r="GB5" s="21">
        <f t="shared" si="14"/>
        <v>40</v>
      </c>
      <c r="GC5" s="21"/>
      <c r="GD5" s="21" t="s">
        <v>523</v>
      </c>
      <c r="GE5" s="21">
        <v>0</v>
      </c>
      <c r="GF5" s="21">
        <f>DE5+(DE3*2)</f>
        <v>0</v>
      </c>
      <c r="GG5" s="21">
        <v>0</v>
      </c>
      <c r="GH5" s="21">
        <f t="shared" ref="GH5:GQ5" si="15">DG5+(DG3*2)</f>
        <v>0</v>
      </c>
      <c r="GI5" s="21">
        <f t="shared" si="15"/>
        <v>15</v>
      </c>
      <c r="GJ5" s="21">
        <f t="shared" si="15"/>
        <v>5</v>
      </c>
      <c r="GK5" s="21">
        <f t="shared" si="15"/>
        <v>10</v>
      </c>
      <c r="GL5" s="21">
        <f t="shared" si="15"/>
        <v>20</v>
      </c>
      <c r="GM5" s="21">
        <f t="shared" si="15"/>
        <v>15</v>
      </c>
      <c r="GN5" s="21">
        <f t="shared" si="15"/>
        <v>25</v>
      </c>
      <c r="GO5" s="21">
        <f t="shared" si="15"/>
        <v>30</v>
      </c>
      <c r="GP5" s="21">
        <f t="shared" si="15"/>
        <v>25</v>
      </c>
      <c r="GQ5" s="21">
        <f t="shared" si="15"/>
        <v>35</v>
      </c>
      <c r="GR5" s="21"/>
      <c r="GS5" s="21" t="s">
        <v>523</v>
      </c>
      <c r="GT5" s="21">
        <v>0</v>
      </c>
      <c r="GU5" s="21">
        <f>DV5+(DV3*2)</f>
        <v>0</v>
      </c>
      <c r="GV5" s="21">
        <v>0</v>
      </c>
      <c r="GW5" s="21">
        <f t="shared" ref="GW5:HF5" si="16">DX5+(DX3*2)</f>
        <v>0</v>
      </c>
      <c r="GX5" s="21">
        <f t="shared" si="16"/>
        <v>5</v>
      </c>
      <c r="GY5" s="21">
        <f t="shared" si="16"/>
        <v>20</v>
      </c>
      <c r="GZ5" s="21">
        <f t="shared" si="16"/>
        <v>10</v>
      </c>
      <c r="HA5" s="21">
        <f t="shared" si="16"/>
        <v>20</v>
      </c>
      <c r="HB5" s="21">
        <f t="shared" si="16"/>
        <v>25</v>
      </c>
      <c r="HC5" s="21">
        <f t="shared" si="16"/>
        <v>30</v>
      </c>
      <c r="HD5" s="21">
        <f t="shared" si="16"/>
        <v>25</v>
      </c>
      <c r="HE5" s="21">
        <f t="shared" si="16"/>
        <v>35</v>
      </c>
      <c r="HF5" s="21">
        <f t="shared" si="16"/>
        <v>45</v>
      </c>
      <c r="HG5" s="198"/>
      <c r="HH5" s="21"/>
    </row>
    <row r="6" spans="1:216" x14ac:dyDescent="0.25">
      <c r="A6" s="8"/>
      <c r="B6" s="5" t="s">
        <v>116</v>
      </c>
      <c r="C6" s="8"/>
      <c r="D6" s="6" t="s">
        <v>315</v>
      </c>
      <c r="E6" s="8">
        <v>0</v>
      </c>
      <c r="F6" s="5"/>
      <c r="G6" s="5"/>
      <c r="H6" s="5"/>
      <c r="I6" s="5"/>
      <c r="J6" s="5" t="s">
        <v>412</v>
      </c>
      <c r="K6" s="9"/>
      <c r="L6" s="6" t="str">
        <f>INDEX((AS3:AV9,AS13:AV19),MATCH(G3,AR3:AR9,0),MATCH(E5,AS2:AV2,0),MATCH(E10,DS6:DS7,0))</f>
        <v>CWT70H50/3NMC</v>
      </c>
      <c r="M6" s="11">
        <f>INDEX(cennik!$C$2:$L$529,MATCH($L6,cennik!$B$2:$B$522,0),MATCH(M$2,cennik!$C$1:$L$1,0))</f>
        <v>867830</v>
      </c>
      <c r="N6" s="11" t="str">
        <f>INDEX(cennik!$C$2:$L$529,MATCH($L6,cennik!$B$2:$B$522,0),MATCH(N$2,cennik!$C$1:$L$1,0))</f>
        <v>szt.</v>
      </c>
      <c r="O6" s="11">
        <f>O5</f>
        <v>0</v>
      </c>
      <c r="P6" s="34">
        <f>INDEX(cennik!$C$2:$L$529,MATCH($L6,cennik!$B$2:$B$522,0),MATCH(P$2,cennik!$C$1:$L$1,0))</f>
        <v>151.83000000000001</v>
      </c>
      <c r="Q6" s="34">
        <f t="shared" si="10"/>
        <v>0</v>
      </c>
      <c r="R6" s="35">
        <f t="shared" si="1"/>
        <v>0</v>
      </c>
      <c r="S6" s="34">
        <f t="shared" si="4"/>
        <v>151.83000000000001</v>
      </c>
      <c r="T6" s="34">
        <f t="shared" si="11"/>
        <v>0</v>
      </c>
      <c r="U6" s="34">
        <f>INDEX(cennik!$C$2:$L$529,MATCH($L6,cennik!$B$2:$B$522,0),MATCH(U$2,cennik!$C$1:$L$1,0))*O6</f>
        <v>0</v>
      </c>
      <c r="V6" s="25"/>
      <c r="W6" s="21">
        <f>INDEX(($EL$3:$EX$6,$EL$9:$EX$12,$EL$15:$EX$18,$FA$3:$FM$6,$FA$9:$FM$12,$FA$15:$FM$18,$FP$3:$GB$6,$FP$9:$GB$12,$FP$15:$GB$18,$GE$3:$GQ$6,$GE$9:$GQ$12,$GE$15:$GQ$18,$GT$3:$HF$6,$GT$9:$HF$12),MATCH($L$17,$EK$3:$EK$6,0),MATCH($A4,$EL$2:$EX$2,0),MATCH($E$3,$AE$33:$AE$48,0))*$C4</f>
        <v>0</v>
      </c>
      <c r="X6" s="21">
        <f>INDEX(($EL$3:$EX$6,$EL$9:$EX$12,$EL$15:$EX$18,$FA$3:$FM$6,$FA$9:$FM$12,$FA$15:$FM$18,$FP$3:$GB$6,$FP$9:$GB$12,$FP$15:$GB$18,$GE$3:$GQ$6,$GE$9:$GQ$12,$GE$15:$GQ$18,$GT$3:$HF$6,$GT$9:$HF$12),MATCH($L$14,$EK$3:$EK$6,0),MATCH($A4,$EL$2:$EX$2,0),MATCH($E$3,$AE$33:$AE$48,0))*$C4</f>
        <v>0</v>
      </c>
      <c r="Y6" s="21">
        <f>INDEX(($EL$3:$EX$6,$EL$9:$EX$12,$EL$15:$EX$18,$FA$3:$FM$6,$FA$9:$FM$12,$FA$15:$FM$18,$FP$3:$GB$6,$FP$9:$GB$12,$FP$15:$GB$18,$GE$3:$GQ$6,$GE$9:$GQ$12,$GE$15:$GQ$18,$GT$3:$HF$6,$GT$9:$HF$12),MATCH($L$15,$EK$3:$EK$6,0),MATCH($A4,$EL$2:$EX$2,0),MATCH($E$3,$AE$33:$AE$48,0))*$C4</f>
        <v>0</v>
      </c>
      <c r="Z6" s="21">
        <f>INDEX(($EL$3:$EX$6,$EL$9:$EX$12,$EL$15:$EX$18,$FA$3:$FM$6,$FA$9:$FM$12,$FA$15:$FM$18,$FP$3:$GB$6,$FP$9:$GB$12,$FP$15:$GB$18,$GE$3:$GQ$6,$GE$9:$GQ$12,$GE$15:$GQ$18,$GT$3:$HF$6,$GT$9:$HF$12),MATCH($L$16,$EK$3:$EK$6,0),MATCH($A4,$EL$2:$EX$2,0),MATCH($E$3,$AE$33:$AE$48,0))*$C4</f>
        <v>0</v>
      </c>
      <c r="AA6" s="21">
        <f t="shared" si="0"/>
        <v>0</v>
      </c>
      <c r="AB6" s="21">
        <f t="shared" si="2"/>
        <v>0</v>
      </c>
      <c r="AC6" s="21" t="s">
        <v>312</v>
      </c>
      <c r="AD6" s="21"/>
      <c r="AE6" s="21"/>
      <c r="AF6" s="21"/>
      <c r="AG6" s="26">
        <v>34</v>
      </c>
      <c r="AH6" s="20"/>
      <c r="AI6" s="20"/>
      <c r="AJ6" s="20" t="s">
        <v>110</v>
      </c>
      <c r="AK6" s="20" t="s">
        <v>67</v>
      </c>
      <c r="AL6" s="20">
        <v>34</v>
      </c>
      <c r="AM6" s="20" t="s">
        <v>40</v>
      </c>
      <c r="AN6" s="20"/>
      <c r="AO6" s="188" t="s">
        <v>151</v>
      </c>
      <c r="AP6" s="188" t="s">
        <v>151</v>
      </c>
      <c r="AQ6" s="188"/>
      <c r="AR6" s="25" t="s">
        <v>480</v>
      </c>
      <c r="AS6" s="25" t="s">
        <v>596</v>
      </c>
      <c r="AT6" s="25" t="s">
        <v>596</v>
      </c>
      <c r="AU6" s="25" t="s">
        <v>594</v>
      </c>
      <c r="AV6" s="21" t="s">
        <v>594</v>
      </c>
      <c r="AX6" s="188"/>
      <c r="AY6" s="199">
        <v>1</v>
      </c>
      <c r="AZ6" s="199">
        <v>1</v>
      </c>
      <c r="BA6" s="189">
        <v>1</v>
      </c>
      <c r="BG6" s="189">
        <f t="shared" si="3"/>
        <v>1</v>
      </c>
      <c r="BH6" s="20" t="s">
        <v>779</v>
      </c>
      <c r="BI6" s="20">
        <v>0</v>
      </c>
      <c r="BJ6" s="21">
        <v>0</v>
      </c>
      <c r="BK6" s="21">
        <v>0</v>
      </c>
      <c r="BL6" s="21">
        <v>0</v>
      </c>
      <c r="BM6" s="21">
        <v>5</v>
      </c>
      <c r="BN6" s="21">
        <v>5</v>
      </c>
      <c r="BO6" s="21">
        <v>10</v>
      </c>
      <c r="BP6" s="21">
        <v>5</v>
      </c>
      <c r="BQ6" s="21">
        <v>10</v>
      </c>
      <c r="BR6" s="21">
        <v>10</v>
      </c>
      <c r="BS6" s="21">
        <v>15</v>
      </c>
      <c r="BT6" s="21">
        <v>15</v>
      </c>
      <c r="BU6" s="21">
        <v>15</v>
      </c>
      <c r="BV6" s="21"/>
      <c r="BW6" s="20" t="s">
        <v>779</v>
      </c>
      <c r="BX6" s="21">
        <v>0</v>
      </c>
      <c r="BY6" s="21">
        <v>0</v>
      </c>
      <c r="BZ6" s="21">
        <v>0</v>
      </c>
      <c r="CA6" s="21">
        <v>0</v>
      </c>
      <c r="CB6" s="21">
        <v>5</v>
      </c>
      <c r="CC6" s="21">
        <v>5</v>
      </c>
      <c r="CD6" s="21">
        <v>10</v>
      </c>
      <c r="CE6" s="21">
        <v>10</v>
      </c>
      <c r="CF6" s="21">
        <v>10</v>
      </c>
      <c r="CG6" s="21">
        <v>10</v>
      </c>
      <c r="CH6" s="21">
        <v>15</v>
      </c>
      <c r="CI6" s="21">
        <v>15</v>
      </c>
      <c r="CJ6" s="21">
        <v>15</v>
      </c>
      <c r="CK6" s="21"/>
      <c r="CL6" s="21"/>
      <c r="CM6" s="21"/>
      <c r="CN6" s="20" t="s">
        <v>779</v>
      </c>
      <c r="CO6" s="21">
        <v>0</v>
      </c>
      <c r="CP6" s="21">
        <v>0</v>
      </c>
      <c r="CQ6" s="21">
        <v>0</v>
      </c>
      <c r="CR6" s="21">
        <v>5</v>
      </c>
      <c r="CS6" s="21">
        <v>5</v>
      </c>
      <c r="CT6" s="21">
        <v>10</v>
      </c>
      <c r="CU6" s="21">
        <v>5</v>
      </c>
      <c r="CV6" s="21">
        <v>10</v>
      </c>
      <c r="CW6" s="21">
        <v>10</v>
      </c>
      <c r="CX6" s="21">
        <v>10</v>
      </c>
      <c r="CY6" s="21">
        <v>15</v>
      </c>
      <c r="CZ6" s="21">
        <v>15</v>
      </c>
      <c r="DA6" s="21">
        <v>15</v>
      </c>
      <c r="DB6" s="21"/>
      <c r="DC6" s="20" t="s">
        <v>779</v>
      </c>
      <c r="DD6" s="20">
        <v>0</v>
      </c>
      <c r="DE6" s="21">
        <v>0</v>
      </c>
      <c r="DF6" s="21">
        <v>0</v>
      </c>
      <c r="DG6" s="21">
        <v>5</v>
      </c>
      <c r="DH6" s="21">
        <v>5</v>
      </c>
      <c r="DI6" s="21">
        <v>10</v>
      </c>
      <c r="DJ6" s="21">
        <v>10</v>
      </c>
      <c r="DK6" s="21">
        <v>10</v>
      </c>
      <c r="DL6" s="21">
        <v>15</v>
      </c>
      <c r="DM6" s="21">
        <v>15</v>
      </c>
      <c r="DN6" s="21">
        <v>15</v>
      </c>
      <c r="DO6" s="21">
        <v>20</v>
      </c>
      <c r="DP6" s="21">
        <v>20</v>
      </c>
      <c r="DQ6" s="87"/>
      <c r="DR6" s="87">
        <v>24</v>
      </c>
      <c r="DS6" s="87">
        <v>25</v>
      </c>
      <c r="DT6" s="20" t="s">
        <v>779</v>
      </c>
      <c r="DU6" s="20">
        <v>0</v>
      </c>
      <c r="DV6" s="21">
        <v>0</v>
      </c>
      <c r="DW6" s="21">
        <v>0</v>
      </c>
      <c r="DX6" s="21">
        <v>5</v>
      </c>
      <c r="DY6" s="21">
        <v>10</v>
      </c>
      <c r="DZ6" s="21">
        <v>5</v>
      </c>
      <c r="EA6" s="21">
        <v>10</v>
      </c>
      <c r="EB6" s="21">
        <v>10</v>
      </c>
      <c r="EC6" s="21">
        <v>15</v>
      </c>
      <c r="ED6" s="21">
        <v>15</v>
      </c>
      <c r="EE6" s="21">
        <v>20</v>
      </c>
      <c r="EF6" s="21">
        <v>20</v>
      </c>
      <c r="EG6" s="21">
        <v>20</v>
      </c>
      <c r="EH6" s="21"/>
      <c r="EI6" s="21"/>
      <c r="EJ6" s="196"/>
      <c r="EK6" s="20" t="s">
        <v>779</v>
      </c>
      <c r="EL6" s="21">
        <v>0</v>
      </c>
      <c r="EM6" s="21">
        <f>((SUM(EM4:EM5)/5)-1)*5</f>
        <v>0</v>
      </c>
      <c r="EN6" s="21">
        <f t="shared" ref="EN6:EX6" si="17">((SUM(EN4:EN5)/5)-1)*5</f>
        <v>0</v>
      </c>
      <c r="EO6" s="21">
        <v>0</v>
      </c>
      <c r="EP6" s="21">
        <f t="shared" si="17"/>
        <v>5</v>
      </c>
      <c r="EQ6" s="21">
        <f t="shared" si="17"/>
        <v>10</v>
      </c>
      <c r="ER6" s="21">
        <f t="shared" si="17"/>
        <v>10</v>
      </c>
      <c r="ES6" s="21">
        <f t="shared" si="17"/>
        <v>15</v>
      </c>
      <c r="ET6" s="21">
        <f t="shared" si="17"/>
        <v>15</v>
      </c>
      <c r="EU6" s="21">
        <f t="shared" si="17"/>
        <v>20</v>
      </c>
      <c r="EV6" s="21">
        <f t="shared" si="17"/>
        <v>20</v>
      </c>
      <c r="EW6" s="21">
        <f t="shared" si="17"/>
        <v>25</v>
      </c>
      <c r="EX6" s="21">
        <f t="shared" si="17"/>
        <v>25</v>
      </c>
      <c r="EY6" s="21"/>
      <c r="EZ6" s="20" t="s">
        <v>779</v>
      </c>
      <c r="FA6" s="21">
        <v>0</v>
      </c>
      <c r="FB6" s="21">
        <f>((SUM(FB4:FB5)/5)-1)*5</f>
        <v>0</v>
      </c>
      <c r="FC6" s="21">
        <v>0</v>
      </c>
      <c r="FD6" s="21">
        <v>0</v>
      </c>
      <c r="FE6" s="21">
        <f t="shared" ref="FE6:FM6" si="18">((SUM(FE4:FE5)/5)-1)*5</f>
        <v>5</v>
      </c>
      <c r="FF6" s="21">
        <f t="shared" si="18"/>
        <v>10</v>
      </c>
      <c r="FG6" s="21">
        <f t="shared" si="18"/>
        <v>10</v>
      </c>
      <c r="FH6" s="21">
        <f t="shared" si="18"/>
        <v>15</v>
      </c>
      <c r="FI6" s="21">
        <f t="shared" si="18"/>
        <v>20</v>
      </c>
      <c r="FJ6" s="21">
        <f t="shared" si="18"/>
        <v>20</v>
      </c>
      <c r="FK6" s="21">
        <f t="shared" si="18"/>
        <v>25</v>
      </c>
      <c r="FL6" s="21">
        <f t="shared" si="18"/>
        <v>25</v>
      </c>
      <c r="FM6" s="21">
        <f t="shared" si="18"/>
        <v>30</v>
      </c>
      <c r="FN6" s="21"/>
      <c r="FO6" s="20" t="s">
        <v>779</v>
      </c>
      <c r="FP6" s="21">
        <v>0</v>
      </c>
      <c r="FQ6" s="21">
        <f>((SUM(FQ4:FQ5)/5)-1)*5</f>
        <v>0</v>
      </c>
      <c r="FR6" s="21">
        <v>0</v>
      </c>
      <c r="FS6" s="21">
        <f t="shared" ref="FS6:GB6" si="19">((SUM(FS4:FS5)/5)-1)*5</f>
        <v>5</v>
      </c>
      <c r="FT6" s="21">
        <f t="shared" si="19"/>
        <v>10</v>
      </c>
      <c r="FU6" s="21">
        <f t="shared" si="19"/>
        <v>10</v>
      </c>
      <c r="FV6" s="21">
        <f t="shared" si="19"/>
        <v>15</v>
      </c>
      <c r="FW6" s="21">
        <f t="shared" si="19"/>
        <v>15</v>
      </c>
      <c r="FX6" s="21">
        <f t="shared" si="19"/>
        <v>20</v>
      </c>
      <c r="FY6" s="21">
        <f t="shared" si="19"/>
        <v>25</v>
      </c>
      <c r="FZ6" s="21">
        <f t="shared" si="19"/>
        <v>25</v>
      </c>
      <c r="GA6" s="21">
        <f t="shared" si="19"/>
        <v>30</v>
      </c>
      <c r="GB6" s="21">
        <f t="shared" si="19"/>
        <v>35</v>
      </c>
      <c r="GC6" s="21"/>
      <c r="GD6" s="20" t="s">
        <v>779</v>
      </c>
      <c r="GE6" s="21">
        <v>0</v>
      </c>
      <c r="GF6" s="21">
        <f>((SUM(GF4:GF5)/5)-1)*5</f>
        <v>0</v>
      </c>
      <c r="GG6" s="21">
        <v>0</v>
      </c>
      <c r="GH6" s="21">
        <f t="shared" ref="GH6:GQ6" si="20">((SUM(GH4:GH5)/5)-1)*5</f>
        <v>5</v>
      </c>
      <c r="GI6" s="21">
        <f t="shared" si="20"/>
        <v>10</v>
      </c>
      <c r="GJ6" s="21">
        <f t="shared" si="20"/>
        <v>10</v>
      </c>
      <c r="GK6" s="21">
        <f t="shared" si="20"/>
        <v>15</v>
      </c>
      <c r="GL6" s="21">
        <f t="shared" si="20"/>
        <v>20</v>
      </c>
      <c r="GM6" s="21">
        <f t="shared" si="20"/>
        <v>20</v>
      </c>
      <c r="GN6" s="21">
        <f t="shared" si="20"/>
        <v>25</v>
      </c>
      <c r="GO6" s="21">
        <f t="shared" si="20"/>
        <v>30</v>
      </c>
      <c r="GP6" s="21">
        <f t="shared" si="20"/>
        <v>30</v>
      </c>
      <c r="GQ6" s="21">
        <f t="shared" si="20"/>
        <v>35</v>
      </c>
      <c r="GR6" s="21"/>
      <c r="GS6" s="20" t="s">
        <v>779</v>
      </c>
      <c r="GT6" s="20">
        <v>0</v>
      </c>
      <c r="GU6" s="21">
        <f>((SUM(GU4:GU5)/5)-1)*5</f>
        <v>0</v>
      </c>
      <c r="GV6" s="21">
        <v>0</v>
      </c>
      <c r="GW6" s="21">
        <f t="shared" ref="GW6:HF6" si="21">((SUM(GW4:GW5)/5)-1)*5</f>
        <v>5</v>
      </c>
      <c r="GX6" s="21">
        <f t="shared" si="21"/>
        <v>10</v>
      </c>
      <c r="GY6" s="21">
        <f t="shared" si="21"/>
        <v>15</v>
      </c>
      <c r="GZ6" s="21">
        <f t="shared" si="21"/>
        <v>15</v>
      </c>
      <c r="HA6" s="21">
        <f t="shared" si="21"/>
        <v>20</v>
      </c>
      <c r="HB6" s="21">
        <f t="shared" si="21"/>
        <v>25</v>
      </c>
      <c r="HC6" s="21">
        <f t="shared" si="21"/>
        <v>30</v>
      </c>
      <c r="HD6" s="21">
        <f t="shared" si="21"/>
        <v>30</v>
      </c>
      <c r="HE6" s="21">
        <f t="shared" si="21"/>
        <v>35</v>
      </c>
      <c r="HF6" s="21">
        <f t="shared" si="21"/>
        <v>40</v>
      </c>
      <c r="HG6" s="198"/>
      <c r="HH6" s="21"/>
    </row>
    <row r="7" spans="1:216" x14ac:dyDescent="0.25">
      <c r="A7" s="8"/>
      <c r="B7" s="5" t="s">
        <v>116</v>
      </c>
      <c r="C7" s="8"/>
      <c r="D7" s="6" t="s">
        <v>162</v>
      </c>
      <c r="E7" s="8">
        <v>0</v>
      </c>
      <c r="F7" s="5"/>
      <c r="G7" s="5"/>
      <c r="H7" s="5"/>
      <c r="I7" s="5"/>
      <c r="J7" s="5" t="s">
        <v>163</v>
      </c>
      <c r="K7" s="9"/>
      <c r="L7" s="6" t="str">
        <f>IF(E10=25,"-------",IF(E10=30,(INDEX((BC13:BF19),MATCH(G3,BB13:BB19,0),MATCH(E5,BC12:BF12,0))),0))</f>
        <v>CWT70H50/2NMC</v>
      </c>
      <c r="M7" s="11">
        <f>INDEX(cennik!$C$2:$L$529,MATCH($L7,cennik!$B$2:$B$522,0),MATCH(M$2,cennik!$C$1:$L$1,0))</f>
        <v>867820</v>
      </c>
      <c r="N7" s="11" t="str">
        <f>INDEX(cennik!$C$2:$L$529,MATCH($L7,cennik!$B$2:$B$522,0),MATCH(N$2,cennik!$C$1:$L$1,0))</f>
        <v>szt.</v>
      </c>
      <c r="O7" s="11">
        <f>IF(L7="CWT70H50/2NMC",O6,0)</f>
        <v>0</v>
      </c>
      <c r="P7" s="34">
        <f>INDEX(cennik!$C$2:$L$529,MATCH($L7,cennik!$B$2:$B$522,0),MATCH(P$2,cennik!$C$1:$L$1,0))</f>
        <v>101.22</v>
      </c>
      <c r="Q7" s="34">
        <f t="shared" si="10"/>
        <v>0</v>
      </c>
      <c r="R7" s="35">
        <f t="shared" si="1"/>
        <v>0</v>
      </c>
      <c r="S7" s="34">
        <f t="shared" si="4"/>
        <v>101.22</v>
      </c>
      <c r="T7" s="34">
        <f t="shared" si="11"/>
        <v>0</v>
      </c>
      <c r="U7" s="34">
        <f>INDEX(cennik!$C$2:$L$529,MATCH($L7,cennik!$B$2:$B$522,0),MATCH(U$2,cennik!$C$1:$L$1,0))*O7</f>
        <v>0</v>
      </c>
      <c r="V7" s="25"/>
      <c r="W7" s="21">
        <f>INDEX(($EL$3:$EX$6,$EL$9:$EX$12,$EL$15:$EX$18,$FA$3:$FM$6,$FA$9:$FM$12,$FA$15:$FM$18,$FP$3:$GB$6,$FP$9:$GB$12,$FP$15:$GB$18,$GE$3:$GQ$6,$GE$9:$GQ$12,$GE$15:$GQ$18,$GT$3:$HF$6,$GT$9:$HF$12),MATCH($L$17,$EK$3:$EK$6,0),MATCH($A5,$EL$2:$EX$2,0),MATCH($E$3,$AE$33:$AE$48,0))*$C5</f>
        <v>0</v>
      </c>
      <c r="X7" s="21">
        <f>INDEX(($EL$3:$EX$6,$EL$9:$EX$12,$EL$15:$EX$18,$FA$3:$FM$6,$FA$9:$FM$12,$FA$15:$FM$18,$FP$3:$GB$6,$FP$9:$GB$12,$FP$15:$GB$18,$GE$3:$GQ$6,$GE$9:$GQ$12,$GE$15:$GQ$18,$GT$3:$HF$6,$GT$9:$HF$12),MATCH($L$14,$EK$3:$EK$6,0),MATCH($A5,$EL$2:$EX$2,0),MATCH($E$3,$AE$33:$AE$48,0))*$C5</f>
        <v>0</v>
      </c>
      <c r="Y7" s="21">
        <f>INDEX(($EL$3:$EX$6,$EL$9:$EX$12,$EL$15:$EX$18,$FA$3:$FM$6,$FA$9:$FM$12,$FA$15:$FM$18,$FP$3:$GB$6,$FP$9:$GB$12,$FP$15:$GB$18,$GE$3:$GQ$6,$GE$9:$GQ$12,$GE$15:$GQ$18,$GT$3:$HF$6,$GT$9:$HF$12),MATCH($L$15,$EK$3:$EK$6,0),MATCH($A5,$EL$2:$EX$2,0),MATCH($E$3,$AE$33:$AE$48,0))*$C5</f>
        <v>0</v>
      </c>
      <c r="Z7" s="21">
        <f>INDEX(($EL$3:$EX$6,$EL$9:$EX$12,$EL$15:$EX$18,$FA$3:$FM$6,$FA$9:$FM$12,$FA$15:$FM$18,$FP$3:$GB$6,$FP$9:$GB$12,$FP$15:$GB$18,$GE$3:$GQ$6,$GE$9:$GQ$12,$GE$15:$GQ$18,$GT$3:$HF$6,$GT$9:$HF$12),MATCH($L$16,$EK$3:$EK$6,0),MATCH($A5,$EL$2:$EX$2,0),MATCH($E$3,$AE$33:$AE$48,0))*$C5</f>
        <v>0</v>
      </c>
      <c r="AA7" s="21">
        <f t="shared" si="0"/>
        <v>0</v>
      </c>
      <c r="AB7" s="21">
        <f t="shared" si="2"/>
        <v>0</v>
      </c>
      <c r="AC7" s="21" t="s">
        <v>309</v>
      </c>
      <c r="AD7" s="21"/>
      <c r="AE7" s="21"/>
      <c r="AF7" s="21"/>
      <c r="AG7" s="26">
        <v>35</v>
      </c>
      <c r="AH7" s="20" t="s">
        <v>29</v>
      </c>
      <c r="AI7" s="20" t="s">
        <v>30</v>
      </c>
      <c r="AJ7" s="20" t="s">
        <v>110</v>
      </c>
      <c r="AK7" s="20" t="s">
        <v>67</v>
      </c>
      <c r="AL7" s="20">
        <v>35</v>
      </c>
      <c r="AM7" s="20" t="s">
        <v>41</v>
      </c>
      <c r="AN7" s="20" t="s">
        <v>42</v>
      </c>
      <c r="AO7" s="188" t="s">
        <v>151</v>
      </c>
      <c r="AP7" s="188" t="s">
        <v>151</v>
      </c>
      <c r="AQ7" s="188"/>
      <c r="AR7" s="25" t="s">
        <v>713</v>
      </c>
      <c r="AS7" s="25" t="s">
        <v>596</v>
      </c>
      <c r="AT7" s="25" t="s">
        <v>596</v>
      </c>
      <c r="AU7" s="21" t="s">
        <v>594</v>
      </c>
      <c r="AV7" s="21" t="s">
        <v>594</v>
      </c>
      <c r="AX7" s="188"/>
      <c r="AY7" s="200">
        <v>2</v>
      </c>
      <c r="AZ7" s="200" t="s">
        <v>845</v>
      </c>
      <c r="BA7" s="200">
        <v>2</v>
      </c>
      <c r="BG7" s="189">
        <f t="shared" si="3"/>
        <v>1</v>
      </c>
      <c r="BH7" s="21"/>
      <c r="BI7" s="21"/>
      <c r="BJ7" s="21"/>
      <c r="BK7" s="21"/>
      <c r="BL7" s="21"/>
      <c r="BM7" s="21"/>
      <c r="BN7" s="21"/>
      <c r="BO7" s="21"/>
      <c r="BP7" s="21"/>
      <c r="BQ7" s="21"/>
      <c r="BR7" s="21"/>
      <c r="BS7" s="21"/>
      <c r="BT7" s="21"/>
      <c r="BU7" s="21"/>
      <c r="BV7" s="21"/>
      <c r="BW7" s="21"/>
      <c r="BX7" s="21"/>
      <c r="BY7" s="21"/>
      <c r="BZ7" s="21"/>
      <c r="CA7" s="21"/>
      <c r="CB7" s="21"/>
      <c r="CC7" s="21"/>
      <c r="CD7" s="21"/>
      <c r="CE7" s="21"/>
      <c r="CF7" s="21"/>
      <c r="CG7" s="21"/>
      <c r="CH7" s="21"/>
      <c r="CI7" s="21"/>
      <c r="CJ7" s="21"/>
      <c r="CK7" s="21"/>
      <c r="CL7" s="21"/>
      <c r="CM7" s="21"/>
      <c r="CN7" s="21"/>
      <c r="CO7" s="21"/>
      <c r="CP7" s="21"/>
      <c r="CQ7" s="21"/>
      <c r="CR7" s="21"/>
      <c r="CS7" s="21"/>
      <c r="CT7" s="21"/>
      <c r="CU7" s="21"/>
      <c r="CV7" s="21"/>
      <c r="CW7" s="21"/>
      <c r="CX7" s="21"/>
      <c r="CY7" s="21"/>
      <c r="CZ7" s="21"/>
      <c r="DA7" s="21"/>
      <c r="DB7" s="21"/>
      <c r="DC7" s="21"/>
      <c r="DD7" s="21"/>
      <c r="DE7" s="21"/>
      <c r="DF7" s="21"/>
      <c r="DG7" s="21"/>
      <c r="DH7" s="21"/>
      <c r="DI7" s="21"/>
      <c r="DJ7" s="21"/>
      <c r="DK7" s="21"/>
      <c r="DL7" s="21"/>
      <c r="DM7" s="21"/>
      <c r="DN7" s="21"/>
      <c r="DO7" s="21"/>
      <c r="DP7" s="21"/>
      <c r="DQ7" s="87"/>
      <c r="DR7" s="87">
        <v>28</v>
      </c>
      <c r="DS7" s="87">
        <v>30</v>
      </c>
      <c r="DT7" s="21"/>
      <c r="DU7" s="21"/>
      <c r="DV7" s="21"/>
      <c r="DW7" s="21"/>
      <c r="DX7" s="21"/>
      <c r="DY7" s="21"/>
      <c r="DZ7" s="21"/>
      <c r="EA7" s="21"/>
      <c r="EB7" s="21"/>
      <c r="EC7" s="21"/>
      <c r="ED7" s="21"/>
      <c r="EE7" s="21"/>
      <c r="EF7" s="21"/>
      <c r="EG7" s="21"/>
      <c r="EH7" s="21"/>
      <c r="EI7" s="21"/>
      <c r="EJ7" s="196"/>
      <c r="EK7" s="21"/>
      <c r="EL7" s="21"/>
      <c r="EM7" s="21"/>
      <c r="EN7" s="21"/>
      <c r="EO7" s="21"/>
      <c r="EP7" s="21"/>
      <c r="EQ7" s="21"/>
      <c r="ER7" s="21"/>
      <c r="ES7" s="21"/>
      <c r="ET7" s="21"/>
      <c r="EU7" s="21"/>
      <c r="EV7" s="21"/>
      <c r="EW7" s="21"/>
      <c r="EX7" s="21"/>
      <c r="EY7" s="21"/>
      <c r="EZ7" s="21"/>
      <c r="FA7" s="21"/>
      <c r="FB7" s="21"/>
      <c r="FC7" s="21"/>
      <c r="FD7" s="21"/>
      <c r="FE7" s="21"/>
      <c r="FF7" s="21"/>
      <c r="FG7" s="21"/>
      <c r="FH7" s="21"/>
      <c r="FI7" s="21"/>
      <c r="FJ7" s="21"/>
      <c r="FK7" s="21"/>
      <c r="FL7" s="21"/>
      <c r="FM7" s="21"/>
      <c r="FN7" s="21"/>
      <c r="FO7" s="21"/>
      <c r="FP7" s="21"/>
      <c r="FQ7" s="21"/>
      <c r="FR7" s="21"/>
      <c r="FS7" s="21"/>
      <c r="FT7" s="21"/>
      <c r="FU7" s="21"/>
      <c r="FV7" s="21"/>
      <c r="FW7" s="21"/>
      <c r="FX7" s="21"/>
      <c r="FY7" s="21"/>
      <c r="FZ7" s="21"/>
      <c r="GA7" s="21"/>
      <c r="GB7" s="21"/>
      <c r="GC7" s="21"/>
      <c r="GD7" s="21"/>
      <c r="GE7" s="21"/>
      <c r="GF7" s="21"/>
      <c r="GG7" s="21"/>
      <c r="GH7" s="21"/>
      <c r="GI7" s="21"/>
      <c r="GJ7" s="21"/>
      <c r="GK7" s="21"/>
      <c r="GL7" s="21"/>
      <c r="GM7" s="21"/>
      <c r="GN7" s="21"/>
      <c r="GO7" s="21"/>
      <c r="GP7" s="21"/>
      <c r="GQ7" s="21"/>
      <c r="GR7" s="21"/>
      <c r="GS7" s="21"/>
      <c r="GT7" s="21"/>
      <c r="GU7" s="21"/>
      <c r="GV7" s="21"/>
      <c r="GW7" s="21"/>
      <c r="GX7" s="21"/>
      <c r="GY7" s="21"/>
      <c r="GZ7" s="21"/>
      <c r="HA7" s="21"/>
      <c r="HB7" s="21"/>
      <c r="HC7" s="21"/>
      <c r="HD7" s="21"/>
      <c r="HE7" s="21"/>
      <c r="HF7" s="21"/>
      <c r="HG7" s="198"/>
      <c r="HH7" s="21"/>
    </row>
    <row r="8" spans="1:216" x14ac:dyDescent="0.25">
      <c r="A8" s="8"/>
      <c r="B8" s="5" t="s">
        <v>116</v>
      </c>
      <c r="C8" s="8"/>
      <c r="D8" s="6" t="s">
        <v>515</v>
      </c>
      <c r="E8" s="8">
        <v>0</v>
      </c>
      <c r="F8" s="5"/>
      <c r="G8" s="5"/>
      <c r="H8" s="5"/>
      <c r="I8" s="5"/>
      <c r="J8" s="5" t="s">
        <v>412</v>
      </c>
      <c r="K8" s="9"/>
      <c r="L8" s="6" t="str">
        <f>IF(L7="CWT70H50/2NMC","LCT70H50MC","-------")</f>
        <v>LCT70H50MC</v>
      </c>
      <c r="M8" s="11">
        <f>INDEX(cennik!$C$2:$L$529,MATCH($L8,cennik!$B$2:$B$522,0),MATCH(M$2,cennik!$C$1:$L$1,0))</f>
        <v>6620015</v>
      </c>
      <c r="N8" s="11" t="str">
        <f>INDEX(cennik!$C$2:$L$529,MATCH($L8,cennik!$B$2:$B$522,0),MATCH(N$2,cennik!$C$1:$L$1,0))</f>
        <v>szt.</v>
      </c>
      <c r="O8" s="11">
        <f>O7</f>
        <v>0</v>
      </c>
      <c r="P8" s="34">
        <f>INDEX(cennik!$C$2:$L$529,MATCH($L8,cennik!$B$2:$B$522,0),MATCH(P$2,cennik!$C$1:$L$1,0))</f>
        <v>14.6</v>
      </c>
      <c r="Q8" s="34">
        <f t="shared" si="10"/>
        <v>0</v>
      </c>
      <c r="R8" s="35">
        <f t="shared" si="1"/>
        <v>0</v>
      </c>
      <c r="S8" s="34">
        <f t="shared" si="4"/>
        <v>14.6</v>
      </c>
      <c r="T8" s="34">
        <f t="shared" si="11"/>
        <v>0</v>
      </c>
      <c r="U8" s="34">
        <f>INDEX(cennik!$C$2:$L$529,MATCH($L8,cennik!$B$2:$B$522,0),MATCH(U$2,cennik!$C$1:$L$1,0))*O8</f>
        <v>0</v>
      </c>
      <c r="V8" s="25"/>
      <c r="W8" s="21">
        <f>INDEX(($EL$3:$EX$6,$EL$9:$EX$12,$EL$15:$EX$18,$FA$3:$FM$6,$FA$9:$FM$12,$FA$15:$FM$18,$FP$3:$GB$6,$FP$9:$GB$12,$FP$15:$GB$18,$GE$3:$GQ$6,$GE$9:$GQ$12,$GE$15:$GQ$18,$GT$3:$HF$6,$GT$9:$HF$12),MATCH($L$17,$EK$3:$EK$6,0),MATCH($A6,$EL$2:$EX$2,0),MATCH($E$3,$AE$33:$AE$48,0))*$C6</f>
        <v>0</v>
      </c>
      <c r="X8" s="21">
        <f>INDEX(($EL$3:$EX$6,$EL$9:$EX$12,$EL$15:$EX$18,$FA$3:$FM$6,$FA$9:$FM$12,$FA$15:$FM$18,$FP$3:$GB$6,$FP$9:$GB$12,$FP$15:$GB$18,$GE$3:$GQ$6,$GE$9:$GQ$12,$GE$15:$GQ$18,$GT$3:$HF$6,$GT$9:$HF$12),MATCH($L$14,$EK$3:$EK$6,0),MATCH($A6,$EL$2:$EX$2,0),MATCH($E$3,$AE$33:$AE$48,0))*$C6</f>
        <v>0</v>
      </c>
      <c r="Y8" s="21">
        <f>INDEX(($EL$3:$EX$6,$EL$9:$EX$12,$EL$15:$EX$18,$FA$3:$FM$6,$FA$9:$FM$12,$FA$15:$FM$18,$FP$3:$GB$6,$FP$9:$GB$12,$FP$15:$GB$18,$GE$3:$GQ$6,$GE$9:$GQ$12,$GE$15:$GQ$18,$GT$3:$HF$6,$GT$9:$HF$12),MATCH($L$15,$EK$3:$EK$6,0),MATCH($A6,$EL$2:$EX$2,0),MATCH($E$3,$AE$33:$AE$48,0))*$C6</f>
        <v>0</v>
      </c>
      <c r="Z8" s="21">
        <f>INDEX(($EL$3:$EX$6,$EL$9:$EX$12,$EL$15:$EX$18,$FA$3:$FM$6,$FA$9:$FM$12,$FA$15:$FM$18,$FP$3:$GB$6,$FP$9:$GB$12,$FP$15:$GB$18,$GE$3:$GQ$6,$GE$9:$GQ$12,$GE$15:$GQ$18,$GT$3:$HF$6,$GT$9:$HF$12),MATCH($L$16,$EK$3:$EK$6,0),MATCH($A6,$EL$2:$EX$2,0),MATCH($E$3,$AE$33:$AE$48,0))*$C6</f>
        <v>0</v>
      </c>
      <c r="AA8" s="21">
        <f t="shared" si="0"/>
        <v>0</v>
      </c>
      <c r="AB8" s="21">
        <f t="shared" si="2"/>
        <v>0</v>
      </c>
      <c r="AC8" s="21" t="s">
        <v>313</v>
      </c>
      <c r="AD8" s="21"/>
      <c r="AE8" s="21"/>
      <c r="AF8" s="21"/>
      <c r="AG8" s="26">
        <v>38</v>
      </c>
      <c r="AH8" s="20" t="s">
        <v>31</v>
      </c>
      <c r="AI8" s="20"/>
      <c r="AJ8" s="20" t="s">
        <v>110</v>
      </c>
      <c r="AK8" s="20" t="s">
        <v>67</v>
      </c>
      <c r="AL8" s="20">
        <v>38</v>
      </c>
      <c r="AM8" s="20" t="s">
        <v>43</v>
      </c>
      <c r="AN8" s="20"/>
      <c r="AO8" s="188" t="s">
        <v>151</v>
      </c>
      <c r="AP8" s="188" t="s">
        <v>151</v>
      </c>
      <c r="AQ8" s="188"/>
      <c r="AR8" s="21" t="s">
        <v>714</v>
      </c>
      <c r="AS8" s="25" t="s">
        <v>596</v>
      </c>
      <c r="AT8" s="25" t="s">
        <v>596</v>
      </c>
      <c r="AU8" s="21" t="s">
        <v>594</v>
      </c>
      <c r="AV8" s="21" t="s">
        <v>594</v>
      </c>
      <c r="AX8" s="188"/>
      <c r="AY8" s="200">
        <v>6</v>
      </c>
      <c r="AZ8" s="200" t="s">
        <v>846</v>
      </c>
      <c r="BA8" s="189">
        <v>3</v>
      </c>
      <c r="BG8" s="189">
        <f t="shared" si="3"/>
        <v>1</v>
      </c>
      <c r="BH8" s="21" t="s">
        <v>112</v>
      </c>
      <c r="BI8" s="21">
        <v>0</v>
      </c>
      <c r="BJ8" s="21">
        <v>8</v>
      </c>
      <c r="BK8" s="21">
        <v>12</v>
      </c>
      <c r="BL8" s="21">
        <v>16</v>
      </c>
      <c r="BM8" s="21">
        <v>20</v>
      </c>
      <c r="BN8" s="21">
        <v>24</v>
      </c>
      <c r="BO8" s="21">
        <v>28</v>
      </c>
      <c r="BP8" s="21">
        <v>32</v>
      </c>
      <c r="BQ8" s="21">
        <v>36</v>
      </c>
      <c r="BR8" s="21">
        <v>40</v>
      </c>
      <c r="BS8" s="21">
        <v>44</v>
      </c>
      <c r="BT8" s="21">
        <v>48</v>
      </c>
      <c r="BU8" s="21">
        <v>52</v>
      </c>
      <c r="BV8" s="21"/>
      <c r="BW8" s="21" t="s">
        <v>472</v>
      </c>
      <c r="BX8" s="21">
        <v>0</v>
      </c>
      <c r="BY8" s="21">
        <v>8</v>
      </c>
      <c r="BZ8" s="21">
        <v>12</v>
      </c>
      <c r="CA8" s="21">
        <v>16</v>
      </c>
      <c r="CB8" s="21">
        <v>20</v>
      </c>
      <c r="CC8" s="21">
        <v>24</v>
      </c>
      <c r="CD8" s="21">
        <v>28</v>
      </c>
      <c r="CE8" s="21">
        <v>32</v>
      </c>
      <c r="CF8" s="21">
        <v>36</v>
      </c>
      <c r="CG8" s="21">
        <v>40</v>
      </c>
      <c r="CH8" s="21">
        <v>44</v>
      </c>
      <c r="CI8" s="21">
        <v>48</v>
      </c>
      <c r="CJ8" s="21">
        <v>52</v>
      </c>
      <c r="CK8" s="21"/>
      <c r="CL8" s="21"/>
      <c r="CM8" s="21"/>
      <c r="CN8" s="21" t="s">
        <v>113</v>
      </c>
      <c r="CO8" s="21">
        <v>0</v>
      </c>
      <c r="CP8" s="21">
        <v>8</v>
      </c>
      <c r="CQ8" s="21">
        <v>12</v>
      </c>
      <c r="CR8" s="21">
        <v>16</v>
      </c>
      <c r="CS8" s="21">
        <v>20</v>
      </c>
      <c r="CT8" s="21">
        <v>24</v>
      </c>
      <c r="CU8" s="21">
        <v>28</v>
      </c>
      <c r="CV8" s="21">
        <v>32</v>
      </c>
      <c r="CW8" s="21">
        <v>36</v>
      </c>
      <c r="CX8" s="21">
        <v>40</v>
      </c>
      <c r="CY8" s="21">
        <v>44</v>
      </c>
      <c r="CZ8" s="21">
        <v>48</v>
      </c>
      <c r="DA8" s="21">
        <v>52</v>
      </c>
      <c r="DB8" s="21"/>
      <c r="DC8" s="21" t="s">
        <v>478</v>
      </c>
      <c r="DD8" s="21">
        <v>0</v>
      </c>
      <c r="DE8" s="21">
        <v>8</v>
      </c>
      <c r="DF8" s="21">
        <v>12</v>
      </c>
      <c r="DG8" s="21">
        <v>16</v>
      </c>
      <c r="DH8" s="21">
        <v>20</v>
      </c>
      <c r="DI8" s="21">
        <v>24</v>
      </c>
      <c r="DJ8" s="21">
        <v>28</v>
      </c>
      <c r="DK8" s="21">
        <v>32</v>
      </c>
      <c r="DL8" s="21">
        <v>36</v>
      </c>
      <c r="DM8" s="21">
        <v>40</v>
      </c>
      <c r="DN8" s="21">
        <v>44</v>
      </c>
      <c r="DO8" s="21">
        <v>48</v>
      </c>
      <c r="DP8" s="21">
        <v>52</v>
      </c>
      <c r="DQ8" s="87"/>
      <c r="DR8" s="87">
        <v>32</v>
      </c>
      <c r="DS8" s="87"/>
      <c r="DT8" s="21" t="s">
        <v>507</v>
      </c>
      <c r="DU8" s="21">
        <v>0</v>
      </c>
      <c r="DV8" s="21">
        <v>8</v>
      </c>
      <c r="DW8" s="21">
        <v>12</v>
      </c>
      <c r="DX8" s="21">
        <v>16</v>
      </c>
      <c r="DY8" s="21">
        <v>20</v>
      </c>
      <c r="DZ8" s="21">
        <v>24</v>
      </c>
      <c r="EA8" s="21">
        <v>28</v>
      </c>
      <c r="EB8" s="21">
        <v>32</v>
      </c>
      <c r="EC8" s="21">
        <v>36</v>
      </c>
      <c r="ED8" s="21">
        <v>40</v>
      </c>
      <c r="EE8" s="21">
        <v>44</v>
      </c>
      <c r="EF8" s="21">
        <v>48</v>
      </c>
      <c r="EG8" s="21">
        <v>52</v>
      </c>
      <c r="EH8" s="21"/>
      <c r="EI8" s="21"/>
      <c r="EJ8" s="196"/>
      <c r="EK8" s="21" t="s">
        <v>112</v>
      </c>
      <c r="EL8" s="21">
        <v>0</v>
      </c>
      <c r="EM8" s="21">
        <v>8</v>
      </c>
      <c r="EN8" s="21">
        <v>12</v>
      </c>
      <c r="EO8" s="21">
        <v>16</v>
      </c>
      <c r="EP8" s="21">
        <v>20</v>
      </c>
      <c r="EQ8" s="21">
        <v>24</v>
      </c>
      <c r="ER8" s="21">
        <v>28</v>
      </c>
      <c r="ES8" s="21">
        <v>32</v>
      </c>
      <c r="ET8" s="21">
        <v>36</v>
      </c>
      <c r="EU8" s="21">
        <v>40</v>
      </c>
      <c r="EV8" s="21">
        <v>44</v>
      </c>
      <c r="EW8" s="21">
        <v>48</v>
      </c>
      <c r="EX8" s="21">
        <v>52</v>
      </c>
      <c r="EY8" s="21"/>
      <c r="EZ8" s="21" t="s">
        <v>472</v>
      </c>
      <c r="FA8" s="21">
        <v>0</v>
      </c>
      <c r="FB8" s="21">
        <v>8</v>
      </c>
      <c r="FC8" s="21">
        <v>12</v>
      </c>
      <c r="FD8" s="21">
        <v>16</v>
      </c>
      <c r="FE8" s="21">
        <v>20</v>
      </c>
      <c r="FF8" s="21">
        <v>24</v>
      </c>
      <c r="FG8" s="21">
        <v>28</v>
      </c>
      <c r="FH8" s="21">
        <v>32</v>
      </c>
      <c r="FI8" s="21">
        <v>36</v>
      </c>
      <c r="FJ8" s="21">
        <v>40</v>
      </c>
      <c r="FK8" s="21">
        <v>44</v>
      </c>
      <c r="FL8" s="21">
        <v>48</v>
      </c>
      <c r="FM8" s="21">
        <v>52</v>
      </c>
      <c r="FN8" s="21"/>
      <c r="FO8" s="21" t="s">
        <v>113</v>
      </c>
      <c r="FP8" s="21">
        <v>0</v>
      </c>
      <c r="FQ8" s="21">
        <v>8</v>
      </c>
      <c r="FR8" s="21">
        <v>12</v>
      </c>
      <c r="FS8" s="21">
        <v>16</v>
      </c>
      <c r="FT8" s="21">
        <v>20</v>
      </c>
      <c r="FU8" s="21">
        <v>24</v>
      </c>
      <c r="FV8" s="21">
        <v>28</v>
      </c>
      <c r="FW8" s="21">
        <v>32</v>
      </c>
      <c r="FX8" s="21">
        <v>36</v>
      </c>
      <c r="FY8" s="21">
        <v>40</v>
      </c>
      <c r="FZ8" s="21">
        <v>44</v>
      </c>
      <c r="GA8" s="21">
        <v>48</v>
      </c>
      <c r="GB8" s="21">
        <v>52</v>
      </c>
      <c r="GC8" s="21"/>
      <c r="GD8" s="21" t="s">
        <v>478</v>
      </c>
      <c r="GE8" s="21">
        <v>0</v>
      </c>
      <c r="GF8" s="21">
        <v>8</v>
      </c>
      <c r="GG8" s="21">
        <v>12</v>
      </c>
      <c r="GH8" s="21">
        <v>16</v>
      </c>
      <c r="GI8" s="21">
        <v>20</v>
      </c>
      <c r="GJ8" s="21">
        <v>24</v>
      </c>
      <c r="GK8" s="21">
        <v>28</v>
      </c>
      <c r="GL8" s="21">
        <v>32</v>
      </c>
      <c r="GM8" s="21">
        <v>36</v>
      </c>
      <c r="GN8" s="21">
        <v>40</v>
      </c>
      <c r="GO8" s="21">
        <v>44</v>
      </c>
      <c r="GP8" s="21">
        <v>48</v>
      </c>
      <c r="GQ8" s="21">
        <v>52</v>
      </c>
      <c r="GR8" s="21"/>
      <c r="GS8" s="21" t="s">
        <v>507</v>
      </c>
      <c r="GT8" s="21">
        <v>0</v>
      </c>
      <c r="GU8" s="21">
        <v>8</v>
      </c>
      <c r="GV8" s="21">
        <v>12</v>
      </c>
      <c r="GW8" s="21">
        <v>16</v>
      </c>
      <c r="GX8" s="21">
        <v>20</v>
      </c>
      <c r="GY8" s="21">
        <v>24</v>
      </c>
      <c r="GZ8" s="21">
        <v>28</v>
      </c>
      <c r="HA8" s="21">
        <v>32</v>
      </c>
      <c r="HB8" s="21">
        <v>36</v>
      </c>
      <c r="HC8" s="21">
        <v>40</v>
      </c>
      <c r="HD8" s="21">
        <v>44</v>
      </c>
      <c r="HE8" s="21">
        <v>48</v>
      </c>
      <c r="HF8" s="21">
        <v>52</v>
      </c>
      <c r="HG8" s="198"/>
      <c r="HH8" s="21"/>
    </row>
    <row r="9" spans="1:216" x14ac:dyDescent="0.25">
      <c r="A9" s="8"/>
      <c r="B9" s="5" t="s">
        <v>116</v>
      </c>
      <c r="C9" s="8"/>
      <c r="D9" s="6" t="s">
        <v>511</v>
      </c>
      <c r="E9" s="4"/>
      <c r="F9" s="6"/>
      <c r="G9" s="6"/>
      <c r="H9" s="6"/>
      <c r="I9" s="6"/>
      <c r="J9" s="1"/>
      <c r="K9" s="9"/>
      <c r="L9" s="6" t="str">
        <f>IF(G3=$AE$24,"BDFCH120/4,4NMC",IF(G3=$AE$25,"BDFCH120/4,8NMC",IF(G3=$AE$26,"BDFCH120/4,8NMC",IF(G3=$AE$27,"BDFCH120/5,4NMC",IF(G3=$AE$28,"BDFCH120/5,4NMC",IF(G3=$AE$29,"BDFCH120/5,4NMC",IF(G3=$AE$30,"BDFTH120/6NMC",0)))))))</f>
        <v>BDFCH120/5,4NMC</v>
      </c>
      <c r="M9" s="11">
        <f>INDEX(cennik!$C$2:$L$529,MATCH($L9,cennik!$B$2:$B$522,0),MATCH(M$2,cennik!$C$1:$L$1,0))</f>
        <v>863354</v>
      </c>
      <c r="N9" s="11" t="str">
        <f>INDEX(cennik!$C$2:$L$529,MATCH($L9,cennik!$B$2:$B$522,0),MATCH(N$2,cennik!$C$1:$L$1,0))</f>
        <v>szt.</v>
      </c>
      <c r="O9" s="11">
        <f>O5</f>
        <v>0</v>
      </c>
      <c r="P9" s="34">
        <f>INDEX(cennik!$C$2:$L$529,MATCH($L9,cennik!$B$2:$B$522,0),MATCH(P$2,cennik!$C$1:$L$1,0))</f>
        <v>222.13</v>
      </c>
      <c r="Q9" s="34">
        <f t="shared" si="10"/>
        <v>0</v>
      </c>
      <c r="R9" s="35">
        <f t="shared" si="1"/>
        <v>0</v>
      </c>
      <c r="S9" s="34">
        <f t="shared" si="4"/>
        <v>222.13</v>
      </c>
      <c r="T9" s="34">
        <f t="shared" si="11"/>
        <v>0</v>
      </c>
      <c r="U9" s="34">
        <f>INDEX(cennik!$C$2:$L$529,MATCH($L9,cennik!$B$2:$B$522,0),MATCH(U$2,cennik!$C$1:$L$1,0))*O9</f>
        <v>0</v>
      </c>
      <c r="V9" s="25"/>
      <c r="W9" s="21">
        <f>INDEX(($EL$3:$EX$6,$EL$9:$EX$12,$EL$15:$EX$18,$FA$3:$FM$6,$FA$9:$FM$12,$FA$15:$FM$18,$FP$3:$GB$6,$FP$9:$GB$12,$FP$15:$GB$18,$GE$3:$GQ$6,$GE$9:$GQ$12,$GE$15:$GQ$18,$GT$3:$HF$6,$GT$9:$HF$12),MATCH($L$17,$EK$3:$EK$6,0),MATCH($A7,$EL$2:$EX$2,0),MATCH($E$3,$AE$33:$AE$48,0))*$C7</f>
        <v>0</v>
      </c>
      <c r="X9" s="21">
        <f>INDEX(($EL$3:$EX$6,$EL$9:$EX$12,$EL$15:$EX$18,$FA$3:$FM$6,$FA$9:$FM$12,$FA$15:$FM$18,$FP$3:$GB$6,$FP$9:$GB$12,$FP$15:$GB$18,$GE$3:$GQ$6,$GE$9:$GQ$12,$GE$15:$GQ$18,$GT$3:$HF$6,$GT$9:$HF$12),MATCH($L$14,$EK$3:$EK$6,0),MATCH($A7,$EL$2:$EX$2,0),MATCH($E$3,$AE$33:$AE$48,0))*$C7</f>
        <v>0</v>
      </c>
      <c r="Y9" s="21">
        <f>INDEX(($EL$3:$EX$6,$EL$9:$EX$12,$EL$15:$EX$18,$FA$3:$FM$6,$FA$9:$FM$12,$FA$15:$FM$18,$FP$3:$GB$6,$FP$9:$GB$12,$FP$15:$GB$18,$GE$3:$GQ$6,$GE$9:$GQ$12,$GE$15:$GQ$18,$GT$3:$HF$6,$GT$9:$HF$12),MATCH($L$15,$EK$3:$EK$6,0),MATCH($A7,$EL$2:$EX$2,0),MATCH($E$3,$AE$33:$AE$48,0))*$C7</f>
        <v>0</v>
      </c>
      <c r="Z9" s="21">
        <f>INDEX(($EL$3:$EX$6,$EL$9:$EX$12,$EL$15:$EX$18,$FA$3:$FM$6,$FA$9:$FM$12,$FA$15:$FM$18,$FP$3:$GB$6,$FP$9:$GB$12,$FP$15:$GB$18,$GE$3:$GQ$6,$GE$9:$GQ$12,$GE$15:$GQ$18,$GT$3:$HF$6,$GT$9:$HF$12),MATCH($L$16,$EK$3:$EK$6,0),MATCH($A7,$EL$2:$EX$2,0),MATCH($E$3,$AE$33:$AE$48,0))*$C7</f>
        <v>0</v>
      </c>
      <c r="AA9" s="21">
        <f t="shared" si="0"/>
        <v>0</v>
      </c>
      <c r="AB9" s="21">
        <f t="shared" si="2"/>
        <v>0</v>
      </c>
      <c r="AC9" s="21"/>
      <c r="AD9" s="21"/>
      <c r="AE9" s="21"/>
      <c r="AF9" s="21"/>
      <c r="AG9" s="26">
        <v>40</v>
      </c>
      <c r="AH9" s="20" t="s">
        <v>32</v>
      </c>
      <c r="AI9" s="20" t="s">
        <v>33</v>
      </c>
      <c r="AJ9" s="20" t="s">
        <v>109</v>
      </c>
      <c r="AK9" s="20" t="s">
        <v>67</v>
      </c>
      <c r="AL9" s="20">
        <v>40</v>
      </c>
      <c r="AM9" s="20" t="s">
        <v>44</v>
      </c>
      <c r="AN9" s="20" t="s">
        <v>45</v>
      </c>
      <c r="AO9" s="188" t="s">
        <v>151</v>
      </c>
      <c r="AP9" s="188" t="s">
        <v>151</v>
      </c>
      <c r="AQ9" s="188"/>
      <c r="AR9" s="21" t="s">
        <v>715</v>
      </c>
      <c r="AS9" s="25" t="s">
        <v>596</v>
      </c>
      <c r="AT9" s="25" t="s">
        <v>596</v>
      </c>
      <c r="AU9" s="21" t="s">
        <v>594</v>
      </c>
      <c r="AV9" s="21" t="s">
        <v>594</v>
      </c>
      <c r="AX9" s="188"/>
      <c r="AY9" s="199">
        <v>10</v>
      </c>
      <c r="AZ9" s="199" t="s">
        <v>847</v>
      </c>
      <c r="BA9" s="189">
        <v>4</v>
      </c>
      <c r="BG9" s="189">
        <f t="shared" si="3"/>
        <v>1</v>
      </c>
      <c r="BH9" s="21" t="s">
        <v>217</v>
      </c>
      <c r="BI9" s="21">
        <v>0</v>
      </c>
      <c r="BJ9" s="21">
        <v>0</v>
      </c>
      <c r="BK9" s="21">
        <v>5</v>
      </c>
      <c r="BL9" s="21">
        <v>5</v>
      </c>
      <c r="BM9" s="21">
        <v>0</v>
      </c>
      <c r="BN9" s="21">
        <v>5</v>
      </c>
      <c r="BO9" s="21">
        <v>0</v>
      </c>
      <c r="BP9" s="21">
        <v>10</v>
      </c>
      <c r="BQ9" s="21">
        <v>5</v>
      </c>
      <c r="BR9" s="21">
        <v>10</v>
      </c>
      <c r="BS9" s="21">
        <v>5</v>
      </c>
      <c r="BT9" s="21">
        <v>10</v>
      </c>
      <c r="BU9" s="21">
        <v>10</v>
      </c>
      <c r="BV9" s="21"/>
      <c r="BW9" s="21" t="s">
        <v>217</v>
      </c>
      <c r="BX9" s="21">
        <v>0</v>
      </c>
      <c r="BY9" s="21">
        <v>0</v>
      </c>
      <c r="BZ9" s="21">
        <v>5</v>
      </c>
      <c r="CA9" s="21">
        <v>0</v>
      </c>
      <c r="CB9" s="21">
        <v>0</v>
      </c>
      <c r="CC9" s="21">
        <v>0</v>
      </c>
      <c r="CD9" s="21">
        <v>10</v>
      </c>
      <c r="CE9" s="21">
        <v>5</v>
      </c>
      <c r="CF9" s="21">
        <v>10</v>
      </c>
      <c r="CG9" s="21">
        <v>5</v>
      </c>
      <c r="CH9" s="21">
        <v>10</v>
      </c>
      <c r="CI9" s="21">
        <v>10</v>
      </c>
      <c r="CJ9" s="21">
        <v>15</v>
      </c>
      <c r="CK9" s="21"/>
      <c r="CL9" s="21"/>
      <c r="CM9" s="21"/>
      <c r="CN9" s="21" t="s">
        <v>217</v>
      </c>
      <c r="CO9" s="21">
        <v>0</v>
      </c>
      <c r="CP9" s="21">
        <v>0</v>
      </c>
      <c r="CQ9" s="21">
        <v>5</v>
      </c>
      <c r="CR9" s="21">
        <v>0</v>
      </c>
      <c r="CS9" s="21">
        <v>5</v>
      </c>
      <c r="CT9" s="21">
        <v>0</v>
      </c>
      <c r="CU9" s="21">
        <v>5</v>
      </c>
      <c r="CV9" s="21">
        <v>10</v>
      </c>
      <c r="CW9" s="21">
        <v>10</v>
      </c>
      <c r="CX9" s="21">
        <v>10</v>
      </c>
      <c r="CY9" s="21">
        <v>10</v>
      </c>
      <c r="CZ9" s="21">
        <v>15</v>
      </c>
      <c r="DA9" s="21">
        <v>20</v>
      </c>
      <c r="DB9" s="21"/>
      <c r="DC9" s="21" t="s">
        <v>217</v>
      </c>
      <c r="DD9" s="21">
        <v>0</v>
      </c>
      <c r="DE9" s="21">
        <v>0</v>
      </c>
      <c r="DF9" s="21">
        <v>5</v>
      </c>
      <c r="DG9" s="21">
        <v>0</v>
      </c>
      <c r="DH9" s="21">
        <v>5</v>
      </c>
      <c r="DI9" s="21">
        <v>10</v>
      </c>
      <c r="DJ9" s="21">
        <v>5</v>
      </c>
      <c r="DK9" s="21">
        <v>10</v>
      </c>
      <c r="DL9" s="21">
        <v>15</v>
      </c>
      <c r="DM9" s="21">
        <v>10</v>
      </c>
      <c r="DN9" s="21">
        <v>15</v>
      </c>
      <c r="DO9" s="21">
        <v>20</v>
      </c>
      <c r="DP9" s="21">
        <v>15</v>
      </c>
      <c r="DQ9" s="87"/>
      <c r="DR9" s="87">
        <v>36</v>
      </c>
      <c r="DS9" s="87"/>
      <c r="DT9" s="21" t="s">
        <v>217</v>
      </c>
      <c r="DU9" s="21">
        <v>0</v>
      </c>
      <c r="DV9" s="21">
        <v>0</v>
      </c>
      <c r="DW9" s="21">
        <v>5</v>
      </c>
      <c r="DX9" s="21">
        <v>0</v>
      </c>
      <c r="DY9" s="21">
        <v>0</v>
      </c>
      <c r="DZ9" s="21">
        <v>10</v>
      </c>
      <c r="EA9" s="21">
        <v>10</v>
      </c>
      <c r="EB9" s="21">
        <v>5</v>
      </c>
      <c r="EC9" s="21">
        <v>10</v>
      </c>
      <c r="ED9" s="21">
        <v>15</v>
      </c>
      <c r="EE9" s="21">
        <v>10</v>
      </c>
      <c r="EF9" s="21">
        <v>15</v>
      </c>
      <c r="EG9" s="21">
        <v>20</v>
      </c>
      <c r="EH9" s="21"/>
      <c r="EI9" s="21"/>
      <c r="EJ9" s="196"/>
      <c r="EK9" s="21" t="s">
        <v>586</v>
      </c>
      <c r="EL9" s="21">
        <v>0</v>
      </c>
      <c r="EM9" s="21">
        <v>0</v>
      </c>
      <c r="EN9" s="180">
        <v>5</v>
      </c>
      <c r="EO9" s="180">
        <v>5</v>
      </c>
      <c r="EP9" s="180">
        <v>0</v>
      </c>
      <c r="EQ9" s="180">
        <v>0</v>
      </c>
      <c r="ER9" s="180">
        <v>0</v>
      </c>
      <c r="ES9" s="180">
        <v>0</v>
      </c>
      <c r="ET9" s="180">
        <v>0</v>
      </c>
      <c r="EU9" s="180">
        <v>0</v>
      </c>
      <c r="EV9" s="180">
        <v>0</v>
      </c>
      <c r="EW9" s="180">
        <v>0</v>
      </c>
      <c r="EX9" s="180">
        <v>0</v>
      </c>
      <c r="EZ9" s="180" t="s">
        <v>586</v>
      </c>
      <c r="FA9" s="21">
        <v>0</v>
      </c>
      <c r="FB9" s="21">
        <v>0</v>
      </c>
      <c r="FC9" s="180">
        <v>5</v>
      </c>
      <c r="FD9" s="180">
        <v>0</v>
      </c>
      <c r="FE9" s="180">
        <v>0</v>
      </c>
      <c r="FF9" s="180">
        <v>0</v>
      </c>
      <c r="FG9" s="180">
        <v>0</v>
      </c>
      <c r="FH9" s="180">
        <v>0</v>
      </c>
      <c r="FI9" s="180">
        <v>0</v>
      </c>
      <c r="FJ9" s="180">
        <v>0</v>
      </c>
      <c r="FK9" s="180">
        <v>0</v>
      </c>
      <c r="FL9" s="180">
        <v>0</v>
      </c>
      <c r="FM9" s="180">
        <v>0</v>
      </c>
      <c r="FO9" s="180" t="s">
        <v>586</v>
      </c>
      <c r="FP9" s="21">
        <v>0</v>
      </c>
      <c r="FQ9" s="21">
        <v>0</v>
      </c>
      <c r="FR9" s="180">
        <v>5</v>
      </c>
      <c r="FS9" s="180">
        <v>0</v>
      </c>
      <c r="FT9" s="180">
        <v>0</v>
      </c>
      <c r="FU9" s="180">
        <v>0</v>
      </c>
      <c r="FV9" s="180">
        <v>0</v>
      </c>
      <c r="FW9" s="180">
        <v>0</v>
      </c>
      <c r="FX9" s="180">
        <v>0</v>
      </c>
      <c r="FY9" s="180">
        <v>0</v>
      </c>
      <c r="FZ9" s="180">
        <v>0</v>
      </c>
      <c r="GA9" s="180">
        <v>0</v>
      </c>
      <c r="GB9" s="180">
        <v>0</v>
      </c>
      <c r="GD9" s="180" t="s">
        <v>586</v>
      </c>
      <c r="GE9" s="21">
        <v>0</v>
      </c>
      <c r="GF9" s="21">
        <v>0</v>
      </c>
      <c r="GG9" s="180">
        <v>5</v>
      </c>
      <c r="GH9" s="180">
        <v>0</v>
      </c>
      <c r="GI9" s="180">
        <v>0</v>
      </c>
      <c r="GJ9" s="180">
        <v>0</v>
      </c>
      <c r="GK9" s="180">
        <v>0</v>
      </c>
      <c r="GL9" s="180">
        <v>0</v>
      </c>
      <c r="GM9" s="180">
        <v>0</v>
      </c>
      <c r="GN9" s="180">
        <v>0</v>
      </c>
      <c r="GO9" s="180">
        <v>0</v>
      </c>
      <c r="GP9" s="180">
        <v>0</v>
      </c>
      <c r="GQ9" s="180">
        <v>0</v>
      </c>
      <c r="GS9" s="180" t="s">
        <v>586</v>
      </c>
      <c r="GT9" s="21">
        <v>0</v>
      </c>
      <c r="GU9" s="21">
        <v>0</v>
      </c>
      <c r="GV9" s="180">
        <v>5</v>
      </c>
      <c r="GW9" s="180">
        <v>0</v>
      </c>
      <c r="GX9" s="180">
        <v>0</v>
      </c>
      <c r="GY9" s="180">
        <v>0</v>
      </c>
      <c r="GZ9" s="180">
        <v>0</v>
      </c>
      <c r="HA9" s="180">
        <v>0</v>
      </c>
      <c r="HB9" s="180">
        <v>0</v>
      </c>
      <c r="HC9" s="180">
        <v>0</v>
      </c>
      <c r="HD9" s="180">
        <v>0</v>
      </c>
      <c r="HE9" s="180">
        <v>0</v>
      </c>
      <c r="HF9" s="180">
        <v>0</v>
      </c>
      <c r="HG9" s="198"/>
      <c r="HH9" s="21"/>
    </row>
    <row r="10" spans="1:216" x14ac:dyDescent="0.25">
      <c r="A10" s="8"/>
      <c r="B10" s="5" t="s">
        <v>116</v>
      </c>
      <c r="C10" s="8"/>
      <c r="D10" s="6" t="s">
        <v>310</v>
      </c>
      <c r="E10" s="8">
        <v>30</v>
      </c>
      <c r="F10" s="6"/>
      <c r="G10" s="6"/>
      <c r="H10" s="6"/>
      <c r="I10" s="6"/>
      <c r="J10" s="1"/>
      <c r="K10" s="9"/>
      <c r="L10" s="6" t="str">
        <f>IF($G$3=$AE$24,"CMP41H41/1,5MC",IF($G$3=$AE$25,"CMP41H41/1,5MC",IF($G$3=$AE$26,"CMP41H41/1,5MC",IF($G$3=$AE$27,"CMP41H41/2,2MC",IF($G$3=$AE$28,"CMP41H41/2,2MC",IF($G$3=$AE$29,"CMP41H41/2,2MC",IF($G$3=$AE$30,"CMP41H41/2,2MC",0)))))))</f>
        <v>CMP41H41/2,2MC</v>
      </c>
      <c r="M10" s="11">
        <f>INDEX(cennik!$C$2:$L$529,MATCH($L10,cennik!$B$2:$B$522,0),MATCH(M$2,cennik!$C$1:$L$1,0))</f>
        <v>851122</v>
      </c>
      <c r="N10" s="11" t="str">
        <f>INDEX(cennik!$C$2:$L$529,MATCH($L10,cennik!$B$2:$B$522,0),MATCH(N$2,cennik!$C$1:$L$1,0))</f>
        <v>szt.</v>
      </c>
      <c r="O10" s="11">
        <f>O5</f>
        <v>0</v>
      </c>
      <c r="P10" s="34">
        <f>INDEX(cennik!$C$2:$L$529,MATCH($L10,cennik!$B$2:$B$522,0),MATCH(P$2,cennik!$C$1:$L$1,0))</f>
        <v>46.2</v>
      </c>
      <c r="Q10" s="34">
        <f t="shared" si="10"/>
        <v>0</v>
      </c>
      <c r="R10" s="35">
        <f t="shared" si="1"/>
        <v>0</v>
      </c>
      <c r="S10" s="34">
        <f t="shared" si="4"/>
        <v>46.2</v>
      </c>
      <c r="T10" s="34">
        <f t="shared" si="11"/>
        <v>0</v>
      </c>
      <c r="U10" s="34">
        <f>INDEX(cennik!$C$2:$L$529,MATCH($L10,cennik!$B$2:$B$522,0),MATCH(U$2,cennik!$C$1:$L$1,0))*O10</f>
        <v>0</v>
      </c>
      <c r="V10" s="25"/>
      <c r="W10" s="21">
        <f>INDEX(($EL$3:$EX$6,$EL$9:$EX$12,$EL$15:$EX$18,$FA$3:$FM$6,$FA$9:$FM$12,$FA$15:$FM$18,$FP$3:$GB$6,$FP$9:$GB$12,$FP$15:$GB$18,$GE$3:$GQ$6,$GE$9:$GQ$12,$GE$15:$GQ$18,$GT$3:$HF$6,$GT$9:$HF$12),MATCH($L$17,$EK$3:$EK$6,0),MATCH($A8,$EL$2:$EX$2,0),MATCH($E$3,$AE$33:$AE$48,0))*$C8</f>
        <v>0</v>
      </c>
      <c r="X10" s="21">
        <f>INDEX(($EL$3:$EX$6,$EL$9:$EX$12,$EL$15:$EX$18,$FA$3:$FM$6,$FA$9:$FM$12,$FA$15:$FM$18,$FP$3:$GB$6,$FP$9:$GB$12,$FP$15:$GB$18,$GE$3:$GQ$6,$GE$9:$GQ$12,$GE$15:$GQ$18,$GT$3:$HF$6,$GT$9:$HF$12),MATCH($L$14,$EK$3:$EK$6,0),MATCH($A8,$EL$2:$EX$2,0),MATCH($E$3,$AE$33:$AE$48,0))*$C8</f>
        <v>0</v>
      </c>
      <c r="Y10" s="21">
        <f>INDEX(($EL$3:$EX$6,$EL$9:$EX$12,$EL$15:$EX$18,$FA$3:$FM$6,$FA$9:$FM$12,$FA$15:$FM$18,$FP$3:$GB$6,$FP$9:$GB$12,$FP$15:$GB$18,$GE$3:$GQ$6,$GE$9:$GQ$12,$GE$15:$GQ$18,$GT$3:$HF$6,$GT$9:$HF$12),MATCH($L$15,$EK$3:$EK$6,0),MATCH($A8,$EL$2:$EX$2,0),MATCH($E$3,$AE$33:$AE$48,0))*$C8</f>
        <v>0</v>
      </c>
      <c r="Z10" s="21">
        <f>INDEX(($EL$3:$EX$6,$EL$9:$EX$12,$EL$15:$EX$18,$FA$3:$FM$6,$FA$9:$FM$12,$FA$15:$FM$18,$FP$3:$GB$6,$FP$9:$GB$12,$FP$15:$GB$18,$GE$3:$GQ$6,$GE$9:$GQ$12,$GE$15:$GQ$18,$GT$3:$HF$6,$GT$9:$HF$12),MATCH($L$16,$EK$3:$EK$6,0),MATCH($A8,$EL$2:$EX$2,0),MATCH($E$3,$AE$33:$AE$48,0))*$C8</f>
        <v>0</v>
      </c>
      <c r="AA10" s="21">
        <f t="shared" si="0"/>
        <v>0</v>
      </c>
      <c r="AB10" s="21">
        <f t="shared" si="2"/>
        <v>0</v>
      </c>
      <c r="AC10" s="21"/>
      <c r="AD10" s="21"/>
      <c r="AE10" s="21"/>
      <c r="AF10" s="21"/>
      <c r="AG10" s="26">
        <v>42</v>
      </c>
      <c r="AH10" s="20" t="s">
        <v>34</v>
      </c>
      <c r="AI10" s="20"/>
      <c r="AJ10" s="20" t="s">
        <v>109</v>
      </c>
      <c r="AK10" s="20" t="s">
        <v>67</v>
      </c>
      <c r="AL10" s="20">
        <v>42</v>
      </c>
      <c r="AM10" s="20" t="s">
        <v>46</v>
      </c>
      <c r="AN10" s="20"/>
      <c r="AO10" s="188" t="s">
        <v>151</v>
      </c>
      <c r="AP10" s="188" t="s">
        <v>151</v>
      </c>
      <c r="AQ10" s="188"/>
      <c r="AR10" s="20"/>
      <c r="AS10" s="20"/>
      <c r="AT10" s="20"/>
      <c r="AU10" s="20"/>
      <c r="AV10" s="20"/>
      <c r="AW10" s="20"/>
      <c r="AX10" s="20"/>
      <c r="AY10" s="199"/>
      <c r="BA10" s="189"/>
      <c r="BB10" s="20"/>
      <c r="BC10" s="20"/>
      <c r="BD10" s="20"/>
      <c r="BE10" s="20"/>
      <c r="BF10" s="20"/>
      <c r="BG10" s="189">
        <f t="shared" si="3"/>
        <v>1</v>
      </c>
      <c r="BH10" s="21" t="s">
        <v>216</v>
      </c>
      <c r="BI10" s="21">
        <v>0</v>
      </c>
      <c r="BJ10" s="21">
        <v>0</v>
      </c>
      <c r="BK10" s="21">
        <v>0</v>
      </c>
      <c r="BL10" s="21">
        <v>0</v>
      </c>
      <c r="BM10" s="21">
        <v>10</v>
      </c>
      <c r="BN10" s="21">
        <v>0</v>
      </c>
      <c r="BO10" s="21">
        <v>10</v>
      </c>
      <c r="BP10" s="21">
        <v>0</v>
      </c>
      <c r="BQ10" s="21">
        <v>10</v>
      </c>
      <c r="BR10" s="21">
        <v>0</v>
      </c>
      <c r="BS10" s="21">
        <v>10</v>
      </c>
      <c r="BT10" s="21">
        <v>5</v>
      </c>
      <c r="BU10" s="21">
        <v>10</v>
      </c>
      <c r="BV10" s="21"/>
      <c r="BW10" s="21" t="s">
        <v>216</v>
      </c>
      <c r="BX10" s="21">
        <v>0</v>
      </c>
      <c r="BY10" s="21">
        <v>0</v>
      </c>
      <c r="BZ10" s="21">
        <v>0</v>
      </c>
      <c r="CA10" s="21">
        <v>5</v>
      </c>
      <c r="CB10" s="21">
        <v>10</v>
      </c>
      <c r="CC10" s="21">
        <v>10</v>
      </c>
      <c r="CD10" s="21">
        <v>0</v>
      </c>
      <c r="CE10" s="21">
        <v>10</v>
      </c>
      <c r="CF10" s="21">
        <v>5</v>
      </c>
      <c r="CG10" s="21">
        <v>10</v>
      </c>
      <c r="CH10" s="21">
        <v>5</v>
      </c>
      <c r="CI10" s="21">
        <v>10</v>
      </c>
      <c r="CJ10" s="21">
        <v>5</v>
      </c>
      <c r="CK10" s="21"/>
      <c r="CL10" s="21"/>
      <c r="CM10" s="21"/>
      <c r="CN10" s="21" t="s">
        <v>216</v>
      </c>
      <c r="CO10" s="21">
        <v>0</v>
      </c>
      <c r="CP10" s="21">
        <v>5</v>
      </c>
      <c r="CQ10" s="21">
        <v>0</v>
      </c>
      <c r="CR10" s="21">
        <v>5</v>
      </c>
      <c r="CS10" s="21">
        <v>0</v>
      </c>
      <c r="CT10" s="21">
        <v>10</v>
      </c>
      <c r="CU10" s="21">
        <v>10</v>
      </c>
      <c r="CV10" s="21">
        <v>0</v>
      </c>
      <c r="CW10" s="21">
        <v>5</v>
      </c>
      <c r="CX10" s="21">
        <v>5</v>
      </c>
      <c r="CY10" s="21">
        <v>10</v>
      </c>
      <c r="CZ10" s="21">
        <v>5</v>
      </c>
      <c r="DA10" s="21">
        <v>0</v>
      </c>
      <c r="DB10" s="21"/>
      <c r="DC10" s="21" t="s">
        <v>216</v>
      </c>
      <c r="DD10" s="21">
        <v>0</v>
      </c>
      <c r="DE10" s="21">
        <v>5</v>
      </c>
      <c r="DF10" s="21">
        <v>0</v>
      </c>
      <c r="DG10" s="21">
        <v>10</v>
      </c>
      <c r="DH10" s="21">
        <v>5</v>
      </c>
      <c r="DI10" s="21">
        <v>0</v>
      </c>
      <c r="DJ10" s="21">
        <v>10</v>
      </c>
      <c r="DK10" s="21">
        <v>5</v>
      </c>
      <c r="DL10" s="21">
        <v>0</v>
      </c>
      <c r="DM10" s="21">
        <v>10</v>
      </c>
      <c r="DN10" s="21">
        <v>5</v>
      </c>
      <c r="DO10" s="21">
        <v>0</v>
      </c>
      <c r="DP10" s="21">
        <v>5</v>
      </c>
      <c r="DQ10" s="87"/>
      <c r="DR10" s="87">
        <v>40</v>
      </c>
      <c r="DS10" s="87">
        <v>1600</v>
      </c>
      <c r="DT10" s="21" t="s">
        <v>216</v>
      </c>
      <c r="DU10" s="21">
        <v>0</v>
      </c>
      <c r="DV10" s="21">
        <v>5</v>
      </c>
      <c r="DW10" s="21">
        <v>0</v>
      </c>
      <c r="DX10" s="21">
        <v>10</v>
      </c>
      <c r="DY10" s="21">
        <v>10</v>
      </c>
      <c r="DZ10" s="21">
        <v>0</v>
      </c>
      <c r="EA10" s="21">
        <v>0</v>
      </c>
      <c r="EB10" s="21">
        <v>10</v>
      </c>
      <c r="EC10" s="21">
        <v>5</v>
      </c>
      <c r="ED10" s="21">
        <v>5</v>
      </c>
      <c r="EE10" s="21">
        <v>10</v>
      </c>
      <c r="EF10" s="21">
        <v>5</v>
      </c>
      <c r="EG10" s="21">
        <v>0</v>
      </c>
      <c r="EH10" s="21"/>
      <c r="EI10" s="21"/>
      <c r="EJ10" s="196"/>
      <c r="EK10" s="21" t="s">
        <v>522</v>
      </c>
      <c r="EL10" s="21">
        <v>0</v>
      </c>
      <c r="EM10" s="21">
        <f>BJ10</f>
        <v>0</v>
      </c>
      <c r="EN10" s="21">
        <v>0</v>
      </c>
      <c r="EO10" s="21">
        <v>0</v>
      </c>
      <c r="EP10" s="21">
        <f t="shared" ref="EP10:EX10" si="22">BM10</f>
        <v>10</v>
      </c>
      <c r="EQ10" s="21">
        <f t="shared" si="22"/>
        <v>0</v>
      </c>
      <c r="ER10" s="21">
        <f t="shared" si="22"/>
        <v>10</v>
      </c>
      <c r="ES10" s="21">
        <f t="shared" si="22"/>
        <v>0</v>
      </c>
      <c r="ET10" s="21">
        <f t="shared" si="22"/>
        <v>10</v>
      </c>
      <c r="EU10" s="21">
        <f t="shared" si="22"/>
        <v>0</v>
      </c>
      <c r="EV10" s="21">
        <f t="shared" si="22"/>
        <v>10</v>
      </c>
      <c r="EW10" s="21">
        <f t="shared" si="22"/>
        <v>5</v>
      </c>
      <c r="EX10" s="21">
        <f t="shared" si="22"/>
        <v>10</v>
      </c>
      <c r="EY10" s="21"/>
      <c r="EZ10" s="21" t="s">
        <v>522</v>
      </c>
      <c r="FA10" s="21">
        <v>0</v>
      </c>
      <c r="FB10" s="21">
        <f>BY10</f>
        <v>0</v>
      </c>
      <c r="FC10" s="21">
        <v>0</v>
      </c>
      <c r="FD10" s="21">
        <f t="shared" ref="FD10:FM10" si="23">CA10</f>
        <v>5</v>
      </c>
      <c r="FE10" s="21">
        <f t="shared" si="23"/>
        <v>10</v>
      </c>
      <c r="FF10" s="21">
        <f t="shared" si="23"/>
        <v>10</v>
      </c>
      <c r="FG10" s="21">
        <f t="shared" si="23"/>
        <v>0</v>
      </c>
      <c r="FH10" s="21">
        <f t="shared" si="23"/>
        <v>10</v>
      </c>
      <c r="FI10" s="21">
        <f t="shared" si="23"/>
        <v>5</v>
      </c>
      <c r="FJ10" s="21">
        <f t="shared" si="23"/>
        <v>10</v>
      </c>
      <c r="FK10" s="21">
        <f t="shared" si="23"/>
        <v>5</v>
      </c>
      <c r="FL10" s="21">
        <f t="shared" si="23"/>
        <v>10</v>
      </c>
      <c r="FM10" s="21">
        <f t="shared" si="23"/>
        <v>5</v>
      </c>
      <c r="FN10" s="21"/>
      <c r="FO10" s="21" t="s">
        <v>522</v>
      </c>
      <c r="FP10" s="21">
        <v>0</v>
      </c>
      <c r="FQ10" s="21">
        <f>CP10</f>
        <v>5</v>
      </c>
      <c r="FR10" s="21">
        <v>0</v>
      </c>
      <c r="FS10" s="21">
        <f t="shared" ref="FS10:GB10" si="24">CR10</f>
        <v>5</v>
      </c>
      <c r="FT10" s="21">
        <f t="shared" si="24"/>
        <v>0</v>
      </c>
      <c r="FU10" s="21">
        <f t="shared" si="24"/>
        <v>10</v>
      </c>
      <c r="FV10" s="21">
        <f t="shared" si="24"/>
        <v>10</v>
      </c>
      <c r="FW10" s="21">
        <f t="shared" si="24"/>
        <v>0</v>
      </c>
      <c r="FX10" s="21">
        <f t="shared" si="24"/>
        <v>5</v>
      </c>
      <c r="FY10" s="21">
        <f t="shared" si="24"/>
        <v>5</v>
      </c>
      <c r="FZ10" s="21">
        <f t="shared" si="24"/>
        <v>10</v>
      </c>
      <c r="GA10" s="21">
        <f t="shared" si="24"/>
        <v>5</v>
      </c>
      <c r="GB10" s="21">
        <f t="shared" si="24"/>
        <v>0</v>
      </c>
      <c r="GC10" s="21"/>
      <c r="GD10" s="21" t="s">
        <v>522</v>
      </c>
      <c r="GE10" s="21">
        <v>0</v>
      </c>
      <c r="GF10" s="21">
        <f>DE10</f>
        <v>5</v>
      </c>
      <c r="GG10" s="21">
        <v>0</v>
      </c>
      <c r="GH10" s="21">
        <f t="shared" ref="GH10:GQ10" si="25">DG10</f>
        <v>10</v>
      </c>
      <c r="GI10" s="21">
        <f t="shared" si="25"/>
        <v>5</v>
      </c>
      <c r="GJ10" s="21">
        <f t="shared" si="25"/>
        <v>0</v>
      </c>
      <c r="GK10" s="21">
        <f t="shared" si="25"/>
        <v>10</v>
      </c>
      <c r="GL10" s="21">
        <f t="shared" si="25"/>
        <v>5</v>
      </c>
      <c r="GM10" s="21">
        <f t="shared" si="25"/>
        <v>0</v>
      </c>
      <c r="GN10" s="21">
        <f t="shared" si="25"/>
        <v>10</v>
      </c>
      <c r="GO10" s="21">
        <f t="shared" si="25"/>
        <v>5</v>
      </c>
      <c r="GP10" s="21">
        <f t="shared" si="25"/>
        <v>0</v>
      </c>
      <c r="GQ10" s="21">
        <f t="shared" si="25"/>
        <v>5</v>
      </c>
      <c r="GR10" s="21"/>
      <c r="GS10" s="21" t="s">
        <v>522</v>
      </c>
      <c r="GT10" s="21">
        <v>0</v>
      </c>
      <c r="GU10" s="21">
        <f>DV10</f>
        <v>5</v>
      </c>
      <c r="GV10" s="21">
        <v>0</v>
      </c>
      <c r="GW10" s="21">
        <f t="shared" ref="GW10:HF10" si="26">DX10</f>
        <v>10</v>
      </c>
      <c r="GX10" s="21">
        <f t="shared" si="26"/>
        <v>10</v>
      </c>
      <c r="GY10" s="21">
        <f t="shared" si="26"/>
        <v>0</v>
      </c>
      <c r="GZ10" s="21">
        <f t="shared" si="26"/>
        <v>0</v>
      </c>
      <c r="HA10" s="21">
        <f t="shared" si="26"/>
        <v>10</v>
      </c>
      <c r="HB10" s="21">
        <f t="shared" si="26"/>
        <v>5</v>
      </c>
      <c r="HC10" s="21">
        <f t="shared" si="26"/>
        <v>5</v>
      </c>
      <c r="HD10" s="21">
        <f t="shared" si="26"/>
        <v>10</v>
      </c>
      <c r="HE10" s="21">
        <f t="shared" si="26"/>
        <v>5</v>
      </c>
      <c r="HF10" s="21">
        <f t="shared" si="26"/>
        <v>0</v>
      </c>
      <c r="HG10" s="198"/>
      <c r="HH10" s="21"/>
    </row>
    <row r="11" spans="1:216" x14ac:dyDescent="0.25">
      <c r="A11" s="8"/>
      <c r="B11" s="5" t="s">
        <v>116</v>
      </c>
      <c r="C11" s="8"/>
      <c r="D11" s="6" t="s">
        <v>787</v>
      </c>
      <c r="E11" s="8">
        <v>1</v>
      </c>
      <c r="F11" s="39" t="s">
        <v>789</v>
      </c>
      <c r="G11" s="17"/>
      <c r="H11" s="9"/>
      <c r="I11" s="9"/>
      <c r="J11" s="9"/>
      <c r="K11" s="9"/>
      <c r="L11" s="6" t="str">
        <f>IF($G$3=$AE$24,"-------",IF($G$3=$AE$25,"-------",IF($G$3=$AE$26,"-------",IF($G$3=$AE$27,"CMP41H41/1,2MC",IF($G$3=$AE$28,"CMP41H41/1,2MC",IF($G$3=$AE$29,"CMP41H41/1,2MC",IF($G$3=$AE$30,"CMP41H41/1,2MC",0)))))))</f>
        <v>CMP41H41/1,2MC</v>
      </c>
      <c r="M11" s="11">
        <f>INDEX(cennik!$C$2:$L$529,MATCH($L11,cennik!$B$2:$B$522,0),MATCH(M$2,cennik!$C$1:$L$1,0))</f>
        <v>856211</v>
      </c>
      <c r="N11" s="11" t="str">
        <f>INDEX(cennik!$C$2:$L$529,MATCH($L11,cennik!$B$2:$B$522,0),MATCH(N$2,cennik!$C$1:$L$1,0))</f>
        <v>szt.</v>
      </c>
      <c r="O11" s="11">
        <f>IF(L10="CMP41H41/2,2MC",O10,0)</f>
        <v>0</v>
      </c>
      <c r="P11" s="34">
        <f>INDEX(cennik!$C$2:$L$529,MATCH($L11,cennik!$B$2:$B$522,0),MATCH(P$2,cennik!$C$1:$L$1,0))</f>
        <v>25.2</v>
      </c>
      <c r="Q11" s="34">
        <f t="shared" si="10"/>
        <v>0</v>
      </c>
      <c r="R11" s="35">
        <f t="shared" si="1"/>
        <v>0</v>
      </c>
      <c r="S11" s="34">
        <f t="shared" si="4"/>
        <v>25.2</v>
      </c>
      <c r="T11" s="34">
        <f t="shared" si="11"/>
        <v>0</v>
      </c>
      <c r="U11" s="34">
        <f>INDEX(cennik!$C$2:$L$529,MATCH($L11,cennik!$B$2:$B$522,0),MATCH(U$2,cennik!$C$1:$L$1,0))*O11</f>
        <v>0</v>
      </c>
      <c r="V11" s="25"/>
      <c r="W11" s="21">
        <f>INDEX(($EL$3:$EX$6,$EL$9:$EX$12,$EL$15:$EX$18,$FA$3:$FM$6,$FA$9:$FM$12,$FA$15:$FM$18,$FP$3:$GB$6,$FP$9:$GB$12,$FP$15:$GB$18,$GE$3:$GQ$6,$GE$9:$GQ$12,$GE$15:$GQ$18,$GT$3:$HF$6,$GT$9:$HF$12),MATCH($L$17,$EK$3:$EK$6,0),MATCH($A9,$EL$2:$EX$2,0),MATCH($E$3,$AE$33:$AE$48,0))*$C9</f>
        <v>0</v>
      </c>
      <c r="X11" s="21">
        <f>INDEX(($EL$3:$EX$6,$EL$9:$EX$12,$EL$15:$EX$18,$FA$3:$FM$6,$FA$9:$FM$12,$FA$15:$FM$18,$FP$3:$GB$6,$FP$9:$GB$12,$FP$15:$GB$18,$GE$3:$GQ$6,$GE$9:$GQ$12,$GE$15:$GQ$18,$GT$3:$HF$6,$GT$9:$HF$12),MATCH($L$14,$EK$3:$EK$6,0),MATCH($A9,$EL$2:$EX$2,0),MATCH($E$3,$AE$33:$AE$48,0))*$C9</f>
        <v>0</v>
      </c>
      <c r="Y11" s="21">
        <f>INDEX(($EL$3:$EX$6,$EL$9:$EX$12,$EL$15:$EX$18,$FA$3:$FM$6,$FA$9:$FM$12,$FA$15:$FM$18,$FP$3:$GB$6,$FP$9:$GB$12,$FP$15:$GB$18,$GE$3:$GQ$6,$GE$9:$GQ$12,$GE$15:$GQ$18,$GT$3:$HF$6,$GT$9:$HF$12),MATCH($L$15,$EK$3:$EK$6,0),MATCH($A9,$EL$2:$EX$2,0),MATCH($E$3,$AE$33:$AE$48,0))*$C9</f>
        <v>0</v>
      </c>
      <c r="Z11" s="21">
        <f>INDEX(($EL$3:$EX$6,$EL$9:$EX$12,$EL$15:$EX$18,$FA$3:$FM$6,$FA$9:$FM$12,$FA$15:$FM$18,$FP$3:$GB$6,$FP$9:$GB$12,$FP$15:$GB$18,$GE$3:$GQ$6,$GE$9:$GQ$12,$GE$15:$GQ$18,$GT$3:$HF$6,$GT$9:$HF$12),MATCH($L$16,$EK$3:$EK$6,0),MATCH($A9,$EL$2:$EX$2,0),MATCH($E$3,$AE$33:$AE$48,0))*$C9</f>
        <v>0</v>
      </c>
      <c r="AA11" s="21">
        <f t="shared" si="0"/>
        <v>0</v>
      </c>
      <c r="AB11" s="21">
        <f t="shared" si="2"/>
        <v>0</v>
      </c>
      <c r="AC11" s="20">
        <v>1650</v>
      </c>
      <c r="AD11" s="21">
        <f>((A2/4)*AC11)+((A2-1)*20)</f>
        <v>-20</v>
      </c>
      <c r="AE11" s="21">
        <f>INT(AD11/2900)</f>
        <v>-1</v>
      </c>
      <c r="AF11" s="21"/>
      <c r="AG11" s="26">
        <v>45</v>
      </c>
      <c r="AH11" s="20" t="s">
        <v>35</v>
      </c>
      <c r="AI11" s="20"/>
      <c r="AJ11" s="20" t="s">
        <v>149</v>
      </c>
      <c r="AK11" s="20" t="s">
        <v>67</v>
      </c>
      <c r="AL11" s="20">
        <v>45</v>
      </c>
      <c r="AM11" s="20" t="s">
        <v>47</v>
      </c>
      <c r="AN11" s="20"/>
      <c r="AO11" s="188" t="s">
        <v>151</v>
      </c>
      <c r="AP11" s="188" t="s">
        <v>151</v>
      </c>
      <c r="AQ11" s="188"/>
      <c r="AR11" s="27" t="s">
        <v>716</v>
      </c>
      <c r="AS11" s="25"/>
      <c r="AT11" s="25"/>
      <c r="AU11" s="25"/>
      <c r="AV11" s="21"/>
      <c r="AW11" s="21"/>
      <c r="AX11" s="21"/>
      <c r="AY11" s="188"/>
      <c r="AZ11" s="188"/>
      <c r="BA11" s="21"/>
      <c r="BB11" s="201" t="s">
        <v>716</v>
      </c>
      <c r="BG11" s="189">
        <f t="shared" si="3"/>
        <v>1</v>
      </c>
      <c r="BH11" s="21" t="s">
        <v>17</v>
      </c>
      <c r="BI11" s="21">
        <v>0</v>
      </c>
      <c r="BJ11" s="21">
        <v>5</v>
      </c>
      <c r="BK11" s="21">
        <v>0</v>
      </c>
      <c r="BL11" s="21">
        <v>0</v>
      </c>
      <c r="BM11" s="21">
        <v>0</v>
      </c>
      <c r="BN11" s="21">
        <v>5</v>
      </c>
      <c r="BO11" s="21">
        <v>5</v>
      </c>
      <c r="BP11" s="21">
        <v>0</v>
      </c>
      <c r="BQ11" s="21">
        <v>0</v>
      </c>
      <c r="BR11" s="21">
        <v>5</v>
      </c>
      <c r="BS11" s="21">
        <v>5</v>
      </c>
      <c r="BT11" s="21">
        <v>5</v>
      </c>
      <c r="BU11" s="21">
        <v>0</v>
      </c>
      <c r="BV11" s="21"/>
      <c r="BW11" s="21" t="s">
        <v>17</v>
      </c>
      <c r="BX11" s="21">
        <v>0</v>
      </c>
      <c r="BY11" s="21">
        <v>5</v>
      </c>
      <c r="BZ11" s="21">
        <v>0</v>
      </c>
      <c r="CA11" s="21">
        <v>5</v>
      </c>
      <c r="CB11" s="21">
        <v>0</v>
      </c>
      <c r="CC11" s="21">
        <v>5</v>
      </c>
      <c r="CD11" s="21">
        <v>0</v>
      </c>
      <c r="CE11" s="21">
        <v>0</v>
      </c>
      <c r="CF11" s="21">
        <v>0</v>
      </c>
      <c r="CG11" s="21">
        <v>5</v>
      </c>
      <c r="CH11" s="21">
        <v>5</v>
      </c>
      <c r="CI11" s="21">
        <v>0</v>
      </c>
      <c r="CJ11" s="21">
        <v>0</v>
      </c>
      <c r="CK11" s="21"/>
      <c r="CL11" s="21"/>
      <c r="CM11" s="21"/>
      <c r="CN11" s="21" t="s">
        <v>17</v>
      </c>
      <c r="CO11" s="21">
        <v>0</v>
      </c>
      <c r="CP11" s="21">
        <v>0</v>
      </c>
      <c r="CQ11" s="21">
        <v>0</v>
      </c>
      <c r="CR11" s="21">
        <v>5</v>
      </c>
      <c r="CS11" s="21">
        <v>5</v>
      </c>
      <c r="CT11" s="21">
        <v>5</v>
      </c>
      <c r="CU11" s="21">
        <v>0</v>
      </c>
      <c r="CV11" s="21">
        <v>5</v>
      </c>
      <c r="CW11" s="21">
        <v>0</v>
      </c>
      <c r="CX11" s="21">
        <v>5</v>
      </c>
      <c r="CY11" s="21">
        <v>0</v>
      </c>
      <c r="CZ11" s="21">
        <v>0</v>
      </c>
      <c r="DA11" s="21">
        <v>0</v>
      </c>
      <c r="DB11" s="21"/>
      <c r="DC11" s="21" t="s">
        <v>17</v>
      </c>
      <c r="DD11" s="21">
        <v>0</v>
      </c>
      <c r="DE11" s="21">
        <v>0</v>
      </c>
      <c r="DF11" s="21">
        <v>0</v>
      </c>
      <c r="DG11" s="21">
        <v>0</v>
      </c>
      <c r="DH11" s="21">
        <v>0</v>
      </c>
      <c r="DI11" s="21">
        <v>0</v>
      </c>
      <c r="DJ11" s="21">
        <v>0</v>
      </c>
      <c r="DK11" s="21">
        <v>0</v>
      </c>
      <c r="DL11" s="21">
        <v>0</v>
      </c>
      <c r="DM11" s="21">
        <v>0</v>
      </c>
      <c r="DN11" s="21">
        <v>0</v>
      </c>
      <c r="DO11" s="21">
        <v>0</v>
      </c>
      <c r="DP11" s="21">
        <v>5</v>
      </c>
      <c r="DQ11" s="87"/>
      <c r="DR11" s="87">
        <v>44</v>
      </c>
      <c r="DS11" s="87">
        <v>2200</v>
      </c>
      <c r="DT11" s="21" t="s">
        <v>17</v>
      </c>
      <c r="DU11" s="21">
        <v>0</v>
      </c>
      <c r="DV11" s="21">
        <v>0</v>
      </c>
      <c r="DW11" s="21">
        <v>0</v>
      </c>
      <c r="DX11" s="21">
        <v>0</v>
      </c>
      <c r="DY11" s="21">
        <v>5</v>
      </c>
      <c r="DZ11" s="21">
        <v>0</v>
      </c>
      <c r="EA11" s="21">
        <v>5</v>
      </c>
      <c r="EB11" s="21">
        <v>5</v>
      </c>
      <c r="EC11" s="21">
        <v>5</v>
      </c>
      <c r="ED11" s="21">
        <v>0</v>
      </c>
      <c r="EE11" s="21">
        <v>5</v>
      </c>
      <c r="EF11" s="21">
        <v>5</v>
      </c>
      <c r="EG11" s="21">
        <v>5</v>
      </c>
      <c r="EH11" s="21"/>
      <c r="EI11" s="21"/>
      <c r="EJ11" s="196"/>
      <c r="EK11" s="21" t="s">
        <v>523</v>
      </c>
      <c r="EL11" s="21">
        <v>0</v>
      </c>
      <c r="EM11" s="21">
        <f>BJ11+(BJ9*2)</f>
        <v>5</v>
      </c>
      <c r="EN11" s="21">
        <v>0</v>
      </c>
      <c r="EO11" s="21">
        <v>0</v>
      </c>
      <c r="EP11" s="21">
        <f t="shared" ref="EP11:EX11" si="27">BM11+(BM9*2)</f>
        <v>0</v>
      </c>
      <c r="EQ11" s="21">
        <f t="shared" si="27"/>
        <v>15</v>
      </c>
      <c r="ER11" s="21">
        <f t="shared" si="27"/>
        <v>5</v>
      </c>
      <c r="ES11" s="21">
        <f t="shared" si="27"/>
        <v>20</v>
      </c>
      <c r="ET11" s="21">
        <f t="shared" si="27"/>
        <v>10</v>
      </c>
      <c r="EU11" s="21">
        <f t="shared" si="27"/>
        <v>25</v>
      </c>
      <c r="EV11" s="21">
        <f t="shared" si="27"/>
        <v>15</v>
      </c>
      <c r="EW11" s="21">
        <f t="shared" si="27"/>
        <v>25</v>
      </c>
      <c r="EX11" s="21">
        <f t="shared" si="27"/>
        <v>20</v>
      </c>
      <c r="EY11" s="21"/>
      <c r="EZ11" s="21" t="s">
        <v>523</v>
      </c>
      <c r="FA11" s="21">
        <v>0</v>
      </c>
      <c r="FB11" s="21">
        <f>BY11+(BY9*2)</f>
        <v>5</v>
      </c>
      <c r="FC11" s="21">
        <v>0</v>
      </c>
      <c r="FD11" s="21">
        <f t="shared" ref="FD11:FM11" si="28">CA11+(CA9*2)</f>
        <v>5</v>
      </c>
      <c r="FE11" s="21">
        <f t="shared" si="28"/>
        <v>0</v>
      </c>
      <c r="FF11" s="21">
        <f t="shared" si="28"/>
        <v>5</v>
      </c>
      <c r="FG11" s="21">
        <f t="shared" si="28"/>
        <v>20</v>
      </c>
      <c r="FH11" s="21">
        <f t="shared" si="28"/>
        <v>10</v>
      </c>
      <c r="FI11" s="21">
        <f t="shared" si="28"/>
        <v>20</v>
      </c>
      <c r="FJ11" s="21">
        <f t="shared" si="28"/>
        <v>15</v>
      </c>
      <c r="FK11" s="21">
        <f t="shared" si="28"/>
        <v>25</v>
      </c>
      <c r="FL11" s="21">
        <f t="shared" si="28"/>
        <v>20</v>
      </c>
      <c r="FM11" s="21">
        <f t="shared" si="28"/>
        <v>30</v>
      </c>
      <c r="FN11" s="21"/>
      <c r="FO11" s="21" t="s">
        <v>523</v>
      </c>
      <c r="FP11" s="21">
        <v>0</v>
      </c>
      <c r="FQ11" s="21">
        <f>CP11+(CP9*2)</f>
        <v>0</v>
      </c>
      <c r="FR11" s="21">
        <v>0</v>
      </c>
      <c r="FS11" s="21">
        <f t="shared" ref="FS11:GB11" si="29">CR11+(CR9*2)</f>
        <v>5</v>
      </c>
      <c r="FT11" s="21">
        <f t="shared" si="29"/>
        <v>15</v>
      </c>
      <c r="FU11" s="21">
        <f t="shared" si="29"/>
        <v>5</v>
      </c>
      <c r="FV11" s="21">
        <f t="shared" si="29"/>
        <v>10</v>
      </c>
      <c r="FW11" s="21">
        <f t="shared" si="29"/>
        <v>25</v>
      </c>
      <c r="FX11" s="21">
        <f t="shared" si="29"/>
        <v>20</v>
      </c>
      <c r="FY11" s="21">
        <f t="shared" si="29"/>
        <v>25</v>
      </c>
      <c r="FZ11" s="21">
        <f t="shared" si="29"/>
        <v>20</v>
      </c>
      <c r="GA11" s="21">
        <f t="shared" si="29"/>
        <v>30</v>
      </c>
      <c r="GB11" s="21">
        <f t="shared" si="29"/>
        <v>40</v>
      </c>
      <c r="GC11" s="21"/>
      <c r="GD11" s="21" t="s">
        <v>523</v>
      </c>
      <c r="GE11" s="21">
        <v>0</v>
      </c>
      <c r="GF11" s="21">
        <f>DE11+(DE9*2)</f>
        <v>0</v>
      </c>
      <c r="GG11" s="21">
        <v>0</v>
      </c>
      <c r="GH11" s="21">
        <f t="shared" ref="GH11:GQ11" si="30">DG11+(DG9*2)</f>
        <v>0</v>
      </c>
      <c r="GI11" s="21">
        <f t="shared" si="30"/>
        <v>10</v>
      </c>
      <c r="GJ11" s="21">
        <f t="shared" si="30"/>
        <v>20</v>
      </c>
      <c r="GK11" s="21">
        <f t="shared" si="30"/>
        <v>10</v>
      </c>
      <c r="GL11" s="21">
        <f t="shared" si="30"/>
        <v>20</v>
      </c>
      <c r="GM11" s="21">
        <f t="shared" si="30"/>
        <v>30</v>
      </c>
      <c r="GN11" s="21">
        <f t="shared" si="30"/>
        <v>20</v>
      </c>
      <c r="GO11" s="21">
        <f t="shared" si="30"/>
        <v>30</v>
      </c>
      <c r="GP11" s="21">
        <f t="shared" si="30"/>
        <v>40</v>
      </c>
      <c r="GQ11" s="21">
        <f t="shared" si="30"/>
        <v>35</v>
      </c>
      <c r="GR11" s="21"/>
      <c r="GS11" s="21" t="s">
        <v>523</v>
      </c>
      <c r="GT11" s="21">
        <v>0</v>
      </c>
      <c r="GU11" s="21">
        <f>DV11+(DV9*2)</f>
        <v>0</v>
      </c>
      <c r="GV11" s="21">
        <v>0</v>
      </c>
      <c r="GW11" s="21">
        <f t="shared" ref="GW11:HF11" si="31">DX11+(DX9*2)</f>
        <v>0</v>
      </c>
      <c r="GX11" s="21">
        <f t="shared" si="31"/>
        <v>5</v>
      </c>
      <c r="GY11" s="21">
        <f t="shared" si="31"/>
        <v>20</v>
      </c>
      <c r="GZ11" s="21">
        <f t="shared" si="31"/>
        <v>25</v>
      </c>
      <c r="HA11" s="21">
        <f t="shared" si="31"/>
        <v>15</v>
      </c>
      <c r="HB11" s="21">
        <f t="shared" si="31"/>
        <v>25</v>
      </c>
      <c r="HC11" s="21">
        <f t="shared" si="31"/>
        <v>30</v>
      </c>
      <c r="HD11" s="21">
        <f t="shared" si="31"/>
        <v>25</v>
      </c>
      <c r="HE11" s="21">
        <f t="shared" si="31"/>
        <v>35</v>
      </c>
      <c r="HF11" s="21">
        <f t="shared" si="31"/>
        <v>45</v>
      </c>
      <c r="HG11" s="198"/>
      <c r="HH11" s="21"/>
    </row>
    <row r="12" spans="1:216" x14ac:dyDescent="0.25">
      <c r="A12" s="8"/>
      <c r="B12" s="5" t="s">
        <v>116</v>
      </c>
      <c r="C12" s="8"/>
      <c r="D12" s="6" t="s">
        <v>788</v>
      </c>
      <c r="E12" s="8">
        <v>2</v>
      </c>
      <c r="F12" s="39" t="s">
        <v>790</v>
      </c>
      <c r="G12" s="9"/>
      <c r="H12" s="9"/>
      <c r="I12" s="9"/>
      <c r="J12" s="9"/>
      <c r="K12" s="9"/>
      <c r="L12" s="6" t="str">
        <f>IF(E13=$AS$23,"CMP41H41/3,5MC",IF(E13=$AU$23,"CMP41H41/3,5MC",IF(E13=$AT$24,"CMP41H41/3MC",IF(E13=$AW$25,"CMP41H41/2,2MC","-------"))))</f>
        <v>CMP41H41/3,5MC</v>
      </c>
      <c r="M12" s="11">
        <f>INDEX(cennik!$C$2:$L$529,MATCH($L12,cennik!$B$2:$B$522,0),MATCH(M$2,cennik!$C$1:$L$1,0))</f>
        <v>851135</v>
      </c>
      <c r="N12" s="11" t="str">
        <f>INDEX(cennik!$C$2:$L$529,MATCH($L12,cennik!$B$2:$B$522,0),MATCH(N$2,cennik!$C$1:$L$1,0))</f>
        <v>szt.</v>
      </c>
      <c r="O12" s="11">
        <f>SUM(AA2:AA17)</f>
        <v>0</v>
      </c>
      <c r="P12" s="34">
        <f>INDEX(cennik!$C$2:$L$529,MATCH($L12,cennik!$B$2:$B$522,0),MATCH(P$2,cennik!$C$1:$L$1,0))</f>
        <v>73.5</v>
      </c>
      <c r="Q12" s="34">
        <f t="shared" si="10"/>
        <v>0</v>
      </c>
      <c r="R12" s="35">
        <f>$E$7</f>
        <v>0</v>
      </c>
      <c r="S12" s="34">
        <f>P12*((100-$E$7)/100)</f>
        <v>73.5</v>
      </c>
      <c r="T12" s="34">
        <f t="shared" si="11"/>
        <v>0</v>
      </c>
      <c r="U12" s="34">
        <f>INDEX(cennik!$C$2:$L$529,MATCH($L12,cennik!$B$2:$B$522,0),MATCH(U$2,cennik!$C$1:$L$1,0))*O12</f>
        <v>0</v>
      </c>
      <c r="V12" s="25"/>
      <c r="W12" s="21">
        <f>INDEX(($EL$3:$EX$6,$EL$9:$EX$12,$EL$15:$EX$18,$FA$3:$FM$6,$FA$9:$FM$12,$FA$15:$FM$18,$FP$3:$GB$6,$FP$9:$GB$12,$FP$15:$GB$18,$GE$3:$GQ$6,$GE$9:$GQ$12,$GE$15:$GQ$18,$GT$3:$HF$6,$GT$9:$HF$12),MATCH($L$17,$EK$3:$EK$6,0),MATCH($A10,$EL$2:$EX$2,0),MATCH($E$3,$AE$33:$AE$48,0))*$C10</f>
        <v>0</v>
      </c>
      <c r="X12" s="21">
        <f>INDEX(($EL$3:$EX$6,$EL$9:$EX$12,$EL$15:$EX$18,$FA$3:$FM$6,$FA$9:$FM$12,$FA$15:$FM$18,$FP$3:$GB$6,$FP$9:$GB$12,$FP$15:$GB$18,$GE$3:$GQ$6,$GE$9:$GQ$12,$GE$15:$GQ$18,$GT$3:$HF$6,$GT$9:$HF$12),MATCH($L$14,$EK$3:$EK$6,0),MATCH($A10,$EL$2:$EX$2,0),MATCH($E$3,$AE$33:$AE$48,0))*$C10</f>
        <v>0</v>
      </c>
      <c r="Y12" s="21">
        <f>INDEX(($EL$3:$EX$6,$EL$9:$EX$12,$EL$15:$EX$18,$FA$3:$FM$6,$FA$9:$FM$12,$FA$15:$FM$18,$FP$3:$GB$6,$FP$9:$GB$12,$FP$15:$GB$18,$GE$3:$GQ$6,$GE$9:$GQ$12,$GE$15:$GQ$18,$GT$3:$HF$6,$GT$9:$HF$12),MATCH($L$15,$EK$3:$EK$6,0),MATCH($A10,$EL$2:$EX$2,0),MATCH($E$3,$AE$33:$AE$48,0))*$C10</f>
        <v>0</v>
      </c>
      <c r="Z12" s="21">
        <f>INDEX(($EL$3:$EX$6,$EL$9:$EX$12,$EL$15:$EX$18,$FA$3:$FM$6,$FA$9:$FM$12,$FA$15:$FM$18,$FP$3:$GB$6,$FP$9:$GB$12,$FP$15:$GB$18,$GE$3:$GQ$6,$GE$9:$GQ$12,$GE$15:$GQ$18,$GT$3:$HF$6,$GT$9:$HF$12),MATCH($L$16,$EK$3:$EK$6,0),MATCH($A10,$EL$2:$EX$2,0),MATCH($E$3,$AE$33:$AE$48,0))*$C10</f>
        <v>0</v>
      </c>
      <c r="AA12" s="21">
        <f t="shared" si="0"/>
        <v>0</v>
      </c>
      <c r="AB12" s="21">
        <f t="shared" si="2"/>
        <v>0</v>
      </c>
      <c r="AC12" s="21"/>
      <c r="AD12" s="21">
        <f>AE11*2900</f>
        <v>-2900</v>
      </c>
      <c r="AE12" s="21"/>
      <c r="AF12" s="21"/>
      <c r="AG12" s="26">
        <v>50</v>
      </c>
      <c r="AH12" s="20" t="s">
        <v>36</v>
      </c>
      <c r="AI12" s="20" t="s">
        <v>37</v>
      </c>
      <c r="AJ12" s="20" t="s">
        <v>150</v>
      </c>
      <c r="AK12" s="20" t="s">
        <v>67</v>
      </c>
      <c r="AL12" s="20">
        <v>50</v>
      </c>
      <c r="AM12" s="20" t="s">
        <v>48</v>
      </c>
      <c r="AN12" s="20"/>
      <c r="AO12" s="188" t="s">
        <v>151</v>
      </c>
      <c r="AP12" s="188" t="s">
        <v>151</v>
      </c>
      <c r="AQ12" s="188"/>
      <c r="AR12" s="25">
        <v>30</v>
      </c>
      <c r="AS12" s="25" t="s">
        <v>314</v>
      </c>
      <c r="AT12" s="25" t="s">
        <v>312</v>
      </c>
      <c r="AU12" s="25" t="s">
        <v>309</v>
      </c>
      <c r="AV12" s="21" t="s">
        <v>313</v>
      </c>
      <c r="AW12" s="21"/>
      <c r="AX12" s="21"/>
      <c r="AY12" s="188"/>
      <c r="AZ12" s="188"/>
      <c r="BA12" s="21"/>
      <c r="BB12" s="180">
        <v>30</v>
      </c>
      <c r="BC12" s="180" t="s">
        <v>314</v>
      </c>
      <c r="BD12" s="180" t="s">
        <v>312</v>
      </c>
      <c r="BE12" s="180" t="s">
        <v>309</v>
      </c>
      <c r="BF12" s="180" t="s">
        <v>313</v>
      </c>
      <c r="BG12" s="189">
        <f t="shared" si="3"/>
        <v>1</v>
      </c>
      <c r="BH12" s="20" t="s">
        <v>779</v>
      </c>
      <c r="BI12" s="20">
        <v>0</v>
      </c>
      <c r="BJ12" s="21">
        <v>0</v>
      </c>
      <c r="BK12" s="21">
        <v>0</v>
      </c>
      <c r="BL12" s="21">
        <v>0</v>
      </c>
      <c r="BM12" s="21">
        <v>5</v>
      </c>
      <c r="BN12" s="21">
        <v>5</v>
      </c>
      <c r="BO12" s="21">
        <v>10</v>
      </c>
      <c r="BP12" s="21">
        <v>5</v>
      </c>
      <c r="BQ12" s="21">
        <v>10</v>
      </c>
      <c r="BR12" s="21">
        <v>10</v>
      </c>
      <c r="BS12" s="21">
        <v>15</v>
      </c>
      <c r="BT12" s="21">
        <v>15</v>
      </c>
      <c r="BU12" s="21">
        <v>15</v>
      </c>
      <c r="BV12" s="21"/>
      <c r="BW12" s="20" t="s">
        <v>779</v>
      </c>
      <c r="BX12" s="21">
        <v>0</v>
      </c>
      <c r="BY12" s="21">
        <v>0</v>
      </c>
      <c r="BZ12" s="21">
        <v>0</v>
      </c>
      <c r="CA12" s="21">
        <v>5</v>
      </c>
      <c r="CB12" s="21">
        <v>5</v>
      </c>
      <c r="CC12" s="21">
        <v>10</v>
      </c>
      <c r="CD12" s="21">
        <v>5</v>
      </c>
      <c r="CE12" s="21">
        <v>10</v>
      </c>
      <c r="CF12" s="21">
        <v>10</v>
      </c>
      <c r="CG12" s="21">
        <v>15</v>
      </c>
      <c r="CH12" s="21">
        <v>15</v>
      </c>
      <c r="CI12" s="21">
        <v>15</v>
      </c>
      <c r="CJ12" s="21">
        <v>15</v>
      </c>
      <c r="CK12" s="21"/>
      <c r="CL12" s="21"/>
      <c r="CM12" s="21"/>
      <c r="CN12" s="20" t="s">
        <v>779</v>
      </c>
      <c r="CO12" s="20">
        <v>0</v>
      </c>
      <c r="CP12" s="21">
        <v>0</v>
      </c>
      <c r="CQ12" s="21">
        <v>0</v>
      </c>
      <c r="CR12" s="21">
        <v>5</v>
      </c>
      <c r="CS12" s="21">
        <v>5</v>
      </c>
      <c r="CT12" s="21">
        <v>10</v>
      </c>
      <c r="CU12" s="21">
        <v>10</v>
      </c>
      <c r="CV12" s="21">
        <v>10</v>
      </c>
      <c r="CW12" s="21">
        <v>10</v>
      </c>
      <c r="CX12" s="21">
        <v>15</v>
      </c>
      <c r="CY12" s="21">
        <v>15</v>
      </c>
      <c r="CZ12" s="21">
        <v>15</v>
      </c>
      <c r="DA12" s="21">
        <v>15</v>
      </c>
      <c r="DB12" s="21"/>
      <c r="DC12" s="20" t="s">
        <v>779</v>
      </c>
      <c r="DD12" s="21">
        <v>0</v>
      </c>
      <c r="DE12" s="21">
        <v>0</v>
      </c>
      <c r="DF12" s="21">
        <v>0</v>
      </c>
      <c r="DG12" s="21">
        <v>5</v>
      </c>
      <c r="DH12" s="21">
        <v>5</v>
      </c>
      <c r="DI12" s="21">
        <v>5</v>
      </c>
      <c r="DJ12" s="21">
        <v>10</v>
      </c>
      <c r="DK12" s="21">
        <v>10</v>
      </c>
      <c r="DL12" s="21">
        <v>10</v>
      </c>
      <c r="DM12" s="21">
        <v>15</v>
      </c>
      <c r="DN12" s="21">
        <v>15</v>
      </c>
      <c r="DO12" s="21">
        <v>15</v>
      </c>
      <c r="DP12" s="21">
        <v>20</v>
      </c>
      <c r="DQ12" s="87"/>
      <c r="DR12" s="87">
        <v>48</v>
      </c>
      <c r="DS12" s="87"/>
      <c r="DT12" s="20" t="s">
        <v>779</v>
      </c>
      <c r="DU12" s="20">
        <v>0</v>
      </c>
      <c r="DV12" s="21">
        <v>0</v>
      </c>
      <c r="DW12" s="21">
        <v>0</v>
      </c>
      <c r="DX12" s="21">
        <v>5</v>
      </c>
      <c r="DY12" s="21">
        <v>10</v>
      </c>
      <c r="DZ12" s="21">
        <v>5</v>
      </c>
      <c r="EA12" s="21">
        <v>10</v>
      </c>
      <c r="EB12" s="21">
        <v>15</v>
      </c>
      <c r="EC12" s="21">
        <v>15</v>
      </c>
      <c r="ED12" s="21">
        <v>15</v>
      </c>
      <c r="EE12" s="21">
        <v>20</v>
      </c>
      <c r="EF12" s="21">
        <v>20</v>
      </c>
      <c r="EG12" s="21">
        <v>20</v>
      </c>
      <c r="EH12" s="21"/>
      <c r="EI12" s="21"/>
      <c r="EJ12" s="196"/>
      <c r="EK12" s="20" t="s">
        <v>779</v>
      </c>
      <c r="EL12" s="21">
        <v>0</v>
      </c>
      <c r="EM12" s="21">
        <f>((SUM(EM10:EM11)/5)-1)*5</f>
        <v>0</v>
      </c>
      <c r="EN12" s="21">
        <v>0</v>
      </c>
      <c r="EO12" s="21">
        <v>0</v>
      </c>
      <c r="EP12" s="21">
        <f t="shared" ref="EP12:EX12" si="32">((SUM(EP10:EP11)/5)-1)*5</f>
        <v>5</v>
      </c>
      <c r="EQ12" s="21">
        <f t="shared" si="32"/>
        <v>10</v>
      </c>
      <c r="ER12" s="21">
        <f t="shared" si="32"/>
        <v>10</v>
      </c>
      <c r="ES12" s="21">
        <f t="shared" si="32"/>
        <v>15</v>
      </c>
      <c r="ET12" s="21">
        <f t="shared" si="32"/>
        <v>15</v>
      </c>
      <c r="EU12" s="21">
        <f t="shared" si="32"/>
        <v>20</v>
      </c>
      <c r="EV12" s="21">
        <f t="shared" si="32"/>
        <v>20</v>
      </c>
      <c r="EW12" s="21">
        <f t="shared" si="32"/>
        <v>25</v>
      </c>
      <c r="EX12" s="21">
        <f t="shared" si="32"/>
        <v>25</v>
      </c>
      <c r="EY12" s="21"/>
      <c r="EZ12" s="20" t="s">
        <v>779</v>
      </c>
      <c r="FA12" s="21">
        <v>0</v>
      </c>
      <c r="FB12" s="21">
        <f>((SUM(FB10:FB11)/5)-1)*5</f>
        <v>0</v>
      </c>
      <c r="FC12" s="21">
        <v>0</v>
      </c>
      <c r="FD12" s="21">
        <f t="shared" ref="FD12:FM12" si="33">((SUM(FD10:FD11)/5)-1)*5</f>
        <v>5</v>
      </c>
      <c r="FE12" s="21">
        <f t="shared" si="33"/>
        <v>5</v>
      </c>
      <c r="FF12" s="21">
        <f t="shared" si="33"/>
        <v>10</v>
      </c>
      <c r="FG12" s="21">
        <f t="shared" si="33"/>
        <v>15</v>
      </c>
      <c r="FH12" s="21">
        <f t="shared" si="33"/>
        <v>15</v>
      </c>
      <c r="FI12" s="21">
        <f t="shared" si="33"/>
        <v>20</v>
      </c>
      <c r="FJ12" s="21">
        <f t="shared" si="33"/>
        <v>20</v>
      </c>
      <c r="FK12" s="21">
        <f t="shared" si="33"/>
        <v>25</v>
      </c>
      <c r="FL12" s="21">
        <f t="shared" si="33"/>
        <v>25</v>
      </c>
      <c r="FM12" s="21">
        <f t="shared" si="33"/>
        <v>30</v>
      </c>
      <c r="FN12" s="21"/>
      <c r="FO12" s="20" t="s">
        <v>779</v>
      </c>
      <c r="FP12" s="21">
        <v>0</v>
      </c>
      <c r="FQ12" s="21">
        <f>((SUM(FQ10:FQ11)/5)-1)*5</f>
        <v>0</v>
      </c>
      <c r="FR12" s="21">
        <v>0</v>
      </c>
      <c r="FS12" s="21">
        <f t="shared" ref="FS12:GB12" si="34">((SUM(FS10:FS11)/5)-1)*5</f>
        <v>5</v>
      </c>
      <c r="FT12" s="21">
        <f t="shared" si="34"/>
        <v>10</v>
      </c>
      <c r="FU12" s="21">
        <f t="shared" si="34"/>
        <v>10</v>
      </c>
      <c r="FV12" s="21">
        <f t="shared" si="34"/>
        <v>15</v>
      </c>
      <c r="FW12" s="21">
        <f t="shared" si="34"/>
        <v>20</v>
      </c>
      <c r="FX12" s="21">
        <f t="shared" si="34"/>
        <v>20</v>
      </c>
      <c r="FY12" s="21">
        <f t="shared" si="34"/>
        <v>25</v>
      </c>
      <c r="FZ12" s="21">
        <f t="shared" si="34"/>
        <v>25</v>
      </c>
      <c r="GA12" s="21">
        <f t="shared" si="34"/>
        <v>30</v>
      </c>
      <c r="GB12" s="21">
        <f t="shared" si="34"/>
        <v>35</v>
      </c>
      <c r="GC12" s="21"/>
      <c r="GD12" s="20" t="s">
        <v>779</v>
      </c>
      <c r="GE12" s="21">
        <v>0</v>
      </c>
      <c r="GF12" s="21">
        <f>((SUM(GF10:GF11)/5)-1)*5</f>
        <v>0</v>
      </c>
      <c r="GG12" s="21">
        <v>0</v>
      </c>
      <c r="GH12" s="21">
        <f t="shared" ref="GH12:GQ12" si="35">((SUM(GH10:GH11)/5)-1)*5</f>
        <v>5</v>
      </c>
      <c r="GI12" s="21">
        <f t="shared" si="35"/>
        <v>10</v>
      </c>
      <c r="GJ12" s="21">
        <f t="shared" si="35"/>
        <v>15</v>
      </c>
      <c r="GK12" s="21">
        <f t="shared" si="35"/>
        <v>15</v>
      </c>
      <c r="GL12" s="21">
        <f t="shared" si="35"/>
        <v>20</v>
      </c>
      <c r="GM12" s="21">
        <f t="shared" si="35"/>
        <v>25</v>
      </c>
      <c r="GN12" s="21">
        <f t="shared" si="35"/>
        <v>25</v>
      </c>
      <c r="GO12" s="21">
        <f t="shared" si="35"/>
        <v>30</v>
      </c>
      <c r="GP12" s="21">
        <f t="shared" si="35"/>
        <v>35</v>
      </c>
      <c r="GQ12" s="21">
        <f t="shared" si="35"/>
        <v>35</v>
      </c>
      <c r="GR12" s="21"/>
      <c r="GS12" s="20" t="s">
        <v>779</v>
      </c>
      <c r="GT12" s="20">
        <v>0</v>
      </c>
      <c r="GU12" s="21">
        <f>((SUM(GU10:GU11)/5)-1)*5</f>
        <v>0</v>
      </c>
      <c r="GV12" s="21">
        <v>0</v>
      </c>
      <c r="GW12" s="21">
        <f t="shared" ref="GW12:HF12" si="36">((SUM(GW10:GW11)/5)-1)*5</f>
        <v>5</v>
      </c>
      <c r="GX12" s="21">
        <f t="shared" si="36"/>
        <v>10</v>
      </c>
      <c r="GY12" s="21">
        <f t="shared" si="36"/>
        <v>15</v>
      </c>
      <c r="GZ12" s="21">
        <f t="shared" si="36"/>
        <v>20</v>
      </c>
      <c r="HA12" s="21">
        <f t="shared" si="36"/>
        <v>20</v>
      </c>
      <c r="HB12" s="21">
        <f t="shared" si="36"/>
        <v>25</v>
      </c>
      <c r="HC12" s="21">
        <f t="shared" si="36"/>
        <v>30</v>
      </c>
      <c r="HD12" s="21">
        <f t="shared" si="36"/>
        <v>30</v>
      </c>
      <c r="HE12" s="21">
        <f t="shared" si="36"/>
        <v>35</v>
      </c>
      <c r="HF12" s="21">
        <f t="shared" si="36"/>
        <v>40</v>
      </c>
      <c r="HG12" s="198"/>
      <c r="HH12" s="21"/>
    </row>
    <row r="13" spans="1:216" x14ac:dyDescent="0.25">
      <c r="A13" s="8"/>
      <c r="B13" s="5" t="s">
        <v>116</v>
      </c>
      <c r="C13" s="8"/>
      <c r="D13" s="6" t="s">
        <v>718</v>
      </c>
      <c r="E13" s="32">
        <f>INDEX((AS23:AW25),MATCH(E11,AR23:AR25,0),MATCH(E12,AS22:AW22,0))</f>
        <v>2900</v>
      </c>
      <c r="F13" s="31"/>
      <c r="G13" s="31"/>
      <c r="H13" s="31"/>
      <c r="I13" s="31"/>
      <c r="J13" s="29" t="s">
        <v>119</v>
      </c>
      <c r="K13" s="9"/>
      <c r="L13" s="6" t="s">
        <v>1111</v>
      </c>
      <c r="M13" s="11">
        <f>INDEX(cennik!$C$2:$L$529,MATCH($L13,cennik!$B$2:$B$522,0),MATCH(M$2,cennik!$C$1:$L$1,0))</f>
        <v>850252</v>
      </c>
      <c r="N13" s="11" t="str">
        <f>INDEX(cennik!$C$2:$L$529,MATCH($L13,cennik!$B$2:$B$522,0),MATCH(N$2,cennik!$C$1:$L$1,0))</f>
        <v>szt.</v>
      </c>
      <c r="O13" s="11">
        <f>O5+O11</f>
        <v>0</v>
      </c>
      <c r="P13" s="34">
        <f>INDEX(cennik!$C$2:$L$529,MATCH($L13,cennik!$B$2:$B$522,0),MATCH(P$2,cennik!$C$1:$L$1,0))</f>
        <v>6.06</v>
      </c>
      <c r="Q13" s="34">
        <f t="shared" si="10"/>
        <v>0</v>
      </c>
      <c r="R13" s="35">
        <f t="shared" si="1"/>
        <v>0</v>
      </c>
      <c r="S13" s="34">
        <f t="shared" si="4"/>
        <v>6.06</v>
      </c>
      <c r="T13" s="34">
        <f t="shared" si="11"/>
        <v>0</v>
      </c>
      <c r="U13" s="34">
        <f>INDEX(cennik!$C$2:$L$529,MATCH($L13,cennik!$B$2:$B$522,0),MATCH(U$2,cennik!$C$1:$L$1,0))*O13</f>
        <v>0</v>
      </c>
      <c r="V13" s="25"/>
      <c r="W13" s="21">
        <f>INDEX(($EL$3:$EX$6,$EL$9:$EX$12,$EL$15:$EX$18,$FA$3:$FM$6,$FA$9:$FM$12,$FA$15:$FM$18,$FP$3:$GB$6,$FP$9:$GB$12,$FP$15:$GB$18,$GE$3:$GQ$6,$GE$9:$GQ$12,$GE$15:$GQ$18,$GT$3:$HF$6,$GT$9:$HF$12),MATCH($L$17,$EK$3:$EK$6,0),MATCH($A11,$EL$2:$EX$2,0),MATCH($E$3,$AE$33:$AE$48,0))*$C11</f>
        <v>0</v>
      </c>
      <c r="X13" s="21">
        <f>INDEX(($EL$3:$EX$6,$EL$9:$EX$12,$EL$15:$EX$18,$FA$3:$FM$6,$FA$9:$FM$12,$FA$15:$FM$18,$FP$3:$GB$6,$FP$9:$GB$12,$FP$15:$GB$18,$GE$3:$GQ$6,$GE$9:$GQ$12,$GE$15:$GQ$18,$GT$3:$HF$6,$GT$9:$HF$12),MATCH($L$14,$EK$3:$EK$6,0),MATCH($A11,$EL$2:$EX$2,0),MATCH($E$3,$AE$33:$AE$48,0))*$C11</f>
        <v>0</v>
      </c>
      <c r="Y13" s="21">
        <f>INDEX(($EL$3:$EX$6,$EL$9:$EX$12,$EL$15:$EX$18,$FA$3:$FM$6,$FA$9:$FM$12,$FA$15:$FM$18,$FP$3:$GB$6,$FP$9:$GB$12,$FP$15:$GB$18,$GE$3:$GQ$6,$GE$9:$GQ$12,$GE$15:$GQ$18,$GT$3:$HF$6,$GT$9:$HF$12),MATCH($L$15,$EK$3:$EK$6,0),MATCH($A11,$EL$2:$EX$2,0),MATCH($E$3,$AE$33:$AE$48,0))*$C11</f>
        <v>0</v>
      </c>
      <c r="Z13" s="21">
        <f>INDEX(($EL$3:$EX$6,$EL$9:$EX$12,$EL$15:$EX$18,$FA$3:$FM$6,$FA$9:$FM$12,$FA$15:$FM$18,$FP$3:$GB$6,$FP$9:$GB$12,$FP$15:$GB$18,$GE$3:$GQ$6,$GE$9:$GQ$12,$GE$15:$GQ$18,$GT$3:$HF$6,$GT$9:$HF$12),MATCH($L$16,$EK$3:$EK$6,0),MATCH($A11,$EL$2:$EX$2,0),MATCH($E$3,$AE$33:$AE$48,0))*$C11</f>
        <v>0</v>
      </c>
      <c r="AA13" s="21">
        <f t="shared" si="0"/>
        <v>0</v>
      </c>
      <c r="AB13" s="21">
        <f t="shared" si="2"/>
        <v>0</v>
      </c>
      <c r="AC13" s="21"/>
      <c r="AD13" s="21">
        <f>IF(AD12+2000&gt;AD11,AE11+1,IF(AD12+2000&lt;AD11,AE11+2,0))</f>
        <v>1</v>
      </c>
      <c r="AE13" s="21"/>
      <c r="AF13" s="21"/>
      <c r="AG13" s="26"/>
      <c r="AH13" s="20" t="s">
        <v>13</v>
      </c>
      <c r="AI13" s="20" t="s">
        <v>77</v>
      </c>
      <c r="AJ13" s="20"/>
      <c r="AK13" s="20"/>
      <c r="AL13" s="20"/>
      <c r="AM13" s="20" t="s">
        <v>6</v>
      </c>
      <c r="AN13" s="20" t="s">
        <v>78</v>
      </c>
      <c r="AO13" s="20"/>
      <c r="AP13" s="20"/>
      <c r="AQ13" s="20"/>
      <c r="AR13" s="25" t="s">
        <v>114</v>
      </c>
      <c r="AS13" s="25" t="s">
        <v>596</v>
      </c>
      <c r="AT13" s="25" t="s">
        <v>595</v>
      </c>
      <c r="AU13" s="25" t="s">
        <v>593</v>
      </c>
      <c r="AV13" s="21" t="s">
        <v>593</v>
      </c>
      <c r="AW13" s="21"/>
      <c r="AX13" s="21"/>
      <c r="AY13" s="20"/>
      <c r="AZ13" s="20"/>
      <c r="BA13" s="21"/>
      <c r="BB13" s="180" t="s">
        <v>114</v>
      </c>
      <c r="BC13" s="180" t="s">
        <v>151</v>
      </c>
      <c r="BD13" s="180" t="s">
        <v>151</v>
      </c>
      <c r="BE13" s="180" t="s">
        <v>151</v>
      </c>
      <c r="BF13" s="180" t="s">
        <v>151</v>
      </c>
      <c r="BG13" s="189">
        <f t="shared" si="3"/>
        <v>1</v>
      </c>
      <c r="BH13" s="21"/>
      <c r="BI13" s="21"/>
      <c r="BJ13" s="21"/>
      <c r="BK13" s="21"/>
      <c r="BL13" s="21"/>
      <c r="BM13" s="21"/>
      <c r="BN13" s="21"/>
      <c r="BO13" s="21"/>
      <c r="BP13" s="21"/>
      <c r="BQ13" s="21"/>
      <c r="BR13" s="21"/>
      <c r="BS13" s="21"/>
      <c r="BT13" s="21"/>
      <c r="BU13" s="21"/>
      <c r="BV13" s="21"/>
      <c r="BW13" s="21"/>
      <c r="BX13" s="21"/>
      <c r="BY13" s="21"/>
      <c r="BZ13" s="21"/>
      <c r="CA13" s="21"/>
      <c r="CB13" s="21"/>
      <c r="CC13" s="21"/>
      <c r="CD13" s="21"/>
      <c r="CE13" s="21"/>
      <c r="CF13" s="21"/>
      <c r="CG13" s="21"/>
      <c r="CH13" s="21"/>
      <c r="CI13" s="21"/>
      <c r="CJ13" s="21"/>
      <c r="CK13" s="21"/>
      <c r="CL13" s="21"/>
      <c r="CM13" s="21"/>
      <c r="CN13" s="21"/>
      <c r="CO13" s="21"/>
      <c r="CP13" s="21"/>
      <c r="CQ13" s="21"/>
      <c r="CR13" s="21"/>
      <c r="CS13" s="21"/>
      <c r="CT13" s="21"/>
      <c r="CU13" s="21"/>
      <c r="CV13" s="21"/>
      <c r="CW13" s="21"/>
      <c r="CX13" s="21"/>
      <c r="CY13" s="21"/>
      <c r="CZ13" s="21"/>
      <c r="DA13" s="21"/>
      <c r="DB13" s="21"/>
      <c r="DC13" s="21"/>
      <c r="DD13" s="21"/>
      <c r="DE13" s="21"/>
      <c r="DF13" s="21"/>
      <c r="DG13" s="21"/>
      <c r="DH13" s="21"/>
      <c r="DI13" s="21"/>
      <c r="DJ13" s="21"/>
      <c r="DK13" s="21"/>
      <c r="DL13" s="21"/>
      <c r="DM13" s="21"/>
      <c r="DN13" s="21"/>
      <c r="DO13" s="21"/>
      <c r="DP13" s="21"/>
      <c r="DQ13" s="87"/>
      <c r="DR13" s="87">
        <v>52</v>
      </c>
      <c r="DS13" s="87"/>
      <c r="DT13" s="21"/>
      <c r="DU13" s="21"/>
      <c r="DV13" s="21"/>
      <c r="DW13" s="21"/>
      <c r="DX13" s="21"/>
      <c r="DY13" s="21"/>
      <c r="DZ13" s="21"/>
      <c r="EA13" s="21"/>
      <c r="EB13" s="21"/>
      <c r="EC13" s="21"/>
      <c r="ED13" s="21"/>
      <c r="EE13" s="21"/>
      <c r="EF13" s="21"/>
      <c r="EG13" s="21"/>
      <c r="EH13" s="21"/>
      <c r="EI13" s="21"/>
      <c r="EJ13" s="196"/>
      <c r="EK13" s="21"/>
      <c r="EL13" s="21"/>
      <c r="EM13" s="21"/>
      <c r="EN13" s="21"/>
      <c r="EO13" s="21"/>
      <c r="EP13" s="21"/>
      <c r="EQ13" s="21"/>
      <c r="ER13" s="21"/>
      <c r="ES13" s="21"/>
      <c r="ET13" s="21"/>
      <c r="EU13" s="21"/>
      <c r="EV13" s="21"/>
      <c r="EW13" s="21"/>
      <c r="EX13" s="21"/>
      <c r="EY13" s="21"/>
      <c r="EZ13" s="21"/>
      <c r="FA13" s="21"/>
      <c r="FB13" s="21"/>
      <c r="FC13" s="21"/>
      <c r="FD13" s="21"/>
      <c r="FE13" s="21"/>
      <c r="FF13" s="21"/>
      <c r="FG13" s="21"/>
      <c r="FH13" s="21"/>
      <c r="FI13" s="21"/>
      <c r="FJ13" s="21"/>
      <c r="FK13" s="21"/>
      <c r="FL13" s="21"/>
      <c r="FM13" s="21"/>
      <c r="FN13" s="21"/>
      <c r="FO13" s="21"/>
      <c r="FP13" s="21"/>
      <c r="FQ13" s="21"/>
      <c r="FR13" s="21"/>
      <c r="FS13" s="21"/>
      <c r="FT13" s="21"/>
      <c r="FU13" s="21"/>
      <c r="FV13" s="21"/>
      <c r="FW13" s="21"/>
      <c r="FX13" s="21"/>
      <c r="FY13" s="21"/>
      <c r="FZ13" s="21"/>
      <c r="GA13" s="21"/>
      <c r="GB13" s="21"/>
      <c r="GC13" s="21"/>
      <c r="GD13" s="21"/>
      <c r="GE13" s="21"/>
      <c r="GF13" s="21"/>
      <c r="GG13" s="21"/>
      <c r="GH13" s="21"/>
      <c r="GI13" s="21"/>
      <c r="GJ13" s="21"/>
      <c r="GK13" s="21"/>
      <c r="GL13" s="21"/>
      <c r="GM13" s="21"/>
      <c r="GN13" s="21"/>
      <c r="GO13" s="21"/>
      <c r="GP13" s="21"/>
      <c r="GQ13" s="21"/>
      <c r="GR13" s="21"/>
      <c r="GS13" s="21"/>
      <c r="GT13" s="21"/>
      <c r="GU13" s="21"/>
      <c r="GV13" s="21"/>
      <c r="GW13" s="21"/>
      <c r="GX13" s="21"/>
      <c r="GY13" s="21"/>
      <c r="GZ13" s="21"/>
      <c r="HA13" s="21"/>
      <c r="HB13" s="21"/>
      <c r="HC13" s="21"/>
      <c r="HD13" s="21"/>
      <c r="HE13" s="21"/>
      <c r="HF13" s="21"/>
      <c r="HG13" s="198"/>
      <c r="HH13" s="21"/>
    </row>
    <row r="14" spans="1:216" x14ac:dyDescent="0.25">
      <c r="A14" s="8"/>
      <c r="B14" s="5" t="s">
        <v>116</v>
      </c>
      <c r="C14" s="8"/>
      <c r="D14" s="6" t="str">
        <f>IF(E5=$AC$8,"długość śruby GSW","")</f>
        <v/>
      </c>
      <c r="E14" s="38">
        <v>2200</v>
      </c>
      <c r="F14" s="9"/>
      <c r="G14" s="9"/>
      <c r="H14" s="9"/>
      <c r="I14" s="9"/>
      <c r="J14" s="29" t="str">
        <f>IF(E5=$AC$8,"[mm]","")</f>
        <v/>
      </c>
      <c r="K14" s="9"/>
      <c r="L14" s="6" t="s">
        <v>586</v>
      </c>
      <c r="M14" s="11">
        <f>INDEX(cennik!$C$2:$L$529,MATCH($L14,cennik!$B$2:$B$522,0),MATCH(M$2,cennik!$C$1:$L$1,0))</f>
        <v>867566</v>
      </c>
      <c r="N14" s="11" t="str">
        <f>INDEX(cennik!$C$2:$L$529,MATCH($L14,cennik!$B$2:$B$522,0),MATCH(N$2,cennik!$C$1:$L$1,0))</f>
        <v>szt.</v>
      </c>
      <c r="O14" s="11">
        <f>SUM(X4:X19)</f>
        <v>0</v>
      </c>
      <c r="P14" s="34">
        <f>INDEX(cennik!$C$2:$L$529,MATCH($L14,cennik!$B$2:$B$522,0),MATCH(P$2,cennik!$C$1:$L$1,0))</f>
        <v>265.20999999999998</v>
      </c>
      <c r="Q14" s="34">
        <f t="shared" si="10"/>
        <v>0</v>
      </c>
      <c r="R14" s="35">
        <f t="shared" si="1"/>
        <v>0</v>
      </c>
      <c r="S14" s="34">
        <f>P14*((100-$E$7)/100)</f>
        <v>265.20999999999998</v>
      </c>
      <c r="T14" s="34">
        <f t="shared" si="11"/>
        <v>0</v>
      </c>
      <c r="U14" s="34">
        <f>INDEX(cennik!$C$2:$L$529,MATCH($L14,cennik!$B$2:$B$522,0),MATCH(U$2,cennik!$C$1:$L$1,0))*O14</f>
        <v>0</v>
      </c>
      <c r="V14" s="25"/>
      <c r="W14" s="21">
        <f>INDEX(($EL$3:$EX$6,$EL$9:$EX$12,$EL$15:$EX$18,$FA$3:$FM$6,$FA$9:$FM$12,$FA$15:$FM$18,$FP$3:$GB$6,$FP$9:$GB$12,$FP$15:$GB$18,$GE$3:$GQ$6,$GE$9:$GQ$12,$GE$15:$GQ$18,$GT$3:$HF$6,$GT$9:$HF$12),MATCH($L$17,$EK$3:$EK$6,0),MATCH($A12,$EL$2:$EX$2,0),MATCH($E$3,$AE$33:$AE$48,0))*$C12</f>
        <v>0</v>
      </c>
      <c r="X14" s="21">
        <f>INDEX(($EL$3:$EX$6,$EL$9:$EX$12,$EL$15:$EX$18,$FA$3:$FM$6,$FA$9:$FM$12,$FA$15:$FM$18,$FP$3:$GB$6,$FP$9:$GB$12,$FP$15:$GB$18,$GE$3:$GQ$6,$GE$9:$GQ$12,$GE$15:$GQ$18,$GT$3:$HF$6,$GT$9:$HF$12),MATCH($L$14,$EK$3:$EK$6,0),MATCH($A12,$EL$2:$EX$2,0),MATCH($E$3,$AE$33:$AE$48,0))*$C12</f>
        <v>0</v>
      </c>
      <c r="Y14" s="21">
        <f>INDEX(($EL$3:$EX$6,$EL$9:$EX$12,$EL$15:$EX$18,$FA$3:$FM$6,$FA$9:$FM$12,$FA$15:$FM$18,$FP$3:$GB$6,$FP$9:$GB$12,$FP$15:$GB$18,$GE$3:$GQ$6,$GE$9:$GQ$12,$GE$15:$GQ$18,$GT$3:$HF$6,$GT$9:$HF$12),MATCH($L$15,$EK$3:$EK$6,0),MATCH($A12,$EL$2:$EX$2,0),MATCH($E$3,$AE$33:$AE$48,0))*$C12</f>
        <v>0</v>
      </c>
      <c r="Z14" s="21">
        <f>INDEX(($EL$3:$EX$6,$EL$9:$EX$12,$EL$15:$EX$18,$FA$3:$FM$6,$FA$9:$FM$12,$FA$15:$FM$18,$FP$3:$GB$6,$FP$9:$GB$12,$FP$15:$GB$18,$GE$3:$GQ$6,$GE$9:$GQ$12,$GE$15:$GQ$18,$GT$3:$HF$6,$GT$9:$HF$12),MATCH($L$16,$EK$3:$EK$6,0),MATCH($A12,$EL$2:$EX$2,0),MATCH($E$3,$AE$33:$AE$48,0))*$C12</f>
        <v>0</v>
      </c>
      <c r="AA14" s="21">
        <f t="shared" si="0"/>
        <v>0</v>
      </c>
      <c r="AB14" s="21">
        <f t="shared" si="2"/>
        <v>0</v>
      </c>
      <c r="AC14" s="21"/>
      <c r="AD14" s="21">
        <f>INDEX($AF$24:$AF$42,MATCH($E$3,$AE$24:$AE$42),1,1)</f>
        <v>2100</v>
      </c>
      <c r="AE14" s="21"/>
      <c r="AF14" s="21"/>
      <c r="AG14" s="21"/>
      <c r="AH14" s="21" t="s">
        <v>159</v>
      </c>
      <c r="AI14" s="21"/>
      <c r="AJ14" s="21"/>
      <c r="AK14" s="21"/>
      <c r="AL14" s="21"/>
      <c r="AM14" s="21"/>
      <c r="AN14" s="21"/>
      <c r="AO14" s="21"/>
      <c r="AP14" s="21"/>
      <c r="AQ14" s="21"/>
      <c r="AR14" s="25" t="s">
        <v>115</v>
      </c>
      <c r="AS14" s="25" t="s">
        <v>596</v>
      </c>
      <c r="AT14" s="25" t="s">
        <v>595</v>
      </c>
      <c r="AU14" s="25" t="s">
        <v>594</v>
      </c>
      <c r="AV14" s="21" t="s">
        <v>594</v>
      </c>
      <c r="AW14" s="21"/>
      <c r="AX14" s="21"/>
      <c r="AY14" s="21"/>
      <c r="AZ14" s="21"/>
      <c r="BA14" s="21"/>
      <c r="BB14" s="180" t="s">
        <v>115</v>
      </c>
      <c r="BC14" s="180" t="s">
        <v>151</v>
      </c>
      <c r="BD14" s="180" t="s">
        <v>151</v>
      </c>
      <c r="BE14" s="180" t="s">
        <v>151</v>
      </c>
      <c r="BF14" s="180" t="s">
        <v>151</v>
      </c>
      <c r="BG14" s="189">
        <f t="shared" si="3"/>
        <v>1</v>
      </c>
      <c r="BH14" s="21" t="s">
        <v>132</v>
      </c>
      <c r="BI14" s="21">
        <v>0</v>
      </c>
      <c r="BJ14" s="21">
        <v>8</v>
      </c>
      <c r="BK14" s="21">
        <v>12</v>
      </c>
      <c r="BL14" s="21">
        <v>16</v>
      </c>
      <c r="BM14" s="21">
        <v>20</v>
      </c>
      <c r="BN14" s="21">
        <v>24</v>
      </c>
      <c r="BO14" s="21">
        <v>28</v>
      </c>
      <c r="BP14" s="21">
        <v>32</v>
      </c>
      <c r="BQ14" s="21">
        <v>36</v>
      </c>
      <c r="BR14" s="21">
        <v>40</v>
      </c>
      <c r="BS14" s="21">
        <v>44</v>
      </c>
      <c r="BT14" s="21">
        <v>48</v>
      </c>
      <c r="BU14" s="21">
        <v>52</v>
      </c>
      <c r="BV14" s="21"/>
      <c r="BW14" s="21" t="s">
        <v>471</v>
      </c>
      <c r="BX14" s="21">
        <v>0</v>
      </c>
      <c r="BY14" s="21">
        <v>8</v>
      </c>
      <c r="BZ14" s="21">
        <v>12</v>
      </c>
      <c r="CA14" s="21">
        <v>16</v>
      </c>
      <c r="CB14" s="21">
        <v>20</v>
      </c>
      <c r="CC14" s="21">
        <v>24</v>
      </c>
      <c r="CD14" s="21">
        <v>28</v>
      </c>
      <c r="CE14" s="21">
        <v>32</v>
      </c>
      <c r="CF14" s="21">
        <v>36</v>
      </c>
      <c r="CG14" s="21">
        <v>40</v>
      </c>
      <c r="CH14" s="21">
        <v>44</v>
      </c>
      <c r="CI14" s="21">
        <v>48</v>
      </c>
      <c r="CJ14" s="21">
        <v>52</v>
      </c>
      <c r="CK14" s="21"/>
      <c r="CL14" s="21"/>
      <c r="CM14" s="21"/>
      <c r="CN14" s="21" t="s">
        <v>137</v>
      </c>
      <c r="CO14" s="21">
        <v>0</v>
      </c>
      <c r="CP14" s="21">
        <v>8</v>
      </c>
      <c r="CQ14" s="21">
        <v>12</v>
      </c>
      <c r="CR14" s="21">
        <v>16</v>
      </c>
      <c r="CS14" s="21">
        <v>20</v>
      </c>
      <c r="CT14" s="21">
        <v>24</v>
      </c>
      <c r="CU14" s="21">
        <v>28</v>
      </c>
      <c r="CV14" s="21">
        <v>32</v>
      </c>
      <c r="CW14" s="21">
        <v>36</v>
      </c>
      <c r="CX14" s="21">
        <v>40</v>
      </c>
      <c r="CY14" s="21">
        <v>44</v>
      </c>
      <c r="CZ14" s="21">
        <v>48</v>
      </c>
      <c r="DA14" s="21">
        <v>52</v>
      </c>
      <c r="DB14" s="21"/>
      <c r="DC14" s="21" t="s">
        <v>479</v>
      </c>
      <c r="DD14" s="21">
        <v>0</v>
      </c>
      <c r="DE14" s="21">
        <v>8</v>
      </c>
      <c r="DF14" s="21">
        <v>12</v>
      </c>
      <c r="DG14" s="21">
        <v>16</v>
      </c>
      <c r="DH14" s="21">
        <v>20</v>
      </c>
      <c r="DI14" s="21">
        <v>24</v>
      </c>
      <c r="DJ14" s="21">
        <v>28</v>
      </c>
      <c r="DK14" s="21">
        <v>32</v>
      </c>
      <c r="DL14" s="21">
        <v>36</v>
      </c>
      <c r="DM14" s="21">
        <v>40</v>
      </c>
      <c r="DN14" s="21">
        <v>44</v>
      </c>
      <c r="DO14" s="21">
        <v>48</v>
      </c>
      <c r="DP14" s="21">
        <v>52</v>
      </c>
      <c r="DQ14" s="87"/>
      <c r="DR14" s="87"/>
      <c r="DS14" s="87"/>
      <c r="DT14" s="21"/>
      <c r="DU14" s="21"/>
      <c r="DV14" s="21"/>
      <c r="DW14" s="21"/>
      <c r="DX14" s="21"/>
      <c r="DY14" s="21"/>
      <c r="DZ14" s="21"/>
      <c r="EA14" s="21"/>
      <c r="EB14" s="21"/>
      <c r="EC14" s="21"/>
      <c r="ED14" s="21"/>
      <c r="EE14" s="21"/>
      <c r="EF14" s="21"/>
      <c r="EG14" s="21"/>
      <c r="EH14" s="21"/>
      <c r="EI14" s="21"/>
      <c r="EJ14" s="196"/>
      <c r="EK14" s="21" t="s">
        <v>132</v>
      </c>
      <c r="EL14" s="21">
        <v>0</v>
      </c>
      <c r="EM14" s="21">
        <v>8</v>
      </c>
      <c r="EN14" s="21">
        <v>12</v>
      </c>
      <c r="EO14" s="21">
        <v>16</v>
      </c>
      <c r="EP14" s="21">
        <v>20</v>
      </c>
      <c r="EQ14" s="21">
        <v>24</v>
      </c>
      <c r="ER14" s="21">
        <v>28</v>
      </c>
      <c r="ES14" s="21">
        <v>32</v>
      </c>
      <c r="ET14" s="21">
        <v>36</v>
      </c>
      <c r="EU14" s="21">
        <v>40</v>
      </c>
      <c r="EV14" s="21">
        <v>44</v>
      </c>
      <c r="EW14" s="21">
        <v>48</v>
      </c>
      <c r="EX14" s="21">
        <v>52</v>
      </c>
      <c r="EY14" s="21"/>
      <c r="EZ14" s="21" t="s">
        <v>471</v>
      </c>
      <c r="FA14" s="21">
        <v>0</v>
      </c>
      <c r="FB14" s="21">
        <v>8</v>
      </c>
      <c r="FC14" s="21">
        <v>12</v>
      </c>
      <c r="FD14" s="21">
        <v>16</v>
      </c>
      <c r="FE14" s="21">
        <v>20</v>
      </c>
      <c r="FF14" s="21">
        <v>24</v>
      </c>
      <c r="FG14" s="21">
        <v>28</v>
      </c>
      <c r="FH14" s="21">
        <v>32</v>
      </c>
      <c r="FI14" s="21">
        <v>36</v>
      </c>
      <c r="FJ14" s="21">
        <v>40</v>
      </c>
      <c r="FK14" s="21">
        <v>44</v>
      </c>
      <c r="FL14" s="21">
        <v>48</v>
      </c>
      <c r="FM14" s="21">
        <v>52</v>
      </c>
      <c r="FN14" s="21"/>
      <c r="FO14" s="21" t="s">
        <v>137</v>
      </c>
      <c r="FP14" s="21">
        <v>0</v>
      </c>
      <c r="FQ14" s="21">
        <v>8</v>
      </c>
      <c r="FR14" s="21">
        <v>12</v>
      </c>
      <c r="FS14" s="21">
        <v>16</v>
      </c>
      <c r="FT14" s="21">
        <v>20</v>
      </c>
      <c r="FU14" s="21">
        <v>24</v>
      </c>
      <c r="FV14" s="21">
        <v>28</v>
      </c>
      <c r="FW14" s="21">
        <v>32</v>
      </c>
      <c r="FX14" s="21">
        <v>36</v>
      </c>
      <c r="FY14" s="21">
        <v>40</v>
      </c>
      <c r="FZ14" s="21">
        <v>44</v>
      </c>
      <c r="GA14" s="21">
        <v>48</v>
      </c>
      <c r="GB14" s="21">
        <v>52</v>
      </c>
      <c r="GC14" s="21"/>
      <c r="GD14" s="21" t="s">
        <v>479</v>
      </c>
      <c r="GE14" s="21">
        <v>0</v>
      </c>
      <c r="GF14" s="21">
        <v>8</v>
      </c>
      <c r="GG14" s="21">
        <v>12</v>
      </c>
      <c r="GH14" s="21">
        <v>16</v>
      </c>
      <c r="GI14" s="21">
        <v>20</v>
      </c>
      <c r="GJ14" s="21">
        <v>24</v>
      </c>
      <c r="GK14" s="21">
        <v>28</v>
      </c>
      <c r="GL14" s="21">
        <v>32</v>
      </c>
      <c r="GM14" s="21">
        <v>36</v>
      </c>
      <c r="GN14" s="21">
        <v>40</v>
      </c>
      <c r="GO14" s="21">
        <v>44</v>
      </c>
      <c r="GP14" s="21">
        <v>48</v>
      </c>
      <c r="GQ14" s="21">
        <v>52</v>
      </c>
      <c r="GR14" s="21"/>
      <c r="GS14" s="21"/>
      <c r="GT14" s="21"/>
      <c r="GU14" s="21"/>
      <c r="GV14" s="21"/>
      <c r="GW14" s="21"/>
      <c r="GX14" s="21"/>
      <c r="GY14" s="21"/>
      <c r="GZ14" s="21"/>
      <c r="HA14" s="21"/>
      <c r="HB14" s="21"/>
      <c r="HC14" s="21"/>
      <c r="HD14" s="21"/>
      <c r="HE14" s="21"/>
      <c r="HF14" s="21"/>
      <c r="HG14" s="198"/>
      <c r="HH14" s="21"/>
    </row>
    <row r="15" spans="1:216" x14ac:dyDescent="0.25">
      <c r="A15" s="8"/>
      <c r="B15" s="5" t="s">
        <v>116</v>
      </c>
      <c r="C15" s="8"/>
      <c r="D15" s="40" t="s">
        <v>795</v>
      </c>
      <c r="E15" s="9"/>
      <c r="F15" s="9"/>
      <c r="G15" s="9"/>
      <c r="H15" s="9"/>
      <c r="I15" s="9"/>
      <c r="J15" s="9"/>
      <c r="K15" s="9"/>
      <c r="L15" s="6" t="s">
        <v>522</v>
      </c>
      <c r="M15" s="11">
        <f>INDEX(cennik!$C$2:$L$529,MATCH($L15,cennik!$B$2:$B$522,0),MATCH(M$2,cennik!$C$1:$L$1,0))</f>
        <v>867644</v>
      </c>
      <c r="N15" s="11" t="str">
        <f>INDEX(cennik!$C$2:$L$529,MATCH($L15,cennik!$B$2:$B$522,0),MATCH(N$2,cennik!$C$1:$L$1,0))</f>
        <v>szt.</v>
      </c>
      <c r="O15" s="11">
        <f>SUM(Y4:Y19)</f>
        <v>0</v>
      </c>
      <c r="P15" s="34">
        <f>INDEX(cennik!$C$2:$L$529,MATCH($L15,cennik!$B$2:$B$522,0),MATCH(P$2,cennik!$C$1:$L$1,0))</f>
        <v>176.8</v>
      </c>
      <c r="Q15" s="34">
        <f t="shared" si="10"/>
        <v>0</v>
      </c>
      <c r="R15" s="35">
        <f t="shared" si="1"/>
        <v>0</v>
      </c>
      <c r="S15" s="34">
        <f t="shared" ref="S15:S23" si="37">P15*((100-$E$7)/100)</f>
        <v>176.8</v>
      </c>
      <c r="T15" s="34">
        <f t="shared" si="11"/>
        <v>0</v>
      </c>
      <c r="U15" s="34">
        <f>INDEX(cennik!$C$2:$L$529,MATCH($L15,cennik!$B$2:$B$522,0),MATCH(U$2,cennik!$C$1:$L$1,0))*O15</f>
        <v>0</v>
      </c>
      <c r="V15" s="25"/>
      <c r="W15" s="21">
        <f>INDEX(($EL$3:$EX$6,$EL$9:$EX$12,$EL$15:$EX$18,$FA$3:$FM$6,$FA$9:$FM$12,$FA$15:$FM$18,$FP$3:$GB$6,$FP$9:$GB$12,$FP$15:$GB$18,$GE$3:$GQ$6,$GE$9:$GQ$12,$GE$15:$GQ$18,$GT$3:$HF$6,$GT$9:$HF$12),MATCH($L$17,$EK$3:$EK$6,0),MATCH($A13,$EL$2:$EX$2,0),MATCH($E$3,$AE$33:$AE$48,0))*$C13</f>
        <v>0</v>
      </c>
      <c r="X15" s="21">
        <f>INDEX(($EL$3:$EX$6,$EL$9:$EX$12,$EL$15:$EX$18,$FA$3:$FM$6,$FA$9:$FM$12,$FA$15:$FM$18,$FP$3:$GB$6,$FP$9:$GB$12,$FP$15:$GB$18,$GE$3:$GQ$6,$GE$9:$GQ$12,$GE$15:$GQ$18,$GT$3:$HF$6,$GT$9:$HF$12),MATCH($L$14,$EK$3:$EK$6,0),MATCH($A13,$EL$2:$EX$2,0),MATCH($E$3,$AE$33:$AE$48,0))*$C13</f>
        <v>0</v>
      </c>
      <c r="Y15" s="21">
        <f>INDEX(($EL$3:$EX$6,$EL$9:$EX$12,$EL$15:$EX$18,$FA$3:$FM$6,$FA$9:$FM$12,$FA$15:$FM$18,$FP$3:$GB$6,$FP$9:$GB$12,$FP$15:$GB$18,$GE$3:$GQ$6,$GE$9:$GQ$12,$GE$15:$GQ$18,$GT$3:$HF$6,$GT$9:$HF$12),MATCH($L$15,$EK$3:$EK$6,0),MATCH($A13,$EL$2:$EX$2,0),MATCH($E$3,$AE$33:$AE$48,0))*$C13</f>
        <v>0</v>
      </c>
      <c r="Z15" s="21">
        <f>INDEX(($EL$3:$EX$6,$EL$9:$EX$12,$EL$15:$EX$18,$FA$3:$FM$6,$FA$9:$FM$12,$FA$15:$FM$18,$FP$3:$GB$6,$FP$9:$GB$12,$FP$15:$GB$18,$GE$3:$GQ$6,$GE$9:$GQ$12,$GE$15:$GQ$18,$GT$3:$HF$6,$GT$9:$HF$12),MATCH($L$16,$EK$3:$EK$6,0),MATCH($A13,$EL$2:$EX$2,0),MATCH($E$3,$AE$33:$AE$48,0))*$C13</f>
        <v>0</v>
      </c>
      <c r="AA15" s="21">
        <f t="shared" si="0"/>
        <v>0</v>
      </c>
      <c r="AB15" s="21">
        <f t="shared" si="2"/>
        <v>0</v>
      </c>
      <c r="AC15" s="21"/>
      <c r="AD15" s="21"/>
      <c r="AE15" s="21"/>
      <c r="AF15" s="21"/>
      <c r="AG15" s="21"/>
      <c r="AH15" s="21"/>
      <c r="AI15" s="21"/>
      <c r="AJ15" s="21"/>
      <c r="AK15" s="21"/>
      <c r="AL15" s="21"/>
      <c r="AM15" s="21"/>
      <c r="AN15" s="21"/>
      <c r="AO15" s="21"/>
      <c r="AP15" s="21"/>
      <c r="AQ15" s="21"/>
      <c r="AR15" s="25" t="s">
        <v>474</v>
      </c>
      <c r="AS15" s="21" t="s">
        <v>596</v>
      </c>
      <c r="AT15" s="25" t="s">
        <v>595</v>
      </c>
      <c r="AU15" s="21" t="s">
        <v>594</v>
      </c>
      <c r="AV15" s="21" t="s">
        <v>594</v>
      </c>
      <c r="AW15" s="21"/>
      <c r="AX15" s="21"/>
      <c r="AY15" s="21"/>
      <c r="AZ15" s="21"/>
      <c r="BA15" s="21"/>
      <c r="BB15" s="180" t="s">
        <v>474</v>
      </c>
      <c r="BC15" s="180" t="s">
        <v>151</v>
      </c>
      <c r="BD15" s="180" t="s">
        <v>151</v>
      </c>
      <c r="BE15" s="180" t="s">
        <v>151</v>
      </c>
      <c r="BF15" s="180" t="s">
        <v>151</v>
      </c>
      <c r="BG15" s="189">
        <f t="shared" si="3"/>
        <v>1</v>
      </c>
      <c r="BH15" s="21" t="s">
        <v>217</v>
      </c>
      <c r="BI15" s="21">
        <v>0</v>
      </c>
      <c r="BJ15" s="21">
        <v>0</v>
      </c>
      <c r="BK15" s="21">
        <v>5</v>
      </c>
      <c r="BL15" s="21">
        <v>5</v>
      </c>
      <c r="BM15" s="21">
        <v>0</v>
      </c>
      <c r="BN15" s="21">
        <v>5</v>
      </c>
      <c r="BO15" s="21">
        <v>0</v>
      </c>
      <c r="BP15" s="21">
        <v>5</v>
      </c>
      <c r="BQ15" s="21">
        <v>5</v>
      </c>
      <c r="BR15" s="21">
        <v>10</v>
      </c>
      <c r="BS15" s="21">
        <v>15</v>
      </c>
      <c r="BT15" s="21">
        <v>10</v>
      </c>
      <c r="BU15" s="21">
        <v>15</v>
      </c>
      <c r="BV15" s="21"/>
      <c r="BW15" s="21" t="s">
        <v>217</v>
      </c>
      <c r="BX15" s="21">
        <v>0</v>
      </c>
      <c r="BY15" s="21">
        <v>0</v>
      </c>
      <c r="BZ15" s="21">
        <v>5</v>
      </c>
      <c r="CA15" s="21">
        <v>0</v>
      </c>
      <c r="CB15" s="21">
        <v>5</v>
      </c>
      <c r="CC15" s="21">
        <v>0</v>
      </c>
      <c r="CD15" s="21">
        <v>10</v>
      </c>
      <c r="CE15" s="21">
        <v>5</v>
      </c>
      <c r="CF15" s="21">
        <v>10</v>
      </c>
      <c r="CG15" s="21">
        <v>5</v>
      </c>
      <c r="CH15" s="21">
        <v>10</v>
      </c>
      <c r="CI15" s="21">
        <v>15</v>
      </c>
      <c r="CJ15" s="21">
        <v>10</v>
      </c>
      <c r="CK15" s="21"/>
      <c r="CL15" s="21"/>
      <c r="CM15" s="21"/>
      <c r="CN15" s="21" t="s">
        <v>217</v>
      </c>
      <c r="CO15" s="21">
        <v>0</v>
      </c>
      <c r="CP15" s="21">
        <v>0</v>
      </c>
      <c r="CQ15" s="21">
        <v>5</v>
      </c>
      <c r="CR15" s="21">
        <v>0</v>
      </c>
      <c r="CS15" s="21">
        <v>5</v>
      </c>
      <c r="CT15" s="21">
        <v>0</v>
      </c>
      <c r="CU15" s="21">
        <v>5</v>
      </c>
      <c r="CV15" s="21">
        <v>10</v>
      </c>
      <c r="CW15" s="21">
        <v>5</v>
      </c>
      <c r="CX15" s="21">
        <v>10</v>
      </c>
      <c r="CY15" s="21">
        <v>15</v>
      </c>
      <c r="CZ15" s="21">
        <v>15</v>
      </c>
      <c r="DA15" s="21">
        <v>20</v>
      </c>
      <c r="DB15" s="21"/>
      <c r="DC15" s="21" t="s">
        <v>217</v>
      </c>
      <c r="DD15" s="21">
        <v>0</v>
      </c>
      <c r="DE15" s="21">
        <v>0</v>
      </c>
      <c r="DF15" s="21">
        <v>5</v>
      </c>
      <c r="DG15" s="21">
        <v>0</v>
      </c>
      <c r="DH15" s="21">
        <v>0</v>
      </c>
      <c r="DI15" s="21">
        <v>10</v>
      </c>
      <c r="DJ15" s="21">
        <v>5</v>
      </c>
      <c r="DK15" s="21">
        <v>10</v>
      </c>
      <c r="DL15" s="21">
        <v>10</v>
      </c>
      <c r="DM15" s="21">
        <v>10</v>
      </c>
      <c r="DN15" s="21">
        <v>15</v>
      </c>
      <c r="DO15" s="21">
        <v>20</v>
      </c>
      <c r="DP15" s="21">
        <v>20</v>
      </c>
      <c r="DQ15" s="87"/>
      <c r="DR15" s="87"/>
      <c r="DS15" s="87" t="s">
        <v>1157</v>
      </c>
      <c r="DU15" s="21"/>
      <c r="DV15" s="21"/>
      <c r="DW15" s="21"/>
      <c r="DX15" s="21"/>
      <c r="DY15" s="21"/>
      <c r="DZ15" s="21"/>
      <c r="EA15" s="21"/>
      <c r="EB15" s="21"/>
      <c r="EC15" s="21"/>
      <c r="ED15" s="21"/>
      <c r="EE15" s="21"/>
      <c r="EF15" s="21"/>
      <c r="EG15" s="21"/>
      <c r="EH15" s="21"/>
      <c r="EI15" s="21"/>
      <c r="EJ15" s="196"/>
      <c r="EK15" s="21" t="s">
        <v>586</v>
      </c>
      <c r="EL15" s="21">
        <v>0</v>
      </c>
      <c r="EM15" s="21">
        <v>0</v>
      </c>
      <c r="EN15" s="180">
        <v>5</v>
      </c>
      <c r="EO15" s="180">
        <v>5</v>
      </c>
      <c r="EP15" s="180">
        <v>0</v>
      </c>
      <c r="EQ15" s="180">
        <v>0</v>
      </c>
      <c r="ER15" s="180">
        <v>0</v>
      </c>
      <c r="ES15" s="180">
        <v>0</v>
      </c>
      <c r="ET15" s="180">
        <v>0</v>
      </c>
      <c r="EU15" s="180">
        <v>0</v>
      </c>
      <c r="EV15" s="180">
        <v>0</v>
      </c>
      <c r="EW15" s="180">
        <v>0</v>
      </c>
      <c r="EX15" s="180">
        <v>0</v>
      </c>
      <c r="EZ15" s="180" t="s">
        <v>586</v>
      </c>
      <c r="FA15" s="21">
        <v>0</v>
      </c>
      <c r="FB15" s="21">
        <v>0</v>
      </c>
      <c r="FC15" s="180">
        <v>5</v>
      </c>
      <c r="FD15" s="180">
        <v>0</v>
      </c>
      <c r="FE15" s="180">
        <v>0</v>
      </c>
      <c r="FF15" s="180">
        <v>0</v>
      </c>
      <c r="FG15" s="180">
        <v>0</v>
      </c>
      <c r="FH15" s="180">
        <v>0</v>
      </c>
      <c r="FI15" s="180">
        <v>0</v>
      </c>
      <c r="FJ15" s="180">
        <v>0</v>
      </c>
      <c r="FK15" s="180">
        <v>0</v>
      </c>
      <c r="FL15" s="180">
        <v>0</v>
      </c>
      <c r="FM15" s="180">
        <v>0</v>
      </c>
      <c r="FO15" s="180" t="s">
        <v>586</v>
      </c>
      <c r="FP15" s="21">
        <v>0</v>
      </c>
      <c r="FQ15" s="21">
        <v>0</v>
      </c>
      <c r="FR15" s="180">
        <v>5</v>
      </c>
      <c r="FS15" s="180">
        <v>0</v>
      </c>
      <c r="FT15" s="180">
        <v>0</v>
      </c>
      <c r="FU15" s="180">
        <v>0</v>
      </c>
      <c r="FV15" s="180">
        <v>0</v>
      </c>
      <c r="FW15" s="180">
        <v>0</v>
      </c>
      <c r="FX15" s="180">
        <v>0</v>
      </c>
      <c r="FY15" s="180">
        <v>0</v>
      </c>
      <c r="FZ15" s="180">
        <v>0</v>
      </c>
      <c r="GA15" s="180">
        <v>0</v>
      </c>
      <c r="GB15" s="180">
        <v>0</v>
      </c>
      <c r="GD15" s="180" t="s">
        <v>586</v>
      </c>
      <c r="GE15" s="21">
        <v>0</v>
      </c>
      <c r="GF15" s="21">
        <v>0</v>
      </c>
      <c r="GG15" s="180">
        <v>5</v>
      </c>
      <c r="GH15" s="180">
        <v>0</v>
      </c>
      <c r="GI15" s="180">
        <v>0</v>
      </c>
      <c r="GJ15" s="180">
        <v>0</v>
      </c>
      <c r="GK15" s="180">
        <v>0</v>
      </c>
      <c r="GL15" s="180">
        <v>0</v>
      </c>
      <c r="GM15" s="180">
        <v>0</v>
      </c>
      <c r="GN15" s="180">
        <v>0</v>
      </c>
      <c r="GO15" s="180">
        <v>0</v>
      </c>
      <c r="GP15" s="180">
        <v>0</v>
      </c>
      <c r="GQ15" s="180">
        <v>0</v>
      </c>
      <c r="GR15" s="21"/>
      <c r="GS15" s="21"/>
      <c r="GT15" s="21"/>
      <c r="GU15" s="21"/>
      <c r="GV15" s="21"/>
      <c r="GW15" s="21"/>
      <c r="GX15" s="21"/>
      <c r="GY15" s="21"/>
      <c r="GZ15" s="21"/>
      <c r="HA15" s="21"/>
      <c r="HB15" s="21"/>
      <c r="HC15" s="21"/>
      <c r="HD15" s="21"/>
      <c r="HE15" s="21"/>
      <c r="HF15" s="21"/>
      <c r="HG15" s="198"/>
      <c r="HH15" s="21"/>
    </row>
    <row r="16" spans="1:216" x14ac:dyDescent="0.25">
      <c r="A16" s="8"/>
      <c r="B16" s="5" t="s">
        <v>116</v>
      </c>
      <c r="C16" s="8"/>
      <c r="D16" s="40" t="s">
        <v>796</v>
      </c>
      <c r="E16" s="9"/>
      <c r="F16" s="9"/>
      <c r="G16" s="9"/>
      <c r="H16" s="9"/>
      <c r="I16" s="9"/>
      <c r="J16" s="9"/>
      <c r="K16" s="9"/>
      <c r="L16" s="6" t="s">
        <v>523</v>
      </c>
      <c r="M16" s="11">
        <f>INDEX(cennik!$C$2:$L$529,MATCH($L16,cennik!$B$2:$B$522,0),MATCH(M$2,cennik!$C$1:$L$1,0))</f>
        <v>867633</v>
      </c>
      <c r="N16" s="11" t="str">
        <f>INDEX(cennik!$C$2:$L$529,MATCH($L16,cennik!$B$2:$B$522,0),MATCH(N$2,cennik!$C$1:$L$1,0))</f>
        <v>szt.</v>
      </c>
      <c r="O16" s="11">
        <f>SUM(Z4:Z19)</f>
        <v>0</v>
      </c>
      <c r="P16" s="34">
        <f>INDEX(cennik!$C$2:$L$529,MATCH($L16,cennik!$B$2:$B$522,0),MATCH(P$2,cennik!$C$1:$L$1,0))</f>
        <v>132.6</v>
      </c>
      <c r="Q16" s="34">
        <f t="shared" si="10"/>
        <v>0</v>
      </c>
      <c r="R16" s="35">
        <f t="shared" si="1"/>
        <v>0</v>
      </c>
      <c r="S16" s="34">
        <f t="shared" si="37"/>
        <v>132.6</v>
      </c>
      <c r="T16" s="34">
        <f t="shared" si="11"/>
        <v>0</v>
      </c>
      <c r="U16" s="34">
        <f>INDEX(cennik!$C$2:$L$529,MATCH($L16,cennik!$B$2:$B$522,0),MATCH(U$2,cennik!$C$1:$L$1,0))*O16</f>
        <v>0</v>
      </c>
      <c r="V16" s="25"/>
      <c r="W16" s="21">
        <f>INDEX(($EL$3:$EX$6,$EL$9:$EX$12,$EL$15:$EX$18,$FA$3:$FM$6,$FA$9:$FM$12,$FA$15:$FM$18,$FP$3:$GB$6,$FP$9:$GB$12,$FP$15:$GB$18,$GE$3:$GQ$6,$GE$9:$GQ$12,$GE$15:$GQ$18,$GT$3:$HF$6,$GT$9:$HF$12),MATCH($L$17,$EK$3:$EK$6,0),MATCH($A14,$EL$2:$EX$2,0),MATCH($E$3,$AE$33:$AE$48,0))*$C14</f>
        <v>0</v>
      </c>
      <c r="X16" s="21">
        <f>INDEX(($EL$3:$EX$6,$EL$9:$EX$12,$EL$15:$EX$18,$FA$3:$FM$6,$FA$9:$FM$12,$FA$15:$FM$18,$FP$3:$GB$6,$FP$9:$GB$12,$FP$15:$GB$18,$GE$3:$GQ$6,$GE$9:$GQ$12,$GE$15:$GQ$18,$GT$3:$HF$6,$GT$9:$HF$12),MATCH($L$14,$EK$3:$EK$6,0),MATCH($A14,$EL$2:$EX$2,0),MATCH($E$3,$AE$33:$AE$48,0))*$C14</f>
        <v>0</v>
      </c>
      <c r="Y16" s="21">
        <f>INDEX(($EL$3:$EX$6,$EL$9:$EX$12,$EL$15:$EX$18,$FA$3:$FM$6,$FA$9:$FM$12,$FA$15:$FM$18,$FP$3:$GB$6,$FP$9:$GB$12,$FP$15:$GB$18,$GE$3:$GQ$6,$GE$9:$GQ$12,$GE$15:$GQ$18,$GT$3:$HF$6,$GT$9:$HF$12),MATCH($L$15,$EK$3:$EK$6,0),MATCH($A14,$EL$2:$EX$2,0),MATCH($E$3,$AE$33:$AE$48,0))*$C14</f>
        <v>0</v>
      </c>
      <c r="Z16" s="21">
        <f>INDEX(($EL$3:$EX$6,$EL$9:$EX$12,$EL$15:$EX$18,$FA$3:$FM$6,$FA$9:$FM$12,$FA$15:$FM$18,$FP$3:$GB$6,$FP$9:$GB$12,$FP$15:$GB$18,$GE$3:$GQ$6,$GE$9:$GQ$12,$GE$15:$GQ$18,$GT$3:$HF$6,$GT$9:$HF$12),MATCH($L$16,$EK$3:$EK$6,0),MATCH($A14,$EL$2:$EX$2,0),MATCH($E$3,$AE$33:$AE$48,0))*$C14</f>
        <v>0</v>
      </c>
      <c r="AA16" s="21">
        <f t="shared" si="0"/>
        <v>0</v>
      </c>
      <c r="AB16" s="21">
        <f t="shared" si="2"/>
        <v>0</v>
      </c>
      <c r="AC16" s="21"/>
      <c r="AD16" s="21">
        <f>((A2/4)*(INDEX($AF$24:$AF$42,MATCH($E$3,$AE$24:$AE$42),1,1)))+((A2-1)*20)</f>
        <v>-20</v>
      </c>
      <c r="AE16" s="21">
        <f>INT((((A2/4)*(INDEX($AF$24:$AF$42,MATCH($E$3,$AE$24:$AE$42),1,1)))+((A2-1)*20))/2900)</f>
        <v>-1</v>
      </c>
      <c r="AF16" s="21"/>
      <c r="AG16" s="21"/>
      <c r="AH16" s="21"/>
      <c r="AI16" s="21"/>
      <c r="AJ16" s="21"/>
      <c r="AK16" s="21"/>
      <c r="AL16" s="21"/>
      <c r="AM16" s="21"/>
      <c r="AN16" s="21"/>
      <c r="AO16" s="21"/>
      <c r="AP16" s="21"/>
      <c r="AQ16" s="21"/>
      <c r="AR16" s="25" t="s">
        <v>480</v>
      </c>
      <c r="AS16" s="25" t="s">
        <v>594</v>
      </c>
      <c r="AT16" s="25" t="s">
        <v>596</v>
      </c>
      <c r="AU16" s="21" t="s">
        <v>594</v>
      </c>
      <c r="AV16" s="21" t="s">
        <v>594</v>
      </c>
      <c r="AW16" s="21"/>
      <c r="AX16" s="21"/>
      <c r="AY16" s="21"/>
      <c r="AZ16" s="21"/>
      <c r="BA16" s="21"/>
      <c r="BB16" s="180" t="s">
        <v>480</v>
      </c>
      <c r="BC16" s="180" t="s">
        <v>592</v>
      </c>
      <c r="BD16" s="180" t="s">
        <v>151</v>
      </c>
      <c r="BE16" s="180" t="s">
        <v>151</v>
      </c>
      <c r="BF16" s="180" t="s">
        <v>151</v>
      </c>
      <c r="BG16" s="189">
        <f t="shared" si="3"/>
        <v>1</v>
      </c>
      <c r="BH16" s="21" t="s">
        <v>216</v>
      </c>
      <c r="BI16" s="21">
        <v>0</v>
      </c>
      <c r="BJ16" s="21">
        <v>0</v>
      </c>
      <c r="BK16" s="21">
        <v>0</v>
      </c>
      <c r="BL16" s="21">
        <v>0</v>
      </c>
      <c r="BM16" s="21">
        <v>10</v>
      </c>
      <c r="BN16" s="21">
        <v>0</v>
      </c>
      <c r="BO16" s="21">
        <v>10</v>
      </c>
      <c r="BP16" s="21">
        <v>10</v>
      </c>
      <c r="BQ16" s="21">
        <v>10</v>
      </c>
      <c r="BR16" s="21">
        <v>5</v>
      </c>
      <c r="BS16" s="21">
        <v>0</v>
      </c>
      <c r="BT16" s="21">
        <v>5</v>
      </c>
      <c r="BU16" s="21">
        <v>5</v>
      </c>
      <c r="BV16" s="21"/>
      <c r="BW16" s="21" t="s">
        <v>216</v>
      </c>
      <c r="BX16" s="21">
        <v>0</v>
      </c>
      <c r="BY16" s="21">
        <v>0</v>
      </c>
      <c r="BZ16" s="21">
        <v>0</v>
      </c>
      <c r="CA16" s="21">
        <v>5</v>
      </c>
      <c r="CB16" s="21">
        <v>0</v>
      </c>
      <c r="CC16" s="21">
        <v>10</v>
      </c>
      <c r="CD16" s="21">
        <v>0</v>
      </c>
      <c r="CE16" s="21">
        <v>10</v>
      </c>
      <c r="CF16" s="21">
        <v>5</v>
      </c>
      <c r="CG16" s="21">
        <v>10</v>
      </c>
      <c r="CH16" s="21">
        <v>5</v>
      </c>
      <c r="CI16" s="21">
        <v>5</v>
      </c>
      <c r="CJ16" s="21">
        <v>10</v>
      </c>
      <c r="CK16" s="21"/>
      <c r="CL16" s="21"/>
      <c r="CM16" s="21"/>
      <c r="CN16" s="21" t="s">
        <v>216</v>
      </c>
      <c r="CO16" s="21">
        <v>0</v>
      </c>
      <c r="CP16" s="21">
        <v>5</v>
      </c>
      <c r="CQ16" s="21">
        <v>0</v>
      </c>
      <c r="CR16" s="21">
        <v>10</v>
      </c>
      <c r="CS16" s="21">
        <v>0</v>
      </c>
      <c r="CT16" s="21">
        <v>10</v>
      </c>
      <c r="CU16" s="21">
        <v>10</v>
      </c>
      <c r="CV16" s="21">
        <v>0</v>
      </c>
      <c r="CW16" s="21">
        <v>10</v>
      </c>
      <c r="CX16" s="21">
        <v>5</v>
      </c>
      <c r="CY16" s="21">
        <v>0</v>
      </c>
      <c r="CZ16" s="21">
        <v>5</v>
      </c>
      <c r="DA16" s="21">
        <v>0</v>
      </c>
      <c r="DB16" s="21"/>
      <c r="DC16" s="21" t="s">
        <v>216</v>
      </c>
      <c r="DD16" s="21">
        <v>0</v>
      </c>
      <c r="DE16" s="21">
        <v>5</v>
      </c>
      <c r="DF16" s="21">
        <v>0</v>
      </c>
      <c r="DG16" s="21">
        <v>10</v>
      </c>
      <c r="DH16" s="21">
        <v>10</v>
      </c>
      <c r="DI16" s="21">
        <v>0</v>
      </c>
      <c r="DJ16" s="21">
        <v>10</v>
      </c>
      <c r="DK16" s="21">
        <v>5</v>
      </c>
      <c r="DL16" s="21">
        <v>5</v>
      </c>
      <c r="DM16" s="21">
        <v>10</v>
      </c>
      <c r="DN16" s="21">
        <v>5</v>
      </c>
      <c r="DO16" s="21">
        <v>0</v>
      </c>
      <c r="DP16" s="21">
        <v>0</v>
      </c>
      <c r="DQ16" s="87"/>
      <c r="DR16" s="87"/>
      <c r="DS16" s="87">
        <v>2</v>
      </c>
      <c r="DU16" s="21"/>
      <c r="DV16" s="21"/>
      <c r="DW16" s="21"/>
      <c r="DX16" s="21"/>
      <c r="DY16" s="21"/>
      <c r="DZ16" s="21"/>
      <c r="EA16" s="21"/>
      <c r="EB16" s="21"/>
      <c r="EC16" s="21"/>
      <c r="ED16" s="21"/>
      <c r="EE16" s="21"/>
      <c r="EF16" s="21"/>
      <c r="EG16" s="21"/>
      <c r="EH16" s="21"/>
      <c r="EI16" s="21"/>
      <c r="EJ16" s="196"/>
      <c r="EK16" s="21" t="s">
        <v>522</v>
      </c>
      <c r="EL16" s="21">
        <v>0</v>
      </c>
      <c r="EM16" s="21">
        <f>BJ16</f>
        <v>0</v>
      </c>
      <c r="EN16" s="21">
        <v>0</v>
      </c>
      <c r="EO16" s="21">
        <v>0</v>
      </c>
      <c r="EP16" s="21">
        <f t="shared" ref="EP16:EX16" si="38">BM16</f>
        <v>10</v>
      </c>
      <c r="EQ16" s="21">
        <f t="shared" si="38"/>
        <v>0</v>
      </c>
      <c r="ER16" s="21">
        <f t="shared" si="38"/>
        <v>10</v>
      </c>
      <c r="ES16" s="21">
        <f t="shared" si="38"/>
        <v>10</v>
      </c>
      <c r="ET16" s="21">
        <f t="shared" si="38"/>
        <v>10</v>
      </c>
      <c r="EU16" s="21">
        <f t="shared" si="38"/>
        <v>5</v>
      </c>
      <c r="EV16" s="21">
        <f t="shared" si="38"/>
        <v>0</v>
      </c>
      <c r="EW16" s="21">
        <f t="shared" si="38"/>
        <v>5</v>
      </c>
      <c r="EX16" s="21">
        <f t="shared" si="38"/>
        <v>5</v>
      </c>
      <c r="EY16" s="21"/>
      <c r="EZ16" s="21" t="s">
        <v>522</v>
      </c>
      <c r="FA16" s="21">
        <v>0</v>
      </c>
      <c r="FB16" s="21">
        <f>BY16</f>
        <v>0</v>
      </c>
      <c r="FC16" s="21">
        <v>0</v>
      </c>
      <c r="FD16" s="21">
        <f t="shared" ref="FD16:FM16" si="39">CA16</f>
        <v>5</v>
      </c>
      <c r="FE16" s="21">
        <f t="shared" si="39"/>
        <v>0</v>
      </c>
      <c r="FF16" s="21">
        <f t="shared" si="39"/>
        <v>10</v>
      </c>
      <c r="FG16" s="21">
        <f t="shared" si="39"/>
        <v>0</v>
      </c>
      <c r="FH16" s="21">
        <f t="shared" si="39"/>
        <v>10</v>
      </c>
      <c r="FI16" s="21">
        <f t="shared" si="39"/>
        <v>5</v>
      </c>
      <c r="FJ16" s="21">
        <f t="shared" si="39"/>
        <v>10</v>
      </c>
      <c r="FK16" s="21">
        <f t="shared" si="39"/>
        <v>5</v>
      </c>
      <c r="FL16" s="21">
        <f t="shared" si="39"/>
        <v>5</v>
      </c>
      <c r="FM16" s="21">
        <f t="shared" si="39"/>
        <v>10</v>
      </c>
      <c r="FN16" s="21"/>
      <c r="FO16" s="21" t="s">
        <v>522</v>
      </c>
      <c r="FP16" s="21">
        <v>0</v>
      </c>
      <c r="FQ16" s="21">
        <f>CP16</f>
        <v>5</v>
      </c>
      <c r="FR16" s="21">
        <v>0</v>
      </c>
      <c r="FS16" s="21">
        <f t="shared" ref="FS16:GB16" si="40">CR16</f>
        <v>10</v>
      </c>
      <c r="FT16" s="21">
        <f t="shared" si="40"/>
        <v>0</v>
      </c>
      <c r="FU16" s="21">
        <f t="shared" si="40"/>
        <v>10</v>
      </c>
      <c r="FV16" s="21">
        <f t="shared" si="40"/>
        <v>10</v>
      </c>
      <c r="FW16" s="21">
        <f t="shared" si="40"/>
        <v>0</v>
      </c>
      <c r="FX16" s="21">
        <f t="shared" si="40"/>
        <v>10</v>
      </c>
      <c r="FY16" s="21">
        <f t="shared" si="40"/>
        <v>5</v>
      </c>
      <c r="FZ16" s="21">
        <f t="shared" si="40"/>
        <v>0</v>
      </c>
      <c r="GA16" s="21">
        <f t="shared" si="40"/>
        <v>5</v>
      </c>
      <c r="GB16" s="21">
        <f t="shared" si="40"/>
        <v>0</v>
      </c>
      <c r="GC16" s="21"/>
      <c r="GD16" s="21" t="s">
        <v>522</v>
      </c>
      <c r="GE16" s="21">
        <v>0</v>
      </c>
      <c r="GF16" s="21">
        <f>DE16</f>
        <v>5</v>
      </c>
      <c r="GG16" s="21">
        <v>0</v>
      </c>
      <c r="GH16" s="21">
        <f t="shared" ref="GH16:GQ16" si="41">DG16</f>
        <v>10</v>
      </c>
      <c r="GI16" s="21">
        <f t="shared" si="41"/>
        <v>10</v>
      </c>
      <c r="GJ16" s="21">
        <f t="shared" si="41"/>
        <v>0</v>
      </c>
      <c r="GK16" s="21">
        <f t="shared" si="41"/>
        <v>10</v>
      </c>
      <c r="GL16" s="21">
        <f t="shared" si="41"/>
        <v>5</v>
      </c>
      <c r="GM16" s="21">
        <f t="shared" si="41"/>
        <v>5</v>
      </c>
      <c r="GN16" s="21">
        <f t="shared" si="41"/>
        <v>10</v>
      </c>
      <c r="GO16" s="21">
        <f t="shared" si="41"/>
        <v>5</v>
      </c>
      <c r="GP16" s="21">
        <f t="shared" si="41"/>
        <v>0</v>
      </c>
      <c r="GQ16" s="21">
        <f t="shared" si="41"/>
        <v>0</v>
      </c>
      <c r="GR16" s="21"/>
      <c r="GS16" s="21"/>
      <c r="GT16" s="21"/>
      <c r="GU16" s="21"/>
      <c r="GV16" s="21"/>
      <c r="GW16" s="21"/>
      <c r="GX16" s="21"/>
      <c r="GY16" s="21"/>
      <c r="GZ16" s="21"/>
      <c r="HA16" s="21"/>
      <c r="HB16" s="21"/>
      <c r="HC16" s="21"/>
      <c r="HD16" s="21"/>
      <c r="HE16" s="21"/>
      <c r="HF16" s="21"/>
      <c r="HG16" s="198"/>
      <c r="HH16" s="21"/>
    </row>
    <row r="17" spans="1:216" x14ac:dyDescent="0.25">
      <c r="A17" s="8"/>
      <c r="B17" s="5" t="s">
        <v>116</v>
      </c>
      <c r="C17" s="8"/>
      <c r="D17" s="40" t="s">
        <v>797</v>
      </c>
      <c r="E17" s="9"/>
      <c r="F17" s="9"/>
      <c r="G17" s="9"/>
      <c r="H17" s="9"/>
      <c r="I17" s="9"/>
      <c r="J17" s="9"/>
      <c r="K17" s="9"/>
      <c r="L17" s="6" t="s">
        <v>779</v>
      </c>
      <c r="M17" s="11">
        <f>INDEX(cennik!$C$2:$L$529,MATCH($L17,cennik!$B$2:$B$522,0),MATCH(M$2,cennik!$C$1:$L$1,0))</f>
        <v>856105</v>
      </c>
      <c r="N17" s="11" t="str">
        <f>INDEX(cennik!$C$2:$L$529,MATCH($L17,cennik!$B$2:$B$522,0),MATCH(N$2,cennik!$C$1:$L$1,0))</f>
        <v>szt.</v>
      </c>
      <c r="O17" s="11">
        <f>SUM(W4:W19)</f>
        <v>0</v>
      </c>
      <c r="P17" s="34">
        <f>INDEX(cennik!$C$2:$L$529,MATCH($L17,cennik!$B$2:$B$522,0),MATCH(P$2,cennik!$C$1:$L$1,0))</f>
        <v>21.81</v>
      </c>
      <c r="Q17" s="34">
        <f t="shared" si="10"/>
        <v>0</v>
      </c>
      <c r="R17" s="35">
        <f t="shared" si="1"/>
        <v>0</v>
      </c>
      <c r="S17" s="34">
        <f t="shared" si="37"/>
        <v>21.81</v>
      </c>
      <c r="T17" s="34">
        <f t="shared" si="11"/>
        <v>0</v>
      </c>
      <c r="U17" s="34">
        <f>INDEX(cennik!$C$2:$L$529,MATCH($L17,cennik!$B$2:$B$522,0),MATCH(U$2,cennik!$C$1:$L$1,0))*O17</f>
        <v>0</v>
      </c>
      <c r="V17" s="25"/>
      <c r="W17" s="21">
        <f>INDEX(($EL$3:$EX$6,$EL$9:$EX$12,$EL$15:$EX$18,$FA$3:$FM$6,$FA$9:$FM$12,$FA$15:$FM$18,$FP$3:$GB$6,$FP$9:$GB$12,$FP$15:$GB$18,$GE$3:$GQ$6,$GE$9:$GQ$12,$GE$15:$GQ$18,$GT$3:$HF$6,$GT$9:$HF$12),MATCH($L$17,$EK$3:$EK$6,0),MATCH($A15,$EL$2:$EX$2,0),MATCH($E$3,$AE$33:$AE$48,0))*$C15</f>
        <v>0</v>
      </c>
      <c r="X17" s="21">
        <f>INDEX(($EL$3:$EX$6,$EL$9:$EX$12,$EL$15:$EX$18,$FA$3:$FM$6,$FA$9:$FM$12,$FA$15:$FM$18,$FP$3:$GB$6,$FP$9:$GB$12,$FP$15:$GB$18,$GE$3:$GQ$6,$GE$9:$GQ$12,$GE$15:$GQ$18,$GT$3:$HF$6,$GT$9:$HF$12),MATCH($L$14,$EK$3:$EK$6,0),MATCH($A15,$EL$2:$EX$2,0),MATCH($E$3,$AE$33:$AE$48,0))*$C15</f>
        <v>0</v>
      </c>
      <c r="Y17" s="21">
        <f>INDEX(($EL$3:$EX$6,$EL$9:$EX$12,$EL$15:$EX$18,$FA$3:$FM$6,$FA$9:$FM$12,$FA$15:$FM$18,$FP$3:$GB$6,$FP$9:$GB$12,$FP$15:$GB$18,$GE$3:$GQ$6,$GE$9:$GQ$12,$GE$15:$GQ$18,$GT$3:$HF$6,$GT$9:$HF$12),MATCH($L$15,$EK$3:$EK$6,0),MATCH($A15,$EL$2:$EX$2,0),MATCH($E$3,$AE$33:$AE$48,0))*$C15</f>
        <v>0</v>
      </c>
      <c r="Z17" s="21">
        <f>INDEX(($EL$3:$EX$6,$EL$9:$EX$12,$EL$15:$EX$18,$FA$3:$FM$6,$FA$9:$FM$12,$FA$15:$FM$18,$FP$3:$GB$6,$FP$9:$GB$12,$FP$15:$GB$18,$GE$3:$GQ$6,$GE$9:$GQ$12,$GE$15:$GQ$18,$GT$3:$HF$6,$GT$9:$HF$12),MATCH($L$16,$EK$3:$EK$6,0),MATCH($A15,$EL$2:$EX$2,0),MATCH($E$3,$AE$33:$AE$48,0))*$C15</f>
        <v>0</v>
      </c>
      <c r="AA17" s="21">
        <f t="shared" si="0"/>
        <v>0</v>
      </c>
      <c r="AB17" s="21">
        <f t="shared" si="2"/>
        <v>0</v>
      </c>
      <c r="AC17" s="202"/>
      <c r="AD17" s="21">
        <f>(INT((((A2/4)*(INDEX($AF$24:$AF$42,MATCH($E$3,$AE$24:$AE$42),1,1)))+((A2-1)*20))/2900))*2900</f>
        <v>-2900</v>
      </c>
      <c r="AE17" s="21"/>
      <c r="AF17" s="21"/>
      <c r="AG17" s="21"/>
      <c r="AH17" s="21"/>
      <c r="AI17" s="21"/>
      <c r="AJ17" s="21"/>
      <c r="AK17" s="21"/>
      <c r="AL17" s="21"/>
      <c r="AM17" s="21"/>
      <c r="AN17" s="21"/>
      <c r="AO17" s="21"/>
      <c r="AP17" s="21"/>
      <c r="AQ17" s="21"/>
      <c r="AR17" s="25" t="s">
        <v>713</v>
      </c>
      <c r="AS17" s="25" t="s">
        <v>594</v>
      </c>
      <c r="AT17" s="25" t="s">
        <v>596</v>
      </c>
      <c r="AU17" s="21" t="s">
        <v>594</v>
      </c>
      <c r="AV17" s="21" t="s">
        <v>594</v>
      </c>
      <c r="AW17" s="21"/>
      <c r="AX17" s="21"/>
      <c r="AY17" s="21"/>
      <c r="AZ17" s="21"/>
      <c r="BA17" s="21"/>
      <c r="BB17" s="180" t="s">
        <v>713</v>
      </c>
      <c r="BC17" s="180" t="s">
        <v>592</v>
      </c>
      <c r="BD17" s="180" t="s">
        <v>151</v>
      </c>
      <c r="BE17" s="180" t="s">
        <v>151</v>
      </c>
      <c r="BF17" s="180" t="s">
        <v>151</v>
      </c>
      <c r="BG17" s="189">
        <f t="shared" si="3"/>
        <v>1</v>
      </c>
      <c r="BH17" s="21" t="s">
        <v>17</v>
      </c>
      <c r="BI17" s="21">
        <v>0</v>
      </c>
      <c r="BJ17" s="21">
        <v>5</v>
      </c>
      <c r="BK17" s="21">
        <v>0</v>
      </c>
      <c r="BL17" s="21">
        <v>0</v>
      </c>
      <c r="BM17" s="21">
        <v>0</v>
      </c>
      <c r="BN17" s="21">
        <v>5</v>
      </c>
      <c r="BO17" s="21">
        <v>5</v>
      </c>
      <c r="BP17" s="21">
        <v>0</v>
      </c>
      <c r="BQ17" s="21">
        <v>0</v>
      </c>
      <c r="BR17" s="21">
        <v>0</v>
      </c>
      <c r="BS17" s="21">
        <v>0</v>
      </c>
      <c r="BT17" s="21">
        <v>5</v>
      </c>
      <c r="BU17" s="21">
        <v>0</v>
      </c>
      <c r="BV17" s="21"/>
      <c r="BW17" s="21" t="s">
        <v>17</v>
      </c>
      <c r="BX17" s="21">
        <v>0</v>
      </c>
      <c r="BY17" s="21">
        <v>5</v>
      </c>
      <c r="BZ17" s="21">
        <v>0</v>
      </c>
      <c r="CA17" s="21">
        <v>5</v>
      </c>
      <c r="CB17" s="21">
        <v>5</v>
      </c>
      <c r="CC17" s="21">
        <v>5</v>
      </c>
      <c r="CD17" s="21">
        <v>0</v>
      </c>
      <c r="CE17" s="21">
        <v>0</v>
      </c>
      <c r="CF17" s="21">
        <v>0</v>
      </c>
      <c r="CG17" s="21">
        <v>5</v>
      </c>
      <c r="CH17" s="21">
        <v>5</v>
      </c>
      <c r="CI17" s="21">
        <v>0</v>
      </c>
      <c r="CJ17" s="21">
        <v>5</v>
      </c>
      <c r="CK17" s="21"/>
      <c r="CL17" s="21"/>
      <c r="CM17" s="21"/>
      <c r="CN17" s="21" t="s">
        <v>17</v>
      </c>
      <c r="CO17" s="21">
        <v>0</v>
      </c>
      <c r="CP17" s="21">
        <v>0</v>
      </c>
      <c r="CQ17" s="21">
        <v>0</v>
      </c>
      <c r="CR17" s="21">
        <v>0</v>
      </c>
      <c r="CS17" s="21">
        <v>5</v>
      </c>
      <c r="CT17" s="21">
        <v>5</v>
      </c>
      <c r="CU17" s="21">
        <v>0</v>
      </c>
      <c r="CV17" s="21">
        <v>5</v>
      </c>
      <c r="CW17" s="21">
        <v>5</v>
      </c>
      <c r="CX17" s="21">
        <v>5</v>
      </c>
      <c r="CY17" s="21">
        <v>5</v>
      </c>
      <c r="CZ17" s="21">
        <v>0</v>
      </c>
      <c r="DA17" s="21">
        <v>0</v>
      </c>
      <c r="DB17" s="21"/>
      <c r="DC17" s="21" t="s">
        <v>17</v>
      </c>
      <c r="DD17" s="21">
        <v>0</v>
      </c>
      <c r="DE17" s="21">
        <v>0</v>
      </c>
      <c r="DF17" s="21">
        <v>0</v>
      </c>
      <c r="DG17" s="21">
        <v>0</v>
      </c>
      <c r="DH17" s="21">
        <v>5</v>
      </c>
      <c r="DI17" s="21">
        <v>0</v>
      </c>
      <c r="DJ17" s="21">
        <v>0</v>
      </c>
      <c r="DK17" s="21">
        <v>0</v>
      </c>
      <c r="DL17" s="21">
        <v>5</v>
      </c>
      <c r="DM17" s="21">
        <v>0</v>
      </c>
      <c r="DN17" s="21">
        <v>0</v>
      </c>
      <c r="DO17" s="21">
        <v>0</v>
      </c>
      <c r="DP17" s="21">
        <v>5</v>
      </c>
      <c r="DQ17" s="87"/>
      <c r="DR17" s="87"/>
      <c r="DS17" s="87" t="s">
        <v>1022</v>
      </c>
      <c r="DU17" s="21"/>
      <c r="DV17" s="21"/>
      <c r="DW17" s="21"/>
      <c r="DX17" s="21"/>
      <c r="DY17" s="21"/>
      <c r="DZ17" s="21"/>
      <c r="EA17" s="21"/>
      <c r="EB17" s="21"/>
      <c r="EC17" s="21"/>
      <c r="ED17" s="21"/>
      <c r="EE17" s="21"/>
      <c r="EF17" s="21"/>
      <c r="EG17" s="21"/>
      <c r="EH17" s="21"/>
      <c r="EI17" s="21"/>
      <c r="EJ17" s="196"/>
      <c r="EK17" s="21" t="s">
        <v>523</v>
      </c>
      <c r="EL17" s="21">
        <v>0</v>
      </c>
      <c r="EM17" s="21">
        <f>BJ17+(BJ15*2)</f>
        <v>5</v>
      </c>
      <c r="EN17" s="21">
        <v>0</v>
      </c>
      <c r="EO17" s="21">
        <v>0</v>
      </c>
      <c r="EP17" s="21">
        <f t="shared" ref="EP17:EX17" si="42">BM17+(BM15*2)</f>
        <v>0</v>
      </c>
      <c r="EQ17" s="21">
        <f t="shared" si="42"/>
        <v>15</v>
      </c>
      <c r="ER17" s="21">
        <f t="shared" si="42"/>
        <v>5</v>
      </c>
      <c r="ES17" s="21">
        <f t="shared" si="42"/>
        <v>10</v>
      </c>
      <c r="ET17" s="21">
        <f t="shared" si="42"/>
        <v>10</v>
      </c>
      <c r="EU17" s="21">
        <f t="shared" si="42"/>
        <v>20</v>
      </c>
      <c r="EV17" s="21">
        <f t="shared" si="42"/>
        <v>30</v>
      </c>
      <c r="EW17" s="21">
        <f t="shared" si="42"/>
        <v>25</v>
      </c>
      <c r="EX17" s="21">
        <f t="shared" si="42"/>
        <v>30</v>
      </c>
      <c r="EY17" s="21"/>
      <c r="EZ17" s="21" t="s">
        <v>523</v>
      </c>
      <c r="FA17" s="21">
        <v>0</v>
      </c>
      <c r="FB17" s="21">
        <f>BY17+(BY15*2)</f>
        <v>5</v>
      </c>
      <c r="FC17" s="21">
        <v>0</v>
      </c>
      <c r="FD17" s="21">
        <f t="shared" ref="FD17:FM17" si="43">CA17+(CA15*2)</f>
        <v>5</v>
      </c>
      <c r="FE17" s="21">
        <f t="shared" si="43"/>
        <v>15</v>
      </c>
      <c r="FF17" s="21">
        <f t="shared" si="43"/>
        <v>5</v>
      </c>
      <c r="FG17" s="21">
        <f t="shared" si="43"/>
        <v>20</v>
      </c>
      <c r="FH17" s="21">
        <f t="shared" si="43"/>
        <v>10</v>
      </c>
      <c r="FI17" s="21">
        <f t="shared" si="43"/>
        <v>20</v>
      </c>
      <c r="FJ17" s="21">
        <f t="shared" si="43"/>
        <v>15</v>
      </c>
      <c r="FK17" s="21">
        <f t="shared" si="43"/>
        <v>25</v>
      </c>
      <c r="FL17" s="21">
        <f t="shared" si="43"/>
        <v>30</v>
      </c>
      <c r="FM17" s="21">
        <f t="shared" si="43"/>
        <v>25</v>
      </c>
      <c r="FN17" s="21"/>
      <c r="FO17" s="21" t="s">
        <v>523</v>
      </c>
      <c r="FP17" s="21">
        <v>0</v>
      </c>
      <c r="FQ17" s="21">
        <f>CP17+(CP15*2)</f>
        <v>0</v>
      </c>
      <c r="FR17" s="21">
        <v>0</v>
      </c>
      <c r="FS17" s="21">
        <f t="shared" ref="FS17:GB17" si="44">CR17+(CR15*2)</f>
        <v>0</v>
      </c>
      <c r="FT17" s="21">
        <f t="shared" si="44"/>
        <v>15</v>
      </c>
      <c r="FU17" s="21">
        <f t="shared" si="44"/>
        <v>5</v>
      </c>
      <c r="FV17" s="21">
        <f t="shared" si="44"/>
        <v>10</v>
      </c>
      <c r="FW17" s="21">
        <f t="shared" si="44"/>
        <v>25</v>
      </c>
      <c r="FX17" s="21">
        <f t="shared" si="44"/>
        <v>15</v>
      </c>
      <c r="FY17" s="21">
        <f t="shared" si="44"/>
        <v>25</v>
      </c>
      <c r="FZ17" s="21">
        <f t="shared" si="44"/>
        <v>35</v>
      </c>
      <c r="GA17" s="21">
        <f t="shared" si="44"/>
        <v>30</v>
      </c>
      <c r="GB17" s="21">
        <f t="shared" si="44"/>
        <v>40</v>
      </c>
      <c r="GC17" s="21"/>
      <c r="GD17" s="21" t="s">
        <v>523</v>
      </c>
      <c r="GE17" s="21">
        <v>0</v>
      </c>
      <c r="GF17" s="21">
        <f>DE17+(DE15*2)</f>
        <v>0</v>
      </c>
      <c r="GG17" s="21">
        <v>0</v>
      </c>
      <c r="GH17" s="21">
        <f t="shared" ref="GH17:GQ17" si="45">DG17+(DG15*2)</f>
        <v>0</v>
      </c>
      <c r="GI17" s="21">
        <f t="shared" si="45"/>
        <v>5</v>
      </c>
      <c r="GJ17" s="21">
        <f t="shared" si="45"/>
        <v>20</v>
      </c>
      <c r="GK17" s="21">
        <f t="shared" si="45"/>
        <v>10</v>
      </c>
      <c r="GL17" s="21">
        <f t="shared" si="45"/>
        <v>20</v>
      </c>
      <c r="GM17" s="21">
        <f t="shared" si="45"/>
        <v>25</v>
      </c>
      <c r="GN17" s="21">
        <f t="shared" si="45"/>
        <v>20</v>
      </c>
      <c r="GO17" s="21">
        <f t="shared" si="45"/>
        <v>30</v>
      </c>
      <c r="GP17" s="21">
        <f t="shared" si="45"/>
        <v>40</v>
      </c>
      <c r="GQ17" s="21">
        <f t="shared" si="45"/>
        <v>45</v>
      </c>
      <c r="GR17" s="21"/>
      <c r="GS17" s="21"/>
      <c r="GT17" s="21"/>
      <c r="GU17" s="21"/>
      <c r="GV17" s="21"/>
      <c r="GW17" s="21"/>
      <c r="GX17" s="21"/>
      <c r="GY17" s="21"/>
      <c r="GZ17" s="21"/>
      <c r="HA17" s="21"/>
      <c r="HB17" s="21"/>
      <c r="HC17" s="21"/>
      <c r="HD17" s="21"/>
      <c r="HE17" s="21"/>
      <c r="HF17" s="21"/>
      <c r="HG17" s="198"/>
      <c r="HH17" s="21"/>
    </row>
    <row r="18" spans="1:216" x14ac:dyDescent="0.25">
      <c r="A18" s="9"/>
      <c r="B18" s="6"/>
      <c r="C18" s="9"/>
      <c r="D18" s="40" t="s">
        <v>798</v>
      </c>
      <c r="E18" s="9"/>
      <c r="F18" s="9"/>
      <c r="G18" s="9"/>
      <c r="H18" s="9"/>
      <c r="I18" s="9"/>
      <c r="J18" s="9"/>
      <c r="K18" s="9"/>
      <c r="L18" s="6" t="str">
        <f>INDEX(($AH$3:$AI$12),MATCH(I3,$AG$3:$AG$12,0),MATCH(E4,$AH$2:$AI$2,0))</f>
        <v>BUF35</v>
      </c>
      <c r="M18" s="11">
        <f>INDEX(cennik!$C$2:$L$529,MATCH($L18,cennik!$B$2:$B$522,0),MATCH(M$2,cennik!$C$1:$L$1,0))</f>
        <v>897335</v>
      </c>
      <c r="N18" s="11" t="str">
        <f>INDEX(cennik!$C$2:$L$529,MATCH($L18,cennik!$B$2:$B$522,0),MATCH(N$2,cennik!$C$1:$L$1,0))</f>
        <v>szt.</v>
      </c>
      <c r="O18" s="11">
        <f>SUM((A2*C2),(A3*C3),(A4*C4),(A5*C5),(A6*C6),(A7*C7),(A8*C8),(A9*C9),(A10*C10),(A11*C11),(A12*C12),(A13*C13),(A14*C14),(A15*C15),(A16*C16),(A17*C17))</f>
        <v>0</v>
      </c>
      <c r="P18" s="34">
        <f>INDEX(cennik!$C$2:$L$529,MATCH($L18,cennik!$B$2:$B$522,0),MATCH(P$2,cennik!$C$1:$L$1,0))</f>
        <v>1.92</v>
      </c>
      <c r="Q18" s="34">
        <f t="shared" si="10"/>
        <v>0</v>
      </c>
      <c r="R18" s="35">
        <f t="shared" si="1"/>
        <v>0</v>
      </c>
      <c r="S18" s="34">
        <f t="shared" si="37"/>
        <v>1.92</v>
      </c>
      <c r="T18" s="34">
        <f t="shared" si="11"/>
        <v>0</v>
      </c>
      <c r="U18" s="34">
        <f>INDEX(cennik!$C$2:$L$529,MATCH($L18,cennik!$B$2:$B$522,0),MATCH(U$2,cennik!$C$1:$L$1,0))*O18</f>
        <v>0</v>
      </c>
      <c r="V18" s="25"/>
      <c r="W18" s="21">
        <f>INDEX(($EL$3:$EX$6,$EL$9:$EX$12,$EL$15:$EX$18,$FA$3:$FM$6,$FA$9:$FM$12,$FA$15:$FM$18,$FP$3:$GB$6,$FP$9:$GB$12,$FP$15:$GB$18,$GE$3:$GQ$6,$GE$9:$GQ$12,$GE$15:$GQ$18,$GT$3:$HF$6,$GT$9:$HF$12),MATCH($L$17,$EK$3:$EK$6,0),MATCH($A16,$EL$2:$EX$2,0),MATCH($E$3,$AE$33:$AE$48,0))*$C16</f>
        <v>0</v>
      </c>
      <c r="X18" s="21">
        <f>INDEX(($EL$3:$EX$6,$EL$9:$EX$12,$EL$15:$EX$18,$FA$3:$FM$6,$FA$9:$FM$12,$FA$15:$FM$18,$FP$3:$GB$6,$FP$9:$GB$12,$FP$15:$GB$18,$GE$3:$GQ$6,$GE$9:$GQ$12,$GE$15:$GQ$18,$GT$3:$HF$6,$GT$9:$HF$12),MATCH($L$14,$EK$3:$EK$6,0),MATCH($A16,$EL$2:$EX$2,0),MATCH($E$3,$AE$33:$AE$48,0))*$C16</f>
        <v>0</v>
      </c>
      <c r="Y18" s="21">
        <f>INDEX(($EL$3:$EX$6,$EL$9:$EX$12,$EL$15:$EX$18,$FA$3:$FM$6,$FA$9:$FM$12,$FA$15:$FM$18,$FP$3:$GB$6,$FP$9:$GB$12,$FP$15:$GB$18,$GE$3:$GQ$6,$GE$9:$GQ$12,$GE$15:$GQ$18,$GT$3:$HF$6,$GT$9:$HF$12),MATCH($L$15,$EK$3:$EK$6,0),MATCH($A16,$EL$2:$EX$2,0),MATCH($E$3,$AE$33:$AE$48,0))*$C16</f>
        <v>0</v>
      </c>
      <c r="Z18" s="21">
        <f>INDEX(($EL$3:$EX$6,$EL$9:$EX$12,$EL$15:$EX$18,$FA$3:$FM$6,$FA$9:$FM$12,$FA$15:$FM$18,$FP$3:$GB$6,$FP$9:$GB$12,$FP$15:$GB$18,$GE$3:$GQ$6,$GE$9:$GQ$12,$GE$15:$GQ$18,$GT$3:$HF$6,$GT$9:$HF$12),MATCH($L$16,$EK$3:$EK$6,0),MATCH($A16,$EL$2:$EX$2,0),MATCH($E$3,$AE$33:$AE$48,0))*$C16</f>
        <v>0</v>
      </c>
      <c r="AA18" s="21"/>
      <c r="AB18" s="21"/>
      <c r="AC18" s="21"/>
      <c r="AD18" s="21">
        <f>IF(((INT((((A2/4)*(INDEX($AF$24:$AF$42,MATCH($E$3,$AE$24:$AE$42),1,1)))+(((A2/4)-1)*20))/2900))*2900)+2000&gt;((A2/4)*(INDEX($AF$24:$AF$42,MATCH($E$3,$AE$24:$AE$42),1,1)))+(((A2/4)-1)*20),(INT((((A2/4)*(INDEX($AF$24:$AF$42,MATCH($E$3,$AE$24:$AE$42),1,1)))+(((A2/4)-1)*20))/2900))+1,IF(((INT((((A2/4)*(INDEX($AF$24:$AF$42,MATCH($E$3,$AE$24:$AE$42),1,1)))+(((A2/4)-1)*20))/2900))*2900)+2000&lt;((A2/4)*(INDEX($AF$24:$AF$42,MATCH($E$3,$AE$24:$AE$42),1,1)))+(((A2/4)-1)*20),(INT((((A2/4)*(INDEX($AF$24:$AF$42,MATCH($E$3,$AE$24:$AE$42),1,1)))+(((A2/4)-1)*20))/2900))+2,0))</f>
        <v>1</v>
      </c>
      <c r="AE18" s="21"/>
      <c r="AF18" s="21"/>
      <c r="AG18" s="21"/>
      <c r="AH18" s="21"/>
      <c r="AI18" s="21"/>
      <c r="AJ18" s="21"/>
      <c r="AK18" s="21"/>
      <c r="AL18" s="21"/>
      <c r="AM18" s="21"/>
      <c r="AN18" s="21"/>
      <c r="AO18" s="21"/>
      <c r="AP18" s="21"/>
      <c r="AQ18" s="21"/>
      <c r="AR18" s="21" t="s">
        <v>714</v>
      </c>
      <c r="AS18" s="25" t="s">
        <v>594</v>
      </c>
      <c r="AT18" s="25" t="s">
        <v>596</v>
      </c>
      <c r="AU18" s="21" t="s">
        <v>594</v>
      </c>
      <c r="AV18" s="21" t="s">
        <v>594</v>
      </c>
      <c r="AW18" s="21"/>
      <c r="AX18" s="21"/>
      <c r="AY18" s="21"/>
      <c r="AZ18" s="21"/>
      <c r="BA18" s="21"/>
      <c r="BB18" s="180" t="s">
        <v>714</v>
      </c>
      <c r="BC18" s="180" t="s">
        <v>592</v>
      </c>
      <c r="BD18" s="180" t="s">
        <v>151</v>
      </c>
      <c r="BE18" s="180" t="s">
        <v>151</v>
      </c>
      <c r="BF18" s="180" t="s">
        <v>151</v>
      </c>
      <c r="BG18" s="21"/>
      <c r="BH18" s="20" t="s">
        <v>779</v>
      </c>
      <c r="BI18" s="20">
        <v>0</v>
      </c>
      <c r="BJ18" s="21">
        <v>0</v>
      </c>
      <c r="BK18" s="21">
        <v>0</v>
      </c>
      <c r="BL18" s="21">
        <v>0</v>
      </c>
      <c r="BM18" s="21">
        <v>5</v>
      </c>
      <c r="BN18" s="21">
        <v>5</v>
      </c>
      <c r="BO18" s="21">
        <v>10</v>
      </c>
      <c r="BP18" s="21">
        <v>10</v>
      </c>
      <c r="BQ18" s="21">
        <v>10</v>
      </c>
      <c r="BR18" s="21">
        <v>10</v>
      </c>
      <c r="BS18" s="21">
        <v>10</v>
      </c>
      <c r="BT18" s="21">
        <v>15</v>
      </c>
      <c r="BU18" s="21">
        <v>15</v>
      </c>
      <c r="BV18" s="21"/>
      <c r="BW18" s="20" t="s">
        <v>779</v>
      </c>
      <c r="BX18" s="21">
        <v>0</v>
      </c>
      <c r="BY18" s="21">
        <v>0</v>
      </c>
      <c r="BZ18" s="21">
        <v>0</v>
      </c>
      <c r="CA18" s="21">
        <v>5</v>
      </c>
      <c r="CB18" s="21">
        <v>5</v>
      </c>
      <c r="CC18" s="21">
        <v>10</v>
      </c>
      <c r="CD18" s="21">
        <v>5</v>
      </c>
      <c r="CE18" s="21">
        <v>10</v>
      </c>
      <c r="CF18" s="21">
        <v>10</v>
      </c>
      <c r="CG18" s="21">
        <v>15</v>
      </c>
      <c r="CH18" s="21">
        <v>15</v>
      </c>
      <c r="CI18" s="21">
        <v>15</v>
      </c>
      <c r="CJ18" s="21">
        <v>20</v>
      </c>
      <c r="CK18" s="21"/>
      <c r="CL18" s="21"/>
      <c r="CM18" s="21"/>
      <c r="CN18" s="20" t="s">
        <v>779</v>
      </c>
      <c r="CO18" s="20">
        <v>0</v>
      </c>
      <c r="CP18" s="21">
        <v>0</v>
      </c>
      <c r="CQ18" s="21">
        <v>0</v>
      </c>
      <c r="CR18" s="21">
        <v>5</v>
      </c>
      <c r="CS18" s="21">
        <v>5</v>
      </c>
      <c r="CT18" s="21">
        <v>10</v>
      </c>
      <c r="CU18" s="21">
        <v>10</v>
      </c>
      <c r="CV18" s="21">
        <v>10</v>
      </c>
      <c r="CW18" s="21">
        <v>15</v>
      </c>
      <c r="CX18" s="21">
        <v>15</v>
      </c>
      <c r="CY18" s="21">
        <v>15</v>
      </c>
      <c r="CZ18" s="21">
        <v>15</v>
      </c>
      <c r="DA18" s="21">
        <v>15</v>
      </c>
      <c r="DB18" s="21"/>
      <c r="DC18" s="20" t="s">
        <v>779</v>
      </c>
      <c r="DD18" s="21">
        <v>0</v>
      </c>
      <c r="DE18" s="21">
        <v>0</v>
      </c>
      <c r="DF18" s="21">
        <v>0</v>
      </c>
      <c r="DG18" s="21">
        <v>5</v>
      </c>
      <c r="DH18" s="21">
        <v>10</v>
      </c>
      <c r="DI18" s="21">
        <v>5</v>
      </c>
      <c r="DJ18" s="21">
        <v>10</v>
      </c>
      <c r="DK18" s="21">
        <v>10</v>
      </c>
      <c r="DL18" s="21">
        <v>15</v>
      </c>
      <c r="DM18" s="21">
        <v>15</v>
      </c>
      <c r="DN18" s="21">
        <v>15</v>
      </c>
      <c r="DO18" s="21">
        <v>15</v>
      </c>
      <c r="DP18" s="21">
        <v>20</v>
      </c>
      <c r="DQ18" s="87"/>
      <c r="DR18" s="87"/>
      <c r="DS18" s="87">
        <v>4</v>
      </c>
      <c r="DT18" s="21"/>
      <c r="DU18" s="21"/>
      <c r="DV18" s="21"/>
      <c r="DW18" s="21"/>
      <c r="DX18" s="21"/>
      <c r="DY18" s="21"/>
      <c r="DZ18" s="21"/>
      <c r="EA18" s="21"/>
      <c r="EB18" s="21"/>
      <c r="EC18" s="21"/>
      <c r="ED18" s="21"/>
      <c r="EE18" s="21"/>
      <c r="EF18" s="21"/>
      <c r="EG18" s="21"/>
      <c r="EH18" s="21"/>
      <c r="EI18" s="21"/>
      <c r="EJ18" s="196"/>
      <c r="EK18" s="20" t="s">
        <v>779</v>
      </c>
      <c r="EL18" s="21">
        <v>0</v>
      </c>
      <c r="EM18" s="21">
        <f>((SUM(EM16:EM17)/5)-1)*5</f>
        <v>0</v>
      </c>
      <c r="EN18" s="21">
        <v>0</v>
      </c>
      <c r="EO18" s="21">
        <v>0</v>
      </c>
      <c r="EP18" s="21">
        <f t="shared" ref="EP18:EX18" si="46">((SUM(EP16:EP17)/5)-1)*5</f>
        <v>5</v>
      </c>
      <c r="EQ18" s="21">
        <f t="shared" si="46"/>
        <v>10</v>
      </c>
      <c r="ER18" s="21">
        <f t="shared" si="46"/>
        <v>10</v>
      </c>
      <c r="ES18" s="21">
        <f t="shared" si="46"/>
        <v>15</v>
      </c>
      <c r="ET18" s="21">
        <f t="shared" si="46"/>
        <v>15</v>
      </c>
      <c r="EU18" s="21">
        <f t="shared" si="46"/>
        <v>20</v>
      </c>
      <c r="EV18" s="21">
        <f t="shared" si="46"/>
        <v>25</v>
      </c>
      <c r="EW18" s="21">
        <f t="shared" si="46"/>
        <v>25</v>
      </c>
      <c r="EX18" s="21">
        <f t="shared" si="46"/>
        <v>30</v>
      </c>
      <c r="EY18" s="21"/>
      <c r="EZ18" s="20" t="s">
        <v>779</v>
      </c>
      <c r="FA18" s="21">
        <v>0</v>
      </c>
      <c r="FB18" s="21">
        <f>((SUM(FB16:FB17)/5)-1)*5</f>
        <v>0</v>
      </c>
      <c r="FC18" s="21">
        <v>0</v>
      </c>
      <c r="FD18" s="21">
        <f t="shared" ref="FD18:FM18" si="47">((SUM(FD16:FD17)/5)-1)*5</f>
        <v>5</v>
      </c>
      <c r="FE18" s="21">
        <f t="shared" si="47"/>
        <v>10</v>
      </c>
      <c r="FF18" s="21">
        <f t="shared" si="47"/>
        <v>10</v>
      </c>
      <c r="FG18" s="21">
        <f t="shared" si="47"/>
        <v>15</v>
      </c>
      <c r="FH18" s="21">
        <f t="shared" si="47"/>
        <v>15</v>
      </c>
      <c r="FI18" s="21">
        <f t="shared" si="47"/>
        <v>20</v>
      </c>
      <c r="FJ18" s="21">
        <f t="shared" si="47"/>
        <v>20</v>
      </c>
      <c r="FK18" s="21">
        <f t="shared" si="47"/>
        <v>25</v>
      </c>
      <c r="FL18" s="21">
        <f t="shared" si="47"/>
        <v>30</v>
      </c>
      <c r="FM18" s="21">
        <f t="shared" si="47"/>
        <v>30</v>
      </c>
      <c r="FN18" s="21"/>
      <c r="FO18" s="20" t="s">
        <v>779</v>
      </c>
      <c r="FP18" s="21">
        <v>0</v>
      </c>
      <c r="FQ18" s="21">
        <f>((SUM(FQ16:FQ17)/5)-1)*5</f>
        <v>0</v>
      </c>
      <c r="FR18" s="21">
        <v>0</v>
      </c>
      <c r="FS18" s="21">
        <f t="shared" ref="FS18:GB18" si="48">((SUM(FS16:FS17)/5)-1)*5</f>
        <v>5</v>
      </c>
      <c r="FT18" s="21">
        <f t="shared" si="48"/>
        <v>10</v>
      </c>
      <c r="FU18" s="21">
        <f t="shared" si="48"/>
        <v>10</v>
      </c>
      <c r="FV18" s="21">
        <f t="shared" si="48"/>
        <v>15</v>
      </c>
      <c r="FW18" s="21">
        <f t="shared" si="48"/>
        <v>20</v>
      </c>
      <c r="FX18" s="21">
        <f t="shared" si="48"/>
        <v>20</v>
      </c>
      <c r="FY18" s="21">
        <f t="shared" si="48"/>
        <v>25</v>
      </c>
      <c r="FZ18" s="21">
        <f t="shared" si="48"/>
        <v>30</v>
      </c>
      <c r="GA18" s="21">
        <f t="shared" si="48"/>
        <v>30</v>
      </c>
      <c r="GB18" s="21">
        <f t="shared" si="48"/>
        <v>35</v>
      </c>
      <c r="GC18" s="21"/>
      <c r="GD18" s="20" t="s">
        <v>779</v>
      </c>
      <c r="GE18" s="21">
        <v>0</v>
      </c>
      <c r="GF18" s="21">
        <f>((SUM(GF16:GF17)/5)-1)*5</f>
        <v>0</v>
      </c>
      <c r="GG18" s="21">
        <v>0</v>
      </c>
      <c r="GH18" s="21">
        <f t="shared" ref="GH18:GQ18" si="49">((SUM(GH16:GH17)/5)-1)*5</f>
        <v>5</v>
      </c>
      <c r="GI18" s="21">
        <f t="shared" si="49"/>
        <v>10</v>
      </c>
      <c r="GJ18" s="21">
        <f t="shared" si="49"/>
        <v>15</v>
      </c>
      <c r="GK18" s="21">
        <f t="shared" si="49"/>
        <v>15</v>
      </c>
      <c r="GL18" s="21">
        <f t="shared" si="49"/>
        <v>20</v>
      </c>
      <c r="GM18" s="21">
        <f t="shared" si="49"/>
        <v>25</v>
      </c>
      <c r="GN18" s="21">
        <f t="shared" si="49"/>
        <v>25</v>
      </c>
      <c r="GO18" s="21">
        <f t="shared" si="49"/>
        <v>30</v>
      </c>
      <c r="GP18" s="21">
        <f t="shared" si="49"/>
        <v>35</v>
      </c>
      <c r="GQ18" s="21">
        <f t="shared" si="49"/>
        <v>40</v>
      </c>
      <c r="GR18" s="21"/>
      <c r="GS18" s="21"/>
      <c r="GT18" s="21"/>
      <c r="GU18" s="21"/>
      <c r="GV18" s="21"/>
      <c r="GW18" s="21"/>
      <c r="GX18" s="21"/>
      <c r="GY18" s="21"/>
      <c r="GZ18" s="21"/>
      <c r="HA18" s="21"/>
      <c r="HB18" s="21"/>
      <c r="HC18" s="21"/>
      <c r="HD18" s="21"/>
      <c r="HE18" s="21"/>
      <c r="HF18" s="21"/>
      <c r="HG18" s="198"/>
      <c r="HH18" s="21"/>
    </row>
    <row r="19" spans="1:216" x14ac:dyDescent="0.25">
      <c r="A19" s="1"/>
      <c r="B19" s="1"/>
      <c r="C19" s="1"/>
      <c r="D19" s="9"/>
      <c r="E19" s="9"/>
      <c r="F19" s="9"/>
      <c r="G19" s="9"/>
      <c r="H19" s="9"/>
      <c r="I19" s="9"/>
      <c r="J19" s="9"/>
      <c r="K19" s="1"/>
      <c r="L19" s="6" t="str">
        <f>INDEX(($AH$13:$AI$13),1,MATCH(E4,$AH$2:$AI$2,0))</f>
        <v>PUF</v>
      </c>
      <c r="M19" s="11">
        <f>INDEX(cennik!$C$2:$L$529,MATCH($L19,cennik!$B$2:$B$522,0),MATCH(M$2,cennik!$C$1:$L$1,0))</f>
        <v>897300</v>
      </c>
      <c r="N19" s="11" t="str">
        <f>INDEX(cennik!$C$2:$L$529,MATCH($L19,cennik!$B$2:$B$522,0),MATCH(N$2,cennik!$C$1:$L$1,0))</f>
        <v>szt.</v>
      </c>
      <c r="O19" s="11">
        <f>SUM(((A2/4)*6)*C2,((A3/4)*6)*C3,((A4/4)*6)*C4,((A5/4)*6)*C5,((A6/4)*6)*C6,((A7/4)*6)*C7,((A8/4)*6)*C8,((A9/4)*6)*C9,((A10/4)*6)*C10,((A11/4)*6)*C11,((A12/4)*6)*C12,((A13/4)*6)*C13,((A14/4)*6)*C14,((A15/4)*6)*C15,((A16/4)*6)*C16,((A17/4)*6)*C17)</f>
        <v>0</v>
      </c>
      <c r="P19" s="34">
        <f>INDEX(cennik!$C$2:$L$529,MATCH($L19,cennik!$B$2:$B$522,0),MATCH(P$2,cennik!$C$1:$L$1,0))</f>
        <v>2.06</v>
      </c>
      <c r="Q19" s="34">
        <f t="shared" si="10"/>
        <v>0</v>
      </c>
      <c r="R19" s="35">
        <f t="shared" si="1"/>
        <v>0</v>
      </c>
      <c r="S19" s="34">
        <f t="shared" si="37"/>
        <v>2.06</v>
      </c>
      <c r="T19" s="34">
        <f t="shared" si="11"/>
        <v>0</v>
      </c>
      <c r="U19" s="34">
        <f>INDEX(cennik!$C$2:$L$529,MATCH($L19,cennik!$B$2:$B$522,0),MATCH(U$2,cennik!$C$1:$L$1,0))*O19</f>
        <v>0</v>
      </c>
      <c r="V19" s="25"/>
      <c r="W19" s="21">
        <f>INDEX(($EL$3:$EX$6,$EL$9:$EX$12,$EL$15:$EX$18,$FA$3:$FM$6,$FA$9:$FM$12,$FA$15:$FM$18,$FP$3:$GB$6,$FP$9:$GB$12,$FP$15:$GB$18,$GE$3:$GQ$6,$GE$9:$GQ$12,$GE$15:$GQ$18,$GT$3:$HF$6,$GT$9:$HF$12),MATCH($L$17,$EK$3:$EK$6,0),MATCH($A17,$EL$2:$EX$2,0),MATCH($E$3,$AE$33:$AE$48,0))*$C17</f>
        <v>0</v>
      </c>
      <c r="X19" s="21">
        <f>INDEX(($EL$3:$EX$6,$EL$9:$EX$12,$EL$15:$EX$18,$FA$3:$FM$6,$FA$9:$FM$12,$FA$15:$FM$18,$FP$3:$GB$6,$FP$9:$GB$12,$FP$15:$GB$18,$GE$3:$GQ$6,$GE$9:$GQ$12,$GE$15:$GQ$18,$GT$3:$HF$6,$GT$9:$HF$12),MATCH($L$14,$EK$3:$EK$6,0),MATCH($A17,$EL$2:$EX$2,0),MATCH($E$3,$AE$33:$AE$48,0))*$C17</f>
        <v>0</v>
      </c>
      <c r="Y19" s="21">
        <f>INDEX(($EL$3:$EX$6,$EL$9:$EX$12,$EL$15:$EX$18,$FA$3:$FM$6,$FA$9:$FM$12,$FA$15:$FM$18,$FP$3:$GB$6,$FP$9:$GB$12,$FP$15:$GB$18,$GE$3:$GQ$6,$GE$9:$GQ$12,$GE$15:$GQ$18,$GT$3:$HF$6,$GT$9:$HF$12),MATCH($L$15,$EK$3:$EK$6,0),MATCH($A17,$EL$2:$EX$2,0),MATCH($E$3,$AE$33:$AE$48,0))*$C17</f>
        <v>0</v>
      </c>
      <c r="Z19" s="21">
        <f>INDEX(($EL$3:$EX$6,$EL$9:$EX$12,$EL$15:$EX$18,$FA$3:$FM$6,$FA$9:$FM$12,$FA$15:$FM$18,$FP$3:$GB$6,$FP$9:$GB$12,$FP$15:$GB$18,$GE$3:$GQ$6,$GE$9:$GQ$12,$GE$15:$GQ$18,$GT$3:$HF$6,$GT$9:$HF$12),MATCH($L$16,$EK$3:$EK$6,0),MATCH($A17,$EL$2:$EX$2,0),MATCH($E$3,$AE$33:$AE$48,0))*$C17</f>
        <v>0</v>
      </c>
      <c r="AA19" s="21"/>
      <c r="AB19" s="21"/>
      <c r="AC19" s="21"/>
      <c r="AD19" s="21">
        <f>INDEX($AF$24:$AF$42,MATCH($E$3,$AE$24:$AE$42),1,1)</f>
        <v>2100</v>
      </c>
      <c r="AE19" s="21"/>
      <c r="AF19" s="21"/>
      <c r="AG19" s="21"/>
      <c r="AH19" s="21"/>
      <c r="AI19" s="21"/>
      <c r="AJ19" s="21" t="s">
        <v>152</v>
      </c>
      <c r="AK19" s="21" t="s">
        <v>153</v>
      </c>
      <c r="AL19" s="21"/>
      <c r="AM19" s="21"/>
      <c r="AN19" s="21"/>
      <c r="AO19" s="21"/>
      <c r="AP19" s="21"/>
      <c r="AQ19" s="21"/>
      <c r="AR19" s="21" t="s">
        <v>715</v>
      </c>
      <c r="AS19" s="25" t="s">
        <v>594</v>
      </c>
      <c r="AT19" s="25" t="s">
        <v>596</v>
      </c>
      <c r="AU19" s="21" t="s">
        <v>594</v>
      </c>
      <c r="AV19" s="21" t="s">
        <v>594</v>
      </c>
      <c r="AW19" s="21"/>
      <c r="AX19" s="21"/>
      <c r="AY19" s="21"/>
      <c r="AZ19" s="21"/>
      <c r="BA19" s="21"/>
      <c r="BB19" s="180" t="s">
        <v>715</v>
      </c>
      <c r="BC19" s="180" t="s">
        <v>592</v>
      </c>
      <c r="BD19" s="180" t="s">
        <v>151</v>
      </c>
      <c r="BE19" s="180" t="s">
        <v>151</v>
      </c>
      <c r="BF19" s="180" t="s">
        <v>151</v>
      </c>
      <c r="BG19" s="21"/>
      <c r="BH19" s="21"/>
      <c r="BI19" s="21"/>
      <c r="BJ19" s="21"/>
      <c r="BK19" s="21"/>
      <c r="BL19" s="21"/>
      <c r="BM19" s="21"/>
      <c r="BN19" s="21"/>
      <c r="BO19" s="21"/>
      <c r="BP19" s="21"/>
      <c r="BQ19" s="21"/>
      <c r="BR19" s="21"/>
      <c r="BS19" s="21"/>
      <c r="BT19" s="21"/>
      <c r="BU19" s="21"/>
      <c r="BV19" s="21"/>
      <c r="BW19" s="21"/>
      <c r="BX19" s="21"/>
      <c r="BY19" s="21"/>
      <c r="BZ19" s="21"/>
      <c r="CA19" s="21"/>
      <c r="CB19" s="21"/>
      <c r="CC19" s="21"/>
      <c r="CD19" s="21"/>
      <c r="CE19" s="21"/>
      <c r="CF19" s="21"/>
      <c r="CG19" s="21"/>
      <c r="CH19" s="21"/>
      <c r="CI19" s="21"/>
      <c r="CJ19" s="21"/>
      <c r="CK19" s="21"/>
      <c r="CL19" s="21"/>
      <c r="CM19" s="21"/>
      <c r="CN19" s="21"/>
      <c r="CO19" s="21"/>
      <c r="CP19" s="21"/>
      <c r="CQ19" s="21"/>
      <c r="CR19" s="21"/>
      <c r="CS19" s="21"/>
      <c r="CT19" s="21"/>
      <c r="CU19" s="21"/>
      <c r="CV19" s="21"/>
      <c r="CW19" s="21"/>
      <c r="CX19" s="21"/>
      <c r="CY19" s="21"/>
      <c r="CZ19" s="21"/>
      <c r="DA19" s="21"/>
      <c r="DB19" s="21"/>
      <c r="DC19" s="21"/>
      <c r="DD19" s="21"/>
      <c r="DE19" s="21"/>
      <c r="DF19" s="21"/>
      <c r="DG19" s="21"/>
      <c r="DH19" s="21"/>
      <c r="DI19" s="21"/>
      <c r="DJ19" s="21"/>
      <c r="DK19" s="21"/>
      <c r="DL19" s="21"/>
      <c r="DM19" s="21"/>
      <c r="DN19" s="21"/>
      <c r="DO19" s="21"/>
      <c r="DP19" s="21"/>
      <c r="DQ19" s="87"/>
      <c r="DR19" s="54">
        <v>30</v>
      </c>
      <c r="DS19" s="87">
        <v>5</v>
      </c>
      <c r="DT19" s="21"/>
      <c r="DU19" s="21"/>
      <c r="DV19" s="21"/>
      <c r="DW19" s="21"/>
      <c r="DX19" s="21"/>
      <c r="DY19" s="21"/>
      <c r="DZ19" s="21"/>
      <c r="EA19" s="21"/>
      <c r="EB19" s="21"/>
      <c r="EC19" s="21"/>
      <c r="ED19" s="21"/>
      <c r="EE19" s="21"/>
      <c r="EF19" s="21"/>
      <c r="EG19" s="21"/>
      <c r="EH19" s="21"/>
      <c r="EI19" s="21"/>
      <c r="EJ19" s="196"/>
      <c r="EK19" s="21"/>
      <c r="EL19" s="21"/>
      <c r="EM19" s="21"/>
      <c r="EN19" s="21"/>
      <c r="EO19" s="21"/>
      <c r="EP19" s="21"/>
      <c r="EQ19" s="21"/>
      <c r="ER19" s="21"/>
      <c r="ES19" s="21"/>
      <c r="ET19" s="21"/>
      <c r="EU19" s="21"/>
      <c r="EV19" s="21"/>
      <c r="EW19" s="21"/>
      <c r="EX19" s="21"/>
      <c r="EY19" s="21"/>
      <c r="EZ19" s="21"/>
      <c r="FA19" s="21"/>
      <c r="FB19" s="21"/>
      <c r="FC19" s="21"/>
      <c r="FD19" s="21"/>
      <c r="FE19" s="21"/>
      <c r="FF19" s="21"/>
      <c r="FG19" s="21"/>
      <c r="FH19" s="21"/>
      <c r="FI19" s="21"/>
      <c r="FJ19" s="21"/>
      <c r="FK19" s="21"/>
      <c r="FL19" s="21"/>
      <c r="FM19" s="21"/>
      <c r="FN19" s="21"/>
      <c r="FO19" s="21"/>
      <c r="FP19" s="21"/>
      <c r="FQ19" s="21"/>
      <c r="FR19" s="21"/>
      <c r="FS19" s="21"/>
      <c r="FT19" s="21"/>
      <c r="FU19" s="21"/>
      <c r="FV19" s="21"/>
      <c r="FW19" s="21"/>
      <c r="FX19" s="21"/>
      <c r="FY19" s="21"/>
      <c r="FZ19" s="21"/>
      <c r="GA19" s="21"/>
      <c r="GB19" s="21"/>
      <c r="GC19" s="21"/>
      <c r="GD19" s="21"/>
      <c r="GE19" s="21"/>
      <c r="GF19" s="21"/>
      <c r="GG19" s="21"/>
      <c r="GH19" s="21"/>
      <c r="GI19" s="21"/>
      <c r="GJ19" s="21"/>
      <c r="GK19" s="21"/>
      <c r="GL19" s="21"/>
      <c r="GM19" s="21"/>
      <c r="GN19" s="21"/>
      <c r="GO19" s="21"/>
      <c r="GP19" s="21"/>
      <c r="GQ19" s="21"/>
      <c r="GR19" s="21"/>
      <c r="GS19" s="21"/>
      <c r="GT19" s="21"/>
      <c r="GU19" s="21"/>
      <c r="GV19" s="21"/>
      <c r="GW19" s="21"/>
      <c r="GX19" s="21"/>
      <c r="GY19" s="21"/>
      <c r="GZ19" s="21"/>
      <c r="HA19" s="21"/>
      <c r="HB19" s="21"/>
      <c r="HC19" s="21"/>
      <c r="HD19" s="21"/>
      <c r="HE19" s="21"/>
      <c r="HF19" s="21"/>
      <c r="HG19" s="197"/>
      <c r="HH19" s="21"/>
    </row>
    <row r="20" spans="1:216" x14ac:dyDescent="0.25">
      <c r="A20" s="1"/>
      <c r="B20" s="1"/>
      <c r="C20" s="1"/>
      <c r="D20" s="1"/>
      <c r="E20" s="1"/>
      <c r="F20" s="1"/>
      <c r="G20" s="1"/>
      <c r="H20" s="1"/>
      <c r="I20" s="1"/>
      <c r="J20" s="1"/>
      <c r="K20" s="1"/>
      <c r="L20" s="6" t="str">
        <f>INDEX(($AJ$3:$AJ$12),MATCH(I3,$AG$3:$AG$12,0),1)</f>
        <v>SAM8X30E</v>
      </c>
      <c r="M20" s="11">
        <f>INDEX(cennik!$C$2:$L$529,MATCH($L20,cennik!$B$2:$B$522,0),MATCH(M$2,cennik!$C$1:$L$1,0))</f>
        <v>898530</v>
      </c>
      <c r="N20" s="11" t="str">
        <f>INDEX(cennik!$C$2:$L$529,MATCH($L20,cennik!$B$2:$B$522,0),MATCH(N$2,cennik!$C$1:$L$1,0))</f>
        <v>szt.</v>
      </c>
      <c r="O20" s="11">
        <f>SUM(O18:O19)</f>
        <v>0</v>
      </c>
      <c r="P20" s="34">
        <f>INDEX(cennik!$C$2:$L$529,MATCH($L20,cennik!$B$2:$B$522,0),MATCH(P$2,cennik!$C$1:$L$1,0))</f>
        <v>0.5</v>
      </c>
      <c r="Q20" s="34">
        <f t="shared" si="10"/>
        <v>0</v>
      </c>
      <c r="R20" s="35">
        <f t="shared" si="1"/>
        <v>0</v>
      </c>
      <c r="S20" s="34">
        <f t="shared" si="37"/>
        <v>0.5</v>
      </c>
      <c r="T20" s="34">
        <f t="shared" si="11"/>
        <v>0</v>
      </c>
      <c r="U20" s="34">
        <f>INDEX(cennik!$C$2:$L$529,MATCH($L20,cennik!$B$2:$B$522,0),MATCH(U$2,cennik!$C$1:$L$1,0))*O20</f>
        <v>0</v>
      </c>
      <c r="V20" s="25"/>
      <c r="AC20" s="21">
        <f>IF(AB2&lt;=5,1,IF(AND(AB2&gt;5,AB2&lt;=9),2,IF(AB2&gt;9,3,0)))</f>
        <v>1</v>
      </c>
      <c r="AD20" s="21"/>
      <c r="AE20" s="21"/>
      <c r="AF20" s="21"/>
      <c r="AG20" s="21"/>
      <c r="AH20" s="21"/>
      <c r="AI20" s="21"/>
      <c r="AJ20" s="21">
        <v>52</v>
      </c>
      <c r="AK20" s="21">
        <v>2300</v>
      </c>
      <c r="AL20" s="21"/>
      <c r="AM20" s="21"/>
      <c r="AN20" s="21"/>
      <c r="AO20" s="21"/>
      <c r="AP20" s="21"/>
      <c r="AQ20" s="21"/>
      <c r="AR20" s="21"/>
      <c r="AS20" s="21"/>
      <c r="AT20" s="21"/>
      <c r="AU20" s="21"/>
      <c r="AV20" s="21"/>
      <c r="AW20" s="21"/>
      <c r="AX20" s="21"/>
      <c r="AY20" s="21"/>
      <c r="AZ20" s="21"/>
      <c r="BA20" s="21"/>
      <c r="BB20" s="21"/>
      <c r="BC20" s="21"/>
      <c r="BD20" s="21"/>
      <c r="BE20" s="21"/>
      <c r="BF20" s="21"/>
      <c r="BG20" s="21"/>
      <c r="BH20" s="21"/>
      <c r="BI20" s="21"/>
      <c r="BJ20" s="21"/>
      <c r="BK20" s="21"/>
      <c r="BL20" s="21"/>
      <c r="BM20" s="21"/>
      <c r="BN20" s="21"/>
      <c r="BO20" s="21"/>
      <c r="BP20" s="21"/>
      <c r="BQ20" s="21"/>
      <c r="BR20" s="21"/>
      <c r="BS20" s="21"/>
      <c r="BT20" s="21"/>
      <c r="BU20" s="21"/>
      <c r="BV20" s="21"/>
      <c r="BW20" s="21"/>
      <c r="BX20" s="21"/>
      <c r="BY20" s="21"/>
      <c r="BZ20" s="21"/>
      <c r="CA20" s="21"/>
      <c r="CB20" s="21"/>
      <c r="CC20" s="21"/>
      <c r="CD20" s="21"/>
      <c r="CE20" s="21"/>
      <c r="CF20" s="21"/>
      <c r="CG20" s="21"/>
      <c r="CH20" s="21"/>
      <c r="CI20" s="21"/>
      <c r="CJ20" s="21"/>
      <c r="CK20" s="21"/>
      <c r="CL20" s="21"/>
      <c r="CM20" s="21"/>
      <c r="CN20" s="21"/>
      <c r="CO20" s="21"/>
      <c r="CP20" s="21"/>
      <c r="CQ20" s="21"/>
      <c r="CR20" s="21"/>
      <c r="CS20" s="21"/>
      <c r="CT20" s="21"/>
      <c r="CU20" s="21"/>
      <c r="CV20" s="21"/>
      <c r="CW20" s="21"/>
      <c r="CX20" s="21"/>
      <c r="CY20" s="21"/>
      <c r="CZ20" s="21"/>
      <c r="DA20" s="21"/>
      <c r="DB20" s="21"/>
      <c r="DC20" s="21"/>
      <c r="DD20" s="21"/>
      <c r="DE20" s="21"/>
      <c r="DF20" s="21"/>
      <c r="DG20" s="21"/>
      <c r="DH20" s="21"/>
      <c r="DI20" s="21"/>
      <c r="DJ20" s="21"/>
      <c r="DK20" s="21"/>
      <c r="DL20" s="21"/>
      <c r="DM20" s="21"/>
      <c r="DN20" s="21"/>
      <c r="DO20" s="21"/>
      <c r="DP20" s="21"/>
      <c r="DQ20" s="87"/>
      <c r="DR20" s="54">
        <v>32</v>
      </c>
      <c r="DS20" s="87"/>
      <c r="DT20" s="21"/>
      <c r="DU20" s="21"/>
      <c r="DV20" s="21"/>
      <c r="DW20" s="21"/>
      <c r="DX20" s="21"/>
      <c r="DY20" s="21"/>
      <c r="DZ20" s="21"/>
      <c r="EA20" s="21"/>
      <c r="EB20" s="21"/>
      <c r="EC20" s="21"/>
      <c r="ED20" s="21"/>
      <c r="EE20" s="21"/>
      <c r="EF20" s="21"/>
      <c r="EG20" s="21"/>
      <c r="EH20" s="21"/>
      <c r="EI20" s="21"/>
      <c r="EJ20" s="196"/>
      <c r="EK20" s="21"/>
      <c r="EL20" s="21"/>
      <c r="EM20" s="21"/>
      <c r="EN20" s="21"/>
      <c r="EO20" s="21"/>
      <c r="EP20" s="21"/>
      <c r="EQ20" s="21"/>
      <c r="ER20" s="21"/>
      <c r="ES20" s="21"/>
      <c r="ET20" s="21"/>
      <c r="EU20" s="21"/>
      <c r="EV20" s="21"/>
      <c r="EW20" s="21"/>
      <c r="EX20" s="21"/>
      <c r="EY20" s="21"/>
      <c r="EZ20" s="21"/>
      <c r="FA20" s="21"/>
      <c r="FB20" s="21"/>
      <c r="FC20" s="21"/>
      <c r="FD20" s="21"/>
      <c r="FE20" s="21"/>
      <c r="FF20" s="21"/>
      <c r="FG20" s="21"/>
      <c r="FH20" s="21"/>
      <c r="FI20" s="21"/>
      <c r="FJ20" s="21"/>
      <c r="FK20" s="21"/>
      <c r="FL20" s="21"/>
      <c r="FM20" s="21"/>
      <c r="FN20" s="21"/>
      <c r="FO20" s="21"/>
      <c r="FP20" s="21"/>
      <c r="FQ20" s="21"/>
      <c r="FR20" s="21"/>
      <c r="FS20" s="21"/>
      <c r="FT20" s="21"/>
      <c r="FU20" s="21"/>
      <c r="FV20" s="21"/>
      <c r="FW20" s="21"/>
      <c r="FX20" s="21"/>
      <c r="FY20" s="21"/>
      <c r="FZ20" s="21"/>
      <c r="GA20" s="21"/>
      <c r="GB20" s="21"/>
      <c r="GC20" s="21"/>
      <c r="GD20" s="21"/>
      <c r="GE20" s="21"/>
      <c r="GF20" s="21"/>
      <c r="GG20" s="21"/>
      <c r="GH20" s="21"/>
      <c r="GI20" s="21"/>
      <c r="GJ20" s="21"/>
      <c r="GK20" s="21"/>
      <c r="GL20" s="21"/>
      <c r="GM20" s="21"/>
      <c r="GN20" s="21"/>
      <c r="GO20" s="21"/>
      <c r="GP20" s="21"/>
      <c r="GQ20" s="21"/>
      <c r="GR20" s="21"/>
      <c r="GS20" s="21"/>
      <c r="GT20" s="21"/>
      <c r="GU20" s="21"/>
      <c r="GV20" s="21"/>
      <c r="GW20" s="21"/>
      <c r="GX20" s="21"/>
      <c r="GY20" s="21"/>
      <c r="GZ20" s="21"/>
      <c r="HA20" s="21"/>
      <c r="HB20" s="21"/>
      <c r="HC20" s="21"/>
      <c r="HD20" s="21"/>
      <c r="HE20" s="21"/>
      <c r="HF20" s="21"/>
      <c r="HG20" s="197"/>
      <c r="HH20" s="21"/>
    </row>
    <row r="21" spans="1:216" x14ac:dyDescent="0.25">
      <c r="A21" s="1"/>
      <c r="B21" s="1"/>
      <c r="C21" s="1"/>
      <c r="D21" s="1"/>
      <c r="E21" s="1"/>
      <c r="F21" s="1"/>
      <c r="G21" s="1"/>
      <c r="H21" s="1"/>
      <c r="I21" s="1"/>
      <c r="J21" s="1"/>
      <c r="K21" s="1"/>
      <c r="L21" s="6" t="s">
        <v>1019</v>
      </c>
      <c r="M21" s="11">
        <f>INDEX(cennik!$C$2:$L$529,MATCH($L21,cennik!$B$2:$B$522,0),MATCH(M$2,cennik!$C$1:$L$1,0))</f>
        <v>166794</v>
      </c>
      <c r="N21" s="11" t="str">
        <f>INDEX(cennik!$C$2:$L$529,MATCH($L21,cennik!$B$2:$B$522,0),MATCH(N$2,cennik!$C$1:$L$1,0))</f>
        <v>100 szt.</v>
      </c>
      <c r="O21" s="11">
        <f>ROUNDUP(O20/100,0)</f>
        <v>0</v>
      </c>
      <c r="P21" s="34">
        <f>INDEX(cennik!$C$2:$L$529,MATCH($L21,cennik!$B$2:$B$522,0),MATCH(P$2,cennik!$C$1:$L$1,0))</f>
        <v>3.95</v>
      </c>
      <c r="Q21" s="34">
        <f t="shared" si="10"/>
        <v>0</v>
      </c>
      <c r="R21" s="35">
        <f t="shared" si="1"/>
        <v>0</v>
      </c>
      <c r="S21" s="34">
        <f t="shared" si="37"/>
        <v>3.95</v>
      </c>
      <c r="T21" s="34">
        <f t="shared" si="11"/>
        <v>0</v>
      </c>
      <c r="U21" s="34">
        <f>INDEX(cennik!$C$2:$L$529,MATCH($L21,cennik!$B$2:$B$522,0),MATCH(U$2,cennik!$C$1:$L$1,0))*O21</f>
        <v>0</v>
      </c>
      <c r="V21" s="25"/>
      <c r="W21" s="180">
        <f>INDEX(($EL$3:$EX$6,$EL$9:$EX$12,$EL$15:$EX$18,$FA$3:$FM$6,$FA$9:$FM$12,$FA$15:$FM$18,$FP$3:$GB$6,$FP$9:$GB$12,$FP$15:$GB$18,$GE$3:$GQ$6,$GE$9:$GQ$12,$GE$15:$GQ$18,$GT$3:$HF$6,$GT$9:$HF$12),MATCH($L$17,$EK$3:$EK$6,0),MATCH($A2,$EL$2:$EX$2,0),MATCH($E$3,$AE$33:$AE$48,0))*$C2</f>
        <v>0</v>
      </c>
      <c r="AC21" s="21"/>
      <c r="AD21" s="21"/>
      <c r="AE21" s="21"/>
      <c r="AF21" s="21"/>
      <c r="AG21" s="21"/>
      <c r="AH21" s="21"/>
      <c r="AI21" s="21"/>
      <c r="AJ21" s="21">
        <f>((AJ20/4)*AK20)+(((AJ20/4)-1)*20)-700</f>
        <v>29440</v>
      </c>
      <c r="AK21" s="21" t="s">
        <v>158</v>
      </c>
      <c r="AL21" s="21" t="s">
        <v>156</v>
      </c>
      <c r="AM21" s="21" t="s">
        <v>155</v>
      </c>
      <c r="AN21" s="21"/>
      <c r="AO21" s="21" t="s">
        <v>157</v>
      </c>
      <c r="AP21" s="21"/>
      <c r="AQ21" s="21"/>
      <c r="AR21" s="186" t="s">
        <v>433</v>
      </c>
      <c r="AS21" s="21"/>
      <c r="AT21" s="21"/>
      <c r="AU21" s="21"/>
      <c r="AV21" s="21"/>
      <c r="AW21" s="21"/>
      <c r="AX21" s="21"/>
      <c r="AY21" s="21"/>
      <c r="AZ21" s="21"/>
      <c r="BA21" s="21"/>
      <c r="BB21" s="21"/>
      <c r="BC21" s="21"/>
      <c r="BD21" s="21"/>
      <c r="BE21" s="21"/>
      <c r="BF21" s="21"/>
      <c r="BG21" s="21"/>
      <c r="BH21" s="21"/>
      <c r="BI21" s="21"/>
      <c r="BJ21" s="21"/>
      <c r="BK21" s="21"/>
      <c r="BL21" s="21"/>
      <c r="BM21" s="21"/>
      <c r="BN21" s="21"/>
      <c r="BO21" s="21"/>
      <c r="BP21" s="21"/>
      <c r="BQ21" s="21"/>
      <c r="BR21" s="21"/>
      <c r="BS21" s="21"/>
      <c r="BT21" s="21"/>
      <c r="BU21" s="21"/>
      <c r="BV21" s="21"/>
      <c r="BW21" s="21"/>
      <c r="BX21" s="21"/>
      <c r="BY21" s="21"/>
      <c r="BZ21" s="21"/>
      <c r="CA21" s="21"/>
      <c r="CB21" s="21"/>
      <c r="CC21" s="21"/>
      <c r="CD21" s="21"/>
      <c r="CE21" s="21"/>
      <c r="CF21" s="21"/>
      <c r="CG21" s="21"/>
      <c r="CH21" s="21"/>
      <c r="CI21" s="21"/>
      <c r="CJ21" s="21"/>
      <c r="CK21" s="21"/>
      <c r="CL21" s="21"/>
      <c r="CM21" s="21"/>
      <c r="CN21" s="21"/>
      <c r="CO21" s="21"/>
      <c r="CP21" s="21"/>
      <c r="CQ21" s="21"/>
      <c r="CR21" s="21"/>
      <c r="CS21" s="21"/>
      <c r="CT21" s="21"/>
      <c r="CU21" s="21"/>
      <c r="CV21" s="21"/>
      <c r="CW21" s="21"/>
      <c r="CX21" s="21"/>
      <c r="CY21" s="21"/>
      <c r="CZ21" s="21"/>
      <c r="DA21" s="21"/>
      <c r="DB21" s="21"/>
      <c r="DC21" s="21"/>
      <c r="DD21" s="21"/>
      <c r="DE21" s="21"/>
      <c r="DF21" s="21"/>
      <c r="DG21" s="21"/>
      <c r="DH21" s="21"/>
      <c r="DI21" s="21"/>
      <c r="DJ21" s="21"/>
      <c r="DK21" s="21"/>
      <c r="DL21" s="21"/>
      <c r="DM21" s="21"/>
      <c r="DN21" s="21"/>
      <c r="DO21" s="21"/>
      <c r="DP21" s="21"/>
      <c r="DQ21" s="87"/>
      <c r="DR21" s="54">
        <v>35</v>
      </c>
      <c r="DS21" s="87">
        <v>1</v>
      </c>
      <c r="DT21" s="21"/>
      <c r="DU21" s="21"/>
      <c r="DV21" s="21"/>
      <c r="DW21" s="21"/>
      <c r="DX21" s="21"/>
      <c r="DY21" s="21"/>
      <c r="DZ21" s="21"/>
      <c r="EA21" s="21"/>
      <c r="EB21" s="21"/>
      <c r="EC21" s="21"/>
      <c r="ED21" s="21"/>
      <c r="EE21" s="21"/>
      <c r="EF21" s="21"/>
      <c r="EG21" s="21"/>
      <c r="EH21" s="21"/>
      <c r="EI21" s="21"/>
      <c r="EJ21" s="196"/>
      <c r="EK21" s="21"/>
      <c r="EL21" s="21"/>
      <c r="EM21" s="21"/>
      <c r="EN21" s="21"/>
      <c r="EO21" s="21"/>
      <c r="EP21" s="21"/>
      <c r="EQ21" s="21"/>
      <c r="ER21" s="21"/>
      <c r="ES21" s="21"/>
      <c r="ET21" s="21"/>
      <c r="EU21" s="21"/>
      <c r="EV21" s="21"/>
      <c r="EW21" s="21"/>
      <c r="EX21" s="21"/>
      <c r="EY21" s="21"/>
      <c r="EZ21" s="21"/>
      <c r="FA21" s="21"/>
      <c r="FB21" s="21"/>
      <c r="FC21" s="21"/>
      <c r="FD21" s="21"/>
      <c r="FE21" s="21"/>
      <c r="FF21" s="21"/>
      <c r="FG21" s="21"/>
      <c r="FH21" s="21"/>
      <c r="FI21" s="21"/>
      <c r="FJ21" s="21"/>
      <c r="FK21" s="21"/>
      <c r="FL21" s="21"/>
      <c r="FM21" s="21"/>
      <c r="FN21" s="21"/>
      <c r="FO21" s="21"/>
      <c r="FP21" s="21"/>
      <c r="FQ21" s="21"/>
      <c r="FR21" s="21"/>
      <c r="FS21" s="21"/>
      <c r="FT21" s="21"/>
      <c r="FU21" s="21"/>
      <c r="FV21" s="21"/>
      <c r="FW21" s="21"/>
      <c r="FX21" s="21"/>
      <c r="FY21" s="21"/>
      <c r="FZ21" s="21"/>
      <c r="GA21" s="21"/>
      <c r="GB21" s="21"/>
      <c r="GC21" s="21"/>
      <c r="GD21" s="21"/>
      <c r="GE21" s="21"/>
      <c r="GF21" s="21"/>
      <c r="GG21" s="21"/>
      <c r="GH21" s="21"/>
      <c r="GI21" s="21"/>
      <c r="GJ21" s="21"/>
      <c r="GK21" s="21"/>
      <c r="GL21" s="21"/>
      <c r="GM21" s="21"/>
      <c r="GN21" s="21"/>
      <c r="GO21" s="21"/>
      <c r="GP21" s="21"/>
      <c r="GQ21" s="21"/>
      <c r="GR21" s="21"/>
      <c r="GS21" s="21"/>
      <c r="GT21" s="21"/>
      <c r="GU21" s="21"/>
      <c r="GV21" s="21"/>
      <c r="GW21" s="21"/>
      <c r="GX21" s="21"/>
      <c r="GY21" s="21"/>
      <c r="GZ21" s="21"/>
      <c r="HA21" s="21"/>
      <c r="HB21" s="21"/>
      <c r="HC21" s="21"/>
      <c r="HD21" s="21"/>
      <c r="HE21" s="21"/>
      <c r="HF21" s="21"/>
      <c r="HG21" s="197"/>
      <c r="HH21" s="21"/>
    </row>
    <row r="22" spans="1:216" ht="15.75" thickBot="1" x14ac:dyDescent="0.3">
      <c r="A22" s="1"/>
      <c r="B22" s="1"/>
      <c r="C22" s="1"/>
      <c r="D22" s="1"/>
      <c r="E22" s="1"/>
      <c r="F22" s="1"/>
      <c r="G22" s="1"/>
      <c r="H22" s="1"/>
      <c r="I22" s="1"/>
      <c r="J22" s="1"/>
      <c r="K22" s="1"/>
      <c r="L22" s="6" t="s">
        <v>525</v>
      </c>
      <c r="M22" s="11">
        <f>INDEX(cennik!$C$2:$L$529,MATCH($L22,cennik!$B$2:$B$522,0),MATCH(M$2,cennik!$C$1:$L$1,0))</f>
        <v>660245</v>
      </c>
      <c r="N22" s="11" t="str">
        <f>INDEX(cennik!$C$2:$L$529,MATCH($L22,cennik!$B$2:$B$522,0),MATCH(N$2,cennik!$C$1:$L$1,0))</f>
        <v>szt.</v>
      </c>
      <c r="O22" s="11">
        <f>SUM(O18:O19)</f>
        <v>0</v>
      </c>
      <c r="P22" s="34">
        <f>INDEX(cennik!$C$2:$L$529,MATCH($L22,cennik!$B$2:$B$522,0),MATCH(P$2,cennik!$C$1:$L$1,0))</f>
        <v>1.56</v>
      </c>
      <c r="Q22" s="34">
        <f t="shared" si="10"/>
        <v>0</v>
      </c>
      <c r="R22" s="35">
        <f t="shared" si="1"/>
        <v>0</v>
      </c>
      <c r="S22" s="34">
        <f t="shared" si="37"/>
        <v>1.56</v>
      </c>
      <c r="T22" s="34">
        <f t="shared" si="11"/>
        <v>0</v>
      </c>
      <c r="U22" s="34">
        <f>INDEX(cennik!$C$2:$L$529,MATCH($L22,cennik!$B$2:$B$522,0),MATCH(U$2,cennik!$C$1:$L$1,0))*O22</f>
        <v>0</v>
      </c>
      <c r="V22" s="25"/>
      <c r="AC22" s="21"/>
      <c r="AD22" s="21"/>
      <c r="AE22" s="21"/>
      <c r="AF22" s="21"/>
      <c r="AG22" s="21"/>
      <c r="AH22" s="21"/>
      <c r="AI22" s="21" t="s">
        <v>217</v>
      </c>
      <c r="AJ22" s="21">
        <v>6600</v>
      </c>
      <c r="AK22" s="21">
        <v>4</v>
      </c>
      <c r="AL22" s="21">
        <f>AJ22*AK22</f>
        <v>26400</v>
      </c>
      <c r="AM22" s="21">
        <v>191.1</v>
      </c>
      <c r="AN22" s="21">
        <f>AK22*AM22</f>
        <v>764.4</v>
      </c>
      <c r="AO22" s="21">
        <f>AK22*5</f>
        <v>20</v>
      </c>
      <c r="AP22" s="21"/>
      <c r="AQ22" s="21"/>
      <c r="AR22" s="21" t="s">
        <v>717</v>
      </c>
      <c r="AS22" s="21" t="s">
        <v>1157</v>
      </c>
      <c r="AT22" s="21">
        <v>2</v>
      </c>
      <c r="AU22" s="21" t="s">
        <v>1022</v>
      </c>
      <c r="AV22" s="21">
        <v>4</v>
      </c>
      <c r="AW22" s="21">
        <v>5</v>
      </c>
      <c r="AX22" s="21"/>
      <c r="AY22" s="21"/>
      <c r="AZ22" s="21"/>
      <c r="BA22" s="21"/>
      <c r="BB22" s="21"/>
      <c r="BC22" s="21"/>
      <c r="BD22" s="21"/>
      <c r="BE22" s="21"/>
      <c r="BF22" s="21"/>
      <c r="BG22" s="21"/>
      <c r="BH22" s="21"/>
      <c r="BI22" s="21"/>
      <c r="BJ22" s="21"/>
      <c r="BK22" s="21"/>
      <c r="BL22" s="21"/>
      <c r="BM22" s="21"/>
      <c r="BN22" s="21"/>
      <c r="BO22" s="21"/>
      <c r="BP22" s="21"/>
      <c r="BQ22" s="21"/>
      <c r="BR22" s="21"/>
      <c r="BS22" s="21"/>
      <c r="BT22" s="21"/>
      <c r="BU22" s="21"/>
      <c r="BV22" s="21"/>
      <c r="BW22" s="21"/>
      <c r="BX22" s="21"/>
      <c r="BY22" s="21"/>
      <c r="BZ22" s="21"/>
      <c r="CA22" s="21"/>
      <c r="CB22" s="21"/>
      <c r="CC22" s="21"/>
      <c r="CD22" s="21"/>
      <c r="CE22" s="21"/>
      <c r="CF22" s="21"/>
      <c r="CG22" s="21"/>
      <c r="CH22" s="21"/>
      <c r="CI22" s="21"/>
      <c r="CJ22" s="21"/>
      <c r="CK22" s="21"/>
      <c r="CL22" s="21"/>
      <c r="CM22" s="21"/>
      <c r="CN22" s="21"/>
      <c r="CO22" s="21"/>
      <c r="CP22" s="21"/>
      <c r="CQ22" s="21"/>
      <c r="CR22" s="21"/>
      <c r="CS22" s="21"/>
      <c r="CT22" s="21"/>
      <c r="CU22" s="21"/>
      <c r="CV22" s="21"/>
      <c r="CW22" s="21"/>
      <c r="CX22" s="21"/>
      <c r="CY22" s="21"/>
      <c r="CZ22" s="21"/>
      <c r="DA22" s="21"/>
      <c r="DB22" s="21"/>
      <c r="DC22" s="21"/>
      <c r="DD22" s="21"/>
      <c r="DE22" s="21"/>
      <c r="DF22" s="21"/>
      <c r="DG22" s="21"/>
      <c r="DH22" s="21"/>
      <c r="DI22" s="21"/>
      <c r="DJ22" s="21"/>
      <c r="DK22" s="21"/>
      <c r="DL22" s="21"/>
      <c r="DM22" s="21"/>
      <c r="DN22" s="21"/>
      <c r="DO22" s="21"/>
      <c r="DP22" s="21"/>
      <c r="DQ22" s="87"/>
      <c r="DR22" s="54">
        <v>38</v>
      </c>
      <c r="DS22" s="87">
        <v>2</v>
      </c>
      <c r="DT22" s="21"/>
      <c r="DU22" s="21"/>
      <c r="DV22" s="21"/>
      <c r="DW22" s="21"/>
      <c r="DX22" s="21"/>
      <c r="DY22" s="21"/>
      <c r="DZ22" s="21"/>
      <c r="EA22" s="21"/>
      <c r="EB22" s="21"/>
      <c r="EC22" s="21"/>
      <c r="ED22" s="21"/>
      <c r="EE22" s="21"/>
      <c r="EF22" s="21"/>
      <c r="EG22" s="21"/>
      <c r="EH22" s="21"/>
      <c r="EI22" s="21"/>
      <c r="EJ22" s="203"/>
      <c r="EK22" s="204"/>
      <c r="EL22" s="204"/>
      <c r="EM22" s="204"/>
      <c r="EN22" s="204"/>
      <c r="EO22" s="204"/>
      <c r="EP22" s="204"/>
      <c r="EQ22" s="204"/>
      <c r="ER22" s="204"/>
      <c r="ES22" s="204"/>
      <c r="ET22" s="204"/>
      <c r="EU22" s="204"/>
      <c r="EV22" s="204"/>
      <c r="EW22" s="204"/>
      <c r="EX22" s="204"/>
      <c r="EY22" s="204"/>
      <c r="EZ22" s="204"/>
      <c r="FA22" s="204"/>
      <c r="FB22" s="204"/>
      <c r="FC22" s="204"/>
      <c r="FD22" s="204"/>
      <c r="FE22" s="204"/>
      <c r="FF22" s="204"/>
      <c r="FG22" s="204"/>
      <c r="FH22" s="204"/>
      <c r="FI22" s="204"/>
      <c r="FJ22" s="204"/>
      <c r="FK22" s="204"/>
      <c r="FL22" s="204"/>
      <c r="FM22" s="204"/>
      <c r="FN22" s="204"/>
      <c r="FO22" s="204"/>
      <c r="FP22" s="204"/>
      <c r="FQ22" s="204"/>
      <c r="FR22" s="204"/>
      <c r="FS22" s="204"/>
      <c r="FT22" s="204"/>
      <c r="FU22" s="204"/>
      <c r="FV22" s="204"/>
      <c r="FW22" s="204"/>
      <c r="FX22" s="204"/>
      <c r="FY22" s="204"/>
      <c r="FZ22" s="204"/>
      <c r="GA22" s="204"/>
      <c r="GB22" s="204"/>
      <c r="GC22" s="204"/>
      <c r="GD22" s="204"/>
      <c r="GE22" s="204"/>
      <c r="GF22" s="204"/>
      <c r="GG22" s="204"/>
      <c r="GH22" s="204"/>
      <c r="GI22" s="204"/>
      <c r="GJ22" s="204"/>
      <c r="GK22" s="204"/>
      <c r="GL22" s="204"/>
      <c r="GM22" s="204"/>
      <c r="GN22" s="204"/>
      <c r="GO22" s="204"/>
      <c r="GP22" s="204"/>
      <c r="GQ22" s="204"/>
      <c r="GR22" s="204"/>
      <c r="GS22" s="204"/>
      <c r="GT22" s="204"/>
      <c r="GU22" s="204"/>
      <c r="GV22" s="204"/>
      <c r="GW22" s="204"/>
      <c r="GX22" s="204"/>
      <c r="GY22" s="204"/>
      <c r="GZ22" s="204"/>
      <c r="HA22" s="204"/>
      <c r="HB22" s="204"/>
      <c r="HC22" s="204"/>
      <c r="HD22" s="204"/>
      <c r="HE22" s="204"/>
      <c r="HF22" s="204"/>
      <c r="HG22" s="205"/>
      <c r="HH22" s="21"/>
    </row>
    <row r="23" spans="1:216" x14ac:dyDescent="0.25">
      <c r="A23" s="1"/>
      <c r="B23" s="1"/>
      <c r="C23" s="1"/>
      <c r="D23" s="1"/>
      <c r="E23" s="1"/>
      <c r="F23" s="1"/>
      <c r="G23" s="1"/>
      <c r="H23" s="1"/>
      <c r="I23" s="1"/>
      <c r="J23" s="1"/>
      <c r="K23" s="1"/>
      <c r="L23" s="6" t="s">
        <v>799</v>
      </c>
      <c r="M23" s="11">
        <f>INDEX(cennik!$C$2:$L$529,MATCH($L23,cennik!$B$2:$B$522,0),MATCH(M$2,cennik!$C$1:$L$1,0))</f>
        <v>6510443</v>
      </c>
      <c r="N23" s="11" t="str">
        <f>INDEX(cennik!$C$2:$L$529,MATCH($L23,cennik!$B$2:$B$522,0),MATCH(N$2,cennik!$C$1:$L$1,0))</f>
        <v>100 szt.</v>
      </c>
      <c r="O23" s="11">
        <f>O24</f>
        <v>0</v>
      </c>
      <c r="P23" s="34">
        <f>INDEX(cennik!$C$2:$L$529,MATCH($L23,cennik!$B$2:$B$522,0),MATCH(P$2,cennik!$C$1:$L$1,0))</f>
        <v>43.51</v>
      </c>
      <c r="Q23" s="34">
        <f t="shared" si="10"/>
        <v>0</v>
      </c>
      <c r="R23" s="35">
        <f t="shared" si="1"/>
        <v>0</v>
      </c>
      <c r="S23" s="34">
        <f t="shared" si="37"/>
        <v>43.51</v>
      </c>
      <c r="T23" s="34">
        <f t="shared" si="11"/>
        <v>0</v>
      </c>
      <c r="U23" s="34">
        <f>INDEX(cennik!$C$2:$L$529,MATCH($L23,cennik!$B$2:$B$522,0),MATCH(U$2,cennik!$C$1:$L$1,0))*O23</f>
        <v>0</v>
      </c>
      <c r="V23" s="25"/>
      <c r="AC23" s="21"/>
      <c r="AD23" s="21"/>
      <c r="AE23" s="21"/>
      <c r="AF23" s="21"/>
      <c r="AG23" s="21"/>
      <c r="AH23" s="21"/>
      <c r="AI23" s="21" t="s">
        <v>216</v>
      </c>
      <c r="AJ23" s="21">
        <v>4400</v>
      </c>
      <c r="AK23" s="21">
        <v>0</v>
      </c>
      <c r="AL23" s="21">
        <f>AJ23*AK23</f>
        <v>0</v>
      </c>
      <c r="AM23" s="21">
        <v>127.4</v>
      </c>
      <c r="AN23" s="21">
        <f>AK23*AM23</f>
        <v>0</v>
      </c>
      <c r="AO23" s="21">
        <f>AK23*5</f>
        <v>0</v>
      </c>
      <c r="AP23" s="21"/>
      <c r="AQ23" s="21"/>
      <c r="AR23" s="21">
        <v>1</v>
      </c>
      <c r="AS23" s="21">
        <v>2900</v>
      </c>
      <c r="AT23" s="21">
        <v>2900</v>
      </c>
      <c r="AU23" s="21">
        <v>2700</v>
      </c>
      <c r="AV23" s="21">
        <v>2700</v>
      </c>
      <c r="AW23" s="21" t="s">
        <v>719</v>
      </c>
      <c r="AX23" s="21"/>
      <c r="AY23" s="21"/>
      <c r="AZ23" s="21"/>
      <c r="BA23" s="21"/>
      <c r="BB23" s="21"/>
      <c r="BC23" s="21"/>
      <c r="BD23" s="21"/>
      <c r="BE23" s="21"/>
      <c r="BF23" s="21"/>
      <c r="BG23" s="21"/>
      <c r="BH23" s="21"/>
      <c r="BI23" s="21"/>
      <c r="BJ23" s="21"/>
      <c r="BK23" s="21"/>
      <c r="BL23" s="21"/>
      <c r="BM23" s="21"/>
      <c r="BN23" s="21"/>
      <c r="BO23" s="21"/>
      <c r="BP23" s="21"/>
      <c r="BQ23" s="21"/>
      <c r="BR23" s="21"/>
      <c r="BS23" s="21"/>
      <c r="BT23" s="21"/>
      <c r="BU23" s="21"/>
      <c r="BV23" s="21"/>
      <c r="BW23" s="21"/>
      <c r="BX23" s="21"/>
      <c r="BY23" s="21"/>
      <c r="BZ23" s="21"/>
      <c r="CA23" s="21"/>
      <c r="CB23" s="21"/>
      <c r="CC23" s="21"/>
      <c r="CD23" s="21"/>
      <c r="CE23" s="21"/>
      <c r="CF23" s="21"/>
      <c r="CG23" s="21"/>
      <c r="CH23" s="21"/>
      <c r="CI23" s="21"/>
      <c r="CJ23" s="21"/>
      <c r="CK23" s="21"/>
      <c r="CL23" s="21"/>
      <c r="CM23" s="21"/>
      <c r="CN23" s="21"/>
      <c r="CO23" s="21"/>
      <c r="CP23" s="21"/>
      <c r="CQ23" s="21"/>
      <c r="CR23" s="21"/>
      <c r="CS23" s="21"/>
      <c r="CT23" s="21"/>
      <c r="CU23" s="21"/>
      <c r="CV23" s="21"/>
      <c r="CW23" s="21"/>
      <c r="CX23" s="21"/>
      <c r="CY23" s="21"/>
      <c r="CZ23" s="21"/>
      <c r="DA23" s="21"/>
      <c r="DB23" s="21"/>
      <c r="DC23" s="21"/>
      <c r="DD23" s="21"/>
      <c r="DE23" s="21"/>
      <c r="DF23" s="21"/>
      <c r="DG23" s="21"/>
      <c r="DH23" s="21"/>
      <c r="DI23" s="21"/>
      <c r="DJ23" s="21"/>
      <c r="DK23" s="21"/>
      <c r="DL23" s="21"/>
      <c r="DM23" s="21"/>
      <c r="DN23" s="21"/>
      <c r="DO23" s="21"/>
      <c r="DP23" s="21"/>
      <c r="DQ23" s="87"/>
      <c r="DR23" s="54">
        <v>40</v>
      </c>
      <c r="DS23" s="87" t="s">
        <v>725</v>
      </c>
      <c r="DT23" s="21"/>
      <c r="DU23" s="21"/>
      <c r="DV23" s="21"/>
      <c r="DW23" s="21"/>
      <c r="DX23" s="21"/>
      <c r="DY23" s="21"/>
      <c r="DZ23" s="21"/>
      <c r="EA23" s="21"/>
      <c r="EB23" s="21"/>
      <c r="EC23" s="21"/>
      <c r="ED23" s="21"/>
      <c r="EE23" s="21"/>
      <c r="EF23" s="21"/>
      <c r="EG23" s="21"/>
      <c r="EH23" s="21"/>
      <c r="EI23" s="21"/>
      <c r="EJ23" s="21"/>
      <c r="EK23" s="21"/>
      <c r="EL23" s="21"/>
      <c r="EM23" s="21"/>
      <c r="EN23" s="21"/>
      <c r="EO23" s="21"/>
      <c r="EP23" s="21"/>
      <c r="EQ23" s="21"/>
      <c r="ER23" s="21"/>
      <c r="ES23" s="21"/>
      <c r="ET23" s="21"/>
      <c r="EU23" s="21"/>
      <c r="EV23" s="21"/>
      <c r="EW23" s="21"/>
      <c r="EX23" s="21"/>
      <c r="EY23" s="21"/>
      <c r="EZ23" s="21"/>
      <c r="FA23" s="21"/>
      <c r="FB23" s="21"/>
      <c r="FC23" s="21"/>
      <c r="FD23" s="21"/>
      <c r="FE23" s="21"/>
      <c r="FF23" s="21"/>
      <c r="FG23" s="21"/>
      <c r="FH23" s="21"/>
      <c r="FI23" s="21"/>
      <c r="FJ23" s="21"/>
      <c r="FK23" s="21"/>
      <c r="FL23" s="21"/>
      <c r="FM23" s="21"/>
      <c r="FN23" s="21"/>
      <c r="FO23" s="21"/>
      <c r="FP23" s="21"/>
      <c r="FQ23" s="21"/>
      <c r="FR23" s="21"/>
      <c r="FS23" s="21"/>
      <c r="FT23" s="21"/>
      <c r="FU23" s="21"/>
      <c r="FV23" s="21"/>
      <c r="FW23" s="21"/>
      <c r="FX23" s="21"/>
      <c r="FY23" s="21"/>
      <c r="FZ23" s="21"/>
      <c r="GA23" s="21"/>
      <c r="GB23" s="21"/>
      <c r="GC23" s="21"/>
      <c r="GD23" s="21"/>
      <c r="GE23" s="21"/>
      <c r="GF23" s="21"/>
      <c r="GG23" s="21"/>
      <c r="GH23" s="21"/>
      <c r="GI23" s="21"/>
      <c r="GJ23" s="21"/>
      <c r="GK23" s="21"/>
      <c r="GL23" s="21"/>
      <c r="GM23" s="21"/>
      <c r="GN23" s="21"/>
      <c r="GO23" s="21"/>
      <c r="GP23" s="21"/>
      <c r="GQ23" s="21"/>
      <c r="GR23" s="21"/>
      <c r="GS23" s="21"/>
      <c r="GT23" s="21"/>
      <c r="GU23" s="21"/>
      <c r="GV23" s="21"/>
      <c r="GW23" s="21"/>
      <c r="GX23" s="21"/>
      <c r="GY23" s="21"/>
      <c r="GZ23" s="21"/>
      <c r="HA23" s="21"/>
      <c r="HB23" s="21"/>
      <c r="HC23" s="21"/>
      <c r="HD23" s="21"/>
      <c r="HE23" s="21"/>
      <c r="HF23" s="21"/>
      <c r="HG23" s="21"/>
      <c r="HH23" s="21"/>
    </row>
    <row r="24" spans="1:216" x14ac:dyDescent="0.25">
      <c r="A24" s="1"/>
      <c r="B24" s="1"/>
      <c r="C24" s="1"/>
      <c r="D24" s="1"/>
      <c r="E24" s="1"/>
      <c r="F24" s="1"/>
      <c r="G24" s="1"/>
      <c r="H24" s="1"/>
      <c r="I24" s="1"/>
      <c r="J24" s="1"/>
      <c r="K24" s="1"/>
      <c r="L24" s="6" t="s">
        <v>350</v>
      </c>
      <c r="M24" s="11">
        <f>INDEX(cennik!$C$2:$L$529,MATCH($L24,cennik!$B$2:$B$522,0),MATCH(M$2,cennik!$C$1:$L$1,0))</f>
        <v>651643</v>
      </c>
      <c r="N24" s="11" t="str">
        <f>INDEX(cennik!$C$2:$L$529,MATCH($L24,cennik!$B$2:$B$522,0),MATCH(N$2,cennik!$C$1:$L$1,0))</f>
        <v>100 szt.</v>
      </c>
      <c r="O24" s="11">
        <f>ROUNDUP(((O5*12)+(O12*2)+(O30*2)+(O17*4)+(O4*9)+(O26*2)+E8+(O11*3)+(O8*12)+(O31*2))/100,0)</f>
        <v>0</v>
      </c>
      <c r="P24" s="34">
        <f>INDEX(cennik!$C$2:$L$529,MATCH($L24,cennik!$B$2:$B$522,0),MATCH(P$2,cennik!$C$1:$L$1,0))</f>
        <v>144.19</v>
      </c>
      <c r="Q24" s="34">
        <f>O24*P24</f>
        <v>0</v>
      </c>
      <c r="R24" s="35">
        <f t="shared" si="1"/>
        <v>0</v>
      </c>
      <c r="S24" s="34">
        <f>P24*((100-$E$7)/100)</f>
        <v>144.19</v>
      </c>
      <c r="T24" s="34">
        <f>O24*S24</f>
        <v>0</v>
      </c>
      <c r="U24" s="34">
        <f>INDEX(cennik!$C$2:$L$529,MATCH($L24,cennik!$B$2:$B$522,0),MATCH(U$2,cennik!$C$1:$L$1,0))*O24</f>
        <v>0</v>
      </c>
      <c r="V24" s="25"/>
      <c r="AC24" s="21"/>
      <c r="AD24" s="21"/>
      <c r="AE24" s="189" t="s">
        <v>114</v>
      </c>
      <c r="AF24" s="21">
        <v>1000</v>
      </c>
      <c r="AG24" s="25"/>
      <c r="AH24" s="21"/>
      <c r="AI24" s="21" t="s">
        <v>17</v>
      </c>
      <c r="AJ24" s="21">
        <v>3300</v>
      </c>
      <c r="AK24" s="21">
        <v>1</v>
      </c>
      <c r="AL24" s="21">
        <f>AJ24*AK24</f>
        <v>3300</v>
      </c>
      <c r="AM24" s="21">
        <v>95.55</v>
      </c>
      <c r="AN24" s="21">
        <f>AK24*AM24</f>
        <v>95.55</v>
      </c>
      <c r="AO24" s="21">
        <f>AK24*5</f>
        <v>5</v>
      </c>
      <c r="AP24" s="21"/>
      <c r="AQ24" s="21"/>
      <c r="AR24" s="21">
        <v>2</v>
      </c>
      <c r="AS24" s="21" t="s">
        <v>719</v>
      </c>
      <c r="AT24" s="21">
        <v>2000</v>
      </c>
      <c r="AU24" s="21">
        <v>2000</v>
      </c>
      <c r="AV24" s="21" t="s">
        <v>719</v>
      </c>
      <c r="AW24" s="21" t="s">
        <v>719</v>
      </c>
      <c r="AX24" s="21"/>
      <c r="AY24" s="21"/>
      <c r="AZ24" s="21"/>
      <c r="BA24" s="21"/>
      <c r="BB24" s="21"/>
      <c r="BC24" s="21"/>
      <c r="BD24" s="21"/>
      <c r="BE24" s="21"/>
      <c r="BF24" s="21"/>
      <c r="BG24" s="21"/>
      <c r="BH24" s="21"/>
      <c r="BI24" s="21"/>
      <c r="BJ24" s="21"/>
      <c r="BK24" s="21"/>
      <c r="BL24" s="21"/>
      <c r="BM24" s="21"/>
      <c r="BN24" s="21"/>
      <c r="BO24" s="21"/>
      <c r="BP24" s="21"/>
      <c r="BQ24" s="21"/>
      <c r="BR24" s="21"/>
      <c r="BS24" s="21"/>
      <c r="BT24" s="21"/>
      <c r="BU24" s="21"/>
      <c r="BV24" s="21"/>
      <c r="BW24" s="21"/>
      <c r="BX24" s="21"/>
      <c r="BY24" s="21"/>
      <c r="BZ24" s="21"/>
      <c r="CA24" s="21"/>
      <c r="CB24" s="21"/>
      <c r="CC24" s="21"/>
      <c r="CD24" s="21"/>
      <c r="CE24" s="21"/>
      <c r="CF24" s="21"/>
      <c r="CG24" s="21"/>
      <c r="CH24" s="21"/>
      <c r="CI24" s="21"/>
      <c r="CJ24" s="21"/>
      <c r="CK24" s="21"/>
      <c r="CL24" s="21"/>
      <c r="CM24" s="21"/>
      <c r="CN24" s="21"/>
      <c r="CO24" s="21"/>
      <c r="CP24" s="21"/>
      <c r="CQ24" s="21"/>
      <c r="CR24" s="21"/>
      <c r="CS24" s="21"/>
      <c r="CT24" s="21"/>
      <c r="CU24" s="21"/>
      <c r="CV24" s="21"/>
      <c r="CW24" s="21"/>
      <c r="CX24" s="21"/>
      <c r="CY24" s="21"/>
      <c r="CZ24" s="21"/>
      <c r="DA24" s="21"/>
      <c r="DB24" s="21"/>
      <c r="DC24" s="21"/>
      <c r="DD24" s="21"/>
      <c r="DE24" s="21"/>
      <c r="DF24" s="21"/>
      <c r="DG24" s="21"/>
      <c r="DH24" s="21"/>
      <c r="DI24" s="21"/>
      <c r="DJ24" s="21"/>
      <c r="DK24" s="21"/>
      <c r="DL24" s="21"/>
      <c r="DM24" s="21"/>
      <c r="DN24" s="21"/>
      <c r="DO24" s="21"/>
      <c r="DP24" s="21"/>
      <c r="DQ24" s="87"/>
      <c r="DR24" s="54">
        <v>42</v>
      </c>
      <c r="DS24" s="87"/>
      <c r="DT24" s="21"/>
      <c r="DU24" s="21"/>
      <c r="DV24" s="21"/>
      <c r="DW24" s="21"/>
      <c r="DX24" s="21"/>
      <c r="DY24" s="21"/>
      <c r="DZ24" s="21"/>
      <c r="EA24" s="21"/>
      <c r="EB24" s="21"/>
      <c r="EC24" s="21"/>
      <c r="ED24" s="21"/>
      <c r="EE24" s="21"/>
      <c r="EF24" s="21"/>
      <c r="EG24" s="21"/>
      <c r="EH24" s="21"/>
      <c r="EI24" s="21"/>
      <c r="EJ24" s="21"/>
      <c r="EK24" s="21"/>
      <c r="EL24" s="21"/>
      <c r="EM24" s="21"/>
      <c r="EN24" s="21"/>
      <c r="EO24" s="21"/>
      <c r="EP24" s="21"/>
      <c r="EQ24" s="21"/>
      <c r="ER24" s="21"/>
      <c r="ES24" s="21"/>
      <c r="ET24" s="21"/>
      <c r="EU24" s="21"/>
      <c r="EV24" s="21"/>
      <c r="EW24" s="21"/>
      <c r="EX24" s="21"/>
      <c r="EY24" s="21"/>
      <c r="EZ24" s="21"/>
      <c r="FA24" s="21"/>
      <c r="FB24" s="21"/>
      <c r="FC24" s="21"/>
      <c r="FD24" s="21"/>
      <c r="FE24" s="21"/>
      <c r="FF24" s="21"/>
      <c r="FG24" s="21"/>
      <c r="FH24" s="21"/>
      <c r="FI24" s="21"/>
      <c r="FJ24" s="21"/>
      <c r="FK24" s="21"/>
      <c r="FL24" s="21"/>
      <c r="FM24" s="21"/>
      <c r="FN24" s="21"/>
      <c r="FO24" s="21"/>
      <c r="FP24" s="21"/>
      <c r="FQ24" s="21"/>
      <c r="FR24" s="21"/>
      <c r="FS24" s="21"/>
      <c r="FT24" s="21"/>
      <c r="FU24" s="21"/>
      <c r="FV24" s="21"/>
      <c r="FW24" s="21"/>
      <c r="FX24" s="21"/>
      <c r="FY24" s="21"/>
      <c r="FZ24" s="21"/>
      <c r="GA24" s="21"/>
      <c r="GB24" s="21"/>
      <c r="GC24" s="21"/>
      <c r="GD24" s="21"/>
      <c r="GE24" s="21"/>
      <c r="GF24" s="21"/>
      <c r="GG24" s="21"/>
      <c r="GH24" s="21"/>
      <c r="GI24" s="21"/>
      <c r="GJ24" s="21"/>
      <c r="GK24" s="21"/>
      <c r="GL24" s="21"/>
      <c r="GM24" s="21"/>
      <c r="GN24" s="21"/>
      <c r="GO24" s="21"/>
      <c r="GP24" s="21"/>
      <c r="GQ24" s="21"/>
      <c r="GR24" s="21"/>
      <c r="GS24" s="21"/>
      <c r="GT24" s="21"/>
      <c r="GU24" s="21"/>
      <c r="GV24" s="21"/>
      <c r="GW24" s="21"/>
      <c r="GX24" s="21"/>
      <c r="GY24" s="21"/>
      <c r="GZ24" s="21"/>
      <c r="HA24" s="21"/>
      <c r="HB24" s="21"/>
      <c r="HC24" s="21"/>
      <c r="HD24" s="21"/>
      <c r="HE24" s="21"/>
      <c r="HF24" s="21"/>
      <c r="HG24" s="21"/>
      <c r="HH24" s="21"/>
    </row>
    <row r="25" spans="1:216" x14ac:dyDescent="0.25">
      <c r="A25" s="1"/>
      <c r="B25" s="1"/>
      <c r="C25" s="1"/>
      <c r="D25" s="1"/>
      <c r="E25" s="1"/>
      <c r="F25" s="1"/>
      <c r="G25" s="1"/>
      <c r="H25" s="1"/>
      <c r="I25" s="1"/>
      <c r="J25" s="1"/>
      <c r="K25" s="1"/>
      <c r="L25" s="6" t="s">
        <v>128</v>
      </c>
      <c r="M25" s="11">
        <f>INDEX(cennik!$C$2:$L$529,MATCH($L25,cennik!$B$2:$B$522,0),MATCH(M$2,cennik!$C$1:$L$1,0))</f>
        <v>897303</v>
      </c>
      <c r="N25" s="11" t="str">
        <f>INDEX(cennik!$C$2:$L$529,MATCH($L25,cennik!$B$2:$B$522,0),MATCH(N$2,cennik!$C$1:$L$1,0))</f>
        <v>szt.</v>
      </c>
      <c r="O25" s="11">
        <f>0.2*SUM(O18:O19)</f>
        <v>0</v>
      </c>
      <c r="P25" s="34">
        <f>INDEX(cennik!$C$2:$L$529,MATCH($L25,cennik!$B$2:$B$522,0),MATCH(P$2,cennik!$C$1:$L$1,0))</f>
        <v>2.4</v>
      </c>
      <c r="Q25" s="34">
        <f>O25*P25</f>
        <v>0</v>
      </c>
      <c r="R25" s="35">
        <f t="shared" si="1"/>
        <v>0</v>
      </c>
      <c r="S25" s="34">
        <f>P25*((100-$E$7)/100)</f>
        <v>2.4</v>
      </c>
      <c r="T25" s="34">
        <f>O25*S25</f>
        <v>0</v>
      </c>
      <c r="U25" s="34">
        <f>INDEX(cennik!$C$2:$L$529,MATCH($L25,cennik!$B$2:$B$522,0),MATCH(U$2,cennik!$C$1:$L$1,0))*O25</f>
        <v>0</v>
      </c>
      <c r="V25" s="25"/>
      <c r="AC25" s="21"/>
      <c r="AD25" s="21"/>
      <c r="AE25" s="189" t="s">
        <v>115</v>
      </c>
      <c r="AF25" s="21">
        <v>1050</v>
      </c>
      <c r="AG25" s="21"/>
      <c r="AH25" s="21"/>
      <c r="AI25" s="21"/>
      <c r="AJ25" s="21" t="s">
        <v>317</v>
      </c>
      <c r="AK25" s="21">
        <f>IF(SUM(AK22:AK24)=0,0,IF(SUM(AK22:AK24)=1,0,IF(SUM(AK22:AK24)&gt;1,(SUM(AK22:AK24)-1),0)))</f>
        <v>4</v>
      </c>
      <c r="AL25" s="21"/>
      <c r="AM25" s="21">
        <v>7.1</v>
      </c>
      <c r="AN25" s="21">
        <f>AK25*AM25</f>
        <v>28.4</v>
      </c>
      <c r="AO25" s="21">
        <f>AK25*5</f>
        <v>20</v>
      </c>
      <c r="AP25" s="21"/>
      <c r="AQ25" s="21"/>
      <c r="AR25" s="21" t="s">
        <v>725</v>
      </c>
      <c r="AS25" s="21">
        <v>2700</v>
      </c>
      <c r="AT25" s="21" t="s">
        <v>719</v>
      </c>
      <c r="AU25" s="21">
        <v>2000</v>
      </c>
      <c r="AV25" s="21" t="s">
        <v>719</v>
      </c>
      <c r="AW25" s="21">
        <v>1000</v>
      </c>
      <c r="AX25" s="21"/>
      <c r="AY25" s="21"/>
      <c r="AZ25" s="21"/>
      <c r="BA25" s="21"/>
      <c r="BB25" s="21"/>
      <c r="BC25" s="21"/>
      <c r="BD25" s="21"/>
      <c r="BE25" s="21"/>
      <c r="BF25" s="21"/>
      <c r="BG25" s="21"/>
      <c r="BH25" s="21"/>
      <c r="BI25" s="21"/>
      <c r="BJ25" s="21"/>
      <c r="BK25" s="21"/>
      <c r="BL25" s="21"/>
      <c r="BM25" s="21"/>
      <c r="BN25" s="21"/>
      <c r="BO25" s="21"/>
      <c r="BP25" s="21"/>
      <c r="BQ25" s="21"/>
      <c r="BR25" s="21"/>
      <c r="BS25" s="21"/>
      <c r="BT25" s="21"/>
      <c r="BU25" s="21"/>
      <c r="BV25" s="21"/>
      <c r="BW25" s="21"/>
      <c r="BX25" s="21"/>
      <c r="BY25" s="21"/>
      <c r="BZ25" s="21"/>
      <c r="CA25" s="21"/>
      <c r="CB25" s="21"/>
      <c r="CC25" s="21"/>
      <c r="CD25" s="21"/>
      <c r="CE25" s="21"/>
      <c r="CF25" s="21"/>
      <c r="CG25" s="21"/>
      <c r="CH25" s="21"/>
      <c r="CI25" s="21"/>
      <c r="CJ25" s="21"/>
      <c r="CK25" s="21"/>
      <c r="CL25" s="21"/>
      <c r="CM25" s="21"/>
      <c r="CN25" s="21"/>
      <c r="CO25" s="21"/>
      <c r="CP25" s="21"/>
      <c r="CQ25" s="21"/>
      <c r="CR25" s="21"/>
      <c r="CS25" s="21"/>
      <c r="CT25" s="21"/>
      <c r="CU25" s="21"/>
      <c r="CV25" s="21"/>
      <c r="CW25" s="21"/>
      <c r="CX25" s="21"/>
      <c r="CY25" s="21"/>
      <c r="CZ25" s="21"/>
      <c r="DA25" s="21"/>
      <c r="DB25" s="21"/>
      <c r="DC25" s="21"/>
      <c r="DD25" s="21"/>
      <c r="DE25" s="21"/>
      <c r="DF25" s="21"/>
      <c r="DG25" s="21"/>
      <c r="DH25" s="21"/>
      <c r="DI25" s="21"/>
      <c r="DJ25" s="21"/>
      <c r="DK25" s="21"/>
      <c r="DL25" s="21"/>
      <c r="DM25" s="21"/>
      <c r="DN25" s="21"/>
      <c r="DO25" s="21"/>
      <c r="DP25" s="21"/>
      <c r="DQ25" s="87"/>
      <c r="DR25" s="54">
        <v>45</v>
      </c>
      <c r="DS25" s="87"/>
      <c r="DT25" s="21"/>
      <c r="DU25" s="21"/>
      <c r="DV25" s="21"/>
      <c r="DW25" s="21"/>
      <c r="DX25" s="21"/>
      <c r="DY25" s="21"/>
      <c r="DZ25" s="21"/>
      <c r="EA25" s="21"/>
      <c r="EB25" s="21"/>
      <c r="EC25" s="21"/>
      <c r="ED25" s="21"/>
      <c r="EE25" s="21"/>
      <c r="EF25" s="21"/>
      <c r="EG25" s="21"/>
      <c r="EH25" s="21"/>
      <c r="EI25" s="21"/>
      <c r="EJ25" s="21"/>
      <c r="EK25" s="21"/>
      <c r="EL25" s="21"/>
      <c r="EM25" s="21"/>
      <c r="EN25" s="21"/>
      <c r="EO25" s="21"/>
      <c r="EP25" s="21"/>
      <c r="EQ25" s="21"/>
      <c r="ER25" s="21"/>
      <c r="ES25" s="21"/>
      <c r="ET25" s="21"/>
      <c r="EU25" s="21"/>
      <c r="EV25" s="21"/>
      <c r="EW25" s="21"/>
      <c r="EX25" s="21"/>
      <c r="EY25" s="21"/>
      <c r="EZ25" s="21"/>
      <c r="FA25" s="21"/>
      <c r="FB25" s="21"/>
      <c r="FC25" s="21"/>
      <c r="FD25" s="21"/>
      <c r="FE25" s="21"/>
      <c r="FF25" s="21"/>
      <c r="FG25" s="21"/>
      <c r="FH25" s="21"/>
      <c r="FI25" s="21"/>
      <c r="FJ25" s="21"/>
      <c r="FK25" s="21"/>
      <c r="FL25" s="21"/>
      <c r="FM25" s="21"/>
      <c r="FN25" s="21"/>
      <c r="FO25" s="21"/>
      <c r="FP25" s="21"/>
      <c r="FQ25" s="21"/>
      <c r="FR25" s="21"/>
      <c r="FS25" s="21"/>
      <c r="FT25" s="21"/>
      <c r="FU25" s="21"/>
      <c r="FV25" s="21"/>
      <c r="FW25" s="21"/>
      <c r="FX25" s="21"/>
      <c r="FY25" s="21"/>
      <c r="FZ25" s="21"/>
      <c r="GA25" s="21"/>
      <c r="GB25" s="21"/>
      <c r="GC25" s="21"/>
      <c r="GD25" s="21"/>
      <c r="GE25" s="21"/>
      <c r="GF25" s="21"/>
      <c r="GG25" s="21"/>
      <c r="GH25" s="21"/>
      <c r="GI25" s="21"/>
      <c r="GJ25" s="21"/>
      <c r="GK25" s="21"/>
      <c r="GL25" s="21"/>
      <c r="GM25" s="21"/>
      <c r="GN25" s="21"/>
      <c r="GO25" s="21"/>
      <c r="GP25" s="21"/>
      <c r="GQ25" s="21"/>
      <c r="GR25" s="21"/>
      <c r="GS25" s="21"/>
      <c r="GT25" s="21"/>
      <c r="GU25" s="21"/>
      <c r="GV25" s="21"/>
      <c r="GW25" s="21"/>
      <c r="GX25" s="21"/>
      <c r="GY25" s="21"/>
      <c r="GZ25" s="21"/>
      <c r="HA25" s="21"/>
      <c r="HB25" s="21"/>
      <c r="HC25" s="21"/>
      <c r="HD25" s="21"/>
      <c r="HE25" s="21"/>
      <c r="HF25" s="21"/>
      <c r="HG25" s="21"/>
      <c r="HH25" s="21"/>
    </row>
    <row r="26" spans="1:216" x14ac:dyDescent="0.25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6" t="s">
        <v>445</v>
      </c>
      <c r="M26" s="11">
        <f>INDEX(cennik!$C$2:$L$529,MATCH($L26,cennik!$B$2:$B$522,0),MATCH(M$2,cennik!$C$1:$L$1,0))</f>
        <v>858022</v>
      </c>
      <c r="N26" s="11" t="str">
        <f>INDEX(cennik!$C$2:$L$529,MATCH($L26,cennik!$B$2:$B$522,0),MATCH(N$2,cennik!$C$1:$L$1,0))</f>
        <v>szt.</v>
      </c>
      <c r="O26" s="11">
        <f>2*O9</f>
        <v>0</v>
      </c>
      <c r="P26" s="34">
        <f>INDEX(cennik!$C$2:$L$529,MATCH($L26,cennik!$B$2:$B$522,0),MATCH(P$2,cennik!$C$1:$L$1,0))</f>
        <v>4.5</v>
      </c>
      <c r="Q26" s="34">
        <f>O26*P26</f>
        <v>0</v>
      </c>
      <c r="R26" s="35">
        <f t="shared" si="1"/>
        <v>0</v>
      </c>
      <c r="S26" s="34">
        <f>P26*((100-$E$7)/100)</f>
        <v>4.5</v>
      </c>
      <c r="T26" s="34">
        <f>O26*S26</f>
        <v>0</v>
      </c>
      <c r="U26" s="34">
        <f>INDEX(cennik!$C$2:$L$529,MATCH($L26,cennik!$B$2:$B$522,0),MATCH(U$2,cennik!$C$1:$L$1,0))*O26</f>
        <v>0</v>
      </c>
      <c r="V26" s="25"/>
      <c r="AC26" s="21"/>
      <c r="AD26" s="21"/>
      <c r="AE26" s="21" t="s">
        <v>474</v>
      </c>
      <c r="AF26" s="21">
        <v>1100</v>
      </c>
      <c r="AG26" s="21"/>
      <c r="AH26" s="21"/>
      <c r="AI26" s="21"/>
      <c r="AJ26" s="21"/>
      <c r="AK26" s="21"/>
      <c r="AL26" s="21">
        <f>SUM(AL22:AL24)</f>
        <v>29700</v>
      </c>
      <c r="AM26" s="21"/>
      <c r="AN26" s="21">
        <f>SUM(AN22:AN25)</f>
        <v>888.34999999999991</v>
      </c>
      <c r="AO26" s="21"/>
      <c r="AP26" s="21"/>
      <c r="AQ26" s="21"/>
      <c r="AY26" s="21"/>
      <c r="AZ26" s="21"/>
      <c r="BA26" s="21"/>
      <c r="BB26" s="21"/>
      <c r="BC26" s="21"/>
      <c r="BD26" s="21"/>
      <c r="BE26" s="21"/>
      <c r="BF26" s="21"/>
      <c r="BG26" s="21"/>
      <c r="BH26" s="21"/>
      <c r="BI26" s="21"/>
      <c r="BJ26" s="21"/>
      <c r="BK26" s="21"/>
      <c r="BL26" s="21"/>
      <c r="BM26" s="21"/>
      <c r="BN26" s="21"/>
      <c r="BO26" s="21"/>
      <c r="BP26" s="21"/>
      <c r="BQ26" s="21"/>
      <c r="BR26" s="21"/>
      <c r="BS26" s="21"/>
      <c r="BT26" s="21"/>
      <c r="BU26" s="21"/>
      <c r="BV26" s="21"/>
      <c r="BW26" s="21"/>
      <c r="BX26" s="21"/>
      <c r="BY26" s="21"/>
      <c r="BZ26" s="21"/>
      <c r="CA26" s="21"/>
      <c r="CB26" s="21"/>
      <c r="CC26" s="21"/>
      <c r="CD26" s="21"/>
      <c r="CE26" s="21"/>
      <c r="CF26" s="21"/>
      <c r="CG26" s="21"/>
      <c r="CH26" s="21"/>
      <c r="CI26" s="21"/>
      <c r="CJ26" s="21"/>
      <c r="CK26" s="21"/>
      <c r="CL26" s="21"/>
      <c r="CM26" s="21"/>
      <c r="CN26" s="21"/>
      <c r="CO26" s="21"/>
      <c r="CP26" s="21"/>
      <c r="CQ26" s="21"/>
      <c r="CR26" s="21"/>
      <c r="CS26" s="21"/>
      <c r="CT26" s="21"/>
      <c r="CU26" s="21"/>
      <c r="CV26" s="21"/>
      <c r="CW26" s="21"/>
      <c r="CX26" s="21"/>
      <c r="CY26" s="21"/>
      <c r="CZ26" s="21"/>
      <c r="DA26" s="21"/>
      <c r="DB26" s="21"/>
      <c r="DC26" s="21"/>
      <c r="DD26" s="21"/>
      <c r="DE26" s="21"/>
      <c r="DF26" s="21"/>
      <c r="DG26" s="21"/>
      <c r="DH26" s="21"/>
      <c r="DI26" s="21"/>
      <c r="DJ26" s="21"/>
      <c r="DK26" s="21"/>
      <c r="DL26" s="21"/>
      <c r="DM26" s="21"/>
      <c r="DN26" s="21"/>
      <c r="DO26" s="21"/>
      <c r="DP26" s="21"/>
      <c r="DQ26" s="87"/>
      <c r="DR26" s="54">
        <v>50</v>
      </c>
      <c r="DS26" s="87"/>
      <c r="DT26" s="21"/>
      <c r="DU26" s="21"/>
      <c r="DV26" s="21"/>
      <c r="DW26" s="21"/>
      <c r="DX26" s="21"/>
      <c r="DY26" s="21"/>
      <c r="DZ26" s="21"/>
      <c r="EA26" s="21"/>
      <c r="EB26" s="21"/>
      <c r="EC26" s="21"/>
      <c r="ED26" s="21"/>
      <c r="EE26" s="21"/>
      <c r="EF26" s="21"/>
      <c r="EG26" s="21"/>
      <c r="EH26" s="21"/>
      <c r="EI26" s="21"/>
      <c r="EJ26" s="21"/>
      <c r="EK26" s="21"/>
      <c r="EL26" s="21"/>
      <c r="EM26" s="21"/>
      <c r="EN26" s="21"/>
      <c r="EO26" s="21"/>
      <c r="EP26" s="21"/>
      <c r="EQ26" s="21"/>
      <c r="ER26" s="21"/>
      <c r="ES26" s="21"/>
      <c r="ET26" s="21"/>
      <c r="EU26" s="21"/>
      <c r="EV26" s="21"/>
      <c r="EW26" s="21"/>
      <c r="EX26" s="21"/>
      <c r="EY26" s="21"/>
      <c r="EZ26" s="21"/>
      <c r="FA26" s="21"/>
      <c r="FB26" s="21"/>
      <c r="FC26" s="21"/>
      <c r="FD26" s="21"/>
      <c r="FE26" s="21"/>
      <c r="FF26" s="21"/>
      <c r="FG26" s="21"/>
      <c r="FH26" s="21"/>
      <c r="FI26" s="21"/>
      <c r="FJ26" s="21"/>
      <c r="FK26" s="21"/>
      <c r="FL26" s="21"/>
      <c r="FM26" s="21"/>
      <c r="FN26" s="21"/>
      <c r="FO26" s="21"/>
      <c r="FP26" s="21"/>
      <c r="FQ26" s="21"/>
      <c r="FR26" s="21"/>
      <c r="FS26" s="21"/>
      <c r="FT26" s="21"/>
      <c r="FU26" s="21"/>
      <c r="FV26" s="21"/>
      <c r="FW26" s="21"/>
      <c r="FX26" s="21"/>
      <c r="FY26" s="21"/>
      <c r="FZ26" s="21"/>
      <c r="GA26" s="21"/>
      <c r="GB26" s="21"/>
      <c r="GC26" s="21"/>
      <c r="GD26" s="21"/>
      <c r="GE26" s="21"/>
      <c r="GF26" s="21"/>
      <c r="GG26" s="21"/>
      <c r="GH26" s="21"/>
      <c r="GI26" s="21"/>
      <c r="GJ26" s="21"/>
      <c r="GK26" s="21"/>
      <c r="GL26" s="21"/>
      <c r="GM26" s="21"/>
      <c r="GN26" s="21"/>
      <c r="GO26" s="21"/>
      <c r="GP26" s="21"/>
      <c r="GQ26" s="21"/>
      <c r="GR26" s="21"/>
      <c r="GS26" s="21"/>
      <c r="GT26" s="21"/>
      <c r="GU26" s="21"/>
      <c r="GV26" s="21"/>
      <c r="GW26" s="21"/>
      <c r="GX26" s="21"/>
      <c r="GY26" s="21"/>
      <c r="GZ26" s="21"/>
      <c r="HA26" s="21"/>
      <c r="HB26" s="21"/>
      <c r="HC26" s="21"/>
      <c r="HD26" s="21"/>
      <c r="HE26" s="21"/>
      <c r="HF26" s="21"/>
      <c r="HG26" s="21"/>
      <c r="HH26" s="21"/>
    </row>
    <row r="27" spans="1:216" ht="15.75" thickBot="1" x14ac:dyDescent="0.3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6" t="s">
        <v>319</v>
      </c>
      <c r="M27" s="11">
        <f>INDEX(cennik!$C$2:$L$529,MATCH($L27,cennik!$B$2:$B$522,0),MATCH(M$2,cennik!$C$1:$L$1,0))</f>
        <v>890111</v>
      </c>
      <c r="N27" s="11" t="str">
        <f>INDEX(cennik!$C$2:$L$529,MATCH($L27,cennik!$B$2:$B$522,0),MATCH(N$2,cennik!$C$1:$L$1,0))</f>
        <v>100 szt.</v>
      </c>
      <c r="O27" s="11">
        <f>ROUNDUP((O3*4)/100,0)</f>
        <v>0</v>
      </c>
      <c r="P27" s="34">
        <f>INDEX(cennik!$C$2:$L$529,MATCH($L27,cennik!$B$2:$B$522,0),MATCH(P$2,cennik!$C$1:$L$1,0))</f>
        <v>174.59</v>
      </c>
      <c r="Q27" s="34">
        <f>O27*P27</f>
        <v>0</v>
      </c>
      <c r="R27" s="35">
        <f t="shared" si="1"/>
        <v>0</v>
      </c>
      <c r="S27" s="34">
        <f>P27*((100-$E$7)/100)</f>
        <v>174.59</v>
      </c>
      <c r="T27" s="34">
        <f>O27*S27</f>
        <v>0</v>
      </c>
      <c r="U27" s="34">
        <f>INDEX(cennik!$C$2:$L$529,MATCH($L27,cennik!$B$2:$B$522,0),MATCH(U$2,cennik!$C$1:$L$1,0))*O27</f>
        <v>0</v>
      </c>
      <c r="V27" s="21"/>
      <c r="AC27" s="21"/>
      <c r="AD27" s="21"/>
      <c r="AE27" s="21" t="s">
        <v>480</v>
      </c>
      <c r="AF27" s="21">
        <v>1150</v>
      </c>
      <c r="AG27" s="21"/>
      <c r="AH27" s="21"/>
      <c r="AI27" s="21"/>
      <c r="AJ27" s="21">
        <f>(AB2-1)*2900</f>
        <v>-2900</v>
      </c>
      <c r="AK27" s="21"/>
      <c r="AL27" s="21"/>
      <c r="AM27" s="21"/>
      <c r="AN27" s="21"/>
      <c r="AO27" s="21"/>
      <c r="AP27" s="21"/>
      <c r="AQ27" s="21"/>
      <c r="AR27" s="201" t="s">
        <v>723</v>
      </c>
      <c r="AY27" s="21"/>
      <c r="AZ27" s="21"/>
      <c r="BA27" s="21"/>
      <c r="BB27" s="21"/>
      <c r="BC27" s="21"/>
      <c r="BD27" s="21"/>
      <c r="BE27" s="21"/>
      <c r="BF27" s="21"/>
      <c r="BG27" s="21"/>
      <c r="BH27" s="21"/>
      <c r="BI27" s="21"/>
      <c r="BJ27" s="21"/>
      <c r="BK27" s="21"/>
      <c r="BL27" s="21"/>
      <c r="BM27" s="21"/>
      <c r="BN27" s="21"/>
      <c r="BO27" s="21"/>
      <c r="BP27" s="21"/>
      <c r="BQ27" s="21"/>
      <c r="BR27" s="21"/>
      <c r="BS27" s="21"/>
      <c r="BT27" s="21"/>
      <c r="BU27" s="21"/>
      <c r="BV27" s="21"/>
      <c r="BW27" s="21"/>
      <c r="BX27" s="21"/>
      <c r="BY27" s="21"/>
      <c r="BZ27" s="21"/>
      <c r="CA27" s="21"/>
      <c r="CB27" s="21"/>
      <c r="CC27" s="21"/>
      <c r="CD27" s="21"/>
      <c r="CE27" s="21"/>
      <c r="CF27" s="21"/>
      <c r="CG27" s="21"/>
      <c r="CH27" s="21"/>
      <c r="CI27" s="21"/>
      <c r="CJ27" s="21"/>
      <c r="CK27" s="21"/>
      <c r="CL27" s="21"/>
      <c r="CM27" s="21"/>
      <c r="CN27" s="21"/>
      <c r="CO27" s="21"/>
      <c r="CP27" s="21"/>
      <c r="CQ27" s="21"/>
      <c r="CR27" s="21"/>
      <c r="CS27" s="21"/>
      <c r="CT27" s="21"/>
      <c r="CU27" s="21"/>
      <c r="CV27" s="21"/>
      <c r="CW27" s="21"/>
      <c r="CX27" s="21"/>
      <c r="CY27" s="21"/>
      <c r="CZ27" s="21"/>
      <c r="DA27" s="21"/>
      <c r="DB27" s="21"/>
      <c r="DC27" s="21"/>
      <c r="DD27" s="21"/>
      <c r="DE27" s="21"/>
      <c r="DF27" s="21"/>
      <c r="DG27" s="21"/>
      <c r="DH27" s="21"/>
      <c r="DI27" s="21"/>
      <c r="DJ27" s="21"/>
      <c r="DK27" s="21"/>
      <c r="DL27" s="21"/>
      <c r="DM27" s="21"/>
      <c r="DN27" s="21"/>
      <c r="DO27" s="21"/>
      <c r="DP27" s="21"/>
      <c r="DQ27" s="87"/>
      <c r="DR27" s="87"/>
      <c r="DS27" s="87"/>
      <c r="DT27" s="21"/>
      <c r="DU27" s="21"/>
      <c r="DV27" s="21"/>
      <c r="DW27" s="21"/>
      <c r="DX27" s="21"/>
      <c r="DY27" s="21"/>
      <c r="DZ27" s="21"/>
      <c r="EA27" s="21"/>
      <c r="EB27" s="21"/>
      <c r="EC27" s="21"/>
      <c r="ED27" s="21"/>
      <c r="EE27" s="21"/>
      <c r="EF27" s="21"/>
      <c r="EG27" s="21"/>
      <c r="EH27" s="21"/>
      <c r="EI27" s="21"/>
      <c r="EJ27" s="21"/>
      <c r="EK27" s="21"/>
      <c r="EL27" s="21"/>
      <c r="EM27" s="21"/>
      <c r="EN27" s="21"/>
      <c r="EO27" s="21"/>
      <c r="EP27" s="21"/>
      <c r="EQ27" s="21"/>
      <c r="ER27" s="21"/>
      <c r="ES27" s="21"/>
      <c r="ET27" s="21"/>
      <c r="EU27" s="21"/>
      <c r="EV27" s="21"/>
      <c r="EW27" s="21"/>
      <c r="EX27" s="21"/>
      <c r="EY27" s="21"/>
      <c r="EZ27" s="21"/>
      <c r="FA27" s="21"/>
      <c r="FB27" s="21"/>
      <c r="FC27" s="21"/>
      <c r="FD27" s="21"/>
      <c r="FE27" s="21"/>
      <c r="FF27" s="21"/>
      <c r="FG27" s="21"/>
      <c r="FH27" s="21"/>
      <c r="FI27" s="21"/>
      <c r="FJ27" s="21"/>
      <c r="FK27" s="21"/>
      <c r="FL27" s="21"/>
      <c r="FM27" s="21"/>
      <c r="FN27" s="21"/>
      <c r="FO27" s="21"/>
      <c r="FP27" s="21"/>
      <c r="FQ27" s="21"/>
      <c r="FR27" s="21"/>
      <c r="FS27" s="21"/>
      <c r="FT27" s="21"/>
      <c r="FU27" s="21"/>
      <c r="FV27" s="21"/>
      <c r="FW27" s="21"/>
      <c r="FX27" s="21"/>
      <c r="FY27" s="21"/>
      <c r="FZ27" s="21"/>
      <c r="GA27" s="21"/>
      <c r="GB27" s="21"/>
      <c r="GC27" s="21"/>
      <c r="GD27" s="21"/>
      <c r="GE27" s="21"/>
      <c r="GF27" s="21"/>
      <c r="GG27" s="21"/>
      <c r="GH27" s="21"/>
      <c r="GI27" s="21"/>
      <c r="GJ27" s="21"/>
      <c r="GK27" s="21"/>
      <c r="GL27" s="21"/>
      <c r="GM27" s="21"/>
      <c r="GN27" s="21"/>
      <c r="GO27" s="21"/>
      <c r="GP27" s="21"/>
      <c r="GQ27" s="21"/>
      <c r="GR27" s="21"/>
      <c r="GS27" s="21"/>
      <c r="GT27" s="21"/>
      <c r="GU27" s="21"/>
      <c r="GV27" s="21"/>
      <c r="GW27" s="21"/>
      <c r="GX27" s="21"/>
      <c r="GY27" s="21"/>
      <c r="GZ27" s="21"/>
      <c r="HA27" s="21"/>
      <c r="HB27" s="21"/>
      <c r="HC27" s="21"/>
      <c r="HD27" s="21"/>
      <c r="HE27" s="21"/>
      <c r="HF27" s="21"/>
      <c r="HG27" s="21"/>
      <c r="HH27" s="21"/>
    </row>
    <row r="28" spans="1:216" x14ac:dyDescent="0.25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6" t="s">
        <v>722</v>
      </c>
      <c r="M28" s="11">
        <f>INDEX(cennik!$C$2:$L$529,MATCH($L28,cennik!$B$2:$B$522,0),MATCH(M$2,cennik!$C$1:$L$1,0))</f>
        <v>890504</v>
      </c>
      <c r="N28" s="11" t="str">
        <f>INDEX(cennik!$C$2:$L$529,MATCH($L28,cennik!$B$2:$B$522,0),MATCH(N$2,cennik!$C$1:$L$1,0))</f>
        <v>szt.</v>
      </c>
      <c r="O28" s="11">
        <f>SUM(C2:C17)*10</f>
        <v>0</v>
      </c>
      <c r="P28" s="34">
        <f>INDEX(cennik!$C$2:$L$529,MATCH($L28,cennik!$B$2:$B$522,0),MATCH(P$2,cennik!$C$1:$L$1,0))</f>
        <v>4.58</v>
      </c>
      <c r="Q28" s="34">
        <f>O28*P28</f>
        <v>0</v>
      </c>
      <c r="R28" s="35">
        <f t="shared" si="1"/>
        <v>0</v>
      </c>
      <c r="S28" s="34">
        <f>P28*((100-$E$7)/100)</f>
        <v>4.58</v>
      </c>
      <c r="T28" s="34">
        <f>O28*S28</f>
        <v>0</v>
      </c>
      <c r="U28" s="34">
        <f>INDEX(cennik!$C$2:$L$529,MATCH($L28,cennik!$B$2:$B$522,0),MATCH(U$2,cennik!$C$1:$L$1,0))*O28</f>
        <v>0</v>
      </c>
      <c r="V28" s="21"/>
      <c r="AC28" s="21"/>
      <c r="AD28" s="21"/>
      <c r="AE28" s="180" t="s">
        <v>713</v>
      </c>
      <c r="AF28" s="21">
        <v>1200</v>
      </c>
      <c r="AG28" s="21"/>
      <c r="AH28" s="21"/>
      <c r="AI28" s="21"/>
      <c r="AJ28" s="21"/>
      <c r="AK28" s="21"/>
      <c r="AL28" s="21"/>
      <c r="AM28" s="21"/>
      <c r="AN28" s="21"/>
      <c r="AO28" s="21"/>
      <c r="AP28" s="21"/>
      <c r="AQ28" s="21"/>
      <c r="AS28" s="180" t="s">
        <v>314</v>
      </c>
      <c r="AT28" s="180" t="s">
        <v>312</v>
      </c>
      <c r="AU28" s="180" t="s">
        <v>309</v>
      </c>
      <c r="AV28" s="180" t="s">
        <v>313</v>
      </c>
      <c r="AY28" s="21"/>
      <c r="AZ28" s="21"/>
      <c r="BA28" s="21"/>
      <c r="BB28" s="21"/>
      <c r="BC28" s="21"/>
      <c r="BD28" s="21"/>
      <c r="BE28" s="21"/>
      <c r="BF28" s="21"/>
      <c r="BG28" s="21"/>
      <c r="BH28" s="21"/>
      <c r="BI28" s="21"/>
      <c r="BJ28" s="21"/>
      <c r="BK28" s="21"/>
      <c r="BL28" s="21"/>
      <c r="BM28" s="21"/>
      <c r="BN28" s="21"/>
      <c r="BO28" s="21"/>
      <c r="BP28" s="21"/>
      <c r="BQ28" s="21"/>
      <c r="BR28" s="21"/>
      <c r="BS28" s="21"/>
      <c r="BT28" s="21"/>
      <c r="BU28" s="21"/>
      <c r="BV28" s="21"/>
      <c r="BW28" s="21"/>
      <c r="BX28" s="21"/>
      <c r="BY28" s="21"/>
      <c r="BZ28" s="21"/>
      <c r="CA28" s="21"/>
      <c r="CB28" s="21"/>
      <c r="CC28" s="21"/>
      <c r="CD28" s="21"/>
      <c r="CE28" s="21"/>
      <c r="CF28" s="21"/>
      <c r="CG28" s="21"/>
      <c r="CH28" s="21"/>
      <c r="CI28" s="21"/>
      <c r="CJ28" s="21"/>
      <c r="CK28" s="21"/>
      <c r="CL28" s="21"/>
      <c r="CM28" s="21"/>
      <c r="CN28" s="21"/>
      <c r="CO28" s="21"/>
      <c r="CP28" s="21"/>
      <c r="CQ28" s="21"/>
      <c r="CR28" s="21"/>
      <c r="CS28" s="21"/>
      <c r="CT28" s="21"/>
      <c r="CU28" s="21"/>
      <c r="CV28" s="21"/>
      <c r="CW28" s="21"/>
      <c r="CX28" s="21"/>
      <c r="CY28" s="21"/>
      <c r="CZ28" s="21"/>
      <c r="DA28" s="21"/>
      <c r="DB28" s="21"/>
      <c r="DC28" s="21"/>
      <c r="DD28" s="21"/>
      <c r="DE28" s="21"/>
      <c r="DF28" s="21"/>
      <c r="DG28" s="21"/>
      <c r="DH28" s="21"/>
      <c r="DI28" s="21"/>
      <c r="DJ28" s="21"/>
      <c r="DK28" s="21"/>
      <c r="DL28" s="21"/>
      <c r="DM28" s="21"/>
      <c r="DN28" s="21"/>
      <c r="DO28" s="21"/>
      <c r="DP28" s="21"/>
      <c r="DQ28" s="87"/>
      <c r="DR28" s="87"/>
      <c r="DS28" s="87"/>
      <c r="DT28" s="21"/>
      <c r="DU28" s="21"/>
      <c r="DV28" s="21"/>
      <c r="DW28" s="21"/>
      <c r="DX28" s="21"/>
      <c r="DY28" s="21"/>
      <c r="DZ28" s="21"/>
      <c r="EA28" s="21"/>
      <c r="EB28" s="21"/>
      <c r="EC28" s="21"/>
      <c r="ED28" s="21"/>
      <c r="EE28" s="21"/>
      <c r="EF28" s="21"/>
      <c r="EG28" s="21"/>
      <c r="EH28" s="21"/>
      <c r="EI28" s="21"/>
      <c r="EJ28" s="193"/>
      <c r="EK28" s="194"/>
      <c r="EL28" s="194"/>
      <c r="EM28" s="194"/>
      <c r="EN28" s="194"/>
      <c r="EO28" s="194"/>
      <c r="EP28" s="194"/>
      <c r="EQ28" s="194"/>
      <c r="ER28" s="194"/>
      <c r="ES28" s="194"/>
      <c r="ET28" s="194"/>
      <c r="EU28" s="194"/>
      <c r="EV28" s="194"/>
      <c r="EW28" s="194"/>
      <c r="EX28" s="194"/>
      <c r="EY28" s="194"/>
      <c r="EZ28" s="194"/>
      <c r="FA28" s="194"/>
      <c r="FB28" s="194"/>
      <c r="FC28" s="194"/>
      <c r="FD28" s="194"/>
      <c r="FE28" s="194"/>
      <c r="FF28" s="194"/>
      <c r="FG28" s="194"/>
      <c r="FH28" s="194"/>
      <c r="FI28" s="194"/>
      <c r="FJ28" s="194"/>
      <c r="FK28" s="194"/>
      <c r="FL28" s="194"/>
      <c r="FM28" s="194"/>
      <c r="FN28" s="194"/>
      <c r="FO28" s="194"/>
      <c r="FP28" s="194"/>
      <c r="FQ28" s="194"/>
      <c r="FR28" s="194"/>
      <c r="FS28" s="194"/>
      <c r="FT28" s="194"/>
      <c r="FU28" s="194"/>
      <c r="FV28" s="194"/>
      <c r="FW28" s="194"/>
      <c r="FX28" s="194"/>
      <c r="FY28" s="194"/>
      <c r="FZ28" s="194"/>
      <c r="GA28" s="194"/>
      <c r="GB28" s="194"/>
      <c r="GC28" s="194"/>
      <c r="GD28" s="194"/>
      <c r="GE28" s="194"/>
      <c r="GF28" s="194"/>
      <c r="GG28" s="194"/>
      <c r="GH28" s="194"/>
      <c r="GI28" s="194"/>
      <c r="GJ28" s="194"/>
      <c r="GK28" s="194"/>
      <c r="GL28" s="194"/>
      <c r="GM28" s="194"/>
      <c r="GN28" s="194"/>
      <c r="GO28" s="194"/>
      <c r="GP28" s="194"/>
      <c r="GQ28" s="194"/>
      <c r="GR28" s="194"/>
      <c r="GS28" s="194"/>
      <c r="GT28" s="194"/>
      <c r="GU28" s="194"/>
      <c r="GV28" s="194"/>
      <c r="GW28" s="194"/>
      <c r="GX28" s="194"/>
      <c r="GY28" s="194"/>
      <c r="GZ28" s="194"/>
      <c r="HA28" s="194"/>
      <c r="HB28" s="194"/>
      <c r="HC28" s="194"/>
      <c r="HD28" s="194"/>
      <c r="HE28" s="194"/>
      <c r="HF28" s="194"/>
      <c r="HG28" s="195"/>
      <c r="HH28" s="21"/>
    </row>
    <row r="29" spans="1:216" x14ac:dyDescent="0.25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6" t="s">
        <v>316</v>
      </c>
      <c r="M29" s="11"/>
      <c r="N29" s="11"/>
      <c r="O29" s="11"/>
      <c r="P29" s="34"/>
      <c r="Q29" s="34"/>
      <c r="R29" s="35"/>
      <c r="S29" s="34"/>
      <c r="T29" s="34"/>
      <c r="U29" s="34"/>
      <c r="V29" s="27"/>
      <c r="AC29" s="21"/>
      <c r="AD29" s="21"/>
      <c r="AE29" s="180" t="s">
        <v>714</v>
      </c>
      <c r="AF29" s="21">
        <v>1250</v>
      </c>
      <c r="AG29" s="21"/>
      <c r="AH29" s="21"/>
      <c r="AI29" s="21"/>
      <c r="AJ29" s="21"/>
      <c r="AK29" s="21"/>
      <c r="AL29" s="21"/>
      <c r="AM29" s="21"/>
      <c r="AN29" s="21"/>
      <c r="AO29" s="21"/>
      <c r="AP29" s="21"/>
      <c r="AQ29" s="21"/>
      <c r="AR29" s="21" t="s">
        <v>114</v>
      </c>
      <c r="AS29" s="21" t="s">
        <v>596</v>
      </c>
      <c r="AT29" s="21" t="s">
        <v>595</v>
      </c>
      <c r="AU29" s="21" t="s">
        <v>594</v>
      </c>
      <c r="AV29" s="21" t="s">
        <v>594</v>
      </c>
      <c r="AW29" s="21"/>
      <c r="AX29" s="21"/>
      <c r="AY29" s="21"/>
      <c r="AZ29" s="21"/>
      <c r="BA29" s="21"/>
      <c r="BB29" s="21"/>
      <c r="BC29" s="21"/>
      <c r="BD29" s="21"/>
      <c r="BE29" s="21"/>
      <c r="BF29" s="21"/>
      <c r="BG29" s="192" t="s">
        <v>318</v>
      </c>
      <c r="BH29" s="21"/>
      <c r="BI29" s="21"/>
      <c r="BJ29" s="21"/>
      <c r="BK29" s="21"/>
      <c r="BL29" s="21"/>
      <c r="BM29" s="21"/>
      <c r="BN29" s="21"/>
      <c r="BO29" s="21"/>
      <c r="BP29" s="21"/>
      <c r="BQ29" s="21"/>
      <c r="BR29" s="21"/>
      <c r="BS29" s="21"/>
      <c r="BT29" s="21"/>
      <c r="BU29" s="21"/>
      <c r="BV29" s="21"/>
      <c r="BW29" s="21"/>
      <c r="BX29" s="21"/>
      <c r="BY29" s="21"/>
      <c r="BZ29" s="21"/>
      <c r="CA29" s="21"/>
      <c r="CB29" s="21"/>
      <c r="CC29" s="21"/>
      <c r="CD29" s="21"/>
      <c r="CE29" s="21"/>
      <c r="CF29" s="21"/>
      <c r="CG29" s="21"/>
      <c r="CH29" s="21"/>
      <c r="CI29" s="21"/>
      <c r="CJ29" s="21"/>
      <c r="CK29" s="21"/>
      <c r="CL29" s="21"/>
      <c r="CM29" s="21"/>
      <c r="CN29" s="21"/>
      <c r="CO29" s="21"/>
      <c r="CP29" s="21"/>
      <c r="CQ29" s="21"/>
      <c r="CR29" s="21"/>
      <c r="CS29" s="21"/>
      <c r="CT29" s="21"/>
      <c r="CU29" s="21"/>
      <c r="CV29" s="21"/>
      <c r="CW29" s="21"/>
      <c r="CX29" s="21"/>
      <c r="CY29" s="21"/>
      <c r="CZ29" s="21"/>
      <c r="DA29" s="21"/>
      <c r="DB29" s="21"/>
      <c r="DC29" s="21"/>
      <c r="DD29" s="21"/>
      <c r="DE29" s="21"/>
      <c r="DF29" s="21"/>
      <c r="DG29" s="21"/>
      <c r="DH29" s="21"/>
      <c r="DI29" s="21"/>
      <c r="DJ29" s="21"/>
      <c r="DK29" s="21"/>
      <c r="DL29" s="21"/>
      <c r="DM29" s="21"/>
      <c r="DN29" s="21"/>
      <c r="DO29" s="21"/>
      <c r="DP29" s="21"/>
      <c r="DQ29" s="87"/>
      <c r="DR29" s="87">
        <v>0</v>
      </c>
      <c r="DS29" s="87"/>
      <c r="DT29" s="21"/>
      <c r="DU29" s="21"/>
      <c r="DV29" s="21"/>
      <c r="DW29" s="21"/>
      <c r="DX29" s="21"/>
      <c r="DY29" s="21"/>
      <c r="DZ29" s="21"/>
      <c r="EA29" s="21"/>
      <c r="EB29" s="21"/>
      <c r="EC29" s="21"/>
      <c r="ED29" s="21"/>
      <c r="EE29" s="21"/>
      <c r="EF29" s="21"/>
      <c r="EG29" s="21"/>
      <c r="EH29" s="21"/>
      <c r="EI29" s="21"/>
      <c r="EJ29" s="196" t="s">
        <v>772</v>
      </c>
      <c r="EK29" s="21"/>
      <c r="EL29" s="21"/>
      <c r="EM29" s="21"/>
      <c r="EN29" s="21"/>
      <c r="EO29" s="21"/>
      <c r="EP29" s="21"/>
      <c r="EQ29" s="21"/>
      <c r="ER29" s="21"/>
      <c r="ES29" s="21"/>
      <c r="ET29" s="21"/>
      <c r="EU29" s="21"/>
      <c r="EV29" s="21"/>
      <c r="EW29" s="21"/>
      <c r="EX29" s="21"/>
      <c r="EY29" s="21"/>
      <c r="EZ29" s="21"/>
      <c r="FA29" s="21"/>
      <c r="FB29" s="21"/>
      <c r="FC29" s="21"/>
      <c r="FD29" s="21"/>
      <c r="FE29" s="21"/>
      <c r="FF29" s="21"/>
      <c r="FG29" s="21"/>
      <c r="FH29" s="21"/>
      <c r="FI29" s="21"/>
      <c r="FJ29" s="21"/>
      <c r="FK29" s="21"/>
      <c r="FL29" s="21"/>
      <c r="FM29" s="21"/>
      <c r="FN29" s="21"/>
      <c r="FO29" s="21"/>
      <c r="FP29" s="21"/>
      <c r="FQ29" s="21"/>
      <c r="FR29" s="21"/>
      <c r="FS29" s="21"/>
      <c r="FT29" s="21"/>
      <c r="FU29" s="21"/>
      <c r="FV29" s="21"/>
      <c r="FW29" s="21"/>
      <c r="FX29" s="21"/>
      <c r="FY29" s="21"/>
      <c r="FZ29" s="21"/>
      <c r="GA29" s="21"/>
      <c r="GB29" s="21"/>
      <c r="GC29" s="21"/>
      <c r="GD29" s="21"/>
      <c r="GE29" s="21"/>
      <c r="GF29" s="21"/>
      <c r="GG29" s="21"/>
      <c r="GH29" s="21"/>
      <c r="GI29" s="21"/>
      <c r="GJ29" s="21"/>
      <c r="GK29" s="21"/>
      <c r="GL29" s="21"/>
      <c r="GM29" s="21"/>
      <c r="GN29" s="21"/>
      <c r="GO29" s="21"/>
      <c r="GP29" s="21"/>
      <c r="GQ29" s="21"/>
      <c r="GR29" s="21"/>
      <c r="GS29" s="21"/>
      <c r="GT29" s="21"/>
      <c r="GU29" s="21"/>
      <c r="GV29" s="21"/>
      <c r="GW29" s="21"/>
      <c r="GX29" s="21"/>
      <c r="GY29" s="21"/>
      <c r="GZ29" s="21"/>
      <c r="HA29" s="21"/>
      <c r="HB29" s="21"/>
      <c r="HC29" s="21"/>
      <c r="HD29" s="21"/>
      <c r="HE29" s="21"/>
      <c r="HF29" s="21"/>
      <c r="HG29" s="197"/>
      <c r="HH29" s="21"/>
    </row>
    <row r="30" spans="1:216" x14ac:dyDescent="0.25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6" t="str">
        <f>IF(E13=AS23,"CWT70H50/3,2NMC",IF(E13=AU23,"CWT70H50/3NMC",IF(E13=AT24,"CWT70H50/2,4NMC",IF(E13=AW25,"CWT70H50/2NMC","-------"))))</f>
        <v>CWT70H50/3,2NMC</v>
      </c>
      <c r="M30" s="11">
        <f>INDEX(cennik!$C$2:$L$529,MATCH($L30,cennik!$B$2:$B$522,0),MATCH(M$2,cennik!$C$1:$L$1,0))</f>
        <v>867832</v>
      </c>
      <c r="N30" s="11" t="str">
        <f>INDEX(cennik!$C$2:$L$529,MATCH($L30,cennik!$B$2:$B$522,0),MATCH(N$2,cennik!$C$1:$L$1,0))</f>
        <v>szt.</v>
      </c>
      <c r="O30" s="11">
        <f>E6*2</f>
        <v>0</v>
      </c>
      <c r="P30" s="34">
        <f>INDEX(cennik!$C$2:$L$529,MATCH($L30,cennik!$B$2:$B$522,0),MATCH(P$2,cennik!$C$1:$L$1,0))</f>
        <v>161.94999999999999</v>
      </c>
      <c r="Q30" s="34">
        <f>O30*P30</f>
        <v>0</v>
      </c>
      <c r="R30" s="35">
        <f>$E$7</f>
        <v>0</v>
      </c>
      <c r="S30" s="34">
        <f>P30*((100-$E$7)/100)</f>
        <v>161.94999999999999</v>
      </c>
      <c r="T30" s="34">
        <f>O30*S30</f>
        <v>0</v>
      </c>
      <c r="U30" s="34">
        <f>INDEX(cennik!$C$2:$L$529,MATCH($L30,cennik!$B$2:$B$522,0),MATCH(U$2,cennik!$C$1:$L$1,0))*O30</f>
        <v>0</v>
      </c>
      <c r="V30" s="27"/>
      <c r="AC30" s="21"/>
      <c r="AD30" s="21"/>
      <c r="AE30" s="180" t="s">
        <v>715</v>
      </c>
      <c r="AF30" s="21">
        <v>1300</v>
      </c>
      <c r="AG30" s="21"/>
      <c r="AH30" s="21"/>
      <c r="AJ30" s="21"/>
      <c r="AK30" s="21"/>
      <c r="AL30" s="21"/>
      <c r="AM30" s="21"/>
      <c r="AN30" s="21"/>
      <c r="AO30" s="21"/>
      <c r="AP30" s="21"/>
      <c r="AQ30" s="21"/>
      <c r="AR30" s="21" t="s">
        <v>115</v>
      </c>
      <c r="AS30" s="21" t="s">
        <v>594</v>
      </c>
      <c r="AT30" s="21" t="s">
        <v>596</v>
      </c>
      <c r="AU30" s="21" t="s">
        <v>594</v>
      </c>
      <c r="AV30" s="21" t="s">
        <v>594</v>
      </c>
      <c r="AW30" s="21"/>
      <c r="AX30" s="21"/>
      <c r="AY30" s="21"/>
      <c r="AZ30" s="21"/>
      <c r="BA30" s="21"/>
      <c r="BB30" s="21"/>
      <c r="BC30" s="21"/>
      <c r="BD30" s="21"/>
      <c r="BE30" s="21"/>
      <c r="BF30" s="21"/>
      <c r="BG30" s="189">
        <f t="shared" ref="BG30:BG45" si="50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</f>
        <v>1</v>
      </c>
      <c r="BH30" s="21" t="s">
        <v>111</v>
      </c>
      <c r="BI30" s="21">
        <v>0</v>
      </c>
      <c r="BJ30" s="21">
        <v>10</v>
      </c>
      <c r="BK30" s="21">
        <v>15</v>
      </c>
      <c r="BL30" s="21">
        <v>20</v>
      </c>
      <c r="BM30" s="21">
        <v>25</v>
      </c>
      <c r="BN30" s="21">
        <v>30</v>
      </c>
      <c r="BO30" s="21">
        <v>35</v>
      </c>
      <c r="BP30" s="21">
        <v>40</v>
      </c>
      <c r="BQ30" s="21">
        <v>45</v>
      </c>
      <c r="BR30" s="21">
        <v>50</v>
      </c>
      <c r="BS30" s="21">
        <v>55</v>
      </c>
      <c r="BT30" s="21">
        <v>60</v>
      </c>
      <c r="BU30" s="21">
        <v>65</v>
      </c>
      <c r="BV30" s="21"/>
      <c r="BW30" s="21" t="s">
        <v>470</v>
      </c>
      <c r="BX30" s="21">
        <v>0</v>
      </c>
      <c r="BY30" s="21">
        <v>10</v>
      </c>
      <c r="BZ30" s="21">
        <v>15</v>
      </c>
      <c r="CA30" s="21">
        <v>20</v>
      </c>
      <c r="CB30" s="21">
        <v>25</v>
      </c>
      <c r="CC30" s="21">
        <v>30</v>
      </c>
      <c r="CD30" s="21">
        <v>35</v>
      </c>
      <c r="CE30" s="21">
        <v>40</v>
      </c>
      <c r="CF30" s="21">
        <v>45</v>
      </c>
      <c r="CG30" s="21">
        <v>50</v>
      </c>
      <c r="CH30" s="21">
        <v>55</v>
      </c>
      <c r="CI30" s="21">
        <v>60</v>
      </c>
      <c r="CJ30" s="21">
        <v>65</v>
      </c>
      <c r="CK30" s="21"/>
      <c r="CL30" s="21"/>
      <c r="CM30" s="21"/>
      <c r="CN30" s="21" t="s">
        <v>473</v>
      </c>
      <c r="CO30" s="21">
        <v>0</v>
      </c>
      <c r="CP30" s="21">
        <v>10</v>
      </c>
      <c r="CQ30" s="21">
        <v>15</v>
      </c>
      <c r="CR30" s="21">
        <v>20</v>
      </c>
      <c r="CS30" s="21">
        <v>25</v>
      </c>
      <c r="CT30" s="21">
        <v>30</v>
      </c>
      <c r="CU30" s="21">
        <v>35</v>
      </c>
      <c r="CV30" s="21">
        <v>40</v>
      </c>
      <c r="CW30" s="21">
        <v>45</v>
      </c>
      <c r="CX30" s="21">
        <v>50</v>
      </c>
      <c r="CY30" s="21">
        <v>55</v>
      </c>
      <c r="CZ30" s="21">
        <v>60</v>
      </c>
      <c r="DA30" s="21">
        <v>65</v>
      </c>
      <c r="DB30" s="21"/>
      <c r="DC30" s="21" t="s">
        <v>138</v>
      </c>
      <c r="DD30" s="21">
        <v>0</v>
      </c>
      <c r="DE30" s="21">
        <v>10</v>
      </c>
      <c r="DF30" s="21">
        <v>15</v>
      </c>
      <c r="DG30" s="21">
        <v>20</v>
      </c>
      <c r="DH30" s="21">
        <v>25</v>
      </c>
      <c r="DI30" s="21">
        <v>30</v>
      </c>
      <c r="DJ30" s="21">
        <v>35</v>
      </c>
      <c r="DK30" s="21">
        <v>40</v>
      </c>
      <c r="DL30" s="21">
        <v>45</v>
      </c>
      <c r="DM30" s="21">
        <v>50</v>
      </c>
      <c r="DN30" s="21">
        <v>55</v>
      </c>
      <c r="DO30" s="21">
        <v>60</v>
      </c>
      <c r="DP30" s="21">
        <v>65</v>
      </c>
      <c r="DQ30" s="87"/>
      <c r="DR30" s="87">
        <v>10</v>
      </c>
      <c r="DS30" s="87"/>
      <c r="DT30" s="21" t="s">
        <v>508</v>
      </c>
      <c r="DU30" s="21">
        <v>0</v>
      </c>
      <c r="DV30" s="21">
        <v>10</v>
      </c>
      <c r="DW30" s="21">
        <v>15</v>
      </c>
      <c r="DX30" s="21">
        <v>20</v>
      </c>
      <c r="DY30" s="21">
        <v>25</v>
      </c>
      <c r="DZ30" s="21">
        <v>30</v>
      </c>
      <c r="EA30" s="21">
        <v>35</v>
      </c>
      <c r="EB30" s="21">
        <v>40</v>
      </c>
      <c r="EC30" s="21">
        <v>45</v>
      </c>
      <c r="ED30" s="21">
        <v>50</v>
      </c>
      <c r="EE30" s="21">
        <v>55</v>
      </c>
      <c r="EF30" s="21">
        <v>60</v>
      </c>
      <c r="EG30" s="21">
        <v>65</v>
      </c>
      <c r="EH30" s="21"/>
      <c r="EI30" s="21"/>
      <c r="EJ30" s="196"/>
      <c r="EK30" s="21" t="s">
        <v>111</v>
      </c>
      <c r="EL30" s="21">
        <v>0</v>
      </c>
      <c r="EM30" s="21">
        <v>10</v>
      </c>
      <c r="EN30" s="21">
        <v>15</v>
      </c>
      <c r="EO30" s="21">
        <v>20</v>
      </c>
      <c r="EP30" s="21">
        <v>25</v>
      </c>
      <c r="EQ30" s="21">
        <v>30</v>
      </c>
      <c r="ER30" s="21">
        <v>35</v>
      </c>
      <c r="ES30" s="21">
        <v>40</v>
      </c>
      <c r="ET30" s="21">
        <v>45</v>
      </c>
      <c r="EU30" s="21">
        <v>50</v>
      </c>
      <c r="EV30" s="21">
        <v>55</v>
      </c>
      <c r="EW30" s="21">
        <v>60</v>
      </c>
      <c r="EX30" s="21">
        <v>65</v>
      </c>
      <c r="EY30" s="21"/>
      <c r="EZ30" s="21" t="s">
        <v>470</v>
      </c>
      <c r="FA30" s="21">
        <v>0</v>
      </c>
      <c r="FB30" s="21">
        <v>10</v>
      </c>
      <c r="FC30" s="21">
        <v>15</v>
      </c>
      <c r="FD30" s="21">
        <v>20</v>
      </c>
      <c r="FE30" s="21">
        <v>25</v>
      </c>
      <c r="FF30" s="21">
        <v>30</v>
      </c>
      <c r="FG30" s="21">
        <v>35</v>
      </c>
      <c r="FH30" s="21">
        <v>40</v>
      </c>
      <c r="FI30" s="21">
        <v>45</v>
      </c>
      <c r="FJ30" s="21">
        <v>50</v>
      </c>
      <c r="FK30" s="21">
        <v>55</v>
      </c>
      <c r="FL30" s="21">
        <v>60</v>
      </c>
      <c r="FM30" s="21">
        <v>65</v>
      </c>
      <c r="FN30" s="21"/>
      <c r="FO30" s="21" t="s">
        <v>473</v>
      </c>
      <c r="FP30" s="21">
        <v>0</v>
      </c>
      <c r="FQ30" s="21">
        <v>10</v>
      </c>
      <c r="FR30" s="21">
        <v>15</v>
      </c>
      <c r="FS30" s="21">
        <v>20</v>
      </c>
      <c r="FT30" s="21">
        <v>25</v>
      </c>
      <c r="FU30" s="21">
        <v>30</v>
      </c>
      <c r="FV30" s="21">
        <v>35</v>
      </c>
      <c r="FW30" s="21">
        <v>40</v>
      </c>
      <c r="FX30" s="21">
        <v>45</v>
      </c>
      <c r="FY30" s="21">
        <v>50</v>
      </c>
      <c r="FZ30" s="21">
        <v>55</v>
      </c>
      <c r="GA30" s="21">
        <v>60</v>
      </c>
      <c r="GB30" s="21">
        <v>65</v>
      </c>
      <c r="GC30" s="21"/>
      <c r="GD30" s="21" t="s">
        <v>138</v>
      </c>
      <c r="GE30" s="21">
        <v>0</v>
      </c>
      <c r="GF30" s="21">
        <v>10</v>
      </c>
      <c r="GG30" s="21">
        <v>15</v>
      </c>
      <c r="GH30" s="21">
        <v>20</v>
      </c>
      <c r="GI30" s="21">
        <v>25</v>
      </c>
      <c r="GJ30" s="21">
        <v>30</v>
      </c>
      <c r="GK30" s="21">
        <v>35</v>
      </c>
      <c r="GL30" s="21">
        <v>40</v>
      </c>
      <c r="GM30" s="21">
        <v>45</v>
      </c>
      <c r="GN30" s="21">
        <v>50</v>
      </c>
      <c r="GO30" s="21">
        <v>55</v>
      </c>
      <c r="GP30" s="21">
        <v>60</v>
      </c>
      <c r="GQ30" s="21">
        <v>65</v>
      </c>
      <c r="GR30" s="21"/>
      <c r="GS30" s="21" t="s">
        <v>508</v>
      </c>
      <c r="GT30" s="21">
        <v>0</v>
      </c>
      <c r="GU30" s="21">
        <v>10</v>
      </c>
      <c r="GV30" s="21">
        <v>15</v>
      </c>
      <c r="GW30" s="21">
        <v>20</v>
      </c>
      <c r="GX30" s="21">
        <v>25</v>
      </c>
      <c r="GY30" s="21">
        <v>30</v>
      </c>
      <c r="GZ30" s="21">
        <v>35</v>
      </c>
      <c r="HA30" s="21">
        <v>40</v>
      </c>
      <c r="HB30" s="21">
        <v>45</v>
      </c>
      <c r="HC30" s="21">
        <v>50</v>
      </c>
      <c r="HD30" s="21">
        <v>55</v>
      </c>
      <c r="HE30" s="21">
        <v>60</v>
      </c>
      <c r="HF30" s="21">
        <v>65</v>
      </c>
      <c r="HG30" s="197"/>
      <c r="HH30" s="21"/>
    </row>
    <row r="31" spans="1:216" x14ac:dyDescent="0.25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6" t="s">
        <v>591</v>
      </c>
      <c r="M31" s="11">
        <f>INDEX(cennik!$C$2:$L$529,MATCH($L31,cennik!$B$2:$B$522,0),MATCH(M$2,cennik!$C$1:$L$1,0))</f>
        <v>867810</v>
      </c>
      <c r="N31" s="11" t="str">
        <f>INDEX(cennik!$C$2:$L$529,MATCH($L31,cennik!$B$2:$B$522,0),MATCH(N$2,cennik!$C$1:$L$1,0))</f>
        <v>szt.</v>
      </c>
      <c r="O31" s="11">
        <f>E6*4</f>
        <v>0</v>
      </c>
      <c r="P31" s="34">
        <f>INDEX(cennik!$C$2:$L$529,MATCH($L31,cennik!$B$2:$B$522,0),MATCH(P$2,cennik!$C$1:$L$1,0))</f>
        <v>50.61</v>
      </c>
      <c r="Q31" s="34">
        <f>O31*P31</f>
        <v>0</v>
      </c>
      <c r="R31" s="35">
        <f>$E$7</f>
        <v>0</v>
      </c>
      <c r="S31" s="34">
        <f>P31*((100-$E$7)/100)</f>
        <v>50.61</v>
      </c>
      <c r="T31" s="34">
        <f>O31*S31</f>
        <v>0</v>
      </c>
      <c r="U31" s="34">
        <f>INDEX(cennik!$C$2:$L$529,MATCH($L31,cennik!$B$2:$B$522,0),MATCH(U$2,cennik!$C$1:$L$1,0))*O31</f>
        <v>0</v>
      </c>
      <c r="V31" s="25"/>
      <c r="AC31" s="21"/>
      <c r="AD31" s="21"/>
      <c r="AE31" s="180" t="s">
        <v>762</v>
      </c>
      <c r="AF31" s="21">
        <v>1350</v>
      </c>
      <c r="AG31" s="21"/>
      <c r="AH31" s="21"/>
      <c r="AJ31" s="21"/>
      <c r="AK31" s="21"/>
      <c r="AL31" s="21"/>
      <c r="AM31" s="21"/>
      <c r="AN31" s="21"/>
      <c r="AO31" s="21"/>
      <c r="AP31" s="21"/>
      <c r="AQ31" s="21"/>
      <c r="AR31" s="21" t="s">
        <v>474</v>
      </c>
      <c r="AS31" s="21" t="s">
        <v>594</v>
      </c>
      <c r="AT31" s="21" t="s">
        <v>596</v>
      </c>
      <c r="AU31" s="21" t="s">
        <v>594</v>
      </c>
      <c r="AV31" s="21" t="s">
        <v>594</v>
      </c>
      <c r="AW31" s="21"/>
      <c r="AX31" s="21"/>
      <c r="AY31" s="21"/>
      <c r="AZ31" s="21"/>
      <c r="BA31" s="21"/>
      <c r="BB31" s="21"/>
      <c r="BC31" s="21"/>
      <c r="BD31" s="21"/>
      <c r="BE31" s="21"/>
      <c r="BF31" s="21"/>
      <c r="BG31" s="189">
        <f t="shared" si="50"/>
        <v>1</v>
      </c>
      <c r="BH31" s="21" t="s">
        <v>217</v>
      </c>
      <c r="BI31" s="21">
        <v>0</v>
      </c>
      <c r="BJ31" s="21">
        <f>IF(BJ3=0,0,IF(BJ3=5,6,IF(BJ3=10,12,IF(BJ3=15,18,IF(BJ3=20,24,0)))))</f>
        <v>0</v>
      </c>
      <c r="BK31" s="21">
        <f t="shared" ref="BK31:BU31" si="51">IF(BK3=0,0,IF(BK3=5,6,IF(BK3=10,12,IF(BK3=15,18,IF(BK3=20,24,0)))))</f>
        <v>0</v>
      </c>
      <c r="BL31" s="21">
        <f>IF(BL3=0,0,IF(BL3=5,6,IF(BL3=10,12,IF(BL3=15,18,IF(BL3=20,24,0)))))</f>
        <v>6</v>
      </c>
      <c r="BM31" s="21">
        <f t="shared" si="51"/>
        <v>0</v>
      </c>
      <c r="BN31" s="21">
        <f t="shared" si="51"/>
        <v>6</v>
      </c>
      <c r="BO31" s="21">
        <f t="shared" si="51"/>
        <v>0</v>
      </c>
      <c r="BP31" s="21">
        <f t="shared" si="51"/>
        <v>12</v>
      </c>
      <c r="BQ31" s="21">
        <f t="shared" si="51"/>
        <v>6</v>
      </c>
      <c r="BR31" s="21">
        <f t="shared" si="51"/>
        <v>12</v>
      </c>
      <c r="BS31" s="21">
        <f t="shared" si="51"/>
        <v>6</v>
      </c>
      <c r="BT31" s="21">
        <f t="shared" si="51"/>
        <v>12</v>
      </c>
      <c r="BU31" s="21">
        <f t="shared" si="51"/>
        <v>12</v>
      </c>
      <c r="BV31" s="21"/>
      <c r="BW31" s="21" t="s">
        <v>217</v>
      </c>
      <c r="BX31" s="21">
        <v>0</v>
      </c>
      <c r="BY31" s="21">
        <f t="shared" ref="BY31:CJ34" si="52">IF(BY3=0,0,IF(BY3=5,6,IF(BY3=10,12,IF(BY3=15,18,IF(BY3=20,24,0)))))</f>
        <v>0</v>
      </c>
      <c r="BZ31" s="21">
        <f t="shared" si="52"/>
        <v>6</v>
      </c>
      <c r="CA31" s="21">
        <f t="shared" si="52"/>
        <v>6</v>
      </c>
      <c r="CB31" s="21">
        <f t="shared" si="52"/>
        <v>0</v>
      </c>
      <c r="CC31" s="21">
        <f t="shared" si="52"/>
        <v>6</v>
      </c>
      <c r="CD31" s="21">
        <f t="shared" si="52"/>
        <v>0</v>
      </c>
      <c r="CE31" s="21">
        <f t="shared" si="52"/>
        <v>6</v>
      </c>
      <c r="CF31" s="21">
        <f t="shared" si="52"/>
        <v>12</v>
      </c>
      <c r="CG31" s="21">
        <f t="shared" si="52"/>
        <v>12</v>
      </c>
      <c r="CH31" s="21">
        <f t="shared" si="52"/>
        <v>12</v>
      </c>
      <c r="CI31" s="21">
        <f t="shared" si="52"/>
        <v>12</v>
      </c>
      <c r="CJ31" s="21">
        <f t="shared" si="52"/>
        <v>18</v>
      </c>
      <c r="CK31" s="21"/>
      <c r="CL31" s="21"/>
      <c r="CM31" s="21"/>
      <c r="CN31" s="21" t="s">
        <v>217</v>
      </c>
      <c r="CO31" s="21">
        <v>0</v>
      </c>
      <c r="CP31" s="21">
        <f t="shared" ref="CP31:DA34" si="53">IF(CP3=0,0,IF(CP3=5,6,IF(CP3=10,12,IF(CP3=15,18,IF(CP3=20,24,0)))))</f>
        <v>0</v>
      </c>
      <c r="CQ31" s="21">
        <f t="shared" si="53"/>
        <v>6</v>
      </c>
      <c r="CR31" s="21">
        <f t="shared" si="53"/>
        <v>0</v>
      </c>
      <c r="CS31" s="21">
        <f t="shared" si="53"/>
        <v>6</v>
      </c>
      <c r="CT31" s="21">
        <f t="shared" si="53"/>
        <v>0</v>
      </c>
      <c r="CU31" s="21">
        <f t="shared" si="53"/>
        <v>12</v>
      </c>
      <c r="CV31" s="21">
        <f t="shared" si="53"/>
        <v>6</v>
      </c>
      <c r="CW31" s="21">
        <f t="shared" si="53"/>
        <v>12</v>
      </c>
      <c r="CX31" s="21">
        <f t="shared" si="53"/>
        <v>18</v>
      </c>
      <c r="CY31" s="21">
        <f t="shared" si="53"/>
        <v>12</v>
      </c>
      <c r="CZ31" s="21">
        <f t="shared" si="53"/>
        <v>18</v>
      </c>
      <c r="DA31" s="21">
        <f t="shared" si="53"/>
        <v>24</v>
      </c>
      <c r="DB31" s="21"/>
      <c r="DC31" s="21" t="s">
        <v>217</v>
      </c>
      <c r="DD31" s="21">
        <v>0</v>
      </c>
      <c r="DE31" s="21">
        <f t="shared" ref="DE31:DP34" si="54">IF(DE3=0,0,IF(DE3=5,6,IF(DE3=10,12,IF(DE3=15,18,IF(DE3=20,24,0)))))</f>
        <v>0</v>
      </c>
      <c r="DF31" s="21">
        <f t="shared" si="54"/>
        <v>6</v>
      </c>
      <c r="DG31" s="21">
        <f t="shared" si="54"/>
        <v>0</v>
      </c>
      <c r="DH31" s="21">
        <f t="shared" si="54"/>
        <v>6</v>
      </c>
      <c r="DI31" s="21">
        <f t="shared" si="54"/>
        <v>0</v>
      </c>
      <c r="DJ31" s="21">
        <f t="shared" si="54"/>
        <v>6</v>
      </c>
      <c r="DK31" s="21">
        <f t="shared" si="54"/>
        <v>12</v>
      </c>
      <c r="DL31" s="21">
        <f t="shared" si="54"/>
        <v>6</v>
      </c>
      <c r="DM31" s="21">
        <f t="shared" si="54"/>
        <v>12</v>
      </c>
      <c r="DN31" s="21">
        <f t="shared" si="54"/>
        <v>18</v>
      </c>
      <c r="DO31" s="21">
        <f t="shared" si="54"/>
        <v>12</v>
      </c>
      <c r="DP31" s="21">
        <f t="shared" si="54"/>
        <v>18</v>
      </c>
      <c r="DQ31" s="87"/>
      <c r="DR31" s="87">
        <v>15</v>
      </c>
      <c r="DS31" s="87"/>
      <c r="DT31" s="21" t="s">
        <v>217</v>
      </c>
      <c r="DU31" s="21">
        <v>0</v>
      </c>
      <c r="DV31" s="21">
        <f t="shared" ref="DV31:EG34" si="55">IF(DV3=0,0,IF(DV3=5,6,IF(DV3=10,12,IF(DV3=15,18,IF(DV3=20,24,0)))))</f>
        <v>0</v>
      </c>
      <c r="DW31" s="21">
        <f t="shared" si="55"/>
        <v>6</v>
      </c>
      <c r="DX31" s="21">
        <f t="shared" si="55"/>
        <v>0</v>
      </c>
      <c r="DY31" s="21">
        <f t="shared" si="55"/>
        <v>0</v>
      </c>
      <c r="DZ31" s="21">
        <f t="shared" si="55"/>
        <v>12</v>
      </c>
      <c r="EA31" s="21">
        <f t="shared" si="55"/>
        <v>6</v>
      </c>
      <c r="EB31" s="21">
        <f t="shared" si="55"/>
        <v>12</v>
      </c>
      <c r="EC31" s="21">
        <f t="shared" si="55"/>
        <v>12</v>
      </c>
      <c r="ED31" s="21">
        <f t="shared" si="55"/>
        <v>18</v>
      </c>
      <c r="EE31" s="21">
        <f t="shared" si="55"/>
        <v>12</v>
      </c>
      <c r="EF31" s="21">
        <f t="shared" si="55"/>
        <v>18</v>
      </c>
      <c r="EG31" s="21">
        <f t="shared" si="55"/>
        <v>24</v>
      </c>
      <c r="EH31" s="21"/>
      <c r="EI31" s="21"/>
      <c r="EJ31" s="196"/>
      <c r="EK31" s="21" t="s">
        <v>586</v>
      </c>
      <c r="EL31" s="21">
        <v>0</v>
      </c>
      <c r="EM31" s="21">
        <f t="shared" ref="EM31:EX32" si="56">EM3/5*6</f>
        <v>0</v>
      </c>
      <c r="EN31" s="21">
        <f t="shared" si="56"/>
        <v>0</v>
      </c>
      <c r="EO31" s="21">
        <f t="shared" si="56"/>
        <v>6</v>
      </c>
      <c r="EP31" s="21">
        <f t="shared" si="56"/>
        <v>0</v>
      </c>
      <c r="EQ31" s="21">
        <f t="shared" si="56"/>
        <v>0</v>
      </c>
      <c r="ER31" s="21">
        <f t="shared" si="56"/>
        <v>0</v>
      </c>
      <c r="ES31" s="21">
        <f t="shared" si="56"/>
        <v>0</v>
      </c>
      <c r="ET31" s="21">
        <f t="shared" si="56"/>
        <v>0</v>
      </c>
      <c r="EU31" s="21">
        <f t="shared" si="56"/>
        <v>0</v>
      </c>
      <c r="EV31" s="21">
        <f t="shared" si="56"/>
        <v>0</v>
      </c>
      <c r="EW31" s="21">
        <f t="shared" si="56"/>
        <v>0</v>
      </c>
      <c r="EX31" s="21">
        <f t="shared" si="56"/>
        <v>0</v>
      </c>
      <c r="EZ31" s="21" t="s">
        <v>586</v>
      </c>
      <c r="FA31" s="21">
        <v>0</v>
      </c>
      <c r="FB31" s="21">
        <f t="shared" ref="FB31:FM34" si="57">FB3/5*6</f>
        <v>0</v>
      </c>
      <c r="FC31" s="21">
        <f t="shared" si="57"/>
        <v>6</v>
      </c>
      <c r="FD31" s="21">
        <f t="shared" si="57"/>
        <v>6</v>
      </c>
      <c r="FE31" s="21">
        <f t="shared" si="57"/>
        <v>0</v>
      </c>
      <c r="FF31" s="21">
        <f t="shared" si="57"/>
        <v>0</v>
      </c>
      <c r="FG31" s="21">
        <f t="shared" si="57"/>
        <v>0</v>
      </c>
      <c r="FH31" s="21">
        <f t="shared" si="57"/>
        <v>0</v>
      </c>
      <c r="FI31" s="21">
        <f t="shared" si="57"/>
        <v>0</v>
      </c>
      <c r="FJ31" s="21">
        <f t="shared" si="57"/>
        <v>0</v>
      </c>
      <c r="FK31" s="21">
        <f t="shared" si="57"/>
        <v>0</v>
      </c>
      <c r="FL31" s="21">
        <f t="shared" si="57"/>
        <v>0</v>
      </c>
      <c r="FM31" s="21">
        <f t="shared" si="57"/>
        <v>0</v>
      </c>
      <c r="FO31" s="21" t="s">
        <v>586</v>
      </c>
      <c r="FP31" s="21">
        <v>0</v>
      </c>
      <c r="FQ31" s="21">
        <f t="shared" ref="FQ31:GB34" si="58">FQ3/5*6</f>
        <v>0</v>
      </c>
      <c r="FR31" s="21">
        <f t="shared" si="58"/>
        <v>6</v>
      </c>
      <c r="FS31" s="21">
        <f t="shared" si="58"/>
        <v>0</v>
      </c>
      <c r="FT31" s="21">
        <f t="shared" si="58"/>
        <v>0</v>
      </c>
      <c r="FU31" s="21">
        <f t="shared" si="58"/>
        <v>0</v>
      </c>
      <c r="FV31" s="21">
        <f t="shared" si="58"/>
        <v>0</v>
      </c>
      <c r="FW31" s="21">
        <f t="shared" si="58"/>
        <v>0</v>
      </c>
      <c r="FX31" s="21">
        <f t="shared" si="58"/>
        <v>0</v>
      </c>
      <c r="FY31" s="21">
        <f t="shared" si="58"/>
        <v>0</v>
      </c>
      <c r="FZ31" s="21">
        <f t="shared" si="58"/>
        <v>0</v>
      </c>
      <c r="GA31" s="21">
        <f t="shared" si="58"/>
        <v>0</v>
      </c>
      <c r="GB31" s="21">
        <f t="shared" si="58"/>
        <v>0</v>
      </c>
      <c r="GD31" s="21" t="s">
        <v>586</v>
      </c>
      <c r="GE31" s="21">
        <v>0</v>
      </c>
      <c r="GF31" s="21">
        <f t="shared" ref="GF31:GQ34" si="59">GF3/5*6</f>
        <v>0</v>
      </c>
      <c r="GG31" s="21">
        <f t="shared" si="59"/>
        <v>6</v>
      </c>
      <c r="GH31" s="21">
        <f t="shared" si="59"/>
        <v>0</v>
      </c>
      <c r="GI31" s="21">
        <f t="shared" si="59"/>
        <v>0</v>
      </c>
      <c r="GJ31" s="21">
        <f t="shared" si="59"/>
        <v>0</v>
      </c>
      <c r="GK31" s="21">
        <f t="shared" si="59"/>
        <v>0</v>
      </c>
      <c r="GL31" s="21">
        <f t="shared" si="59"/>
        <v>0</v>
      </c>
      <c r="GM31" s="21">
        <f t="shared" si="59"/>
        <v>0</v>
      </c>
      <c r="GN31" s="21">
        <f t="shared" si="59"/>
        <v>0</v>
      </c>
      <c r="GO31" s="21">
        <f t="shared" si="59"/>
        <v>0</v>
      </c>
      <c r="GP31" s="21">
        <f t="shared" si="59"/>
        <v>0</v>
      </c>
      <c r="GQ31" s="21">
        <f t="shared" si="59"/>
        <v>0</v>
      </c>
      <c r="GS31" s="21" t="s">
        <v>586</v>
      </c>
      <c r="GT31" s="21">
        <v>0</v>
      </c>
      <c r="GU31" s="21">
        <f t="shared" ref="GU31:HF34" si="60">GU3/5*6</f>
        <v>0</v>
      </c>
      <c r="GV31" s="21">
        <f t="shared" si="60"/>
        <v>6</v>
      </c>
      <c r="GW31" s="21">
        <f t="shared" si="60"/>
        <v>0</v>
      </c>
      <c r="GX31" s="21">
        <f t="shared" si="60"/>
        <v>0</v>
      </c>
      <c r="GY31" s="21">
        <f t="shared" si="60"/>
        <v>0</v>
      </c>
      <c r="GZ31" s="21">
        <f t="shared" si="60"/>
        <v>0</v>
      </c>
      <c r="HA31" s="21">
        <f t="shared" si="60"/>
        <v>0</v>
      </c>
      <c r="HB31" s="21">
        <f t="shared" si="60"/>
        <v>0</v>
      </c>
      <c r="HC31" s="21">
        <f t="shared" si="60"/>
        <v>0</v>
      </c>
      <c r="HD31" s="21">
        <f t="shared" si="60"/>
        <v>0</v>
      </c>
      <c r="HE31" s="21">
        <f t="shared" si="60"/>
        <v>0</v>
      </c>
      <c r="HF31" s="21">
        <f t="shared" si="60"/>
        <v>0</v>
      </c>
      <c r="HG31" s="197"/>
      <c r="HH31" s="21"/>
    </row>
    <row r="32" spans="1:216" x14ac:dyDescent="0.25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24"/>
      <c r="N32" s="24"/>
      <c r="O32" s="24"/>
      <c r="P32" s="24"/>
      <c r="Q32" s="24"/>
      <c r="R32" s="24"/>
      <c r="S32" s="24"/>
      <c r="T32" s="34">
        <f>SUM(T3:T31)</f>
        <v>0</v>
      </c>
      <c r="U32" s="34">
        <f>SUM(U3:U31)</f>
        <v>0</v>
      </c>
      <c r="V32" s="25"/>
      <c r="W32" s="27"/>
      <c r="X32" s="27"/>
      <c r="Y32" s="27"/>
      <c r="Z32" s="27"/>
      <c r="AA32" s="186" t="s">
        <v>311</v>
      </c>
      <c r="AB32" s="192" t="s">
        <v>318</v>
      </c>
      <c r="AC32" s="21"/>
      <c r="AD32" s="21"/>
      <c r="AE32" s="180" t="s">
        <v>767</v>
      </c>
      <c r="AF32" s="21">
        <v>1400</v>
      </c>
      <c r="AG32" s="21"/>
      <c r="AH32" s="21"/>
      <c r="AI32" s="21"/>
      <c r="AJ32" s="21"/>
      <c r="AK32" s="21" t="s">
        <v>314</v>
      </c>
      <c r="AL32" s="21" t="s">
        <v>312</v>
      </c>
      <c r="AM32" s="21" t="s">
        <v>309</v>
      </c>
      <c r="AN32" s="21" t="s">
        <v>313</v>
      </c>
      <c r="AO32" s="21"/>
      <c r="AP32" s="21"/>
      <c r="AQ32" s="21"/>
      <c r="AR32" s="21" t="s">
        <v>480</v>
      </c>
      <c r="AS32" s="21" t="s">
        <v>594</v>
      </c>
      <c r="AT32" s="21" t="s">
        <v>596</v>
      </c>
      <c r="AU32" s="21" t="s">
        <v>594</v>
      </c>
      <c r="AV32" s="21" t="s">
        <v>594</v>
      </c>
      <c r="AW32" s="21"/>
      <c r="AX32" s="21"/>
      <c r="AY32" s="21"/>
      <c r="AZ32" s="21"/>
      <c r="BA32" s="21"/>
      <c r="BB32" s="21"/>
      <c r="BC32" s="21"/>
      <c r="BD32" s="21"/>
      <c r="BE32" s="21"/>
      <c r="BF32" s="21"/>
      <c r="BG32" s="189">
        <f t="shared" si="50"/>
        <v>1</v>
      </c>
      <c r="BH32" s="21" t="s">
        <v>216</v>
      </c>
      <c r="BI32" s="21">
        <v>0</v>
      </c>
      <c r="BJ32" s="21">
        <f t="shared" ref="BJ32:BU33" si="61">IF(BJ4=0,0,IF(BJ4=5,6,IF(BJ4=10,12,IF(BJ4=15,18,IF(BJ4=20,24,0)))))</f>
        <v>0</v>
      </c>
      <c r="BK32" s="21">
        <f t="shared" si="61"/>
        <v>6</v>
      </c>
      <c r="BL32" s="21">
        <f t="shared" si="61"/>
        <v>0</v>
      </c>
      <c r="BM32" s="21">
        <f t="shared" si="61"/>
        <v>12</v>
      </c>
      <c r="BN32" s="21">
        <f t="shared" si="61"/>
        <v>0</v>
      </c>
      <c r="BO32" s="21">
        <f t="shared" si="61"/>
        <v>12</v>
      </c>
      <c r="BP32" s="21">
        <f t="shared" si="61"/>
        <v>0</v>
      </c>
      <c r="BQ32" s="21">
        <f t="shared" si="61"/>
        <v>12</v>
      </c>
      <c r="BR32" s="21">
        <f t="shared" si="61"/>
        <v>0</v>
      </c>
      <c r="BS32" s="21">
        <f t="shared" si="61"/>
        <v>12</v>
      </c>
      <c r="BT32" s="21">
        <f t="shared" si="61"/>
        <v>6</v>
      </c>
      <c r="BU32" s="21">
        <f t="shared" si="61"/>
        <v>12</v>
      </c>
      <c r="BV32" s="21"/>
      <c r="BW32" s="21" t="s">
        <v>216</v>
      </c>
      <c r="BX32" s="21">
        <v>0</v>
      </c>
      <c r="BY32" s="21">
        <f t="shared" si="52"/>
        <v>0</v>
      </c>
      <c r="BZ32" s="21">
        <f t="shared" si="52"/>
        <v>0</v>
      </c>
      <c r="CA32" s="21">
        <f t="shared" si="52"/>
        <v>0</v>
      </c>
      <c r="CB32" s="21">
        <f t="shared" si="52"/>
        <v>12</v>
      </c>
      <c r="CC32" s="21">
        <f t="shared" si="52"/>
        <v>6</v>
      </c>
      <c r="CD32" s="21">
        <f t="shared" si="52"/>
        <v>12</v>
      </c>
      <c r="CE32" s="21">
        <f t="shared" si="52"/>
        <v>12</v>
      </c>
      <c r="CF32" s="21">
        <f t="shared" si="52"/>
        <v>0</v>
      </c>
      <c r="CG32" s="21">
        <f t="shared" si="52"/>
        <v>6</v>
      </c>
      <c r="CH32" s="21">
        <f t="shared" si="52"/>
        <v>6</v>
      </c>
      <c r="CI32" s="21">
        <f t="shared" si="52"/>
        <v>12</v>
      </c>
      <c r="CJ32" s="21">
        <f t="shared" si="52"/>
        <v>6</v>
      </c>
      <c r="CK32" s="21"/>
      <c r="CL32" s="21"/>
      <c r="CM32" s="21"/>
      <c r="CN32" s="21" t="s">
        <v>216</v>
      </c>
      <c r="CO32" s="21">
        <v>0</v>
      </c>
      <c r="CP32" s="21">
        <f t="shared" si="53"/>
        <v>0</v>
      </c>
      <c r="CQ32" s="21">
        <f t="shared" si="53"/>
        <v>0</v>
      </c>
      <c r="CR32" s="21">
        <f t="shared" si="53"/>
        <v>6</v>
      </c>
      <c r="CS32" s="21">
        <f t="shared" si="53"/>
        <v>0</v>
      </c>
      <c r="CT32" s="21">
        <f t="shared" si="53"/>
        <v>12</v>
      </c>
      <c r="CU32" s="21">
        <f t="shared" si="53"/>
        <v>0</v>
      </c>
      <c r="CV32" s="21">
        <f t="shared" si="53"/>
        <v>12</v>
      </c>
      <c r="CW32" s="21">
        <f t="shared" si="53"/>
        <v>6</v>
      </c>
      <c r="CX32" s="21">
        <f t="shared" si="53"/>
        <v>0</v>
      </c>
      <c r="CY32" s="21">
        <f t="shared" si="53"/>
        <v>12</v>
      </c>
      <c r="CZ32" s="21">
        <f t="shared" si="53"/>
        <v>6</v>
      </c>
      <c r="DA32" s="21">
        <f t="shared" si="53"/>
        <v>0</v>
      </c>
      <c r="DB32" s="21"/>
      <c r="DC32" s="21" t="s">
        <v>216</v>
      </c>
      <c r="DD32" s="21">
        <v>0</v>
      </c>
      <c r="DE32" s="21">
        <f t="shared" si="54"/>
        <v>6</v>
      </c>
      <c r="DF32" s="21">
        <f t="shared" si="54"/>
        <v>0</v>
      </c>
      <c r="DG32" s="21">
        <f t="shared" si="54"/>
        <v>12</v>
      </c>
      <c r="DH32" s="21">
        <f t="shared" si="54"/>
        <v>0</v>
      </c>
      <c r="DI32" s="21">
        <f t="shared" si="54"/>
        <v>12</v>
      </c>
      <c r="DJ32" s="21">
        <f t="shared" si="54"/>
        <v>12</v>
      </c>
      <c r="DK32" s="21">
        <f t="shared" si="54"/>
        <v>6</v>
      </c>
      <c r="DL32" s="21">
        <f t="shared" si="54"/>
        <v>12</v>
      </c>
      <c r="DM32" s="21">
        <f t="shared" si="54"/>
        <v>6</v>
      </c>
      <c r="DN32" s="21">
        <f t="shared" si="54"/>
        <v>6</v>
      </c>
      <c r="DO32" s="21">
        <f t="shared" si="54"/>
        <v>12</v>
      </c>
      <c r="DP32" s="21">
        <f t="shared" si="54"/>
        <v>6</v>
      </c>
      <c r="DQ32" s="87"/>
      <c r="DR32" s="87">
        <v>20</v>
      </c>
      <c r="DS32" s="87"/>
      <c r="DT32" s="21" t="s">
        <v>216</v>
      </c>
      <c r="DU32" s="21">
        <v>0</v>
      </c>
      <c r="DV32" s="21">
        <f t="shared" si="55"/>
        <v>6</v>
      </c>
      <c r="DW32" s="21">
        <f t="shared" si="55"/>
        <v>0</v>
      </c>
      <c r="DX32" s="21">
        <f t="shared" si="55"/>
        <v>12</v>
      </c>
      <c r="DY32" s="21">
        <f t="shared" si="55"/>
        <v>12</v>
      </c>
      <c r="DZ32" s="21">
        <f t="shared" si="55"/>
        <v>0</v>
      </c>
      <c r="EA32" s="21">
        <f t="shared" si="55"/>
        <v>12</v>
      </c>
      <c r="EB32" s="21">
        <f t="shared" si="55"/>
        <v>6</v>
      </c>
      <c r="EC32" s="21">
        <f t="shared" si="55"/>
        <v>6</v>
      </c>
      <c r="ED32" s="21">
        <f t="shared" si="55"/>
        <v>6</v>
      </c>
      <c r="EE32" s="21">
        <f t="shared" si="55"/>
        <v>12</v>
      </c>
      <c r="EF32" s="21">
        <f t="shared" si="55"/>
        <v>6</v>
      </c>
      <c r="EG32" s="21">
        <f t="shared" si="55"/>
        <v>0</v>
      </c>
      <c r="EH32" s="21"/>
      <c r="EI32" s="21"/>
      <c r="EJ32" s="196"/>
      <c r="EK32" s="21" t="s">
        <v>522</v>
      </c>
      <c r="EL32" s="21">
        <v>0</v>
      </c>
      <c r="EM32" s="21">
        <f>EM4/5*6</f>
        <v>0</v>
      </c>
      <c r="EN32" s="21">
        <f t="shared" si="56"/>
        <v>6</v>
      </c>
      <c r="EO32" s="21">
        <f t="shared" si="56"/>
        <v>0</v>
      </c>
      <c r="EP32" s="21">
        <f t="shared" si="56"/>
        <v>12</v>
      </c>
      <c r="EQ32" s="21">
        <f t="shared" si="56"/>
        <v>0</v>
      </c>
      <c r="ER32" s="21">
        <f t="shared" si="56"/>
        <v>12</v>
      </c>
      <c r="ES32" s="21">
        <f t="shared" si="56"/>
        <v>0</v>
      </c>
      <c r="ET32" s="21">
        <f t="shared" si="56"/>
        <v>12</v>
      </c>
      <c r="EU32" s="21">
        <f t="shared" si="56"/>
        <v>0</v>
      </c>
      <c r="EV32" s="21">
        <f t="shared" si="56"/>
        <v>12</v>
      </c>
      <c r="EW32" s="21">
        <f t="shared" si="56"/>
        <v>6</v>
      </c>
      <c r="EX32" s="21">
        <f t="shared" si="56"/>
        <v>12</v>
      </c>
      <c r="EY32" s="21"/>
      <c r="EZ32" s="21" t="s">
        <v>522</v>
      </c>
      <c r="FA32" s="21">
        <v>0</v>
      </c>
      <c r="FB32" s="21">
        <f t="shared" si="57"/>
        <v>0</v>
      </c>
      <c r="FC32" s="21">
        <f t="shared" si="57"/>
        <v>0</v>
      </c>
      <c r="FD32" s="21">
        <f t="shared" si="57"/>
        <v>0</v>
      </c>
      <c r="FE32" s="21">
        <f t="shared" si="57"/>
        <v>12</v>
      </c>
      <c r="FF32" s="21">
        <f t="shared" si="57"/>
        <v>6</v>
      </c>
      <c r="FG32" s="21">
        <f t="shared" si="57"/>
        <v>12</v>
      </c>
      <c r="FH32" s="21">
        <f t="shared" si="57"/>
        <v>12</v>
      </c>
      <c r="FI32" s="21">
        <f t="shared" si="57"/>
        <v>0</v>
      </c>
      <c r="FJ32" s="21">
        <f t="shared" si="57"/>
        <v>6</v>
      </c>
      <c r="FK32" s="21">
        <f t="shared" si="57"/>
        <v>6</v>
      </c>
      <c r="FL32" s="21">
        <f t="shared" si="57"/>
        <v>12</v>
      </c>
      <c r="FM32" s="21">
        <f t="shared" si="57"/>
        <v>6</v>
      </c>
      <c r="FN32" s="21"/>
      <c r="FO32" s="21" t="s">
        <v>522</v>
      </c>
      <c r="FP32" s="21">
        <v>0</v>
      </c>
      <c r="FQ32" s="21">
        <f t="shared" si="58"/>
        <v>0</v>
      </c>
      <c r="FR32" s="21">
        <f t="shared" si="58"/>
        <v>0</v>
      </c>
      <c r="FS32" s="21">
        <f t="shared" si="58"/>
        <v>6</v>
      </c>
      <c r="FT32" s="21">
        <f t="shared" si="58"/>
        <v>0</v>
      </c>
      <c r="FU32" s="21">
        <f t="shared" si="58"/>
        <v>12</v>
      </c>
      <c r="FV32" s="21">
        <f t="shared" si="58"/>
        <v>0</v>
      </c>
      <c r="FW32" s="21">
        <f t="shared" si="58"/>
        <v>12</v>
      </c>
      <c r="FX32" s="21">
        <f t="shared" si="58"/>
        <v>6</v>
      </c>
      <c r="FY32" s="21">
        <f t="shared" si="58"/>
        <v>0</v>
      </c>
      <c r="FZ32" s="21">
        <f t="shared" si="58"/>
        <v>12</v>
      </c>
      <c r="GA32" s="21">
        <f t="shared" si="58"/>
        <v>6</v>
      </c>
      <c r="GB32" s="21">
        <f t="shared" si="58"/>
        <v>0</v>
      </c>
      <c r="GC32" s="21"/>
      <c r="GD32" s="21" t="s">
        <v>522</v>
      </c>
      <c r="GE32" s="21">
        <v>0</v>
      </c>
      <c r="GF32" s="21">
        <f t="shared" si="59"/>
        <v>6</v>
      </c>
      <c r="GG32" s="21">
        <f t="shared" si="59"/>
        <v>0</v>
      </c>
      <c r="GH32" s="21">
        <f t="shared" si="59"/>
        <v>12</v>
      </c>
      <c r="GI32" s="21">
        <f t="shared" si="59"/>
        <v>0</v>
      </c>
      <c r="GJ32" s="21">
        <f t="shared" si="59"/>
        <v>12</v>
      </c>
      <c r="GK32" s="21">
        <f t="shared" si="59"/>
        <v>12</v>
      </c>
      <c r="GL32" s="21">
        <f t="shared" si="59"/>
        <v>6</v>
      </c>
      <c r="GM32" s="21">
        <f t="shared" si="59"/>
        <v>12</v>
      </c>
      <c r="GN32" s="21">
        <f t="shared" si="59"/>
        <v>6</v>
      </c>
      <c r="GO32" s="21">
        <f t="shared" si="59"/>
        <v>6</v>
      </c>
      <c r="GP32" s="21">
        <f t="shared" si="59"/>
        <v>12</v>
      </c>
      <c r="GQ32" s="21">
        <f t="shared" si="59"/>
        <v>6</v>
      </c>
      <c r="GR32" s="21"/>
      <c r="GS32" s="21" t="s">
        <v>522</v>
      </c>
      <c r="GT32" s="21">
        <v>0</v>
      </c>
      <c r="GU32" s="21">
        <f t="shared" si="60"/>
        <v>6</v>
      </c>
      <c r="GV32" s="21">
        <f t="shared" si="60"/>
        <v>0</v>
      </c>
      <c r="GW32" s="21">
        <f t="shared" si="60"/>
        <v>12</v>
      </c>
      <c r="GX32" s="21">
        <f t="shared" si="60"/>
        <v>12</v>
      </c>
      <c r="GY32" s="21">
        <f t="shared" si="60"/>
        <v>0</v>
      </c>
      <c r="GZ32" s="21">
        <f t="shared" si="60"/>
        <v>12</v>
      </c>
      <c r="HA32" s="21">
        <f t="shared" si="60"/>
        <v>6</v>
      </c>
      <c r="HB32" s="21">
        <f t="shared" si="60"/>
        <v>6</v>
      </c>
      <c r="HC32" s="21">
        <f t="shared" si="60"/>
        <v>6</v>
      </c>
      <c r="HD32" s="21">
        <f t="shared" si="60"/>
        <v>12</v>
      </c>
      <c r="HE32" s="21">
        <f t="shared" si="60"/>
        <v>6</v>
      </c>
      <c r="HF32" s="21">
        <f t="shared" si="60"/>
        <v>0</v>
      </c>
      <c r="HG32" s="197"/>
      <c r="HH32" s="21"/>
    </row>
    <row r="33" spans="1:216" ht="51.75" x14ac:dyDescent="0.25">
      <c r="A33" s="3" t="s">
        <v>443</v>
      </c>
      <c r="B33" s="3"/>
      <c r="C33" s="3" t="s">
        <v>444</v>
      </c>
      <c r="D33" s="1"/>
      <c r="E33" s="1"/>
      <c r="F33" s="1"/>
      <c r="G33" s="1"/>
      <c r="H33" s="1"/>
      <c r="I33" s="1"/>
      <c r="J33" s="1"/>
      <c r="K33" s="9"/>
      <c r="L33" s="360" t="str">
        <f>IF(E37="wbijana","KONSTRUKCJA W-H5G2-25°",IF(E37="betonowana","KONSTRUKCJA W-H5B2-25°",IF(E37="kotwiona","KONSTRUKCJA W-H5K2-25°",IF(E37="wkręcana","KONSTRUKCJA W-H5S2-25°"))))</f>
        <v>KONSTRUKCJA W-H5K2-25°</v>
      </c>
      <c r="M33" s="360"/>
      <c r="N33" s="360"/>
      <c r="O33" s="360"/>
      <c r="P33" s="360"/>
      <c r="Q33" s="360"/>
      <c r="R33" s="360"/>
      <c r="S33" s="360"/>
      <c r="T33" s="360"/>
      <c r="U33" s="360"/>
      <c r="V33" s="25"/>
      <c r="W33" s="27"/>
      <c r="X33" s="27"/>
      <c r="Y33" s="27"/>
      <c r="Z33" s="27"/>
      <c r="AA33" s="21">
        <f t="shared" ref="AA33:AA48" si="62">(VLOOKUP(BG30,$AY$5:$BA$9,3,1))*C34</f>
        <v>0</v>
      </c>
      <c r="AB33" s="21">
        <f t="shared" ref="AB33:AB48" si="63">(IF(((INT((((A34/5)*(INDEX($AF$33:$AF$46,MATCH($E$35,$AE$33:$AE$46),1,1)))+(((A34/5)-1)*20))/$E$44))*$E$44)+1000&gt;=((A34/5)*(INDEX($AF$33:$AF$46,MATCH($E$35,$AE$33:$AE$46),1,1)))+(((A34/5)-1)*20),(INT((((A34/5)*(INDEX($AF$33:$AF$46,MATCH($E$35,$AE$33:$AE$46),1,1)))+(((A34/5)-1)*20))/$E$44))+1,IF(((INT((((A34/5)*(INDEX($AF$33:$AF$46,MATCH($E$35,$AE$33:$AE$46),1,1)))+(((A34/5)-1)*20))/$E$44))*$E$44)+1000&lt;((A34/5)*(INDEX($AF$33:$AF$46,MATCH($E$35,$AE$33:$AE$46),1,1)))+(((A34/5)-1)*20),(INT((((A34/5)*(INDEX($AF$33:$AF$46,MATCH($E$35,$AE$33:$AE$46),1,1)))+(((A34/5)-1)*20))/$E$44))+2,0)))*C34</f>
        <v>0</v>
      </c>
      <c r="AC33" s="21"/>
      <c r="AD33" s="21"/>
      <c r="AE33" s="189" t="s">
        <v>111</v>
      </c>
      <c r="AF33" s="21">
        <v>1650</v>
      </c>
      <c r="AG33" s="21"/>
      <c r="AH33" s="21"/>
      <c r="AI33" s="21"/>
      <c r="AJ33" s="21">
        <v>25</v>
      </c>
      <c r="AK33" s="21" t="s">
        <v>932</v>
      </c>
      <c r="AL33" s="21" t="s">
        <v>933</v>
      </c>
      <c r="AM33" s="21" t="s">
        <v>934</v>
      </c>
      <c r="AN33" s="21" t="s">
        <v>935</v>
      </c>
      <c r="AO33" s="21"/>
      <c r="AP33" s="21"/>
      <c r="AQ33" s="21"/>
      <c r="AR33" s="21" t="s">
        <v>713</v>
      </c>
      <c r="AS33" s="21" t="s">
        <v>594</v>
      </c>
      <c r="AT33" s="21" t="s">
        <v>596</v>
      </c>
      <c r="AU33" s="21" t="s">
        <v>594</v>
      </c>
      <c r="AV33" s="21" t="s">
        <v>594</v>
      </c>
      <c r="AW33" s="21"/>
      <c r="AX33" s="21"/>
      <c r="AY33" s="21"/>
      <c r="AZ33" s="21"/>
      <c r="BA33" s="21"/>
      <c r="BB33" s="21"/>
      <c r="BC33" s="21"/>
      <c r="BD33" s="21"/>
      <c r="BE33" s="21"/>
      <c r="BF33" s="21"/>
      <c r="BG33" s="189">
        <f t="shared" si="50"/>
        <v>1</v>
      </c>
      <c r="BH33" s="21" t="s">
        <v>17</v>
      </c>
      <c r="BI33" s="21">
        <v>0</v>
      </c>
      <c r="BJ33" s="21">
        <f>IF(BJ5=0,0,IF(BJ5=5,6,IF(BJ5=10,12,IF(BJ5=15,18,IF(BJ5=20,24,0)))))</f>
        <v>6</v>
      </c>
      <c r="BK33" s="21">
        <f t="shared" si="61"/>
        <v>0</v>
      </c>
      <c r="BL33" s="21">
        <f t="shared" si="61"/>
        <v>0</v>
      </c>
      <c r="BM33" s="21">
        <f t="shared" si="61"/>
        <v>0</v>
      </c>
      <c r="BN33" s="21">
        <f t="shared" si="61"/>
        <v>6</v>
      </c>
      <c r="BO33" s="21">
        <f t="shared" si="61"/>
        <v>6</v>
      </c>
      <c r="BP33" s="21">
        <f t="shared" si="61"/>
        <v>0</v>
      </c>
      <c r="BQ33" s="21">
        <f t="shared" si="61"/>
        <v>0</v>
      </c>
      <c r="BR33" s="21">
        <f t="shared" si="61"/>
        <v>6</v>
      </c>
      <c r="BS33" s="21">
        <f t="shared" si="61"/>
        <v>6</v>
      </c>
      <c r="BT33" s="21">
        <f t="shared" si="61"/>
        <v>6</v>
      </c>
      <c r="BU33" s="21">
        <f t="shared" si="61"/>
        <v>0</v>
      </c>
      <c r="BV33" s="21"/>
      <c r="BW33" s="21" t="s">
        <v>17</v>
      </c>
      <c r="BX33" s="21">
        <v>0</v>
      </c>
      <c r="BY33" s="21">
        <f t="shared" si="52"/>
        <v>6</v>
      </c>
      <c r="BZ33" s="21">
        <f t="shared" si="52"/>
        <v>0</v>
      </c>
      <c r="CA33" s="21">
        <f t="shared" si="52"/>
        <v>0</v>
      </c>
      <c r="CB33" s="21">
        <f t="shared" si="52"/>
        <v>0</v>
      </c>
      <c r="CC33" s="21">
        <f t="shared" si="52"/>
        <v>0</v>
      </c>
      <c r="CD33" s="21">
        <f t="shared" si="52"/>
        <v>6</v>
      </c>
      <c r="CE33" s="21">
        <f t="shared" si="52"/>
        <v>0</v>
      </c>
      <c r="CF33" s="21">
        <f t="shared" si="52"/>
        <v>6</v>
      </c>
      <c r="CG33" s="21">
        <f t="shared" si="52"/>
        <v>0</v>
      </c>
      <c r="CH33" s="21">
        <f t="shared" si="52"/>
        <v>6</v>
      </c>
      <c r="CI33" s="21">
        <f t="shared" si="52"/>
        <v>0</v>
      </c>
      <c r="CJ33" s="21">
        <f t="shared" si="52"/>
        <v>0</v>
      </c>
      <c r="CK33" s="21"/>
      <c r="CL33" s="21"/>
      <c r="CM33" s="21"/>
      <c r="CN33" s="21" t="s">
        <v>17</v>
      </c>
      <c r="CO33" s="21">
        <v>0</v>
      </c>
      <c r="CP33" s="21">
        <f t="shared" si="53"/>
        <v>6</v>
      </c>
      <c r="CQ33" s="21">
        <f t="shared" si="53"/>
        <v>0</v>
      </c>
      <c r="CR33" s="21">
        <f t="shared" si="53"/>
        <v>6</v>
      </c>
      <c r="CS33" s="21">
        <f t="shared" si="53"/>
        <v>6</v>
      </c>
      <c r="CT33" s="21">
        <f t="shared" si="53"/>
        <v>6</v>
      </c>
      <c r="CU33" s="21">
        <f t="shared" si="53"/>
        <v>0</v>
      </c>
      <c r="CV33" s="21">
        <f t="shared" si="53"/>
        <v>0</v>
      </c>
      <c r="CW33" s="21">
        <f t="shared" si="53"/>
        <v>0</v>
      </c>
      <c r="CX33" s="21">
        <f t="shared" si="53"/>
        <v>0</v>
      </c>
      <c r="CY33" s="21">
        <f t="shared" si="53"/>
        <v>0</v>
      </c>
      <c r="CZ33" s="21">
        <f t="shared" si="53"/>
        <v>0</v>
      </c>
      <c r="DA33" s="21">
        <f t="shared" si="53"/>
        <v>0</v>
      </c>
      <c r="DB33" s="21"/>
      <c r="DC33" s="21" t="s">
        <v>17</v>
      </c>
      <c r="DD33" s="21">
        <v>0</v>
      </c>
      <c r="DE33" s="21">
        <f t="shared" si="54"/>
        <v>0</v>
      </c>
      <c r="DF33" s="21">
        <f t="shared" si="54"/>
        <v>0</v>
      </c>
      <c r="DG33" s="21">
        <f t="shared" si="54"/>
        <v>0</v>
      </c>
      <c r="DH33" s="21">
        <f t="shared" si="54"/>
        <v>6</v>
      </c>
      <c r="DI33" s="21">
        <f t="shared" si="54"/>
        <v>6</v>
      </c>
      <c r="DJ33" s="21">
        <f t="shared" si="54"/>
        <v>0</v>
      </c>
      <c r="DK33" s="21">
        <f t="shared" si="54"/>
        <v>0</v>
      </c>
      <c r="DL33" s="21">
        <f t="shared" si="54"/>
        <v>6</v>
      </c>
      <c r="DM33" s="21">
        <f t="shared" si="54"/>
        <v>6</v>
      </c>
      <c r="DN33" s="21">
        <f t="shared" si="54"/>
        <v>0</v>
      </c>
      <c r="DO33" s="21">
        <f t="shared" si="54"/>
        <v>6</v>
      </c>
      <c r="DP33" s="21">
        <f t="shared" si="54"/>
        <v>6</v>
      </c>
      <c r="DQ33" s="87"/>
      <c r="DR33" s="87">
        <v>25</v>
      </c>
      <c r="DS33" s="87"/>
      <c r="DT33" s="21" t="s">
        <v>17</v>
      </c>
      <c r="DU33" s="21">
        <v>0</v>
      </c>
      <c r="DV33" s="21">
        <f t="shared" si="55"/>
        <v>0</v>
      </c>
      <c r="DW33" s="21">
        <f t="shared" si="55"/>
        <v>0</v>
      </c>
      <c r="DX33" s="21">
        <f t="shared" si="55"/>
        <v>0</v>
      </c>
      <c r="DY33" s="21">
        <f t="shared" si="55"/>
        <v>6</v>
      </c>
      <c r="DZ33" s="21">
        <f t="shared" si="55"/>
        <v>0</v>
      </c>
      <c r="EA33" s="21">
        <f t="shared" si="55"/>
        <v>0</v>
      </c>
      <c r="EB33" s="21">
        <f t="shared" si="55"/>
        <v>0</v>
      </c>
      <c r="EC33" s="21">
        <f t="shared" si="55"/>
        <v>6</v>
      </c>
      <c r="ED33" s="21">
        <f t="shared" si="55"/>
        <v>0</v>
      </c>
      <c r="EE33" s="21">
        <f t="shared" si="55"/>
        <v>6</v>
      </c>
      <c r="EF33" s="21">
        <f t="shared" si="55"/>
        <v>6</v>
      </c>
      <c r="EG33" s="21">
        <f t="shared" si="55"/>
        <v>6</v>
      </c>
      <c r="EH33" s="21"/>
      <c r="EI33" s="21"/>
      <c r="EJ33" s="196"/>
      <c r="EK33" s="21" t="s">
        <v>523</v>
      </c>
      <c r="EL33" s="21">
        <v>0</v>
      </c>
      <c r="EM33" s="21">
        <f t="shared" ref="EM33:EX34" si="64">EM5/5*6</f>
        <v>6</v>
      </c>
      <c r="EN33" s="21">
        <f t="shared" si="64"/>
        <v>0</v>
      </c>
      <c r="EO33" s="21">
        <f t="shared" si="64"/>
        <v>0</v>
      </c>
      <c r="EP33" s="21">
        <f t="shared" si="64"/>
        <v>0</v>
      </c>
      <c r="EQ33" s="21">
        <f t="shared" si="64"/>
        <v>18</v>
      </c>
      <c r="ER33" s="21">
        <f t="shared" si="64"/>
        <v>6</v>
      </c>
      <c r="ES33" s="21">
        <f t="shared" si="64"/>
        <v>24</v>
      </c>
      <c r="ET33" s="21">
        <f t="shared" si="64"/>
        <v>12</v>
      </c>
      <c r="EU33" s="21">
        <f t="shared" si="64"/>
        <v>30</v>
      </c>
      <c r="EV33" s="21">
        <f t="shared" si="64"/>
        <v>18</v>
      </c>
      <c r="EW33" s="21">
        <f t="shared" si="64"/>
        <v>30</v>
      </c>
      <c r="EX33" s="21">
        <f t="shared" si="64"/>
        <v>24</v>
      </c>
      <c r="EY33" s="21"/>
      <c r="EZ33" s="21" t="s">
        <v>523</v>
      </c>
      <c r="FA33" s="21">
        <v>0</v>
      </c>
      <c r="FB33" s="21">
        <f t="shared" si="57"/>
        <v>6</v>
      </c>
      <c r="FC33" s="21">
        <f t="shared" si="57"/>
        <v>0</v>
      </c>
      <c r="FD33" s="21">
        <f t="shared" si="57"/>
        <v>0</v>
      </c>
      <c r="FE33" s="21">
        <f t="shared" si="57"/>
        <v>0</v>
      </c>
      <c r="FF33" s="21">
        <f t="shared" si="57"/>
        <v>12</v>
      </c>
      <c r="FG33" s="21">
        <f t="shared" si="57"/>
        <v>6</v>
      </c>
      <c r="FH33" s="21">
        <f t="shared" si="57"/>
        <v>12</v>
      </c>
      <c r="FI33" s="21">
        <f t="shared" si="57"/>
        <v>30</v>
      </c>
      <c r="FJ33" s="21">
        <f t="shared" si="57"/>
        <v>24</v>
      </c>
      <c r="FK33" s="21">
        <f t="shared" si="57"/>
        <v>30</v>
      </c>
      <c r="FL33" s="21">
        <f t="shared" si="57"/>
        <v>24</v>
      </c>
      <c r="FM33" s="21">
        <f t="shared" si="57"/>
        <v>36</v>
      </c>
      <c r="FN33" s="21"/>
      <c r="FO33" s="21" t="s">
        <v>523</v>
      </c>
      <c r="FP33" s="21">
        <v>0</v>
      </c>
      <c r="FQ33" s="21">
        <f t="shared" si="58"/>
        <v>6</v>
      </c>
      <c r="FR33" s="21">
        <f t="shared" si="58"/>
        <v>0</v>
      </c>
      <c r="FS33" s="21">
        <f t="shared" si="58"/>
        <v>6</v>
      </c>
      <c r="FT33" s="21">
        <f t="shared" si="58"/>
        <v>18</v>
      </c>
      <c r="FU33" s="21">
        <f t="shared" si="58"/>
        <v>6</v>
      </c>
      <c r="FV33" s="21">
        <f t="shared" si="58"/>
        <v>24</v>
      </c>
      <c r="FW33" s="21">
        <f t="shared" si="58"/>
        <v>12</v>
      </c>
      <c r="FX33" s="21">
        <f t="shared" si="58"/>
        <v>24</v>
      </c>
      <c r="FY33" s="21">
        <f t="shared" si="58"/>
        <v>36</v>
      </c>
      <c r="FZ33" s="21">
        <f t="shared" si="58"/>
        <v>24</v>
      </c>
      <c r="GA33" s="21">
        <f t="shared" si="58"/>
        <v>36</v>
      </c>
      <c r="GB33" s="21">
        <f t="shared" si="58"/>
        <v>48</v>
      </c>
      <c r="GC33" s="21"/>
      <c r="GD33" s="21" t="s">
        <v>523</v>
      </c>
      <c r="GE33" s="21">
        <v>0</v>
      </c>
      <c r="GF33" s="21">
        <f t="shared" si="59"/>
        <v>0</v>
      </c>
      <c r="GG33" s="21">
        <f t="shared" si="59"/>
        <v>0</v>
      </c>
      <c r="GH33" s="21">
        <f t="shared" si="59"/>
        <v>0</v>
      </c>
      <c r="GI33" s="21">
        <f t="shared" si="59"/>
        <v>18</v>
      </c>
      <c r="GJ33" s="21">
        <f t="shared" si="59"/>
        <v>6</v>
      </c>
      <c r="GK33" s="21">
        <f t="shared" si="59"/>
        <v>12</v>
      </c>
      <c r="GL33" s="21">
        <f t="shared" si="59"/>
        <v>24</v>
      </c>
      <c r="GM33" s="21">
        <f t="shared" si="59"/>
        <v>18</v>
      </c>
      <c r="GN33" s="21">
        <f t="shared" si="59"/>
        <v>30</v>
      </c>
      <c r="GO33" s="21">
        <f t="shared" si="59"/>
        <v>36</v>
      </c>
      <c r="GP33" s="21">
        <f t="shared" si="59"/>
        <v>30</v>
      </c>
      <c r="GQ33" s="21">
        <f t="shared" si="59"/>
        <v>42</v>
      </c>
      <c r="GR33" s="21"/>
      <c r="GS33" s="21" t="s">
        <v>523</v>
      </c>
      <c r="GT33" s="21">
        <v>0</v>
      </c>
      <c r="GU33" s="21">
        <f t="shared" si="60"/>
        <v>0</v>
      </c>
      <c r="GV33" s="21">
        <f t="shared" si="60"/>
        <v>0</v>
      </c>
      <c r="GW33" s="21">
        <f t="shared" si="60"/>
        <v>0</v>
      </c>
      <c r="GX33" s="21">
        <f t="shared" si="60"/>
        <v>6</v>
      </c>
      <c r="GY33" s="21">
        <f t="shared" si="60"/>
        <v>24</v>
      </c>
      <c r="GZ33" s="21">
        <f t="shared" si="60"/>
        <v>12</v>
      </c>
      <c r="HA33" s="21">
        <f t="shared" si="60"/>
        <v>24</v>
      </c>
      <c r="HB33" s="21">
        <f t="shared" si="60"/>
        <v>30</v>
      </c>
      <c r="HC33" s="21">
        <f t="shared" si="60"/>
        <v>36</v>
      </c>
      <c r="HD33" s="21">
        <f t="shared" si="60"/>
        <v>30</v>
      </c>
      <c r="HE33" s="21">
        <f t="shared" si="60"/>
        <v>42</v>
      </c>
      <c r="HF33" s="21">
        <f t="shared" si="60"/>
        <v>54</v>
      </c>
      <c r="HG33" s="197"/>
      <c r="HH33" s="21"/>
    </row>
    <row r="34" spans="1:216" x14ac:dyDescent="0.25">
      <c r="A34" s="8"/>
      <c r="B34" s="5" t="s">
        <v>116</v>
      </c>
      <c r="C34" s="8"/>
      <c r="D34" s="9"/>
      <c r="E34" s="9"/>
      <c r="F34" s="9"/>
      <c r="G34" s="9"/>
      <c r="H34" s="9"/>
      <c r="I34" s="9"/>
      <c r="J34" s="9"/>
      <c r="K34" s="9"/>
      <c r="L34" s="5" t="s">
        <v>103</v>
      </c>
      <c r="M34" s="5" t="s">
        <v>104</v>
      </c>
      <c r="N34" s="5" t="s">
        <v>107</v>
      </c>
      <c r="O34" s="5" t="s">
        <v>290</v>
      </c>
      <c r="P34" s="5" t="s">
        <v>446</v>
      </c>
      <c r="Q34" s="5" t="s">
        <v>448</v>
      </c>
      <c r="R34" s="5" t="s">
        <v>409</v>
      </c>
      <c r="S34" s="5" t="s">
        <v>447</v>
      </c>
      <c r="T34" s="5" t="s">
        <v>449</v>
      </c>
      <c r="U34" s="5" t="s">
        <v>106</v>
      </c>
      <c r="V34" s="25"/>
      <c r="W34" s="20" t="s">
        <v>18</v>
      </c>
      <c r="X34" s="21" t="s">
        <v>217</v>
      </c>
      <c r="Y34" s="21" t="s">
        <v>216</v>
      </c>
      <c r="Z34" s="21" t="s">
        <v>17</v>
      </c>
      <c r="AA34" s="21">
        <f t="shared" si="62"/>
        <v>0</v>
      </c>
      <c r="AB34" s="21">
        <f t="shared" si="63"/>
        <v>0</v>
      </c>
      <c r="AC34" s="21"/>
      <c r="AD34" s="21"/>
      <c r="AE34" s="189" t="s">
        <v>112</v>
      </c>
      <c r="AF34" s="21">
        <v>1700</v>
      </c>
      <c r="AG34" s="21"/>
      <c r="AH34" s="21"/>
      <c r="AI34" s="21"/>
      <c r="AJ34" s="21">
        <v>30</v>
      </c>
      <c r="AK34" s="21" t="s">
        <v>936</v>
      </c>
      <c r="AL34" s="21" t="s">
        <v>937</v>
      </c>
      <c r="AM34" s="21" t="s">
        <v>938</v>
      </c>
      <c r="AN34" s="21" t="s">
        <v>939</v>
      </c>
      <c r="AO34" s="21"/>
      <c r="AP34" s="21"/>
      <c r="AQ34" s="21"/>
      <c r="AR34" s="21" t="s">
        <v>714</v>
      </c>
      <c r="AS34" s="21" t="s">
        <v>594</v>
      </c>
      <c r="AT34" s="21" t="s">
        <v>596</v>
      </c>
      <c r="AU34" s="21" t="s">
        <v>594</v>
      </c>
      <c r="AV34" s="21" t="s">
        <v>594</v>
      </c>
      <c r="AW34" s="21"/>
      <c r="AX34" s="21"/>
      <c r="AY34" s="21"/>
      <c r="AZ34" s="21"/>
      <c r="BA34" s="21"/>
      <c r="BB34" s="21"/>
      <c r="BC34" s="21"/>
      <c r="BD34" s="21"/>
      <c r="BE34" s="21"/>
      <c r="BF34" s="21"/>
      <c r="BG34" s="189">
        <f t="shared" si="50"/>
        <v>1</v>
      </c>
      <c r="BH34" s="20" t="s">
        <v>779</v>
      </c>
      <c r="BI34" s="20">
        <v>0</v>
      </c>
      <c r="BJ34" s="21">
        <f t="shared" ref="BJ34:BU34" si="65">IF(BJ6=0,0,IF(BJ6=5,6,IF(BJ6=10,12,IF(BJ6=15,18,IF(BJ6=20,24,0)))))</f>
        <v>0</v>
      </c>
      <c r="BK34" s="21">
        <f t="shared" si="65"/>
        <v>0</v>
      </c>
      <c r="BL34" s="21">
        <f t="shared" si="65"/>
        <v>0</v>
      </c>
      <c r="BM34" s="21">
        <f t="shared" si="65"/>
        <v>6</v>
      </c>
      <c r="BN34" s="21">
        <f t="shared" si="65"/>
        <v>6</v>
      </c>
      <c r="BO34" s="21">
        <f t="shared" si="65"/>
        <v>12</v>
      </c>
      <c r="BP34" s="21">
        <f t="shared" si="65"/>
        <v>6</v>
      </c>
      <c r="BQ34" s="21">
        <f t="shared" si="65"/>
        <v>12</v>
      </c>
      <c r="BR34" s="21">
        <f t="shared" si="65"/>
        <v>12</v>
      </c>
      <c r="BS34" s="21">
        <f>IF(BS6=0,0,IF(BS6=5,6,IF(BS6=10,12,IF(BS6=15,18,IF(BS6=20,24,0)))))</f>
        <v>18</v>
      </c>
      <c r="BT34" s="21">
        <f t="shared" si="65"/>
        <v>18</v>
      </c>
      <c r="BU34" s="21">
        <f t="shared" si="65"/>
        <v>18</v>
      </c>
      <c r="BV34" s="21"/>
      <c r="BW34" s="20" t="s">
        <v>779</v>
      </c>
      <c r="BX34" s="21">
        <v>0</v>
      </c>
      <c r="BY34" s="21">
        <f t="shared" si="52"/>
        <v>0</v>
      </c>
      <c r="BZ34" s="21">
        <f t="shared" si="52"/>
        <v>0</v>
      </c>
      <c r="CA34" s="21">
        <f t="shared" si="52"/>
        <v>0</v>
      </c>
      <c r="CB34" s="21">
        <f t="shared" si="52"/>
        <v>6</v>
      </c>
      <c r="CC34" s="21">
        <f t="shared" si="52"/>
        <v>6</v>
      </c>
      <c r="CD34" s="21">
        <f t="shared" si="52"/>
        <v>12</v>
      </c>
      <c r="CE34" s="21">
        <f t="shared" si="52"/>
        <v>12</v>
      </c>
      <c r="CF34" s="21">
        <f t="shared" si="52"/>
        <v>12</v>
      </c>
      <c r="CG34" s="21">
        <f t="shared" si="52"/>
        <v>12</v>
      </c>
      <c r="CH34" s="21">
        <f t="shared" si="52"/>
        <v>18</v>
      </c>
      <c r="CI34" s="21">
        <f t="shared" si="52"/>
        <v>18</v>
      </c>
      <c r="CJ34" s="21">
        <f t="shared" si="52"/>
        <v>18</v>
      </c>
      <c r="CK34" s="21"/>
      <c r="CL34" s="21"/>
      <c r="CM34" s="21"/>
      <c r="CN34" s="20" t="s">
        <v>779</v>
      </c>
      <c r="CO34" s="21">
        <v>0</v>
      </c>
      <c r="CP34" s="21">
        <f t="shared" si="53"/>
        <v>0</v>
      </c>
      <c r="CQ34" s="21">
        <f t="shared" si="53"/>
        <v>0</v>
      </c>
      <c r="CR34" s="21">
        <f t="shared" si="53"/>
        <v>6</v>
      </c>
      <c r="CS34" s="21">
        <f t="shared" si="53"/>
        <v>6</v>
      </c>
      <c r="CT34" s="21">
        <f t="shared" si="53"/>
        <v>12</v>
      </c>
      <c r="CU34" s="21">
        <f t="shared" si="53"/>
        <v>6</v>
      </c>
      <c r="CV34" s="21">
        <f t="shared" si="53"/>
        <v>12</v>
      </c>
      <c r="CW34" s="21">
        <f t="shared" si="53"/>
        <v>12</v>
      </c>
      <c r="CX34" s="21">
        <f t="shared" si="53"/>
        <v>12</v>
      </c>
      <c r="CY34" s="21">
        <f t="shared" si="53"/>
        <v>18</v>
      </c>
      <c r="CZ34" s="21">
        <f t="shared" si="53"/>
        <v>18</v>
      </c>
      <c r="DA34" s="21">
        <f t="shared" si="53"/>
        <v>18</v>
      </c>
      <c r="DB34" s="21"/>
      <c r="DC34" s="20" t="s">
        <v>779</v>
      </c>
      <c r="DD34" s="20">
        <v>0</v>
      </c>
      <c r="DE34" s="21">
        <f t="shared" si="54"/>
        <v>0</v>
      </c>
      <c r="DF34" s="21">
        <f t="shared" si="54"/>
        <v>0</v>
      </c>
      <c r="DG34" s="21">
        <f t="shared" si="54"/>
        <v>6</v>
      </c>
      <c r="DH34" s="21">
        <f t="shared" si="54"/>
        <v>6</v>
      </c>
      <c r="DI34" s="21">
        <f t="shared" si="54"/>
        <v>12</v>
      </c>
      <c r="DJ34" s="21">
        <f t="shared" si="54"/>
        <v>12</v>
      </c>
      <c r="DK34" s="21">
        <f t="shared" si="54"/>
        <v>12</v>
      </c>
      <c r="DL34" s="21">
        <f t="shared" si="54"/>
        <v>18</v>
      </c>
      <c r="DM34" s="21">
        <f t="shared" si="54"/>
        <v>18</v>
      </c>
      <c r="DN34" s="21">
        <f t="shared" si="54"/>
        <v>18</v>
      </c>
      <c r="DO34" s="21">
        <f t="shared" si="54"/>
        <v>24</v>
      </c>
      <c r="DP34" s="21">
        <f t="shared" si="54"/>
        <v>24</v>
      </c>
      <c r="DQ34" s="87"/>
      <c r="DR34" s="87">
        <v>30</v>
      </c>
      <c r="DS34" s="87"/>
      <c r="DT34" s="20" t="s">
        <v>779</v>
      </c>
      <c r="DU34" s="21">
        <v>0</v>
      </c>
      <c r="DV34" s="21">
        <f t="shared" si="55"/>
        <v>0</v>
      </c>
      <c r="DW34" s="21">
        <f t="shared" si="55"/>
        <v>0</v>
      </c>
      <c r="DX34" s="21">
        <f t="shared" si="55"/>
        <v>6</v>
      </c>
      <c r="DY34" s="21">
        <f t="shared" si="55"/>
        <v>12</v>
      </c>
      <c r="DZ34" s="21">
        <f t="shared" si="55"/>
        <v>6</v>
      </c>
      <c r="EA34" s="21">
        <f t="shared" si="55"/>
        <v>12</v>
      </c>
      <c r="EB34" s="21">
        <f t="shared" si="55"/>
        <v>12</v>
      </c>
      <c r="EC34" s="21">
        <f t="shared" si="55"/>
        <v>18</v>
      </c>
      <c r="ED34" s="21">
        <f t="shared" si="55"/>
        <v>18</v>
      </c>
      <c r="EE34" s="21">
        <f t="shared" si="55"/>
        <v>24</v>
      </c>
      <c r="EF34" s="21">
        <f t="shared" si="55"/>
        <v>24</v>
      </c>
      <c r="EG34" s="21">
        <f t="shared" si="55"/>
        <v>24</v>
      </c>
      <c r="EH34" s="21"/>
      <c r="EI34" s="21"/>
      <c r="EJ34" s="196"/>
      <c r="EK34" s="20" t="s">
        <v>779</v>
      </c>
      <c r="EL34" s="21">
        <v>0</v>
      </c>
      <c r="EM34" s="21">
        <f t="shared" si="64"/>
        <v>0</v>
      </c>
      <c r="EN34" s="21">
        <f t="shared" si="64"/>
        <v>0</v>
      </c>
      <c r="EO34" s="21">
        <f t="shared" si="64"/>
        <v>0</v>
      </c>
      <c r="EP34" s="21">
        <f t="shared" si="64"/>
        <v>6</v>
      </c>
      <c r="EQ34" s="21">
        <f t="shared" si="64"/>
        <v>12</v>
      </c>
      <c r="ER34" s="21">
        <f t="shared" si="64"/>
        <v>12</v>
      </c>
      <c r="ES34" s="21">
        <f t="shared" si="64"/>
        <v>18</v>
      </c>
      <c r="ET34" s="21">
        <f t="shared" si="64"/>
        <v>18</v>
      </c>
      <c r="EU34" s="21">
        <f t="shared" si="64"/>
        <v>24</v>
      </c>
      <c r="EV34" s="21">
        <f t="shared" si="64"/>
        <v>24</v>
      </c>
      <c r="EW34" s="21">
        <f t="shared" si="64"/>
        <v>30</v>
      </c>
      <c r="EX34" s="21">
        <f t="shared" si="64"/>
        <v>30</v>
      </c>
      <c r="EY34" s="21"/>
      <c r="EZ34" s="20" t="s">
        <v>779</v>
      </c>
      <c r="FA34" s="21">
        <v>0</v>
      </c>
      <c r="FB34" s="21">
        <f t="shared" si="57"/>
        <v>0</v>
      </c>
      <c r="FC34" s="21">
        <f t="shared" si="57"/>
        <v>0</v>
      </c>
      <c r="FD34" s="21">
        <f t="shared" si="57"/>
        <v>0</v>
      </c>
      <c r="FE34" s="21">
        <f t="shared" si="57"/>
        <v>6</v>
      </c>
      <c r="FF34" s="21">
        <f t="shared" si="57"/>
        <v>12</v>
      </c>
      <c r="FG34" s="21">
        <f t="shared" si="57"/>
        <v>12</v>
      </c>
      <c r="FH34" s="21">
        <f t="shared" si="57"/>
        <v>18</v>
      </c>
      <c r="FI34" s="21">
        <f t="shared" si="57"/>
        <v>24</v>
      </c>
      <c r="FJ34" s="21">
        <f t="shared" si="57"/>
        <v>24</v>
      </c>
      <c r="FK34" s="21">
        <f t="shared" si="57"/>
        <v>30</v>
      </c>
      <c r="FL34" s="21">
        <f t="shared" si="57"/>
        <v>30</v>
      </c>
      <c r="FM34" s="21">
        <f t="shared" si="57"/>
        <v>36</v>
      </c>
      <c r="FN34" s="21"/>
      <c r="FO34" s="20" t="s">
        <v>779</v>
      </c>
      <c r="FP34" s="21">
        <v>0</v>
      </c>
      <c r="FQ34" s="21">
        <f t="shared" si="58"/>
        <v>0</v>
      </c>
      <c r="FR34" s="21">
        <f t="shared" si="58"/>
        <v>0</v>
      </c>
      <c r="FS34" s="21">
        <f t="shared" si="58"/>
        <v>6</v>
      </c>
      <c r="FT34" s="21">
        <f t="shared" si="58"/>
        <v>12</v>
      </c>
      <c r="FU34" s="21">
        <f t="shared" si="58"/>
        <v>12</v>
      </c>
      <c r="FV34" s="21">
        <f t="shared" si="58"/>
        <v>18</v>
      </c>
      <c r="FW34" s="21">
        <f t="shared" si="58"/>
        <v>18</v>
      </c>
      <c r="FX34" s="21">
        <f t="shared" si="58"/>
        <v>24</v>
      </c>
      <c r="FY34" s="21">
        <f t="shared" si="58"/>
        <v>30</v>
      </c>
      <c r="FZ34" s="21">
        <f t="shared" si="58"/>
        <v>30</v>
      </c>
      <c r="GA34" s="21">
        <f t="shared" si="58"/>
        <v>36</v>
      </c>
      <c r="GB34" s="21">
        <f t="shared" si="58"/>
        <v>42</v>
      </c>
      <c r="GC34" s="21"/>
      <c r="GD34" s="20" t="s">
        <v>779</v>
      </c>
      <c r="GE34" s="21">
        <v>0</v>
      </c>
      <c r="GF34" s="21">
        <f t="shared" si="59"/>
        <v>0</v>
      </c>
      <c r="GG34" s="21">
        <f t="shared" si="59"/>
        <v>0</v>
      </c>
      <c r="GH34" s="21">
        <f t="shared" si="59"/>
        <v>6</v>
      </c>
      <c r="GI34" s="21">
        <f t="shared" si="59"/>
        <v>12</v>
      </c>
      <c r="GJ34" s="21">
        <f t="shared" si="59"/>
        <v>12</v>
      </c>
      <c r="GK34" s="21">
        <f t="shared" si="59"/>
        <v>18</v>
      </c>
      <c r="GL34" s="21">
        <f t="shared" si="59"/>
        <v>24</v>
      </c>
      <c r="GM34" s="21">
        <f t="shared" si="59"/>
        <v>24</v>
      </c>
      <c r="GN34" s="21">
        <f t="shared" si="59"/>
        <v>30</v>
      </c>
      <c r="GO34" s="21">
        <f t="shared" si="59"/>
        <v>36</v>
      </c>
      <c r="GP34" s="21">
        <f t="shared" si="59"/>
        <v>36</v>
      </c>
      <c r="GQ34" s="21">
        <f t="shared" si="59"/>
        <v>42</v>
      </c>
      <c r="GR34" s="21"/>
      <c r="GS34" s="20" t="s">
        <v>779</v>
      </c>
      <c r="GT34" s="21">
        <v>0</v>
      </c>
      <c r="GU34" s="21">
        <f t="shared" si="60"/>
        <v>0</v>
      </c>
      <c r="GV34" s="21">
        <f t="shared" si="60"/>
        <v>0</v>
      </c>
      <c r="GW34" s="21">
        <f t="shared" si="60"/>
        <v>6</v>
      </c>
      <c r="GX34" s="21">
        <f t="shared" si="60"/>
        <v>12</v>
      </c>
      <c r="GY34" s="21">
        <f t="shared" si="60"/>
        <v>18</v>
      </c>
      <c r="GZ34" s="21">
        <f t="shared" si="60"/>
        <v>18</v>
      </c>
      <c r="HA34" s="21">
        <f t="shared" si="60"/>
        <v>24</v>
      </c>
      <c r="HB34" s="21">
        <f t="shared" si="60"/>
        <v>30</v>
      </c>
      <c r="HC34" s="21">
        <f t="shared" si="60"/>
        <v>36</v>
      </c>
      <c r="HD34" s="21">
        <f t="shared" si="60"/>
        <v>36</v>
      </c>
      <c r="HE34" s="21">
        <f t="shared" si="60"/>
        <v>42</v>
      </c>
      <c r="HF34" s="21">
        <f t="shared" si="60"/>
        <v>48</v>
      </c>
      <c r="HG34" s="197"/>
      <c r="HH34" s="21"/>
    </row>
    <row r="35" spans="1:216" x14ac:dyDescent="0.25">
      <c r="A35" s="8"/>
      <c r="B35" s="5" t="s">
        <v>116</v>
      </c>
      <c r="C35" s="8"/>
      <c r="D35" s="6" t="s">
        <v>118</v>
      </c>
      <c r="E35" s="8" t="s">
        <v>478</v>
      </c>
      <c r="F35" s="5" t="s">
        <v>116</v>
      </c>
      <c r="G35" s="8" t="s">
        <v>115</v>
      </c>
      <c r="H35" s="5" t="s">
        <v>116</v>
      </c>
      <c r="I35" s="8">
        <v>35</v>
      </c>
      <c r="J35" s="5" t="s">
        <v>119</v>
      </c>
      <c r="K35" s="9"/>
      <c r="L35" s="7" t="str">
        <f>IF(E37=$AC$5,"-------",IF(E37=$AC$6,"-------",IF(E37=$AC$7,"-------",IF(E37=$AC$8,IF(E45=$DS$10,"GSW76X1600N",IF(E45=$DS$11,"GSW76X2200N","")),0))))</f>
        <v>-------</v>
      </c>
      <c r="M35" s="11" t="str">
        <f>INDEX(cennik!$C$2:$L$529,MATCH($L35,cennik!$B$2:$B$522,0),MATCH(M$2,cennik!$C$1:$L$1,0))</f>
        <v>-------</v>
      </c>
      <c r="N35" s="11">
        <f>INDEX(cennik!$C$2:$L$529,MATCH($L35,cennik!$B$2:$B$522,0),MATCH(N$2,cennik!$C$1:$L$1,0))</f>
        <v>0</v>
      </c>
      <c r="O35" s="11">
        <f>IF(L35="-------",0,SUM(O37:O38))</f>
        <v>0</v>
      </c>
      <c r="P35" s="34">
        <f>INDEX(cennik!$C$2:$L$529,MATCH($L35,cennik!$B$2:$B$522,0),MATCH(P$2,cennik!$C$1:$L$1,0))</f>
        <v>0</v>
      </c>
      <c r="Q35" s="34">
        <f>O35*P35</f>
        <v>0</v>
      </c>
      <c r="R35" s="35">
        <f t="shared" ref="R35:R59" si="66">$E$39</f>
        <v>0</v>
      </c>
      <c r="S35" s="34">
        <f t="shared" ref="S35:S59" si="67">P35*((100-$E$39)/100)</f>
        <v>0</v>
      </c>
      <c r="T35" s="34">
        <f>O35*S35</f>
        <v>0</v>
      </c>
      <c r="U35" s="34">
        <f>INDEX(cennik!$C$2:$L$529,MATCH($L35,cennik!$B$2:$B$522,0),MATCH(U$2,cennik!$C$1:$L$1,0))*O35</f>
        <v>0</v>
      </c>
      <c r="V35" s="25"/>
      <c r="W35" s="21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$C34</f>
        <v>0</v>
      </c>
      <c r="X35" s="21">
        <f>INDEX(($EL$31:$EX$34,$FA$31:$FM$34,$EL$37:$EX$40,$EL$43:$EX$46,$FA$37:$FM$40,$FA$43:$FM$46,$FP$31:$GB$34,$FP$37:$GB$40,$FP$43:$GB$46,$GE$31:$GQ$34,$GE$37:$GQ$40,$GE$43:$GQ$46,$GT$31:$HF$34,$GT$37:$HF$40),MATCH($L$46,$EK$31:$EK$34,0),MATCH($A34,$EL$30:$EX$30,0),MATCH($E$35,$AE$33:$AE$48,0))*$C34</f>
        <v>0</v>
      </c>
      <c r="Y35" s="21">
        <f>INDEX(($EL$31:$EX$34,$FA$31:$FM$34,$EL$37:$EX$40,$EL$43:$EX$46,$FA$37:$FM$40,$FA$43:$FM$46,$FP$31:$GB$34,$FP$37:$GB$40,$FP$43:$GB$46,$GE$31:$GQ$34,$GE$37:$GQ$40,$GE$43:$GQ$46,$GT$31:$HF$34,$GT$37:$HF$40),MATCH($L$47,$EK$31:$EK$34,0),MATCH($A34,$EL$30:$EX$30,0),MATCH($E$35,$AE$33:$AE$48,0))*$C34</f>
        <v>0</v>
      </c>
      <c r="Z35" s="21">
        <f>INDEX(($EL$31:$EX$34,$FA$31:$FM$34,$EL$37:$EX$40,$EL$43:$EX$46,$FA$37:$FM$40,$FA$43:$FM$46,$FP$31:$GB$34,$FP$37:$GB$40,$FP$43:$GB$46,$GE$31:$GQ$34,$GE$37:$GQ$40,$GE$43:$GQ$46,$GT$31:$HF$34,$GT$37:$HF$40),MATCH($L$48,$EK$31:$EK$34,0),MATCH($A34,$EL$30:$EX$30,0),MATCH($E$35,$AE$33:$AE$48,0))*$C34</f>
        <v>0</v>
      </c>
      <c r="AA35" s="21">
        <f t="shared" si="62"/>
        <v>0</v>
      </c>
      <c r="AB35" s="21">
        <f t="shared" si="63"/>
        <v>0</v>
      </c>
      <c r="AC35" s="21"/>
      <c r="AD35" s="21"/>
      <c r="AE35" s="189" t="s">
        <v>132</v>
      </c>
      <c r="AF35" s="21">
        <v>1750</v>
      </c>
      <c r="AG35" s="21"/>
      <c r="AH35" s="21"/>
      <c r="AI35" s="21"/>
      <c r="AJ35" s="21"/>
      <c r="AK35" s="21"/>
      <c r="AL35" s="21"/>
      <c r="AM35" s="21"/>
      <c r="AN35" s="21"/>
      <c r="AO35" s="21"/>
      <c r="AP35" s="21"/>
      <c r="AQ35" s="21"/>
      <c r="AR35" s="21" t="s">
        <v>715</v>
      </c>
      <c r="AS35" s="21" t="s">
        <v>594</v>
      </c>
      <c r="AT35" s="21" t="s">
        <v>596</v>
      </c>
      <c r="AU35" s="21" t="s">
        <v>594</v>
      </c>
      <c r="AV35" s="21" t="s">
        <v>594</v>
      </c>
      <c r="AW35" s="21"/>
      <c r="AX35" s="21"/>
      <c r="AY35" s="21"/>
      <c r="AZ35" s="21"/>
      <c r="BA35" s="21"/>
      <c r="BB35" s="21"/>
      <c r="BC35" s="21"/>
      <c r="BD35" s="21"/>
      <c r="BE35" s="21"/>
      <c r="BF35" s="21"/>
      <c r="BG35" s="189">
        <f t="shared" si="50"/>
        <v>1</v>
      </c>
      <c r="BH35" s="21"/>
      <c r="BI35" s="21"/>
      <c r="BJ35" s="21"/>
      <c r="BK35" s="21"/>
      <c r="BL35" s="21"/>
      <c r="BM35" s="21"/>
      <c r="BN35" s="21"/>
      <c r="BO35" s="21"/>
      <c r="BP35" s="21"/>
      <c r="BQ35" s="21"/>
      <c r="BR35" s="21"/>
      <c r="BS35" s="21"/>
      <c r="BT35" s="21"/>
      <c r="BU35" s="21"/>
      <c r="BV35" s="21"/>
      <c r="BW35" s="21"/>
      <c r="BX35" s="21"/>
      <c r="BY35" s="21"/>
      <c r="BZ35" s="21"/>
      <c r="CA35" s="21"/>
      <c r="CB35" s="21"/>
      <c r="CC35" s="21"/>
      <c r="CD35" s="21"/>
      <c r="CE35" s="21"/>
      <c r="CF35" s="21"/>
      <c r="CG35" s="21"/>
      <c r="CH35" s="21"/>
      <c r="CI35" s="21"/>
      <c r="CJ35" s="21"/>
      <c r="CK35" s="21"/>
      <c r="CL35" s="21"/>
      <c r="CM35" s="21"/>
      <c r="CN35" s="21"/>
      <c r="CO35" s="21"/>
      <c r="CP35" s="21"/>
      <c r="CQ35" s="21"/>
      <c r="CR35" s="21"/>
      <c r="CS35" s="21"/>
      <c r="CT35" s="21"/>
      <c r="CU35" s="21"/>
      <c r="CV35" s="21"/>
      <c r="CW35" s="21"/>
      <c r="CX35" s="21"/>
      <c r="CY35" s="21"/>
      <c r="CZ35" s="21"/>
      <c r="DA35" s="21"/>
      <c r="DB35" s="21"/>
      <c r="DC35" s="21"/>
      <c r="DD35" s="21"/>
      <c r="DE35" s="21"/>
      <c r="DF35" s="21"/>
      <c r="DG35" s="21"/>
      <c r="DH35" s="21"/>
      <c r="DI35" s="21"/>
      <c r="DJ35" s="21"/>
      <c r="DK35" s="21"/>
      <c r="DL35" s="21"/>
      <c r="DM35" s="21"/>
      <c r="DN35" s="21"/>
      <c r="DO35" s="21"/>
      <c r="DP35" s="21"/>
      <c r="DQ35" s="87"/>
      <c r="DR35" s="87">
        <v>35</v>
      </c>
      <c r="DS35" s="87"/>
      <c r="DT35" s="21"/>
      <c r="DU35" s="21"/>
      <c r="DV35" s="21"/>
      <c r="DW35" s="21"/>
      <c r="DX35" s="21"/>
      <c r="DY35" s="21"/>
      <c r="DZ35" s="21"/>
      <c r="EA35" s="21"/>
      <c r="EB35" s="21"/>
      <c r="EC35" s="21"/>
      <c r="ED35" s="21"/>
      <c r="EE35" s="21"/>
      <c r="EF35" s="21"/>
      <c r="EG35" s="21"/>
      <c r="EH35" s="21"/>
      <c r="EI35" s="21"/>
      <c r="EJ35" s="196"/>
      <c r="HG35" s="197"/>
      <c r="HH35" s="21"/>
    </row>
    <row r="36" spans="1:216" x14ac:dyDescent="0.25">
      <c r="A36" s="8"/>
      <c r="B36" s="5" t="s">
        <v>116</v>
      </c>
      <c r="C36" s="8"/>
      <c r="D36" s="6" t="s">
        <v>124</v>
      </c>
      <c r="E36" s="8" t="s">
        <v>125</v>
      </c>
      <c r="F36" s="5"/>
      <c r="G36" s="5"/>
      <c r="H36" s="5"/>
      <c r="I36" s="5"/>
      <c r="J36" s="5"/>
      <c r="K36" s="9"/>
      <c r="L36" s="7" t="str">
        <f>IF(E37=$AC$5,"-------",IF(E37=$AC$6,"-------",IF(E37=$AC$7,"PCB70",IF(E37=$AC$8,"PCS70",0))))</f>
        <v>PCB70</v>
      </c>
      <c r="M36" s="11">
        <f>INDEX(cennik!$C$2:$L$529,MATCH($L36,cennik!$B$2:$B$522,0),MATCH(M$2,cennik!$C$1:$L$1,0))</f>
        <v>751218</v>
      </c>
      <c r="N36" s="11" t="str">
        <f>INDEX(cennik!$C$2:$L$529,MATCH($L36,cennik!$B$2:$B$522,0),MATCH(N$2,cennik!$C$1:$L$1,0))</f>
        <v>szt.</v>
      </c>
      <c r="O36" s="11">
        <f>IF(E37=AC7,SUM(O37:O38),IF(E37=AC8,SUM(O37:O38),IF(E37=AC5,0,IF(E37=AC6,0,0))))</f>
        <v>0</v>
      </c>
      <c r="P36" s="34">
        <f>INDEX(cennik!$C$2:$L$529,MATCH($L36,cennik!$B$2:$B$522,0),MATCH(P$2,cennik!$C$1:$L$1,0))</f>
        <v>116.38</v>
      </c>
      <c r="Q36" s="34">
        <f t="shared" ref="Q36:Q60" si="68">O36*P36</f>
        <v>0</v>
      </c>
      <c r="R36" s="35">
        <f t="shared" si="66"/>
        <v>0</v>
      </c>
      <c r="S36" s="34">
        <f t="shared" si="67"/>
        <v>116.38</v>
      </c>
      <c r="T36" s="34">
        <f t="shared" ref="T36:T60" si="69">O36*S36</f>
        <v>0</v>
      </c>
      <c r="U36" s="34">
        <f>INDEX(cennik!$C$2:$L$529,MATCH($L36,cennik!$B$2:$B$522,0),MATCH(U$2,cennik!$C$1:$L$1,0))*O36</f>
        <v>0</v>
      </c>
      <c r="V36" s="25"/>
      <c r="W36" s="21">
        <f>INDEX(($EL$31:$EX$34,$FA$31:$FM$34,$EL$37:$EX$40,$EL$43:$EX$46,$FA$37:$FM$40,$FA$43:$FM$46,$FP$31:$GB$34,$FP$37:$GB$40,$FP$43:$GB$46,$GE$31:$GQ$34,$GE$37:$GQ$40,$GE$43:$GQ$46,$GT$31:$HF$34,$GT$37:$HF$40),MATCH($L$49,$EK$31:$EK$34,0),MATCH($A35,$EL$30:$EX$30,0),MATCH($E$35,$AE$33:$AE$48,0))*$C35</f>
        <v>0</v>
      </c>
      <c r="X36" s="21">
        <f>INDEX(($EL$31:$EX$34,$FA$31:$FM$34,$EL$37:$EX$40,$EL$43:$EX$46,$FA$37:$FM$40,$FA$43:$FM$46,$FP$31:$GB$34,$FP$37:$GB$40,$FP$43:$GB$46,$GE$31:$GQ$34,$GE$37:$GQ$40,$GE$43:$GQ$46,$GT$31:$HF$34,$GT$37:$HF$40),MATCH($L$46,$EK$31:$EK$34,0),MATCH($A35,$EL$30:$EX$30,0),MATCH($E$35,$AE$33:$AE$48,0))*$C35</f>
        <v>0</v>
      </c>
      <c r="Y36" s="21">
        <f>INDEX(($EL$31:$EX$34,$FA$31:$FM$34,$EL$37:$EX$40,$EL$43:$EX$46,$FA$37:$FM$40,$FA$43:$FM$46,$FP$31:$GB$34,$FP$37:$GB$40,$FP$43:$GB$46,$GE$31:$GQ$34,$GE$37:$GQ$40,$GE$43:$GQ$46,$GT$31:$HF$34,$GT$37:$HF$40),MATCH($L$47,$EK$31:$EK$34,0),MATCH($A35,$EL$30:$EX$30,0),MATCH($E$35,$AE$33:$AE$48,0))*$C35</f>
        <v>0</v>
      </c>
      <c r="Z36" s="21">
        <f>INDEX(($EL$31:$EX$34,$FA$31:$FM$34,$EL$37:$EX$40,$EL$43:$EX$46,$FA$37:$FM$40,$FA$43:$FM$46,$FP$31:$GB$34,$FP$37:$GB$40,$FP$43:$GB$46,$GE$31:$GQ$34,$GE$37:$GQ$40,$GE$43:$GQ$46,$GT$31:$HF$34,$GT$37:$HF$40),MATCH($L$48,$EK$31:$EK$34,0),MATCH($A35,$EL$30:$EX$30,0),MATCH($E$35,$AE$33:$AE$48,0))*$C35</f>
        <v>0</v>
      </c>
      <c r="AA36" s="21">
        <f t="shared" si="62"/>
        <v>0</v>
      </c>
      <c r="AB36" s="21">
        <f t="shared" si="63"/>
        <v>0</v>
      </c>
      <c r="AC36" s="21"/>
      <c r="AD36" s="21"/>
      <c r="AE36" s="21" t="s">
        <v>470</v>
      </c>
      <c r="AF36" s="21">
        <v>1800</v>
      </c>
      <c r="AG36" s="21"/>
      <c r="AH36" s="21"/>
      <c r="AI36" s="21"/>
      <c r="AJ36" s="21"/>
      <c r="AK36" s="21"/>
      <c r="AL36" s="21"/>
      <c r="AM36" s="21"/>
      <c r="AN36" s="21"/>
      <c r="AO36" s="21"/>
      <c r="AP36" s="21"/>
      <c r="AQ36" s="21"/>
      <c r="AR36" s="21"/>
      <c r="AS36" s="21"/>
      <c r="AT36" s="21"/>
      <c r="AU36" s="21"/>
      <c r="AV36" s="21"/>
      <c r="AW36" s="21"/>
      <c r="AX36" s="21"/>
      <c r="AY36" s="21"/>
      <c r="AZ36" s="21"/>
      <c r="BA36" s="21"/>
      <c r="BB36" s="21"/>
      <c r="BC36" s="21"/>
      <c r="BD36" s="21"/>
      <c r="BE36" s="21"/>
      <c r="BF36" s="21"/>
      <c r="BG36" s="189">
        <f t="shared" si="50"/>
        <v>1</v>
      </c>
      <c r="BH36" s="21" t="s">
        <v>112</v>
      </c>
      <c r="BI36" s="21">
        <v>0</v>
      </c>
      <c r="BJ36" s="21">
        <v>10</v>
      </c>
      <c r="BK36" s="21">
        <v>15</v>
      </c>
      <c r="BL36" s="21">
        <v>20</v>
      </c>
      <c r="BM36" s="21">
        <v>25</v>
      </c>
      <c r="BN36" s="21">
        <v>30</v>
      </c>
      <c r="BO36" s="21">
        <v>35</v>
      </c>
      <c r="BP36" s="21">
        <v>40</v>
      </c>
      <c r="BQ36" s="21">
        <v>45</v>
      </c>
      <c r="BR36" s="21">
        <v>50</v>
      </c>
      <c r="BS36" s="21">
        <v>55</v>
      </c>
      <c r="BT36" s="21">
        <v>60</v>
      </c>
      <c r="BU36" s="21">
        <v>65</v>
      </c>
      <c r="BV36" s="21"/>
      <c r="BW36" s="21" t="s">
        <v>472</v>
      </c>
      <c r="BX36" s="21">
        <v>0</v>
      </c>
      <c r="BY36" s="21">
        <v>10</v>
      </c>
      <c r="BZ36" s="21">
        <v>15</v>
      </c>
      <c r="CA36" s="21">
        <v>20</v>
      </c>
      <c r="CB36" s="21">
        <v>25</v>
      </c>
      <c r="CC36" s="21">
        <v>30</v>
      </c>
      <c r="CD36" s="21">
        <v>35</v>
      </c>
      <c r="CE36" s="21">
        <v>40</v>
      </c>
      <c r="CF36" s="21">
        <v>45</v>
      </c>
      <c r="CG36" s="21">
        <v>50</v>
      </c>
      <c r="CH36" s="21">
        <v>55</v>
      </c>
      <c r="CI36" s="21">
        <v>60</v>
      </c>
      <c r="CJ36" s="21">
        <v>65</v>
      </c>
      <c r="CK36" s="21"/>
      <c r="CL36" s="21"/>
      <c r="CM36" s="21"/>
      <c r="CN36" s="21" t="s">
        <v>113</v>
      </c>
      <c r="CO36" s="21">
        <v>0</v>
      </c>
      <c r="CP36" s="21">
        <v>10</v>
      </c>
      <c r="CQ36" s="21">
        <v>15</v>
      </c>
      <c r="CR36" s="21">
        <v>20</v>
      </c>
      <c r="CS36" s="21">
        <v>25</v>
      </c>
      <c r="CT36" s="21">
        <v>30</v>
      </c>
      <c r="CU36" s="21">
        <v>35</v>
      </c>
      <c r="CV36" s="21">
        <v>40</v>
      </c>
      <c r="CW36" s="21">
        <v>45</v>
      </c>
      <c r="CX36" s="21">
        <v>50</v>
      </c>
      <c r="CY36" s="21">
        <v>55</v>
      </c>
      <c r="CZ36" s="21">
        <v>60</v>
      </c>
      <c r="DA36" s="21">
        <v>65</v>
      </c>
      <c r="DB36" s="21"/>
      <c r="DC36" s="21" t="s">
        <v>478</v>
      </c>
      <c r="DD36" s="21">
        <v>0</v>
      </c>
      <c r="DE36" s="21">
        <v>10</v>
      </c>
      <c r="DF36" s="21">
        <v>15</v>
      </c>
      <c r="DG36" s="21">
        <v>20</v>
      </c>
      <c r="DH36" s="21">
        <v>25</v>
      </c>
      <c r="DI36" s="21">
        <v>30</v>
      </c>
      <c r="DJ36" s="21">
        <v>35</v>
      </c>
      <c r="DK36" s="21">
        <v>40</v>
      </c>
      <c r="DL36" s="21">
        <v>45</v>
      </c>
      <c r="DM36" s="21">
        <v>50</v>
      </c>
      <c r="DN36" s="21">
        <v>55</v>
      </c>
      <c r="DO36" s="21">
        <v>60</v>
      </c>
      <c r="DP36" s="21">
        <v>65</v>
      </c>
      <c r="DQ36" s="87"/>
      <c r="DR36" s="87">
        <v>40</v>
      </c>
      <c r="DS36" s="87"/>
      <c r="DT36" s="21" t="s">
        <v>507</v>
      </c>
      <c r="DU36" s="21">
        <v>0</v>
      </c>
      <c r="DV36" s="21">
        <v>10</v>
      </c>
      <c r="DW36" s="21">
        <v>15</v>
      </c>
      <c r="DX36" s="21">
        <v>20</v>
      </c>
      <c r="DY36" s="21">
        <v>25</v>
      </c>
      <c r="DZ36" s="21">
        <v>30</v>
      </c>
      <c r="EA36" s="21">
        <v>35</v>
      </c>
      <c r="EB36" s="21">
        <v>40</v>
      </c>
      <c r="EC36" s="21">
        <v>45</v>
      </c>
      <c r="ED36" s="21">
        <v>50</v>
      </c>
      <c r="EE36" s="21">
        <v>55</v>
      </c>
      <c r="EF36" s="21">
        <v>60</v>
      </c>
      <c r="EG36" s="21">
        <v>65</v>
      </c>
      <c r="EH36" s="21"/>
      <c r="EI36" s="21"/>
      <c r="EJ36" s="196"/>
      <c r="EK36" s="21" t="s">
        <v>112</v>
      </c>
      <c r="EL36" s="21">
        <v>0</v>
      </c>
      <c r="EM36" s="21">
        <v>10</v>
      </c>
      <c r="EN36" s="21">
        <v>15</v>
      </c>
      <c r="EO36" s="21">
        <v>20</v>
      </c>
      <c r="EP36" s="21">
        <v>25</v>
      </c>
      <c r="EQ36" s="21">
        <v>30</v>
      </c>
      <c r="ER36" s="21">
        <v>35</v>
      </c>
      <c r="ES36" s="21">
        <v>40</v>
      </c>
      <c r="ET36" s="21">
        <v>45</v>
      </c>
      <c r="EU36" s="21">
        <v>50</v>
      </c>
      <c r="EV36" s="21">
        <v>55</v>
      </c>
      <c r="EW36" s="21">
        <v>60</v>
      </c>
      <c r="EX36" s="21">
        <v>65</v>
      </c>
      <c r="EY36" s="21"/>
      <c r="EZ36" s="21" t="s">
        <v>472</v>
      </c>
      <c r="FA36" s="21">
        <v>0</v>
      </c>
      <c r="FB36" s="21">
        <v>10</v>
      </c>
      <c r="FC36" s="21">
        <v>15</v>
      </c>
      <c r="FD36" s="21">
        <v>20</v>
      </c>
      <c r="FE36" s="21">
        <v>25</v>
      </c>
      <c r="FF36" s="21">
        <v>30</v>
      </c>
      <c r="FG36" s="21">
        <v>35</v>
      </c>
      <c r="FH36" s="21">
        <v>40</v>
      </c>
      <c r="FI36" s="21">
        <v>45</v>
      </c>
      <c r="FJ36" s="21">
        <v>50</v>
      </c>
      <c r="FK36" s="21">
        <v>55</v>
      </c>
      <c r="FL36" s="21">
        <v>60</v>
      </c>
      <c r="FM36" s="21">
        <v>65</v>
      </c>
      <c r="FN36" s="21"/>
      <c r="FO36" s="21" t="s">
        <v>113</v>
      </c>
      <c r="FP36" s="21">
        <v>0</v>
      </c>
      <c r="FQ36" s="21">
        <v>10</v>
      </c>
      <c r="FR36" s="21">
        <v>15</v>
      </c>
      <c r="FS36" s="21">
        <v>20</v>
      </c>
      <c r="FT36" s="21">
        <v>25</v>
      </c>
      <c r="FU36" s="21">
        <v>30</v>
      </c>
      <c r="FV36" s="21">
        <v>35</v>
      </c>
      <c r="FW36" s="21">
        <v>40</v>
      </c>
      <c r="FX36" s="21">
        <v>45</v>
      </c>
      <c r="FY36" s="21">
        <v>50</v>
      </c>
      <c r="FZ36" s="21">
        <v>55</v>
      </c>
      <c r="GA36" s="21">
        <v>60</v>
      </c>
      <c r="GB36" s="21">
        <v>65</v>
      </c>
      <c r="GC36" s="21"/>
      <c r="GD36" s="21" t="s">
        <v>478</v>
      </c>
      <c r="GE36" s="21">
        <v>0</v>
      </c>
      <c r="GF36" s="21">
        <v>10</v>
      </c>
      <c r="GG36" s="21">
        <v>15</v>
      </c>
      <c r="GH36" s="21">
        <v>20</v>
      </c>
      <c r="GI36" s="21">
        <v>25</v>
      </c>
      <c r="GJ36" s="21">
        <v>30</v>
      </c>
      <c r="GK36" s="21">
        <v>35</v>
      </c>
      <c r="GL36" s="21">
        <v>40</v>
      </c>
      <c r="GM36" s="21">
        <v>45</v>
      </c>
      <c r="GN36" s="21">
        <v>50</v>
      </c>
      <c r="GO36" s="21">
        <v>55</v>
      </c>
      <c r="GP36" s="21">
        <v>60</v>
      </c>
      <c r="GQ36" s="21">
        <v>65</v>
      </c>
      <c r="GR36" s="21"/>
      <c r="GS36" s="21" t="s">
        <v>507</v>
      </c>
      <c r="GT36" s="21">
        <v>0</v>
      </c>
      <c r="GU36" s="21">
        <v>10</v>
      </c>
      <c r="GV36" s="21">
        <v>15</v>
      </c>
      <c r="GW36" s="21">
        <v>20</v>
      </c>
      <c r="GX36" s="21">
        <v>25</v>
      </c>
      <c r="GY36" s="21">
        <v>30</v>
      </c>
      <c r="GZ36" s="21">
        <v>35</v>
      </c>
      <c r="HA36" s="21">
        <v>40</v>
      </c>
      <c r="HB36" s="21">
        <v>45</v>
      </c>
      <c r="HC36" s="21">
        <v>50</v>
      </c>
      <c r="HD36" s="21">
        <v>55</v>
      </c>
      <c r="HE36" s="21">
        <v>60</v>
      </c>
      <c r="HF36" s="21">
        <v>65</v>
      </c>
      <c r="HG36" s="197"/>
      <c r="HH36" s="21"/>
    </row>
    <row r="37" spans="1:216" x14ac:dyDescent="0.25">
      <c r="A37" s="8"/>
      <c r="B37" s="5" t="s">
        <v>116</v>
      </c>
      <c r="C37" s="8"/>
      <c r="D37" s="6" t="s">
        <v>307</v>
      </c>
      <c r="E37" s="8" t="s">
        <v>309</v>
      </c>
      <c r="F37" s="5"/>
      <c r="G37" s="5"/>
      <c r="H37" s="5"/>
      <c r="I37" s="5"/>
      <c r="J37" s="5"/>
      <c r="K37" s="9"/>
      <c r="L37" s="7" t="str">
        <f>IF(E37=$AC$5,"CWT70H50/3NMC",IF(E37=$AC$6,"CWT70H50/2NMC",IF(E37=$AC$7,"CWT70H50/1NMC",IF(E37=$AC$8,"CWT70H50/1NMC",0))))</f>
        <v>CWT70H50/1NMC</v>
      </c>
      <c r="M37" s="11">
        <f>INDEX(cennik!$C$2:$L$529,MATCH($L37,cennik!$B$2:$B$522,0),MATCH(M$2,cennik!$C$1:$L$1,0))</f>
        <v>867810</v>
      </c>
      <c r="N37" s="11" t="str">
        <f>INDEX(cennik!$C$2:$L$529,MATCH($L37,cennik!$B$2:$B$522,0),MATCH(N$2,cennik!$C$1:$L$1,0))</f>
        <v>szt.</v>
      </c>
      <c r="O37" s="11">
        <f>SUM(AB33:AB48)</f>
        <v>0</v>
      </c>
      <c r="P37" s="34">
        <f>INDEX(cennik!$C$2:$L$529,MATCH($L37,cennik!$B$2:$B$522,0),MATCH(P$2,cennik!$C$1:$L$1,0))</f>
        <v>50.61</v>
      </c>
      <c r="Q37" s="34">
        <f t="shared" si="68"/>
        <v>0</v>
      </c>
      <c r="R37" s="35">
        <f t="shared" si="66"/>
        <v>0</v>
      </c>
      <c r="S37" s="34">
        <f t="shared" si="67"/>
        <v>50.61</v>
      </c>
      <c r="T37" s="34">
        <f t="shared" si="69"/>
        <v>0</v>
      </c>
      <c r="U37" s="34">
        <f>INDEX(cennik!$C$2:$L$529,MATCH($L37,cennik!$B$2:$B$522,0),MATCH(U$2,cennik!$C$1:$L$1,0))*O37</f>
        <v>0</v>
      </c>
      <c r="V37" s="25"/>
      <c r="W37" s="21">
        <f>INDEX(($EL$31:$EX$34,$FA$31:$FM$34,$EL$37:$EX$40,$EL$43:$EX$46,$FA$37:$FM$40,$FA$43:$FM$46,$FP$31:$GB$34,$FP$37:$GB$40,$FP$43:$GB$46,$GE$31:$GQ$34,$GE$37:$GQ$40,$GE$43:$GQ$46,$GT$31:$HF$34,$GT$37:$HF$40),MATCH($L$49,$EK$31:$EK$34,0),MATCH($A36,$EL$30:$EX$30,0),MATCH($E$35,$AE$33:$AE$48,0))*$C36</f>
        <v>0</v>
      </c>
      <c r="X37" s="21">
        <f>INDEX(($EL$31:$EX$34,$FA$31:$FM$34,$EL$37:$EX$40,$EL$43:$EX$46,$FA$37:$FM$40,$FA$43:$FM$46,$FP$31:$GB$34,$FP$37:$GB$40,$FP$43:$GB$46,$GE$31:$GQ$34,$GE$37:$GQ$40,$GE$43:$GQ$46,$GT$31:$HF$34,$GT$37:$HF$40),MATCH($L$46,$EK$31:$EK$34,0),MATCH($A36,$EL$30:$EX$30,0),MATCH($E$35,$AE$33:$AE$48,0))*$C36</f>
        <v>0</v>
      </c>
      <c r="Y37" s="21">
        <f>INDEX(($EL$31:$EX$34,$FA$31:$FM$34,$EL$37:$EX$40,$EL$43:$EX$46,$FA$37:$FM$40,$FA$43:$FM$46,$FP$31:$GB$34,$FP$37:$GB$40,$FP$43:$GB$46,$GE$31:$GQ$34,$GE$37:$GQ$40,$GE$43:$GQ$46,$GT$31:$HF$34,$GT$37:$HF$40),MATCH($L$47,$EK$31:$EK$34,0),MATCH($A36,$EL$30:$EX$30,0),MATCH($E$35,$AE$33:$AE$48,0))*$C36</f>
        <v>0</v>
      </c>
      <c r="Z37" s="21">
        <f>INDEX(($EL$31:$EX$34,$FA$31:$FM$34,$EL$37:$EX$40,$EL$43:$EX$46,$FA$37:$FM$40,$FA$43:$FM$46,$FP$31:$GB$34,$FP$37:$GB$40,$FP$43:$GB$46,$GE$31:$GQ$34,$GE$37:$GQ$40,$GE$43:$GQ$46,$GT$31:$HF$34,$GT$37:$HF$40),MATCH($L$48,$EK$31:$EK$34,0),MATCH($A36,$EL$30:$EX$30,0),MATCH($E$35,$AE$33:$AE$48,0))*$C36</f>
        <v>0</v>
      </c>
      <c r="AA37" s="21">
        <f t="shared" si="62"/>
        <v>0</v>
      </c>
      <c r="AB37" s="21">
        <f t="shared" si="63"/>
        <v>0</v>
      </c>
      <c r="AC37" s="21"/>
      <c r="AD37" s="21"/>
      <c r="AE37" s="21" t="s">
        <v>472</v>
      </c>
      <c r="AF37" s="21">
        <v>1850</v>
      </c>
      <c r="AG37" s="21"/>
      <c r="AH37" s="21"/>
      <c r="AI37" s="21"/>
      <c r="AJ37" s="21"/>
      <c r="AK37" s="21"/>
      <c r="AL37" s="21"/>
      <c r="AM37" s="21"/>
      <c r="AN37" s="21"/>
      <c r="AO37" s="21"/>
      <c r="AP37" s="21"/>
      <c r="AQ37" s="21"/>
      <c r="AR37" s="186" t="s">
        <v>724</v>
      </c>
      <c r="AS37" s="21"/>
      <c r="AT37" s="21"/>
      <c r="AU37" s="21"/>
      <c r="AV37" s="21"/>
      <c r="AW37" s="21"/>
      <c r="AX37" s="21"/>
      <c r="AY37" s="21"/>
      <c r="AZ37" s="21"/>
      <c r="BA37" s="21"/>
      <c r="BB37" s="21"/>
      <c r="BC37" s="21"/>
      <c r="BD37" s="21"/>
      <c r="BE37" s="21"/>
      <c r="BF37" s="21"/>
      <c r="BG37" s="189">
        <f t="shared" si="50"/>
        <v>1</v>
      </c>
      <c r="BH37" s="21" t="s">
        <v>217</v>
      </c>
      <c r="BI37" s="21">
        <v>0</v>
      </c>
      <c r="BJ37" s="21">
        <f>IF(BJ9=0,0,IF(BJ9=5,6,IF(BJ9=10,12,IF(BJ9=15,18,IF(BJ9=20,24,0)))))</f>
        <v>0</v>
      </c>
      <c r="BK37" s="21">
        <f t="shared" ref="BK37:BU37" si="70">IF(BK9=0,0,IF(BK9=5,6,IF(BK9=10,12,IF(BK9=15,18,IF(BK9=20,24,0)))))</f>
        <v>6</v>
      </c>
      <c r="BL37" s="21">
        <f t="shared" si="70"/>
        <v>6</v>
      </c>
      <c r="BM37" s="21">
        <f t="shared" si="70"/>
        <v>0</v>
      </c>
      <c r="BN37" s="21">
        <f t="shared" si="70"/>
        <v>6</v>
      </c>
      <c r="BO37" s="21">
        <f t="shared" si="70"/>
        <v>0</v>
      </c>
      <c r="BP37" s="21">
        <f t="shared" si="70"/>
        <v>12</v>
      </c>
      <c r="BQ37" s="21">
        <f t="shared" si="70"/>
        <v>6</v>
      </c>
      <c r="BR37" s="21">
        <f t="shared" si="70"/>
        <v>12</v>
      </c>
      <c r="BS37" s="21">
        <f t="shared" si="70"/>
        <v>6</v>
      </c>
      <c r="BT37" s="21">
        <f t="shared" si="70"/>
        <v>12</v>
      </c>
      <c r="BU37" s="21">
        <f t="shared" si="70"/>
        <v>12</v>
      </c>
      <c r="BV37" s="21"/>
      <c r="BW37" s="21" t="s">
        <v>217</v>
      </c>
      <c r="BX37" s="21">
        <v>0</v>
      </c>
      <c r="BY37" s="21">
        <f t="shared" ref="BY37:CJ40" si="71">IF(BY9=0,0,IF(BY9=5,6,IF(BY9=10,12,IF(BY9=15,18,IF(BY9=20,24,0)))))</f>
        <v>0</v>
      </c>
      <c r="BZ37" s="21">
        <f t="shared" si="71"/>
        <v>6</v>
      </c>
      <c r="CA37" s="21">
        <f t="shared" si="71"/>
        <v>0</v>
      </c>
      <c r="CB37" s="21">
        <f t="shared" si="71"/>
        <v>0</v>
      </c>
      <c r="CC37" s="21">
        <f t="shared" si="71"/>
        <v>0</v>
      </c>
      <c r="CD37" s="21">
        <f t="shared" si="71"/>
        <v>12</v>
      </c>
      <c r="CE37" s="21">
        <f t="shared" si="71"/>
        <v>6</v>
      </c>
      <c r="CF37" s="21">
        <f t="shared" si="71"/>
        <v>12</v>
      </c>
      <c r="CG37" s="21">
        <f t="shared" si="71"/>
        <v>6</v>
      </c>
      <c r="CH37" s="21">
        <f t="shared" si="71"/>
        <v>12</v>
      </c>
      <c r="CI37" s="21">
        <f t="shared" si="71"/>
        <v>12</v>
      </c>
      <c r="CJ37" s="21">
        <f t="shared" si="71"/>
        <v>18</v>
      </c>
      <c r="CK37" s="21"/>
      <c r="CL37" s="21"/>
      <c r="CM37" s="21"/>
      <c r="CN37" s="21" t="s">
        <v>217</v>
      </c>
      <c r="CO37" s="21">
        <v>0</v>
      </c>
      <c r="CP37" s="21">
        <f t="shared" ref="CP37:DA40" si="72">IF(CP9=0,0,IF(CP9=5,6,IF(CP9=10,12,IF(CP9=15,18,IF(CP9=20,24,0)))))</f>
        <v>0</v>
      </c>
      <c r="CQ37" s="21">
        <f t="shared" si="72"/>
        <v>6</v>
      </c>
      <c r="CR37" s="21">
        <f t="shared" si="72"/>
        <v>0</v>
      </c>
      <c r="CS37" s="21">
        <f t="shared" si="72"/>
        <v>6</v>
      </c>
      <c r="CT37" s="21">
        <f t="shared" si="72"/>
        <v>0</v>
      </c>
      <c r="CU37" s="21">
        <f t="shared" si="72"/>
        <v>6</v>
      </c>
      <c r="CV37" s="21">
        <f t="shared" si="72"/>
        <v>12</v>
      </c>
      <c r="CW37" s="21">
        <f t="shared" si="72"/>
        <v>12</v>
      </c>
      <c r="CX37" s="21">
        <f t="shared" si="72"/>
        <v>12</v>
      </c>
      <c r="CY37" s="21">
        <f t="shared" si="72"/>
        <v>12</v>
      </c>
      <c r="CZ37" s="21">
        <f t="shared" si="72"/>
        <v>18</v>
      </c>
      <c r="DA37" s="21">
        <f t="shared" si="72"/>
        <v>24</v>
      </c>
      <c r="DB37" s="21"/>
      <c r="DC37" s="21" t="s">
        <v>217</v>
      </c>
      <c r="DD37" s="21">
        <v>0</v>
      </c>
      <c r="DE37" s="21">
        <f>IF(DE9=0,0,IF(DE9=5,6,IF(DE9=10,12,IF(DE9=15,18,IF(DE9=20,24,0)))))</f>
        <v>0</v>
      </c>
      <c r="DF37" s="21">
        <f t="shared" ref="DF37:DP37" si="73">IF(DF9=0,0,IF(DF9=5,6,IF(DF9=10,12,IF(DF9=15,18,IF(DF9=20,24,0)))))</f>
        <v>6</v>
      </c>
      <c r="DG37" s="21">
        <f t="shared" si="73"/>
        <v>0</v>
      </c>
      <c r="DH37" s="21">
        <f t="shared" si="73"/>
        <v>6</v>
      </c>
      <c r="DI37" s="21">
        <f t="shared" si="73"/>
        <v>12</v>
      </c>
      <c r="DJ37" s="21">
        <f t="shared" si="73"/>
        <v>6</v>
      </c>
      <c r="DK37" s="21">
        <f t="shared" si="73"/>
        <v>12</v>
      </c>
      <c r="DL37" s="21">
        <f t="shared" si="73"/>
        <v>18</v>
      </c>
      <c r="DM37" s="21">
        <f t="shared" si="73"/>
        <v>12</v>
      </c>
      <c r="DN37" s="21">
        <f t="shared" si="73"/>
        <v>18</v>
      </c>
      <c r="DO37" s="21">
        <f t="shared" si="73"/>
        <v>24</v>
      </c>
      <c r="DP37" s="21">
        <f t="shared" si="73"/>
        <v>18</v>
      </c>
      <c r="DQ37" s="87"/>
      <c r="DR37" s="87">
        <v>45</v>
      </c>
      <c r="DS37" s="87"/>
      <c r="DT37" s="21" t="s">
        <v>217</v>
      </c>
      <c r="DU37" s="21">
        <v>0</v>
      </c>
      <c r="DV37" s="21">
        <f>IF(DV9=0,0,IF(DV9=5,6,IF(DV9=10,12,IF(DV9=15,18,IF(DV9=20,24,0)))))</f>
        <v>0</v>
      </c>
      <c r="DW37" s="21">
        <f t="shared" ref="DW37:EG37" si="74">IF(DW9=0,0,IF(DW9=5,6,IF(DW9=10,12,IF(DW9=15,18,IF(DW9=20,24,0)))))</f>
        <v>6</v>
      </c>
      <c r="DX37" s="21">
        <f t="shared" si="74"/>
        <v>0</v>
      </c>
      <c r="DY37" s="21">
        <f t="shared" si="74"/>
        <v>0</v>
      </c>
      <c r="DZ37" s="21">
        <f t="shared" si="74"/>
        <v>12</v>
      </c>
      <c r="EA37" s="21">
        <f t="shared" si="74"/>
        <v>12</v>
      </c>
      <c r="EB37" s="21">
        <f t="shared" si="74"/>
        <v>6</v>
      </c>
      <c r="EC37" s="21">
        <f t="shared" si="74"/>
        <v>12</v>
      </c>
      <c r="ED37" s="21">
        <f t="shared" si="74"/>
        <v>18</v>
      </c>
      <c r="EE37" s="21">
        <f t="shared" si="74"/>
        <v>12</v>
      </c>
      <c r="EF37" s="21">
        <f t="shared" si="74"/>
        <v>18</v>
      </c>
      <c r="EG37" s="21">
        <f t="shared" si="74"/>
        <v>24</v>
      </c>
      <c r="EH37" s="21"/>
      <c r="EI37" s="21"/>
      <c r="EJ37" s="196"/>
      <c r="EK37" s="21" t="s">
        <v>586</v>
      </c>
      <c r="EL37" s="21">
        <v>0</v>
      </c>
      <c r="EM37" s="21">
        <f t="shared" ref="EM37:EX40" si="75">EM9/5*6</f>
        <v>0</v>
      </c>
      <c r="EN37" s="21">
        <f t="shared" si="75"/>
        <v>6</v>
      </c>
      <c r="EO37" s="21">
        <f t="shared" si="75"/>
        <v>6</v>
      </c>
      <c r="EP37" s="21">
        <f t="shared" si="75"/>
        <v>0</v>
      </c>
      <c r="EQ37" s="21">
        <f t="shared" si="75"/>
        <v>0</v>
      </c>
      <c r="ER37" s="21">
        <f t="shared" si="75"/>
        <v>0</v>
      </c>
      <c r="ES37" s="21">
        <f t="shared" si="75"/>
        <v>0</v>
      </c>
      <c r="ET37" s="21">
        <f t="shared" si="75"/>
        <v>0</v>
      </c>
      <c r="EU37" s="21">
        <f t="shared" si="75"/>
        <v>0</v>
      </c>
      <c r="EV37" s="21">
        <f t="shared" si="75"/>
        <v>0</v>
      </c>
      <c r="EW37" s="21">
        <f t="shared" si="75"/>
        <v>0</v>
      </c>
      <c r="EX37" s="21">
        <f t="shared" si="75"/>
        <v>0</v>
      </c>
      <c r="EZ37" s="21" t="s">
        <v>586</v>
      </c>
      <c r="FA37" s="21">
        <v>0</v>
      </c>
      <c r="FB37" s="21">
        <f t="shared" ref="FB37:FM40" si="76">FB9/5*6</f>
        <v>0</v>
      </c>
      <c r="FC37" s="21">
        <f t="shared" si="76"/>
        <v>6</v>
      </c>
      <c r="FD37" s="21">
        <f t="shared" si="76"/>
        <v>0</v>
      </c>
      <c r="FE37" s="21">
        <f t="shared" si="76"/>
        <v>0</v>
      </c>
      <c r="FF37" s="21">
        <f t="shared" si="76"/>
        <v>0</v>
      </c>
      <c r="FG37" s="21">
        <f t="shared" si="76"/>
        <v>0</v>
      </c>
      <c r="FH37" s="21">
        <f t="shared" si="76"/>
        <v>0</v>
      </c>
      <c r="FI37" s="21">
        <f t="shared" si="76"/>
        <v>0</v>
      </c>
      <c r="FJ37" s="21">
        <f t="shared" si="76"/>
        <v>0</v>
      </c>
      <c r="FK37" s="21">
        <f t="shared" si="76"/>
        <v>0</v>
      </c>
      <c r="FL37" s="21">
        <f t="shared" si="76"/>
        <v>0</v>
      </c>
      <c r="FM37" s="21">
        <f t="shared" si="76"/>
        <v>0</v>
      </c>
      <c r="FO37" s="21" t="s">
        <v>586</v>
      </c>
      <c r="FP37" s="21">
        <v>0</v>
      </c>
      <c r="FQ37" s="21">
        <f t="shared" ref="FQ37:GB40" si="77">FQ9/5*6</f>
        <v>0</v>
      </c>
      <c r="FR37" s="21">
        <f t="shared" si="77"/>
        <v>6</v>
      </c>
      <c r="FS37" s="21">
        <f t="shared" si="77"/>
        <v>0</v>
      </c>
      <c r="FT37" s="21">
        <f t="shared" si="77"/>
        <v>0</v>
      </c>
      <c r="FU37" s="21">
        <f t="shared" si="77"/>
        <v>0</v>
      </c>
      <c r="FV37" s="21">
        <f t="shared" si="77"/>
        <v>0</v>
      </c>
      <c r="FW37" s="21">
        <f t="shared" si="77"/>
        <v>0</v>
      </c>
      <c r="FX37" s="21">
        <f t="shared" si="77"/>
        <v>0</v>
      </c>
      <c r="FY37" s="21">
        <f t="shared" si="77"/>
        <v>0</v>
      </c>
      <c r="FZ37" s="21">
        <f t="shared" si="77"/>
        <v>0</v>
      </c>
      <c r="GA37" s="21">
        <f t="shared" si="77"/>
        <v>0</v>
      </c>
      <c r="GB37" s="21">
        <f t="shared" si="77"/>
        <v>0</v>
      </c>
      <c r="GD37" s="21" t="s">
        <v>586</v>
      </c>
      <c r="GE37" s="21">
        <v>0</v>
      </c>
      <c r="GF37" s="21">
        <f t="shared" ref="GF37:GQ40" si="78">GF9/5*6</f>
        <v>0</v>
      </c>
      <c r="GG37" s="21">
        <f t="shared" si="78"/>
        <v>6</v>
      </c>
      <c r="GH37" s="21">
        <f t="shared" si="78"/>
        <v>0</v>
      </c>
      <c r="GI37" s="21">
        <f t="shared" si="78"/>
        <v>0</v>
      </c>
      <c r="GJ37" s="21">
        <f t="shared" si="78"/>
        <v>0</v>
      </c>
      <c r="GK37" s="21">
        <f t="shared" si="78"/>
        <v>0</v>
      </c>
      <c r="GL37" s="21">
        <f t="shared" si="78"/>
        <v>0</v>
      </c>
      <c r="GM37" s="21">
        <f t="shared" si="78"/>
        <v>0</v>
      </c>
      <c r="GN37" s="21">
        <f t="shared" si="78"/>
        <v>0</v>
      </c>
      <c r="GO37" s="21">
        <f t="shared" si="78"/>
        <v>0</v>
      </c>
      <c r="GP37" s="21">
        <f t="shared" si="78"/>
        <v>0</v>
      </c>
      <c r="GQ37" s="21">
        <f t="shared" si="78"/>
        <v>0</v>
      </c>
      <c r="GS37" s="21" t="s">
        <v>586</v>
      </c>
      <c r="GT37" s="21">
        <v>0</v>
      </c>
      <c r="GU37" s="21">
        <f t="shared" ref="GU37:HF40" si="79">GU9/5*6</f>
        <v>0</v>
      </c>
      <c r="GV37" s="21">
        <f t="shared" si="79"/>
        <v>6</v>
      </c>
      <c r="GW37" s="21">
        <f t="shared" si="79"/>
        <v>0</v>
      </c>
      <c r="GX37" s="21">
        <f t="shared" si="79"/>
        <v>0</v>
      </c>
      <c r="GY37" s="21">
        <f t="shared" si="79"/>
        <v>0</v>
      </c>
      <c r="GZ37" s="21">
        <f t="shared" si="79"/>
        <v>0</v>
      </c>
      <c r="HA37" s="21">
        <f t="shared" si="79"/>
        <v>0</v>
      </c>
      <c r="HB37" s="21">
        <f t="shared" si="79"/>
        <v>0</v>
      </c>
      <c r="HC37" s="21">
        <f t="shared" si="79"/>
        <v>0</v>
      </c>
      <c r="HD37" s="21">
        <f t="shared" si="79"/>
        <v>0</v>
      </c>
      <c r="HE37" s="21">
        <f t="shared" si="79"/>
        <v>0</v>
      </c>
      <c r="HF37" s="21">
        <f t="shared" si="79"/>
        <v>0</v>
      </c>
      <c r="HG37" s="197"/>
      <c r="HH37" s="21"/>
    </row>
    <row r="38" spans="1:216" x14ac:dyDescent="0.25">
      <c r="A38" s="8"/>
      <c r="B38" s="5" t="s">
        <v>116</v>
      </c>
      <c r="C38" s="8"/>
      <c r="D38" s="6" t="s">
        <v>315</v>
      </c>
      <c r="E38" s="8">
        <v>0</v>
      </c>
      <c r="F38" s="5"/>
      <c r="G38" s="5"/>
      <c r="H38" s="5"/>
      <c r="I38" s="5"/>
      <c r="J38" s="5" t="s">
        <v>412</v>
      </c>
      <c r="K38" s="9"/>
      <c r="L38" s="6" t="str">
        <f>INDEX((AS29:AV35),MATCH(G35,AR29:AR35,0),MATCH(E37,AS28:AV28,0))</f>
        <v>CWT70H50/3NMC</v>
      </c>
      <c r="M38" s="11">
        <f>INDEX(cennik!$C$2:$L$529,MATCH($L38,cennik!$B$2:$B$522,0),MATCH(M$2,cennik!$C$1:$L$1,0))</f>
        <v>867830</v>
      </c>
      <c r="N38" s="11" t="str">
        <f>INDEX(cennik!$C$2:$L$529,MATCH($L38,cennik!$B$2:$B$522,0),MATCH(N$2,cennik!$C$1:$L$1,0))</f>
        <v>szt.</v>
      </c>
      <c r="O38" s="11">
        <f>O37</f>
        <v>0</v>
      </c>
      <c r="P38" s="34">
        <f>INDEX(cennik!$C$2:$L$529,MATCH($L38,cennik!$B$2:$B$522,0),MATCH(P$2,cennik!$C$1:$L$1,0))</f>
        <v>151.83000000000001</v>
      </c>
      <c r="Q38" s="34">
        <f t="shared" si="68"/>
        <v>0</v>
      </c>
      <c r="R38" s="35">
        <f t="shared" si="66"/>
        <v>0</v>
      </c>
      <c r="S38" s="34">
        <f t="shared" si="67"/>
        <v>151.83000000000001</v>
      </c>
      <c r="T38" s="34">
        <f t="shared" si="69"/>
        <v>0</v>
      </c>
      <c r="U38" s="34">
        <f>INDEX(cennik!$C$2:$L$529,MATCH($L38,cennik!$B$2:$B$522,0),MATCH(U$2,cennik!$C$1:$L$1,0))*O38</f>
        <v>0</v>
      </c>
      <c r="V38" s="25"/>
      <c r="W38" s="21">
        <f>INDEX(($EL$31:$EX$34,$FA$31:$FM$34,$EL$37:$EX$40,$EL$43:$EX$46,$FA$37:$FM$40,$FA$43:$FM$46,$FP$31:$GB$34,$FP$37:$GB$40,$FP$43:$GB$46,$GE$31:$GQ$34,$GE$37:$GQ$40,$GE$43:$GQ$46,$GT$31:$HF$34,$GT$37:$HF$40),MATCH($L$49,$EK$31:$EK$34,0),MATCH($A37,$EL$30:$EX$30,0),MATCH($E$35,$AE$33:$AE$48,0))*$C37</f>
        <v>0</v>
      </c>
      <c r="X38" s="21">
        <f>INDEX(($EL$31:$EX$34,$FA$31:$FM$34,$EL$37:$EX$40,$EL$43:$EX$46,$FA$37:$FM$40,$FA$43:$FM$46,$FP$31:$GB$34,$FP$37:$GB$40,$FP$43:$GB$46,$GE$31:$GQ$34,$GE$37:$GQ$40,$GE$43:$GQ$46,$GT$31:$HF$34,$GT$37:$HF$40),MATCH($L$46,$EK$31:$EK$34,0),MATCH($A37,$EL$30:$EX$30,0),MATCH($E$35,$AE$33:$AE$48,0))*$C37</f>
        <v>0</v>
      </c>
      <c r="Y38" s="21">
        <f>INDEX(($EL$31:$EX$34,$FA$31:$FM$34,$EL$37:$EX$40,$EL$43:$EX$46,$FA$37:$FM$40,$FA$43:$FM$46,$FP$31:$GB$34,$FP$37:$GB$40,$FP$43:$GB$46,$GE$31:$GQ$34,$GE$37:$GQ$40,$GE$43:$GQ$46,$GT$31:$HF$34,$GT$37:$HF$40),MATCH($L$47,$EK$31:$EK$34,0),MATCH($A37,$EL$30:$EX$30,0),MATCH($E$35,$AE$33:$AE$48,0))*$C37</f>
        <v>0</v>
      </c>
      <c r="Z38" s="21">
        <f>INDEX(($EL$31:$EX$34,$FA$31:$FM$34,$EL$37:$EX$40,$EL$43:$EX$46,$FA$37:$FM$40,$FA$43:$FM$46,$FP$31:$GB$34,$FP$37:$GB$40,$FP$43:$GB$46,$GE$31:$GQ$34,$GE$37:$GQ$40,$GE$43:$GQ$46,$GT$31:$HF$34,$GT$37:$HF$40),MATCH($L$48,$EK$31:$EK$34,0),MATCH($A37,$EL$30:$EX$30,0),MATCH($E$35,$AE$33:$AE$48,0))*$C37</f>
        <v>0</v>
      </c>
      <c r="AA38" s="21">
        <f t="shared" si="62"/>
        <v>0</v>
      </c>
      <c r="AB38" s="21">
        <f t="shared" si="63"/>
        <v>0</v>
      </c>
      <c r="AC38" s="21"/>
      <c r="AD38" s="21"/>
      <c r="AE38" s="21" t="s">
        <v>471</v>
      </c>
      <c r="AF38" s="21">
        <v>1900</v>
      </c>
      <c r="AG38" s="21"/>
      <c r="AH38" s="21"/>
      <c r="AI38" s="21"/>
      <c r="AJ38" s="21"/>
      <c r="AK38" s="21"/>
      <c r="AL38" s="21"/>
      <c r="AM38" s="21"/>
      <c r="AN38" s="21"/>
      <c r="AO38" s="21"/>
      <c r="AP38" s="21"/>
      <c r="AQ38" s="21"/>
      <c r="AR38" s="21"/>
      <c r="AS38" s="21" t="s">
        <v>314</v>
      </c>
      <c r="AT38" s="21" t="s">
        <v>312</v>
      </c>
      <c r="AU38" s="21" t="s">
        <v>309</v>
      </c>
      <c r="AV38" s="21" t="s">
        <v>313</v>
      </c>
      <c r="AW38" s="21"/>
      <c r="AX38" s="21"/>
      <c r="AY38" s="21"/>
      <c r="AZ38" s="21"/>
      <c r="BA38" s="21"/>
      <c r="BB38" s="21"/>
      <c r="BC38" s="21"/>
      <c r="BD38" s="21"/>
      <c r="BE38" s="21"/>
      <c r="BF38" s="21"/>
      <c r="BG38" s="189">
        <f t="shared" si="50"/>
        <v>1</v>
      </c>
      <c r="BH38" s="21" t="s">
        <v>216</v>
      </c>
      <c r="BI38" s="21">
        <v>0</v>
      </c>
      <c r="BJ38" s="21">
        <f t="shared" ref="BJ38:BU40" si="80">IF(BJ10=0,0,IF(BJ10=5,6,IF(BJ10=10,12,IF(BJ10=15,18,IF(BJ10=20,24,0)))))</f>
        <v>0</v>
      </c>
      <c r="BK38" s="21">
        <f t="shared" si="80"/>
        <v>0</v>
      </c>
      <c r="BL38" s="21">
        <f>IF(BL10=0,0,IF(BL10=5,6,IF(BL10=10,12,IF(BL10=15,18,IF(BL10=20,24,0)))))</f>
        <v>0</v>
      </c>
      <c r="BM38" s="21">
        <f t="shared" si="80"/>
        <v>12</v>
      </c>
      <c r="BN38" s="21">
        <f t="shared" si="80"/>
        <v>0</v>
      </c>
      <c r="BO38" s="21">
        <f t="shared" si="80"/>
        <v>12</v>
      </c>
      <c r="BP38" s="21">
        <f t="shared" si="80"/>
        <v>0</v>
      </c>
      <c r="BQ38" s="21">
        <f t="shared" si="80"/>
        <v>12</v>
      </c>
      <c r="BR38" s="21">
        <f t="shared" si="80"/>
        <v>0</v>
      </c>
      <c r="BS38" s="21">
        <f t="shared" si="80"/>
        <v>12</v>
      </c>
      <c r="BT38" s="21">
        <f t="shared" si="80"/>
        <v>6</v>
      </c>
      <c r="BU38" s="21">
        <f t="shared" si="80"/>
        <v>12</v>
      </c>
      <c r="BV38" s="21"/>
      <c r="BW38" s="21" t="s">
        <v>216</v>
      </c>
      <c r="BX38" s="21">
        <v>0</v>
      </c>
      <c r="BY38" s="21">
        <f t="shared" si="71"/>
        <v>0</v>
      </c>
      <c r="BZ38" s="21">
        <f t="shared" si="71"/>
        <v>0</v>
      </c>
      <c r="CA38" s="21">
        <f t="shared" si="71"/>
        <v>6</v>
      </c>
      <c r="CB38" s="21">
        <f t="shared" si="71"/>
        <v>12</v>
      </c>
      <c r="CC38" s="21">
        <f t="shared" si="71"/>
        <v>12</v>
      </c>
      <c r="CD38" s="21">
        <f t="shared" si="71"/>
        <v>0</v>
      </c>
      <c r="CE38" s="21">
        <f t="shared" si="71"/>
        <v>12</v>
      </c>
      <c r="CF38" s="21">
        <f t="shared" si="71"/>
        <v>6</v>
      </c>
      <c r="CG38" s="21">
        <f t="shared" si="71"/>
        <v>12</v>
      </c>
      <c r="CH38" s="21">
        <f t="shared" si="71"/>
        <v>6</v>
      </c>
      <c r="CI38" s="21">
        <f t="shared" si="71"/>
        <v>12</v>
      </c>
      <c r="CJ38" s="21">
        <f t="shared" si="71"/>
        <v>6</v>
      </c>
      <c r="CK38" s="21"/>
      <c r="CL38" s="21"/>
      <c r="CM38" s="21"/>
      <c r="CN38" s="21" t="s">
        <v>216</v>
      </c>
      <c r="CO38" s="21">
        <v>0</v>
      </c>
      <c r="CP38" s="21">
        <f t="shared" si="72"/>
        <v>6</v>
      </c>
      <c r="CQ38" s="21">
        <f t="shared" si="72"/>
        <v>0</v>
      </c>
      <c r="CR38" s="21">
        <f t="shared" si="72"/>
        <v>6</v>
      </c>
      <c r="CS38" s="21">
        <f t="shared" si="72"/>
        <v>0</v>
      </c>
      <c r="CT38" s="21">
        <f t="shared" si="72"/>
        <v>12</v>
      </c>
      <c r="CU38" s="21">
        <f t="shared" si="72"/>
        <v>12</v>
      </c>
      <c r="CV38" s="21">
        <f t="shared" si="72"/>
        <v>0</v>
      </c>
      <c r="CW38" s="21">
        <f t="shared" si="72"/>
        <v>6</v>
      </c>
      <c r="CX38" s="21">
        <f t="shared" si="72"/>
        <v>6</v>
      </c>
      <c r="CY38" s="21">
        <f t="shared" si="72"/>
        <v>12</v>
      </c>
      <c r="CZ38" s="21">
        <f t="shared" si="72"/>
        <v>6</v>
      </c>
      <c r="DA38" s="21">
        <f t="shared" si="72"/>
        <v>0</v>
      </c>
      <c r="DB38" s="21"/>
      <c r="DC38" s="21" t="s">
        <v>216</v>
      </c>
      <c r="DD38" s="21">
        <v>0</v>
      </c>
      <c r="DE38" s="21">
        <f t="shared" ref="DE38:DP40" si="81">IF(DE10=0,0,IF(DE10=5,6,IF(DE10=10,12,IF(DE10=15,18,IF(DE10=20,24,0)))))</f>
        <v>6</v>
      </c>
      <c r="DF38" s="21">
        <f t="shared" si="81"/>
        <v>0</v>
      </c>
      <c r="DG38" s="21">
        <f t="shared" si="81"/>
        <v>12</v>
      </c>
      <c r="DH38" s="21">
        <f t="shared" si="81"/>
        <v>6</v>
      </c>
      <c r="DI38" s="21">
        <f t="shared" si="81"/>
        <v>0</v>
      </c>
      <c r="DJ38" s="21">
        <f t="shared" si="81"/>
        <v>12</v>
      </c>
      <c r="DK38" s="21">
        <f t="shared" si="81"/>
        <v>6</v>
      </c>
      <c r="DL38" s="21">
        <f t="shared" si="81"/>
        <v>0</v>
      </c>
      <c r="DM38" s="21">
        <f t="shared" si="81"/>
        <v>12</v>
      </c>
      <c r="DN38" s="21">
        <f t="shared" si="81"/>
        <v>6</v>
      </c>
      <c r="DO38" s="21">
        <f t="shared" si="81"/>
        <v>0</v>
      </c>
      <c r="DP38" s="21">
        <f t="shared" si="81"/>
        <v>6</v>
      </c>
      <c r="DQ38" s="87"/>
      <c r="DR38" s="87">
        <v>50</v>
      </c>
      <c r="DS38" s="87"/>
      <c r="DT38" s="21" t="s">
        <v>216</v>
      </c>
      <c r="DU38" s="21">
        <v>0</v>
      </c>
      <c r="DV38" s="21">
        <f t="shared" ref="DV38:EG40" si="82">IF(DV10=0,0,IF(DV10=5,6,IF(DV10=10,12,IF(DV10=15,18,IF(DV10=20,24,0)))))</f>
        <v>6</v>
      </c>
      <c r="DW38" s="21">
        <f t="shared" si="82"/>
        <v>0</v>
      </c>
      <c r="DX38" s="21">
        <f t="shared" si="82"/>
        <v>12</v>
      </c>
      <c r="DY38" s="21">
        <f t="shared" si="82"/>
        <v>12</v>
      </c>
      <c r="DZ38" s="21">
        <f t="shared" si="82"/>
        <v>0</v>
      </c>
      <c r="EA38" s="21">
        <f t="shared" si="82"/>
        <v>0</v>
      </c>
      <c r="EB38" s="21">
        <f t="shared" si="82"/>
        <v>12</v>
      </c>
      <c r="EC38" s="21">
        <f t="shared" si="82"/>
        <v>6</v>
      </c>
      <c r="ED38" s="21">
        <f t="shared" si="82"/>
        <v>6</v>
      </c>
      <c r="EE38" s="21">
        <f t="shared" si="82"/>
        <v>12</v>
      </c>
      <c r="EF38" s="21">
        <f t="shared" si="82"/>
        <v>6</v>
      </c>
      <c r="EG38" s="21">
        <f t="shared" si="82"/>
        <v>0</v>
      </c>
      <c r="EH38" s="21"/>
      <c r="EI38" s="21"/>
      <c r="EJ38" s="196"/>
      <c r="EK38" s="21" t="s">
        <v>522</v>
      </c>
      <c r="EL38" s="21">
        <v>0</v>
      </c>
      <c r="EM38" s="21">
        <f t="shared" si="75"/>
        <v>0</v>
      </c>
      <c r="EN38" s="21">
        <f t="shared" si="75"/>
        <v>0</v>
      </c>
      <c r="EO38" s="21">
        <f t="shared" si="75"/>
        <v>0</v>
      </c>
      <c r="EP38" s="21">
        <f t="shared" si="75"/>
        <v>12</v>
      </c>
      <c r="EQ38" s="21">
        <f t="shared" si="75"/>
        <v>0</v>
      </c>
      <c r="ER38" s="21">
        <f t="shared" si="75"/>
        <v>12</v>
      </c>
      <c r="ES38" s="21">
        <f t="shared" si="75"/>
        <v>0</v>
      </c>
      <c r="ET38" s="21">
        <f t="shared" si="75"/>
        <v>12</v>
      </c>
      <c r="EU38" s="21">
        <f t="shared" si="75"/>
        <v>0</v>
      </c>
      <c r="EV38" s="21">
        <f t="shared" si="75"/>
        <v>12</v>
      </c>
      <c r="EW38" s="21">
        <f t="shared" si="75"/>
        <v>6</v>
      </c>
      <c r="EX38" s="21">
        <f t="shared" si="75"/>
        <v>12</v>
      </c>
      <c r="EY38" s="21"/>
      <c r="EZ38" s="21" t="s">
        <v>522</v>
      </c>
      <c r="FA38" s="21">
        <v>0</v>
      </c>
      <c r="FB38" s="21">
        <f t="shared" si="76"/>
        <v>0</v>
      </c>
      <c r="FC38" s="21">
        <f t="shared" si="76"/>
        <v>0</v>
      </c>
      <c r="FD38" s="21">
        <f t="shared" si="76"/>
        <v>6</v>
      </c>
      <c r="FE38" s="21">
        <f t="shared" si="76"/>
        <v>12</v>
      </c>
      <c r="FF38" s="21">
        <f t="shared" si="76"/>
        <v>12</v>
      </c>
      <c r="FG38" s="21">
        <f t="shared" si="76"/>
        <v>0</v>
      </c>
      <c r="FH38" s="21">
        <f t="shared" si="76"/>
        <v>12</v>
      </c>
      <c r="FI38" s="21">
        <f t="shared" si="76"/>
        <v>6</v>
      </c>
      <c r="FJ38" s="21">
        <f t="shared" si="76"/>
        <v>12</v>
      </c>
      <c r="FK38" s="21">
        <f t="shared" si="76"/>
        <v>6</v>
      </c>
      <c r="FL38" s="21">
        <f t="shared" si="76"/>
        <v>12</v>
      </c>
      <c r="FM38" s="21">
        <f t="shared" si="76"/>
        <v>6</v>
      </c>
      <c r="FN38" s="21"/>
      <c r="FO38" s="21" t="s">
        <v>522</v>
      </c>
      <c r="FP38" s="21">
        <v>0</v>
      </c>
      <c r="FQ38" s="21">
        <f t="shared" si="77"/>
        <v>6</v>
      </c>
      <c r="FR38" s="21">
        <f t="shared" si="77"/>
        <v>0</v>
      </c>
      <c r="FS38" s="21">
        <f t="shared" si="77"/>
        <v>6</v>
      </c>
      <c r="FT38" s="21">
        <f t="shared" si="77"/>
        <v>0</v>
      </c>
      <c r="FU38" s="21">
        <f t="shared" si="77"/>
        <v>12</v>
      </c>
      <c r="FV38" s="21">
        <f t="shared" si="77"/>
        <v>12</v>
      </c>
      <c r="FW38" s="21">
        <f t="shared" si="77"/>
        <v>0</v>
      </c>
      <c r="FX38" s="21">
        <f t="shared" si="77"/>
        <v>6</v>
      </c>
      <c r="FY38" s="21">
        <f t="shared" si="77"/>
        <v>6</v>
      </c>
      <c r="FZ38" s="21">
        <f t="shared" si="77"/>
        <v>12</v>
      </c>
      <c r="GA38" s="21">
        <f t="shared" si="77"/>
        <v>6</v>
      </c>
      <c r="GB38" s="21">
        <f t="shared" si="77"/>
        <v>0</v>
      </c>
      <c r="GC38" s="21"/>
      <c r="GD38" s="21" t="s">
        <v>522</v>
      </c>
      <c r="GE38" s="21">
        <v>0</v>
      </c>
      <c r="GF38" s="21">
        <f t="shared" si="78"/>
        <v>6</v>
      </c>
      <c r="GG38" s="21">
        <f t="shared" si="78"/>
        <v>0</v>
      </c>
      <c r="GH38" s="21">
        <f t="shared" si="78"/>
        <v>12</v>
      </c>
      <c r="GI38" s="21">
        <f t="shared" si="78"/>
        <v>6</v>
      </c>
      <c r="GJ38" s="21">
        <f t="shared" si="78"/>
        <v>0</v>
      </c>
      <c r="GK38" s="21">
        <f t="shared" si="78"/>
        <v>12</v>
      </c>
      <c r="GL38" s="21">
        <f t="shared" si="78"/>
        <v>6</v>
      </c>
      <c r="GM38" s="21">
        <f t="shared" si="78"/>
        <v>0</v>
      </c>
      <c r="GN38" s="21">
        <f t="shared" si="78"/>
        <v>12</v>
      </c>
      <c r="GO38" s="21">
        <f t="shared" si="78"/>
        <v>6</v>
      </c>
      <c r="GP38" s="21">
        <f t="shared" si="78"/>
        <v>0</v>
      </c>
      <c r="GQ38" s="21">
        <f t="shared" si="78"/>
        <v>6</v>
      </c>
      <c r="GR38" s="21"/>
      <c r="GS38" s="21" t="s">
        <v>522</v>
      </c>
      <c r="GT38" s="21">
        <v>0</v>
      </c>
      <c r="GU38" s="21">
        <f t="shared" si="79"/>
        <v>6</v>
      </c>
      <c r="GV38" s="21">
        <f t="shared" si="79"/>
        <v>0</v>
      </c>
      <c r="GW38" s="21">
        <f t="shared" si="79"/>
        <v>12</v>
      </c>
      <c r="GX38" s="21">
        <f t="shared" si="79"/>
        <v>12</v>
      </c>
      <c r="GY38" s="21">
        <f t="shared" si="79"/>
        <v>0</v>
      </c>
      <c r="GZ38" s="21">
        <f t="shared" si="79"/>
        <v>0</v>
      </c>
      <c r="HA38" s="21">
        <f t="shared" si="79"/>
        <v>12</v>
      </c>
      <c r="HB38" s="21">
        <f t="shared" si="79"/>
        <v>6</v>
      </c>
      <c r="HC38" s="21">
        <f t="shared" si="79"/>
        <v>6</v>
      </c>
      <c r="HD38" s="21">
        <f t="shared" si="79"/>
        <v>12</v>
      </c>
      <c r="HE38" s="21">
        <f t="shared" si="79"/>
        <v>6</v>
      </c>
      <c r="HF38" s="21">
        <f t="shared" si="79"/>
        <v>0</v>
      </c>
      <c r="HG38" s="197"/>
      <c r="HH38" s="21"/>
    </row>
    <row r="39" spans="1:216" x14ac:dyDescent="0.25">
      <c r="A39" s="8"/>
      <c r="B39" s="5" t="s">
        <v>116</v>
      </c>
      <c r="C39" s="8"/>
      <c r="D39" s="6" t="s">
        <v>162</v>
      </c>
      <c r="E39" s="8">
        <v>0</v>
      </c>
      <c r="F39" s="5"/>
      <c r="G39" s="5"/>
      <c r="H39" s="5"/>
      <c r="I39" s="5"/>
      <c r="J39" s="5" t="s">
        <v>163</v>
      </c>
      <c r="K39" s="9"/>
      <c r="L39" s="6" t="str">
        <f>INDEX((AS39:AV45),MATCH(G35,AR39:AR45,0),MATCH(E37,AS38:AV38,0))</f>
        <v>-------</v>
      </c>
      <c r="M39" s="11" t="str">
        <f>INDEX(cennik!$C$2:$L$529,MATCH($L39,cennik!$B$2:$B$522,0),MATCH(M$2,cennik!$C$1:$L$1,0))</f>
        <v>-------</v>
      </c>
      <c r="N39" s="11">
        <f>INDEX(cennik!$C$2:$L$529,MATCH($L39,cennik!$B$2:$B$522,0),MATCH(N$2,cennik!$C$1:$L$1,0))</f>
        <v>0</v>
      </c>
      <c r="O39" s="11">
        <f>IF(L39="CWT70H50/2NMC",O38,IF(L39="CWT70H50/2,4NMC",O38,0))</f>
        <v>0</v>
      </c>
      <c r="P39" s="34">
        <f>INDEX(cennik!$C$2:$L$529,MATCH($L39,cennik!$B$2:$B$522,0),MATCH(P$2,cennik!$C$1:$L$1,0))</f>
        <v>0</v>
      </c>
      <c r="Q39" s="34">
        <f t="shared" si="68"/>
        <v>0</v>
      </c>
      <c r="R39" s="35">
        <f t="shared" si="66"/>
        <v>0</v>
      </c>
      <c r="S39" s="34">
        <f t="shared" si="67"/>
        <v>0</v>
      </c>
      <c r="T39" s="34">
        <f t="shared" si="69"/>
        <v>0</v>
      </c>
      <c r="U39" s="34">
        <f>INDEX(cennik!$C$2:$L$529,MATCH($L39,cennik!$B$2:$B$522,0),MATCH(U$2,cennik!$C$1:$L$1,0))*O39</f>
        <v>0</v>
      </c>
      <c r="V39" s="25"/>
      <c r="W39" s="21">
        <f>INDEX(($EL$31:$EX$34,$FA$31:$FM$34,$EL$37:$EX$40,$EL$43:$EX$46,$FA$37:$FM$40,$FA$43:$FM$46,$FP$31:$GB$34,$FP$37:$GB$40,$FP$43:$GB$46,$GE$31:$GQ$34,$GE$37:$GQ$40,$GE$43:$GQ$46,$GT$31:$HF$34,$GT$37:$HF$40),MATCH($L$49,$EK$31:$EK$34,0),MATCH($A38,$EL$30:$EX$30,0),MATCH($E$35,$AE$33:$AE$48,0))*$C38</f>
        <v>0</v>
      </c>
      <c r="X39" s="21">
        <f>INDEX(($EL$31:$EX$34,$FA$31:$FM$34,$EL$37:$EX$40,$EL$43:$EX$46,$FA$37:$FM$40,$FA$43:$FM$46,$FP$31:$GB$34,$FP$37:$GB$40,$FP$43:$GB$46,$GE$31:$GQ$34,$GE$37:$GQ$40,$GE$43:$GQ$46,$GT$31:$HF$34,$GT$37:$HF$40),MATCH($L$46,$EK$31:$EK$34,0),MATCH($A38,$EL$30:$EX$30,0),MATCH($E$35,$AE$33:$AE$48,0))*$C38</f>
        <v>0</v>
      </c>
      <c r="Y39" s="21">
        <f>INDEX(($EL$31:$EX$34,$FA$31:$FM$34,$EL$37:$EX$40,$EL$43:$EX$46,$FA$37:$FM$40,$FA$43:$FM$46,$FP$31:$GB$34,$FP$37:$GB$40,$FP$43:$GB$46,$GE$31:$GQ$34,$GE$37:$GQ$40,$GE$43:$GQ$46,$GT$31:$HF$34,$GT$37:$HF$40),MATCH($L$47,$EK$31:$EK$34,0),MATCH($A38,$EL$30:$EX$30,0),MATCH($E$35,$AE$33:$AE$48,0))*$C38</f>
        <v>0</v>
      </c>
      <c r="Z39" s="21">
        <f>INDEX(($EL$31:$EX$34,$FA$31:$FM$34,$EL$37:$EX$40,$EL$43:$EX$46,$FA$37:$FM$40,$FA$43:$FM$46,$FP$31:$GB$34,$FP$37:$GB$40,$FP$43:$GB$46,$GE$31:$GQ$34,$GE$37:$GQ$40,$GE$43:$GQ$46,$GT$31:$HF$34,$GT$37:$HF$40),MATCH($L$48,$EK$31:$EK$34,0),MATCH($A38,$EL$30:$EX$30,0),MATCH($E$35,$AE$33:$AE$48,0))*$C38</f>
        <v>0</v>
      </c>
      <c r="AA39" s="21">
        <f t="shared" si="62"/>
        <v>0</v>
      </c>
      <c r="AB39" s="21">
        <f t="shared" si="63"/>
        <v>0</v>
      </c>
      <c r="AC39" s="21"/>
      <c r="AD39" s="21"/>
      <c r="AE39" s="21" t="s">
        <v>473</v>
      </c>
      <c r="AF39" s="21">
        <v>1950</v>
      </c>
      <c r="AG39" s="21"/>
      <c r="AH39" s="21"/>
      <c r="AI39" s="21"/>
      <c r="AJ39" s="21"/>
      <c r="AK39" s="21"/>
      <c r="AL39" s="21"/>
      <c r="AM39" s="21"/>
      <c r="AN39" s="21"/>
      <c r="AO39" s="21"/>
      <c r="AP39" s="21"/>
      <c r="AQ39" s="21"/>
      <c r="AR39" s="21" t="s">
        <v>114</v>
      </c>
      <c r="AS39" s="21" t="s">
        <v>151</v>
      </c>
      <c r="AT39" s="21" t="s">
        <v>151</v>
      </c>
      <c r="AU39" s="21" t="s">
        <v>151</v>
      </c>
      <c r="AV39" s="21" t="s">
        <v>151</v>
      </c>
      <c r="AW39" s="21"/>
      <c r="AX39" s="21"/>
      <c r="AY39" s="21"/>
      <c r="AZ39" s="21"/>
      <c r="BA39" s="21"/>
      <c r="BB39" s="21"/>
      <c r="BC39" s="21"/>
      <c r="BD39" s="21"/>
      <c r="BE39" s="21"/>
      <c r="BF39" s="21"/>
      <c r="BG39" s="189">
        <f t="shared" si="50"/>
        <v>1</v>
      </c>
      <c r="BH39" s="21" t="s">
        <v>17</v>
      </c>
      <c r="BI39" s="21">
        <v>0</v>
      </c>
      <c r="BJ39" s="21">
        <f t="shared" si="80"/>
        <v>6</v>
      </c>
      <c r="BK39" s="21">
        <f t="shared" si="80"/>
        <v>0</v>
      </c>
      <c r="BL39" s="21">
        <f t="shared" si="80"/>
        <v>0</v>
      </c>
      <c r="BM39" s="21">
        <f t="shared" si="80"/>
        <v>0</v>
      </c>
      <c r="BN39" s="21">
        <f t="shared" si="80"/>
        <v>6</v>
      </c>
      <c r="BO39" s="21">
        <f t="shared" si="80"/>
        <v>6</v>
      </c>
      <c r="BP39" s="21">
        <f t="shared" si="80"/>
        <v>0</v>
      </c>
      <c r="BQ39" s="21">
        <f t="shared" si="80"/>
        <v>0</v>
      </c>
      <c r="BR39" s="21">
        <f t="shared" si="80"/>
        <v>6</v>
      </c>
      <c r="BS39" s="21">
        <f t="shared" si="80"/>
        <v>6</v>
      </c>
      <c r="BT39" s="21">
        <f t="shared" si="80"/>
        <v>6</v>
      </c>
      <c r="BU39" s="21">
        <f t="shared" si="80"/>
        <v>0</v>
      </c>
      <c r="BV39" s="21"/>
      <c r="BW39" s="21" t="s">
        <v>17</v>
      </c>
      <c r="BX39" s="21">
        <v>0</v>
      </c>
      <c r="BY39" s="21">
        <f t="shared" si="71"/>
        <v>6</v>
      </c>
      <c r="BZ39" s="21">
        <f t="shared" si="71"/>
        <v>0</v>
      </c>
      <c r="CA39" s="21">
        <f t="shared" si="71"/>
        <v>6</v>
      </c>
      <c r="CB39" s="21">
        <f t="shared" si="71"/>
        <v>0</v>
      </c>
      <c r="CC39" s="21">
        <f t="shared" si="71"/>
        <v>6</v>
      </c>
      <c r="CD39" s="21">
        <f t="shared" si="71"/>
        <v>0</v>
      </c>
      <c r="CE39" s="21">
        <f t="shared" si="71"/>
        <v>0</v>
      </c>
      <c r="CF39" s="21">
        <f t="shared" si="71"/>
        <v>0</v>
      </c>
      <c r="CG39" s="21">
        <f t="shared" si="71"/>
        <v>6</v>
      </c>
      <c r="CH39" s="21">
        <f t="shared" si="71"/>
        <v>6</v>
      </c>
      <c r="CI39" s="21">
        <f t="shared" si="71"/>
        <v>0</v>
      </c>
      <c r="CJ39" s="21">
        <f t="shared" si="71"/>
        <v>0</v>
      </c>
      <c r="CK39" s="21"/>
      <c r="CL39" s="21"/>
      <c r="CM39" s="21"/>
      <c r="CN39" s="21" t="s">
        <v>17</v>
      </c>
      <c r="CO39" s="21">
        <v>0</v>
      </c>
      <c r="CP39" s="21">
        <f t="shared" si="72"/>
        <v>0</v>
      </c>
      <c r="CQ39" s="21">
        <f t="shared" si="72"/>
        <v>0</v>
      </c>
      <c r="CR39" s="21">
        <f t="shared" si="72"/>
        <v>6</v>
      </c>
      <c r="CS39" s="21">
        <f t="shared" si="72"/>
        <v>6</v>
      </c>
      <c r="CT39" s="21">
        <f t="shared" si="72"/>
        <v>6</v>
      </c>
      <c r="CU39" s="21">
        <f t="shared" si="72"/>
        <v>0</v>
      </c>
      <c r="CV39" s="21">
        <f t="shared" si="72"/>
        <v>6</v>
      </c>
      <c r="CW39" s="21">
        <f t="shared" si="72"/>
        <v>0</v>
      </c>
      <c r="CX39" s="21">
        <f t="shared" si="72"/>
        <v>6</v>
      </c>
      <c r="CY39" s="21">
        <f t="shared" si="72"/>
        <v>0</v>
      </c>
      <c r="CZ39" s="21">
        <f t="shared" si="72"/>
        <v>0</v>
      </c>
      <c r="DA39" s="21">
        <f t="shared" si="72"/>
        <v>0</v>
      </c>
      <c r="DB39" s="21"/>
      <c r="DC39" s="21" t="s">
        <v>17</v>
      </c>
      <c r="DD39" s="21">
        <v>0</v>
      </c>
      <c r="DE39" s="21">
        <f t="shared" si="81"/>
        <v>0</v>
      </c>
      <c r="DF39" s="21">
        <f t="shared" si="81"/>
        <v>0</v>
      </c>
      <c r="DG39" s="21">
        <f t="shared" si="81"/>
        <v>0</v>
      </c>
      <c r="DH39" s="21">
        <f t="shared" si="81"/>
        <v>0</v>
      </c>
      <c r="DI39" s="21">
        <f t="shared" si="81"/>
        <v>0</v>
      </c>
      <c r="DJ39" s="21">
        <f t="shared" si="81"/>
        <v>0</v>
      </c>
      <c r="DK39" s="21">
        <f t="shared" si="81"/>
        <v>0</v>
      </c>
      <c r="DL39" s="21">
        <f t="shared" si="81"/>
        <v>0</v>
      </c>
      <c r="DM39" s="21">
        <f t="shared" si="81"/>
        <v>0</v>
      </c>
      <c r="DN39" s="21">
        <f t="shared" si="81"/>
        <v>0</v>
      </c>
      <c r="DO39" s="21">
        <f t="shared" si="81"/>
        <v>0</v>
      </c>
      <c r="DP39" s="21">
        <f t="shared" si="81"/>
        <v>6</v>
      </c>
      <c r="DQ39" s="87"/>
      <c r="DR39" s="87">
        <v>55</v>
      </c>
      <c r="DS39" s="87"/>
      <c r="DT39" s="21" t="s">
        <v>17</v>
      </c>
      <c r="DU39" s="21">
        <v>0</v>
      </c>
      <c r="DV39" s="21">
        <f t="shared" si="82"/>
        <v>0</v>
      </c>
      <c r="DW39" s="21">
        <f t="shared" si="82"/>
        <v>0</v>
      </c>
      <c r="DX39" s="21">
        <f t="shared" si="82"/>
        <v>0</v>
      </c>
      <c r="DY39" s="21">
        <f t="shared" si="82"/>
        <v>6</v>
      </c>
      <c r="DZ39" s="21">
        <f t="shared" si="82"/>
        <v>0</v>
      </c>
      <c r="EA39" s="21">
        <f t="shared" si="82"/>
        <v>6</v>
      </c>
      <c r="EB39" s="21">
        <f t="shared" si="82"/>
        <v>6</v>
      </c>
      <c r="EC39" s="21">
        <f t="shared" si="82"/>
        <v>6</v>
      </c>
      <c r="ED39" s="21">
        <f t="shared" si="82"/>
        <v>0</v>
      </c>
      <c r="EE39" s="21">
        <f t="shared" si="82"/>
        <v>6</v>
      </c>
      <c r="EF39" s="21">
        <f t="shared" si="82"/>
        <v>6</v>
      </c>
      <c r="EG39" s="21">
        <f t="shared" si="82"/>
        <v>6</v>
      </c>
      <c r="EH39" s="21"/>
      <c r="EI39" s="21"/>
      <c r="EJ39" s="196"/>
      <c r="EK39" s="21" t="s">
        <v>523</v>
      </c>
      <c r="EL39" s="21">
        <v>0</v>
      </c>
      <c r="EM39" s="21">
        <f t="shared" si="75"/>
        <v>6</v>
      </c>
      <c r="EN39" s="21">
        <f t="shared" si="75"/>
        <v>0</v>
      </c>
      <c r="EO39" s="21">
        <f t="shared" si="75"/>
        <v>0</v>
      </c>
      <c r="EP39" s="21">
        <f t="shared" si="75"/>
        <v>0</v>
      </c>
      <c r="EQ39" s="21">
        <f t="shared" si="75"/>
        <v>18</v>
      </c>
      <c r="ER39" s="21">
        <f t="shared" si="75"/>
        <v>6</v>
      </c>
      <c r="ES39" s="21">
        <f t="shared" si="75"/>
        <v>24</v>
      </c>
      <c r="ET39" s="21">
        <f t="shared" si="75"/>
        <v>12</v>
      </c>
      <c r="EU39" s="21">
        <f t="shared" si="75"/>
        <v>30</v>
      </c>
      <c r="EV39" s="21">
        <f t="shared" si="75"/>
        <v>18</v>
      </c>
      <c r="EW39" s="21">
        <f t="shared" si="75"/>
        <v>30</v>
      </c>
      <c r="EX39" s="21">
        <f t="shared" si="75"/>
        <v>24</v>
      </c>
      <c r="EY39" s="21"/>
      <c r="EZ39" s="21" t="s">
        <v>523</v>
      </c>
      <c r="FA39" s="21">
        <v>0</v>
      </c>
      <c r="FB39" s="21">
        <f t="shared" si="76"/>
        <v>6</v>
      </c>
      <c r="FC39" s="21">
        <f t="shared" si="76"/>
        <v>0</v>
      </c>
      <c r="FD39" s="21">
        <f t="shared" si="76"/>
        <v>6</v>
      </c>
      <c r="FE39" s="21">
        <f t="shared" si="76"/>
        <v>0</v>
      </c>
      <c r="FF39" s="21">
        <f t="shared" si="76"/>
        <v>6</v>
      </c>
      <c r="FG39" s="21">
        <f t="shared" si="76"/>
        <v>24</v>
      </c>
      <c r="FH39" s="21">
        <f t="shared" si="76"/>
        <v>12</v>
      </c>
      <c r="FI39" s="21">
        <f t="shared" si="76"/>
        <v>24</v>
      </c>
      <c r="FJ39" s="21">
        <f t="shared" si="76"/>
        <v>18</v>
      </c>
      <c r="FK39" s="21">
        <f t="shared" si="76"/>
        <v>30</v>
      </c>
      <c r="FL39" s="21">
        <f t="shared" si="76"/>
        <v>24</v>
      </c>
      <c r="FM39" s="21">
        <f t="shared" si="76"/>
        <v>36</v>
      </c>
      <c r="FN39" s="21"/>
      <c r="FO39" s="21" t="s">
        <v>523</v>
      </c>
      <c r="FP39" s="21">
        <v>0</v>
      </c>
      <c r="FQ39" s="21">
        <f t="shared" si="77"/>
        <v>0</v>
      </c>
      <c r="FR39" s="21">
        <f t="shared" si="77"/>
        <v>0</v>
      </c>
      <c r="FS39" s="21">
        <f t="shared" si="77"/>
        <v>6</v>
      </c>
      <c r="FT39" s="21">
        <f t="shared" si="77"/>
        <v>18</v>
      </c>
      <c r="FU39" s="21">
        <f t="shared" si="77"/>
        <v>6</v>
      </c>
      <c r="FV39" s="21">
        <f t="shared" si="77"/>
        <v>12</v>
      </c>
      <c r="FW39" s="21">
        <f t="shared" si="77"/>
        <v>30</v>
      </c>
      <c r="FX39" s="21">
        <f t="shared" si="77"/>
        <v>24</v>
      </c>
      <c r="FY39" s="21">
        <f t="shared" si="77"/>
        <v>30</v>
      </c>
      <c r="FZ39" s="21">
        <f t="shared" si="77"/>
        <v>24</v>
      </c>
      <c r="GA39" s="21">
        <f t="shared" si="77"/>
        <v>36</v>
      </c>
      <c r="GB39" s="21">
        <f t="shared" si="77"/>
        <v>48</v>
      </c>
      <c r="GC39" s="21"/>
      <c r="GD39" s="21" t="s">
        <v>523</v>
      </c>
      <c r="GE39" s="21">
        <v>0</v>
      </c>
      <c r="GF39" s="21">
        <f t="shared" si="78"/>
        <v>0</v>
      </c>
      <c r="GG39" s="21">
        <f t="shared" si="78"/>
        <v>0</v>
      </c>
      <c r="GH39" s="21">
        <f t="shared" si="78"/>
        <v>0</v>
      </c>
      <c r="GI39" s="21">
        <f t="shared" si="78"/>
        <v>12</v>
      </c>
      <c r="GJ39" s="21">
        <f t="shared" si="78"/>
        <v>24</v>
      </c>
      <c r="GK39" s="21">
        <f t="shared" si="78"/>
        <v>12</v>
      </c>
      <c r="GL39" s="21">
        <f t="shared" si="78"/>
        <v>24</v>
      </c>
      <c r="GM39" s="21">
        <f t="shared" si="78"/>
        <v>36</v>
      </c>
      <c r="GN39" s="21">
        <f t="shared" si="78"/>
        <v>24</v>
      </c>
      <c r="GO39" s="21">
        <f t="shared" si="78"/>
        <v>36</v>
      </c>
      <c r="GP39" s="21">
        <f t="shared" si="78"/>
        <v>48</v>
      </c>
      <c r="GQ39" s="21">
        <f t="shared" si="78"/>
        <v>42</v>
      </c>
      <c r="GR39" s="21"/>
      <c r="GS39" s="21" t="s">
        <v>523</v>
      </c>
      <c r="GT39" s="21">
        <v>0</v>
      </c>
      <c r="GU39" s="21">
        <f t="shared" si="79"/>
        <v>0</v>
      </c>
      <c r="GV39" s="21">
        <f t="shared" si="79"/>
        <v>0</v>
      </c>
      <c r="GW39" s="21">
        <f t="shared" si="79"/>
        <v>0</v>
      </c>
      <c r="GX39" s="21">
        <f t="shared" si="79"/>
        <v>6</v>
      </c>
      <c r="GY39" s="21">
        <f t="shared" si="79"/>
        <v>24</v>
      </c>
      <c r="GZ39" s="21">
        <f t="shared" si="79"/>
        <v>30</v>
      </c>
      <c r="HA39" s="21">
        <f t="shared" si="79"/>
        <v>18</v>
      </c>
      <c r="HB39" s="21">
        <f t="shared" si="79"/>
        <v>30</v>
      </c>
      <c r="HC39" s="21">
        <f t="shared" si="79"/>
        <v>36</v>
      </c>
      <c r="HD39" s="21">
        <f t="shared" si="79"/>
        <v>30</v>
      </c>
      <c r="HE39" s="21">
        <f t="shared" si="79"/>
        <v>42</v>
      </c>
      <c r="HF39" s="21">
        <f t="shared" si="79"/>
        <v>54</v>
      </c>
      <c r="HG39" s="197"/>
      <c r="HH39" s="21"/>
    </row>
    <row r="40" spans="1:216" x14ac:dyDescent="0.25">
      <c r="A40" s="8"/>
      <c r="B40" s="5" t="s">
        <v>116</v>
      </c>
      <c r="C40" s="8"/>
      <c r="D40" s="6" t="s">
        <v>515</v>
      </c>
      <c r="E40" s="8">
        <v>0</v>
      </c>
      <c r="F40" s="5"/>
      <c r="G40" s="5"/>
      <c r="H40" s="5"/>
      <c r="I40" s="5"/>
      <c r="J40" s="5" t="s">
        <v>412</v>
      </c>
      <c r="K40" s="9"/>
      <c r="L40" s="92" t="str">
        <f>IF(L39="CWT70H50/2NMC","LCT70H50MC",IF(L39="CWT70H50/2,4NMC","LCT70H50MC","-------"))</f>
        <v>-------</v>
      </c>
      <c r="M40" s="11" t="str">
        <f>INDEX(cennik!$C$2:$L$529,MATCH($L40,cennik!$B$2:$B$522,0),MATCH(M$2,cennik!$C$1:$L$1,0))</f>
        <v>-------</v>
      </c>
      <c r="N40" s="11">
        <f>INDEX(cennik!$C$2:$L$529,MATCH($L40,cennik!$B$2:$B$522,0),MATCH(N$2,cennik!$C$1:$L$1,0))</f>
        <v>0</v>
      </c>
      <c r="O40" s="11">
        <f>O39</f>
        <v>0</v>
      </c>
      <c r="P40" s="34">
        <f>INDEX(cennik!$C$2:$L$529,MATCH($L40,cennik!$B$2:$B$522,0),MATCH(P$2,cennik!$C$1:$L$1,0))</f>
        <v>0</v>
      </c>
      <c r="Q40" s="34">
        <f t="shared" si="68"/>
        <v>0</v>
      </c>
      <c r="R40" s="35">
        <f t="shared" si="66"/>
        <v>0</v>
      </c>
      <c r="S40" s="34">
        <f t="shared" si="67"/>
        <v>0</v>
      </c>
      <c r="T40" s="34">
        <f t="shared" si="69"/>
        <v>0</v>
      </c>
      <c r="U40" s="34">
        <f>INDEX(cennik!$C$2:$L$529,MATCH($L40,cennik!$B$2:$B$522,0),MATCH(U$2,cennik!$C$1:$L$1,0))*O40</f>
        <v>0</v>
      </c>
      <c r="V40" s="25"/>
      <c r="W40" s="21">
        <f>INDEX(($EL$31:$EX$34,$FA$31:$FM$34,$EL$37:$EX$40,$EL$43:$EX$46,$FA$37:$FM$40,$FA$43:$FM$46,$FP$31:$GB$34,$FP$37:$GB$40,$FP$43:$GB$46,$GE$31:$GQ$34,$GE$37:$GQ$40,$GE$43:$GQ$46,$GT$31:$HF$34,$GT$37:$HF$40),MATCH($L$49,$EK$31:$EK$34,0),MATCH($A39,$EL$30:$EX$30,0),MATCH($E$35,$AE$33:$AE$48,0))*$C39</f>
        <v>0</v>
      </c>
      <c r="X40" s="21">
        <f>INDEX(($EL$31:$EX$34,$FA$31:$FM$34,$EL$37:$EX$40,$EL$43:$EX$46,$FA$37:$FM$40,$FA$43:$FM$46,$FP$31:$GB$34,$FP$37:$GB$40,$FP$43:$GB$46,$GE$31:$GQ$34,$GE$37:$GQ$40,$GE$43:$GQ$46,$GT$31:$HF$34,$GT$37:$HF$40),MATCH($L$46,$EK$31:$EK$34,0),MATCH($A39,$EL$30:$EX$30,0),MATCH($E$35,$AE$33:$AE$48,0))*$C39</f>
        <v>0</v>
      </c>
      <c r="Y40" s="21">
        <f>INDEX(($EL$31:$EX$34,$FA$31:$FM$34,$EL$37:$EX$40,$EL$43:$EX$46,$FA$37:$FM$40,$FA$43:$FM$46,$FP$31:$GB$34,$FP$37:$GB$40,$FP$43:$GB$46,$GE$31:$GQ$34,$GE$37:$GQ$40,$GE$43:$GQ$46,$GT$31:$HF$34,$GT$37:$HF$40),MATCH($L$47,$EK$31:$EK$34,0),MATCH($A39,$EL$30:$EX$30,0),MATCH($E$35,$AE$33:$AE$48,0))*$C39</f>
        <v>0</v>
      </c>
      <c r="Z40" s="21">
        <f>INDEX(($EL$31:$EX$34,$FA$31:$FM$34,$EL$37:$EX$40,$EL$43:$EX$46,$FA$37:$FM$40,$FA$43:$FM$46,$FP$31:$GB$34,$FP$37:$GB$40,$FP$43:$GB$46,$GE$31:$GQ$34,$GE$37:$GQ$40,$GE$43:$GQ$46,$GT$31:$HF$34,$GT$37:$HF$40),MATCH($L$48,$EK$31:$EK$34,0),MATCH($A39,$EL$30:$EX$30,0),MATCH($E$35,$AE$33:$AE$48,0))*$C39</f>
        <v>0</v>
      </c>
      <c r="AA40" s="21">
        <f t="shared" si="62"/>
        <v>0</v>
      </c>
      <c r="AB40" s="21">
        <f t="shared" si="63"/>
        <v>0</v>
      </c>
      <c r="AC40" s="21"/>
      <c r="AD40" s="21"/>
      <c r="AE40" s="189" t="s">
        <v>113</v>
      </c>
      <c r="AF40" s="21">
        <v>2000</v>
      </c>
      <c r="AG40" s="21"/>
      <c r="AH40" s="21"/>
      <c r="AI40" s="21"/>
      <c r="AJ40" s="21"/>
      <c r="AK40" s="21"/>
      <c r="AL40" s="21"/>
      <c r="AM40" s="21"/>
      <c r="AN40" s="21"/>
      <c r="AO40" s="21"/>
      <c r="AP40" s="21"/>
      <c r="AQ40" s="21"/>
      <c r="AR40" s="21" t="s">
        <v>115</v>
      </c>
      <c r="AS40" s="21" t="s">
        <v>592</v>
      </c>
      <c r="AT40" s="21" t="s">
        <v>151</v>
      </c>
      <c r="AU40" s="21" t="s">
        <v>151</v>
      </c>
      <c r="AV40" s="21" t="s">
        <v>151</v>
      </c>
      <c r="AW40" s="21"/>
      <c r="AX40" s="21"/>
      <c r="AY40" s="21"/>
      <c r="AZ40" s="21"/>
      <c r="BA40" s="21"/>
      <c r="BB40" s="21"/>
      <c r="BC40" s="21"/>
      <c r="BD40" s="21"/>
      <c r="BE40" s="21"/>
      <c r="BF40" s="21"/>
      <c r="BG40" s="189">
        <f t="shared" si="50"/>
        <v>1</v>
      </c>
      <c r="BH40" s="20" t="s">
        <v>779</v>
      </c>
      <c r="BI40" s="20">
        <v>0</v>
      </c>
      <c r="BJ40" s="21">
        <f t="shared" si="80"/>
        <v>0</v>
      </c>
      <c r="BK40" s="21">
        <f t="shared" si="80"/>
        <v>0</v>
      </c>
      <c r="BL40" s="21">
        <f t="shared" si="80"/>
        <v>0</v>
      </c>
      <c r="BM40" s="21">
        <f t="shared" si="80"/>
        <v>6</v>
      </c>
      <c r="BN40" s="21">
        <f t="shared" si="80"/>
        <v>6</v>
      </c>
      <c r="BO40" s="21">
        <f t="shared" si="80"/>
        <v>12</v>
      </c>
      <c r="BP40" s="21">
        <f t="shared" si="80"/>
        <v>6</v>
      </c>
      <c r="BQ40" s="21">
        <f t="shared" si="80"/>
        <v>12</v>
      </c>
      <c r="BR40" s="21">
        <f t="shared" si="80"/>
        <v>12</v>
      </c>
      <c r="BS40" s="21">
        <f t="shared" si="80"/>
        <v>18</v>
      </c>
      <c r="BT40" s="21">
        <f t="shared" si="80"/>
        <v>18</v>
      </c>
      <c r="BU40" s="21">
        <f t="shared" si="80"/>
        <v>18</v>
      </c>
      <c r="BV40" s="21"/>
      <c r="BW40" s="20" t="s">
        <v>779</v>
      </c>
      <c r="BX40" s="21">
        <v>0</v>
      </c>
      <c r="BY40" s="21">
        <f t="shared" si="71"/>
        <v>0</v>
      </c>
      <c r="BZ40" s="21">
        <f t="shared" si="71"/>
        <v>0</v>
      </c>
      <c r="CA40" s="21">
        <f t="shared" si="71"/>
        <v>6</v>
      </c>
      <c r="CB40" s="21">
        <f t="shared" si="71"/>
        <v>6</v>
      </c>
      <c r="CC40" s="21">
        <f t="shared" si="71"/>
        <v>12</v>
      </c>
      <c r="CD40" s="21">
        <f t="shared" si="71"/>
        <v>6</v>
      </c>
      <c r="CE40" s="21">
        <f t="shared" si="71"/>
        <v>12</v>
      </c>
      <c r="CF40" s="21">
        <f t="shared" si="71"/>
        <v>12</v>
      </c>
      <c r="CG40" s="21">
        <f t="shared" si="71"/>
        <v>18</v>
      </c>
      <c r="CH40" s="21">
        <f t="shared" si="71"/>
        <v>18</v>
      </c>
      <c r="CI40" s="21">
        <f t="shared" si="71"/>
        <v>18</v>
      </c>
      <c r="CJ40" s="21">
        <f t="shared" si="71"/>
        <v>18</v>
      </c>
      <c r="CK40" s="21"/>
      <c r="CL40" s="21"/>
      <c r="CM40" s="21"/>
      <c r="CN40" s="20" t="s">
        <v>779</v>
      </c>
      <c r="CO40" s="20">
        <v>0</v>
      </c>
      <c r="CP40" s="21">
        <f t="shared" si="72"/>
        <v>0</v>
      </c>
      <c r="CQ40" s="21">
        <f t="shared" si="72"/>
        <v>0</v>
      </c>
      <c r="CR40" s="21">
        <f t="shared" si="72"/>
        <v>6</v>
      </c>
      <c r="CS40" s="21">
        <f t="shared" si="72"/>
        <v>6</v>
      </c>
      <c r="CT40" s="21">
        <f t="shared" si="72"/>
        <v>12</v>
      </c>
      <c r="CU40" s="21">
        <f t="shared" si="72"/>
        <v>12</v>
      </c>
      <c r="CV40" s="21">
        <f t="shared" si="72"/>
        <v>12</v>
      </c>
      <c r="CW40" s="21">
        <f t="shared" si="72"/>
        <v>12</v>
      </c>
      <c r="CX40" s="21">
        <f t="shared" si="72"/>
        <v>18</v>
      </c>
      <c r="CY40" s="21">
        <f t="shared" si="72"/>
        <v>18</v>
      </c>
      <c r="CZ40" s="21">
        <f t="shared" si="72"/>
        <v>18</v>
      </c>
      <c r="DA40" s="21">
        <f t="shared" si="72"/>
        <v>18</v>
      </c>
      <c r="DB40" s="21"/>
      <c r="DC40" s="20" t="s">
        <v>779</v>
      </c>
      <c r="DD40" s="21">
        <v>0</v>
      </c>
      <c r="DE40" s="21">
        <f t="shared" si="81"/>
        <v>0</v>
      </c>
      <c r="DF40" s="21">
        <f t="shared" si="81"/>
        <v>0</v>
      </c>
      <c r="DG40" s="21">
        <f t="shared" si="81"/>
        <v>6</v>
      </c>
      <c r="DH40" s="21">
        <f t="shared" si="81"/>
        <v>6</v>
      </c>
      <c r="DI40" s="21">
        <f t="shared" si="81"/>
        <v>6</v>
      </c>
      <c r="DJ40" s="21">
        <f t="shared" si="81"/>
        <v>12</v>
      </c>
      <c r="DK40" s="21">
        <f t="shared" si="81"/>
        <v>12</v>
      </c>
      <c r="DL40" s="21">
        <f t="shared" si="81"/>
        <v>12</v>
      </c>
      <c r="DM40" s="21">
        <f t="shared" si="81"/>
        <v>18</v>
      </c>
      <c r="DN40" s="21">
        <f t="shared" si="81"/>
        <v>18</v>
      </c>
      <c r="DO40" s="21">
        <f t="shared" si="81"/>
        <v>18</v>
      </c>
      <c r="DP40" s="21">
        <f t="shared" si="81"/>
        <v>24</v>
      </c>
      <c r="DQ40" s="87"/>
      <c r="DR40" s="87">
        <v>60</v>
      </c>
      <c r="DS40" s="87"/>
      <c r="DT40" s="20" t="s">
        <v>779</v>
      </c>
      <c r="DU40" s="21">
        <v>0</v>
      </c>
      <c r="DV40" s="21">
        <f t="shared" si="82"/>
        <v>0</v>
      </c>
      <c r="DW40" s="21">
        <f t="shared" si="82"/>
        <v>0</v>
      </c>
      <c r="DX40" s="21">
        <f t="shared" si="82"/>
        <v>6</v>
      </c>
      <c r="DY40" s="21">
        <f t="shared" si="82"/>
        <v>12</v>
      </c>
      <c r="DZ40" s="21">
        <f t="shared" si="82"/>
        <v>6</v>
      </c>
      <c r="EA40" s="21">
        <f t="shared" si="82"/>
        <v>12</v>
      </c>
      <c r="EB40" s="21">
        <f t="shared" si="82"/>
        <v>18</v>
      </c>
      <c r="EC40" s="21">
        <f t="shared" si="82"/>
        <v>18</v>
      </c>
      <c r="ED40" s="21">
        <f t="shared" si="82"/>
        <v>18</v>
      </c>
      <c r="EE40" s="21">
        <f t="shared" si="82"/>
        <v>24</v>
      </c>
      <c r="EF40" s="21">
        <f t="shared" si="82"/>
        <v>24</v>
      </c>
      <c r="EG40" s="21">
        <f t="shared" si="82"/>
        <v>24</v>
      </c>
      <c r="EH40" s="21"/>
      <c r="EI40" s="21"/>
      <c r="EJ40" s="196"/>
      <c r="EK40" s="20" t="s">
        <v>779</v>
      </c>
      <c r="EL40" s="21">
        <v>0</v>
      </c>
      <c r="EM40" s="21">
        <f t="shared" si="75"/>
        <v>0</v>
      </c>
      <c r="EN40" s="21">
        <f t="shared" si="75"/>
        <v>0</v>
      </c>
      <c r="EO40" s="21">
        <f t="shared" si="75"/>
        <v>0</v>
      </c>
      <c r="EP40" s="21">
        <f t="shared" si="75"/>
        <v>6</v>
      </c>
      <c r="EQ40" s="21">
        <f t="shared" si="75"/>
        <v>12</v>
      </c>
      <c r="ER40" s="21">
        <f t="shared" si="75"/>
        <v>12</v>
      </c>
      <c r="ES40" s="21">
        <f t="shared" si="75"/>
        <v>18</v>
      </c>
      <c r="ET40" s="21">
        <f t="shared" si="75"/>
        <v>18</v>
      </c>
      <c r="EU40" s="21">
        <f t="shared" si="75"/>
        <v>24</v>
      </c>
      <c r="EV40" s="21">
        <f t="shared" si="75"/>
        <v>24</v>
      </c>
      <c r="EW40" s="21">
        <f t="shared" si="75"/>
        <v>30</v>
      </c>
      <c r="EX40" s="21">
        <f t="shared" si="75"/>
        <v>30</v>
      </c>
      <c r="EY40" s="21"/>
      <c r="EZ40" s="20" t="s">
        <v>779</v>
      </c>
      <c r="FA40" s="21">
        <v>0</v>
      </c>
      <c r="FB40" s="21">
        <f t="shared" si="76"/>
        <v>0</v>
      </c>
      <c r="FC40" s="21">
        <f t="shared" si="76"/>
        <v>0</v>
      </c>
      <c r="FD40" s="21">
        <f t="shared" si="76"/>
        <v>6</v>
      </c>
      <c r="FE40" s="21">
        <f t="shared" si="76"/>
        <v>6</v>
      </c>
      <c r="FF40" s="21">
        <f t="shared" si="76"/>
        <v>12</v>
      </c>
      <c r="FG40" s="21">
        <f t="shared" si="76"/>
        <v>18</v>
      </c>
      <c r="FH40" s="21">
        <f t="shared" si="76"/>
        <v>18</v>
      </c>
      <c r="FI40" s="21">
        <f t="shared" si="76"/>
        <v>24</v>
      </c>
      <c r="FJ40" s="21">
        <f t="shared" si="76"/>
        <v>24</v>
      </c>
      <c r="FK40" s="21">
        <f t="shared" si="76"/>
        <v>30</v>
      </c>
      <c r="FL40" s="21">
        <f t="shared" si="76"/>
        <v>30</v>
      </c>
      <c r="FM40" s="21">
        <f t="shared" si="76"/>
        <v>36</v>
      </c>
      <c r="FN40" s="21"/>
      <c r="FO40" s="20" t="s">
        <v>779</v>
      </c>
      <c r="FP40" s="21">
        <v>0</v>
      </c>
      <c r="FQ40" s="21">
        <f t="shared" si="77"/>
        <v>0</v>
      </c>
      <c r="FR40" s="21">
        <f t="shared" si="77"/>
        <v>0</v>
      </c>
      <c r="FS40" s="21">
        <f t="shared" si="77"/>
        <v>6</v>
      </c>
      <c r="FT40" s="21">
        <f t="shared" si="77"/>
        <v>12</v>
      </c>
      <c r="FU40" s="21">
        <f t="shared" si="77"/>
        <v>12</v>
      </c>
      <c r="FV40" s="21">
        <f t="shared" si="77"/>
        <v>18</v>
      </c>
      <c r="FW40" s="21">
        <f t="shared" si="77"/>
        <v>24</v>
      </c>
      <c r="FX40" s="21">
        <f t="shared" si="77"/>
        <v>24</v>
      </c>
      <c r="FY40" s="21">
        <f t="shared" si="77"/>
        <v>30</v>
      </c>
      <c r="FZ40" s="21">
        <f t="shared" si="77"/>
        <v>30</v>
      </c>
      <c r="GA40" s="21">
        <f t="shared" si="77"/>
        <v>36</v>
      </c>
      <c r="GB40" s="21">
        <f t="shared" si="77"/>
        <v>42</v>
      </c>
      <c r="GC40" s="21"/>
      <c r="GD40" s="20" t="s">
        <v>779</v>
      </c>
      <c r="GE40" s="21">
        <v>0</v>
      </c>
      <c r="GF40" s="21">
        <f t="shared" si="78"/>
        <v>0</v>
      </c>
      <c r="GG40" s="21">
        <f t="shared" si="78"/>
        <v>0</v>
      </c>
      <c r="GH40" s="21">
        <f t="shared" si="78"/>
        <v>6</v>
      </c>
      <c r="GI40" s="21">
        <f t="shared" si="78"/>
        <v>12</v>
      </c>
      <c r="GJ40" s="21">
        <f t="shared" si="78"/>
        <v>18</v>
      </c>
      <c r="GK40" s="21">
        <f t="shared" si="78"/>
        <v>18</v>
      </c>
      <c r="GL40" s="21">
        <f t="shared" si="78"/>
        <v>24</v>
      </c>
      <c r="GM40" s="21">
        <f t="shared" si="78"/>
        <v>30</v>
      </c>
      <c r="GN40" s="21">
        <f t="shared" si="78"/>
        <v>30</v>
      </c>
      <c r="GO40" s="21">
        <f t="shared" si="78"/>
        <v>36</v>
      </c>
      <c r="GP40" s="21">
        <f t="shared" si="78"/>
        <v>42</v>
      </c>
      <c r="GQ40" s="21">
        <f t="shared" si="78"/>
        <v>42</v>
      </c>
      <c r="GR40" s="21"/>
      <c r="GS40" s="20" t="s">
        <v>779</v>
      </c>
      <c r="GT40" s="21">
        <v>0</v>
      </c>
      <c r="GU40" s="21">
        <f t="shared" si="79"/>
        <v>0</v>
      </c>
      <c r="GV40" s="21">
        <f t="shared" si="79"/>
        <v>0</v>
      </c>
      <c r="GW40" s="21">
        <f t="shared" si="79"/>
        <v>6</v>
      </c>
      <c r="GX40" s="21">
        <f t="shared" si="79"/>
        <v>12</v>
      </c>
      <c r="GY40" s="21">
        <f t="shared" si="79"/>
        <v>18</v>
      </c>
      <c r="GZ40" s="21">
        <f t="shared" si="79"/>
        <v>24</v>
      </c>
      <c r="HA40" s="21">
        <f t="shared" si="79"/>
        <v>24</v>
      </c>
      <c r="HB40" s="21">
        <f t="shared" si="79"/>
        <v>30</v>
      </c>
      <c r="HC40" s="21">
        <f t="shared" si="79"/>
        <v>36</v>
      </c>
      <c r="HD40" s="21">
        <f t="shared" si="79"/>
        <v>36</v>
      </c>
      <c r="HE40" s="21">
        <f t="shared" si="79"/>
        <v>42</v>
      </c>
      <c r="HF40" s="21">
        <f t="shared" si="79"/>
        <v>48</v>
      </c>
      <c r="HG40" s="197"/>
      <c r="HH40" s="21"/>
    </row>
    <row r="41" spans="1:216" x14ac:dyDescent="0.25">
      <c r="A41" s="8"/>
      <c r="B41" s="5" t="s">
        <v>116</v>
      </c>
      <c r="C41" s="8"/>
      <c r="D41" s="6" t="s">
        <v>511</v>
      </c>
      <c r="E41" s="4"/>
      <c r="F41" s="6"/>
      <c r="G41" s="6"/>
      <c r="H41" s="6"/>
      <c r="I41" s="6"/>
      <c r="J41" s="1"/>
      <c r="K41" s="9"/>
      <c r="L41" s="6" t="str">
        <f>IF(G35=AE24,"BDFCH120/5,4NMC",IF(G35=AE25,"BDFCH120/5,4NMC",IF(G35=AE26,"BDFTH120/6NMC",IF(G35=AE27,"BDFTH120/6NMC",0))))</f>
        <v>BDFCH120/5,4NMC</v>
      </c>
      <c r="M41" s="11">
        <f>INDEX(cennik!$C$2:$L$529,MATCH($L41,cennik!$B$2:$B$522,0),MATCH(M$2,cennik!$C$1:$L$1,0))</f>
        <v>863354</v>
      </c>
      <c r="N41" s="11" t="str">
        <f>INDEX(cennik!$C$2:$L$529,MATCH($L41,cennik!$B$2:$B$522,0),MATCH(N$2,cennik!$C$1:$L$1,0))</f>
        <v>szt.</v>
      </c>
      <c r="O41" s="11">
        <f>O37</f>
        <v>0</v>
      </c>
      <c r="P41" s="34">
        <f>INDEX(cennik!$C$2:$L$529,MATCH($L41,cennik!$B$2:$B$522,0),MATCH(P$2,cennik!$C$1:$L$1,0))</f>
        <v>222.13</v>
      </c>
      <c r="Q41" s="34">
        <f t="shared" si="68"/>
        <v>0</v>
      </c>
      <c r="R41" s="35">
        <f t="shared" si="66"/>
        <v>0</v>
      </c>
      <c r="S41" s="34">
        <f t="shared" si="67"/>
        <v>222.13</v>
      </c>
      <c r="T41" s="34">
        <f t="shared" si="69"/>
        <v>0</v>
      </c>
      <c r="U41" s="34">
        <f>INDEX(cennik!$C$2:$L$529,MATCH($L41,cennik!$B$2:$B$522,0),MATCH(U$2,cennik!$C$1:$L$1,0))*O41</f>
        <v>0</v>
      </c>
      <c r="V41" s="25"/>
      <c r="W41" s="21">
        <f>INDEX(($EL$31:$EX$34,$FA$31:$FM$34,$EL$37:$EX$40,$EL$43:$EX$46,$FA$37:$FM$40,$FA$43:$FM$46,$FP$31:$GB$34,$FP$37:$GB$40,$FP$43:$GB$46,$GE$31:$GQ$34,$GE$37:$GQ$40,$GE$43:$GQ$46,$GT$31:$HF$34,$GT$37:$HF$40),MATCH($L$49,$EK$31:$EK$34,0),MATCH($A40,$EL$30:$EX$30,0),MATCH($E$35,$AE$33:$AE$48,0))*$C40</f>
        <v>0</v>
      </c>
      <c r="X41" s="21">
        <f>INDEX(($EL$31:$EX$34,$FA$31:$FM$34,$EL$37:$EX$40,$EL$43:$EX$46,$FA$37:$FM$40,$FA$43:$FM$46,$FP$31:$GB$34,$FP$37:$GB$40,$FP$43:$GB$46,$GE$31:$GQ$34,$GE$37:$GQ$40,$GE$43:$GQ$46,$GT$31:$HF$34,$GT$37:$HF$40),MATCH($L$46,$EK$31:$EK$34,0),MATCH($A40,$EL$30:$EX$30,0),MATCH($E$35,$AE$33:$AE$48,0))*$C40</f>
        <v>0</v>
      </c>
      <c r="Y41" s="21">
        <f>INDEX(($EL$31:$EX$34,$FA$31:$FM$34,$EL$37:$EX$40,$EL$43:$EX$46,$FA$37:$FM$40,$FA$43:$FM$46,$FP$31:$GB$34,$FP$37:$GB$40,$FP$43:$GB$46,$GE$31:$GQ$34,$GE$37:$GQ$40,$GE$43:$GQ$46,$GT$31:$HF$34,$GT$37:$HF$40),MATCH($L$47,$EK$31:$EK$34,0),MATCH($A40,$EL$30:$EX$30,0),MATCH($E$35,$AE$33:$AE$48,0))*$C40</f>
        <v>0</v>
      </c>
      <c r="Z41" s="21">
        <f>INDEX(($EL$31:$EX$34,$FA$31:$FM$34,$EL$37:$EX$40,$EL$43:$EX$46,$FA$37:$FM$40,$FA$43:$FM$46,$FP$31:$GB$34,$FP$37:$GB$40,$FP$43:$GB$46,$GE$31:$GQ$34,$GE$37:$GQ$40,$GE$43:$GQ$46,$GT$31:$HF$34,$GT$37:$HF$40),MATCH($L$48,$EK$31:$EK$34,0),MATCH($A40,$EL$30:$EX$30,0),MATCH($E$35,$AE$33:$AE$48,0))*$C40</f>
        <v>0</v>
      </c>
      <c r="AA41" s="21">
        <f t="shared" si="62"/>
        <v>0</v>
      </c>
      <c r="AB41" s="21">
        <f t="shared" si="63"/>
        <v>0</v>
      </c>
      <c r="AC41" s="21"/>
      <c r="AD41" s="21"/>
      <c r="AE41" s="189" t="s">
        <v>137</v>
      </c>
      <c r="AF41" s="21">
        <v>2050</v>
      </c>
      <c r="AG41" s="21"/>
      <c r="AH41" s="21"/>
      <c r="AI41" s="21"/>
      <c r="AJ41" s="21"/>
      <c r="AK41" s="21"/>
      <c r="AL41" s="21"/>
      <c r="AM41" s="21"/>
      <c r="AN41" s="21"/>
      <c r="AO41" s="21"/>
      <c r="AP41" s="21"/>
      <c r="AQ41" s="21"/>
      <c r="AR41" s="21" t="s">
        <v>474</v>
      </c>
      <c r="AS41" s="21" t="s">
        <v>592</v>
      </c>
      <c r="AT41" s="21" t="s">
        <v>151</v>
      </c>
      <c r="AU41" s="21" t="s">
        <v>151</v>
      </c>
      <c r="AV41" s="21" t="s">
        <v>151</v>
      </c>
      <c r="AW41" s="21"/>
      <c r="AX41" s="21"/>
      <c r="AY41" s="21"/>
      <c r="AZ41" s="21"/>
      <c r="BA41" s="21"/>
      <c r="BB41" s="21"/>
      <c r="BC41" s="21"/>
      <c r="BD41" s="21"/>
      <c r="BE41" s="21"/>
      <c r="BF41" s="21"/>
      <c r="BG41" s="189">
        <f t="shared" si="50"/>
        <v>1</v>
      </c>
      <c r="BH41" s="21"/>
      <c r="BI41" s="21"/>
      <c r="BJ41" s="21"/>
      <c r="BK41" s="21"/>
      <c r="BL41" s="21"/>
      <c r="BM41" s="21"/>
      <c r="BN41" s="21"/>
      <c r="BO41" s="21"/>
      <c r="BP41" s="21"/>
      <c r="BQ41" s="21"/>
      <c r="BR41" s="21"/>
      <c r="BS41" s="21"/>
      <c r="BT41" s="21"/>
      <c r="BU41" s="21"/>
      <c r="BV41" s="21"/>
      <c r="BW41" s="21"/>
      <c r="BX41" s="21"/>
      <c r="BY41" s="21"/>
      <c r="BZ41" s="21"/>
      <c r="CA41" s="21"/>
      <c r="CB41" s="21"/>
      <c r="CC41" s="21"/>
      <c r="CD41" s="21"/>
      <c r="CE41" s="21"/>
      <c r="CF41" s="21"/>
      <c r="CG41" s="21"/>
      <c r="CH41" s="21"/>
      <c r="CI41" s="21"/>
      <c r="CJ41" s="21"/>
      <c r="CK41" s="21"/>
      <c r="CL41" s="21"/>
      <c r="CM41" s="21"/>
      <c r="CN41" s="21"/>
      <c r="CO41" s="21"/>
      <c r="CP41" s="21"/>
      <c r="CQ41" s="21"/>
      <c r="CR41" s="21"/>
      <c r="CS41" s="21"/>
      <c r="CT41" s="21"/>
      <c r="CU41" s="21"/>
      <c r="CV41" s="21"/>
      <c r="CW41" s="21"/>
      <c r="CX41" s="21"/>
      <c r="CY41" s="21"/>
      <c r="CZ41" s="21"/>
      <c r="DA41" s="21"/>
      <c r="DB41" s="21"/>
      <c r="DC41" s="21"/>
      <c r="DD41" s="21"/>
      <c r="DE41" s="21"/>
      <c r="DF41" s="21"/>
      <c r="DG41" s="21"/>
      <c r="DH41" s="21"/>
      <c r="DI41" s="21"/>
      <c r="DJ41" s="21"/>
      <c r="DK41" s="21"/>
      <c r="DL41" s="21"/>
      <c r="DM41" s="21"/>
      <c r="DN41" s="21"/>
      <c r="DO41" s="21"/>
      <c r="DP41" s="21"/>
      <c r="DQ41" s="87"/>
      <c r="DR41" s="87">
        <v>65</v>
      </c>
      <c r="DS41" s="87"/>
      <c r="DT41" s="21"/>
      <c r="DU41" s="21"/>
      <c r="DV41" s="21"/>
      <c r="DW41" s="21"/>
      <c r="DX41" s="21"/>
      <c r="DY41" s="21"/>
      <c r="DZ41" s="21"/>
      <c r="EA41" s="21"/>
      <c r="EB41" s="21"/>
      <c r="EC41" s="21"/>
      <c r="ED41" s="21"/>
      <c r="EE41" s="21"/>
      <c r="EF41" s="21"/>
      <c r="EG41" s="21"/>
      <c r="EH41" s="21"/>
      <c r="EI41" s="21"/>
      <c r="EJ41" s="196"/>
      <c r="EK41" s="21"/>
      <c r="EL41" s="21"/>
      <c r="EM41" s="21"/>
      <c r="EN41" s="21"/>
      <c r="EO41" s="21"/>
      <c r="EP41" s="21"/>
      <c r="EQ41" s="21"/>
      <c r="ER41" s="21"/>
      <c r="ES41" s="21"/>
      <c r="ET41" s="21"/>
      <c r="EU41" s="21"/>
      <c r="EV41" s="21"/>
      <c r="EW41" s="21"/>
      <c r="EX41" s="21"/>
      <c r="EY41" s="21"/>
      <c r="EZ41" s="21"/>
      <c r="FA41" s="21"/>
      <c r="FB41" s="21"/>
      <c r="FC41" s="21"/>
      <c r="FD41" s="21"/>
      <c r="FE41" s="21"/>
      <c r="FF41" s="21"/>
      <c r="FG41" s="21"/>
      <c r="FH41" s="21"/>
      <c r="FI41" s="21"/>
      <c r="FJ41" s="21"/>
      <c r="FK41" s="21"/>
      <c r="FL41" s="21"/>
      <c r="FM41" s="21"/>
      <c r="FN41" s="21"/>
      <c r="FO41" s="21"/>
      <c r="FP41" s="21"/>
      <c r="FQ41" s="21"/>
      <c r="FR41" s="21"/>
      <c r="FS41" s="21"/>
      <c r="FT41" s="21"/>
      <c r="FU41" s="21"/>
      <c r="FV41" s="21"/>
      <c r="FW41" s="21"/>
      <c r="FX41" s="21"/>
      <c r="FY41" s="21"/>
      <c r="FZ41" s="21"/>
      <c r="GA41" s="21"/>
      <c r="GB41" s="21"/>
      <c r="GC41" s="21"/>
      <c r="GD41" s="21"/>
      <c r="GE41" s="21"/>
      <c r="GF41" s="21"/>
      <c r="GG41" s="21"/>
      <c r="GH41" s="21"/>
      <c r="GI41" s="21"/>
      <c r="GJ41" s="21"/>
      <c r="GK41" s="21"/>
      <c r="GL41" s="21"/>
      <c r="GM41" s="21"/>
      <c r="GN41" s="21"/>
      <c r="GO41" s="21"/>
      <c r="GP41" s="21"/>
      <c r="GQ41" s="21"/>
      <c r="GR41" s="21"/>
      <c r="GS41" s="21"/>
      <c r="GT41" s="21"/>
      <c r="GU41" s="21"/>
      <c r="GV41" s="21"/>
      <c r="GW41" s="21"/>
      <c r="GX41" s="21"/>
      <c r="GY41" s="21"/>
      <c r="GZ41" s="21"/>
      <c r="HA41" s="21"/>
      <c r="HB41" s="21"/>
      <c r="HC41" s="21"/>
      <c r="HD41" s="21"/>
      <c r="HE41" s="21"/>
      <c r="HF41" s="21"/>
      <c r="HG41" s="197"/>
      <c r="HH41" s="21"/>
    </row>
    <row r="42" spans="1:216" x14ac:dyDescent="0.25">
      <c r="A42" s="8"/>
      <c r="B42" s="5" t="s">
        <v>116</v>
      </c>
      <c r="C42" s="8"/>
      <c r="D42" s="6" t="s">
        <v>787</v>
      </c>
      <c r="E42" s="8">
        <v>1</v>
      </c>
      <c r="F42" s="39" t="s">
        <v>789</v>
      </c>
      <c r="G42" s="9"/>
      <c r="H42" s="9"/>
      <c r="I42" s="9"/>
      <c r="J42" s="9"/>
      <c r="K42" s="9"/>
      <c r="L42" s="6" t="str">
        <f>IF(L41="BDFCH120/5,4NMC","CMP41H41/1,7MC",IF(L41="BDFTH120/6NMC","CMP41H41/1,7MC",IF(L41="BDFTH120/6,8NMC","CMP41H41/2,2MC",0)))</f>
        <v>CMP41H41/1,7MC</v>
      </c>
      <c r="M42" s="11">
        <f>INDEX(cennik!$C$2:$L$529,MATCH($L42,cennik!$B$2:$B$522,0),MATCH(M$2,cennik!$C$1:$L$1,0))</f>
        <v>851117</v>
      </c>
      <c r="N42" s="11" t="str">
        <f>INDEX(cennik!$C$2:$L$529,MATCH($L42,cennik!$B$2:$B$522,0),MATCH(N$2,cennik!$C$1:$L$1,0))</f>
        <v>szt.</v>
      </c>
      <c r="O42" s="11">
        <f>O37</f>
        <v>0</v>
      </c>
      <c r="P42" s="34">
        <f>INDEX(cennik!$C$2:$L$529,MATCH($L42,cennik!$B$2:$B$522,0),MATCH(P$2,cennik!$C$1:$L$1,0))</f>
        <v>35.700000000000003</v>
      </c>
      <c r="Q42" s="34">
        <f t="shared" si="68"/>
        <v>0</v>
      </c>
      <c r="R42" s="35">
        <f t="shared" si="66"/>
        <v>0</v>
      </c>
      <c r="S42" s="34">
        <f t="shared" si="67"/>
        <v>35.700000000000003</v>
      </c>
      <c r="T42" s="34">
        <f t="shared" si="69"/>
        <v>0</v>
      </c>
      <c r="U42" s="34">
        <f>INDEX(cennik!$C$2:$L$529,MATCH($L42,cennik!$B$2:$B$522,0),MATCH(U$2,cennik!$C$1:$L$1,0))*O42</f>
        <v>0</v>
      </c>
      <c r="V42" s="25"/>
      <c r="W42" s="21">
        <f>INDEX(($EL$31:$EX$34,$FA$31:$FM$34,$EL$37:$EX$40,$EL$43:$EX$46,$FA$37:$FM$40,$FA$43:$FM$46,$FP$31:$GB$34,$FP$37:$GB$40,$FP$43:$GB$46,$GE$31:$GQ$34,$GE$37:$GQ$40,$GE$43:$GQ$46,$GT$31:$HF$34,$GT$37:$HF$40),MATCH($L$49,$EK$31:$EK$34,0),MATCH($A41,$EL$30:$EX$30,0),MATCH($E$35,$AE$33:$AE$48,0))*$C41</f>
        <v>0</v>
      </c>
      <c r="X42" s="21">
        <f>INDEX(($EL$31:$EX$34,$FA$31:$FM$34,$EL$37:$EX$40,$EL$43:$EX$46,$FA$37:$FM$40,$FA$43:$FM$46,$FP$31:$GB$34,$FP$37:$GB$40,$FP$43:$GB$46,$GE$31:$GQ$34,$GE$37:$GQ$40,$GE$43:$GQ$46,$GT$31:$HF$34,$GT$37:$HF$40),MATCH($L$46,$EK$31:$EK$34,0),MATCH($A41,$EL$30:$EX$30,0),MATCH($E$35,$AE$33:$AE$48,0))*$C41</f>
        <v>0</v>
      </c>
      <c r="Y42" s="21">
        <f>INDEX(($EL$31:$EX$34,$FA$31:$FM$34,$EL$37:$EX$40,$EL$43:$EX$46,$FA$37:$FM$40,$FA$43:$FM$46,$FP$31:$GB$34,$FP$37:$GB$40,$FP$43:$GB$46,$GE$31:$GQ$34,$GE$37:$GQ$40,$GE$43:$GQ$46,$GT$31:$HF$34,$GT$37:$HF$40),MATCH($L$47,$EK$31:$EK$34,0),MATCH($A41,$EL$30:$EX$30,0),MATCH($E$35,$AE$33:$AE$48,0))*$C41</f>
        <v>0</v>
      </c>
      <c r="Z42" s="21">
        <f>INDEX(($EL$31:$EX$34,$FA$31:$FM$34,$EL$37:$EX$40,$EL$43:$EX$46,$FA$37:$FM$40,$FA$43:$FM$46,$FP$31:$GB$34,$FP$37:$GB$40,$FP$43:$GB$46,$GE$31:$GQ$34,$GE$37:$GQ$40,$GE$43:$GQ$46,$GT$31:$HF$34,$GT$37:$HF$40),MATCH($L$48,$EK$31:$EK$34,0),MATCH($A41,$EL$30:$EX$30,0),MATCH($E$35,$AE$33:$AE$48,0))*$C41</f>
        <v>0</v>
      </c>
      <c r="AA42" s="21">
        <f t="shared" si="62"/>
        <v>0</v>
      </c>
      <c r="AB42" s="21">
        <f t="shared" si="63"/>
        <v>0</v>
      </c>
      <c r="AC42" s="21"/>
      <c r="AD42" s="21"/>
      <c r="AE42" s="189" t="s">
        <v>138</v>
      </c>
      <c r="AF42" s="21">
        <v>2100</v>
      </c>
      <c r="AG42" s="21"/>
      <c r="AH42" s="21"/>
      <c r="AI42" s="21"/>
      <c r="AJ42" s="21"/>
      <c r="AK42" s="21"/>
      <c r="AL42" s="21"/>
      <c r="AM42" s="21"/>
      <c r="AN42" s="21"/>
      <c r="AO42" s="21"/>
      <c r="AP42" s="21"/>
      <c r="AQ42" s="21"/>
      <c r="AR42" s="21" t="s">
        <v>480</v>
      </c>
      <c r="AS42" s="21" t="s">
        <v>593</v>
      </c>
      <c r="AT42" s="21" t="s">
        <v>151</v>
      </c>
      <c r="AU42" s="21" t="s">
        <v>151</v>
      </c>
      <c r="AV42" s="21" t="s">
        <v>151</v>
      </c>
      <c r="AW42" s="21"/>
      <c r="AX42" s="21"/>
      <c r="AY42" s="21"/>
      <c r="AZ42" s="21"/>
      <c r="BA42" s="21"/>
      <c r="BB42" s="21"/>
      <c r="BC42" s="21"/>
      <c r="BD42" s="21"/>
      <c r="BE42" s="21"/>
      <c r="BF42" s="21"/>
      <c r="BG42" s="189">
        <f t="shared" si="50"/>
        <v>1</v>
      </c>
      <c r="BH42" s="21" t="s">
        <v>132</v>
      </c>
      <c r="BI42" s="21">
        <v>0</v>
      </c>
      <c r="BJ42" s="21">
        <v>10</v>
      </c>
      <c r="BK42" s="21">
        <v>15</v>
      </c>
      <c r="BL42" s="21">
        <v>20</v>
      </c>
      <c r="BM42" s="21">
        <v>25</v>
      </c>
      <c r="BN42" s="21">
        <v>30</v>
      </c>
      <c r="BO42" s="21">
        <v>35</v>
      </c>
      <c r="BP42" s="21">
        <v>40</v>
      </c>
      <c r="BQ42" s="21">
        <v>45</v>
      </c>
      <c r="BR42" s="21">
        <v>50</v>
      </c>
      <c r="BS42" s="21">
        <v>55</v>
      </c>
      <c r="BT42" s="21">
        <v>60</v>
      </c>
      <c r="BU42" s="21">
        <v>65</v>
      </c>
      <c r="BV42" s="21"/>
      <c r="BW42" s="21" t="s">
        <v>471</v>
      </c>
      <c r="BX42" s="21">
        <v>0</v>
      </c>
      <c r="BY42" s="21">
        <v>10</v>
      </c>
      <c r="BZ42" s="21">
        <v>15</v>
      </c>
      <c r="CA42" s="21">
        <v>20</v>
      </c>
      <c r="CB42" s="21">
        <v>25</v>
      </c>
      <c r="CC42" s="21">
        <v>30</v>
      </c>
      <c r="CD42" s="21">
        <v>35</v>
      </c>
      <c r="CE42" s="21">
        <v>40</v>
      </c>
      <c r="CF42" s="21">
        <v>45</v>
      </c>
      <c r="CG42" s="21">
        <v>50</v>
      </c>
      <c r="CH42" s="21">
        <v>55</v>
      </c>
      <c r="CI42" s="21">
        <v>60</v>
      </c>
      <c r="CJ42" s="21">
        <v>65</v>
      </c>
      <c r="CK42" s="21"/>
      <c r="CL42" s="21"/>
      <c r="CM42" s="21"/>
      <c r="CN42" s="21" t="s">
        <v>137</v>
      </c>
      <c r="CO42" s="21">
        <v>0</v>
      </c>
      <c r="CP42" s="21">
        <v>10</v>
      </c>
      <c r="CQ42" s="21">
        <v>15</v>
      </c>
      <c r="CR42" s="21">
        <v>20</v>
      </c>
      <c r="CS42" s="21">
        <v>25</v>
      </c>
      <c r="CT42" s="21">
        <v>30</v>
      </c>
      <c r="CU42" s="21">
        <v>35</v>
      </c>
      <c r="CV42" s="21">
        <v>40</v>
      </c>
      <c r="CW42" s="21">
        <v>45</v>
      </c>
      <c r="CX42" s="21">
        <v>50</v>
      </c>
      <c r="CY42" s="21">
        <v>55</v>
      </c>
      <c r="CZ42" s="21">
        <v>60</v>
      </c>
      <c r="DA42" s="21">
        <v>65</v>
      </c>
      <c r="DB42" s="21"/>
      <c r="DC42" s="21" t="s">
        <v>479</v>
      </c>
      <c r="DD42" s="21">
        <v>0</v>
      </c>
      <c r="DE42" s="21">
        <v>10</v>
      </c>
      <c r="DF42" s="21">
        <v>15</v>
      </c>
      <c r="DG42" s="21">
        <v>20</v>
      </c>
      <c r="DH42" s="21">
        <v>25</v>
      </c>
      <c r="DI42" s="21">
        <v>30</v>
      </c>
      <c r="DJ42" s="21">
        <v>35</v>
      </c>
      <c r="DK42" s="21">
        <v>40</v>
      </c>
      <c r="DL42" s="21">
        <v>45</v>
      </c>
      <c r="DM42" s="21">
        <v>50</v>
      </c>
      <c r="DN42" s="21">
        <v>55</v>
      </c>
      <c r="DO42" s="21">
        <v>60</v>
      </c>
      <c r="DP42" s="21">
        <v>65</v>
      </c>
      <c r="DQ42" s="87"/>
      <c r="DR42" s="87"/>
      <c r="DS42" s="87"/>
      <c r="DT42" s="21"/>
      <c r="DU42" s="21"/>
      <c r="DV42" s="21"/>
      <c r="DW42" s="21"/>
      <c r="DX42" s="21"/>
      <c r="DY42" s="21"/>
      <c r="DZ42" s="21"/>
      <c r="EA42" s="21"/>
      <c r="EB42" s="21"/>
      <c r="EC42" s="21"/>
      <c r="ED42" s="21"/>
      <c r="EE42" s="21"/>
      <c r="EF42" s="21"/>
      <c r="EG42" s="21"/>
      <c r="EH42" s="21"/>
      <c r="EI42" s="21"/>
      <c r="EJ42" s="196"/>
      <c r="EK42" s="21" t="s">
        <v>132</v>
      </c>
      <c r="EL42" s="21">
        <v>0</v>
      </c>
      <c r="EM42" s="21">
        <v>10</v>
      </c>
      <c r="EN42" s="21">
        <v>15</v>
      </c>
      <c r="EO42" s="21">
        <v>20</v>
      </c>
      <c r="EP42" s="21">
        <v>25</v>
      </c>
      <c r="EQ42" s="21">
        <v>30</v>
      </c>
      <c r="ER42" s="21">
        <v>35</v>
      </c>
      <c r="ES42" s="21">
        <v>40</v>
      </c>
      <c r="ET42" s="21">
        <v>45</v>
      </c>
      <c r="EU42" s="21">
        <v>50</v>
      </c>
      <c r="EV42" s="21">
        <v>55</v>
      </c>
      <c r="EW42" s="21">
        <v>60</v>
      </c>
      <c r="EX42" s="21">
        <v>65</v>
      </c>
      <c r="EY42" s="21"/>
      <c r="EZ42" s="21" t="s">
        <v>471</v>
      </c>
      <c r="FA42" s="21">
        <v>0</v>
      </c>
      <c r="FB42" s="21">
        <v>10</v>
      </c>
      <c r="FC42" s="21">
        <v>15</v>
      </c>
      <c r="FD42" s="21">
        <v>20</v>
      </c>
      <c r="FE42" s="21">
        <v>25</v>
      </c>
      <c r="FF42" s="21">
        <v>30</v>
      </c>
      <c r="FG42" s="21">
        <v>35</v>
      </c>
      <c r="FH42" s="21">
        <v>40</v>
      </c>
      <c r="FI42" s="21">
        <v>45</v>
      </c>
      <c r="FJ42" s="21">
        <v>50</v>
      </c>
      <c r="FK42" s="21">
        <v>55</v>
      </c>
      <c r="FL42" s="21">
        <v>60</v>
      </c>
      <c r="FM42" s="21">
        <v>65</v>
      </c>
      <c r="FN42" s="21"/>
      <c r="FO42" s="21" t="s">
        <v>137</v>
      </c>
      <c r="FP42" s="21">
        <v>0</v>
      </c>
      <c r="FQ42" s="21">
        <v>10</v>
      </c>
      <c r="FR42" s="21">
        <v>15</v>
      </c>
      <c r="FS42" s="21">
        <v>20</v>
      </c>
      <c r="FT42" s="21">
        <v>25</v>
      </c>
      <c r="FU42" s="21">
        <v>30</v>
      </c>
      <c r="FV42" s="21">
        <v>35</v>
      </c>
      <c r="FW42" s="21">
        <v>40</v>
      </c>
      <c r="FX42" s="21">
        <v>45</v>
      </c>
      <c r="FY42" s="21">
        <v>50</v>
      </c>
      <c r="FZ42" s="21">
        <v>55</v>
      </c>
      <c r="GA42" s="21">
        <v>60</v>
      </c>
      <c r="GB42" s="21">
        <v>65</v>
      </c>
      <c r="GC42" s="21"/>
      <c r="GD42" s="21" t="s">
        <v>479</v>
      </c>
      <c r="GE42" s="21">
        <v>0</v>
      </c>
      <c r="GF42" s="21">
        <v>10</v>
      </c>
      <c r="GG42" s="21">
        <v>15</v>
      </c>
      <c r="GH42" s="21">
        <v>20</v>
      </c>
      <c r="GI42" s="21">
        <v>25</v>
      </c>
      <c r="GJ42" s="21">
        <v>30</v>
      </c>
      <c r="GK42" s="21">
        <v>35</v>
      </c>
      <c r="GL42" s="21">
        <v>40</v>
      </c>
      <c r="GM42" s="21">
        <v>45</v>
      </c>
      <c r="GN42" s="21">
        <v>50</v>
      </c>
      <c r="GO42" s="21">
        <v>55</v>
      </c>
      <c r="GP42" s="21">
        <v>60</v>
      </c>
      <c r="GQ42" s="21">
        <v>65</v>
      </c>
      <c r="GR42" s="21"/>
      <c r="GS42" s="21"/>
      <c r="GT42" s="21"/>
      <c r="GU42" s="21"/>
      <c r="GV42" s="21"/>
      <c r="GW42" s="21"/>
      <c r="GX42" s="21"/>
      <c r="GY42" s="21"/>
      <c r="GZ42" s="21"/>
      <c r="HA42" s="21"/>
      <c r="HB42" s="21"/>
      <c r="HC42" s="21"/>
      <c r="HD42" s="21"/>
      <c r="HE42" s="21"/>
      <c r="HF42" s="21"/>
      <c r="HG42" s="197"/>
      <c r="HH42" s="21"/>
    </row>
    <row r="43" spans="1:216" x14ac:dyDescent="0.25">
      <c r="A43" s="8"/>
      <c r="B43" s="5" t="s">
        <v>116</v>
      </c>
      <c r="C43" s="8"/>
      <c r="D43" s="6" t="s">
        <v>788</v>
      </c>
      <c r="E43" s="8" t="s">
        <v>1157</v>
      </c>
      <c r="F43" s="39" t="s">
        <v>790</v>
      </c>
      <c r="G43" s="9"/>
      <c r="H43" s="9"/>
      <c r="I43" s="9"/>
      <c r="J43" s="9"/>
      <c r="K43" s="9"/>
      <c r="L43" s="6" t="str">
        <f>IF(L41="BDFCH120/5,4NMC","-------",IF(L41="BDFTH120/6NMC","CMP41H41/1,2MC",IF(L41="BDFTH120/6,8NMC","CMP41H41/1,2MC",0)))</f>
        <v>-------</v>
      </c>
      <c r="M43" s="11" t="str">
        <f>INDEX(cennik!$C$2:$L$529,MATCH($L43,cennik!$B$2:$B$522,0),MATCH(M$2,cennik!$C$1:$L$1,0))</f>
        <v>-------</v>
      </c>
      <c r="N43" s="11">
        <f>INDEX(cennik!$C$2:$L$529,MATCH($L43,cennik!$B$2:$B$522,0),MATCH(N$2,cennik!$C$1:$L$1,0))</f>
        <v>0</v>
      </c>
      <c r="O43" s="14">
        <f>IF(L41="BDFCH120/5,4NMC",0,IF(L41="BDFTH120/6NMC",O42,IF(L41="BDFTH120/6,8NMC",O42,0)))</f>
        <v>0</v>
      </c>
      <c r="P43" s="34">
        <f>INDEX(cennik!$C$2:$L$529,MATCH($L43,cennik!$B$2:$B$522,0),MATCH(P$2,cennik!$C$1:$L$1,0))</f>
        <v>0</v>
      </c>
      <c r="Q43" s="34">
        <f t="shared" si="68"/>
        <v>0</v>
      </c>
      <c r="R43" s="35">
        <f t="shared" si="66"/>
        <v>0</v>
      </c>
      <c r="S43" s="34">
        <f t="shared" si="67"/>
        <v>0</v>
      </c>
      <c r="T43" s="34">
        <f t="shared" si="69"/>
        <v>0</v>
      </c>
      <c r="U43" s="34">
        <f>INDEX(cennik!$C$2:$L$529,MATCH($L43,cennik!$B$2:$B$522,0),MATCH(U$2,cennik!$C$1:$L$1,0))*O43</f>
        <v>0</v>
      </c>
      <c r="V43" s="25"/>
      <c r="W43" s="21">
        <f>INDEX(($EL$31:$EX$34,$FA$31:$FM$34,$EL$37:$EX$40,$EL$43:$EX$46,$FA$37:$FM$40,$FA$43:$FM$46,$FP$31:$GB$34,$FP$37:$GB$40,$FP$43:$GB$46,$GE$31:$GQ$34,$GE$37:$GQ$40,$GE$43:$GQ$46,$GT$31:$HF$34,$GT$37:$HF$40),MATCH($L$49,$EK$31:$EK$34,0),MATCH($A42,$EL$30:$EX$30,0),MATCH($E$35,$AE$33:$AE$48,0))*$C42</f>
        <v>0</v>
      </c>
      <c r="X43" s="21">
        <f>INDEX(($EL$31:$EX$34,$FA$31:$FM$34,$EL$37:$EX$40,$EL$43:$EX$46,$FA$37:$FM$40,$FA$43:$FM$46,$FP$31:$GB$34,$FP$37:$GB$40,$FP$43:$GB$46,$GE$31:$GQ$34,$GE$37:$GQ$40,$GE$43:$GQ$46,$GT$31:$HF$34,$GT$37:$HF$40),MATCH($L$46,$EK$31:$EK$34,0),MATCH($A42,$EL$30:$EX$30,0),MATCH($E$35,$AE$33:$AE$48,0))*$C42</f>
        <v>0</v>
      </c>
      <c r="Y43" s="21">
        <f>INDEX(($EL$31:$EX$34,$FA$31:$FM$34,$EL$37:$EX$40,$EL$43:$EX$46,$FA$37:$FM$40,$FA$43:$FM$46,$FP$31:$GB$34,$FP$37:$GB$40,$FP$43:$GB$46,$GE$31:$GQ$34,$GE$37:$GQ$40,$GE$43:$GQ$46,$GT$31:$HF$34,$GT$37:$HF$40),MATCH($L$47,$EK$31:$EK$34,0),MATCH($A42,$EL$30:$EX$30,0),MATCH($E$35,$AE$33:$AE$48,0))*$C42</f>
        <v>0</v>
      </c>
      <c r="Z43" s="21">
        <f>INDEX(($EL$31:$EX$34,$FA$31:$FM$34,$EL$37:$EX$40,$EL$43:$EX$46,$FA$37:$FM$40,$FA$43:$FM$46,$FP$31:$GB$34,$FP$37:$GB$40,$FP$43:$GB$46,$GE$31:$GQ$34,$GE$37:$GQ$40,$GE$43:$GQ$46,$GT$31:$HF$34,$GT$37:$HF$40),MATCH($L$48,$EK$31:$EK$34,0),MATCH($A42,$EL$30:$EX$30,0),MATCH($E$35,$AE$33:$AE$48,0))*$C42</f>
        <v>0</v>
      </c>
      <c r="AA43" s="21">
        <f t="shared" si="62"/>
        <v>0</v>
      </c>
      <c r="AB43" s="21">
        <f t="shared" si="63"/>
        <v>0</v>
      </c>
      <c r="AC43" s="21"/>
      <c r="AD43" s="21"/>
      <c r="AE43" s="21" t="s">
        <v>478</v>
      </c>
      <c r="AF43" s="21">
        <v>2150</v>
      </c>
      <c r="AG43" s="21"/>
      <c r="AH43" s="21"/>
      <c r="AI43" s="21"/>
      <c r="AJ43" s="21"/>
      <c r="AK43" s="21"/>
      <c r="AL43" s="21"/>
      <c r="AM43" s="21"/>
      <c r="AN43" s="21"/>
      <c r="AO43" s="21"/>
      <c r="AP43" s="21"/>
      <c r="AQ43" s="21"/>
      <c r="AR43" s="21" t="s">
        <v>713</v>
      </c>
      <c r="AS43" s="21" t="s">
        <v>593</v>
      </c>
      <c r="AT43" s="21" t="s">
        <v>151</v>
      </c>
      <c r="AU43" s="21" t="s">
        <v>151</v>
      </c>
      <c r="AV43" s="21" t="s">
        <v>151</v>
      </c>
      <c r="AW43" s="21"/>
      <c r="AX43" s="21"/>
      <c r="AY43" s="21"/>
      <c r="AZ43" s="21"/>
      <c r="BA43" s="21"/>
      <c r="BB43" s="21"/>
      <c r="BC43" s="21"/>
      <c r="BD43" s="21"/>
      <c r="BE43" s="21"/>
      <c r="BF43" s="21"/>
      <c r="BG43" s="189">
        <f t="shared" si="50"/>
        <v>1</v>
      </c>
      <c r="BH43" s="21" t="s">
        <v>217</v>
      </c>
      <c r="BI43" s="21">
        <v>0</v>
      </c>
      <c r="BJ43" s="21">
        <f>IF(BJ15=0,0,IF(BJ15=5,6,IF(BJ15=10,12,IF(BJ15=15,18,IF(BJ15=20,24,0)))))</f>
        <v>0</v>
      </c>
      <c r="BK43" s="21">
        <f t="shared" ref="BK43:BU43" si="83">IF(BK15=0,0,IF(BK15=5,6,IF(BK15=10,12,IF(BK15=15,18,IF(BK15=20,24,0)))))</f>
        <v>6</v>
      </c>
      <c r="BL43" s="21">
        <f t="shared" si="83"/>
        <v>6</v>
      </c>
      <c r="BM43" s="21">
        <f t="shared" si="83"/>
        <v>0</v>
      </c>
      <c r="BN43" s="21">
        <f t="shared" si="83"/>
        <v>6</v>
      </c>
      <c r="BO43" s="21">
        <f t="shared" si="83"/>
        <v>0</v>
      </c>
      <c r="BP43" s="21">
        <f t="shared" si="83"/>
        <v>6</v>
      </c>
      <c r="BQ43" s="21">
        <f t="shared" si="83"/>
        <v>6</v>
      </c>
      <c r="BR43" s="21">
        <f t="shared" si="83"/>
        <v>12</v>
      </c>
      <c r="BS43" s="21">
        <f t="shared" si="83"/>
        <v>18</v>
      </c>
      <c r="BT43" s="21">
        <f t="shared" si="83"/>
        <v>12</v>
      </c>
      <c r="BU43" s="21">
        <f t="shared" si="83"/>
        <v>18</v>
      </c>
      <c r="BV43" s="21"/>
      <c r="BW43" s="21" t="s">
        <v>217</v>
      </c>
      <c r="BX43" s="21">
        <v>0</v>
      </c>
      <c r="BY43" s="21">
        <f t="shared" ref="BY43:CJ46" si="84">IF(BY15=0,0,IF(BY15=5,6,IF(BY15=10,12,IF(BY15=15,18,IF(BY15=20,24,0)))))</f>
        <v>0</v>
      </c>
      <c r="BZ43" s="21">
        <f t="shared" si="84"/>
        <v>6</v>
      </c>
      <c r="CA43" s="21">
        <f t="shared" si="84"/>
        <v>0</v>
      </c>
      <c r="CB43" s="21">
        <f t="shared" si="84"/>
        <v>6</v>
      </c>
      <c r="CC43" s="21">
        <f t="shared" si="84"/>
        <v>0</v>
      </c>
      <c r="CD43" s="21">
        <f t="shared" si="84"/>
        <v>12</v>
      </c>
      <c r="CE43" s="21">
        <f t="shared" si="84"/>
        <v>6</v>
      </c>
      <c r="CF43" s="21">
        <f t="shared" si="84"/>
        <v>12</v>
      </c>
      <c r="CG43" s="21">
        <f t="shared" si="84"/>
        <v>6</v>
      </c>
      <c r="CH43" s="21">
        <f t="shared" si="84"/>
        <v>12</v>
      </c>
      <c r="CI43" s="21">
        <f t="shared" si="84"/>
        <v>18</v>
      </c>
      <c r="CJ43" s="21">
        <f t="shared" si="84"/>
        <v>12</v>
      </c>
      <c r="CK43" s="21"/>
      <c r="CL43" s="21"/>
      <c r="CM43" s="21"/>
      <c r="CN43" s="21" t="s">
        <v>217</v>
      </c>
      <c r="CO43" s="21">
        <v>0</v>
      </c>
      <c r="CP43" s="21">
        <f t="shared" ref="CP43:DA46" si="85">IF(CP15=0,0,IF(CP15=5,6,IF(CP15=10,12,IF(CP15=15,18,IF(CP15=20,24,0)))))</f>
        <v>0</v>
      </c>
      <c r="CQ43" s="21">
        <f t="shared" si="85"/>
        <v>6</v>
      </c>
      <c r="CR43" s="21">
        <f t="shared" si="85"/>
        <v>0</v>
      </c>
      <c r="CS43" s="21">
        <f t="shared" si="85"/>
        <v>6</v>
      </c>
      <c r="CT43" s="21">
        <f t="shared" si="85"/>
        <v>0</v>
      </c>
      <c r="CU43" s="21">
        <f t="shared" si="85"/>
        <v>6</v>
      </c>
      <c r="CV43" s="21">
        <f t="shared" si="85"/>
        <v>12</v>
      </c>
      <c r="CW43" s="21">
        <f t="shared" si="85"/>
        <v>6</v>
      </c>
      <c r="CX43" s="21">
        <f t="shared" si="85"/>
        <v>12</v>
      </c>
      <c r="CY43" s="21">
        <f t="shared" si="85"/>
        <v>18</v>
      </c>
      <c r="CZ43" s="21">
        <f t="shared" si="85"/>
        <v>18</v>
      </c>
      <c r="DA43" s="21">
        <f t="shared" si="85"/>
        <v>24</v>
      </c>
      <c r="DB43" s="21"/>
      <c r="DC43" s="21" t="s">
        <v>217</v>
      </c>
      <c r="DD43" s="21">
        <v>0</v>
      </c>
      <c r="DE43" s="21">
        <f>IF(DE15=0,0,IF(DE15=5,6,IF(DE15=10,12,IF(DE15=15,18,IF(DE15=20,24,0)))))</f>
        <v>0</v>
      </c>
      <c r="DF43" s="21">
        <f t="shared" ref="DF43:DP43" si="86">IF(DF15=0,0,IF(DF15=5,6,IF(DF15=10,12,IF(DF15=15,18,IF(DF15=20,24,0)))))</f>
        <v>6</v>
      </c>
      <c r="DG43" s="21">
        <f t="shared" si="86"/>
        <v>0</v>
      </c>
      <c r="DH43" s="21">
        <f t="shared" si="86"/>
        <v>0</v>
      </c>
      <c r="DI43" s="21">
        <f t="shared" si="86"/>
        <v>12</v>
      </c>
      <c r="DJ43" s="21">
        <f t="shared" si="86"/>
        <v>6</v>
      </c>
      <c r="DK43" s="21">
        <f t="shared" si="86"/>
        <v>12</v>
      </c>
      <c r="DL43" s="21">
        <f t="shared" si="86"/>
        <v>12</v>
      </c>
      <c r="DM43" s="21">
        <f t="shared" si="86"/>
        <v>12</v>
      </c>
      <c r="DN43" s="21">
        <f t="shared" si="86"/>
        <v>18</v>
      </c>
      <c r="DO43" s="21">
        <f t="shared" si="86"/>
        <v>24</v>
      </c>
      <c r="DP43" s="21">
        <f t="shared" si="86"/>
        <v>24</v>
      </c>
      <c r="DQ43" s="87"/>
      <c r="DR43" s="87"/>
      <c r="DS43" s="87"/>
      <c r="DT43" s="21"/>
      <c r="DU43" s="21"/>
      <c r="DV43" s="21"/>
      <c r="DW43" s="21"/>
      <c r="DX43" s="21"/>
      <c r="DY43" s="21"/>
      <c r="DZ43" s="21"/>
      <c r="EA43" s="21"/>
      <c r="EB43" s="21"/>
      <c r="EC43" s="21"/>
      <c r="ED43" s="21"/>
      <c r="EE43" s="21"/>
      <c r="EF43" s="21"/>
      <c r="EG43" s="21"/>
      <c r="EH43" s="21"/>
      <c r="EI43" s="21"/>
      <c r="EJ43" s="196"/>
      <c r="EK43" s="21" t="s">
        <v>586</v>
      </c>
      <c r="EL43" s="21">
        <v>0</v>
      </c>
      <c r="EM43" s="21">
        <f t="shared" ref="EM43:EX46" si="87">EM15/5*6</f>
        <v>0</v>
      </c>
      <c r="EN43" s="21">
        <f t="shared" si="87"/>
        <v>6</v>
      </c>
      <c r="EO43" s="21">
        <f t="shared" si="87"/>
        <v>6</v>
      </c>
      <c r="EP43" s="21">
        <f t="shared" si="87"/>
        <v>0</v>
      </c>
      <c r="EQ43" s="21">
        <f t="shared" si="87"/>
        <v>0</v>
      </c>
      <c r="ER43" s="21">
        <f t="shared" si="87"/>
        <v>0</v>
      </c>
      <c r="ES43" s="21">
        <f t="shared" si="87"/>
        <v>0</v>
      </c>
      <c r="ET43" s="21">
        <f t="shared" si="87"/>
        <v>0</v>
      </c>
      <c r="EU43" s="21">
        <f t="shared" si="87"/>
        <v>0</v>
      </c>
      <c r="EV43" s="21">
        <f t="shared" si="87"/>
        <v>0</v>
      </c>
      <c r="EW43" s="21">
        <f t="shared" si="87"/>
        <v>0</v>
      </c>
      <c r="EX43" s="21">
        <f t="shared" si="87"/>
        <v>0</v>
      </c>
      <c r="EZ43" s="21" t="s">
        <v>586</v>
      </c>
      <c r="FA43" s="21">
        <v>0</v>
      </c>
      <c r="FB43" s="21">
        <f t="shared" ref="FB43:FM46" si="88">FB15/5*6</f>
        <v>0</v>
      </c>
      <c r="FC43" s="21">
        <f t="shared" si="88"/>
        <v>6</v>
      </c>
      <c r="FD43" s="21">
        <f t="shared" si="88"/>
        <v>0</v>
      </c>
      <c r="FE43" s="21">
        <f t="shared" si="88"/>
        <v>0</v>
      </c>
      <c r="FF43" s="21">
        <f t="shared" si="88"/>
        <v>0</v>
      </c>
      <c r="FG43" s="21">
        <f t="shared" si="88"/>
        <v>0</v>
      </c>
      <c r="FH43" s="21">
        <f t="shared" si="88"/>
        <v>0</v>
      </c>
      <c r="FI43" s="21">
        <f t="shared" si="88"/>
        <v>0</v>
      </c>
      <c r="FJ43" s="21">
        <f t="shared" si="88"/>
        <v>0</v>
      </c>
      <c r="FK43" s="21">
        <f t="shared" si="88"/>
        <v>0</v>
      </c>
      <c r="FL43" s="21">
        <f t="shared" si="88"/>
        <v>0</v>
      </c>
      <c r="FM43" s="21">
        <f t="shared" si="88"/>
        <v>0</v>
      </c>
      <c r="FO43" s="21" t="s">
        <v>586</v>
      </c>
      <c r="FP43" s="21">
        <v>0</v>
      </c>
      <c r="FQ43" s="21">
        <f t="shared" ref="FQ43:GB46" si="89">FQ15/5*6</f>
        <v>0</v>
      </c>
      <c r="FR43" s="21">
        <f t="shared" si="89"/>
        <v>6</v>
      </c>
      <c r="FS43" s="21">
        <f t="shared" si="89"/>
        <v>0</v>
      </c>
      <c r="FT43" s="21">
        <f t="shared" si="89"/>
        <v>0</v>
      </c>
      <c r="FU43" s="21">
        <f t="shared" si="89"/>
        <v>0</v>
      </c>
      <c r="FV43" s="21">
        <f t="shared" si="89"/>
        <v>0</v>
      </c>
      <c r="FW43" s="21">
        <f t="shared" si="89"/>
        <v>0</v>
      </c>
      <c r="FX43" s="21">
        <f t="shared" si="89"/>
        <v>0</v>
      </c>
      <c r="FY43" s="21">
        <f t="shared" si="89"/>
        <v>0</v>
      </c>
      <c r="FZ43" s="21">
        <f t="shared" si="89"/>
        <v>0</v>
      </c>
      <c r="GA43" s="21">
        <f t="shared" si="89"/>
        <v>0</v>
      </c>
      <c r="GB43" s="21">
        <f t="shared" si="89"/>
        <v>0</v>
      </c>
      <c r="GD43" s="21" t="s">
        <v>586</v>
      </c>
      <c r="GE43" s="21">
        <v>0</v>
      </c>
      <c r="GF43" s="21">
        <f t="shared" ref="GF43:GQ46" si="90">GF15/5*6</f>
        <v>0</v>
      </c>
      <c r="GG43" s="21">
        <f t="shared" si="90"/>
        <v>6</v>
      </c>
      <c r="GH43" s="21">
        <f t="shared" si="90"/>
        <v>0</v>
      </c>
      <c r="GI43" s="21">
        <f t="shared" si="90"/>
        <v>0</v>
      </c>
      <c r="GJ43" s="21">
        <f t="shared" si="90"/>
        <v>0</v>
      </c>
      <c r="GK43" s="21">
        <f t="shared" si="90"/>
        <v>0</v>
      </c>
      <c r="GL43" s="21">
        <f t="shared" si="90"/>
        <v>0</v>
      </c>
      <c r="GM43" s="21">
        <f t="shared" si="90"/>
        <v>0</v>
      </c>
      <c r="GN43" s="21">
        <f t="shared" si="90"/>
        <v>0</v>
      </c>
      <c r="GO43" s="21">
        <f t="shared" si="90"/>
        <v>0</v>
      </c>
      <c r="GP43" s="21">
        <f t="shared" si="90"/>
        <v>0</v>
      </c>
      <c r="GQ43" s="21">
        <f t="shared" si="90"/>
        <v>0</v>
      </c>
      <c r="GR43" s="21"/>
      <c r="GS43" s="21"/>
      <c r="GT43" s="21"/>
      <c r="GU43" s="21"/>
      <c r="GV43" s="21"/>
      <c r="GW43" s="21"/>
      <c r="GX43" s="21"/>
      <c r="GY43" s="21"/>
      <c r="GZ43" s="21"/>
      <c r="HA43" s="21"/>
      <c r="HB43" s="21"/>
      <c r="HC43" s="21"/>
      <c r="HD43" s="21"/>
      <c r="HE43" s="21"/>
      <c r="HF43" s="21"/>
      <c r="HG43" s="197"/>
      <c r="HH43" s="21"/>
    </row>
    <row r="44" spans="1:216" x14ac:dyDescent="0.25">
      <c r="A44" s="8"/>
      <c r="B44" s="5" t="s">
        <v>116</v>
      </c>
      <c r="C44" s="8"/>
      <c r="D44" s="6" t="s">
        <v>718</v>
      </c>
      <c r="E44" s="32">
        <f>INDEX((AS49:AW51),MATCH(E42,AR49:AR51,0),MATCH(E43,AS48:AW48,0))</f>
        <v>2900</v>
      </c>
      <c r="F44" s="9"/>
      <c r="G44" s="9"/>
      <c r="H44" s="9"/>
      <c r="I44" s="9"/>
      <c r="J44" s="29" t="s">
        <v>119</v>
      </c>
      <c r="K44" s="9"/>
      <c r="L44" s="6" t="str">
        <f>IF(E44=$AS$49,"CMP41H41/3,7MC",IF(E44=$AU$49,"CMP41H41/3,5MC",IF(E44=$AU$51,"CMP41H41/3MC",IF(E44=$AW$51,"CMP41H41/2,2MC","-------"))))</f>
        <v>CMP41H41/3,7MC</v>
      </c>
      <c r="M44" s="11">
        <f>INDEX(cennik!$C$2:$L$529,MATCH($L44,cennik!$B$2:$B$522,0),MATCH(M$2,cennik!$C$1:$L$1,0))</f>
        <v>852137</v>
      </c>
      <c r="N44" s="11" t="str">
        <f>INDEX(cennik!$C$2:$L$529,MATCH($L44,cennik!$B$2:$B$522,0),MATCH(N$2,cennik!$C$1:$L$1,0))</f>
        <v>szt.</v>
      </c>
      <c r="O44" s="11">
        <f>SUM(AA33:AA48)</f>
        <v>0</v>
      </c>
      <c r="P44" s="34">
        <f>INDEX(cennik!$C$2:$L$529,MATCH($L44,cennik!$B$2:$B$522,0),MATCH(P$2,cennik!$C$1:$L$1,0))</f>
        <v>77.7</v>
      </c>
      <c r="Q44" s="34">
        <f t="shared" si="68"/>
        <v>0</v>
      </c>
      <c r="R44" s="35">
        <f t="shared" si="66"/>
        <v>0</v>
      </c>
      <c r="S44" s="34">
        <f t="shared" si="67"/>
        <v>77.7</v>
      </c>
      <c r="T44" s="34">
        <f t="shared" si="69"/>
        <v>0</v>
      </c>
      <c r="U44" s="34">
        <f>INDEX(cennik!$C$2:$L$529,MATCH($L44,cennik!$B$2:$B$522,0),MATCH(U$2,cennik!$C$1:$L$1,0))*O44</f>
        <v>0</v>
      </c>
      <c r="V44" s="25"/>
      <c r="W44" s="21">
        <f>INDEX(($EL$31:$EX$34,$FA$31:$FM$34,$EL$37:$EX$40,$EL$43:$EX$46,$FA$37:$FM$40,$FA$43:$FM$46,$FP$31:$GB$34,$FP$37:$GB$40,$FP$43:$GB$46,$GE$31:$GQ$34,$GE$37:$GQ$40,$GE$43:$GQ$46,$GT$31:$HF$34,$GT$37:$HF$40),MATCH($L$49,$EK$31:$EK$34,0),MATCH($A43,$EL$30:$EX$30,0),MATCH($E$35,$AE$33:$AE$48,0))*$C43</f>
        <v>0</v>
      </c>
      <c r="X44" s="21">
        <f>INDEX(($EL$31:$EX$34,$FA$31:$FM$34,$EL$37:$EX$40,$EL$43:$EX$46,$FA$37:$FM$40,$FA$43:$FM$46,$FP$31:$GB$34,$FP$37:$GB$40,$FP$43:$GB$46,$GE$31:$GQ$34,$GE$37:$GQ$40,$GE$43:$GQ$46,$GT$31:$HF$34,$GT$37:$HF$40),MATCH($L$46,$EK$31:$EK$34,0),MATCH($A43,$EL$30:$EX$30,0),MATCH($E$35,$AE$33:$AE$48,0))*$C43</f>
        <v>0</v>
      </c>
      <c r="Y44" s="21">
        <f>INDEX(($EL$31:$EX$34,$FA$31:$FM$34,$EL$37:$EX$40,$EL$43:$EX$46,$FA$37:$FM$40,$FA$43:$FM$46,$FP$31:$GB$34,$FP$37:$GB$40,$FP$43:$GB$46,$GE$31:$GQ$34,$GE$37:$GQ$40,$GE$43:$GQ$46,$GT$31:$HF$34,$GT$37:$HF$40),MATCH($L$47,$EK$31:$EK$34,0),MATCH($A43,$EL$30:$EX$30,0),MATCH($E$35,$AE$33:$AE$48,0))*$C43</f>
        <v>0</v>
      </c>
      <c r="Z44" s="21">
        <f>INDEX(($EL$31:$EX$34,$FA$31:$FM$34,$EL$37:$EX$40,$EL$43:$EX$46,$FA$37:$FM$40,$FA$43:$FM$46,$FP$31:$GB$34,$FP$37:$GB$40,$FP$43:$GB$46,$GE$31:$GQ$34,$GE$37:$GQ$40,$GE$43:$GQ$46,$GT$31:$HF$34,$GT$37:$HF$40),MATCH($L$48,$EK$31:$EK$34,0),MATCH($A43,$EL$30:$EX$30,0),MATCH($E$35,$AE$33:$AE$48,0))*$C43</f>
        <v>0</v>
      </c>
      <c r="AA44" s="21">
        <f t="shared" si="62"/>
        <v>0</v>
      </c>
      <c r="AB44" s="21">
        <f t="shared" si="63"/>
        <v>0</v>
      </c>
      <c r="AC44" s="21"/>
      <c r="AD44" s="21"/>
      <c r="AE44" s="21" t="s">
        <v>479</v>
      </c>
      <c r="AF44" s="21">
        <v>2200</v>
      </c>
      <c r="AG44" s="21"/>
      <c r="AH44" s="21"/>
      <c r="AI44" s="21"/>
      <c r="AJ44" s="21"/>
      <c r="AK44" s="21"/>
      <c r="AL44" s="21"/>
      <c r="AM44" s="21"/>
      <c r="AN44" s="21"/>
      <c r="AO44" s="21"/>
      <c r="AP44" s="21"/>
      <c r="AQ44" s="21"/>
      <c r="AR44" s="21" t="s">
        <v>714</v>
      </c>
      <c r="AS44" s="21" t="s">
        <v>593</v>
      </c>
      <c r="AT44" s="21" t="s">
        <v>151</v>
      </c>
      <c r="AU44" s="21" t="s">
        <v>151</v>
      </c>
      <c r="AV44" s="21" t="s">
        <v>151</v>
      </c>
      <c r="AW44" s="21"/>
      <c r="AX44" s="21"/>
      <c r="AY44" s="21"/>
      <c r="AZ44" s="21"/>
      <c r="BA44" s="21"/>
      <c r="BB44" s="21"/>
      <c r="BC44" s="21"/>
      <c r="BD44" s="21"/>
      <c r="BE44" s="21"/>
      <c r="BF44" s="21"/>
      <c r="BG44" s="189">
        <f t="shared" si="50"/>
        <v>1</v>
      </c>
      <c r="BH44" s="21" t="s">
        <v>216</v>
      </c>
      <c r="BI44" s="21">
        <v>0</v>
      </c>
      <c r="BJ44" s="21">
        <f t="shared" ref="BJ44:BU46" si="91">IF(BJ16=0,0,IF(BJ16=5,6,IF(BJ16=10,12,IF(BJ16=15,18,IF(BJ16=20,24,0)))))</f>
        <v>0</v>
      </c>
      <c r="BK44" s="21">
        <f t="shared" si="91"/>
        <v>0</v>
      </c>
      <c r="BL44" s="21">
        <f t="shared" si="91"/>
        <v>0</v>
      </c>
      <c r="BM44" s="21">
        <f t="shared" si="91"/>
        <v>12</v>
      </c>
      <c r="BN44" s="21">
        <f t="shared" si="91"/>
        <v>0</v>
      </c>
      <c r="BO44" s="21">
        <f t="shared" si="91"/>
        <v>12</v>
      </c>
      <c r="BP44" s="21">
        <f t="shared" si="91"/>
        <v>12</v>
      </c>
      <c r="BQ44" s="21">
        <f t="shared" si="91"/>
        <v>12</v>
      </c>
      <c r="BR44" s="21">
        <f t="shared" si="91"/>
        <v>6</v>
      </c>
      <c r="BS44" s="21">
        <f t="shared" si="91"/>
        <v>0</v>
      </c>
      <c r="BT44" s="21">
        <f t="shared" si="91"/>
        <v>6</v>
      </c>
      <c r="BU44" s="21">
        <f t="shared" si="91"/>
        <v>6</v>
      </c>
      <c r="BV44" s="21"/>
      <c r="BW44" s="21" t="s">
        <v>216</v>
      </c>
      <c r="BX44" s="21">
        <v>0</v>
      </c>
      <c r="BY44" s="21">
        <f t="shared" si="84"/>
        <v>0</v>
      </c>
      <c r="BZ44" s="21">
        <f t="shared" si="84"/>
        <v>0</v>
      </c>
      <c r="CA44" s="21">
        <f t="shared" si="84"/>
        <v>6</v>
      </c>
      <c r="CB44" s="21">
        <f t="shared" si="84"/>
        <v>0</v>
      </c>
      <c r="CC44" s="21">
        <f t="shared" si="84"/>
        <v>12</v>
      </c>
      <c r="CD44" s="21">
        <f t="shared" si="84"/>
        <v>0</v>
      </c>
      <c r="CE44" s="21">
        <f t="shared" si="84"/>
        <v>12</v>
      </c>
      <c r="CF44" s="21">
        <f t="shared" si="84"/>
        <v>6</v>
      </c>
      <c r="CG44" s="21">
        <f t="shared" si="84"/>
        <v>12</v>
      </c>
      <c r="CH44" s="21">
        <f t="shared" si="84"/>
        <v>6</v>
      </c>
      <c r="CI44" s="21">
        <f t="shared" si="84"/>
        <v>6</v>
      </c>
      <c r="CJ44" s="21">
        <f t="shared" si="84"/>
        <v>12</v>
      </c>
      <c r="CK44" s="21"/>
      <c r="CL44" s="21"/>
      <c r="CM44" s="21"/>
      <c r="CN44" s="21" t="s">
        <v>216</v>
      </c>
      <c r="CO44" s="21">
        <v>0</v>
      </c>
      <c r="CP44" s="21">
        <f t="shared" si="85"/>
        <v>6</v>
      </c>
      <c r="CQ44" s="21">
        <f t="shared" si="85"/>
        <v>0</v>
      </c>
      <c r="CR44" s="21">
        <f t="shared" si="85"/>
        <v>12</v>
      </c>
      <c r="CS44" s="21">
        <f t="shared" si="85"/>
        <v>0</v>
      </c>
      <c r="CT44" s="21">
        <f t="shared" si="85"/>
        <v>12</v>
      </c>
      <c r="CU44" s="21">
        <f t="shared" si="85"/>
        <v>12</v>
      </c>
      <c r="CV44" s="21">
        <f t="shared" si="85"/>
        <v>0</v>
      </c>
      <c r="CW44" s="21">
        <f t="shared" si="85"/>
        <v>12</v>
      </c>
      <c r="CX44" s="21">
        <f t="shared" si="85"/>
        <v>6</v>
      </c>
      <c r="CY44" s="21">
        <f t="shared" si="85"/>
        <v>0</v>
      </c>
      <c r="CZ44" s="21">
        <f t="shared" si="85"/>
        <v>6</v>
      </c>
      <c r="DA44" s="21">
        <f t="shared" si="85"/>
        <v>0</v>
      </c>
      <c r="DB44" s="21"/>
      <c r="DC44" s="21" t="s">
        <v>216</v>
      </c>
      <c r="DD44" s="21">
        <v>0</v>
      </c>
      <c r="DE44" s="21">
        <f t="shared" ref="DE44:DP46" si="92">IF(DE16=0,0,IF(DE16=5,6,IF(DE16=10,12,IF(DE16=15,18,IF(DE16=20,24,0)))))</f>
        <v>6</v>
      </c>
      <c r="DF44" s="21">
        <f t="shared" si="92"/>
        <v>0</v>
      </c>
      <c r="DG44" s="21">
        <f t="shared" si="92"/>
        <v>12</v>
      </c>
      <c r="DH44" s="21">
        <f t="shared" si="92"/>
        <v>12</v>
      </c>
      <c r="DI44" s="21">
        <f t="shared" si="92"/>
        <v>0</v>
      </c>
      <c r="DJ44" s="21">
        <f t="shared" si="92"/>
        <v>12</v>
      </c>
      <c r="DK44" s="21">
        <f t="shared" si="92"/>
        <v>6</v>
      </c>
      <c r="DL44" s="21">
        <f t="shared" si="92"/>
        <v>6</v>
      </c>
      <c r="DM44" s="21">
        <f t="shared" si="92"/>
        <v>12</v>
      </c>
      <c r="DN44" s="21">
        <f t="shared" si="92"/>
        <v>6</v>
      </c>
      <c r="DO44" s="21">
        <f t="shared" si="92"/>
        <v>0</v>
      </c>
      <c r="DP44" s="21">
        <f t="shared" si="92"/>
        <v>0</v>
      </c>
      <c r="DQ44" s="87"/>
      <c r="DR44" s="87"/>
      <c r="DS44" s="87"/>
      <c r="DT44" s="21"/>
      <c r="DU44" s="21"/>
      <c r="DV44" s="21"/>
      <c r="DW44" s="21"/>
      <c r="DX44" s="21"/>
      <c r="DY44" s="21"/>
      <c r="DZ44" s="21"/>
      <c r="EA44" s="21"/>
      <c r="EB44" s="21"/>
      <c r="EC44" s="21"/>
      <c r="ED44" s="21"/>
      <c r="EE44" s="21"/>
      <c r="EF44" s="21"/>
      <c r="EG44" s="21"/>
      <c r="EH44" s="21"/>
      <c r="EI44" s="21"/>
      <c r="EJ44" s="196"/>
      <c r="EK44" s="21" t="s">
        <v>522</v>
      </c>
      <c r="EL44" s="21">
        <v>0</v>
      </c>
      <c r="EM44" s="21">
        <f t="shared" si="87"/>
        <v>0</v>
      </c>
      <c r="EN44" s="21">
        <f t="shared" si="87"/>
        <v>0</v>
      </c>
      <c r="EO44" s="21">
        <f t="shared" si="87"/>
        <v>0</v>
      </c>
      <c r="EP44" s="21">
        <f t="shared" si="87"/>
        <v>12</v>
      </c>
      <c r="EQ44" s="21">
        <f t="shared" si="87"/>
        <v>0</v>
      </c>
      <c r="ER44" s="21">
        <f t="shared" si="87"/>
        <v>12</v>
      </c>
      <c r="ES44" s="21">
        <f t="shared" si="87"/>
        <v>12</v>
      </c>
      <c r="ET44" s="21">
        <f t="shared" si="87"/>
        <v>12</v>
      </c>
      <c r="EU44" s="21">
        <f t="shared" si="87"/>
        <v>6</v>
      </c>
      <c r="EV44" s="21">
        <f t="shared" si="87"/>
        <v>0</v>
      </c>
      <c r="EW44" s="21">
        <f t="shared" si="87"/>
        <v>6</v>
      </c>
      <c r="EX44" s="21">
        <f t="shared" si="87"/>
        <v>6</v>
      </c>
      <c r="EY44" s="21"/>
      <c r="EZ44" s="21" t="s">
        <v>522</v>
      </c>
      <c r="FA44" s="21">
        <v>0</v>
      </c>
      <c r="FB44" s="21">
        <f t="shared" si="88"/>
        <v>0</v>
      </c>
      <c r="FC44" s="21">
        <f t="shared" si="88"/>
        <v>0</v>
      </c>
      <c r="FD44" s="21">
        <f t="shared" si="88"/>
        <v>6</v>
      </c>
      <c r="FE44" s="21">
        <f t="shared" si="88"/>
        <v>0</v>
      </c>
      <c r="FF44" s="21">
        <f t="shared" si="88"/>
        <v>12</v>
      </c>
      <c r="FG44" s="21">
        <f t="shared" si="88"/>
        <v>0</v>
      </c>
      <c r="FH44" s="21">
        <f t="shared" si="88"/>
        <v>12</v>
      </c>
      <c r="FI44" s="21">
        <f t="shared" si="88"/>
        <v>6</v>
      </c>
      <c r="FJ44" s="21">
        <f t="shared" si="88"/>
        <v>12</v>
      </c>
      <c r="FK44" s="21">
        <f t="shared" si="88"/>
        <v>6</v>
      </c>
      <c r="FL44" s="21">
        <f t="shared" si="88"/>
        <v>6</v>
      </c>
      <c r="FM44" s="21">
        <f t="shared" si="88"/>
        <v>12</v>
      </c>
      <c r="FN44" s="21"/>
      <c r="FO44" s="21" t="s">
        <v>522</v>
      </c>
      <c r="FP44" s="21">
        <v>0</v>
      </c>
      <c r="FQ44" s="21">
        <f t="shared" si="89"/>
        <v>6</v>
      </c>
      <c r="FR44" s="21">
        <f t="shared" si="89"/>
        <v>0</v>
      </c>
      <c r="FS44" s="21">
        <f t="shared" si="89"/>
        <v>12</v>
      </c>
      <c r="FT44" s="21">
        <f t="shared" si="89"/>
        <v>0</v>
      </c>
      <c r="FU44" s="21">
        <f t="shared" si="89"/>
        <v>12</v>
      </c>
      <c r="FV44" s="21">
        <f t="shared" si="89"/>
        <v>12</v>
      </c>
      <c r="FW44" s="21">
        <f t="shared" si="89"/>
        <v>0</v>
      </c>
      <c r="FX44" s="21">
        <f t="shared" si="89"/>
        <v>12</v>
      </c>
      <c r="FY44" s="21">
        <f t="shared" si="89"/>
        <v>6</v>
      </c>
      <c r="FZ44" s="21">
        <f t="shared" si="89"/>
        <v>0</v>
      </c>
      <c r="GA44" s="21">
        <f t="shared" si="89"/>
        <v>6</v>
      </c>
      <c r="GB44" s="21">
        <f t="shared" si="89"/>
        <v>0</v>
      </c>
      <c r="GC44" s="21"/>
      <c r="GD44" s="21" t="s">
        <v>522</v>
      </c>
      <c r="GE44" s="21">
        <v>0</v>
      </c>
      <c r="GF44" s="21">
        <f t="shared" si="90"/>
        <v>6</v>
      </c>
      <c r="GG44" s="21">
        <f t="shared" si="90"/>
        <v>0</v>
      </c>
      <c r="GH44" s="21">
        <f t="shared" si="90"/>
        <v>12</v>
      </c>
      <c r="GI44" s="21">
        <f t="shared" si="90"/>
        <v>12</v>
      </c>
      <c r="GJ44" s="21">
        <f t="shared" si="90"/>
        <v>0</v>
      </c>
      <c r="GK44" s="21">
        <f t="shared" si="90"/>
        <v>12</v>
      </c>
      <c r="GL44" s="21">
        <f t="shared" si="90"/>
        <v>6</v>
      </c>
      <c r="GM44" s="21">
        <f t="shared" si="90"/>
        <v>6</v>
      </c>
      <c r="GN44" s="21">
        <f t="shared" si="90"/>
        <v>12</v>
      </c>
      <c r="GO44" s="21">
        <f t="shared" si="90"/>
        <v>6</v>
      </c>
      <c r="GP44" s="21">
        <f t="shared" si="90"/>
        <v>0</v>
      </c>
      <c r="GQ44" s="21">
        <f t="shared" si="90"/>
        <v>0</v>
      </c>
      <c r="GR44" s="21"/>
      <c r="GS44" s="21"/>
      <c r="GT44" s="21"/>
      <c r="GU44" s="21"/>
      <c r="GV44" s="21"/>
      <c r="GW44" s="21"/>
      <c r="GX44" s="21"/>
      <c r="GY44" s="21"/>
      <c r="GZ44" s="21"/>
      <c r="HA44" s="21"/>
      <c r="HB44" s="21"/>
      <c r="HC44" s="21"/>
      <c r="HD44" s="21"/>
      <c r="HE44" s="21"/>
      <c r="HF44" s="21"/>
      <c r="HG44" s="197"/>
      <c r="HH44" s="21"/>
    </row>
    <row r="45" spans="1:216" x14ac:dyDescent="0.25">
      <c r="A45" s="8"/>
      <c r="B45" s="5" t="s">
        <v>116</v>
      </c>
      <c r="C45" s="8"/>
      <c r="D45" s="6" t="str">
        <f>IF(E37=$AC$8,"długość śruby GSW","")</f>
        <v/>
      </c>
      <c r="E45" s="38">
        <v>1600</v>
      </c>
      <c r="F45" s="9"/>
      <c r="G45" s="9"/>
      <c r="H45" s="9"/>
      <c r="I45" s="9"/>
      <c r="J45" s="29" t="str">
        <f>IF(E37=$AC$8,"[mm]","")</f>
        <v/>
      </c>
      <c r="K45" s="9"/>
      <c r="L45" s="6" t="s">
        <v>1111</v>
      </c>
      <c r="M45" s="11">
        <f>INDEX(cennik!$C$2:$L$529,MATCH($L45,cennik!$B$2:$B$522,0),MATCH(M$2,cennik!$C$1:$L$1,0))</f>
        <v>850252</v>
      </c>
      <c r="N45" s="11" t="str">
        <f>INDEX(cennik!$C$2:$L$529,MATCH($L45,cennik!$B$2:$B$522,0),MATCH(N$2,cennik!$C$1:$L$1,0))</f>
        <v>szt.</v>
      </c>
      <c r="O45" s="11">
        <f>O38+O43</f>
        <v>0</v>
      </c>
      <c r="P45" s="34">
        <f>INDEX(cennik!$C$2:$L$529,MATCH($L45,cennik!$B$2:$B$522,0),MATCH(P$2,cennik!$C$1:$L$1,0))</f>
        <v>6.06</v>
      </c>
      <c r="Q45" s="34">
        <f t="shared" si="68"/>
        <v>0</v>
      </c>
      <c r="R45" s="35">
        <f t="shared" si="66"/>
        <v>0</v>
      </c>
      <c r="S45" s="34">
        <f t="shared" si="67"/>
        <v>6.06</v>
      </c>
      <c r="T45" s="34">
        <f t="shared" si="69"/>
        <v>0</v>
      </c>
      <c r="U45" s="34">
        <f>INDEX(cennik!$C$2:$L$529,MATCH($L45,cennik!$B$2:$B$522,0),MATCH(U$2,cennik!$C$1:$L$1,0))*O45</f>
        <v>0</v>
      </c>
      <c r="V45" s="25"/>
      <c r="W45" s="21">
        <f>INDEX(($EL$31:$EX$34,$FA$31:$FM$34,$EL$37:$EX$40,$EL$43:$EX$46,$FA$37:$FM$40,$FA$43:$FM$46,$FP$31:$GB$34,$FP$37:$GB$40,$FP$43:$GB$46,$GE$31:$GQ$34,$GE$37:$GQ$40,$GE$43:$GQ$46,$GT$31:$HF$34,$GT$37:$HF$40),MATCH($L$49,$EK$31:$EK$34,0),MATCH($A44,$EL$30:$EX$30,0),MATCH($E$35,$AE$33:$AE$48,0))*$C44</f>
        <v>0</v>
      </c>
      <c r="X45" s="21">
        <f>INDEX(($EL$31:$EX$34,$FA$31:$FM$34,$EL$37:$EX$40,$EL$43:$EX$46,$FA$37:$FM$40,$FA$43:$FM$46,$FP$31:$GB$34,$FP$37:$GB$40,$FP$43:$GB$46,$GE$31:$GQ$34,$GE$37:$GQ$40,$GE$43:$GQ$46,$GT$31:$HF$34,$GT$37:$HF$40),MATCH($L$46,$EK$31:$EK$34,0),MATCH($A44,$EL$30:$EX$30,0),MATCH($E$35,$AE$33:$AE$48,0))*$C44</f>
        <v>0</v>
      </c>
      <c r="Y45" s="21">
        <f>INDEX(($EL$31:$EX$34,$FA$31:$FM$34,$EL$37:$EX$40,$EL$43:$EX$46,$FA$37:$FM$40,$FA$43:$FM$46,$FP$31:$GB$34,$FP$37:$GB$40,$FP$43:$GB$46,$GE$31:$GQ$34,$GE$37:$GQ$40,$GE$43:$GQ$46,$GT$31:$HF$34,$GT$37:$HF$40),MATCH($L$47,$EK$31:$EK$34,0),MATCH($A44,$EL$30:$EX$30,0),MATCH($E$35,$AE$33:$AE$48,0))*$C44</f>
        <v>0</v>
      </c>
      <c r="Z45" s="21">
        <f>INDEX(($EL$31:$EX$34,$FA$31:$FM$34,$EL$37:$EX$40,$EL$43:$EX$46,$FA$37:$FM$40,$FA$43:$FM$46,$FP$31:$GB$34,$FP$37:$GB$40,$FP$43:$GB$46,$GE$31:$GQ$34,$GE$37:$GQ$40,$GE$43:$GQ$46,$GT$31:$HF$34,$GT$37:$HF$40),MATCH($L$48,$EK$31:$EK$34,0),MATCH($A44,$EL$30:$EX$30,0),MATCH($E$35,$AE$33:$AE$48,0))*$C44</f>
        <v>0</v>
      </c>
      <c r="AA45" s="21">
        <f t="shared" si="62"/>
        <v>0</v>
      </c>
      <c r="AB45" s="21">
        <f t="shared" si="63"/>
        <v>0</v>
      </c>
      <c r="AC45" s="21"/>
      <c r="AD45" s="21"/>
      <c r="AE45" s="21" t="s">
        <v>508</v>
      </c>
      <c r="AF45" s="21">
        <v>2250</v>
      </c>
      <c r="AG45" s="21"/>
      <c r="AH45" s="21"/>
      <c r="AI45" s="21"/>
      <c r="AJ45" s="21"/>
      <c r="AK45" s="21"/>
      <c r="AL45" s="21"/>
      <c r="AM45" s="21"/>
      <c r="AN45" s="21"/>
      <c r="AO45" s="21"/>
      <c r="AP45" s="21"/>
      <c r="AQ45" s="21"/>
      <c r="AR45" s="21" t="s">
        <v>715</v>
      </c>
      <c r="AS45" s="21" t="s">
        <v>593</v>
      </c>
      <c r="AT45" s="21" t="s">
        <v>151</v>
      </c>
      <c r="AU45" s="21" t="s">
        <v>151</v>
      </c>
      <c r="AV45" s="21" t="s">
        <v>151</v>
      </c>
      <c r="AW45" s="21"/>
      <c r="AX45" s="21"/>
      <c r="AY45" s="21"/>
      <c r="AZ45" s="21"/>
      <c r="BA45" s="21"/>
      <c r="BB45" s="21"/>
      <c r="BC45" s="21"/>
      <c r="BD45" s="21"/>
      <c r="BE45" s="21"/>
      <c r="BF45" s="21"/>
      <c r="BG45" s="189">
        <f t="shared" si="50"/>
        <v>1</v>
      </c>
      <c r="BH45" s="21" t="s">
        <v>17</v>
      </c>
      <c r="BI45" s="21">
        <v>0</v>
      </c>
      <c r="BJ45" s="21">
        <f t="shared" si="91"/>
        <v>6</v>
      </c>
      <c r="BK45" s="21">
        <f t="shared" si="91"/>
        <v>0</v>
      </c>
      <c r="BL45" s="21">
        <f t="shared" si="91"/>
        <v>0</v>
      </c>
      <c r="BM45" s="21">
        <f t="shared" si="91"/>
        <v>0</v>
      </c>
      <c r="BN45" s="21">
        <f t="shared" si="91"/>
        <v>6</v>
      </c>
      <c r="BO45" s="21">
        <f t="shared" si="91"/>
        <v>6</v>
      </c>
      <c r="BP45" s="21">
        <f t="shared" si="91"/>
        <v>0</v>
      </c>
      <c r="BQ45" s="21">
        <f t="shared" si="91"/>
        <v>0</v>
      </c>
      <c r="BR45" s="21">
        <f t="shared" si="91"/>
        <v>0</v>
      </c>
      <c r="BS45" s="21">
        <f t="shared" si="91"/>
        <v>0</v>
      </c>
      <c r="BT45" s="21">
        <f t="shared" si="91"/>
        <v>6</v>
      </c>
      <c r="BU45" s="21">
        <f t="shared" si="91"/>
        <v>0</v>
      </c>
      <c r="BV45" s="21"/>
      <c r="BW45" s="21" t="s">
        <v>17</v>
      </c>
      <c r="BX45" s="21">
        <v>0</v>
      </c>
      <c r="BY45" s="21">
        <f t="shared" si="84"/>
        <v>6</v>
      </c>
      <c r="BZ45" s="21">
        <f t="shared" si="84"/>
        <v>0</v>
      </c>
      <c r="CA45" s="21">
        <f t="shared" si="84"/>
        <v>6</v>
      </c>
      <c r="CB45" s="21">
        <f t="shared" si="84"/>
        <v>6</v>
      </c>
      <c r="CC45" s="21">
        <f t="shared" si="84"/>
        <v>6</v>
      </c>
      <c r="CD45" s="21">
        <f t="shared" si="84"/>
        <v>0</v>
      </c>
      <c r="CE45" s="21">
        <f t="shared" si="84"/>
        <v>0</v>
      </c>
      <c r="CF45" s="21">
        <f t="shared" si="84"/>
        <v>0</v>
      </c>
      <c r="CG45" s="21">
        <f t="shared" si="84"/>
        <v>6</v>
      </c>
      <c r="CH45" s="21">
        <f t="shared" si="84"/>
        <v>6</v>
      </c>
      <c r="CI45" s="21">
        <f t="shared" si="84"/>
        <v>0</v>
      </c>
      <c r="CJ45" s="21">
        <f t="shared" si="84"/>
        <v>6</v>
      </c>
      <c r="CK45" s="21"/>
      <c r="CL45" s="21"/>
      <c r="CM45" s="21"/>
      <c r="CN45" s="21" t="s">
        <v>17</v>
      </c>
      <c r="CO45" s="21">
        <v>0</v>
      </c>
      <c r="CP45" s="21">
        <f t="shared" si="85"/>
        <v>0</v>
      </c>
      <c r="CQ45" s="21">
        <f t="shared" si="85"/>
        <v>0</v>
      </c>
      <c r="CR45" s="21">
        <f t="shared" si="85"/>
        <v>0</v>
      </c>
      <c r="CS45" s="21">
        <f t="shared" si="85"/>
        <v>6</v>
      </c>
      <c r="CT45" s="21">
        <f t="shared" si="85"/>
        <v>6</v>
      </c>
      <c r="CU45" s="21">
        <f t="shared" si="85"/>
        <v>0</v>
      </c>
      <c r="CV45" s="21">
        <f t="shared" si="85"/>
        <v>6</v>
      </c>
      <c r="CW45" s="21">
        <f t="shared" si="85"/>
        <v>6</v>
      </c>
      <c r="CX45" s="21">
        <f t="shared" si="85"/>
        <v>6</v>
      </c>
      <c r="CY45" s="21">
        <f t="shared" si="85"/>
        <v>6</v>
      </c>
      <c r="CZ45" s="21">
        <f t="shared" si="85"/>
        <v>0</v>
      </c>
      <c r="DA45" s="21">
        <f t="shared" si="85"/>
        <v>0</v>
      </c>
      <c r="DB45" s="21"/>
      <c r="DC45" s="21" t="s">
        <v>17</v>
      </c>
      <c r="DD45" s="21">
        <v>0</v>
      </c>
      <c r="DE45" s="21">
        <f t="shared" si="92"/>
        <v>0</v>
      </c>
      <c r="DF45" s="21">
        <f t="shared" si="92"/>
        <v>0</v>
      </c>
      <c r="DG45" s="21">
        <f t="shared" si="92"/>
        <v>0</v>
      </c>
      <c r="DH45" s="21">
        <f t="shared" si="92"/>
        <v>6</v>
      </c>
      <c r="DI45" s="21">
        <f t="shared" si="92"/>
        <v>0</v>
      </c>
      <c r="DJ45" s="21">
        <f t="shared" si="92"/>
        <v>0</v>
      </c>
      <c r="DK45" s="21">
        <f t="shared" si="92"/>
        <v>0</v>
      </c>
      <c r="DL45" s="21">
        <f t="shared" si="92"/>
        <v>6</v>
      </c>
      <c r="DM45" s="21">
        <f t="shared" si="92"/>
        <v>0</v>
      </c>
      <c r="DN45" s="21">
        <f t="shared" si="92"/>
        <v>0</v>
      </c>
      <c r="DO45" s="21">
        <f t="shared" si="92"/>
        <v>0</v>
      </c>
      <c r="DP45" s="21">
        <f t="shared" si="92"/>
        <v>6</v>
      </c>
      <c r="DQ45" s="87"/>
      <c r="DR45" s="87"/>
      <c r="DS45" s="87"/>
      <c r="DT45" s="21"/>
      <c r="DU45" s="21"/>
      <c r="DV45" s="21"/>
      <c r="DW45" s="21"/>
      <c r="DX45" s="21"/>
      <c r="DY45" s="21"/>
      <c r="DZ45" s="21"/>
      <c r="EA45" s="21"/>
      <c r="EB45" s="21"/>
      <c r="EC45" s="21"/>
      <c r="ED45" s="21"/>
      <c r="EE45" s="21"/>
      <c r="EF45" s="21"/>
      <c r="EG45" s="21"/>
      <c r="EH45" s="21"/>
      <c r="EI45" s="21"/>
      <c r="EJ45" s="196"/>
      <c r="EK45" s="21" t="s">
        <v>523</v>
      </c>
      <c r="EL45" s="21">
        <v>0</v>
      </c>
      <c r="EM45" s="21">
        <f t="shared" si="87"/>
        <v>6</v>
      </c>
      <c r="EN45" s="21">
        <f t="shared" si="87"/>
        <v>0</v>
      </c>
      <c r="EO45" s="21">
        <f t="shared" si="87"/>
        <v>0</v>
      </c>
      <c r="EP45" s="21">
        <f t="shared" si="87"/>
        <v>0</v>
      </c>
      <c r="EQ45" s="21">
        <f t="shared" si="87"/>
        <v>18</v>
      </c>
      <c r="ER45" s="21">
        <f t="shared" si="87"/>
        <v>6</v>
      </c>
      <c r="ES45" s="21">
        <f t="shared" si="87"/>
        <v>12</v>
      </c>
      <c r="ET45" s="21">
        <f t="shared" si="87"/>
        <v>12</v>
      </c>
      <c r="EU45" s="21">
        <f t="shared" si="87"/>
        <v>24</v>
      </c>
      <c r="EV45" s="21">
        <f t="shared" si="87"/>
        <v>36</v>
      </c>
      <c r="EW45" s="21">
        <f t="shared" si="87"/>
        <v>30</v>
      </c>
      <c r="EX45" s="21">
        <f t="shared" si="87"/>
        <v>36</v>
      </c>
      <c r="EY45" s="21"/>
      <c r="EZ45" s="21" t="s">
        <v>523</v>
      </c>
      <c r="FA45" s="21">
        <v>0</v>
      </c>
      <c r="FB45" s="21">
        <f t="shared" si="88"/>
        <v>6</v>
      </c>
      <c r="FC45" s="21">
        <f t="shared" si="88"/>
        <v>0</v>
      </c>
      <c r="FD45" s="21">
        <f t="shared" si="88"/>
        <v>6</v>
      </c>
      <c r="FE45" s="21">
        <f t="shared" si="88"/>
        <v>18</v>
      </c>
      <c r="FF45" s="21">
        <f t="shared" si="88"/>
        <v>6</v>
      </c>
      <c r="FG45" s="21">
        <f t="shared" si="88"/>
        <v>24</v>
      </c>
      <c r="FH45" s="21">
        <f t="shared" si="88"/>
        <v>12</v>
      </c>
      <c r="FI45" s="21">
        <f t="shared" si="88"/>
        <v>24</v>
      </c>
      <c r="FJ45" s="21">
        <f t="shared" si="88"/>
        <v>18</v>
      </c>
      <c r="FK45" s="21">
        <f t="shared" si="88"/>
        <v>30</v>
      </c>
      <c r="FL45" s="21">
        <f t="shared" si="88"/>
        <v>36</v>
      </c>
      <c r="FM45" s="21">
        <f t="shared" si="88"/>
        <v>30</v>
      </c>
      <c r="FN45" s="21"/>
      <c r="FO45" s="21" t="s">
        <v>523</v>
      </c>
      <c r="FP45" s="21">
        <v>0</v>
      </c>
      <c r="FQ45" s="21">
        <f t="shared" si="89"/>
        <v>0</v>
      </c>
      <c r="FR45" s="21">
        <f t="shared" si="89"/>
        <v>0</v>
      </c>
      <c r="FS45" s="21">
        <f t="shared" si="89"/>
        <v>0</v>
      </c>
      <c r="FT45" s="21">
        <f t="shared" si="89"/>
        <v>18</v>
      </c>
      <c r="FU45" s="21">
        <f t="shared" si="89"/>
        <v>6</v>
      </c>
      <c r="FV45" s="21">
        <f t="shared" si="89"/>
        <v>12</v>
      </c>
      <c r="FW45" s="21">
        <f t="shared" si="89"/>
        <v>30</v>
      </c>
      <c r="FX45" s="21">
        <f t="shared" si="89"/>
        <v>18</v>
      </c>
      <c r="FY45" s="21">
        <f t="shared" si="89"/>
        <v>30</v>
      </c>
      <c r="FZ45" s="21">
        <f t="shared" si="89"/>
        <v>42</v>
      </c>
      <c r="GA45" s="21">
        <f t="shared" si="89"/>
        <v>36</v>
      </c>
      <c r="GB45" s="21">
        <f t="shared" si="89"/>
        <v>48</v>
      </c>
      <c r="GC45" s="21"/>
      <c r="GD45" s="21" t="s">
        <v>523</v>
      </c>
      <c r="GE45" s="21">
        <v>0</v>
      </c>
      <c r="GF45" s="21">
        <f t="shared" si="90"/>
        <v>0</v>
      </c>
      <c r="GG45" s="21">
        <f t="shared" si="90"/>
        <v>0</v>
      </c>
      <c r="GH45" s="21">
        <f t="shared" si="90"/>
        <v>0</v>
      </c>
      <c r="GI45" s="21">
        <f t="shared" si="90"/>
        <v>6</v>
      </c>
      <c r="GJ45" s="21">
        <f t="shared" si="90"/>
        <v>24</v>
      </c>
      <c r="GK45" s="21">
        <f t="shared" si="90"/>
        <v>12</v>
      </c>
      <c r="GL45" s="21">
        <f t="shared" si="90"/>
        <v>24</v>
      </c>
      <c r="GM45" s="21">
        <f t="shared" si="90"/>
        <v>30</v>
      </c>
      <c r="GN45" s="21">
        <f t="shared" si="90"/>
        <v>24</v>
      </c>
      <c r="GO45" s="21">
        <f t="shared" si="90"/>
        <v>36</v>
      </c>
      <c r="GP45" s="21">
        <f t="shared" si="90"/>
        <v>48</v>
      </c>
      <c r="GQ45" s="21">
        <f t="shared" si="90"/>
        <v>54</v>
      </c>
      <c r="GR45" s="21"/>
      <c r="GS45" s="21"/>
      <c r="GT45" s="21"/>
      <c r="GU45" s="21"/>
      <c r="GV45" s="21"/>
      <c r="GW45" s="21"/>
      <c r="GX45" s="21"/>
      <c r="GY45" s="21"/>
      <c r="GZ45" s="21"/>
      <c r="HA45" s="21"/>
      <c r="HB45" s="21"/>
      <c r="HC45" s="21"/>
      <c r="HD45" s="21"/>
      <c r="HE45" s="21"/>
      <c r="HF45" s="21"/>
      <c r="HG45" s="197"/>
      <c r="HH45" s="21"/>
    </row>
    <row r="46" spans="1:216" x14ac:dyDescent="0.25">
      <c r="A46" s="8"/>
      <c r="B46" s="5" t="s">
        <v>116</v>
      </c>
      <c r="C46" s="8"/>
      <c r="D46" s="40" t="s">
        <v>795</v>
      </c>
      <c r="E46" s="9"/>
      <c r="F46" s="9"/>
      <c r="G46" s="9"/>
      <c r="H46" s="9"/>
      <c r="I46" s="9"/>
      <c r="J46" s="9"/>
      <c r="K46" s="9"/>
      <c r="L46" s="6" t="s">
        <v>586</v>
      </c>
      <c r="M46" s="11">
        <f>INDEX(cennik!$C$2:$L$529,MATCH($L46,cennik!$B$2:$B$522,0),MATCH(M$2,cennik!$C$1:$L$1,0))</f>
        <v>867566</v>
      </c>
      <c r="N46" s="11" t="str">
        <f>INDEX(cennik!$C$2:$L$529,MATCH($L46,cennik!$B$2:$B$522,0),MATCH(N$2,cennik!$C$1:$L$1,0))</f>
        <v>szt.</v>
      </c>
      <c r="O46" s="11">
        <f>SUM(X35:X50)</f>
        <v>0</v>
      </c>
      <c r="P46" s="34">
        <f>INDEX(cennik!$C$2:$L$529,MATCH($L46,cennik!$B$2:$B$522,0),MATCH(P$2,cennik!$C$1:$L$1,0))</f>
        <v>265.20999999999998</v>
      </c>
      <c r="Q46" s="34">
        <f t="shared" si="68"/>
        <v>0</v>
      </c>
      <c r="R46" s="35">
        <f t="shared" si="66"/>
        <v>0</v>
      </c>
      <c r="S46" s="34">
        <f t="shared" si="67"/>
        <v>265.20999999999998</v>
      </c>
      <c r="T46" s="34">
        <f t="shared" si="69"/>
        <v>0</v>
      </c>
      <c r="U46" s="34">
        <f>INDEX(cennik!$C$2:$L$529,MATCH($L46,cennik!$B$2:$B$522,0),MATCH(U$2,cennik!$C$1:$L$1,0))*O46</f>
        <v>0</v>
      </c>
      <c r="V46" s="25"/>
      <c r="W46" s="21">
        <f>INDEX(($EL$31:$EX$34,$FA$31:$FM$34,$EL$37:$EX$40,$EL$43:$EX$46,$FA$37:$FM$40,$FA$43:$FM$46,$FP$31:$GB$34,$FP$37:$GB$40,$FP$43:$GB$46,$GE$31:$GQ$34,$GE$37:$GQ$40,$GE$43:$GQ$46,$GT$31:$HF$34,$GT$37:$HF$40),MATCH($L$49,$EK$31:$EK$34,0),MATCH($A45,$EL$30:$EX$30,0),MATCH($E$35,$AE$33:$AE$48,0))*$C45</f>
        <v>0</v>
      </c>
      <c r="X46" s="21">
        <f>INDEX(($EL$31:$EX$34,$FA$31:$FM$34,$EL$37:$EX$40,$EL$43:$EX$46,$FA$37:$FM$40,$FA$43:$FM$46,$FP$31:$GB$34,$FP$37:$GB$40,$FP$43:$GB$46,$GE$31:$GQ$34,$GE$37:$GQ$40,$GE$43:$GQ$46,$GT$31:$HF$34,$GT$37:$HF$40),MATCH($L$46,$EK$31:$EK$34,0),MATCH($A45,$EL$30:$EX$30,0),MATCH($E$35,$AE$33:$AE$48,0))*$C45</f>
        <v>0</v>
      </c>
      <c r="Y46" s="21">
        <f>INDEX(($EL$31:$EX$34,$FA$31:$FM$34,$EL$37:$EX$40,$EL$43:$EX$46,$FA$37:$FM$40,$FA$43:$FM$46,$FP$31:$GB$34,$FP$37:$GB$40,$FP$43:$GB$46,$GE$31:$GQ$34,$GE$37:$GQ$40,$GE$43:$GQ$46,$GT$31:$HF$34,$GT$37:$HF$40),MATCH($L$47,$EK$31:$EK$34,0),MATCH($A45,$EL$30:$EX$30,0),MATCH($E$35,$AE$33:$AE$48,0))*$C45</f>
        <v>0</v>
      </c>
      <c r="Z46" s="21">
        <f>INDEX(($EL$31:$EX$34,$FA$31:$FM$34,$EL$37:$EX$40,$EL$43:$EX$46,$FA$37:$FM$40,$FA$43:$FM$46,$FP$31:$GB$34,$FP$37:$GB$40,$FP$43:$GB$46,$GE$31:$GQ$34,$GE$37:$GQ$40,$GE$43:$GQ$46,$GT$31:$HF$34,$GT$37:$HF$40),MATCH($L$48,$EK$31:$EK$34,0),MATCH($A45,$EL$30:$EX$30,0),MATCH($E$35,$AE$33:$AE$48,0))*$C45</f>
        <v>0</v>
      </c>
      <c r="AA46" s="21">
        <f t="shared" si="62"/>
        <v>0</v>
      </c>
      <c r="AB46" s="21">
        <f t="shared" si="63"/>
        <v>0</v>
      </c>
      <c r="AC46" s="21"/>
      <c r="AD46" s="21"/>
      <c r="AE46" s="21" t="s">
        <v>507</v>
      </c>
      <c r="AF46" s="21">
        <v>2300</v>
      </c>
      <c r="AG46" s="21"/>
      <c r="AH46" s="21"/>
      <c r="AI46" s="21"/>
      <c r="AJ46" s="21"/>
      <c r="AK46" s="21"/>
      <c r="AL46" s="21"/>
      <c r="AM46" s="21"/>
      <c r="AN46" s="21"/>
      <c r="AO46" s="21"/>
      <c r="AP46" s="21"/>
      <c r="AQ46" s="21"/>
      <c r="AR46" s="21"/>
      <c r="AS46" s="21"/>
      <c r="AT46" s="21"/>
      <c r="AU46" s="21"/>
      <c r="AV46" s="21"/>
      <c r="AW46" s="21"/>
      <c r="AX46" s="21"/>
      <c r="AY46" s="21"/>
      <c r="AZ46" s="21"/>
      <c r="BA46" s="21"/>
      <c r="BB46" s="21"/>
      <c r="BC46" s="21"/>
      <c r="BD46" s="21"/>
      <c r="BE46" s="21"/>
      <c r="BF46" s="21"/>
      <c r="BG46" s="189"/>
      <c r="BH46" s="20" t="s">
        <v>779</v>
      </c>
      <c r="BI46" s="20">
        <v>0</v>
      </c>
      <c r="BJ46" s="21">
        <f t="shared" si="91"/>
        <v>0</v>
      </c>
      <c r="BK46" s="21">
        <f t="shared" si="91"/>
        <v>0</v>
      </c>
      <c r="BL46" s="21">
        <f t="shared" si="91"/>
        <v>0</v>
      </c>
      <c r="BM46" s="21">
        <f t="shared" si="91"/>
        <v>6</v>
      </c>
      <c r="BN46" s="21">
        <f t="shared" si="91"/>
        <v>6</v>
      </c>
      <c r="BO46" s="21">
        <f t="shared" si="91"/>
        <v>12</v>
      </c>
      <c r="BP46" s="21">
        <f t="shared" si="91"/>
        <v>12</v>
      </c>
      <c r="BQ46" s="21">
        <f t="shared" si="91"/>
        <v>12</v>
      </c>
      <c r="BR46" s="21">
        <f t="shared" si="91"/>
        <v>12</v>
      </c>
      <c r="BS46" s="21">
        <f t="shared" si="91"/>
        <v>12</v>
      </c>
      <c r="BT46" s="21">
        <f t="shared" si="91"/>
        <v>18</v>
      </c>
      <c r="BU46" s="21">
        <f t="shared" si="91"/>
        <v>18</v>
      </c>
      <c r="BV46" s="21"/>
      <c r="BW46" s="20" t="s">
        <v>779</v>
      </c>
      <c r="BX46" s="21">
        <v>0</v>
      </c>
      <c r="BY46" s="21">
        <f t="shared" si="84"/>
        <v>0</v>
      </c>
      <c r="BZ46" s="21">
        <f t="shared" si="84"/>
        <v>0</v>
      </c>
      <c r="CA46" s="21">
        <f t="shared" si="84"/>
        <v>6</v>
      </c>
      <c r="CB46" s="21">
        <f t="shared" si="84"/>
        <v>6</v>
      </c>
      <c r="CC46" s="21">
        <f t="shared" si="84"/>
        <v>12</v>
      </c>
      <c r="CD46" s="21">
        <f t="shared" si="84"/>
        <v>6</v>
      </c>
      <c r="CE46" s="21">
        <f t="shared" si="84"/>
        <v>12</v>
      </c>
      <c r="CF46" s="21">
        <f t="shared" si="84"/>
        <v>12</v>
      </c>
      <c r="CG46" s="21">
        <f t="shared" si="84"/>
        <v>18</v>
      </c>
      <c r="CH46" s="21">
        <f t="shared" si="84"/>
        <v>18</v>
      </c>
      <c r="CI46" s="21">
        <f t="shared" si="84"/>
        <v>18</v>
      </c>
      <c r="CJ46" s="21">
        <f t="shared" si="84"/>
        <v>24</v>
      </c>
      <c r="CK46" s="21"/>
      <c r="CL46" s="21"/>
      <c r="CM46" s="21"/>
      <c r="CN46" s="20" t="s">
        <v>779</v>
      </c>
      <c r="CO46" s="20">
        <v>0</v>
      </c>
      <c r="CP46" s="21">
        <f t="shared" si="85"/>
        <v>0</v>
      </c>
      <c r="CQ46" s="21">
        <f t="shared" si="85"/>
        <v>0</v>
      </c>
      <c r="CR46" s="21">
        <f t="shared" si="85"/>
        <v>6</v>
      </c>
      <c r="CS46" s="21">
        <f t="shared" si="85"/>
        <v>6</v>
      </c>
      <c r="CT46" s="21">
        <f t="shared" si="85"/>
        <v>12</v>
      </c>
      <c r="CU46" s="21">
        <f t="shared" si="85"/>
        <v>12</v>
      </c>
      <c r="CV46" s="21">
        <f t="shared" si="85"/>
        <v>12</v>
      </c>
      <c r="CW46" s="21">
        <f t="shared" si="85"/>
        <v>18</v>
      </c>
      <c r="CX46" s="21">
        <f t="shared" si="85"/>
        <v>18</v>
      </c>
      <c r="CY46" s="21">
        <f t="shared" si="85"/>
        <v>18</v>
      </c>
      <c r="CZ46" s="21">
        <f t="shared" si="85"/>
        <v>18</v>
      </c>
      <c r="DA46" s="21">
        <f t="shared" si="85"/>
        <v>18</v>
      </c>
      <c r="DB46" s="21"/>
      <c r="DC46" s="20" t="s">
        <v>779</v>
      </c>
      <c r="DD46" s="21">
        <v>0</v>
      </c>
      <c r="DE46" s="21">
        <f t="shared" si="92"/>
        <v>0</v>
      </c>
      <c r="DF46" s="21">
        <f t="shared" si="92"/>
        <v>0</v>
      </c>
      <c r="DG46" s="21">
        <f t="shared" si="92"/>
        <v>6</v>
      </c>
      <c r="DH46" s="21">
        <f t="shared" si="92"/>
        <v>12</v>
      </c>
      <c r="DI46" s="21">
        <f t="shared" si="92"/>
        <v>6</v>
      </c>
      <c r="DJ46" s="21">
        <f t="shared" si="92"/>
        <v>12</v>
      </c>
      <c r="DK46" s="21">
        <f t="shared" si="92"/>
        <v>12</v>
      </c>
      <c r="DL46" s="21">
        <f t="shared" si="92"/>
        <v>18</v>
      </c>
      <c r="DM46" s="21">
        <f t="shared" si="92"/>
        <v>18</v>
      </c>
      <c r="DN46" s="21">
        <f t="shared" si="92"/>
        <v>18</v>
      </c>
      <c r="DO46" s="21">
        <f t="shared" si="92"/>
        <v>18</v>
      </c>
      <c r="DP46" s="21">
        <f t="shared" si="92"/>
        <v>24</v>
      </c>
      <c r="DQ46" s="87"/>
      <c r="DR46" s="87"/>
      <c r="DS46" s="87"/>
      <c r="DT46" s="21"/>
      <c r="DU46" s="21"/>
      <c r="DV46" s="21"/>
      <c r="DW46" s="21"/>
      <c r="DX46" s="21"/>
      <c r="DY46" s="21"/>
      <c r="DZ46" s="21"/>
      <c r="EA46" s="21"/>
      <c r="EB46" s="21"/>
      <c r="EC46" s="21"/>
      <c r="ED46" s="21"/>
      <c r="EE46" s="21"/>
      <c r="EF46" s="21"/>
      <c r="EG46" s="21"/>
      <c r="EH46" s="21"/>
      <c r="EI46" s="21"/>
      <c r="EJ46" s="196"/>
      <c r="EK46" s="20" t="s">
        <v>779</v>
      </c>
      <c r="EL46" s="21">
        <v>0</v>
      </c>
      <c r="EM46" s="21">
        <f t="shared" si="87"/>
        <v>0</v>
      </c>
      <c r="EN46" s="21">
        <f t="shared" si="87"/>
        <v>0</v>
      </c>
      <c r="EO46" s="21">
        <f t="shared" si="87"/>
        <v>0</v>
      </c>
      <c r="EP46" s="21">
        <f t="shared" si="87"/>
        <v>6</v>
      </c>
      <c r="EQ46" s="21">
        <f t="shared" si="87"/>
        <v>12</v>
      </c>
      <c r="ER46" s="21">
        <f t="shared" si="87"/>
        <v>12</v>
      </c>
      <c r="ES46" s="21">
        <f t="shared" si="87"/>
        <v>18</v>
      </c>
      <c r="ET46" s="21">
        <f t="shared" si="87"/>
        <v>18</v>
      </c>
      <c r="EU46" s="21">
        <f t="shared" si="87"/>
        <v>24</v>
      </c>
      <c r="EV46" s="21">
        <f t="shared" si="87"/>
        <v>30</v>
      </c>
      <c r="EW46" s="21">
        <f t="shared" si="87"/>
        <v>30</v>
      </c>
      <c r="EX46" s="21">
        <f t="shared" si="87"/>
        <v>36</v>
      </c>
      <c r="EY46" s="21"/>
      <c r="EZ46" s="20" t="s">
        <v>779</v>
      </c>
      <c r="FA46" s="21">
        <v>0</v>
      </c>
      <c r="FB46" s="21">
        <f t="shared" si="88"/>
        <v>0</v>
      </c>
      <c r="FC46" s="21">
        <f t="shared" si="88"/>
        <v>0</v>
      </c>
      <c r="FD46" s="21">
        <f t="shared" si="88"/>
        <v>6</v>
      </c>
      <c r="FE46" s="21">
        <f t="shared" si="88"/>
        <v>12</v>
      </c>
      <c r="FF46" s="21">
        <f t="shared" si="88"/>
        <v>12</v>
      </c>
      <c r="FG46" s="21">
        <f t="shared" si="88"/>
        <v>18</v>
      </c>
      <c r="FH46" s="21">
        <f t="shared" si="88"/>
        <v>18</v>
      </c>
      <c r="FI46" s="21">
        <f t="shared" si="88"/>
        <v>24</v>
      </c>
      <c r="FJ46" s="21">
        <f t="shared" si="88"/>
        <v>24</v>
      </c>
      <c r="FK46" s="21">
        <f t="shared" si="88"/>
        <v>30</v>
      </c>
      <c r="FL46" s="21">
        <f t="shared" si="88"/>
        <v>36</v>
      </c>
      <c r="FM46" s="21">
        <f t="shared" si="88"/>
        <v>36</v>
      </c>
      <c r="FN46" s="21"/>
      <c r="FO46" s="20" t="s">
        <v>779</v>
      </c>
      <c r="FP46" s="21">
        <v>0</v>
      </c>
      <c r="FQ46" s="21">
        <f t="shared" si="89"/>
        <v>0</v>
      </c>
      <c r="FR46" s="21">
        <f t="shared" si="89"/>
        <v>0</v>
      </c>
      <c r="FS46" s="21">
        <f t="shared" si="89"/>
        <v>6</v>
      </c>
      <c r="FT46" s="21">
        <f t="shared" si="89"/>
        <v>12</v>
      </c>
      <c r="FU46" s="21">
        <f t="shared" si="89"/>
        <v>12</v>
      </c>
      <c r="FV46" s="21">
        <f t="shared" si="89"/>
        <v>18</v>
      </c>
      <c r="FW46" s="21">
        <f t="shared" si="89"/>
        <v>24</v>
      </c>
      <c r="FX46" s="21">
        <f t="shared" si="89"/>
        <v>24</v>
      </c>
      <c r="FY46" s="21">
        <f t="shared" si="89"/>
        <v>30</v>
      </c>
      <c r="FZ46" s="21">
        <f t="shared" si="89"/>
        <v>36</v>
      </c>
      <c r="GA46" s="21">
        <f t="shared" si="89"/>
        <v>36</v>
      </c>
      <c r="GB46" s="21">
        <f t="shared" si="89"/>
        <v>42</v>
      </c>
      <c r="GC46" s="21"/>
      <c r="GD46" s="20" t="s">
        <v>779</v>
      </c>
      <c r="GE46" s="21">
        <v>0</v>
      </c>
      <c r="GF46" s="21">
        <f t="shared" si="90"/>
        <v>0</v>
      </c>
      <c r="GG46" s="21">
        <f t="shared" si="90"/>
        <v>0</v>
      </c>
      <c r="GH46" s="21">
        <f t="shared" si="90"/>
        <v>6</v>
      </c>
      <c r="GI46" s="21">
        <f t="shared" si="90"/>
        <v>12</v>
      </c>
      <c r="GJ46" s="21">
        <f t="shared" si="90"/>
        <v>18</v>
      </c>
      <c r="GK46" s="21">
        <f t="shared" si="90"/>
        <v>18</v>
      </c>
      <c r="GL46" s="21">
        <f t="shared" si="90"/>
        <v>24</v>
      </c>
      <c r="GM46" s="21">
        <f t="shared" si="90"/>
        <v>30</v>
      </c>
      <c r="GN46" s="21">
        <f t="shared" si="90"/>
        <v>30</v>
      </c>
      <c r="GO46" s="21">
        <f t="shared" si="90"/>
        <v>36</v>
      </c>
      <c r="GP46" s="21">
        <f t="shared" si="90"/>
        <v>42</v>
      </c>
      <c r="GQ46" s="21">
        <f t="shared" si="90"/>
        <v>48</v>
      </c>
      <c r="GR46" s="21"/>
      <c r="GS46" s="21"/>
      <c r="GT46" s="21"/>
      <c r="GU46" s="21"/>
      <c r="GV46" s="21"/>
      <c r="GW46" s="21"/>
      <c r="GX46" s="21"/>
      <c r="GY46" s="21"/>
      <c r="GZ46" s="21"/>
      <c r="HA46" s="21"/>
      <c r="HB46" s="21"/>
      <c r="HC46" s="21"/>
      <c r="HD46" s="21"/>
      <c r="HE46" s="21"/>
      <c r="HF46" s="21"/>
      <c r="HG46" s="197"/>
      <c r="HH46" s="21"/>
    </row>
    <row r="47" spans="1:216" x14ac:dyDescent="0.25">
      <c r="A47" s="8"/>
      <c r="B47" s="5" t="s">
        <v>116</v>
      </c>
      <c r="C47" s="8"/>
      <c r="D47" s="40" t="s">
        <v>796</v>
      </c>
      <c r="E47" s="9"/>
      <c r="F47" s="9"/>
      <c r="G47" s="9"/>
      <c r="H47" s="9"/>
      <c r="I47" s="9"/>
      <c r="J47" s="9"/>
      <c r="K47" s="9"/>
      <c r="L47" s="6" t="s">
        <v>522</v>
      </c>
      <c r="M47" s="11">
        <f>INDEX(cennik!$C$2:$L$529,MATCH($L47,cennik!$B$2:$B$522,0),MATCH(M$2,cennik!$C$1:$L$1,0))</f>
        <v>867644</v>
      </c>
      <c r="N47" s="11" t="str">
        <f>INDEX(cennik!$C$2:$L$529,MATCH($L47,cennik!$B$2:$B$522,0),MATCH(N$2,cennik!$C$1:$L$1,0))</f>
        <v>szt.</v>
      </c>
      <c r="O47" s="11">
        <f>SUM(Y35:Y50)</f>
        <v>0</v>
      </c>
      <c r="P47" s="34">
        <f>INDEX(cennik!$C$2:$L$529,MATCH($L47,cennik!$B$2:$B$522,0),MATCH(P$2,cennik!$C$1:$L$1,0))</f>
        <v>176.8</v>
      </c>
      <c r="Q47" s="34">
        <f t="shared" si="68"/>
        <v>0</v>
      </c>
      <c r="R47" s="35">
        <f t="shared" si="66"/>
        <v>0</v>
      </c>
      <c r="S47" s="34">
        <f t="shared" si="67"/>
        <v>176.8</v>
      </c>
      <c r="T47" s="34">
        <f t="shared" si="69"/>
        <v>0</v>
      </c>
      <c r="U47" s="34">
        <f>INDEX(cennik!$C$2:$L$529,MATCH($L47,cennik!$B$2:$B$522,0),MATCH(U$2,cennik!$C$1:$L$1,0))*O47</f>
        <v>0</v>
      </c>
      <c r="V47" s="25"/>
      <c r="W47" s="21">
        <f>INDEX(($EL$31:$EX$34,$FA$31:$FM$34,$EL$37:$EX$40,$EL$43:$EX$46,$FA$37:$FM$40,$FA$43:$FM$46,$FP$31:$GB$34,$FP$37:$GB$40,$FP$43:$GB$46,$GE$31:$GQ$34,$GE$37:$GQ$40,$GE$43:$GQ$46,$GT$31:$HF$34,$GT$37:$HF$40),MATCH($L$49,$EK$31:$EK$34,0),MATCH($A46,$EL$30:$EX$30,0),MATCH($E$35,$AE$33:$AE$48,0))*$C46</f>
        <v>0</v>
      </c>
      <c r="X47" s="21">
        <f>INDEX(($EL$31:$EX$34,$FA$31:$FM$34,$EL$37:$EX$40,$EL$43:$EX$46,$FA$37:$FM$40,$FA$43:$FM$46,$FP$31:$GB$34,$FP$37:$GB$40,$FP$43:$GB$46,$GE$31:$GQ$34,$GE$37:$GQ$40,$GE$43:$GQ$46,$GT$31:$HF$34,$GT$37:$HF$40),MATCH($L$46,$EK$31:$EK$34,0),MATCH($A46,$EL$30:$EX$30,0),MATCH($E$35,$AE$33:$AE$48,0))*$C46</f>
        <v>0</v>
      </c>
      <c r="Y47" s="21">
        <f>INDEX(($EL$31:$EX$34,$FA$31:$FM$34,$EL$37:$EX$40,$EL$43:$EX$46,$FA$37:$FM$40,$FA$43:$FM$46,$FP$31:$GB$34,$FP$37:$GB$40,$FP$43:$GB$46,$GE$31:$GQ$34,$GE$37:$GQ$40,$GE$43:$GQ$46,$GT$31:$HF$34,$GT$37:$HF$40),MATCH($L$47,$EK$31:$EK$34,0),MATCH($A46,$EL$30:$EX$30,0),MATCH($E$35,$AE$33:$AE$48,0))*$C46</f>
        <v>0</v>
      </c>
      <c r="Z47" s="21">
        <f>INDEX(($EL$31:$EX$34,$FA$31:$FM$34,$EL$37:$EX$40,$EL$43:$EX$46,$FA$37:$FM$40,$FA$43:$FM$46,$FP$31:$GB$34,$FP$37:$GB$40,$FP$43:$GB$46,$GE$31:$GQ$34,$GE$37:$GQ$40,$GE$43:$GQ$46,$GT$31:$HF$34,$GT$37:$HF$40),MATCH($L$48,$EK$31:$EK$34,0),MATCH($A46,$EL$30:$EX$30,0),MATCH($E$35,$AE$33:$AE$48,0))*$C46</f>
        <v>0</v>
      </c>
      <c r="AA47" s="21">
        <f t="shared" si="62"/>
        <v>0</v>
      </c>
      <c r="AB47" s="21">
        <f t="shared" si="63"/>
        <v>0</v>
      </c>
      <c r="AC47" s="21"/>
      <c r="AD47" s="21"/>
      <c r="AE47" s="21" t="s">
        <v>763</v>
      </c>
      <c r="AF47" s="21">
        <v>2350</v>
      </c>
      <c r="AG47" s="21"/>
      <c r="AH47" s="21"/>
      <c r="AI47" s="21"/>
      <c r="AJ47" s="21"/>
      <c r="AK47" s="21"/>
      <c r="AL47" s="21"/>
      <c r="AM47" s="21"/>
      <c r="AN47" s="21"/>
      <c r="AO47" s="21"/>
      <c r="AP47" s="21"/>
      <c r="AQ47" s="21"/>
      <c r="AR47" s="186" t="s">
        <v>434</v>
      </c>
      <c r="AS47" s="21"/>
      <c r="AT47" s="21"/>
      <c r="AU47" s="21"/>
      <c r="AV47" s="21"/>
      <c r="AW47" s="21"/>
      <c r="AX47" s="21"/>
      <c r="AY47" s="21"/>
      <c r="AZ47" s="21"/>
      <c r="BA47" s="21"/>
      <c r="BB47" s="21"/>
      <c r="BC47" s="21"/>
      <c r="BD47" s="21"/>
      <c r="BE47" s="21"/>
      <c r="BF47" s="21"/>
      <c r="BG47" s="189"/>
      <c r="BH47" s="21"/>
      <c r="BI47" s="21"/>
      <c r="BJ47" s="21"/>
      <c r="BK47" s="21"/>
      <c r="BL47" s="21"/>
      <c r="BM47" s="21"/>
      <c r="BN47" s="21"/>
      <c r="BO47" s="21"/>
      <c r="BP47" s="21"/>
      <c r="BQ47" s="21"/>
      <c r="BR47" s="21"/>
      <c r="BS47" s="21"/>
      <c r="BT47" s="21"/>
      <c r="BU47" s="21"/>
      <c r="BV47" s="21"/>
      <c r="BW47" s="21"/>
      <c r="BX47" s="21"/>
      <c r="BY47" s="21"/>
      <c r="BZ47" s="21"/>
      <c r="CA47" s="21"/>
      <c r="CB47" s="21"/>
      <c r="CC47" s="21"/>
      <c r="CD47" s="21"/>
      <c r="CE47" s="21"/>
      <c r="CF47" s="21"/>
      <c r="CG47" s="21"/>
      <c r="CH47" s="21"/>
      <c r="CI47" s="21"/>
      <c r="CJ47" s="21"/>
      <c r="CK47" s="21"/>
      <c r="CL47" s="21"/>
      <c r="CM47" s="21"/>
      <c r="CN47" s="21"/>
      <c r="CO47" s="21"/>
      <c r="CP47" s="21"/>
      <c r="CQ47" s="21"/>
      <c r="CR47" s="21"/>
      <c r="CS47" s="21"/>
      <c r="CT47" s="21"/>
      <c r="CU47" s="21"/>
      <c r="CV47" s="21"/>
      <c r="CW47" s="21"/>
      <c r="CX47" s="21"/>
      <c r="CY47" s="21"/>
      <c r="CZ47" s="21"/>
      <c r="DA47" s="21"/>
      <c r="DB47" s="21"/>
      <c r="DC47" s="21"/>
      <c r="DD47" s="21"/>
      <c r="DE47" s="21"/>
      <c r="DF47" s="21"/>
      <c r="DG47" s="21"/>
      <c r="DH47" s="21"/>
      <c r="DI47" s="21"/>
      <c r="DJ47" s="21"/>
      <c r="DK47" s="21"/>
      <c r="DL47" s="21"/>
      <c r="DM47" s="21"/>
      <c r="DN47" s="21"/>
      <c r="DO47" s="21"/>
      <c r="DP47" s="21"/>
      <c r="DQ47" s="87"/>
      <c r="DR47" s="87"/>
      <c r="DS47" s="87"/>
      <c r="DT47" s="21"/>
      <c r="DU47" s="21"/>
      <c r="DV47" s="21"/>
      <c r="DW47" s="21"/>
      <c r="DX47" s="21"/>
      <c r="DY47" s="21"/>
      <c r="DZ47" s="21"/>
      <c r="EA47" s="21"/>
      <c r="EB47" s="21"/>
      <c r="EC47" s="21"/>
      <c r="ED47" s="21"/>
      <c r="EE47" s="21"/>
      <c r="EF47" s="21"/>
      <c r="EG47" s="21"/>
      <c r="EH47" s="21"/>
      <c r="EI47" s="21"/>
      <c r="EJ47" s="196"/>
      <c r="EK47" s="21"/>
      <c r="EL47" s="21"/>
      <c r="EM47" s="21"/>
      <c r="EN47" s="21"/>
      <c r="EO47" s="21"/>
      <c r="EP47" s="21"/>
      <c r="EQ47" s="21"/>
      <c r="ER47" s="21"/>
      <c r="ES47" s="21"/>
      <c r="ET47" s="21"/>
      <c r="EU47" s="21"/>
      <c r="EV47" s="21"/>
      <c r="EW47" s="21"/>
      <c r="EX47" s="21"/>
      <c r="EY47" s="21"/>
      <c r="EZ47" s="21"/>
      <c r="FA47" s="21"/>
      <c r="FB47" s="21"/>
      <c r="FC47" s="21"/>
      <c r="FD47" s="21"/>
      <c r="FE47" s="21"/>
      <c r="FF47" s="21"/>
      <c r="FG47" s="21"/>
      <c r="FH47" s="21"/>
      <c r="FI47" s="21"/>
      <c r="FJ47" s="21"/>
      <c r="FK47" s="21"/>
      <c r="FL47" s="21"/>
      <c r="FM47" s="21"/>
      <c r="FN47" s="21"/>
      <c r="FO47" s="21"/>
      <c r="FP47" s="21"/>
      <c r="FQ47" s="21"/>
      <c r="FR47" s="21"/>
      <c r="FS47" s="21"/>
      <c r="FT47" s="21"/>
      <c r="FU47" s="21"/>
      <c r="FV47" s="21"/>
      <c r="FW47" s="21"/>
      <c r="FX47" s="21"/>
      <c r="FY47" s="21"/>
      <c r="FZ47" s="21"/>
      <c r="GA47" s="21"/>
      <c r="GB47" s="21"/>
      <c r="GC47" s="21"/>
      <c r="GD47" s="21"/>
      <c r="GE47" s="21"/>
      <c r="GF47" s="21"/>
      <c r="GG47" s="21"/>
      <c r="GH47" s="21"/>
      <c r="GI47" s="21"/>
      <c r="GJ47" s="21"/>
      <c r="GK47" s="21"/>
      <c r="GL47" s="21"/>
      <c r="GM47" s="21"/>
      <c r="GN47" s="21"/>
      <c r="GO47" s="21"/>
      <c r="GP47" s="21"/>
      <c r="GQ47" s="21"/>
      <c r="GR47" s="21"/>
      <c r="GS47" s="21"/>
      <c r="GT47" s="21"/>
      <c r="GU47" s="21"/>
      <c r="GV47" s="21"/>
      <c r="GW47" s="21"/>
      <c r="GX47" s="21"/>
      <c r="GY47" s="21"/>
      <c r="GZ47" s="21"/>
      <c r="HA47" s="21"/>
      <c r="HB47" s="21"/>
      <c r="HC47" s="21"/>
      <c r="HD47" s="21"/>
      <c r="HE47" s="21"/>
      <c r="HF47" s="21"/>
      <c r="HG47" s="197"/>
      <c r="HH47" s="21"/>
    </row>
    <row r="48" spans="1:216" ht="15.75" thickBot="1" x14ac:dyDescent="0.3">
      <c r="A48" s="8"/>
      <c r="B48" s="5" t="s">
        <v>116</v>
      </c>
      <c r="C48" s="8"/>
      <c r="D48" s="40" t="s">
        <v>797</v>
      </c>
      <c r="E48" s="9"/>
      <c r="F48" s="9"/>
      <c r="G48" s="9"/>
      <c r="H48" s="9"/>
      <c r="I48" s="9"/>
      <c r="J48" s="9"/>
      <c r="K48" s="9"/>
      <c r="L48" s="6" t="s">
        <v>523</v>
      </c>
      <c r="M48" s="11">
        <f>INDEX(cennik!$C$2:$L$529,MATCH($L48,cennik!$B$2:$B$522,0),MATCH(M$2,cennik!$C$1:$L$1,0))</f>
        <v>867633</v>
      </c>
      <c r="N48" s="11" t="str">
        <f>INDEX(cennik!$C$2:$L$529,MATCH($L48,cennik!$B$2:$B$522,0),MATCH(N$2,cennik!$C$1:$L$1,0))</f>
        <v>szt.</v>
      </c>
      <c r="O48" s="11">
        <f>SUM(Z35:Z50)</f>
        <v>0</v>
      </c>
      <c r="P48" s="34">
        <f>INDEX(cennik!$C$2:$L$529,MATCH($L48,cennik!$B$2:$B$522,0),MATCH(P$2,cennik!$C$1:$L$1,0))</f>
        <v>132.6</v>
      </c>
      <c r="Q48" s="34">
        <f t="shared" si="68"/>
        <v>0</v>
      </c>
      <c r="R48" s="35">
        <f t="shared" si="66"/>
        <v>0</v>
      </c>
      <c r="S48" s="34">
        <f t="shared" si="67"/>
        <v>132.6</v>
      </c>
      <c r="T48" s="34">
        <f t="shared" si="69"/>
        <v>0</v>
      </c>
      <c r="U48" s="34">
        <f>INDEX(cennik!$C$2:$L$529,MATCH($L48,cennik!$B$2:$B$522,0),MATCH(U$2,cennik!$C$1:$L$1,0))*O48</f>
        <v>0</v>
      </c>
      <c r="V48" s="25"/>
      <c r="W48" s="21">
        <f>INDEX(($EL$31:$EX$34,$FA$31:$FM$34,$EL$37:$EX$40,$EL$43:$EX$46,$FA$37:$FM$40,$FA$43:$FM$46,$FP$31:$GB$34,$FP$37:$GB$40,$FP$43:$GB$46,$GE$31:$GQ$34,$GE$37:$GQ$40,$GE$43:$GQ$46,$GT$31:$HF$34,$GT$37:$HF$40),MATCH($L$49,$EK$31:$EK$34,0),MATCH($A47,$EL$30:$EX$30,0),MATCH($E$35,$AE$33:$AE$48,0))*$C47</f>
        <v>0</v>
      </c>
      <c r="X48" s="21">
        <f>INDEX(($EL$31:$EX$34,$FA$31:$FM$34,$EL$37:$EX$40,$EL$43:$EX$46,$FA$37:$FM$40,$FA$43:$FM$46,$FP$31:$GB$34,$FP$37:$GB$40,$FP$43:$GB$46,$GE$31:$GQ$34,$GE$37:$GQ$40,$GE$43:$GQ$46,$GT$31:$HF$34,$GT$37:$HF$40),MATCH($L$46,$EK$31:$EK$34,0),MATCH($A47,$EL$30:$EX$30,0),MATCH($E$35,$AE$33:$AE$48,0))*$C47</f>
        <v>0</v>
      </c>
      <c r="Y48" s="21">
        <f>INDEX(($EL$31:$EX$34,$FA$31:$FM$34,$EL$37:$EX$40,$EL$43:$EX$46,$FA$37:$FM$40,$FA$43:$FM$46,$FP$31:$GB$34,$FP$37:$GB$40,$FP$43:$GB$46,$GE$31:$GQ$34,$GE$37:$GQ$40,$GE$43:$GQ$46,$GT$31:$HF$34,$GT$37:$HF$40),MATCH($L$47,$EK$31:$EK$34,0),MATCH($A47,$EL$30:$EX$30,0),MATCH($E$35,$AE$33:$AE$48,0))*$C47</f>
        <v>0</v>
      </c>
      <c r="Z48" s="21">
        <f>INDEX(($EL$31:$EX$34,$FA$31:$FM$34,$EL$37:$EX$40,$EL$43:$EX$46,$FA$37:$FM$40,$FA$43:$FM$46,$FP$31:$GB$34,$FP$37:$GB$40,$FP$43:$GB$46,$GE$31:$GQ$34,$GE$37:$GQ$40,$GE$43:$GQ$46,$GT$31:$HF$34,$GT$37:$HF$40),MATCH($L$48,$EK$31:$EK$34,0),MATCH($A47,$EL$30:$EX$30,0),MATCH($E$35,$AE$33:$AE$48,0))*$C47</f>
        <v>0</v>
      </c>
      <c r="AA48" s="21">
        <f t="shared" si="62"/>
        <v>0</v>
      </c>
      <c r="AB48" s="21">
        <f t="shared" si="63"/>
        <v>0</v>
      </c>
      <c r="AC48" s="21"/>
      <c r="AD48" s="21"/>
      <c r="AE48" s="21" t="s">
        <v>764</v>
      </c>
      <c r="AF48" s="21">
        <v>2400</v>
      </c>
      <c r="AG48" s="21"/>
      <c r="AH48" s="21"/>
      <c r="AI48" s="21"/>
      <c r="AJ48" s="21"/>
      <c r="AK48" s="21"/>
      <c r="AL48" s="21"/>
      <c r="AM48" s="21"/>
      <c r="AN48" s="21"/>
      <c r="AO48" s="21"/>
      <c r="AP48" s="21"/>
      <c r="AQ48" s="21"/>
      <c r="AR48" s="21" t="s">
        <v>717</v>
      </c>
      <c r="AS48" s="21" t="s">
        <v>1157</v>
      </c>
      <c r="AT48" s="21">
        <v>2</v>
      </c>
      <c r="AU48" s="21" t="s">
        <v>1022</v>
      </c>
      <c r="AV48" s="21">
        <v>4</v>
      </c>
      <c r="AW48" s="21">
        <v>5</v>
      </c>
      <c r="AX48" s="21"/>
      <c r="AY48" s="21"/>
      <c r="AZ48" s="21"/>
      <c r="BA48" s="21"/>
      <c r="BB48" s="21"/>
      <c r="BC48" s="21"/>
      <c r="BD48" s="21"/>
      <c r="BE48" s="21"/>
      <c r="BF48" s="21"/>
      <c r="BG48" s="21"/>
      <c r="BH48" s="21"/>
      <c r="BI48" s="21"/>
      <c r="BJ48" s="21"/>
      <c r="BK48" s="21"/>
      <c r="BL48" s="21"/>
      <c r="BM48" s="21"/>
      <c r="BN48" s="21"/>
      <c r="BO48" s="21"/>
      <c r="BP48" s="21"/>
      <c r="BQ48" s="21"/>
      <c r="BR48" s="21"/>
      <c r="BS48" s="21"/>
      <c r="BT48" s="21"/>
      <c r="BU48" s="21"/>
      <c r="BV48" s="21"/>
      <c r="BW48" s="21"/>
      <c r="BX48" s="21"/>
      <c r="BY48" s="21"/>
      <c r="BZ48" s="21"/>
      <c r="CA48" s="21"/>
      <c r="CB48" s="21"/>
      <c r="CC48" s="21"/>
      <c r="CD48" s="21"/>
      <c r="CE48" s="21"/>
      <c r="CF48" s="21"/>
      <c r="CG48" s="21"/>
      <c r="CH48" s="21"/>
      <c r="CI48" s="21"/>
      <c r="CJ48" s="21"/>
      <c r="CK48" s="21"/>
      <c r="CL48" s="21"/>
      <c r="CM48" s="21"/>
      <c r="CN48" s="21"/>
      <c r="CO48" s="21"/>
      <c r="CP48" s="21"/>
      <c r="CQ48" s="21"/>
      <c r="CR48" s="21"/>
      <c r="CS48" s="21"/>
      <c r="CT48" s="21"/>
      <c r="CU48" s="21"/>
      <c r="CV48" s="21"/>
      <c r="CW48" s="21"/>
      <c r="CX48" s="21"/>
      <c r="CY48" s="21"/>
      <c r="CZ48" s="21"/>
      <c r="DA48" s="21"/>
      <c r="DB48" s="21"/>
      <c r="DC48" s="21"/>
      <c r="DD48" s="21"/>
      <c r="DE48" s="21"/>
      <c r="DF48" s="21"/>
      <c r="DG48" s="21"/>
      <c r="DH48" s="21"/>
      <c r="DI48" s="21"/>
      <c r="DJ48" s="21"/>
      <c r="DK48" s="21"/>
      <c r="DL48" s="21"/>
      <c r="DM48" s="21"/>
      <c r="DN48" s="21"/>
      <c r="DO48" s="21"/>
      <c r="DP48" s="21"/>
      <c r="DQ48" s="87"/>
      <c r="DR48" s="87"/>
      <c r="DS48" s="87"/>
      <c r="DT48" s="21"/>
      <c r="DU48" s="21"/>
      <c r="DV48" s="21"/>
      <c r="DW48" s="21"/>
      <c r="DX48" s="21"/>
      <c r="DY48" s="21"/>
      <c r="DZ48" s="21"/>
      <c r="EA48" s="21"/>
      <c r="EB48" s="21"/>
      <c r="EC48" s="21"/>
      <c r="ED48" s="21"/>
      <c r="EE48" s="21"/>
      <c r="EF48" s="21"/>
      <c r="EG48" s="21"/>
      <c r="EH48" s="21"/>
      <c r="EI48" s="21"/>
      <c r="EJ48" s="203"/>
      <c r="EK48" s="204"/>
      <c r="EL48" s="204"/>
      <c r="EM48" s="204"/>
      <c r="EN48" s="204"/>
      <c r="EO48" s="204"/>
      <c r="EP48" s="204"/>
      <c r="EQ48" s="204"/>
      <c r="ER48" s="204"/>
      <c r="ES48" s="204"/>
      <c r="ET48" s="204"/>
      <c r="EU48" s="204"/>
      <c r="EV48" s="204"/>
      <c r="EW48" s="204"/>
      <c r="EX48" s="204"/>
      <c r="EY48" s="204"/>
      <c r="EZ48" s="204"/>
      <c r="FA48" s="204"/>
      <c r="FB48" s="204"/>
      <c r="FC48" s="204"/>
      <c r="FD48" s="204"/>
      <c r="FE48" s="204"/>
      <c r="FF48" s="204"/>
      <c r="FG48" s="204"/>
      <c r="FH48" s="204"/>
      <c r="FI48" s="204"/>
      <c r="FJ48" s="204"/>
      <c r="FK48" s="204"/>
      <c r="FL48" s="204"/>
      <c r="FM48" s="204"/>
      <c r="FN48" s="204"/>
      <c r="FO48" s="204"/>
      <c r="FP48" s="204"/>
      <c r="FQ48" s="204"/>
      <c r="FR48" s="204"/>
      <c r="FS48" s="204"/>
      <c r="FT48" s="204"/>
      <c r="FU48" s="204"/>
      <c r="FV48" s="204"/>
      <c r="FW48" s="204"/>
      <c r="FX48" s="204"/>
      <c r="FY48" s="204"/>
      <c r="FZ48" s="204"/>
      <c r="GA48" s="204"/>
      <c r="GB48" s="204"/>
      <c r="GC48" s="204"/>
      <c r="GD48" s="204"/>
      <c r="GE48" s="204"/>
      <c r="GF48" s="204"/>
      <c r="GG48" s="204"/>
      <c r="GH48" s="204"/>
      <c r="GI48" s="204"/>
      <c r="GJ48" s="204"/>
      <c r="GK48" s="204"/>
      <c r="GL48" s="204"/>
      <c r="GM48" s="204"/>
      <c r="GN48" s="204"/>
      <c r="GO48" s="204"/>
      <c r="GP48" s="204"/>
      <c r="GQ48" s="204"/>
      <c r="GR48" s="204"/>
      <c r="GS48" s="204"/>
      <c r="GT48" s="204"/>
      <c r="GU48" s="204"/>
      <c r="GV48" s="204"/>
      <c r="GW48" s="204"/>
      <c r="GX48" s="204"/>
      <c r="GY48" s="204"/>
      <c r="GZ48" s="204"/>
      <c r="HA48" s="204"/>
      <c r="HB48" s="204"/>
      <c r="HC48" s="204"/>
      <c r="HD48" s="204"/>
      <c r="HE48" s="204"/>
      <c r="HF48" s="204"/>
      <c r="HG48" s="205"/>
      <c r="HH48" s="21"/>
    </row>
    <row r="49" spans="1:216" x14ac:dyDescent="0.25">
      <c r="A49" s="8"/>
      <c r="B49" s="5" t="s">
        <v>116</v>
      </c>
      <c r="C49" s="8"/>
      <c r="D49" s="40" t="s">
        <v>798</v>
      </c>
      <c r="E49" s="9"/>
      <c r="F49" s="9"/>
      <c r="G49" s="9"/>
      <c r="H49" s="9"/>
      <c r="I49" s="9"/>
      <c r="J49" s="9"/>
      <c r="K49" s="9"/>
      <c r="L49" s="6" t="s">
        <v>779</v>
      </c>
      <c r="M49" s="11">
        <f>INDEX(cennik!$C$2:$L$529,MATCH($L49,cennik!$B$2:$B$522,0),MATCH(M$2,cennik!$C$1:$L$1,0))</f>
        <v>856105</v>
      </c>
      <c r="N49" s="11" t="str">
        <f>INDEX(cennik!$C$2:$L$529,MATCH($L49,cennik!$B$2:$B$522,0),MATCH(N$2,cennik!$C$1:$L$1,0))</f>
        <v>szt.</v>
      </c>
      <c r="O49" s="11">
        <f>SUM(W35:W50)</f>
        <v>0</v>
      </c>
      <c r="P49" s="34">
        <f>INDEX(cennik!$C$2:$L$529,MATCH($L49,cennik!$B$2:$B$522,0),MATCH(P$2,cennik!$C$1:$L$1,0))</f>
        <v>21.81</v>
      </c>
      <c r="Q49" s="34">
        <f t="shared" si="68"/>
        <v>0</v>
      </c>
      <c r="R49" s="35">
        <f t="shared" si="66"/>
        <v>0</v>
      </c>
      <c r="S49" s="34">
        <f t="shared" si="67"/>
        <v>21.81</v>
      </c>
      <c r="T49" s="34">
        <f t="shared" si="69"/>
        <v>0</v>
      </c>
      <c r="U49" s="34">
        <f>INDEX(cennik!$C$2:$L$529,MATCH($L49,cennik!$B$2:$B$522,0),MATCH(U$2,cennik!$C$1:$L$1,0))*O49</f>
        <v>0</v>
      </c>
      <c r="V49" s="25"/>
      <c r="W49" s="21">
        <f>INDEX(($EL$31:$EX$34,$FA$31:$FM$34,$EL$37:$EX$40,$EL$43:$EX$46,$FA$37:$FM$40,$FA$43:$FM$46,$FP$31:$GB$34,$FP$37:$GB$40,$FP$43:$GB$46,$GE$31:$GQ$34,$GE$37:$GQ$40,$GE$43:$GQ$46,$GT$31:$HF$34,$GT$37:$HF$40),MATCH($L$49,$EK$31:$EK$34,0),MATCH($A48,$EL$30:$EX$30,0),MATCH($E$35,$AE$33:$AE$48,0))*$C48</f>
        <v>0</v>
      </c>
      <c r="X49" s="21">
        <f>INDEX(($EL$31:$EX$34,$FA$31:$FM$34,$EL$37:$EX$40,$EL$43:$EX$46,$FA$37:$FM$40,$FA$43:$FM$46,$FP$31:$GB$34,$FP$37:$GB$40,$FP$43:$GB$46,$GE$31:$GQ$34,$GE$37:$GQ$40,$GE$43:$GQ$46,$GT$31:$HF$34,$GT$37:$HF$40),MATCH($L$46,$EK$31:$EK$34,0),MATCH($A48,$EL$30:$EX$30,0),MATCH($E$35,$AE$33:$AE$48,0))*$C48</f>
        <v>0</v>
      </c>
      <c r="Y49" s="21">
        <f>INDEX(($EL$31:$EX$34,$FA$31:$FM$34,$EL$37:$EX$40,$EL$43:$EX$46,$FA$37:$FM$40,$FA$43:$FM$46,$FP$31:$GB$34,$FP$37:$GB$40,$FP$43:$GB$46,$GE$31:$GQ$34,$GE$37:$GQ$40,$GE$43:$GQ$46,$GT$31:$HF$34,$GT$37:$HF$40),MATCH($L$47,$EK$31:$EK$34,0),MATCH($A48,$EL$30:$EX$30,0),MATCH($E$35,$AE$33:$AE$48,0))*$C48</f>
        <v>0</v>
      </c>
      <c r="Z49" s="21">
        <f>INDEX(($EL$31:$EX$34,$FA$31:$FM$34,$EL$37:$EX$40,$EL$43:$EX$46,$FA$37:$FM$40,$FA$43:$FM$46,$FP$31:$GB$34,$FP$37:$GB$40,$FP$43:$GB$46,$GE$31:$GQ$34,$GE$37:$GQ$40,$GE$43:$GQ$46,$GT$31:$HF$34,$GT$37:$HF$40),MATCH($L$48,$EK$31:$EK$34,0),MATCH($A48,$EL$30:$EX$30,0),MATCH($E$35,$AE$33:$AE$48,0))*$C48</f>
        <v>0</v>
      </c>
      <c r="AA49" s="21"/>
      <c r="AB49" s="21"/>
      <c r="AC49" s="21"/>
      <c r="AD49" s="21"/>
      <c r="AE49" s="21" t="s">
        <v>832</v>
      </c>
      <c r="AF49" s="21">
        <v>2450</v>
      </c>
      <c r="AG49" s="21"/>
      <c r="AH49" s="21"/>
      <c r="AI49" s="21"/>
      <c r="AJ49" s="21"/>
      <c r="AK49" s="21"/>
      <c r="AL49" s="21"/>
      <c r="AM49" s="21"/>
      <c r="AN49" s="21"/>
      <c r="AO49" s="21"/>
      <c r="AP49" s="21"/>
      <c r="AQ49" s="21"/>
      <c r="AR49" s="21">
        <v>1</v>
      </c>
      <c r="AS49" s="21">
        <v>2900</v>
      </c>
      <c r="AT49" s="21">
        <v>2900</v>
      </c>
      <c r="AU49" s="21">
        <v>2400</v>
      </c>
      <c r="AV49" s="21">
        <v>2400</v>
      </c>
      <c r="AW49" s="21" t="s">
        <v>719</v>
      </c>
      <c r="AX49" s="21"/>
      <c r="AY49" s="21"/>
      <c r="AZ49" s="21"/>
      <c r="BA49" s="21"/>
      <c r="BB49" s="21"/>
      <c r="BC49" s="21"/>
      <c r="BD49" s="21"/>
      <c r="BE49" s="21"/>
      <c r="BF49" s="21"/>
      <c r="BG49" s="21"/>
      <c r="BH49" s="21"/>
      <c r="BI49" s="21"/>
      <c r="BJ49" s="21"/>
      <c r="BK49" s="21"/>
      <c r="BL49" s="21"/>
      <c r="BM49" s="21"/>
      <c r="BN49" s="21"/>
      <c r="BO49" s="21"/>
      <c r="BP49" s="21"/>
      <c r="BQ49" s="21"/>
      <c r="BR49" s="21"/>
      <c r="BS49" s="21"/>
      <c r="BT49" s="21"/>
      <c r="BU49" s="21"/>
      <c r="BV49" s="21"/>
      <c r="BW49" s="21"/>
      <c r="BX49" s="21"/>
      <c r="BY49" s="21"/>
      <c r="BZ49" s="21"/>
      <c r="CA49" s="21"/>
      <c r="CB49" s="21"/>
      <c r="CC49" s="21"/>
      <c r="CD49" s="21"/>
      <c r="CE49" s="21"/>
      <c r="CF49" s="21"/>
      <c r="CG49" s="21"/>
      <c r="CH49" s="21"/>
      <c r="CI49" s="21"/>
      <c r="CJ49" s="21"/>
      <c r="CK49" s="21"/>
      <c r="CL49" s="21"/>
      <c r="CM49" s="21"/>
      <c r="CN49" s="21"/>
      <c r="CO49" s="21"/>
      <c r="CP49" s="21"/>
      <c r="CQ49" s="21"/>
      <c r="CR49" s="21"/>
      <c r="CS49" s="21"/>
      <c r="CT49" s="21"/>
      <c r="CU49" s="21"/>
      <c r="CV49" s="21"/>
      <c r="CW49" s="21"/>
      <c r="CX49" s="21"/>
      <c r="CY49" s="21"/>
      <c r="CZ49" s="21"/>
      <c r="DA49" s="21"/>
      <c r="DB49" s="21"/>
      <c r="DC49" s="21"/>
      <c r="DD49" s="21"/>
      <c r="DE49" s="21"/>
      <c r="DF49" s="21"/>
      <c r="DG49" s="21"/>
      <c r="DH49" s="21"/>
      <c r="DI49" s="21"/>
      <c r="DJ49" s="21"/>
      <c r="DK49" s="21"/>
      <c r="DL49" s="21"/>
      <c r="DM49" s="21"/>
      <c r="DN49" s="21"/>
      <c r="DO49" s="21"/>
      <c r="DP49" s="21"/>
      <c r="DQ49" s="87"/>
      <c r="DR49" s="87"/>
      <c r="DS49" s="87"/>
      <c r="DT49" s="21"/>
      <c r="DU49" s="21"/>
      <c r="DV49" s="21"/>
      <c r="DW49" s="21"/>
      <c r="DX49" s="21"/>
      <c r="DY49" s="21"/>
      <c r="DZ49" s="21"/>
      <c r="EA49" s="21"/>
      <c r="EB49" s="21"/>
      <c r="EC49" s="21"/>
      <c r="ED49" s="21"/>
      <c r="EE49" s="21"/>
      <c r="EF49" s="21"/>
      <c r="EG49" s="21"/>
      <c r="EH49" s="21"/>
      <c r="EI49" s="21"/>
      <c r="EJ49" s="21"/>
      <c r="EK49" s="21"/>
      <c r="EL49" s="21"/>
      <c r="EM49" s="21"/>
      <c r="EN49" s="21"/>
      <c r="EO49" s="21"/>
      <c r="EP49" s="21"/>
      <c r="EQ49" s="21"/>
      <c r="ER49" s="21"/>
      <c r="ES49" s="21"/>
      <c r="ET49" s="21"/>
      <c r="EU49" s="21"/>
      <c r="EV49" s="21"/>
      <c r="EW49" s="21"/>
      <c r="EX49" s="21"/>
      <c r="EY49" s="21"/>
      <c r="EZ49" s="21"/>
      <c r="FA49" s="21"/>
      <c r="FB49" s="21"/>
      <c r="FC49" s="21"/>
      <c r="FD49" s="21"/>
      <c r="FE49" s="21"/>
      <c r="FF49" s="21"/>
      <c r="FG49" s="21"/>
      <c r="FH49" s="21"/>
      <c r="FI49" s="21"/>
      <c r="FJ49" s="21"/>
      <c r="FK49" s="21"/>
      <c r="FL49" s="21"/>
      <c r="FM49" s="21"/>
      <c r="FN49" s="21"/>
      <c r="FO49" s="21"/>
      <c r="FP49" s="21"/>
      <c r="FQ49" s="21"/>
      <c r="FR49" s="21"/>
      <c r="FS49" s="21"/>
      <c r="FT49" s="21"/>
      <c r="FU49" s="21"/>
      <c r="FV49" s="21"/>
      <c r="FW49" s="21"/>
      <c r="FX49" s="21"/>
      <c r="FY49" s="21"/>
      <c r="FZ49" s="21"/>
      <c r="GA49" s="21"/>
      <c r="GB49" s="21"/>
      <c r="GC49" s="21"/>
      <c r="GD49" s="21"/>
      <c r="GE49" s="21"/>
      <c r="GF49" s="21"/>
      <c r="GG49" s="21"/>
      <c r="GH49" s="21"/>
      <c r="GI49" s="21"/>
      <c r="GJ49" s="21"/>
      <c r="GK49" s="21"/>
      <c r="GL49" s="21"/>
      <c r="GM49" s="21"/>
      <c r="GN49" s="21"/>
      <c r="GO49" s="21"/>
      <c r="GP49" s="21"/>
      <c r="GQ49" s="21"/>
      <c r="GR49" s="21"/>
      <c r="GS49" s="21"/>
      <c r="GT49" s="21"/>
      <c r="GU49" s="21"/>
      <c r="GV49" s="21"/>
      <c r="GW49" s="21"/>
      <c r="GX49" s="21"/>
      <c r="GY49" s="21"/>
      <c r="GZ49" s="21"/>
      <c r="HA49" s="21"/>
      <c r="HB49" s="21"/>
      <c r="HC49" s="21"/>
      <c r="HD49" s="21"/>
      <c r="HE49" s="21"/>
      <c r="HF49" s="21"/>
      <c r="HG49" s="21"/>
      <c r="HH49" s="21"/>
    </row>
    <row r="50" spans="1:216" x14ac:dyDescent="0.25">
      <c r="A50" s="9"/>
      <c r="B50" s="6"/>
      <c r="C50" s="9"/>
      <c r="D50" s="9"/>
      <c r="E50" s="9"/>
      <c r="F50" s="9"/>
      <c r="G50" s="9"/>
      <c r="H50" s="9"/>
      <c r="I50" s="9"/>
      <c r="J50" s="9"/>
      <c r="K50" s="9"/>
      <c r="L50" s="6" t="str">
        <f>INDEX(($AH$3:$AI$12),MATCH(I35,$AG$3:$AG$12,0),MATCH(E36,$AH$2:$AI$2,0))</f>
        <v>BUF35</v>
      </c>
      <c r="M50" s="11">
        <f>INDEX(cennik!$C$2:$L$529,MATCH($L50,cennik!$B$2:$B$522,0),MATCH(M$2,cennik!$C$1:$L$1,0))</f>
        <v>897335</v>
      </c>
      <c r="N50" s="11" t="str">
        <f>INDEX(cennik!$C$2:$L$529,MATCH($L50,cennik!$B$2:$B$522,0),MATCH(N$2,cennik!$C$1:$L$1,0))</f>
        <v>szt.</v>
      </c>
      <c r="O50" s="11">
        <f>SUM((A34/5*4*C34),(A35/5*4*C35),(A36/5*4*C36),(A37/5*4*C37),(A38/5*4*C38),(A39/5*4*C39),(A40/5*4*C40),(A41/5*4*C41),(A42/5*4*C42),(A43/5*4*C43),(A44/5*4*C44),(A45/5*4*C45),(A46/5*4*C46),(A47/5*4*C47),(A48/5*4*C48),(A49/5*4*C49))</f>
        <v>0</v>
      </c>
      <c r="P50" s="34">
        <f>INDEX(cennik!$C$2:$L$529,MATCH($L50,cennik!$B$2:$B$522,0),MATCH(P$2,cennik!$C$1:$L$1,0))</f>
        <v>1.92</v>
      </c>
      <c r="Q50" s="34">
        <f t="shared" si="68"/>
        <v>0</v>
      </c>
      <c r="R50" s="35">
        <f t="shared" si="66"/>
        <v>0</v>
      </c>
      <c r="S50" s="34">
        <f t="shared" si="67"/>
        <v>1.92</v>
      </c>
      <c r="T50" s="34">
        <f t="shared" si="69"/>
        <v>0</v>
      </c>
      <c r="U50" s="34">
        <f>INDEX(cennik!$C$2:$L$529,MATCH($L50,cennik!$B$2:$B$522,0),MATCH(U$2,cennik!$C$1:$L$1,0))*O50</f>
        <v>0</v>
      </c>
      <c r="V50" s="25"/>
      <c r="W50" s="21">
        <f>INDEX(($EL$31:$EX$34,$FA$31:$FM$34,$EL$37:$EX$40,$EL$43:$EX$46,$FA$37:$FM$40,$FA$43:$FM$46,$FP$31:$GB$34,$FP$37:$GB$40,$FP$43:$GB$46,$GE$31:$GQ$34,$GE$37:$GQ$40,$GE$43:$GQ$46,$GT$31:$HF$34,$GT$37:$HF$40),MATCH($L$49,$EK$31:$EK$34,0),MATCH($A49,$EL$30:$EX$30,0),MATCH($E$35,$AE$33:$AE$48,0))*$C49</f>
        <v>0</v>
      </c>
      <c r="X50" s="21">
        <f>INDEX(($EL$31:$EX$34,$FA$31:$FM$34,$EL$37:$EX$40,$EL$43:$EX$46,$FA$37:$FM$40,$FA$43:$FM$46,$FP$31:$GB$34,$FP$37:$GB$40,$FP$43:$GB$46,$GE$31:$GQ$34,$GE$37:$GQ$40,$GE$43:$GQ$46,$GT$31:$HF$34,$GT$37:$HF$40),MATCH($L$46,$EK$31:$EK$34,0),MATCH($A49,$EL$30:$EX$30,0),MATCH($E$35,$AE$33:$AE$48,0))*$C49</f>
        <v>0</v>
      </c>
      <c r="Y50" s="21">
        <f>INDEX(($EL$31:$EX$34,$FA$31:$FM$34,$EL$37:$EX$40,$EL$43:$EX$46,$FA$37:$FM$40,$FA$43:$FM$46,$FP$31:$GB$34,$FP$37:$GB$40,$FP$43:$GB$46,$GE$31:$GQ$34,$GE$37:$GQ$40,$GE$43:$GQ$46,$GT$31:$HF$34,$GT$37:$HF$40),MATCH($L$47,$EK$31:$EK$34,0),MATCH($A49,$EL$30:$EX$30,0),MATCH($E$35,$AE$33:$AE$48,0))*$C49</f>
        <v>0</v>
      </c>
      <c r="Z50" s="21">
        <f>INDEX(($EL$31:$EX$34,$FA$31:$FM$34,$EL$37:$EX$40,$EL$43:$EX$46,$FA$37:$FM$40,$FA$43:$FM$46,$FP$31:$GB$34,$FP$37:$GB$40,$FP$43:$GB$46,$GE$31:$GQ$34,$GE$37:$GQ$40,$GE$43:$GQ$46,$GT$31:$HF$34,$GT$37:$HF$40),MATCH($L$48,$EK$31:$EK$34,0),MATCH($A49,$EL$30:$EX$30,0),MATCH($E$35,$AE$33:$AE$48,0))*$C49</f>
        <v>0</v>
      </c>
      <c r="AA50" s="21"/>
      <c r="AB50" s="21"/>
      <c r="AC50" s="21"/>
      <c r="AD50" s="21"/>
      <c r="AE50" s="21" t="s">
        <v>833</v>
      </c>
      <c r="AF50" s="21">
        <v>2500</v>
      </c>
      <c r="AG50" s="21"/>
      <c r="AH50" s="21"/>
      <c r="AI50" s="21"/>
      <c r="AJ50" s="21"/>
      <c r="AK50" s="21"/>
      <c r="AL50" s="21"/>
      <c r="AM50" s="21"/>
      <c r="AN50" s="21"/>
      <c r="AO50" s="21"/>
      <c r="AP50" s="21"/>
      <c r="AQ50" s="21"/>
      <c r="AR50" s="21">
        <v>2</v>
      </c>
      <c r="AS50" s="21" t="s">
        <v>719</v>
      </c>
      <c r="AT50" s="21">
        <v>2000</v>
      </c>
      <c r="AU50" s="21">
        <v>2000</v>
      </c>
      <c r="AV50" s="21" t="s">
        <v>719</v>
      </c>
      <c r="AW50" s="21" t="s">
        <v>719</v>
      </c>
      <c r="AX50" s="21"/>
      <c r="AY50" s="21"/>
      <c r="AZ50" s="21"/>
      <c r="BA50" s="21"/>
      <c r="BB50" s="21"/>
      <c r="BC50" s="21"/>
      <c r="BD50" s="21"/>
      <c r="BE50" s="21"/>
      <c r="BF50" s="21"/>
      <c r="BG50" s="21"/>
      <c r="BH50" s="21"/>
      <c r="BI50" s="21"/>
      <c r="BJ50" s="21"/>
      <c r="BK50" s="21"/>
      <c r="BL50" s="21"/>
      <c r="BM50" s="21"/>
      <c r="BN50" s="21"/>
      <c r="BO50" s="21"/>
      <c r="BP50" s="21"/>
      <c r="BQ50" s="21"/>
      <c r="BR50" s="21"/>
      <c r="BS50" s="21"/>
      <c r="BT50" s="21"/>
      <c r="BU50" s="21"/>
      <c r="BV50" s="21"/>
      <c r="BW50" s="21"/>
      <c r="BX50" s="21"/>
      <c r="BY50" s="21"/>
      <c r="BZ50" s="21"/>
      <c r="CA50" s="21"/>
      <c r="CB50" s="21"/>
      <c r="CC50" s="21"/>
      <c r="CD50" s="21"/>
      <c r="CE50" s="21"/>
      <c r="CF50" s="21"/>
      <c r="CG50" s="21"/>
      <c r="CH50" s="21"/>
      <c r="CI50" s="21"/>
      <c r="CJ50" s="21"/>
      <c r="CK50" s="21"/>
      <c r="CL50" s="21"/>
      <c r="CM50" s="21"/>
      <c r="CN50" s="21"/>
      <c r="CO50" s="21"/>
      <c r="CP50" s="21"/>
      <c r="CQ50" s="21"/>
      <c r="CR50" s="21"/>
      <c r="CS50" s="21"/>
      <c r="CT50" s="21"/>
      <c r="CU50" s="21"/>
      <c r="CV50" s="21"/>
      <c r="CW50" s="21"/>
      <c r="CX50" s="21"/>
      <c r="CY50" s="21"/>
      <c r="CZ50" s="21"/>
      <c r="DA50" s="21"/>
      <c r="DB50" s="21"/>
      <c r="DC50" s="21"/>
      <c r="DD50" s="21"/>
      <c r="DE50" s="21"/>
      <c r="DF50" s="21"/>
      <c r="DG50" s="21"/>
      <c r="DH50" s="21"/>
      <c r="DI50" s="21"/>
      <c r="DJ50" s="21"/>
      <c r="DK50" s="21"/>
      <c r="DL50" s="21"/>
      <c r="DM50" s="21"/>
      <c r="DN50" s="21"/>
      <c r="DO50" s="21"/>
      <c r="DP50" s="21"/>
      <c r="DQ50" s="87"/>
      <c r="DR50" s="87"/>
      <c r="DS50" s="87"/>
      <c r="DT50" s="21"/>
      <c r="DU50" s="21"/>
      <c r="DV50" s="21"/>
      <c r="DW50" s="21"/>
      <c r="DX50" s="21"/>
      <c r="DY50" s="21"/>
      <c r="DZ50" s="21"/>
      <c r="EA50" s="21"/>
      <c r="EB50" s="21"/>
      <c r="EC50" s="21"/>
      <c r="ED50" s="21"/>
      <c r="EE50" s="21"/>
      <c r="EF50" s="21"/>
      <c r="EG50" s="21"/>
      <c r="EH50" s="21"/>
      <c r="EI50" s="21"/>
      <c r="EJ50" s="21"/>
      <c r="EK50" s="21"/>
      <c r="EL50" s="21"/>
      <c r="EM50" s="21"/>
      <c r="EN50" s="21"/>
      <c r="EO50" s="21"/>
      <c r="EP50" s="21"/>
      <c r="EQ50" s="21"/>
      <c r="ER50" s="21"/>
      <c r="ES50" s="21"/>
      <c r="ET50" s="21"/>
      <c r="EU50" s="21"/>
      <c r="EV50" s="21"/>
      <c r="EW50" s="21"/>
      <c r="EX50" s="21"/>
      <c r="EY50" s="21"/>
      <c r="EZ50" s="21"/>
      <c r="FA50" s="21"/>
      <c r="FB50" s="21"/>
      <c r="FC50" s="21"/>
      <c r="FD50" s="21"/>
      <c r="FE50" s="21"/>
      <c r="FF50" s="21"/>
      <c r="FG50" s="21"/>
      <c r="FH50" s="21"/>
      <c r="FI50" s="21"/>
      <c r="FJ50" s="21"/>
      <c r="FK50" s="21"/>
      <c r="FL50" s="21"/>
      <c r="FM50" s="21"/>
      <c r="FN50" s="21"/>
      <c r="FO50" s="21"/>
      <c r="FP50" s="21"/>
      <c r="FQ50" s="21"/>
      <c r="FR50" s="21"/>
      <c r="FS50" s="21"/>
      <c r="FT50" s="21"/>
      <c r="FU50" s="21"/>
      <c r="FV50" s="21"/>
      <c r="FW50" s="21"/>
      <c r="FX50" s="21"/>
      <c r="FY50" s="21"/>
      <c r="FZ50" s="21"/>
      <c r="GA50" s="21"/>
      <c r="GB50" s="21"/>
      <c r="GC50" s="21"/>
      <c r="GD50" s="21"/>
      <c r="GE50" s="21"/>
      <c r="GF50" s="21"/>
      <c r="GG50" s="21"/>
      <c r="GH50" s="21"/>
      <c r="GI50" s="21"/>
      <c r="GJ50" s="21"/>
      <c r="GK50" s="21"/>
      <c r="GL50" s="21"/>
      <c r="GM50" s="21"/>
      <c r="GN50" s="21"/>
      <c r="GO50" s="21"/>
      <c r="GP50" s="21"/>
      <c r="GQ50" s="21"/>
      <c r="GR50" s="21"/>
      <c r="GS50" s="21"/>
      <c r="GT50" s="21"/>
      <c r="GU50" s="21"/>
      <c r="GV50" s="21"/>
      <c r="GW50" s="21"/>
      <c r="GX50" s="21"/>
      <c r="GY50" s="21"/>
      <c r="GZ50" s="21"/>
      <c r="HA50" s="21"/>
      <c r="HB50" s="21"/>
      <c r="HC50" s="21"/>
      <c r="HD50" s="21"/>
      <c r="HE50" s="21"/>
      <c r="HF50" s="21"/>
      <c r="HG50" s="21"/>
      <c r="HH50" s="21"/>
    </row>
    <row r="51" spans="1:216" x14ac:dyDescent="0.25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6" t="str">
        <f>INDEX(($AH$13:$AI$13),1,MATCH(E36,$AH$2:$AI$2,0))</f>
        <v>PUF</v>
      </c>
      <c r="M51" s="11">
        <f>INDEX(cennik!$C$2:$L$529,MATCH($L51,cennik!$B$2:$B$522,0),MATCH(M$2,cennik!$C$1:$L$1,0))</f>
        <v>897300</v>
      </c>
      <c r="N51" s="11" t="str">
        <f>INDEX(cennik!$C$2:$L$529,MATCH($L51,cennik!$B$2:$B$522,0),MATCH(N$2,cennik!$C$1:$L$1,0))</f>
        <v>szt.</v>
      </c>
      <c r="O51" s="11">
        <f>SUM(((A34/5)*8)*C34,((A35/5)*8)*C35,((A36/5)*8)*C36,((A37/5)*8)*C37,((A38/5)*8)*C38,((A39/5)*8)*C39,((A40/5)*8)*C40,((A41/5)*8)*C41,((A42/5)*8)*C42,((A43/5)*8)*C43,((A44/5)*8)*C44,((A45/5)*8)*C45,((A46/5)*8)*C46,((A47/5)*8)*C47,((A48/5)*8)*C48,((A49/5)*8)*C49)</f>
        <v>0</v>
      </c>
      <c r="P51" s="34">
        <f>INDEX(cennik!$C$2:$L$529,MATCH($L51,cennik!$B$2:$B$522,0),MATCH(P$2,cennik!$C$1:$L$1,0))</f>
        <v>2.06</v>
      </c>
      <c r="Q51" s="34">
        <f t="shared" si="68"/>
        <v>0</v>
      </c>
      <c r="R51" s="35">
        <f t="shared" si="66"/>
        <v>0</v>
      </c>
      <c r="S51" s="34">
        <f t="shared" si="67"/>
        <v>2.06</v>
      </c>
      <c r="T51" s="34">
        <f t="shared" si="69"/>
        <v>0</v>
      </c>
      <c r="U51" s="34">
        <f>INDEX(cennik!$C$2:$L$529,MATCH($L51,cennik!$B$2:$B$522,0),MATCH(U$2,cennik!$C$1:$L$1,0))*O51</f>
        <v>0</v>
      </c>
      <c r="V51" s="25"/>
      <c r="W51" s="25"/>
      <c r="X51" s="25"/>
      <c r="Y51" s="25"/>
      <c r="Z51" s="25"/>
      <c r="AA51" s="21"/>
      <c r="AB51" s="21"/>
      <c r="AC51" s="21"/>
      <c r="AD51" s="21"/>
      <c r="AE51" s="21" t="s">
        <v>879</v>
      </c>
      <c r="AF51" s="21">
        <v>2550</v>
      </c>
      <c r="AG51" s="21"/>
      <c r="AH51" s="21"/>
      <c r="AI51" s="21"/>
      <c r="AJ51" s="21"/>
      <c r="AK51" s="21"/>
      <c r="AL51" s="21"/>
      <c r="AM51" s="21"/>
      <c r="AN51" s="21"/>
      <c r="AO51" s="21"/>
      <c r="AP51" s="21"/>
      <c r="AQ51" s="21"/>
      <c r="AR51" s="21" t="s">
        <v>725</v>
      </c>
      <c r="AS51" s="21">
        <v>2400</v>
      </c>
      <c r="AT51" s="21" t="s">
        <v>719</v>
      </c>
      <c r="AU51" s="21">
        <v>2000</v>
      </c>
      <c r="AV51" s="21" t="s">
        <v>719</v>
      </c>
      <c r="AW51" s="21">
        <v>1000</v>
      </c>
      <c r="AX51" s="21"/>
      <c r="AY51" s="21"/>
      <c r="AZ51" s="21"/>
      <c r="BA51" s="21"/>
      <c r="BB51" s="21"/>
      <c r="BC51" s="21"/>
      <c r="BD51" s="21"/>
      <c r="BE51" s="21"/>
      <c r="BF51" s="21"/>
      <c r="BG51" s="21"/>
      <c r="BH51" s="21"/>
      <c r="BI51" s="21"/>
      <c r="BJ51" s="21"/>
      <c r="BK51" s="21"/>
      <c r="BL51" s="21"/>
      <c r="BM51" s="21"/>
      <c r="BN51" s="21"/>
      <c r="BO51" s="21"/>
      <c r="BP51" s="21"/>
      <c r="BQ51" s="21"/>
      <c r="BR51" s="21"/>
      <c r="BS51" s="21"/>
      <c r="BT51" s="21"/>
      <c r="BU51" s="21"/>
      <c r="BV51" s="21"/>
      <c r="BW51" s="21"/>
      <c r="BX51" s="21"/>
      <c r="BY51" s="21"/>
      <c r="BZ51" s="21"/>
      <c r="CA51" s="21"/>
      <c r="CB51" s="21"/>
      <c r="CC51" s="21"/>
      <c r="CD51" s="21"/>
      <c r="CE51" s="21"/>
      <c r="CF51" s="21"/>
      <c r="CG51" s="21"/>
      <c r="CH51" s="21"/>
      <c r="CI51" s="21"/>
      <c r="CJ51" s="21"/>
      <c r="CK51" s="21"/>
      <c r="CL51" s="21"/>
      <c r="CM51" s="21"/>
      <c r="CN51" s="21"/>
      <c r="CO51" s="21"/>
      <c r="CP51" s="21"/>
      <c r="CQ51" s="21"/>
      <c r="CR51" s="21"/>
      <c r="CS51" s="21"/>
      <c r="CT51" s="21"/>
      <c r="CU51" s="21"/>
      <c r="CV51" s="21"/>
      <c r="CW51" s="21"/>
      <c r="CX51" s="21"/>
      <c r="CY51" s="21"/>
      <c r="CZ51" s="21"/>
      <c r="DA51" s="21"/>
      <c r="DB51" s="21"/>
      <c r="DC51" s="21"/>
      <c r="DD51" s="21"/>
      <c r="DE51" s="21"/>
      <c r="DF51" s="21"/>
      <c r="DG51" s="21"/>
      <c r="DH51" s="21"/>
      <c r="DI51" s="21"/>
      <c r="DJ51" s="21"/>
      <c r="DK51" s="21"/>
      <c r="DL51" s="21"/>
      <c r="DM51" s="21"/>
      <c r="DN51" s="21"/>
      <c r="DO51" s="21"/>
      <c r="DP51" s="21"/>
      <c r="DQ51" s="87"/>
      <c r="DR51" s="87"/>
      <c r="DS51" s="87"/>
      <c r="DT51" s="21"/>
      <c r="DU51" s="21"/>
      <c r="DV51" s="21"/>
      <c r="DW51" s="21"/>
      <c r="DX51" s="21"/>
      <c r="DY51" s="21"/>
      <c r="DZ51" s="21"/>
      <c r="EA51" s="21"/>
      <c r="EB51" s="21"/>
      <c r="EC51" s="21"/>
      <c r="ED51" s="21"/>
      <c r="EE51" s="21"/>
      <c r="EF51" s="21"/>
      <c r="EG51" s="21"/>
      <c r="EH51" s="21"/>
      <c r="EI51" s="21"/>
      <c r="EJ51" s="21"/>
      <c r="EK51" s="21"/>
      <c r="EL51" s="21"/>
      <c r="EM51" s="21"/>
      <c r="EN51" s="21"/>
      <c r="EO51" s="21"/>
      <c r="EP51" s="21"/>
      <c r="EQ51" s="21"/>
      <c r="ER51" s="21"/>
      <c r="ES51" s="21"/>
      <c r="ET51" s="21"/>
      <c r="EU51" s="21"/>
      <c r="EV51" s="21"/>
      <c r="EW51" s="21"/>
      <c r="EX51" s="21"/>
      <c r="EY51" s="21"/>
      <c r="EZ51" s="21"/>
      <c r="FA51" s="21"/>
      <c r="FB51" s="21"/>
      <c r="FC51" s="21"/>
      <c r="FD51" s="21"/>
      <c r="FE51" s="21"/>
      <c r="FF51" s="21"/>
      <c r="FG51" s="21"/>
      <c r="FH51" s="21"/>
      <c r="FI51" s="21"/>
      <c r="FJ51" s="21"/>
      <c r="FK51" s="21"/>
      <c r="FL51" s="21"/>
      <c r="FM51" s="21"/>
      <c r="FN51" s="21"/>
      <c r="FO51" s="21"/>
      <c r="FP51" s="21"/>
      <c r="FQ51" s="21"/>
      <c r="FR51" s="21"/>
      <c r="FS51" s="21"/>
      <c r="FT51" s="21"/>
      <c r="FU51" s="21"/>
      <c r="FV51" s="21"/>
      <c r="FW51" s="21"/>
      <c r="FX51" s="21"/>
      <c r="FY51" s="21"/>
      <c r="FZ51" s="21"/>
      <c r="GA51" s="21"/>
      <c r="GB51" s="21"/>
      <c r="GC51" s="21"/>
      <c r="GD51" s="21"/>
      <c r="GE51" s="21"/>
      <c r="GF51" s="21"/>
      <c r="GG51" s="21"/>
      <c r="GH51" s="21"/>
      <c r="GI51" s="21"/>
      <c r="GJ51" s="21"/>
      <c r="GK51" s="21"/>
      <c r="GL51" s="21"/>
      <c r="GM51" s="21"/>
      <c r="GN51" s="21"/>
      <c r="GO51" s="21"/>
      <c r="GP51" s="21"/>
      <c r="GQ51" s="21"/>
      <c r="GR51" s="21"/>
      <c r="GS51" s="21"/>
      <c r="GT51" s="21"/>
      <c r="GU51" s="21"/>
      <c r="GV51" s="21"/>
      <c r="GW51" s="21"/>
      <c r="GX51" s="21"/>
      <c r="GY51" s="21"/>
      <c r="GZ51" s="21"/>
      <c r="HA51" s="21"/>
      <c r="HB51" s="21"/>
      <c r="HC51" s="21"/>
      <c r="HD51" s="21"/>
      <c r="HE51" s="21"/>
      <c r="HF51" s="21"/>
      <c r="HG51" s="21"/>
      <c r="HH51" s="21"/>
    </row>
    <row r="52" spans="1:216" x14ac:dyDescent="0.25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6" t="str">
        <f>INDEX(($AJ$3:$AJ$12),MATCH(I35,$AG$3:$AG$12,0),1)</f>
        <v>SAM8X30E</v>
      </c>
      <c r="M52" s="11">
        <f>INDEX(cennik!$C$2:$L$529,MATCH($L52,cennik!$B$2:$B$522,0),MATCH(M$2,cennik!$C$1:$L$1,0))</f>
        <v>898530</v>
      </c>
      <c r="N52" s="11" t="str">
        <f>INDEX(cennik!$C$2:$L$529,MATCH($L52,cennik!$B$2:$B$522,0),MATCH(N$2,cennik!$C$1:$L$1,0))</f>
        <v>szt.</v>
      </c>
      <c r="O52" s="11">
        <f>SUM(O50:O51)</f>
        <v>0</v>
      </c>
      <c r="P52" s="34">
        <f>INDEX(cennik!$C$2:$L$529,MATCH($L52,cennik!$B$2:$B$522,0),MATCH(P$2,cennik!$C$1:$L$1,0))</f>
        <v>0.5</v>
      </c>
      <c r="Q52" s="34">
        <f t="shared" si="68"/>
        <v>0</v>
      </c>
      <c r="R52" s="35">
        <f t="shared" si="66"/>
        <v>0</v>
      </c>
      <c r="S52" s="34">
        <f t="shared" si="67"/>
        <v>0.5</v>
      </c>
      <c r="T52" s="34">
        <f t="shared" si="69"/>
        <v>0</v>
      </c>
      <c r="U52" s="34">
        <f>INDEX(cennik!$C$2:$L$529,MATCH($L52,cennik!$B$2:$B$522,0),MATCH(U$2,cennik!$C$1:$L$1,0))*O52</f>
        <v>0</v>
      </c>
      <c r="V52" s="25"/>
      <c r="W52" s="25">
        <f>INDEX(($EL$31:$EX$34,$FA$31:$FM$34,$EL$37:$EX$40,$EL$43:$EX$46,$FA$37:$FM$40,$FA$43:$FM$46,$FP$31:$GB$34,$FP$37:$GB$40,$FP$43:$GB$46,$GE$31:$GQ$34,$GE$37:$GQ$40,$GE$43:$GQ$46,$GT$31:$HF$34,$GT$37:$HF$40),MATCH($L$49,$EK$31:$EK$34,0),MATCH($A34,$EL$30:$EX$30,0),MATCH($E$35,$AE$33:$AE$48,0))*C34</f>
        <v>0</v>
      </c>
      <c r="X52" s="25"/>
      <c r="Y52" s="25"/>
      <c r="Z52" s="25"/>
      <c r="AA52" s="21"/>
      <c r="AB52" s="21"/>
      <c r="AC52" s="21"/>
      <c r="AD52" s="21"/>
      <c r="AE52" s="21" t="s">
        <v>880</v>
      </c>
      <c r="AF52" s="21">
        <v>2600</v>
      </c>
      <c r="AG52" s="21"/>
      <c r="AH52" s="21"/>
      <c r="AI52" s="21"/>
      <c r="AJ52" s="21"/>
      <c r="AK52" s="21"/>
      <c r="AL52" s="21"/>
      <c r="AM52" s="21"/>
      <c r="AN52" s="21"/>
      <c r="AO52" s="21"/>
      <c r="AP52" s="21"/>
      <c r="AQ52" s="21"/>
      <c r="AR52" s="21"/>
      <c r="AS52" s="21"/>
      <c r="AT52" s="21"/>
      <c r="AU52" s="21"/>
      <c r="AV52" s="21"/>
      <c r="AW52" s="21"/>
      <c r="AX52" s="21"/>
      <c r="AY52" s="21"/>
      <c r="AZ52" s="21"/>
      <c r="BA52" s="21"/>
      <c r="BB52" s="21"/>
      <c r="BC52" s="21"/>
      <c r="BD52" s="21"/>
      <c r="BE52" s="21"/>
      <c r="BF52" s="21"/>
      <c r="BG52" s="21"/>
      <c r="BH52" s="21"/>
      <c r="BI52" s="21"/>
      <c r="BJ52" s="21"/>
      <c r="BK52" s="21"/>
      <c r="BL52" s="21"/>
      <c r="BM52" s="21"/>
      <c r="BN52" s="21"/>
      <c r="BO52" s="21"/>
      <c r="BP52" s="21"/>
      <c r="BQ52" s="21"/>
      <c r="BR52" s="21"/>
      <c r="BS52" s="21"/>
      <c r="BT52" s="21"/>
      <c r="BU52" s="21"/>
      <c r="BV52" s="21"/>
      <c r="BW52" s="21"/>
      <c r="BX52" s="21"/>
      <c r="BY52" s="21"/>
      <c r="BZ52" s="21"/>
      <c r="CA52" s="21"/>
      <c r="CB52" s="21"/>
      <c r="CC52" s="21"/>
      <c r="CD52" s="21"/>
      <c r="CE52" s="21"/>
      <c r="CF52" s="21"/>
      <c r="CG52" s="21"/>
      <c r="CH52" s="21"/>
      <c r="CI52" s="21"/>
      <c r="CJ52" s="21"/>
      <c r="CK52" s="21"/>
      <c r="CL52" s="21"/>
      <c r="CM52" s="21"/>
      <c r="CN52" s="21"/>
      <c r="CO52" s="21"/>
      <c r="CP52" s="21"/>
      <c r="CQ52" s="21"/>
      <c r="CR52" s="21"/>
      <c r="CS52" s="21"/>
      <c r="CT52" s="21"/>
      <c r="CU52" s="21"/>
      <c r="CV52" s="21"/>
      <c r="CW52" s="21"/>
      <c r="CX52" s="21"/>
      <c r="CY52" s="21"/>
      <c r="CZ52" s="21"/>
      <c r="DA52" s="21"/>
      <c r="DB52" s="21"/>
      <c r="DC52" s="21"/>
      <c r="DD52" s="21"/>
      <c r="DE52" s="21"/>
      <c r="DF52" s="21"/>
      <c r="DG52" s="21"/>
      <c r="DH52" s="21"/>
      <c r="DI52" s="21"/>
      <c r="DJ52" s="21"/>
      <c r="DK52" s="21"/>
      <c r="DL52" s="21"/>
      <c r="DM52" s="21"/>
      <c r="DN52" s="21"/>
      <c r="DO52" s="21"/>
      <c r="DP52" s="21"/>
      <c r="DQ52" s="87"/>
      <c r="DR52" s="87"/>
      <c r="DS52" s="87"/>
      <c r="DT52" s="21"/>
      <c r="DU52" s="21"/>
      <c r="DV52" s="21"/>
      <c r="DW52" s="21"/>
      <c r="DX52" s="21"/>
      <c r="DY52" s="21"/>
      <c r="DZ52" s="21"/>
      <c r="EA52" s="21"/>
      <c r="EB52" s="21"/>
      <c r="EC52" s="21"/>
      <c r="ED52" s="21"/>
      <c r="EE52" s="21"/>
      <c r="EF52" s="21"/>
      <c r="EG52" s="21"/>
      <c r="EH52" s="21"/>
      <c r="EI52" s="21"/>
      <c r="EJ52" s="21"/>
      <c r="EK52" s="21"/>
      <c r="EL52" s="21"/>
      <c r="EM52" s="21"/>
      <c r="EN52" s="21"/>
      <c r="EO52" s="21"/>
      <c r="EP52" s="21"/>
      <c r="EQ52" s="21"/>
      <c r="ER52" s="21"/>
      <c r="ES52" s="21"/>
      <c r="ET52" s="21"/>
      <c r="EU52" s="21"/>
      <c r="EV52" s="21"/>
      <c r="EW52" s="21"/>
      <c r="EX52" s="21"/>
      <c r="EY52" s="21"/>
      <c r="EZ52" s="21"/>
      <c r="FA52" s="21"/>
      <c r="FB52" s="21"/>
      <c r="FC52" s="21"/>
      <c r="FD52" s="21"/>
      <c r="FE52" s="21"/>
      <c r="FF52" s="21"/>
      <c r="FG52" s="21"/>
      <c r="FH52" s="21"/>
      <c r="FI52" s="21"/>
      <c r="FJ52" s="21"/>
      <c r="FK52" s="21"/>
      <c r="FL52" s="21"/>
      <c r="FM52" s="21"/>
      <c r="FN52" s="21"/>
      <c r="FO52" s="21"/>
      <c r="FP52" s="21"/>
      <c r="FQ52" s="21"/>
      <c r="FR52" s="21"/>
      <c r="FS52" s="21"/>
      <c r="FT52" s="21"/>
      <c r="FU52" s="21"/>
      <c r="FV52" s="21"/>
      <c r="FW52" s="21"/>
      <c r="FX52" s="21"/>
      <c r="FY52" s="21"/>
      <c r="FZ52" s="21"/>
      <c r="GA52" s="21"/>
      <c r="GB52" s="21"/>
      <c r="GC52" s="21"/>
      <c r="GD52" s="21"/>
      <c r="GE52" s="21"/>
      <c r="GF52" s="21"/>
      <c r="GG52" s="21"/>
      <c r="GH52" s="21"/>
      <c r="GI52" s="21"/>
      <c r="GJ52" s="21"/>
      <c r="GK52" s="21"/>
      <c r="GL52" s="21"/>
      <c r="GM52" s="21"/>
      <c r="GN52" s="21"/>
      <c r="GO52" s="21"/>
      <c r="GP52" s="21"/>
      <c r="GQ52" s="21"/>
      <c r="GR52" s="21"/>
      <c r="GS52" s="21"/>
      <c r="GT52" s="21"/>
      <c r="GU52" s="21"/>
      <c r="GV52" s="21"/>
      <c r="GW52" s="21"/>
      <c r="GX52" s="21"/>
      <c r="GY52" s="21"/>
      <c r="GZ52" s="21"/>
      <c r="HA52" s="21"/>
      <c r="HB52" s="21"/>
      <c r="HC52" s="21"/>
      <c r="HD52" s="21"/>
      <c r="HE52" s="21"/>
      <c r="HF52" s="21"/>
      <c r="HG52" s="21"/>
      <c r="HH52" s="21"/>
    </row>
    <row r="53" spans="1:216" x14ac:dyDescent="0.25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6" t="s">
        <v>1019</v>
      </c>
      <c r="M53" s="11">
        <f>INDEX(cennik!$C$2:$L$529,MATCH($L53,cennik!$B$2:$B$522,0),MATCH(M$2,cennik!$C$1:$L$1,0))</f>
        <v>166794</v>
      </c>
      <c r="N53" s="11" t="str">
        <f>INDEX(cennik!$C$2:$L$529,MATCH($L53,cennik!$B$2:$B$522,0),MATCH(N$2,cennik!$C$1:$L$1,0))</f>
        <v>100 szt.</v>
      </c>
      <c r="O53" s="11">
        <f>ROUNDUP(O52/100,0)</f>
        <v>0</v>
      </c>
      <c r="P53" s="34">
        <f>INDEX(cennik!$C$2:$L$529,MATCH($L53,cennik!$B$2:$B$522,0),MATCH(P$2,cennik!$C$1:$L$1,0))</f>
        <v>3.95</v>
      </c>
      <c r="Q53" s="34">
        <f t="shared" si="68"/>
        <v>0</v>
      </c>
      <c r="R53" s="35">
        <f t="shared" si="66"/>
        <v>0</v>
      </c>
      <c r="S53" s="34">
        <f t="shared" si="67"/>
        <v>3.95</v>
      </c>
      <c r="T53" s="34">
        <f t="shared" si="69"/>
        <v>0</v>
      </c>
      <c r="U53" s="34">
        <f>INDEX(cennik!$C$2:$L$529,MATCH($L53,cennik!$B$2:$B$522,0),MATCH(U$2,cennik!$C$1:$L$1,0))*O53</f>
        <v>0</v>
      </c>
      <c r="V53" s="25"/>
      <c r="W53" s="25"/>
      <c r="X53" s="25"/>
      <c r="Y53" s="25"/>
      <c r="Z53" s="25"/>
      <c r="AA53" s="21"/>
      <c r="AB53" s="21"/>
      <c r="AC53" s="21"/>
      <c r="AD53" s="21"/>
      <c r="AE53" s="21"/>
      <c r="AF53" s="21"/>
      <c r="AG53" s="21"/>
      <c r="AH53" s="21"/>
      <c r="AI53" s="21"/>
      <c r="AJ53" s="21"/>
      <c r="AK53" s="21"/>
      <c r="AL53" s="21"/>
      <c r="AM53" s="21"/>
      <c r="AN53" s="21"/>
      <c r="AO53" s="21"/>
      <c r="AP53" s="21"/>
      <c r="AQ53" s="21"/>
      <c r="AR53" s="21"/>
      <c r="AS53" s="21"/>
      <c r="AT53" s="21"/>
      <c r="AU53" s="21"/>
      <c r="AV53" s="21"/>
      <c r="AW53" s="21"/>
      <c r="AX53" s="21"/>
      <c r="AY53" s="21"/>
      <c r="AZ53" s="21"/>
      <c r="BA53" s="21"/>
      <c r="BB53" s="21"/>
      <c r="BC53" s="21"/>
      <c r="BD53" s="21"/>
      <c r="BE53" s="21"/>
      <c r="BF53" s="21"/>
      <c r="BG53" s="21"/>
      <c r="BH53" s="21"/>
      <c r="BI53" s="21"/>
      <c r="BJ53" s="21"/>
      <c r="BK53" s="21"/>
      <c r="BL53" s="21"/>
      <c r="BM53" s="21"/>
      <c r="BN53" s="21"/>
      <c r="BO53" s="21"/>
      <c r="BP53" s="21"/>
      <c r="BQ53" s="21"/>
      <c r="BR53" s="21"/>
      <c r="BS53" s="21"/>
      <c r="BT53" s="21"/>
      <c r="BU53" s="21"/>
      <c r="BV53" s="21"/>
      <c r="BW53" s="21"/>
      <c r="BX53" s="21"/>
      <c r="BY53" s="21"/>
      <c r="BZ53" s="21"/>
      <c r="CA53" s="21"/>
      <c r="CB53" s="21"/>
      <c r="CC53" s="21"/>
      <c r="CD53" s="21"/>
      <c r="CE53" s="21"/>
      <c r="CF53" s="21"/>
      <c r="CG53" s="21"/>
      <c r="CH53" s="21"/>
      <c r="CI53" s="21"/>
      <c r="CJ53" s="21"/>
      <c r="CK53" s="21"/>
      <c r="CL53" s="21"/>
      <c r="CM53" s="21"/>
      <c r="CN53" s="21"/>
      <c r="CO53" s="21"/>
      <c r="CP53" s="21"/>
      <c r="CQ53" s="21"/>
      <c r="CR53" s="21"/>
      <c r="CS53" s="21"/>
      <c r="CT53" s="21"/>
      <c r="CU53" s="21"/>
      <c r="CV53" s="21"/>
      <c r="CW53" s="21"/>
      <c r="CX53" s="21"/>
      <c r="CY53" s="21"/>
      <c r="CZ53" s="21"/>
      <c r="DA53" s="21"/>
      <c r="DB53" s="21"/>
      <c r="DC53" s="21"/>
      <c r="DD53" s="21"/>
      <c r="DE53" s="21"/>
      <c r="DF53" s="21"/>
      <c r="DG53" s="21"/>
      <c r="DH53" s="21"/>
      <c r="DI53" s="21"/>
      <c r="DJ53" s="21"/>
      <c r="DK53" s="21"/>
      <c r="DL53" s="21"/>
      <c r="DM53" s="21"/>
      <c r="DN53" s="21"/>
      <c r="DO53" s="21"/>
      <c r="DP53" s="21"/>
      <c r="DQ53" s="87"/>
      <c r="DR53" s="87"/>
      <c r="DS53" s="87"/>
      <c r="DT53" s="21"/>
      <c r="DU53" s="21"/>
      <c r="DV53" s="21"/>
      <c r="DW53" s="21"/>
      <c r="DX53" s="21"/>
      <c r="DY53" s="21"/>
      <c r="DZ53" s="21"/>
      <c r="EA53" s="21"/>
      <c r="EB53" s="21"/>
      <c r="EC53" s="21"/>
      <c r="ED53" s="21"/>
      <c r="EE53" s="21"/>
      <c r="EF53" s="21"/>
      <c r="EG53" s="21"/>
      <c r="EH53" s="21"/>
      <c r="EI53" s="21"/>
      <c r="EJ53" s="21"/>
      <c r="EK53" s="21"/>
      <c r="EL53" s="21"/>
      <c r="EM53" s="21"/>
      <c r="EN53" s="21"/>
      <c r="EO53" s="21"/>
      <c r="EP53" s="21"/>
      <c r="EQ53" s="21"/>
      <c r="ER53" s="21"/>
      <c r="ES53" s="21"/>
      <c r="ET53" s="21"/>
      <c r="EU53" s="21"/>
      <c r="EV53" s="21"/>
      <c r="EW53" s="21"/>
      <c r="EX53" s="21"/>
      <c r="EY53" s="21"/>
      <c r="EZ53" s="21"/>
      <c r="FA53" s="21"/>
      <c r="FB53" s="21"/>
      <c r="FC53" s="21"/>
      <c r="FD53" s="21"/>
      <c r="FE53" s="21"/>
      <c r="FF53" s="21"/>
      <c r="FG53" s="21"/>
      <c r="FH53" s="21"/>
      <c r="FI53" s="21"/>
      <c r="FJ53" s="21"/>
      <c r="FK53" s="21"/>
      <c r="FL53" s="21"/>
      <c r="FM53" s="21"/>
      <c r="FN53" s="21"/>
      <c r="FO53" s="21"/>
      <c r="FP53" s="21"/>
      <c r="FQ53" s="21"/>
      <c r="FR53" s="21"/>
      <c r="FS53" s="21"/>
      <c r="FT53" s="21"/>
      <c r="FU53" s="21"/>
      <c r="FV53" s="21"/>
      <c r="FW53" s="21"/>
      <c r="FX53" s="21"/>
      <c r="FY53" s="21"/>
      <c r="FZ53" s="21"/>
      <c r="GA53" s="21"/>
      <c r="GB53" s="21"/>
      <c r="GC53" s="21"/>
      <c r="GD53" s="21"/>
      <c r="GE53" s="21"/>
      <c r="GF53" s="21"/>
      <c r="GG53" s="21"/>
      <c r="GH53" s="21"/>
      <c r="GI53" s="21"/>
      <c r="GJ53" s="21"/>
      <c r="GK53" s="21"/>
      <c r="GL53" s="21"/>
      <c r="GM53" s="21"/>
      <c r="GN53" s="21"/>
      <c r="GO53" s="21"/>
      <c r="GP53" s="21"/>
      <c r="GQ53" s="21"/>
      <c r="GR53" s="21"/>
      <c r="GS53" s="21"/>
      <c r="GT53" s="21"/>
      <c r="GU53" s="21"/>
      <c r="GV53" s="21"/>
      <c r="GW53" s="21"/>
      <c r="GX53" s="21"/>
      <c r="GY53" s="21"/>
      <c r="GZ53" s="21"/>
      <c r="HA53" s="21"/>
      <c r="HB53" s="21"/>
      <c r="HC53" s="21"/>
      <c r="HD53" s="21"/>
      <c r="HE53" s="21"/>
      <c r="HF53" s="21"/>
      <c r="HG53" s="21"/>
      <c r="HH53" s="21"/>
    </row>
    <row r="54" spans="1:216" ht="15.75" thickBot="1" x14ac:dyDescent="0.3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6" t="s">
        <v>525</v>
      </c>
      <c r="M54" s="11">
        <f>INDEX(cennik!$C$2:$L$529,MATCH($L54,cennik!$B$2:$B$522,0),MATCH(M$2,cennik!$C$1:$L$1,0))</f>
        <v>660245</v>
      </c>
      <c r="N54" s="11" t="str">
        <f>INDEX(cennik!$C$2:$L$529,MATCH($L54,cennik!$B$2:$B$522,0),MATCH(N$2,cennik!$C$1:$L$1,0))</f>
        <v>szt.</v>
      </c>
      <c r="O54" s="11">
        <f>O52</f>
        <v>0</v>
      </c>
      <c r="P54" s="34">
        <f>INDEX(cennik!$C$2:$L$529,MATCH($L54,cennik!$B$2:$B$522,0),MATCH(P$2,cennik!$C$1:$L$1,0))</f>
        <v>1.56</v>
      </c>
      <c r="Q54" s="34">
        <f t="shared" si="68"/>
        <v>0</v>
      </c>
      <c r="R54" s="35">
        <f t="shared" si="66"/>
        <v>0</v>
      </c>
      <c r="S54" s="34">
        <f t="shared" si="67"/>
        <v>1.56</v>
      </c>
      <c r="T54" s="34">
        <f t="shared" si="69"/>
        <v>0</v>
      </c>
      <c r="U54" s="34">
        <f>INDEX(cennik!$C$2:$L$529,MATCH($L54,cennik!$B$2:$B$522,0),MATCH(U$2,cennik!$C$1:$L$1,0))*O54</f>
        <v>0</v>
      </c>
      <c r="V54" s="25"/>
      <c r="W54" s="25"/>
      <c r="X54" s="25"/>
      <c r="Y54" s="25"/>
      <c r="Z54" s="21"/>
      <c r="AA54" s="21"/>
      <c r="AB54" s="21"/>
      <c r="AC54" s="189"/>
      <c r="AD54" s="21"/>
      <c r="AE54" s="21"/>
      <c r="AF54" s="21"/>
      <c r="AG54" s="21"/>
      <c r="AH54" s="21"/>
      <c r="AI54" s="21"/>
      <c r="AJ54" s="21"/>
      <c r="AK54" s="21"/>
      <c r="AL54" s="21"/>
      <c r="AM54" s="21"/>
      <c r="AN54" s="21"/>
      <c r="AO54" s="21"/>
      <c r="AP54" s="21"/>
      <c r="AQ54" s="21"/>
      <c r="AR54" s="186" t="s">
        <v>726</v>
      </c>
      <c r="AS54" s="21"/>
      <c r="AT54" s="21"/>
      <c r="AU54" s="21"/>
      <c r="AV54" s="21"/>
      <c r="AW54" s="21"/>
      <c r="AX54" s="21"/>
      <c r="AY54" s="21"/>
      <c r="AZ54" s="21"/>
      <c r="BA54" s="21"/>
      <c r="BB54" s="21"/>
      <c r="BC54" s="21"/>
      <c r="BD54" s="21"/>
      <c r="BE54" s="21"/>
      <c r="BF54" s="21"/>
      <c r="BG54" s="21"/>
      <c r="BH54" s="21"/>
      <c r="BI54" s="21"/>
      <c r="BJ54" s="21"/>
      <c r="BK54" s="21"/>
      <c r="BL54" s="21"/>
      <c r="BM54" s="21"/>
      <c r="BN54" s="21"/>
      <c r="BO54" s="21"/>
      <c r="BP54" s="21"/>
      <c r="BQ54" s="21"/>
      <c r="BR54" s="21"/>
      <c r="BS54" s="21"/>
      <c r="BT54" s="21"/>
      <c r="BU54" s="21"/>
      <c r="BV54" s="21"/>
      <c r="BW54" s="21"/>
      <c r="BX54" s="21"/>
      <c r="BY54" s="21"/>
      <c r="BZ54" s="21"/>
      <c r="CA54" s="21"/>
      <c r="CB54" s="21"/>
      <c r="CC54" s="21"/>
      <c r="CD54" s="21"/>
      <c r="CE54" s="21"/>
      <c r="CF54" s="21"/>
      <c r="CG54" s="21"/>
      <c r="CH54" s="21"/>
      <c r="CI54" s="21"/>
      <c r="CJ54" s="21"/>
      <c r="CK54" s="21"/>
      <c r="CL54" s="21"/>
      <c r="CM54" s="21"/>
      <c r="CN54" s="21"/>
      <c r="CO54" s="21"/>
      <c r="CP54" s="21"/>
      <c r="CQ54" s="21"/>
      <c r="CR54" s="21"/>
      <c r="CS54" s="21"/>
      <c r="CT54" s="21"/>
      <c r="CU54" s="21"/>
      <c r="CV54" s="21"/>
      <c r="CW54" s="21"/>
      <c r="CX54" s="21"/>
      <c r="CY54" s="21"/>
      <c r="CZ54" s="21"/>
      <c r="DA54" s="21"/>
      <c r="DB54" s="21"/>
      <c r="DC54" s="21"/>
      <c r="DD54" s="21"/>
      <c r="DE54" s="21"/>
      <c r="DF54" s="21"/>
      <c r="DG54" s="21"/>
      <c r="DH54" s="21"/>
      <c r="DI54" s="21"/>
      <c r="DJ54" s="21"/>
      <c r="DK54" s="21"/>
      <c r="DL54" s="21"/>
      <c r="DM54" s="21"/>
      <c r="DN54" s="21"/>
      <c r="DO54" s="21"/>
      <c r="DP54" s="21"/>
      <c r="DQ54" s="87"/>
      <c r="DR54" s="87"/>
      <c r="DS54" s="87"/>
      <c r="DT54" s="21"/>
      <c r="DU54" s="21"/>
      <c r="DV54" s="21"/>
      <c r="DW54" s="21"/>
      <c r="DX54" s="21"/>
      <c r="DY54" s="21"/>
      <c r="DZ54" s="21"/>
      <c r="EA54" s="21"/>
      <c r="EB54" s="21"/>
      <c r="EC54" s="21"/>
      <c r="ED54" s="21"/>
      <c r="EE54" s="21"/>
      <c r="EF54" s="21"/>
      <c r="EG54" s="21"/>
      <c r="EH54" s="21"/>
      <c r="EI54" s="21"/>
      <c r="EJ54" s="21"/>
      <c r="EK54" s="21"/>
      <c r="EL54" s="21"/>
      <c r="EM54" s="21"/>
      <c r="EN54" s="21"/>
      <c r="EO54" s="21"/>
      <c r="EP54" s="21"/>
      <c r="EQ54" s="21"/>
      <c r="ER54" s="21"/>
      <c r="ES54" s="21"/>
      <c r="ET54" s="21"/>
      <c r="EU54" s="21"/>
      <c r="EV54" s="21"/>
      <c r="EW54" s="21"/>
      <c r="EX54" s="21"/>
      <c r="EY54" s="21"/>
      <c r="EZ54" s="21"/>
      <c r="FA54" s="21"/>
      <c r="FB54" s="21"/>
      <c r="FC54" s="21"/>
      <c r="FD54" s="21"/>
      <c r="FE54" s="21"/>
      <c r="FF54" s="21"/>
      <c r="FG54" s="21"/>
      <c r="FH54" s="21"/>
      <c r="FI54" s="21"/>
      <c r="FJ54" s="21"/>
      <c r="FK54" s="21"/>
      <c r="FL54" s="21"/>
      <c r="FM54" s="21"/>
      <c r="FN54" s="21"/>
      <c r="FO54" s="21"/>
      <c r="FP54" s="21"/>
      <c r="FQ54" s="21"/>
      <c r="FR54" s="21"/>
      <c r="FS54" s="21"/>
      <c r="FT54" s="21"/>
      <c r="FU54" s="21"/>
      <c r="FV54" s="21"/>
      <c r="FW54" s="21"/>
      <c r="FX54" s="21"/>
      <c r="FY54" s="21"/>
      <c r="FZ54" s="21"/>
      <c r="GA54" s="21"/>
      <c r="GB54" s="21"/>
      <c r="GC54" s="21"/>
      <c r="GD54" s="21"/>
      <c r="GE54" s="21"/>
      <c r="GF54" s="21"/>
      <c r="GG54" s="21"/>
      <c r="GH54" s="21"/>
      <c r="GI54" s="21"/>
      <c r="GJ54" s="21"/>
      <c r="GK54" s="21"/>
      <c r="GL54" s="21"/>
      <c r="GM54" s="21"/>
      <c r="GN54" s="21"/>
      <c r="GO54" s="21"/>
      <c r="GP54" s="21"/>
      <c r="GQ54" s="21"/>
      <c r="GR54" s="21"/>
      <c r="GS54" s="21"/>
      <c r="GT54" s="21"/>
      <c r="GU54" s="21"/>
      <c r="GV54" s="21"/>
      <c r="GW54" s="21"/>
      <c r="GX54" s="21"/>
      <c r="GY54" s="21"/>
      <c r="GZ54" s="21"/>
      <c r="HA54" s="21"/>
      <c r="HB54" s="21"/>
      <c r="HC54" s="21"/>
      <c r="HD54" s="21"/>
      <c r="HE54" s="21"/>
      <c r="HF54" s="21"/>
      <c r="HG54" s="21"/>
      <c r="HH54" s="21"/>
    </row>
    <row r="55" spans="1:216" x14ac:dyDescent="0.25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6" t="s">
        <v>799</v>
      </c>
      <c r="M55" s="11">
        <f>INDEX(cennik!$C$2:$L$529,MATCH($L55,cennik!$B$2:$B$522,0),MATCH(M$2,cennik!$C$1:$L$1,0))</f>
        <v>6510443</v>
      </c>
      <c r="N55" s="11" t="str">
        <f>INDEX(cennik!$C$2:$L$529,MATCH($L55,cennik!$B$2:$B$522,0),MATCH(N$2,cennik!$C$1:$L$1,0))</f>
        <v>100 szt.</v>
      </c>
      <c r="O55" s="11">
        <f>O56</f>
        <v>0</v>
      </c>
      <c r="P55" s="34">
        <f>INDEX(cennik!$C$2:$L$529,MATCH($L55,cennik!$B$2:$B$522,0),MATCH(P$2,cennik!$C$1:$L$1,0))</f>
        <v>43.51</v>
      </c>
      <c r="Q55" s="34">
        <f t="shared" si="68"/>
        <v>0</v>
      </c>
      <c r="R55" s="35">
        <f t="shared" si="66"/>
        <v>0</v>
      </c>
      <c r="S55" s="34">
        <f t="shared" si="67"/>
        <v>43.51</v>
      </c>
      <c r="T55" s="34">
        <f t="shared" si="69"/>
        <v>0</v>
      </c>
      <c r="U55" s="34">
        <f>INDEX(cennik!$C$2:$L$529,MATCH($L55,cennik!$B$2:$B$522,0),MATCH(U$2,cennik!$C$1:$L$1,0))*O55</f>
        <v>0</v>
      </c>
      <c r="V55" s="21"/>
      <c r="W55" s="21"/>
      <c r="X55" s="21"/>
      <c r="Y55" s="21"/>
      <c r="Z55" s="21"/>
      <c r="AA55" s="21"/>
      <c r="AB55" s="21"/>
      <c r="AC55" s="21"/>
      <c r="AD55" s="21"/>
      <c r="AE55" s="21"/>
      <c r="AF55" s="21"/>
      <c r="AG55" s="21"/>
      <c r="AH55" s="21"/>
      <c r="AI55" s="21"/>
      <c r="AJ55" s="21"/>
      <c r="AK55" s="21"/>
      <c r="AL55" s="21"/>
      <c r="AM55" s="21"/>
      <c r="AN55" s="21"/>
      <c r="AO55" s="21"/>
      <c r="AP55" s="21"/>
      <c r="AQ55" s="21"/>
      <c r="AR55" s="21"/>
      <c r="AS55" s="21" t="s">
        <v>314</v>
      </c>
      <c r="AT55" s="21" t="s">
        <v>312</v>
      </c>
      <c r="AU55" s="21" t="s">
        <v>309</v>
      </c>
      <c r="AV55" s="21" t="s">
        <v>313</v>
      </c>
      <c r="AW55" s="21"/>
      <c r="AX55" s="21"/>
      <c r="AY55" s="21"/>
      <c r="AZ55" s="21"/>
      <c r="BA55" s="21"/>
      <c r="BB55" s="21"/>
      <c r="BC55" s="21"/>
      <c r="BD55" s="21"/>
      <c r="BE55" s="21"/>
      <c r="BF55" s="21"/>
      <c r="BG55" s="21"/>
      <c r="BH55" s="21"/>
      <c r="BI55" s="21"/>
      <c r="BJ55" s="21"/>
      <c r="BK55" s="21"/>
      <c r="BL55" s="21"/>
      <c r="BM55" s="21"/>
      <c r="BN55" s="21"/>
      <c r="BO55" s="21"/>
      <c r="BP55" s="21"/>
      <c r="BQ55" s="21"/>
      <c r="BR55" s="21"/>
      <c r="BS55" s="21"/>
      <c r="BT55" s="21"/>
      <c r="BU55" s="21"/>
      <c r="BV55" s="21"/>
      <c r="BW55" s="21"/>
      <c r="BX55" s="21"/>
      <c r="BY55" s="21"/>
      <c r="BZ55" s="21"/>
      <c r="CA55" s="21"/>
      <c r="CB55" s="21"/>
      <c r="CC55" s="21"/>
      <c r="CD55" s="21"/>
      <c r="CE55" s="21"/>
      <c r="CF55" s="21"/>
      <c r="CG55" s="21"/>
      <c r="CH55" s="21"/>
      <c r="CI55" s="21"/>
      <c r="CJ55" s="21"/>
      <c r="CK55" s="21"/>
      <c r="CL55" s="21"/>
      <c r="CM55" s="21"/>
      <c r="CN55" s="21"/>
      <c r="CO55" s="21"/>
      <c r="CP55" s="21"/>
      <c r="CQ55" s="21"/>
      <c r="CR55" s="21"/>
      <c r="CS55" s="21"/>
      <c r="CT55" s="21"/>
      <c r="CU55" s="21"/>
      <c r="CV55" s="21"/>
      <c r="CW55" s="21"/>
      <c r="CX55" s="21"/>
      <c r="CY55" s="21"/>
      <c r="CZ55" s="21"/>
      <c r="DA55" s="21"/>
      <c r="DB55" s="21"/>
      <c r="DC55" s="21"/>
      <c r="DD55" s="21"/>
      <c r="DE55" s="21"/>
      <c r="DF55" s="21"/>
      <c r="DG55" s="21"/>
      <c r="DH55" s="21"/>
      <c r="DI55" s="21"/>
      <c r="DJ55" s="21"/>
      <c r="DK55" s="21"/>
      <c r="DL55" s="21"/>
      <c r="DM55" s="21"/>
      <c r="DN55" s="21"/>
      <c r="DO55" s="21"/>
      <c r="DP55" s="21"/>
      <c r="DQ55" s="87"/>
      <c r="DR55" s="87"/>
      <c r="DS55" s="87"/>
      <c r="DT55" s="21"/>
      <c r="DU55" s="21"/>
      <c r="DV55" s="21"/>
      <c r="DW55" s="21"/>
      <c r="DX55" s="21"/>
      <c r="DY55" s="21"/>
      <c r="DZ55" s="21"/>
      <c r="EA55" s="21"/>
      <c r="EB55" s="21"/>
      <c r="EC55" s="21"/>
      <c r="ED55" s="21"/>
      <c r="EE55" s="21"/>
      <c r="EF55" s="21"/>
      <c r="EG55" s="21"/>
      <c r="EH55" s="21"/>
      <c r="EI55" s="21"/>
      <c r="EJ55" s="193" t="s">
        <v>773</v>
      </c>
      <c r="EK55" s="194"/>
      <c r="EL55" s="194"/>
      <c r="EM55" s="194"/>
      <c r="EN55" s="194"/>
      <c r="EO55" s="194"/>
      <c r="EP55" s="194"/>
      <c r="EQ55" s="194"/>
      <c r="ER55" s="194"/>
      <c r="ES55" s="194"/>
      <c r="ET55" s="194"/>
      <c r="EU55" s="194"/>
      <c r="EV55" s="194"/>
      <c r="EW55" s="194"/>
      <c r="EX55" s="194"/>
      <c r="EY55" s="194"/>
      <c r="EZ55" s="194"/>
      <c r="FA55" s="194"/>
      <c r="FB55" s="194"/>
      <c r="FC55" s="194"/>
      <c r="FD55" s="194"/>
      <c r="FE55" s="194"/>
      <c r="FF55" s="194"/>
      <c r="FG55" s="194"/>
      <c r="FH55" s="194"/>
      <c r="FI55" s="194"/>
      <c r="FJ55" s="194"/>
      <c r="FK55" s="194"/>
      <c r="FL55" s="194"/>
      <c r="FM55" s="194"/>
      <c r="FN55" s="194"/>
      <c r="FO55" s="194"/>
      <c r="FP55" s="194"/>
      <c r="FQ55" s="194"/>
      <c r="FR55" s="194"/>
      <c r="FS55" s="194"/>
      <c r="FT55" s="194"/>
      <c r="FU55" s="194"/>
      <c r="FV55" s="194"/>
      <c r="FW55" s="194"/>
      <c r="FX55" s="194"/>
      <c r="FY55" s="194"/>
      <c r="FZ55" s="194"/>
      <c r="GA55" s="194"/>
      <c r="GB55" s="194"/>
      <c r="GC55" s="194"/>
      <c r="GD55" s="194"/>
      <c r="GE55" s="194"/>
      <c r="GF55" s="194"/>
      <c r="GG55" s="194"/>
      <c r="GH55" s="194"/>
      <c r="GI55" s="194"/>
      <c r="GJ55" s="194"/>
      <c r="GK55" s="194"/>
      <c r="GL55" s="194"/>
      <c r="GM55" s="194"/>
      <c r="GN55" s="194"/>
      <c r="GO55" s="194"/>
      <c r="GP55" s="194"/>
      <c r="GQ55" s="194"/>
      <c r="GR55" s="194"/>
      <c r="GS55" s="194"/>
      <c r="GT55" s="194"/>
      <c r="GU55" s="194"/>
      <c r="GV55" s="194"/>
      <c r="GW55" s="194"/>
      <c r="GX55" s="194"/>
      <c r="GY55" s="194"/>
      <c r="GZ55" s="194"/>
      <c r="HA55" s="194"/>
      <c r="HB55" s="194"/>
      <c r="HC55" s="194"/>
      <c r="HD55" s="194"/>
      <c r="HE55" s="194"/>
      <c r="HF55" s="194"/>
      <c r="HG55" s="195"/>
      <c r="HH55" s="21"/>
    </row>
    <row r="56" spans="1:216" x14ac:dyDescent="0.25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6" t="s">
        <v>350</v>
      </c>
      <c r="M56" s="11">
        <f>INDEX(cennik!$C$2:$L$529,MATCH($L56,cennik!$B$2:$B$522,0),MATCH(M$2,cennik!$C$1:$L$1,0))</f>
        <v>651643</v>
      </c>
      <c r="N56" s="11" t="str">
        <f>INDEX(cennik!$C$2:$L$529,MATCH($L56,cennik!$B$2:$B$522,0),MATCH(N$2,cennik!$C$1:$L$1,0))</f>
        <v>100 szt.</v>
      </c>
      <c r="O56" s="11">
        <f>ROUNDUP(((O37*13)+(O44*2)+(O62*2)+(O49*4)+(O36*9)+(O58*2)+E40+(O40*12)+(O43*3)+(O63*2))/100,0)</f>
        <v>0</v>
      </c>
      <c r="P56" s="34">
        <f>INDEX(cennik!$C$2:$L$529,MATCH($L56,cennik!$B$2:$B$522,0),MATCH(P$2,cennik!$C$1:$L$1,0))</f>
        <v>144.19</v>
      </c>
      <c r="Q56" s="34">
        <f t="shared" si="68"/>
        <v>0</v>
      </c>
      <c r="R56" s="35">
        <f t="shared" si="66"/>
        <v>0</v>
      </c>
      <c r="S56" s="34">
        <f t="shared" si="67"/>
        <v>144.19</v>
      </c>
      <c r="T56" s="34">
        <f t="shared" si="69"/>
        <v>0</v>
      </c>
      <c r="U56" s="34">
        <f>INDEX(cennik!$C$2:$L$529,MATCH($L56,cennik!$B$2:$B$522,0),MATCH(U$2,cennik!$C$1:$L$1,0))*O56</f>
        <v>0</v>
      </c>
      <c r="V56" s="27"/>
      <c r="AG56" s="21"/>
      <c r="AH56" s="21"/>
      <c r="AI56" s="21"/>
      <c r="AJ56" s="21"/>
      <c r="AK56" s="21"/>
      <c r="AL56" s="21"/>
      <c r="AM56" s="21"/>
      <c r="AN56" s="21"/>
      <c r="AO56" s="21"/>
      <c r="AP56" s="21"/>
      <c r="AQ56" s="21"/>
      <c r="AR56" s="21" t="s">
        <v>114</v>
      </c>
      <c r="AS56" s="21" t="s">
        <v>594</v>
      </c>
      <c r="AT56" s="21" t="s">
        <v>592</v>
      </c>
      <c r="AU56" s="21" t="s">
        <v>591</v>
      </c>
      <c r="AV56" s="21" t="s">
        <v>591</v>
      </c>
      <c r="AW56" s="21"/>
      <c r="AX56" s="21"/>
      <c r="AY56" s="21"/>
      <c r="AZ56" s="21"/>
      <c r="BA56" s="21"/>
      <c r="BB56" s="21"/>
      <c r="BC56" s="21"/>
      <c r="BD56" s="21"/>
      <c r="BE56" s="21"/>
      <c r="BF56" s="21"/>
      <c r="BG56" s="21"/>
      <c r="BH56" s="21"/>
      <c r="BI56" s="21"/>
      <c r="BJ56" s="21"/>
      <c r="BK56" s="21"/>
      <c r="BL56" s="21"/>
      <c r="BM56" s="21"/>
      <c r="BN56" s="21"/>
      <c r="BO56" s="21"/>
      <c r="BP56" s="21"/>
      <c r="BQ56" s="21"/>
      <c r="BR56" s="21"/>
      <c r="BS56" s="21"/>
      <c r="BT56" s="21"/>
      <c r="BU56" s="21"/>
      <c r="BV56" s="21"/>
      <c r="BW56" s="21"/>
      <c r="BX56" s="21"/>
      <c r="BY56" s="21"/>
      <c r="BZ56" s="21"/>
      <c r="CA56" s="21"/>
      <c r="CB56" s="21"/>
      <c r="CC56" s="21"/>
      <c r="CD56" s="21"/>
      <c r="CE56" s="21"/>
      <c r="CF56" s="21"/>
      <c r="CG56" s="21"/>
      <c r="CH56" s="21"/>
      <c r="CI56" s="21"/>
      <c r="CJ56" s="21"/>
      <c r="CK56" s="21"/>
      <c r="CL56" s="21"/>
      <c r="CM56" s="21"/>
      <c r="CN56" s="21"/>
      <c r="CO56" s="21"/>
      <c r="CP56" s="21"/>
      <c r="CQ56" s="21"/>
      <c r="CR56" s="21"/>
      <c r="CS56" s="21"/>
      <c r="CT56" s="21"/>
      <c r="CU56" s="21"/>
      <c r="CV56" s="21"/>
      <c r="CW56" s="21"/>
      <c r="CX56" s="21"/>
      <c r="CY56" s="21"/>
      <c r="CZ56" s="21"/>
      <c r="DA56" s="21"/>
      <c r="DB56" s="21"/>
      <c r="DC56" s="21"/>
      <c r="DD56" s="21"/>
      <c r="DE56" s="21"/>
      <c r="DF56" s="21"/>
      <c r="DG56" s="21"/>
      <c r="DH56" s="21"/>
      <c r="DI56" s="21"/>
      <c r="DJ56" s="21"/>
      <c r="DK56" s="21"/>
      <c r="DL56" s="21"/>
      <c r="DM56" s="21"/>
      <c r="DN56" s="21"/>
      <c r="DO56" s="21"/>
      <c r="DP56" s="21"/>
      <c r="DQ56" s="87"/>
      <c r="DR56" s="87">
        <v>0</v>
      </c>
      <c r="DS56" s="87"/>
      <c r="DT56" s="21"/>
      <c r="DU56" s="21"/>
      <c r="DV56" s="21"/>
      <c r="DW56" s="21"/>
      <c r="DX56" s="21"/>
      <c r="DY56" s="21"/>
      <c r="DZ56" s="21"/>
      <c r="EA56" s="21"/>
      <c r="EB56" s="21"/>
      <c r="EC56" s="21"/>
      <c r="ED56" s="21"/>
      <c r="EE56" s="21"/>
      <c r="EF56" s="21"/>
      <c r="EG56" s="21"/>
      <c r="EH56" s="21"/>
      <c r="EI56" s="21"/>
      <c r="EJ56" s="196"/>
      <c r="EK56" s="21"/>
      <c r="EL56" s="21"/>
      <c r="EM56" s="21"/>
      <c r="EN56" s="21"/>
      <c r="EO56" s="21"/>
      <c r="EP56" s="21"/>
      <c r="EQ56" s="21"/>
      <c r="ER56" s="21"/>
      <c r="ES56" s="21"/>
      <c r="ET56" s="21"/>
      <c r="EU56" s="21"/>
      <c r="EV56" s="21"/>
      <c r="EW56" s="21"/>
      <c r="EX56" s="21"/>
      <c r="EY56" s="21"/>
      <c r="EZ56" s="21"/>
      <c r="FA56" s="21"/>
      <c r="FB56" s="21"/>
      <c r="FC56" s="21"/>
      <c r="FD56" s="21"/>
      <c r="FE56" s="21"/>
      <c r="FF56" s="21"/>
      <c r="FG56" s="21"/>
      <c r="FH56" s="21"/>
      <c r="FI56" s="21"/>
      <c r="FJ56" s="21"/>
      <c r="FK56" s="21"/>
      <c r="FL56" s="21"/>
      <c r="FM56" s="21"/>
      <c r="FN56" s="21"/>
      <c r="FO56" s="21"/>
      <c r="FP56" s="21"/>
      <c r="FQ56" s="21"/>
      <c r="FR56" s="21"/>
      <c r="FS56" s="21"/>
      <c r="FT56" s="21"/>
      <c r="FU56" s="21"/>
      <c r="FV56" s="21"/>
      <c r="FW56" s="21"/>
      <c r="FX56" s="21"/>
      <c r="FY56" s="21"/>
      <c r="FZ56" s="21"/>
      <c r="GA56" s="21"/>
      <c r="GB56" s="21"/>
      <c r="GC56" s="21"/>
      <c r="GD56" s="21"/>
      <c r="GE56" s="21"/>
      <c r="GF56" s="21"/>
      <c r="GG56" s="21"/>
      <c r="GH56" s="21"/>
      <c r="GI56" s="21"/>
      <c r="GJ56" s="21"/>
      <c r="GK56" s="21"/>
      <c r="GL56" s="21"/>
      <c r="GM56" s="21"/>
      <c r="GN56" s="21"/>
      <c r="GO56" s="21"/>
      <c r="GP56" s="21"/>
      <c r="GQ56" s="21"/>
      <c r="GR56" s="21"/>
      <c r="GS56" s="21"/>
      <c r="GT56" s="21"/>
      <c r="GU56" s="21"/>
      <c r="GV56" s="21"/>
      <c r="GW56" s="21"/>
      <c r="GX56" s="21"/>
      <c r="GY56" s="21"/>
      <c r="GZ56" s="21"/>
      <c r="HA56" s="21"/>
      <c r="HB56" s="21"/>
      <c r="HC56" s="21"/>
      <c r="HD56" s="21"/>
      <c r="HE56" s="21"/>
      <c r="HF56" s="21"/>
      <c r="HG56" s="197"/>
      <c r="HH56" s="21"/>
    </row>
    <row r="57" spans="1:216" x14ac:dyDescent="0.25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6" t="s">
        <v>128</v>
      </c>
      <c r="M57" s="11">
        <f>INDEX(cennik!$C$2:$L$529,MATCH($L57,cennik!$B$2:$B$522,0),MATCH(M$2,cennik!$C$1:$L$1,0))</f>
        <v>897303</v>
      </c>
      <c r="N57" s="11" t="str">
        <f>INDEX(cennik!$C$2:$L$529,MATCH($L57,cennik!$B$2:$B$522,0),MATCH(N$2,cennik!$C$1:$L$1,0))</f>
        <v>szt.</v>
      </c>
      <c r="O57" s="11">
        <f>0.25*SUM(O50:O51)</f>
        <v>0</v>
      </c>
      <c r="P57" s="34">
        <f>INDEX(cennik!$C$2:$L$529,MATCH($L57,cennik!$B$2:$B$522,0),MATCH(P$2,cennik!$C$1:$L$1,0))</f>
        <v>2.4</v>
      </c>
      <c r="Q57" s="34">
        <f t="shared" si="68"/>
        <v>0</v>
      </c>
      <c r="R57" s="35">
        <f t="shared" si="66"/>
        <v>0</v>
      </c>
      <c r="S57" s="34">
        <f t="shared" si="67"/>
        <v>2.4</v>
      </c>
      <c r="T57" s="34">
        <f t="shared" si="69"/>
        <v>0</v>
      </c>
      <c r="U57" s="34">
        <f>INDEX(cennik!$C$2:$L$529,MATCH($L57,cennik!$B$2:$B$522,0),MATCH(U$2,cennik!$C$1:$L$1,0))*O57</f>
        <v>0</v>
      </c>
      <c r="V57" s="27"/>
      <c r="AG57" s="21"/>
      <c r="AH57" s="21"/>
      <c r="AI57" s="21"/>
      <c r="AJ57" s="21"/>
      <c r="AK57" s="21"/>
      <c r="AL57" s="21"/>
      <c r="AM57" s="21"/>
      <c r="AN57" s="21"/>
      <c r="AO57" s="21"/>
      <c r="AP57" s="21"/>
      <c r="AQ57" s="21"/>
      <c r="AR57" s="21" t="s">
        <v>115</v>
      </c>
      <c r="AS57" s="21" t="s">
        <v>594</v>
      </c>
      <c r="AT57" s="21" t="s">
        <v>592</v>
      </c>
      <c r="AU57" s="21" t="s">
        <v>591</v>
      </c>
      <c r="AV57" s="21" t="s">
        <v>591</v>
      </c>
      <c r="AW57" s="21"/>
      <c r="AX57" s="21"/>
      <c r="AY57" s="21"/>
      <c r="AZ57" s="21"/>
      <c r="BA57" s="21"/>
      <c r="BB57" s="21"/>
      <c r="BC57" s="21"/>
      <c r="BD57" s="21"/>
      <c r="BE57" s="21"/>
      <c r="BF57" s="21"/>
      <c r="BG57" s="21"/>
      <c r="BH57" s="21" t="s">
        <v>111</v>
      </c>
      <c r="BI57" s="21">
        <v>0</v>
      </c>
      <c r="BJ57" s="21">
        <v>12</v>
      </c>
      <c r="BK57" s="21">
        <v>18</v>
      </c>
      <c r="BL57" s="21">
        <v>24</v>
      </c>
      <c r="BM57" s="21">
        <v>30</v>
      </c>
      <c r="BN57" s="21">
        <v>36</v>
      </c>
      <c r="BO57" s="21">
        <v>42</v>
      </c>
      <c r="BP57" s="21">
        <v>48</v>
      </c>
      <c r="BQ57" s="21">
        <v>54</v>
      </c>
      <c r="BR57" s="21">
        <v>60</v>
      </c>
      <c r="BS57" s="21">
        <v>66</v>
      </c>
      <c r="BT57" s="21">
        <v>72</v>
      </c>
      <c r="BU57" s="21">
        <v>78</v>
      </c>
      <c r="BV57" s="21"/>
      <c r="BW57" s="21" t="s">
        <v>470</v>
      </c>
      <c r="BX57" s="21">
        <v>0</v>
      </c>
      <c r="BY57" s="21">
        <v>12</v>
      </c>
      <c r="BZ57" s="21">
        <v>18</v>
      </c>
      <c r="CA57" s="21">
        <v>24</v>
      </c>
      <c r="CB57" s="21">
        <v>30</v>
      </c>
      <c r="CC57" s="21">
        <v>36</v>
      </c>
      <c r="CD57" s="21">
        <v>42</v>
      </c>
      <c r="CE57" s="21">
        <v>48</v>
      </c>
      <c r="CF57" s="21">
        <v>54</v>
      </c>
      <c r="CG57" s="21">
        <v>60</v>
      </c>
      <c r="CH57" s="21">
        <v>66</v>
      </c>
      <c r="CI57" s="21">
        <v>72</v>
      </c>
      <c r="CJ57" s="21">
        <v>78</v>
      </c>
      <c r="CK57" s="21"/>
      <c r="CL57" s="21"/>
      <c r="CM57" s="21"/>
      <c r="CN57" s="21" t="s">
        <v>473</v>
      </c>
      <c r="CO57" s="21">
        <v>0</v>
      </c>
      <c r="CP57" s="21">
        <v>12</v>
      </c>
      <c r="CQ57" s="21">
        <v>18</v>
      </c>
      <c r="CR57" s="21">
        <v>24</v>
      </c>
      <c r="CS57" s="21">
        <v>30</v>
      </c>
      <c r="CT57" s="21">
        <v>36</v>
      </c>
      <c r="CU57" s="21">
        <v>42</v>
      </c>
      <c r="CV57" s="21">
        <v>48</v>
      </c>
      <c r="CW57" s="21">
        <v>54</v>
      </c>
      <c r="CX57" s="21">
        <v>60</v>
      </c>
      <c r="CY57" s="21">
        <v>66</v>
      </c>
      <c r="CZ57" s="21">
        <v>72</v>
      </c>
      <c r="DA57" s="21">
        <v>78</v>
      </c>
      <c r="DB57" s="21"/>
      <c r="DC57" s="21" t="s">
        <v>138</v>
      </c>
      <c r="DD57" s="21">
        <v>0</v>
      </c>
      <c r="DE57" s="21">
        <v>12</v>
      </c>
      <c r="DF57" s="21">
        <v>18</v>
      </c>
      <c r="DG57" s="21">
        <v>24</v>
      </c>
      <c r="DH57" s="21">
        <v>30</v>
      </c>
      <c r="DI57" s="21">
        <v>36</v>
      </c>
      <c r="DJ57" s="21">
        <v>42</v>
      </c>
      <c r="DK57" s="21">
        <v>48</v>
      </c>
      <c r="DL57" s="21">
        <v>54</v>
      </c>
      <c r="DM57" s="21">
        <v>60</v>
      </c>
      <c r="DN57" s="21">
        <v>66</v>
      </c>
      <c r="DO57" s="21">
        <v>72</v>
      </c>
      <c r="DP57" s="21">
        <v>78</v>
      </c>
      <c r="DQ57" s="87"/>
      <c r="DR57" s="87">
        <v>12</v>
      </c>
      <c r="DS57" s="87"/>
      <c r="DT57" s="21" t="s">
        <v>508</v>
      </c>
      <c r="DU57" s="21">
        <v>0</v>
      </c>
      <c r="DV57" s="21">
        <v>12</v>
      </c>
      <c r="DW57" s="21">
        <v>18</v>
      </c>
      <c r="DX57" s="21">
        <v>24</v>
      </c>
      <c r="DY57" s="21">
        <v>30</v>
      </c>
      <c r="DZ57" s="21">
        <v>36</v>
      </c>
      <c r="EA57" s="21">
        <v>42</v>
      </c>
      <c r="EB57" s="21">
        <v>48</v>
      </c>
      <c r="EC57" s="21">
        <v>54</v>
      </c>
      <c r="ED57" s="21">
        <v>60</v>
      </c>
      <c r="EE57" s="21">
        <v>66</v>
      </c>
      <c r="EF57" s="21">
        <v>72</v>
      </c>
      <c r="EG57" s="21">
        <v>78</v>
      </c>
      <c r="EH57" s="21"/>
      <c r="EI57" s="21"/>
      <c r="EJ57" s="196"/>
      <c r="EK57" s="21" t="s">
        <v>111</v>
      </c>
      <c r="EL57" s="21">
        <v>0</v>
      </c>
      <c r="EM57" s="21">
        <v>12</v>
      </c>
      <c r="EN57" s="21">
        <v>18</v>
      </c>
      <c r="EO57" s="21">
        <v>24</v>
      </c>
      <c r="EP57" s="21">
        <v>30</v>
      </c>
      <c r="EQ57" s="21">
        <v>36</v>
      </c>
      <c r="ER57" s="21">
        <v>42</v>
      </c>
      <c r="ES57" s="21">
        <v>48</v>
      </c>
      <c r="ET57" s="21">
        <v>54</v>
      </c>
      <c r="EU57" s="21">
        <v>60</v>
      </c>
      <c r="EV57" s="21">
        <v>66</v>
      </c>
      <c r="EW57" s="21">
        <v>72</v>
      </c>
      <c r="EX57" s="21">
        <v>78</v>
      </c>
      <c r="EY57" s="21"/>
      <c r="EZ57" s="21" t="s">
        <v>470</v>
      </c>
      <c r="FA57" s="21">
        <v>0</v>
      </c>
      <c r="FB57" s="21">
        <v>12</v>
      </c>
      <c r="FC57" s="21">
        <v>18</v>
      </c>
      <c r="FD57" s="21">
        <v>24</v>
      </c>
      <c r="FE57" s="21">
        <v>30</v>
      </c>
      <c r="FF57" s="21">
        <v>36</v>
      </c>
      <c r="FG57" s="21">
        <v>42</v>
      </c>
      <c r="FH57" s="21">
        <v>48</v>
      </c>
      <c r="FI57" s="21">
        <v>54</v>
      </c>
      <c r="FJ57" s="21">
        <v>60</v>
      </c>
      <c r="FK57" s="21">
        <v>66</v>
      </c>
      <c r="FL57" s="21">
        <v>72</v>
      </c>
      <c r="FM57" s="21">
        <v>78</v>
      </c>
      <c r="FN57" s="21"/>
      <c r="FO57" s="21" t="s">
        <v>473</v>
      </c>
      <c r="FP57" s="21">
        <v>0</v>
      </c>
      <c r="FQ57" s="21">
        <v>12</v>
      </c>
      <c r="FR57" s="21">
        <v>18</v>
      </c>
      <c r="FS57" s="21">
        <v>24</v>
      </c>
      <c r="FT57" s="21">
        <v>30</v>
      </c>
      <c r="FU57" s="21">
        <v>36</v>
      </c>
      <c r="FV57" s="21">
        <v>42</v>
      </c>
      <c r="FW57" s="21">
        <v>48</v>
      </c>
      <c r="FX57" s="21">
        <v>54</v>
      </c>
      <c r="FY57" s="21">
        <v>60</v>
      </c>
      <c r="FZ57" s="21">
        <v>66</v>
      </c>
      <c r="GA57" s="21">
        <v>72</v>
      </c>
      <c r="GB57" s="21">
        <v>78</v>
      </c>
      <c r="GC57" s="21"/>
      <c r="GD57" s="21" t="s">
        <v>138</v>
      </c>
      <c r="GE57" s="21">
        <v>0</v>
      </c>
      <c r="GF57" s="21">
        <v>12</v>
      </c>
      <c r="GG57" s="21">
        <v>18</v>
      </c>
      <c r="GH57" s="21">
        <v>24</v>
      </c>
      <c r="GI57" s="21">
        <v>30</v>
      </c>
      <c r="GJ57" s="21">
        <v>36</v>
      </c>
      <c r="GK57" s="21">
        <v>42</v>
      </c>
      <c r="GL57" s="21">
        <v>48</v>
      </c>
      <c r="GM57" s="21">
        <v>54</v>
      </c>
      <c r="GN57" s="21">
        <v>60</v>
      </c>
      <c r="GO57" s="21">
        <v>66</v>
      </c>
      <c r="GP57" s="21">
        <v>72</v>
      </c>
      <c r="GQ57" s="21">
        <v>78</v>
      </c>
      <c r="GR57" s="21"/>
      <c r="GS57" s="21" t="s">
        <v>508</v>
      </c>
      <c r="GT57" s="21">
        <v>0</v>
      </c>
      <c r="GU57" s="21">
        <v>12</v>
      </c>
      <c r="GV57" s="21">
        <v>18</v>
      </c>
      <c r="GW57" s="21">
        <v>24</v>
      </c>
      <c r="GX57" s="21">
        <v>30</v>
      </c>
      <c r="GY57" s="21">
        <v>36</v>
      </c>
      <c r="GZ57" s="21">
        <v>42</v>
      </c>
      <c r="HA57" s="21">
        <v>48</v>
      </c>
      <c r="HB57" s="21">
        <v>54</v>
      </c>
      <c r="HC57" s="21">
        <v>60</v>
      </c>
      <c r="HD57" s="21">
        <v>66</v>
      </c>
      <c r="HE57" s="21">
        <v>72</v>
      </c>
      <c r="HF57" s="21">
        <v>78</v>
      </c>
      <c r="HG57" s="197"/>
      <c r="HH57" s="21"/>
    </row>
    <row r="58" spans="1:216" x14ac:dyDescent="0.25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6" t="s">
        <v>445</v>
      </c>
      <c r="M58" s="11">
        <f>INDEX(cennik!$C$2:$L$529,MATCH($L58,cennik!$B$2:$B$522,0),MATCH(M$2,cennik!$C$1:$L$1,0))</f>
        <v>858022</v>
      </c>
      <c r="N58" s="11" t="str">
        <f>INDEX(cennik!$C$2:$L$529,MATCH($L58,cennik!$B$2:$B$522,0),MATCH(N$2,cennik!$C$1:$L$1,0))</f>
        <v>szt.</v>
      </c>
      <c r="O58" s="11">
        <f>2*O41</f>
        <v>0</v>
      </c>
      <c r="P58" s="34">
        <f>INDEX(cennik!$C$2:$L$529,MATCH($L58,cennik!$B$2:$B$522,0),MATCH(P$2,cennik!$C$1:$L$1,0))</f>
        <v>4.5</v>
      </c>
      <c r="Q58" s="34">
        <f t="shared" si="68"/>
        <v>0</v>
      </c>
      <c r="R58" s="35">
        <f t="shared" si="66"/>
        <v>0</v>
      </c>
      <c r="S58" s="34">
        <f t="shared" si="67"/>
        <v>4.5</v>
      </c>
      <c r="T58" s="34">
        <f t="shared" si="69"/>
        <v>0</v>
      </c>
      <c r="U58" s="34">
        <f>INDEX(cennik!$C$2:$L$529,MATCH($L58,cennik!$B$2:$B$522,0),MATCH(U$2,cennik!$C$1:$L$1,0))*O58</f>
        <v>0</v>
      </c>
      <c r="V58" s="25"/>
      <c r="AG58" s="21"/>
      <c r="AH58" s="21"/>
      <c r="AI58" s="21"/>
      <c r="AJ58" s="21"/>
      <c r="AK58" s="21"/>
      <c r="AL58" s="21"/>
      <c r="AM58" s="21"/>
      <c r="AN58" s="21"/>
      <c r="AO58" s="21"/>
      <c r="AP58" s="21"/>
      <c r="AQ58" s="21"/>
      <c r="AR58" s="21" t="s">
        <v>474</v>
      </c>
      <c r="AS58" s="21" t="s">
        <v>594</v>
      </c>
      <c r="AT58" s="21" t="s">
        <v>592</v>
      </c>
      <c r="AU58" s="21" t="s">
        <v>591</v>
      </c>
      <c r="AV58" s="21" t="s">
        <v>591</v>
      </c>
      <c r="AW58" s="21"/>
      <c r="AX58" s="21"/>
      <c r="AY58" s="21"/>
      <c r="AZ58" s="21"/>
      <c r="BA58" s="21"/>
      <c r="BB58" s="21"/>
      <c r="BC58" s="21"/>
      <c r="BD58" s="21"/>
      <c r="BE58" s="21"/>
      <c r="BF58" s="21"/>
      <c r="BG58" s="21"/>
      <c r="BH58" s="21" t="s">
        <v>217</v>
      </c>
      <c r="BI58" s="21">
        <v>0</v>
      </c>
      <c r="BJ58" s="21">
        <f>IF(BJ3=0,0,IF(BJ3=5,7,IF(BJ3=10,14,IF(BJ3=15,21,IF(BJ3=20,28,0)))))</f>
        <v>0</v>
      </c>
      <c r="BK58" s="21">
        <f t="shared" ref="BK58:BU58" si="93">IF(BK3=0,0,IF(BK3=5,7,IF(BK3=10,14,IF(BK3=15,21,IF(BK3=20,28,0)))))</f>
        <v>0</v>
      </c>
      <c r="BL58" s="21">
        <f t="shared" si="93"/>
        <v>7</v>
      </c>
      <c r="BM58" s="21">
        <f t="shared" si="93"/>
        <v>0</v>
      </c>
      <c r="BN58" s="21">
        <f t="shared" si="93"/>
        <v>7</v>
      </c>
      <c r="BO58" s="21">
        <f t="shared" si="93"/>
        <v>0</v>
      </c>
      <c r="BP58" s="21">
        <f t="shared" si="93"/>
        <v>14</v>
      </c>
      <c r="BQ58" s="21">
        <f t="shared" si="93"/>
        <v>7</v>
      </c>
      <c r="BR58" s="21">
        <f t="shared" si="93"/>
        <v>14</v>
      </c>
      <c r="BS58" s="21">
        <f t="shared" si="93"/>
        <v>7</v>
      </c>
      <c r="BT58" s="21">
        <f t="shared" si="93"/>
        <v>14</v>
      </c>
      <c r="BU58" s="21">
        <f t="shared" si="93"/>
        <v>14</v>
      </c>
      <c r="BV58" s="21"/>
      <c r="BW58" s="21" t="s">
        <v>217</v>
      </c>
      <c r="BX58" s="21">
        <v>0</v>
      </c>
      <c r="BY58" s="21">
        <f t="shared" ref="BY58:CJ61" si="94">IF(BY3=0,0,IF(BY3=5,7,IF(BY3=10,14,IF(BY3=15,21,IF(BY3=20,28,0)))))</f>
        <v>0</v>
      </c>
      <c r="BZ58" s="21">
        <f t="shared" si="94"/>
        <v>7</v>
      </c>
      <c r="CA58" s="21">
        <f t="shared" si="94"/>
        <v>7</v>
      </c>
      <c r="CB58" s="21">
        <f t="shared" si="94"/>
        <v>0</v>
      </c>
      <c r="CC58" s="21">
        <f t="shared" si="94"/>
        <v>7</v>
      </c>
      <c r="CD58" s="21">
        <f t="shared" si="94"/>
        <v>0</v>
      </c>
      <c r="CE58" s="21">
        <f t="shared" si="94"/>
        <v>7</v>
      </c>
      <c r="CF58" s="21">
        <f t="shared" si="94"/>
        <v>14</v>
      </c>
      <c r="CG58" s="21">
        <f t="shared" si="94"/>
        <v>14</v>
      </c>
      <c r="CH58" s="21">
        <f t="shared" si="94"/>
        <v>14</v>
      </c>
      <c r="CI58" s="21">
        <f t="shared" si="94"/>
        <v>14</v>
      </c>
      <c r="CJ58" s="21">
        <f t="shared" si="94"/>
        <v>21</v>
      </c>
      <c r="CK58" s="21"/>
      <c r="CL58" s="21"/>
      <c r="CM58" s="21"/>
      <c r="CN58" s="21" t="s">
        <v>217</v>
      </c>
      <c r="CO58" s="21">
        <v>0</v>
      </c>
      <c r="CP58" s="21">
        <f t="shared" ref="CP58:DA61" si="95">IF(CP3=0,0,IF(CP3=5,7,IF(CP3=10,14,IF(CP3=15,21,IF(CP3=20,28,0)))))</f>
        <v>0</v>
      </c>
      <c r="CQ58" s="21">
        <f t="shared" si="95"/>
        <v>7</v>
      </c>
      <c r="CR58" s="21">
        <f t="shared" si="95"/>
        <v>0</v>
      </c>
      <c r="CS58" s="21">
        <f t="shared" si="95"/>
        <v>7</v>
      </c>
      <c r="CT58" s="21">
        <f t="shared" si="95"/>
        <v>0</v>
      </c>
      <c r="CU58" s="21">
        <f t="shared" si="95"/>
        <v>14</v>
      </c>
      <c r="CV58" s="21">
        <f t="shared" si="95"/>
        <v>7</v>
      </c>
      <c r="CW58" s="21">
        <f t="shared" si="95"/>
        <v>14</v>
      </c>
      <c r="CX58" s="21">
        <f t="shared" si="95"/>
        <v>21</v>
      </c>
      <c r="CY58" s="21">
        <f t="shared" si="95"/>
        <v>14</v>
      </c>
      <c r="CZ58" s="21">
        <f t="shared" si="95"/>
        <v>21</v>
      </c>
      <c r="DA58" s="21">
        <f t="shared" si="95"/>
        <v>28</v>
      </c>
      <c r="DB58" s="21"/>
      <c r="DC58" s="21" t="s">
        <v>217</v>
      </c>
      <c r="DD58" s="21">
        <v>0</v>
      </c>
      <c r="DE58" s="21">
        <f t="shared" ref="DE58:DP61" si="96">IF(DE3=0,0,IF(DE3=5,7,IF(DE3=10,14,IF(DE3=15,21,IF(DE3=20,28,0)))))</f>
        <v>0</v>
      </c>
      <c r="DF58" s="21">
        <f t="shared" si="96"/>
        <v>7</v>
      </c>
      <c r="DG58" s="21">
        <f t="shared" si="96"/>
        <v>0</v>
      </c>
      <c r="DH58" s="21">
        <f t="shared" si="96"/>
        <v>7</v>
      </c>
      <c r="DI58" s="21">
        <f t="shared" si="96"/>
        <v>0</v>
      </c>
      <c r="DJ58" s="21">
        <f t="shared" si="96"/>
        <v>7</v>
      </c>
      <c r="DK58" s="21">
        <f t="shared" si="96"/>
        <v>14</v>
      </c>
      <c r="DL58" s="21">
        <f t="shared" si="96"/>
        <v>7</v>
      </c>
      <c r="DM58" s="21">
        <f t="shared" si="96"/>
        <v>14</v>
      </c>
      <c r="DN58" s="21">
        <f t="shared" si="96"/>
        <v>21</v>
      </c>
      <c r="DO58" s="21">
        <f t="shared" si="96"/>
        <v>14</v>
      </c>
      <c r="DP58" s="21">
        <f t="shared" si="96"/>
        <v>21</v>
      </c>
      <c r="DQ58" s="87"/>
      <c r="DR58" s="87">
        <v>18</v>
      </c>
      <c r="DS58" s="87"/>
      <c r="DT58" s="21" t="s">
        <v>217</v>
      </c>
      <c r="DU58" s="21">
        <v>0</v>
      </c>
      <c r="DV58" s="21">
        <f>IF(DV3=0,0,IF(DV3=5,7,IF(DV3=10,14,IF(DV3=15,21,IF(DV3=20,28,0)))))</f>
        <v>0</v>
      </c>
      <c r="DW58" s="21">
        <f t="shared" ref="DW58:EG58" si="97">IF(DW3=0,0,IF(DW3=5,7,IF(DW3=10,14,IF(DW3=15,21,IF(DW3=20,28,0)))))</f>
        <v>7</v>
      </c>
      <c r="DX58" s="21">
        <f t="shared" si="97"/>
        <v>0</v>
      </c>
      <c r="DY58" s="21">
        <f t="shared" si="97"/>
        <v>0</v>
      </c>
      <c r="DZ58" s="21">
        <f t="shared" si="97"/>
        <v>14</v>
      </c>
      <c r="EA58" s="21">
        <f t="shared" si="97"/>
        <v>7</v>
      </c>
      <c r="EB58" s="21">
        <f t="shared" si="97"/>
        <v>14</v>
      </c>
      <c r="EC58" s="21">
        <f t="shared" si="97"/>
        <v>14</v>
      </c>
      <c r="ED58" s="21">
        <f t="shared" si="97"/>
        <v>21</v>
      </c>
      <c r="EE58" s="21">
        <f t="shared" si="97"/>
        <v>14</v>
      </c>
      <c r="EF58" s="21">
        <f t="shared" si="97"/>
        <v>21</v>
      </c>
      <c r="EG58" s="21">
        <f t="shared" si="97"/>
        <v>28</v>
      </c>
      <c r="EH58" s="21"/>
      <c r="EI58" s="21"/>
      <c r="EJ58" s="196"/>
      <c r="EK58" s="21" t="s">
        <v>586</v>
      </c>
      <c r="EL58" s="21">
        <v>0</v>
      </c>
      <c r="EM58" s="21">
        <f t="shared" ref="EM58:EX61" si="98">EM3/5*7</f>
        <v>0</v>
      </c>
      <c r="EN58" s="21">
        <f t="shared" si="98"/>
        <v>0</v>
      </c>
      <c r="EO58" s="21">
        <f t="shared" si="98"/>
        <v>7</v>
      </c>
      <c r="EP58" s="21">
        <f t="shared" si="98"/>
        <v>0</v>
      </c>
      <c r="EQ58" s="21">
        <f t="shared" si="98"/>
        <v>0</v>
      </c>
      <c r="ER58" s="21">
        <f t="shared" si="98"/>
        <v>0</v>
      </c>
      <c r="ES58" s="21">
        <f t="shared" si="98"/>
        <v>0</v>
      </c>
      <c r="ET58" s="21">
        <f t="shared" si="98"/>
        <v>0</v>
      </c>
      <c r="EU58" s="21">
        <f t="shared" si="98"/>
        <v>0</v>
      </c>
      <c r="EV58" s="21">
        <f t="shared" si="98"/>
        <v>0</v>
      </c>
      <c r="EW58" s="21">
        <f t="shared" si="98"/>
        <v>0</v>
      </c>
      <c r="EX58" s="21">
        <f t="shared" si="98"/>
        <v>0</v>
      </c>
      <c r="EZ58" s="21" t="s">
        <v>586</v>
      </c>
      <c r="FA58" s="21">
        <v>0</v>
      </c>
      <c r="FB58" s="21">
        <f t="shared" ref="FB58:FM61" si="99">FB3/5*7</f>
        <v>0</v>
      </c>
      <c r="FC58" s="21">
        <f t="shared" si="99"/>
        <v>7</v>
      </c>
      <c r="FD58" s="21">
        <f t="shared" si="99"/>
        <v>7</v>
      </c>
      <c r="FE58" s="21">
        <f t="shared" si="99"/>
        <v>0</v>
      </c>
      <c r="FF58" s="21">
        <f t="shared" si="99"/>
        <v>0</v>
      </c>
      <c r="FG58" s="21">
        <f t="shared" si="99"/>
        <v>0</v>
      </c>
      <c r="FH58" s="21">
        <f t="shared" si="99"/>
        <v>0</v>
      </c>
      <c r="FI58" s="21">
        <f t="shared" si="99"/>
        <v>0</v>
      </c>
      <c r="FJ58" s="21">
        <f t="shared" si="99"/>
        <v>0</v>
      </c>
      <c r="FK58" s="21">
        <f t="shared" si="99"/>
        <v>0</v>
      </c>
      <c r="FL58" s="21">
        <f t="shared" si="99"/>
        <v>0</v>
      </c>
      <c r="FM58" s="21">
        <f t="shared" si="99"/>
        <v>0</v>
      </c>
      <c r="FO58" s="21" t="s">
        <v>586</v>
      </c>
      <c r="FP58" s="21">
        <v>0</v>
      </c>
      <c r="FQ58" s="21">
        <f t="shared" ref="FQ58:GB61" si="100">FQ3/5*7</f>
        <v>0</v>
      </c>
      <c r="FR58" s="21">
        <f t="shared" si="100"/>
        <v>7</v>
      </c>
      <c r="FS58" s="21">
        <f t="shared" si="100"/>
        <v>0</v>
      </c>
      <c r="FT58" s="21">
        <f t="shared" si="100"/>
        <v>0</v>
      </c>
      <c r="FU58" s="21">
        <f t="shared" si="100"/>
        <v>0</v>
      </c>
      <c r="FV58" s="21">
        <f t="shared" si="100"/>
        <v>0</v>
      </c>
      <c r="FW58" s="21">
        <f t="shared" si="100"/>
        <v>0</v>
      </c>
      <c r="FX58" s="21">
        <f t="shared" si="100"/>
        <v>0</v>
      </c>
      <c r="FY58" s="21">
        <f t="shared" si="100"/>
        <v>0</v>
      </c>
      <c r="FZ58" s="21">
        <f t="shared" si="100"/>
        <v>0</v>
      </c>
      <c r="GA58" s="21">
        <f t="shared" si="100"/>
        <v>0</v>
      </c>
      <c r="GB58" s="21">
        <f t="shared" si="100"/>
        <v>0</v>
      </c>
      <c r="GD58" s="21" t="s">
        <v>586</v>
      </c>
      <c r="GE58" s="21">
        <v>0</v>
      </c>
      <c r="GF58" s="21">
        <f t="shared" ref="GF58:GQ61" si="101">GF3/5*7</f>
        <v>0</v>
      </c>
      <c r="GG58" s="21">
        <f t="shared" si="101"/>
        <v>7</v>
      </c>
      <c r="GH58" s="21">
        <f t="shared" si="101"/>
        <v>0</v>
      </c>
      <c r="GI58" s="21">
        <f t="shared" si="101"/>
        <v>0</v>
      </c>
      <c r="GJ58" s="21">
        <f t="shared" si="101"/>
        <v>0</v>
      </c>
      <c r="GK58" s="21">
        <f t="shared" si="101"/>
        <v>0</v>
      </c>
      <c r="GL58" s="21">
        <f t="shared" si="101"/>
        <v>0</v>
      </c>
      <c r="GM58" s="21">
        <f t="shared" si="101"/>
        <v>0</v>
      </c>
      <c r="GN58" s="21">
        <f t="shared" si="101"/>
        <v>0</v>
      </c>
      <c r="GO58" s="21">
        <f t="shared" si="101"/>
        <v>0</v>
      </c>
      <c r="GP58" s="21">
        <f t="shared" si="101"/>
        <v>0</v>
      </c>
      <c r="GQ58" s="21">
        <f t="shared" si="101"/>
        <v>0</v>
      </c>
      <c r="GS58" s="21" t="s">
        <v>586</v>
      </c>
      <c r="GT58" s="21">
        <v>0</v>
      </c>
      <c r="GU58" s="21">
        <f t="shared" ref="GU58:HF61" si="102">GU3/5*7</f>
        <v>0</v>
      </c>
      <c r="GV58" s="21">
        <f t="shared" si="102"/>
        <v>7</v>
      </c>
      <c r="GW58" s="21">
        <f t="shared" si="102"/>
        <v>0</v>
      </c>
      <c r="GX58" s="21">
        <f t="shared" si="102"/>
        <v>0</v>
      </c>
      <c r="GY58" s="21">
        <f t="shared" si="102"/>
        <v>0</v>
      </c>
      <c r="GZ58" s="21">
        <f t="shared" si="102"/>
        <v>0</v>
      </c>
      <c r="HA58" s="21">
        <f t="shared" si="102"/>
        <v>0</v>
      </c>
      <c r="HB58" s="21">
        <f t="shared" si="102"/>
        <v>0</v>
      </c>
      <c r="HC58" s="21">
        <f t="shared" si="102"/>
        <v>0</v>
      </c>
      <c r="HD58" s="21">
        <f t="shared" si="102"/>
        <v>0</v>
      </c>
      <c r="HE58" s="21">
        <f t="shared" si="102"/>
        <v>0</v>
      </c>
      <c r="HF58" s="21">
        <f t="shared" si="102"/>
        <v>0</v>
      </c>
      <c r="HG58" s="197"/>
      <c r="HH58" s="21"/>
    </row>
    <row r="59" spans="1:216" x14ac:dyDescent="0.25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6" t="str">
        <f>IF(E37=$AC$5,"-------",IF(E37=$AC$6,"-------",IF(E37=$AC$7,"-------",IF(E37=$AC$8,"SGKFM10X30",0))))</f>
        <v>-------</v>
      </c>
      <c r="M59" s="11" t="str">
        <f>INDEX(cennik!$C$2:$L$529,MATCH($L59,cennik!$B$2:$B$522,0),MATCH(M$2,cennik!$C$1:$L$1,0))</f>
        <v>-------</v>
      </c>
      <c r="N59" s="11">
        <f>INDEX(cennik!$C$2:$L$529,MATCH($L59,cennik!$B$2:$B$522,0),MATCH(N$2,cennik!$C$1:$L$1,0))</f>
        <v>0</v>
      </c>
      <c r="O59" s="11">
        <f>ROUNDUP((O35*4)/100,0)</f>
        <v>0</v>
      </c>
      <c r="P59" s="34">
        <f>INDEX(cennik!$C$2:$L$529,MATCH($L59,cennik!$B$2:$B$522,0),MATCH(P$2,cennik!$C$1:$L$1,0))</f>
        <v>0</v>
      </c>
      <c r="Q59" s="34">
        <f t="shared" si="68"/>
        <v>0</v>
      </c>
      <c r="R59" s="35">
        <f t="shared" si="66"/>
        <v>0</v>
      </c>
      <c r="S59" s="34">
        <f t="shared" si="67"/>
        <v>0</v>
      </c>
      <c r="T59" s="34">
        <f t="shared" si="69"/>
        <v>0</v>
      </c>
      <c r="U59" s="34">
        <f>INDEX(cennik!$C$2:$L$529,MATCH($L59,cennik!$B$2:$B$522,0),MATCH(U$2,cennik!$C$1:$L$1,0))*O59</f>
        <v>0</v>
      </c>
      <c r="V59" s="25"/>
      <c r="AG59" s="21"/>
      <c r="AH59" s="21"/>
      <c r="AI59" s="21"/>
      <c r="AJ59" s="21"/>
      <c r="AK59" s="21"/>
      <c r="AL59" s="21"/>
      <c r="AM59" s="21"/>
      <c r="AN59" s="21"/>
      <c r="AO59" s="21"/>
      <c r="AP59" s="21"/>
      <c r="AQ59" s="21"/>
      <c r="AR59" s="21"/>
      <c r="AS59" s="21"/>
      <c r="AT59" s="21"/>
      <c r="AU59" s="21"/>
      <c r="AV59" s="21"/>
      <c r="AW59" s="21"/>
      <c r="AX59" s="21"/>
      <c r="AY59" s="21"/>
      <c r="AZ59" s="21"/>
      <c r="BA59" s="21"/>
      <c r="BB59" s="21"/>
      <c r="BC59" s="21"/>
      <c r="BD59" s="21"/>
      <c r="BE59" s="21"/>
      <c r="BF59" s="21"/>
      <c r="BG59" s="21"/>
      <c r="BH59" s="21" t="s">
        <v>216</v>
      </c>
      <c r="BI59" s="21">
        <v>0</v>
      </c>
      <c r="BJ59" s="21">
        <f t="shared" ref="BJ59:BU61" si="103">IF(BJ4=0,0,IF(BJ4=5,7,IF(BJ4=10,14,IF(BJ4=15,21,IF(BJ4=20,28,0)))))</f>
        <v>0</v>
      </c>
      <c r="BK59" s="21">
        <f t="shared" si="103"/>
        <v>7</v>
      </c>
      <c r="BL59" s="21">
        <f t="shared" si="103"/>
        <v>0</v>
      </c>
      <c r="BM59" s="21">
        <f t="shared" si="103"/>
        <v>14</v>
      </c>
      <c r="BN59" s="21">
        <f>IF(BN4=0,0,IF(BN4=5,7,IF(BN4=10,14,IF(BN4=15,21,IF(BN4=20,28,0)))))</f>
        <v>0</v>
      </c>
      <c r="BO59" s="21">
        <f t="shared" si="103"/>
        <v>14</v>
      </c>
      <c r="BP59" s="21">
        <f t="shared" si="103"/>
        <v>0</v>
      </c>
      <c r="BQ59" s="21">
        <f t="shared" si="103"/>
        <v>14</v>
      </c>
      <c r="BR59" s="21">
        <f t="shared" si="103"/>
        <v>0</v>
      </c>
      <c r="BS59" s="21">
        <f t="shared" si="103"/>
        <v>14</v>
      </c>
      <c r="BT59" s="21">
        <f t="shared" si="103"/>
        <v>7</v>
      </c>
      <c r="BU59" s="21">
        <f t="shared" si="103"/>
        <v>14</v>
      </c>
      <c r="BV59" s="21"/>
      <c r="BW59" s="21" t="s">
        <v>216</v>
      </c>
      <c r="BX59" s="21">
        <v>0</v>
      </c>
      <c r="BY59" s="21">
        <f t="shared" si="94"/>
        <v>0</v>
      </c>
      <c r="BZ59" s="21">
        <f t="shared" si="94"/>
        <v>0</v>
      </c>
      <c r="CA59" s="21">
        <f t="shared" si="94"/>
        <v>0</v>
      </c>
      <c r="CB59" s="21">
        <f t="shared" si="94"/>
        <v>14</v>
      </c>
      <c r="CC59" s="21">
        <f t="shared" si="94"/>
        <v>7</v>
      </c>
      <c r="CD59" s="21">
        <f t="shared" si="94"/>
        <v>14</v>
      </c>
      <c r="CE59" s="21">
        <f t="shared" si="94"/>
        <v>14</v>
      </c>
      <c r="CF59" s="21">
        <f t="shared" si="94"/>
        <v>0</v>
      </c>
      <c r="CG59" s="21">
        <f t="shared" si="94"/>
        <v>7</v>
      </c>
      <c r="CH59" s="21">
        <f t="shared" si="94"/>
        <v>7</v>
      </c>
      <c r="CI59" s="21">
        <f t="shared" si="94"/>
        <v>14</v>
      </c>
      <c r="CJ59" s="21">
        <f t="shared" si="94"/>
        <v>7</v>
      </c>
      <c r="CK59" s="21"/>
      <c r="CL59" s="21"/>
      <c r="CM59" s="21"/>
      <c r="CN59" s="21" t="s">
        <v>216</v>
      </c>
      <c r="CO59" s="21">
        <v>0</v>
      </c>
      <c r="CP59" s="21">
        <f t="shared" si="95"/>
        <v>0</v>
      </c>
      <c r="CQ59" s="21">
        <f t="shared" si="95"/>
        <v>0</v>
      </c>
      <c r="CR59" s="21">
        <f t="shared" si="95"/>
        <v>7</v>
      </c>
      <c r="CS59" s="21">
        <f t="shared" si="95"/>
        <v>0</v>
      </c>
      <c r="CT59" s="21">
        <f t="shared" si="95"/>
        <v>14</v>
      </c>
      <c r="CU59" s="21">
        <f t="shared" si="95"/>
        <v>0</v>
      </c>
      <c r="CV59" s="21">
        <f t="shared" si="95"/>
        <v>14</v>
      </c>
      <c r="CW59" s="21">
        <f t="shared" si="95"/>
        <v>7</v>
      </c>
      <c r="CX59" s="21">
        <f t="shared" si="95"/>
        <v>0</v>
      </c>
      <c r="CY59" s="21">
        <f t="shared" si="95"/>
        <v>14</v>
      </c>
      <c r="CZ59" s="21">
        <f t="shared" si="95"/>
        <v>7</v>
      </c>
      <c r="DA59" s="21">
        <f t="shared" si="95"/>
        <v>0</v>
      </c>
      <c r="DB59" s="21"/>
      <c r="DC59" s="21" t="s">
        <v>216</v>
      </c>
      <c r="DD59" s="21">
        <v>0</v>
      </c>
      <c r="DE59" s="21">
        <f t="shared" si="96"/>
        <v>7</v>
      </c>
      <c r="DF59" s="21">
        <f t="shared" si="96"/>
        <v>0</v>
      </c>
      <c r="DG59" s="21">
        <f t="shared" si="96"/>
        <v>14</v>
      </c>
      <c r="DH59" s="21">
        <f t="shared" si="96"/>
        <v>0</v>
      </c>
      <c r="DI59" s="21">
        <f t="shared" si="96"/>
        <v>14</v>
      </c>
      <c r="DJ59" s="21">
        <f t="shared" si="96"/>
        <v>14</v>
      </c>
      <c r="DK59" s="21">
        <f t="shared" si="96"/>
        <v>7</v>
      </c>
      <c r="DL59" s="21">
        <f t="shared" si="96"/>
        <v>14</v>
      </c>
      <c r="DM59" s="21">
        <f t="shared" si="96"/>
        <v>7</v>
      </c>
      <c r="DN59" s="21">
        <f t="shared" si="96"/>
        <v>7</v>
      </c>
      <c r="DO59" s="21">
        <f t="shared" si="96"/>
        <v>14</v>
      </c>
      <c r="DP59" s="21">
        <f t="shared" si="96"/>
        <v>7</v>
      </c>
      <c r="DQ59" s="87"/>
      <c r="DR59" s="87">
        <v>24</v>
      </c>
      <c r="DS59" s="87"/>
      <c r="DT59" s="21" t="s">
        <v>216</v>
      </c>
      <c r="DU59" s="21">
        <v>0</v>
      </c>
      <c r="DV59" s="21">
        <f t="shared" ref="DV59:EG61" si="104">IF(DV4=0,0,IF(DV4=5,7,IF(DV4=10,14,IF(DV4=15,21,IF(DV4=20,28,0)))))</f>
        <v>7</v>
      </c>
      <c r="DW59" s="21">
        <f t="shared" si="104"/>
        <v>0</v>
      </c>
      <c r="DX59" s="21">
        <f t="shared" si="104"/>
        <v>14</v>
      </c>
      <c r="DY59" s="21">
        <f t="shared" si="104"/>
        <v>14</v>
      </c>
      <c r="DZ59" s="21">
        <f t="shared" si="104"/>
        <v>0</v>
      </c>
      <c r="EA59" s="21">
        <f t="shared" si="104"/>
        <v>14</v>
      </c>
      <c r="EB59" s="21">
        <f t="shared" si="104"/>
        <v>7</v>
      </c>
      <c r="EC59" s="21">
        <f t="shared" si="104"/>
        <v>7</v>
      </c>
      <c r="ED59" s="21">
        <f t="shared" si="104"/>
        <v>7</v>
      </c>
      <c r="EE59" s="21">
        <f t="shared" si="104"/>
        <v>14</v>
      </c>
      <c r="EF59" s="21">
        <f t="shared" si="104"/>
        <v>7</v>
      </c>
      <c r="EG59" s="21">
        <f t="shared" si="104"/>
        <v>0</v>
      </c>
      <c r="EH59" s="21"/>
      <c r="EI59" s="21"/>
      <c r="EJ59" s="196"/>
      <c r="EK59" s="21" t="s">
        <v>522</v>
      </c>
      <c r="EL59" s="21">
        <v>0</v>
      </c>
      <c r="EM59" s="21">
        <f t="shared" si="98"/>
        <v>0</v>
      </c>
      <c r="EN59" s="21">
        <f t="shared" si="98"/>
        <v>7</v>
      </c>
      <c r="EO59" s="21">
        <f t="shared" si="98"/>
        <v>0</v>
      </c>
      <c r="EP59" s="21">
        <f t="shared" si="98"/>
        <v>14</v>
      </c>
      <c r="EQ59" s="21">
        <f t="shared" si="98"/>
        <v>0</v>
      </c>
      <c r="ER59" s="21">
        <f t="shared" si="98"/>
        <v>14</v>
      </c>
      <c r="ES59" s="21">
        <f t="shared" si="98"/>
        <v>0</v>
      </c>
      <c r="ET59" s="21">
        <f t="shared" si="98"/>
        <v>14</v>
      </c>
      <c r="EU59" s="21">
        <f t="shared" si="98"/>
        <v>0</v>
      </c>
      <c r="EV59" s="21">
        <f t="shared" si="98"/>
        <v>14</v>
      </c>
      <c r="EW59" s="21">
        <f t="shared" si="98"/>
        <v>7</v>
      </c>
      <c r="EX59" s="21">
        <f t="shared" si="98"/>
        <v>14</v>
      </c>
      <c r="EY59" s="21"/>
      <c r="EZ59" s="21" t="s">
        <v>522</v>
      </c>
      <c r="FA59" s="21">
        <v>0</v>
      </c>
      <c r="FB59" s="21">
        <f t="shared" si="99"/>
        <v>0</v>
      </c>
      <c r="FC59" s="21">
        <f t="shared" si="99"/>
        <v>0</v>
      </c>
      <c r="FD59" s="21">
        <f t="shared" si="99"/>
        <v>0</v>
      </c>
      <c r="FE59" s="21">
        <f t="shared" si="99"/>
        <v>14</v>
      </c>
      <c r="FF59" s="21">
        <f t="shared" si="99"/>
        <v>7</v>
      </c>
      <c r="FG59" s="21">
        <f t="shared" si="99"/>
        <v>14</v>
      </c>
      <c r="FH59" s="21">
        <f t="shared" si="99"/>
        <v>14</v>
      </c>
      <c r="FI59" s="21">
        <f t="shared" si="99"/>
        <v>0</v>
      </c>
      <c r="FJ59" s="21">
        <f t="shared" si="99"/>
        <v>7</v>
      </c>
      <c r="FK59" s="21">
        <f t="shared" si="99"/>
        <v>7</v>
      </c>
      <c r="FL59" s="21">
        <f t="shared" si="99"/>
        <v>14</v>
      </c>
      <c r="FM59" s="21">
        <f t="shared" si="99"/>
        <v>7</v>
      </c>
      <c r="FN59" s="21"/>
      <c r="FO59" s="21" t="s">
        <v>522</v>
      </c>
      <c r="FP59" s="21">
        <v>0</v>
      </c>
      <c r="FQ59" s="21">
        <f t="shared" si="100"/>
        <v>0</v>
      </c>
      <c r="FR59" s="21">
        <f t="shared" si="100"/>
        <v>0</v>
      </c>
      <c r="FS59" s="21">
        <f t="shared" si="100"/>
        <v>7</v>
      </c>
      <c r="FT59" s="21">
        <f t="shared" si="100"/>
        <v>0</v>
      </c>
      <c r="FU59" s="21">
        <f t="shared" si="100"/>
        <v>14</v>
      </c>
      <c r="FV59" s="21">
        <f t="shared" si="100"/>
        <v>0</v>
      </c>
      <c r="FW59" s="21">
        <f t="shared" si="100"/>
        <v>14</v>
      </c>
      <c r="FX59" s="21">
        <f t="shared" si="100"/>
        <v>7</v>
      </c>
      <c r="FY59" s="21">
        <f t="shared" si="100"/>
        <v>0</v>
      </c>
      <c r="FZ59" s="21">
        <f t="shared" si="100"/>
        <v>14</v>
      </c>
      <c r="GA59" s="21">
        <f t="shared" si="100"/>
        <v>7</v>
      </c>
      <c r="GB59" s="21">
        <f t="shared" si="100"/>
        <v>0</v>
      </c>
      <c r="GC59" s="21"/>
      <c r="GD59" s="21" t="s">
        <v>522</v>
      </c>
      <c r="GE59" s="21">
        <v>0</v>
      </c>
      <c r="GF59" s="21">
        <f t="shared" si="101"/>
        <v>7</v>
      </c>
      <c r="GG59" s="21">
        <f t="shared" si="101"/>
        <v>0</v>
      </c>
      <c r="GH59" s="21">
        <f t="shared" si="101"/>
        <v>14</v>
      </c>
      <c r="GI59" s="21">
        <f t="shared" si="101"/>
        <v>0</v>
      </c>
      <c r="GJ59" s="21">
        <f t="shared" si="101"/>
        <v>14</v>
      </c>
      <c r="GK59" s="21">
        <f t="shared" si="101"/>
        <v>14</v>
      </c>
      <c r="GL59" s="21">
        <f t="shared" si="101"/>
        <v>7</v>
      </c>
      <c r="GM59" s="21">
        <f t="shared" si="101"/>
        <v>14</v>
      </c>
      <c r="GN59" s="21">
        <f t="shared" si="101"/>
        <v>7</v>
      </c>
      <c r="GO59" s="21">
        <f t="shared" si="101"/>
        <v>7</v>
      </c>
      <c r="GP59" s="21">
        <f t="shared" si="101"/>
        <v>14</v>
      </c>
      <c r="GQ59" s="21">
        <f t="shared" si="101"/>
        <v>7</v>
      </c>
      <c r="GR59" s="21"/>
      <c r="GS59" s="21" t="s">
        <v>522</v>
      </c>
      <c r="GT59" s="21">
        <v>0</v>
      </c>
      <c r="GU59" s="21">
        <f t="shared" si="102"/>
        <v>7</v>
      </c>
      <c r="GV59" s="21">
        <f t="shared" si="102"/>
        <v>0</v>
      </c>
      <c r="GW59" s="21">
        <f t="shared" si="102"/>
        <v>14</v>
      </c>
      <c r="GX59" s="21">
        <f t="shared" si="102"/>
        <v>14</v>
      </c>
      <c r="GY59" s="21">
        <f t="shared" si="102"/>
        <v>0</v>
      </c>
      <c r="GZ59" s="21">
        <f t="shared" si="102"/>
        <v>14</v>
      </c>
      <c r="HA59" s="21">
        <f t="shared" si="102"/>
        <v>7</v>
      </c>
      <c r="HB59" s="21">
        <f t="shared" si="102"/>
        <v>7</v>
      </c>
      <c r="HC59" s="21">
        <f t="shared" si="102"/>
        <v>7</v>
      </c>
      <c r="HD59" s="21">
        <f t="shared" si="102"/>
        <v>14</v>
      </c>
      <c r="HE59" s="21">
        <f t="shared" si="102"/>
        <v>7</v>
      </c>
      <c r="HF59" s="21">
        <f t="shared" si="102"/>
        <v>0</v>
      </c>
      <c r="HG59" s="197"/>
      <c r="HH59" s="21"/>
    </row>
    <row r="60" spans="1:216" x14ac:dyDescent="0.25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6" t="s">
        <v>722</v>
      </c>
      <c r="M60" s="11">
        <f>INDEX(cennik!$C$2:$L$529,MATCH($L60,cennik!$B$2:$B$522,0),MATCH(M$2,cennik!$C$1:$L$1,0))</f>
        <v>890504</v>
      </c>
      <c r="N60" s="11" t="str">
        <f>INDEX(cennik!$C$2:$L$529,MATCH($L60,cennik!$B$2:$B$522,0),MATCH(N$2,cennik!$C$1:$L$1,0))</f>
        <v>szt.</v>
      </c>
      <c r="O60" s="11">
        <f>SUM(C34:C49)*12</f>
        <v>0</v>
      </c>
      <c r="P60" s="34">
        <f>INDEX(cennik!$C$2:$L$529,MATCH($L60,cennik!$B$2:$B$522,0),MATCH(P$2,cennik!$C$1:$L$1,0))</f>
        <v>4.58</v>
      </c>
      <c r="Q60" s="34">
        <f t="shared" si="68"/>
        <v>0</v>
      </c>
      <c r="R60" s="35">
        <f t="shared" ref="R60" si="105">$E$7</f>
        <v>0</v>
      </c>
      <c r="S60" s="34">
        <f>P60*((100-$E$7)/100)</f>
        <v>4.58</v>
      </c>
      <c r="T60" s="34">
        <f t="shared" si="69"/>
        <v>0</v>
      </c>
      <c r="U60" s="34">
        <f>INDEX(cennik!$C$2:$L$529,MATCH($L60,cennik!$B$2:$B$522,0),MATCH(U$2,cennik!$C$1:$L$1,0))*O60</f>
        <v>0</v>
      </c>
      <c r="V60" s="25"/>
      <c r="AG60" s="21"/>
      <c r="AH60" s="21"/>
      <c r="AI60" s="21"/>
      <c r="AJ60" s="21"/>
      <c r="AK60" s="21"/>
      <c r="AL60" s="21"/>
      <c r="AM60" s="21"/>
      <c r="AN60" s="21"/>
      <c r="AO60" s="21"/>
      <c r="AP60" s="21"/>
      <c r="AQ60" s="21"/>
      <c r="AR60" s="186" t="s">
        <v>727</v>
      </c>
      <c r="AS60" s="21"/>
      <c r="AT60" s="21"/>
      <c r="AU60" s="21"/>
      <c r="AV60" s="21"/>
      <c r="AW60" s="21"/>
      <c r="AX60" s="21"/>
      <c r="AY60" s="21"/>
      <c r="AZ60" s="21"/>
      <c r="BA60" s="21"/>
      <c r="BB60" s="21"/>
      <c r="BC60" s="21"/>
      <c r="BD60" s="21"/>
      <c r="BE60" s="21"/>
      <c r="BF60" s="21"/>
      <c r="BG60" s="21"/>
      <c r="BH60" s="21" t="s">
        <v>17</v>
      </c>
      <c r="BI60" s="21">
        <v>0</v>
      </c>
      <c r="BJ60" s="21">
        <f t="shared" si="103"/>
        <v>7</v>
      </c>
      <c r="BK60" s="21">
        <f t="shared" si="103"/>
        <v>0</v>
      </c>
      <c r="BL60" s="21">
        <f t="shared" si="103"/>
        <v>0</v>
      </c>
      <c r="BM60" s="21">
        <f t="shared" si="103"/>
        <v>0</v>
      </c>
      <c r="BN60" s="21">
        <f t="shared" si="103"/>
        <v>7</v>
      </c>
      <c r="BO60" s="21">
        <f t="shared" si="103"/>
        <v>7</v>
      </c>
      <c r="BP60" s="21">
        <f t="shared" si="103"/>
        <v>0</v>
      </c>
      <c r="BQ60" s="21">
        <f t="shared" si="103"/>
        <v>0</v>
      </c>
      <c r="BR60" s="21">
        <f t="shared" si="103"/>
        <v>7</v>
      </c>
      <c r="BS60" s="21">
        <f t="shared" si="103"/>
        <v>7</v>
      </c>
      <c r="BT60" s="21">
        <f t="shared" si="103"/>
        <v>7</v>
      </c>
      <c r="BU60" s="21">
        <f t="shared" si="103"/>
        <v>0</v>
      </c>
      <c r="BV60" s="21"/>
      <c r="BW60" s="21" t="s">
        <v>17</v>
      </c>
      <c r="BX60" s="21">
        <v>0</v>
      </c>
      <c r="BY60" s="21">
        <f t="shared" si="94"/>
        <v>7</v>
      </c>
      <c r="BZ60" s="21">
        <f t="shared" si="94"/>
        <v>0</v>
      </c>
      <c r="CA60" s="21">
        <f t="shared" si="94"/>
        <v>0</v>
      </c>
      <c r="CB60" s="21">
        <f t="shared" si="94"/>
        <v>0</v>
      </c>
      <c r="CC60" s="21">
        <f t="shared" si="94"/>
        <v>0</v>
      </c>
      <c r="CD60" s="21">
        <f t="shared" si="94"/>
        <v>7</v>
      </c>
      <c r="CE60" s="21">
        <f t="shared" si="94"/>
        <v>0</v>
      </c>
      <c r="CF60" s="21">
        <f t="shared" si="94"/>
        <v>7</v>
      </c>
      <c r="CG60" s="21">
        <f t="shared" si="94"/>
        <v>0</v>
      </c>
      <c r="CH60" s="21">
        <f t="shared" si="94"/>
        <v>7</v>
      </c>
      <c r="CI60" s="21">
        <f t="shared" si="94"/>
        <v>0</v>
      </c>
      <c r="CJ60" s="21">
        <f t="shared" si="94"/>
        <v>0</v>
      </c>
      <c r="CK60" s="21"/>
      <c r="CL60" s="21"/>
      <c r="CM60" s="21"/>
      <c r="CN60" s="21" t="s">
        <v>17</v>
      </c>
      <c r="CO60" s="21">
        <v>0</v>
      </c>
      <c r="CP60" s="21">
        <f t="shared" si="95"/>
        <v>7</v>
      </c>
      <c r="CQ60" s="21">
        <f t="shared" si="95"/>
        <v>0</v>
      </c>
      <c r="CR60" s="21">
        <f t="shared" si="95"/>
        <v>7</v>
      </c>
      <c r="CS60" s="21">
        <f t="shared" si="95"/>
        <v>7</v>
      </c>
      <c r="CT60" s="21">
        <f t="shared" si="95"/>
        <v>7</v>
      </c>
      <c r="CU60" s="21">
        <f t="shared" si="95"/>
        <v>0</v>
      </c>
      <c r="CV60" s="21">
        <f t="shared" si="95"/>
        <v>0</v>
      </c>
      <c r="CW60" s="21">
        <f t="shared" si="95"/>
        <v>0</v>
      </c>
      <c r="CX60" s="21">
        <f t="shared" si="95"/>
        <v>0</v>
      </c>
      <c r="CY60" s="21">
        <f t="shared" si="95"/>
        <v>0</v>
      </c>
      <c r="CZ60" s="21">
        <f t="shared" si="95"/>
        <v>0</v>
      </c>
      <c r="DA60" s="21">
        <f t="shared" si="95"/>
        <v>0</v>
      </c>
      <c r="DB60" s="21"/>
      <c r="DC60" s="21" t="s">
        <v>17</v>
      </c>
      <c r="DD60" s="21">
        <v>0</v>
      </c>
      <c r="DE60" s="21">
        <f t="shared" si="96"/>
        <v>0</v>
      </c>
      <c r="DF60" s="21">
        <f t="shared" si="96"/>
        <v>0</v>
      </c>
      <c r="DG60" s="21">
        <f t="shared" si="96"/>
        <v>0</v>
      </c>
      <c r="DH60" s="21">
        <f t="shared" si="96"/>
        <v>7</v>
      </c>
      <c r="DI60" s="21">
        <f t="shared" si="96"/>
        <v>7</v>
      </c>
      <c r="DJ60" s="21">
        <f t="shared" si="96"/>
        <v>0</v>
      </c>
      <c r="DK60" s="21">
        <f t="shared" si="96"/>
        <v>0</v>
      </c>
      <c r="DL60" s="21">
        <f t="shared" si="96"/>
        <v>7</v>
      </c>
      <c r="DM60" s="21">
        <f t="shared" si="96"/>
        <v>7</v>
      </c>
      <c r="DN60" s="21">
        <f t="shared" si="96"/>
        <v>0</v>
      </c>
      <c r="DO60" s="21">
        <f t="shared" si="96"/>
        <v>7</v>
      </c>
      <c r="DP60" s="21">
        <f t="shared" si="96"/>
        <v>7</v>
      </c>
      <c r="DQ60" s="87"/>
      <c r="DR60" s="87">
        <v>30</v>
      </c>
      <c r="DS60" s="87"/>
      <c r="DT60" s="21" t="s">
        <v>17</v>
      </c>
      <c r="DU60" s="21">
        <v>0</v>
      </c>
      <c r="DV60" s="21">
        <f t="shared" si="104"/>
        <v>0</v>
      </c>
      <c r="DW60" s="21">
        <f t="shared" si="104"/>
        <v>0</v>
      </c>
      <c r="DX60" s="21">
        <f t="shared" si="104"/>
        <v>0</v>
      </c>
      <c r="DY60" s="21">
        <f t="shared" si="104"/>
        <v>7</v>
      </c>
      <c r="DZ60" s="21">
        <f t="shared" si="104"/>
        <v>0</v>
      </c>
      <c r="EA60" s="21">
        <f t="shared" si="104"/>
        <v>0</v>
      </c>
      <c r="EB60" s="21">
        <f t="shared" si="104"/>
        <v>0</v>
      </c>
      <c r="EC60" s="21">
        <f t="shared" si="104"/>
        <v>7</v>
      </c>
      <c r="ED60" s="21">
        <f t="shared" si="104"/>
        <v>0</v>
      </c>
      <c r="EE60" s="21">
        <f t="shared" si="104"/>
        <v>7</v>
      </c>
      <c r="EF60" s="21">
        <f t="shared" si="104"/>
        <v>7</v>
      </c>
      <c r="EG60" s="21">
        <f t="shared" si="104"/>
        <v>7</v>
      </c>
      <c r="EH60" s="21"/>
      <c r="EI60" s="21"/>
      <c r="EJ60" s="196"/>
      <c r="EK60" s="21" t="s">
        <v>523</v>
      </c>
      <c r="EL60" s="21">
        <v>0</v>
      </c>
      <c r="EM60" s="21">
        <f t="shared" si="98"/>
        <v>7</v>
      </c>
      <c r="EN60" s="21">
        <f t="shared" si="98"/>
        <v>0</v>
      </c>
      <c r="EO60" s="21">
        <f t="shared" si="98"/>
        <v>0</v>
      </c>
      <c r="EP60" s="21">
        <f t="shared" si="98"/>
        <v>0</v>
      </c>
      <c r="EQ60" s="21">
        <f t="shared" si="98"/>
        <v>21</v>
      </c>
      <c r="ER60" s="21">
        <f t="shared" si="98"/>
        <v>7</v>
      </c>
      <c r="ES60" s="21">
        <f t="shared" si="98"/>
        <v>28</v>
      </c>
      <c r="ET60" s="21">
        <f t="shared" si="98"/>
        <v>14</v>
      </c>
      <c r="EU60" s="21">
        <f t="shared" si="98"/>
        <v>35</v>
      </c>
      <c r="EV60" s="21">
        <f t="shared" si="98"/>
        <v>21</v>
      </c>
      <c r="EW60" s="21">
        <f t="shared" si="98"/>
        <v>35</v>
      </c>
      <c r="EX60" s="21">
        <f t="shared" si="98"/>
        <v>28</v>
      </c>
      <c r="EY60" s="21"/>
      <c r="EZ60" s="21" t="s">
        <v>523</v>
      </c>
      <c r="FA60" s="21">
        <v>0</v>
      </c>
      <c r="FB60" s="21">
        <f t="shared" si="99"/>
        <v>7</v>
      </c>
      <c r="FC60" s="21">
        <f t="shared" si="99"/>
        <v>0</v>
      </c>
      <c r="FD60" s="21">
        <f t="shared" si="99"/>
        <v>0</v>
      </c>
      <c r="FE60" s="21">
        <f t="shared" si="99"/>
        <v>0</v>
      </c>
      <c r="FF60" s="21">
        <f t="shared" si="99"/>
        <v>14</v>
      </c>
      <c r="FG60" s="21">
        <f t="shared" si="99"/>
        <v>7</v>
      </c>
      <c r="FH60" s="21">
        <f t="shared" si="99"/>
        <v>14</v>
      </c>
      <c r="FI60" s="21">
        <f t="shared" si="99"/>
        <v>35</v>
      </c>
      <c r="FJ60" s="21">
        <f t="shared" si="99"/>
        <v>28</v>
      </c>
      <c r="FK60" s="21">
        <f t="shared" si="99"/>
        <v>35</v>
      </c>
      <c r="FL60" s="21">
        <f t="shared" si="99"/>
        <v>28</v>
      </c>
      <c r="FM60" s="21">
        <f t="shared" si="99"/>
        <v>42</v>
      </c>
      <c r="FN60" s="21"/>
      <c r="FO60" s="21" t="s">
        <v>523</v>
      </c>
      <c r="FP60" s="21">
        <v>0</v>
      </c>
      <c r="FQ60" s="21">
        <f t="shared" si="100"/>
        <v>7</v>
      </c>
      <c r="FR60" s="21">
        <f t="shared" si="100"/>
        <v>0</v>
      </c>
      <c r="FS60" s="21">
        <f t="shared" si="100"/>
        <v>7</v>
      </c>
      <c r="FT60" s="21">
        <f t="shared" si="100"/>
        <v>21</v>
      </c>
      <c r="FU60" s="21">
        <f t="shared" si="100"/>
        <v>7</v>
      </c>
      <c r="FV60" s="21">
        <f t="shared" si="100"/>
        <v>28</v>
      </c>
      <c r="FW60" s="21">
        <f t="shared" si="100"/>
        <v>14</v>
      </c>
      <c r="FX60" s="21">
        <f t="shared" si="100"/>
        <v>28</v>
      </c>
      <c r="FY60" s="21">
        <f t="shared" si="100"/>
        <v>42</v>
      </c>
      <c r="FZ60" s="21">
        <f t="shared" si="100"/>
        <v>28</v>
      </c>
      <c r="GA60" s="21">
        <f t="shared" si="100"/>
        <v>42</v>
      </c>
      <c r="GB60" s="21">
        <f t="shared" si="100"/>
        <v>56</v>
      </c>
      <c r="GC60" s="21"/>
      <c r="GD60" s="21" t="s">
        <v>523</v>
      </c>
      <c r="GE60" s="21">
        <v>0</v>
      </c>
      <c r="GF60" s="21">
        <f t="shared" si="101"/>
        <v>0</v>
      </c>
      <c r="GG60" s="21">
        <f t="shared" si="101"/>
        <v>0</v>
      </c>
      <c r="GH60" s="21">
        <f t="shared" si="101"/>
        <v>0</v>
      </c>
      <c r="GI60" s="21">
        <f t="shared" si="101"/>
        <v>21</v>
      </c>
      <c r="GJ60" s="21">
        <f t="shared" si="101"/>
        <v>7</v>
      </c>
      <c r="GK60" s="21">
        <f t="shared" si="101"/>
        <v>14</v>
      </c>
      <c r="GL60" s="21">
        <f t="shared" si="101"/>
        <v>28</v>
      </c>
      <c r="GM60" s="21">
        <f t="shared" si="101"/>
        <v>21</v>
      </c>
      <c r="GN60" s="21">
        <f t="shared" si="101"/>
        <v>35</v>
      </c>
      <c r="GO60" s="21">
        <f t="shared" si="101"/>
        <v>42</v>
      </c>
      <c r="GP60" s="21">
        <f t="shared" si="101"/>
        <v>35</v>
      </c>
      <c r="GQ60" s="21">
        <f t="shared" si="101"/>
        <v>49</v>
      </c>
      <c r="GR60" s="21"/>
      <c r="GS60" s="21" t="s">
        <v>523</v>
      </c>
      <c r="GT60" s="21">
        <v>0</v>
      </c>
      <c r="GU60" s="21">
        <f t="shared" si="102"/>
        <v>0</v>
      </c>
      <c r="GV60" s="21">
        <f t="shared" si="102"/>
        <v>0</v>
      </c>
      <c r="GW60" s="21">
        <f t="shared" si="102"/>
        <v>0</v>
      </c>
      <c r="GX60" s="21">
        <f t="shared" si="102"/>
        <v>7</v>
      </c>
      <c r="GY60" s="21">
        <f>GY5/5*7</f>
        <v>28</v>
      </c>
      <c r="GZ60" s="21">
        <f t="shared" si="102"/>
        <v>14</v>
      </c>
      <c r="HA60" s="21">
        <f t="shared" si="102"/>
        <v>28</v>
      </c>
      <c r="HB60" s="21">
        <f t="shared" si="102"/>
        <v>35</v>
      </c>
      <c r="HC60" s="21">
        <f t="shared" si="102"/>
        <v>42</v>
      </c>
      <c r="HD60" s="21">
        <f t="shared" si="102"/>
        <v>35</v>
      </c>
      <c r="HE60" s="21">
        <f t="shared" si="102"/>
        <v>49</v>
      </c>
      <c r="HF60" s="21">
        <f t="shared" si="102"/>
        <v>63</v>
      </c>
      <c r="HG60" s="197"/>
      <c r="HH60" s="21"/>
    </row>
    <row r="61" spans="1:216" x14ac:dyDescent="0.25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6" t="s">
        <v>316</v>
      </c>
      <c r="M61" s="11"/>
      <c r="N61" s="11"/>
      <c r="O61" s="11"/>
      <c r="P61" s="34"/>
      <c r="Q61" s="34"/>
      <c r="R61" s="35"/>
      <c r="S61" s="34"/>
      <c r="T61" s="34"/>
      <c r="U61" s="34"/>
      <c r="V61" s="25"/>
      <c r="AG61" s="21"/>
      <c r="AH61" s="21"/>
      <c r="AI61" s="21"/>
      <c r="AJ61" s="21"/>
      <c r="AK61" s="21"/>
      <c r="AL61" s="21"/>
      <c r="AM61" s="21"/>
      <c r="AN61" s="21"/>
      <c r="AO61" s="21"/>
      <c r="AP61" s="21"/>
      <c r="AQ61" s="21"/>
      <c r="AR61" s="21"/>
      <c r="AS61" s="21" t="s">
        <v>314</v>
      </c>
      <c r="AT61" s="21" t="s">
        <v>312</v>
      </c>
      <c r="AU61" s="21" t="s">
        <v>309</v>
      </c>
      <c r="AV61" s="21" t="s">
        <v>313</v>
      </c>
      <c r="AW61" s="21"/>
      <c r="AX61" s="21"/>
      <c r="AY61" s="21"/>
      <c r="AZ61" s="21"/>
      <c r="BA61" s="21"/>
      <c r="BB61" s="21"/>
      <c r="BC61" s="21"/>
      <c r="BD61" s="21"/>
      <c r="BE61" s="21"/>
      <c r="BF61" s="21"/>
      <c r="BG61" s="21"/>
      <c r="BH61" s="20" t="s">
        <v>18</v>
      </c>
      <c r="BI61" s="20">
        <v>0</v>
      </c>
      <c r="BJ61" s="21">
        <f t="shared" si="103"/>
        <v>0</v>
      </c>
      <c r="BK61" s="21">
        <f t="shared" si="103"/>
        <v>0</v>
      </c>
      <c r="BL61" s="21">
        <f t="shared" si="103"/>
        <v>0</v>
      </c>
      <c r="BM61" s="21">
        <f t="shared" si="103"/>
        <v>7</v>
      </c>
      <c r="BN61" s="21">
        <f t="shared" si="103"/>
        <v>7</v>
      </c>
      <c r="BO61" s="21">
        <f t="shared" si="103"/>
        <v>14</v>
      </c>
      <c r="BP61" s="21">
        <f t="shared" si="103"/>
        <v>7</v>
      </c>
      <c r="BQ61" s="21">
        <f t="shared" si="103"/>
        <v>14</v>
      </c>
      <c r="BR61" s="21">
        <f t="shared" si="103"/>
        <v>14</v>
      </c>
      <c r="BS61" s="21">
        <f t="shared" si="103"/>
        <v>21</v>
      </c>
      <c r="BT61" s="21">
        <f t="shared" si="103"/>
        <v>21</v>
      </c>
      <c r="BU61" s="21">
        <f t="shared" si="103"/>
        <v>21</v>
      </c>
      <c r="BV61" s="21"/>
      <c r="BW61" s="21" t="s">
        <v>18</v>
      </c>
      <c r="BX61" s="21">
        <v>0</v>
      </c>
      <c r="BY61" s="21">
        <f t="shared" si="94"/>
        <v>0</v>
      </c>
      <c r="BZ61" s="21">
        <f t="shared" si="94"/>
        <v>0</v>
      </c>
      <c r="CA61" s="21">
        <f t="shared" si="94"/>
        <v>0</v>
      </c>
      <c r="CB61" s="21">
        <f t="shared" si="94"/>
        <v>7</v>
      </c>
      <c r="CC61" s="21">
        <f t="shared" si="94"/>
        <v>7</v>
      </c>
      <c r="CD61" s="21">
        <f t="shared" si="94"/>
        <v>14</v>
      </c>
      <c r="CE61" s="21">
        <f t="shared" si="94"/>
        <v>14</v>
      </c>
      <c r="CF61" s="21">
        <f t="shared" si="94"/>
        <v>14</v>
      </c>
      <c r="CG61" s="21">
        <f t="shared" si="94"/>
        <v>14</v>
      </c>
      <c r="CH61" s="21">
        <f t="shared" si="94"/>
        <v>21</v>
      </c>
      <c r="CI61" s="21">
        <f t="shared" si="94"/>
        <v>21</v>
      </c>
      <c r="CJ61" s="21">
        <f t="shared" si="94"/>
        <v>21</v>
      </c>
      <c r="CK61" s="21"/>
      <c r="CL61" s="21"/>
      <c r="CM61" s="21"/>
      <c r="CN61" s="21" t="s">
        <v>18</v>
      </c>
      <c r="CO61" s="21">
        <v>0</v>
      </c>
      <c r="CP61" s="21">
        <f t="shared" si="95"/>
        <v>0</v>
      </c>
      <c r="CQ61" s="21">
        <f t="shared" si="95"/>
        <v>0</v>
      </c>
      <c r="CR61" s="21">
        <f t="shared" si="95"/>
        <v>7</v>
      </c>
      <c r="CS61" s="21">
        <f t="shared" si="95"/>
        <v>7</v>
      </c>
      <c r="CT61" s="21">
        <f t="shared" si="95"/>
        <v>14</v>
      </c>
      <c r="CU61" s="21">
        <f t="shared" si="95"/>
        <v>7</v>
      </c>
      <c r="CV61" s="21">
        <f t="shared" si="95"/>
        <v>14</v>
      </c>
      <c r="CW61" s="21">
        <f t="shared" si="95"/>
        <v>14</v>
      </c>
      <c r="CX61" s="21">
        <f t="shared" si="95"/>
        <v>14</v>
      </c>
      <c r="CY61" s="21">
        <f t="shared" si="95"/>
        <v>21</v>
      </c>
      <c r="CZ61" s="21">
        <f t="shared" si="95"/>
        <v>21</v>
      </c>
      <c r="DA61" s="21">
        <f t="shared" si="95"/>
        <v>21</v>
      </c>
      <c r="DB61" s="21"/>
      <c r="DC61" s="20" t="s">
        <v>18</v>
      </c>
      <c r="DD61" s="20">
        <v>0</v>
      </c>
      <c r="DE61" s="21">
        <f t="shared" si="96"/>
        <v>0</v>
      </c>
      <c r="DF61" s="21">
        <f t="shared" si="96"/>
        <v>0</v>
      </c>
      <c r="DG61" s="21">
        <f t="shared" si="96"/>
        <v>7</v>
      </c>
      <c r="DH61" s="21">
        <f t="shared" si="96"/>
        <v>7</v>
      </c>
      <c r="DI61" s="21">
        <f t="shared" si="96"/>
        <v>14</v>
      </c>
      <c r="DJ61" s="21">
        <f t="shared" si="96"/>
        <v>14</v>
      </c>
      <c r="DK61" s="21">
        <f t="shared" si="96"/>
        <v>14</v>
      </c>
      <c r="DL61" s="21">
        <f t="shared" si="96"/>
        <v>21</v>
      </c>
      <c r="DM61" s="21">
        <f t="shared" si="96"/>
        <v>21</v>
      </c>
      <c r="DN61" s="21">
        <f t="shared" si="96"/>
        <v>21</v>
      </c>
      <c r="DO61" s="21">
        <f t="shared" si="96"/>
        <v>28</v>
      </c>
      <c r="DP61" s="21">
        <f t="shared" si="96"/>
        <v>28</v>
      </c>
      <c r="DQ61" s="87"/>
      <c r="DR61" s="87">
        <v>36</v>
      </c>
      <c r="DS61" s="87"/>
      <c r="DT61" s="21" t="s">
        <v>18</v>
      </c>
      <c r="DU61" s="21">
        <v>0</v>
      </c>
      <c r="DV61" s="21">
        <f t="shared" si="104"/>
        <v>0</v>
      </c>
      <c r="DW61" s="21">
        <f t="shared" si="104"/>
        <v>0</v>
      </c>
      <c r="DX61" s="21">
        <f t="shared" si="104"/>
        <v>7</v>
      </c>
      <c r="DY61" s="21">
        <f t="shared" si="104"/>
        <v>14</v>
      </c>
      <c r="DZ61" s="21">
        <f t="shared" si="104"/>
        <v>7</v>
      </c>
      <c r="EA61" s="21">
        <f t="shared" si="104"/>
        <v>14</v>
      </c>
      <c r="EB61" s="21">
        <f t="shared" si="104"/>
        <v>14</v>
      </c>
      <c r="EC61" s="21">
        <f t="shared" si="104"/>
        <v>21</v>
      </c>
      <c r="ED61" s="21">
        <f t="shared" si="104"/>
        <v>21</v>
      </c>
      <c r="EE61" s="21">
        <f t="shared" si="104"/>
        <v>28</v>
      </c>
      <c r="EF61" s="21">
        <f t="shared" si="104"/>
        <v>28</v>
      </c>
      <c r="EG61" s="21">
        <f t="shared" si="104"/>
        <v>28</v>
      </c>
      <c r="EH61" s="21"/>
      <c r="EI61" s="21"/>
      <c r="EJ61" s="196"/>
      <c r="EK61" s="20" t="s">
        <v>779</v>
      </c>
      <c r="EL61" s="21">
        <v>0</v>
      </c>
      <c r="EM61" s="21">
        <f t="shared" si="98"/>
        <v>0</v>
      </c>
      <c r="EN61" s="21">
        <f t="shared" si="98"/>
        <v>0</v>
      </c>
      <c r="EO61" s="21">
        <f t="shared" si="98"/>
        <v>0</v>
      </c>
      <c r="EP61" s="21">
        <f t="shared" si="98"/>
        <v>7</v>
      </c>
      <c r="EQ61" s="21">
        <f t="shared" si="98"/>
        <v>14</v>
      </c>
      <c r="ER61" s="21">
        <f t="shared" si="98"/>
        <v>14</v>
      </c>
      <c r="ES61" s="21">
        <f t="shared" si="98"/>
        <v>21</v>
      </c>
      <c r="ET61" s="21">
        <f t="shared" si="98"/>
        <v>21</v>
      </c>
      <c r="EU61" s="21">
        <f t="shared" si="98"/>
        <v>28</v>
      </c>
      <c r="EV61" s="21">
        <f t="shared" si="98"/>
        <v>28</v>
      </c>
      <c r="EW61" s="21">
        <f t="shared" si="98"/>
        <v>35</v>
      </c>
      <c r="EX61" s="21">
        <f t="shared" si="98"/>
        <v>35</v>
      </c>
      <c r="EY61" s="21"/>
      <c r="EZ61" s="20" t="s">
        <v>779</v>
      </c>
      <c r="FA61" s="21">
        <v>0</v>
      </c>
      <c r="FB61" s="21">
        <f t="shared" si="99"/>
        <v>0</v>
      </c>
      <c r="FC61" s="21">
        <f t="shared" si="99"/>
        <v>0</v>
      </c>
      <c r="FD61" s="21">
        <f t="shared" si="99"/>
        <v>0</v>
      </c>
      <c r="FE61" s="21">
        <f t="shared" si="99"/>
        <v>7</v>
      </c>
      <c r="FF61" s="21">
        <f t="shared" si="99"/>
        <v>14</v>
      </c>
      <c r="FG61" s="21">
        <f t="shared" si="99"/>
        <v>14</v>
      </c>
      <c r="FH61" s="21">
        <f t="shared" si="99"/>
        <v>21</v>
      </c>
      <c r="FI61" s="21">
        <f t="shared" si="99"/>
        <v>28</v>
      </c>
      <c r="FJ61" s="21">
        <f t="shared" si="99"/>
        <v>28</v>
      </c>
      <c r="FK61" s="21">
        <f t="shared" si="99"/>
        <v>35</v>
      </c>
      <c r="FL61" s="21">
        <f t="shared" si="99"/>
        <v>35</v>
      </c>
      <c r="FM61" s="21">
        <f t="shared" si="99"/>
        <v>42</v>
      </c>
      <c r="FN61" s="21"/>
      <c r="FO61" s="20" t="s">
        <v>779</v>
      </c>
      <c r="FP61" s="21">
        <v>0</v>
      </c>
      <c r="FQ61" s="21">
        <f t="shared" si="100"/>
        <v>0</v>
      </c>
      <c r="FR61" s="21">
        <f t="shared" si="100"/>
        <v>0</v>
      </c>
      <c r="FS61" s="21">
        <f t="shared" si="100"/>
        <v>7</v>
      </c>
      <c r="FT61" s="21">
        <f t="shared" si="100"/>
        <v>14</v>
      </c>
      <c r="FU61" s="21">
        <f t="shared" si="100"/>
        <v>14</v>
      </c>
      <c r="FV61" s="21">
        <f t="shared" si="100"/>
        <v>21</v>
      </c>
      <c r="FW61" s="21">
        <f t="shared" si="100"/>
        <v>21</v>
      </c>
      <c r="FX61" s="21">
        <f t="shared" si="100"/>
        <v>28</v>
      </c>
      <c r="FY61" s="21">
        <f t="shared" si="100"/>
        <v>35</v>
      </c>
      <c r="FZ61" s="21">
        <f t="shared" si="100"/>
        <v>35</v>
      </c>
      <c r="GA61" s="21">
        <f t="shared" si="100"/>
        <v>42</v>
      </c>
      <c r="GB61" s="21">
        <f t="shared" si="100"/>
        <v>49</v>
      </c>
      <c r="GC61" s="21"/>
      <c r="GD61" s="20" t="s">
        <v>779</v>
      </c>
      <c r="GE61" s="21">
        <v>0</v>
      </c>
      <c r="GF61" s="21">
        <f t="shared" si="101"/>
        <v>0</v>
      </c>
      <c r="GG61" s="21">
        <f t="shared" si="101"/>
        <v>0</v>
      </c>
      <c r="GH61" s="21">
        <f t="shared" si="101"/>
        <v>7</v>
      </c>
      <c r="GI61" s="21">
        <f t="shared" si="101"/>
        <v>14</v>
      </c>
      <c r="GJ61" s="21">
        <f t="shared" si="101"/>
        <v>14</v>
      </c>
      <c r="GK61" s="21">
        <f t="shared" si="101"/>
        <v>21</v>
      </c>
      <c r="GL61" s="21">
        <f t="shared" si="101"/>
        <v>28</v>
      </c>
      <c r="GM61" s="21">
        <f t="shared" si="101"/>
        <v>28</v>
      </c>
      <c r="GN61" s="21">
        <f t="shared" si="101"/>
        <v>35</v>
      </c>
      <c r="GO61" s="21">
        <f t="shared" si="101"/>
        <v>42</v>
      </c>
      <c r="GP61" s="21">
        <f t="shared" si="101"/>
        <v>42</v>
      </c>
      <c r="GQ61" s="21">
        <f t="shared" si="101"/>
        <v>49</v>
      </c>
      <c r="GR61" s="21"/>
      <c r="GS61" s="20" t="s">
        <v>779</v>
      </c>
      <c r="GT61" s="21">
        <v>0</v>
      </c>
      <c r="GU61" s="21">
        <f t="shared" si="102"/>
        <v>0</v>
      </c>
      <c r="GV61" s="21">
        <f t="shared" si="102"/>
        <v>0</v>
      </c>
      <c r="GW61" s="21">
        <f t="shared" si="102"/>
        <v>7</v>
      </c>
      <c r="GX61" s="21">
        <f t="shared" si="102"/>
        <v>14</v>
      </c>
      <c r="GY61" s="21">
        <f t="shared" si="102"/>
        <v>21</v>
      </c>
      <c r="GZ61" s="21">
        <f t="shared" si="102"/>
        <v>21</v>
      </c>
      <c r="HA61" s="21">
        <f t="shared" si="102"/>
        <v>28</v>
      </c>
      <c r="HB61" s="21">
        <f t="shared" si="102"/>
        <v>35</v>
      </c>
      <c r="HC61" s="21">
        <f t="shared" si="102"/>
        <v>42</v>
      </c>
      <c r="HD61" s="21">
        <f t="shared" si="102"/>
        <v>42</v>
      </c>
      <c r="HE61" s="21">
        <f t="shared" si="102"/>
        <v>49</v>
      </c>
      <c r="HF61" s="21">
        <f t="shared" si="102"/>
        <v>56</v>
      </c>
      <c r="HG61" s="197"/>
      <c r="HH61" s="21"/>
    </row>
    <row r="62" spans="1:216" x14ac:dyDescent="0.25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6" t="str">
        <f>IF(E44=AS49,"CWT70H50/3,2NMC",IF(E44=AU49,"CWT70H50/3NMC",IF(E44=AT50,"CWT70H50/2,4NMC",IF(E44=AW51,"CWT70H50/2NMC","-------"))))</f>
        <v>CWT70H50/3,2NMC</v>
      </c>
      <c r="M62" s="11">
        <f>INDEX(cennik!$C$2:$L$529,MATCH($L62,cennik!$B$2:$B$522,0),MATCH(M$2,cennik!$C$1:$L$1,0))</f>
        <v>867832</v>
      </c>
      <c r="N62" s="11" t="str">
        <f>INDEX(cennik!$C$2:$L$529,MATCH($L62,cennik!$B$2:$B$522,0),MATCH(N$2,cennik!$C$1:$L$1,0))</f>
        <v>szt.</v>
      </c>
      <c r="O62" s="11">
        <f>E38*2</f>
        <v>0</v>
      </c>
      <c r="P62" s="34">
        <f>INDEX(cennik!$C$2:$L$529,MATCH($L62,cennik!$B$2:$B$522,0),MATCH(P$2,cennik!$C$1:$L$1,0))</f>
        <v>161.94999999999999</v>
      </c>
      <c r="Q62" s="34">
        <f>O62*P62</f>
        <v>0</v>
      </c>
      <c r="R62" s="35">
        <f>$E$39</f>
        <v>0</v>
      </c>
      <c r="S62" s="34">
        <f>P62*((100-$E$39)/100)</f>
        <v>161.94999999999999</v>
      </c>
      <c r="T62" s="34">
        <f>O62*S62</f>
        <v>0</v>
      </c>
      <c r="U62" s="34">
        <f>INDEX(cennik!$C$2:$L$529,MATCH($L62,cennik!$B$2:$B$522,0),MATCH(U$2,cennik!$C$1:$L$1,0))*O62</f>
        <v>0</v>
      </c>
      <c r="V62" s="25"/>
      <c r="W62" s="27"/>
      <c r="X62" s="27"/>
      <c r="Y62" s="27"/>
      <c r="Z62" s="27"/>
      <c r="AA62" s="186" t="s">
        <v>311</v>
      </c>
      <c r="AB62" s="192" t="s">
        <v>318</v>
      </c>
      <c r="AC62" s="21"/>
      <c r="AD62" s="21"/>
      <c r="AE62" s="21"/>
      <c r="AF62" s="21"/>
      <c r="AG62" s="21"/>
      <c r="AH62" s="21"/>
      <c r="AI62" s="21"/>
      <c r="AJ62" s="21"/>
      <c r="AK62" s="21"/>
      <c r="AL62" s="21"/>
      <c r="AM62" s="21"/>
      <c r="AN62" s="21"/>
      <c r="AO62" s="21"/>
      <c r="AP62" s="21"/>
      <c r="AQ62" s="21"/>
      <c r="AR62" s="21" t="s">
        <v>114</v>
      </c>
      <c r="AS62" s="21" t="s">
        <v>594</v>
      </c>
      <c r="AT62" s="21" t="s">
        <v>596</v>
      </c>
      <c r="AU62" s="21" t="s">
        <v>594</v>
      </c>
      <c r="AV62" s="21" t="s">
        <v>594</v>
      </c>
      <c r="AW62" s="21"/>
      <c r="AX62" s="21"/>
      <c r="AY62" s="21"/>
      <c r="AZ62" s="21"/>
      <c r="BA62" s="21"/>
      <c r="BB62" s="21"/>
      <c r="BC62" s="21"/>
      <c r="BD62" s="21"/>
      <c r="BE62" s="21"/>
      <c r="BF62" s="21"/>
      <c r="BG62" s="21" t="s">
        <v>318</v>
      </c>
      <c r="BH62" s="21"/>
      <c r="BI62" s="21"/>
      <c r="BJ62" s="21"/>
      <c r="BK62" s="21"/>
      <c r="BL62" s="21"/>
      <c r="BM62" s="21"/>
      <c r="BN62" s="21"/>
      <c r="BO62" s="21"/>
      <c r="BP62" s="21"/>
      <c r="BQ62" s="21"/>
      <c r="BR62" s="21"/>
      <c r="BS62" s="21"/>
      <c r="BT62" s="21"/>
      <c r="BU62" s="21"/>
      <c r="BV62" s="21"/>
      <c r="BW62" s="21"/>
      <c r="BX62" s="21"/>
      <c r="BY62" s="21"/>
      <c r="BZ62" s="21"/>
      <c r="CA62" s="21"/>
      <c r="CB62" s="21"/>
      <c r="CC62" s="21"/>
      <c r="CD62" s="21"/>
      <c r="CE62" s="21"/>
      <c r="CF62" s="21"/>
      <c r="CG62" s="21"/>
      <c r="CH62" s="21"/>
      <c r="CI62" s="21"/>
      <c r="CJ62" s="21"/>
      <c r="CK62" s="21"/>
      <c r="CL62" s="21"/>
      <c r="CM62" s="21"/>
      <c r="CN62" s="21"/>
      <c r="CO62" s="21"/>
      <c r="CP62" s="21"/>
      <c r="CQ62" s="21"/>
      <c r="CR62" s="21"/>
      <c r="CS62" s="21"/>
      <c r="CT62" s="21"/>
      <c r="CU62" s="21"/>
      <c r="CV62" s="21"/>
      <c r="CW62" s="21"/>
      <c r="CX62" s="21"/>
      <c r="CY62" s="21"/>
      <c r="CZ62" s="21"/>
      <c r="DA62" s="21"/>
      <c r="DB62" s="21"/>
      <c r="DC62" s="21"/>
      <c r="DD62" s="21"/>
      <c r="DE62" s="21"/>
      <c r="DF62" s="21"/>
      <c r="DG62" s="21"/>
      <c r="DH62" s="21"/>
      <c r="DI62" s="21"/>
      <c r="DJ62" s="21"/>
      <c r="DK62" s="21"/>
      <c r="DL62" s="21"/>
      <c r="DM62" s="21"/>
      <c r="DN62" s="21"/>
      <c r="DO62" s="21"/>
      <c r="DP62" s="21"/>
      <c r="DQ62" s="87"/>
      <c r="DR62" s="87">
        <v>42</v>
      </c>
      <c r="DS62" s="87"/>
      <c r="DT62" s="21"/>
      <c r="DU62" s="21"/>
      <c r="DV62" s="21"/>
      <c r="DW62" s="21"/>
      <c r="DX62" s="21"/>
      <c r="DY62" s="21"/>
      <c r="DZ62" s="21"/>
      <c r="EA62" s="21"/>
      <c r="EB62" s="21"/>
      <c r="EC62" s="21"/>
      <c r="ED62" s="21"/>
      <c r="EE62" s="21"/>
      <c r="EF62" s="21"/>
      <c r="EG62" s="21"/>
      <c r="EH62" s="21"/>
      <c r="EI62" s="21"/>
      <c r="EJ62" s="196"/>
      <c r="HG62" s="197"/>
      <c r="HH62" s="21"/>
    </row>
    <row r="63" spans="1:216" x14ac:dyDescent="0.25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6" t="s">
        <v>591</v>
      </c>
      <c r="M63" s="11">
        <f>INDEX(cennik!$C$2:$L$529,MATCH($L63,cennik!$B$2:$B$522,0),MATCH(M$2,cennik!$C$1:$L$1,0))</f>
        <v>867810</v>
      </c>
      <c r="N63" s="11" t="str">
        <f>INDEX(cennik!$C$2:$L$529,MATCH($L63,cennik!$B$2:$B$522,0),MATCH(N$2,cennik!$C$1:$L$1,0))</f>
        <v>szt.</v>
      </c>
      <c r="O63" s="11">
        <f>E38*4</f>
        <v>0</v>
      </c>
      <c r="P63" s="34">
        <f>INDEX(cennik!$C$2:$L$529,MATCH($L63,cennik!$B$2:$B$522,0),MATCH(P$2,cennik!$C$1:$L$1,0))</f>
        <v>50.61</v>
      </c>
      <c r="Q63" s="34">
        <f>O63*P63</f>
        <v>0</v>
      </c>
      <c r="R63" s="35">
        <f>$E$39</f>
        <v>0</v>
      </c>
      <c r="S63" s="34">
        <f>P63*((100-$E$39)/100)</f>
        <v>50.61</v>
      </c>
      <c r="T63" s="34">
        <f>O63*S63</f>
        <v>0</v>
      </c>
      <c r="U63" s="34">
        <f>INDEX(cennik!$C$2:$L$529,MATCH($L63,cennik!$B$2:$B$522,0),MATCH(U$2,cennik!$C$1:$L$1,0))*O63</f>
        <v>0</v>
      </c>
      <c r="V63" s="25"/>
      <c r="W63" s="27"/>
      <c r="X63" s="27"/>
      <c r="Y63" s="27"/>
      <c r="Z63" s="27"/>
      <c r="AA63" s="21">
        <f t="shared" ref="AA63:AA78" si="106">(VLOOKUP(BG63,$AY$5:$BA$9,3,1))*C66</f>
        <v>0</v>
      </c>
      <c r="AB63" s="21">
        <f t="shared" ref="AB63:AB78" si="107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*C66</f>
        <v>0</v>
      </c>
      <c r="AC63" s="21"/>
      <c r="AD63" s="21"/>
      <c r="AE63" s="21"/>
      <c r="AF63" s="21"/>
      <c r="AG63" s="21"/>
      <c r="AH63" s="21"/>
      <c r="AI63" s="21"/>
      <c r="AJ63" s="21"/>
      <c r="AK63" s="21"/>
      <c r="AL63" s="21"/>
      <c r="AM63" s="21"/>
      <c r="AN63" s="21"/>
      <c r="AO63" s="21"/>
      <c r="AP63" s="21"/>
      <c r="AQ63" s="21"/>
      <c r="AR63" s="21" t="s">
        <v>115</v>
      </c>
      <c r="AS63" s="21" t="s">
        <v>594</v>
      </c>
      <c r="AT63" s="21" t="s">
        <v>596</v>
      </c>
      <c r="AU63" s="21" t="s">
        <v>594</v>
      </c>
      <c r="AV63" s="21" t="s">
        <v>594</v>
      </c>
      <c r="AW63" s="21"/>
      <c r="AX63" s="21"/>
      <c r="AY63" s="21"/>
      <c r="AZ63" s="21"/>
      <c r="BA63" s="21"/>
      <c r="BB63" s="21"/>
      <c r="BC63" s="21"/>
      <c r="BD63" s="21"/>
      <c r="BE63" s="21"/>
      <c r="BF63" s="21"/>
      <c r="BG63" s="21">
        <f t="shared" ref="BG63:BG78" si="108">(IF(((INT((((A66/6)*(INDEX($AF$33:$AF$46,MATCH($E$67,$AE$33:$AE$46),1,1)))+(((A66/6)-1)*20))/$E$76))*$E$76)+1000&gt;=((A66/6)*(INDEX($AF$33:$AF$46,MATCH($E$67,$AE$33:$AE$46),1,1)))+(((A66/6)-1)*20),(INT((((A66/6)*(INDEX($AF$33:$AF$46,MATCH($E$67,$AE$33:$AE$46),1,1)))+(((A66/6)-1)*20))/$E$76))+1,IF(((INT((((A66/6)*(INDEX($AF$33:$AF$46,MATCH($E$67,$AE$33:$AE$46),1,1)))+(((A66/6)-1)*20))/$E$76))*$E$76)+1000&lt;((A66/6)*(INDEX($AF$33:$AF$46,MATCH($E$67,$AE$33:$AE$46),1,1)))+(((A66/6)-1)*20),(INT((((A66/6)*(INDEX($AF$33:$AF$46,MATCH($E$67,$AE$33:$AE$46),1,1)))+(((A66/6)-1)*20))/$E$76))+2,0)))</f>
        <v>1</v>
      </c>
      <c r="BH63" s="21" t="s">
        <v>112</v>
      </c>
      <c r="BI63" s="21">
        <v>0</v>
      </c>
      <c r="BJ63" s="21">
        <v>12</v>
      </c>
      <c r="BK63" s="21">
        <v>18</v>
      </c>
      <c r="BL63" s="21">
        <v>24</v>
      </c>
      <c r="BM63" s="21">
        <v>30</v>
      </c>
      <c r="BN63" s="21">
        <v>36</v>
      </c>
      <c r="BO63" s="21">
        <v>42</v>
      </c>
      <c r="BP63" s="21">
        <v>48</v>
      </c>
      <c r="BQ63" s="21">
        <v>54</v>
      </c>
      <c r="BR63" s="21">
        <v>60</v>
      </c>
      <c r="BS63" s="21">
        <v>66</v>
      </c>
      <c r="BT63" s="21">
        <v>72</v>
      </c>
      <c r="BU63" s="21">
        <v>78</v>
      </c>
      <c r="BV63" s="21"/>
      <c r="BW63" s="21" t="s">
        <v>472</v>
      </c>
      <c r="BX63" s="21">
        <v>0</v>
      </c>
      <c r="BY63" s="21">
        <v>12</v>
      </c>
      <c r="BZ63" s="21">
        <v>18</v>
      </c>
      <c r="CA63" s="21">
        <v>24</v>
      </c>
      <c r="CB63" s="21">
        <v>30</v>
      </c>
      <c r="CC63" s="21">
        <v>36</v>
      </c>
      <c r="CD63" s="21">
        <v>42</v>
      </c>
      <c r="CE63" s="21">
        <v>48</v>
      </c>
      <c r="CF63" s="21">
        <v>54</v>
      </c>
      <c r="CG63" s="21">
        <v>60</v>
      </c>
      <c r="CH63" s="21">
        <v>66</v>
      </c>
      <c r="CI63" s="21">
        <v>72</v>
      </c>
      <c r="CJ63" s="21">
        <v>78</v>
      </c>
      <c r="CK63" s="21"/>
      <c r="CL63" s="21"/>
      <c r="CM63" s="21"/>
      <c r="CN63" s="21" t="s">
        <v>113</v>
      </c>
      <c r="CO63" s="21">
        <v>0</v>
      </c>
      <c r="CP63" s="21">
        <v>12</v>
      </c>
      <c r="CQ63" s="21">
        <v>18</v>
      </c>
      <c r="CR63" s="21">
        <v>24</v>
      </c>
      <c r="CS63" s="21">
        <v>30</v>
      </c>
      <c r="CT63" s="21">
        <v>36</v>
      </c>
      <c r="CU63" s="21">
        <v>42</v>
      </c>
      <c r="CV63" s="21">
        <v>48</v>
      </c>
      <c r="CW63" s="21">
        <v>54</v>
      </c>
      <c r="CX63" s="21">
        <v>60</v>
      </c>
      <c r="CY63" s="21">
        <v>66</v>
      </c>
      <c r="CZ63" s="21">
        <v>72</v>
      </c>
      <c r="DA63" s="21">
        <v>78</v>
      </c>
      <c r="DB63" s="21"/>
      <c r="DC63" s="21" t="s">
        <v>478</v>
      </c>
      <c r="DD63" s="21">
        <v>0</v>
      </c>
      <c r="DE63" s="21">
        <v>12</v>
      </c>
      <c r="DF63" s="21">
        <v>18</v>
      </c>
      <c r="DG63" s="21">
        <v>24</v>
      </c>
      <c r="DH63" s="21">
        <v>30</v>
      </c>
      <c r="DI63" s="21">
        <v>36</v>
      </c>
      <c r="DJ63" s="21">
        <v>42</v>
      </c>
      <c r="DK63" s="21">
        <v>48</v>
      </c>
      <c r="DL63" s="21">
        <v>54</v>
      </c>
      <c r="DM63" s="21">
        <v>60</v>
      </c>
      <c r="DN63" s="21">
        <v>66</v>
      </c>
      <c r="DO63" s="21">
        <v>72</v>
      </c>
      <c r="DP63" s="21">
        <v>78</v>
      </c>
      <c r="DQ63" s="87"/>
      <c r="DR63" s="87">
        <v>48</v>
      </c>
      <c r="DS63" s="87"/>
      <c r="DT63" s="21" t="s">
        <v>507</v>
      </c>
      <c r="DU63" s="21">
        <v>0</v>
      </c>
      <c r="DV63" s="21">
        <v>12</v>
      </c>
      <c r="DW63" s="21">
        <v>18</v>
      </c>
      <c r="DX63" s="21">
        <v>24</v>
      </c>
      <c r="DY63" s="21">
        <v>30</v>
      </c>
      <c r="DZ63" s="21">
        <v>36</v>
      </c>
      <c r="EA63" s="21">
        <v>42</v>
      </c>
      <c r="EB63" s="21">
        <v>48</v>
      </c>
      <c r="EC63" s="21">
        <v>54</v>
      </c>
      <c r="ED63" s="21">
        <v>60</v>
      </c>
      <c r="EE63" s="21">
        <v>66</v>
      </c>
      <c r="EF63" s="21">
        <v>72</v>
      </c>
      <c r="EG63" s="21">
        <v>78</v>
      </c>
      <c r="EH63" s="21"/>
      <c r="EI63" s="21"/>
      <c r="EJ63" s="196"/>
      <c r="EK63" s="21" t="s">
        <v>112</v>
      </c>
      <c r="EL63" s="21">
        <v>0</v>
      </c>
      <c r="EM63" s="21">
        <v>12</v>
      </c>
      <c r="EN63" s="21">
        <v>18</v>
      </c>
      <c r="EO63" s="21">
        <v>24</v>
      </c>
      <c r="EP63" s="21">
        <v>30</v>
      </c>
      <c r="EQ63" s="21">
        <v>36</v>
      </c>
      <c r="ER63" s="21">
        <v>42</v>
      </c>
      <c r="ES63" s="21">
        <v>48</v>
      </c>
      <c r="ET63" s="21">
        <v>54</v>
      </c>
      <c r="EU63" s="21">
        <v>60</v>
      </c>
      <c r="EV63" s="21">
        <v>66</v>
      </c>
      <c r="EW63" s="21">
        <v>72</v>
      </c>
      <c r="EX63" s="21">
        <v>78</v>
      </c>
      <c r="EY63" s="21"/>
      <c r="EZ63" s="21" t="s">
        <v>472</v>
      </c>
      <c r="FA63" s="21">
        <v>0</v>
      </c>
      <c r="FB63" s="21">
        <v>12</v>
      </c>
      <c r="FC63" s="21">
        <v>18</v>
      </c>
      <c r="FD63" s="21">
        <v>24</v>
      </c>
      <c r="FE63" s="21">
        <v>30</v>
      </c>
      <c r="FF63" s="21">
        <v>36</v>
      </c>
      <c r="FG63" s="21">
        <v>42</v>
      </c>
      <c r="FH63" s="21">
        <v>48</v>
      </c>
      <c r="FI63" s="21">
        <v>54</v>
      </c>
      <c r="FJ63" s="21">
        <v>60</v>
      </c>
      <c r="FK63" s="21">
        <v>66</v>
      </c>
      <c r="FL63" s="21">
        <v>72</v>
      </c>
      <c r="FM63" s="21">
        <v>78</v>
      </c>
      <c r="FN63" s="21"/>
      <c r="FO63" s="21" t="s">
        <v>113</v>
      </c>
      <c r="FP63" s="21">
        <v>0</v>
      </c>
      <c r="FQ63" s="21">
        <v>12</v>
      </c>
      <c r="FR63" s="21">
        <v>18</v>
      </c>
      <c r="FS63" s="21">
        <v>24</v>
      </c>
      <c r="FT63" s="21">
        <v>30</v>
      </c>
      <c r="FU63" s="21">
        <v>36</v>
      </c>
      <c r="FV63" s="21">
        <v>42</v>
      </c>
      <c r="FW63" s="21">
        <v>48</v>
      </c>
      <c r="FX63" s="21">
        <v>54</v>
      </c>
      <c r="FY63" s="21">
        <v>60</v>
      </c>
      <c r="FZ63" s="21">
        <v>66</v>
      </c>
      <c r="GA63" s="21">
        <v>72</v>
      </c>
      <c r="GB63" s="21">
        <v>78</v>
      </c>
      <c r="GC63" s="21"/>
      <c r="GD63" s="21" t="s">
        <v>478</v>
      </c>
      <c r="GE63" s="21">
        <v>0</v>
      </c>
      <c r="GF63" s="21">
        <v>12</v>
      </c>
      <c r="GG63" s="21">
        <v>18</v>
      </c>
      <c r="GH63" s="21">
        <v>24</v>
      </c>
      <c r="GI63" s="21">
        <v>30</v>
      </c>
      <c r="GJ63" s="21">
        <v>36</v>
      </c>
      <c r="GK63" s="21">
        <v>42</v>
      </c>
      <c r="GL63" s="21">
        <v>48</v>
      </c>
      <c r="GM63" s="21">
        <v>54</v>
      </c>
      <c r="GN63" s="21">
        <v>60</v>
      </c>
      <c r="GO63" s="21">
        <v>66</v>
      </c>
      <c r="GP63" s="21">
        <v>72</v>
      </c>
      <c r="GQ63" s="21">
        <v>78</v>
      </c>
      <c r="GR63" s="21"/>
      <c r="GS63" s="21" t="s">
        <v>507</v>
      </c>
      <c r="GT63" s="21">
        <v>0</v>
      </c>
      <c r="GU63" s="21">
        <v>12</v>
      </c>
      <c r="GV63" s="21">
        <v>18</v>
      </c>
      <c r="GW63" s="21">
        <v>24</v>
      </c>
      <c r="GX63" s="21">
        <v>30</v>
      </c>
      <c r="GY63" s="21">
        <v>36</v>
      </c>
      <c r="GZ63" s="21">
        <v>42</v>
      </c>
      <c r="HA63" s="21">
        <v>48</v>
      </c>
      <c r="HB63" s="21">
        <v>54</v>
      </c>
      <c r="HC63" s="21">
        <v>60</v>
      </c>
      <c r="HD63" s="21">
        <v>66</v>
      </c>
      <c r="HE63" s="21">
        <v>72</v>
      </c>
      <c r="HF63" s="21">
        <v>78</v>
      </c>
      <c r="HG63" s="197"/>
      <c r="HH63" s="21"/>
    </row>
    <row r="64" spans="1:216" x14ac:dyDescent="0.25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9"/>
      <c r="M64" s="11"/>
      <c r="N64" s="11"/>
      <c r="O64" s="11"/>
      <c r="P64" s="34"/>
      <c r="Q64" s="34"/>
      <c r="R64" s="34"/>
      <c r="S64" s="34"/>
      <c r="T64" s="34">
        <f>SUM(T35:T63)</f>
        <v>0</v>
      </c>
      <c r="U64" s="34">
        <f>SUM(U35:U63)</f>
        <v>0</v>
      </c>
      <c r="V64" s="25"/>
      <c r="W64" s="20" t="s">
        <v>18</v>
      </c>
      <c r="X64" s="21" t="s">
        <v>217</v>
      </c>
      <c r="Y64" s="21" t="s">
        <v>216</v>
      </c>
      <c r="Z64" s="21" t="s">
        <v>17</v>
      </c>
      <c r="AA64" s="21">
        <f t="shared" si="106"/>
        <v>0</v>
      </c>
      <c r="AB64" s="21">
        <f t="shared" si="107"/>
        <v>0</v>
      </c>
      <c r="AC64" s="21"/>
      <c r="AD64" s="21"/>
      <c r="AE64" s="21"/>
      <c r="AF64" s="21"/>
      <c r="AG64" s="21"/>
      <c r="AH64" s="21"/>
      <c r="AI64" s="21"/>
      <c r="AJ64" s="21"/>
      <c r="AK64" s="21"/>
      <c r="AL64" s="21"/>
      <c r="AM64" s="21"/>
      <c r="AN64" s="21"/>
      <c r="AO64" s="21"/>
      <c r="AP64" s="21"/>
      <c r="AQ64" s="21"/>
      <c r="AR64" s="21" t="s">
        <v>474</v>
      </c>
      <c r="AS64" s="21" t="s">
        <v>594</v>
      </c>
      <c r="AT64" s="21" t="s">
        <v>596</v>
      </c>
      <c r="AU64" s="21" t="s">
        <v>594</v>
      </c>
      <c r="AV64" s="21" t="s">
        <v>594</v>
      </c>
      <c r="AW64" s="21"/>
      <c r="AX64" s="21"/>
      <c r="AY64" s="21"/>
      <c r="AZ64" s="21"/>
      <c r="BA64" s="21"/>
      <c r="BB64" s="21"/>
      <c r="BC64" s="21"/>
      <c r="BD64" s="21"/>
      <c r="BE64" s="21"/>
      <c r="BF64" s="21"/>
      <c r="BG64" s="21">
        <f t="shared" si="108"/>
        <v>1</v>
      </c>
      <c r="BH64" s="21" t="s">
        <v>217</v>
      </c>
      <c r="BI64" s="21">
        <v>0</v>
      </c>
      <c r="BJ64" s="21">
        <f>IF(BJ9=0,0,IF(BJ9=5,7,IF(BJ9=10,14,IF(BJ9=15,21,IF(BJ9=20,28,0)))))</f>
        <v>0</v>
      </c>
      <c r="BK64" s="21">
        <f t="shared" ref="BK64:BU64" si="109">IF(BK9=0,0,IF(BK9=5,7,IF(BK9=10,14,IF(BK9=15,21,IF(BK9=20,28,0)))))</f>
        <v>7</v>
      </c>
      <c r="BL64" s="21">
        <f t="shared" si="109"/>
        <v>7</v>
      </c>
      <c r="BM64" s="21">
        <f t="shared" si="109"/>
        <v>0</v>
      </c>
      <c r="BN64" s="21">
        <f t="shared" si="109"/>
        <v>7</v>
      </c>
      <c r="BO64" s="21">
        <f t="shared" si="109"/>
        <v>0</v>
      </c>
      <c r="BP64" s="21">
        <f t="shared" si="109"/>
        <v>14</v>
      </c>
      <c r="BQ64" s="21">
        <f t="shared" si="109"/>
        <v>7</v>
      </c>
      <c r="BR64" s="21">
        <f t="shared" si="109"/>
        <v>14</v>
      </c>
      <c r="BS64" s="21">
        <f t="shared" si="109"/>
        <v>7</v>
      </c>
      <c r="BT64" s="21">
        <f t="shared" si="109"/>
        <v>14</v>
      </c>
      <c r="BU64" s="21">
        <f t="shared" si="109"/>
        <v>14</v>
      </c>
      <c r="BV64" s="21"/>
      <c r="BW64" s="21" t="s">
        <v>217</v>
      </c>
      <c r="BX64" s="21">
        <v>0</v>
      </c>
      <c r="BY64" s="21">
        <f t="shared" ref="BY64:CJ67" si="110">IF(BY9=0,0,IF(BY9=5,7,IF(BY9=10,14,IF(BY9=15,21,IF(BY9=20,28,0)))))</f>
        <v>0</v>
      </c>
      <c r="BZ64" s="21">
        <f t="shared" si="110"/>
        <v>7</v>
      </c>
      <c r="CA64" s="21">
        <f t="shared" si="110"/>
        <v>0</v>
      </c>
      <c r="CB64" s="21">
        <f t="shared" si="110"/>
        <v>0</v>
      </c>
      <c r="CC64" s="21">
        <f t="shared" si="110"/>
        <v>0</v>
      </c>
      <c r="CD64" s="21">
        <f t="shared" si="110"/>
        <v>14</v>
      </c>
      <c r="CE64" s="21">
        <f t="shared" si="110"/>
        <v>7</v>
      </c>
      <c r="CF64" s="21">
        <f t="shared" si="110"/>
        <v>14</v>
      </c>
      <c r="CG64" s="21">
        <f t="shared" si="110"/>
        <v>7</v>
      </c>
      <c r="CH64" s="21">
        <f t="shared" si="110"/>
        <v>14</v>
      </c>
      <c r="CI64" s="21">
        <f t="shared" si="110"/>
        <v>14</v>
      </c>
      <c r="CJ64" s="21">
        <f t="shared" si="110"/>
        <v>21</v>
      </c>
      <c r="CK64" s="21"/>
      <c r="CL64" s="21"/>
      <c r="CM64" s="21"/>
      <c r="CN64" s="21" t="s">
        <v>217</v>
      </c>
      <c r="CO64" s="21">
        <v>0</v>
      </c>
      <c r="CP64" s="21">
        <f t="shared" ref="CP64:DA67" si="111">IF(CP9=0,0,IF(CP9=5,7,IF(CP9=10,14,IF(CP9=15,21,IF(CP9=20,28,0)))))</f>
        <v>0</v>
      </c>
      <c r="CQ64" s="21">
        <f t="shared" si="111"/>
        <v>7</v>
      </c>
      <c r="CR64" s="21">
        <f t="shared" si="111"/>
        <v>0</v>
      </c>
      <c r="CS64" s="21">
        <f t="shared" si="111"/>
        <v>7</v>
      </c>
      <c r="CT64" s="21">
        <f t="shared" si="111"/>
        <v>0</v>
      </c>
      <c r="CU64" s="21">
        <f t="shared" si="111"/>
        <v>7</v>
      </c>
      <c r="CV64" s="21">
        <f t="shared" si="111"/>
        <v>14</v>
      </c>
      <c r="CW64" s="21">
        <f t="shared" si="111"/>
        <v>14</v>
      </c>
      <c r="CX64" s="21">
        <f t="shared" si="111"/>
        <v>14</v>
      </c>
      <c r="CY64" s="21">
        <f t="shared" si="111"/>
        <v>14</v>
      </c>
      <c r="CZ64" s="21">
        <f t="shared" si="111"/>
        <v>21</v>
      </c>
      <c r="DA64" s="21">
        <f t="shared" si="111"/>
        <v>28</v>
      </c>
      <c r="DB64" s="21"/>
      <c r="DC64" s="21" t="s">
        <v>217</v>
      </c>
      <c r="DD64" s="21">
        <v>0</v>
      </c>
      <c r="DE64" s="21">
        <f>IF(DE9=0,0,IF(DE9=5,7,IF(DE9=10,14,IF(DE9=15,21,IF(DE9=20,28,0)))))</f>
        <v>0</v>
      </c>
      <c r="DF64" s="21">
        <f t="shared" ref="DF64:DP64" si="112">IF(DF9=0,0,IF(DF9=5,7,IF(DF9=10,14,IF(DF9=15,21,IF(DF9=20,28,0)))))</f>
        <v>7</v>
      </c>
      <c r="DG64" s="21">
        <f t="shared" si="112"/>
        <v>0</v>
      </c>
      <c r="DH64" s="21">
        <f t="shared" si="112"/>
        <v>7</v>
      </c>
      <c r="DI64" s="21">
        <f t="shared" si="112"/>
        <v>14</v>
      </c>
      <c r="DJ64" s="21">
        <f t="shared" si="112"/>
        <v>7</v>
      </c>
      <c r="DK64" s="21">
        <f t="shared" si="112"/>
        <v>14</v>
      </c>
      <c r="DL64" s="21">
        <f t="shared" si="112"/>
        <v>21</v>
      </c>
      <c r="DM64" s="21">
        <f t="shared" si="112"/>
        <v>14</v>
      </c>
      <c r="DN64" s="21">
        <f t="shared" si="112"/>
        <v>21</v>
      </c>
      <c r="DO64" s="21">
        <f t="shared" si="112"/>
        <v>28</v>
      </c>
      <c r="DP64" s="21">
        <f t="shared" si="112"/>
        <v>21</v>
      </c>
      <c r="DQ64" s="87"/>
      <c r="DR64" s="87">
        <v>54</v>
      </c>
      <c r="DS64" s="87"/>
      <c r="DT64" s="21" t="s">
        <v>217</v>
      </c>
      <c r="DU64" s="21">
        <v>0</v>
      </c>
      <c r="DV64" s="21">
        <f>IF(DV9=0,0,IF(DV9=5,7,IF(DV9=10,14,IF(DV9=15,21,IF(DV9=20,28,0)))))</f>
        <v>0</v>
      </c>
      <c r="DW64" s="21">
        <f t="shared" ref="DW64:EG64" si="113">IF(DW9=0,0,IF(DW9=5,7,IF(DW9=10,14,IF(DW9=15,21,IF(DW9=20,28,0)))))</f>
        <v>7</v>
      </c>
      <c r="DX64" s="21">
        <f t="shared" si="113"/>
        <v>0</v>
      </c>
      <c r="DY64" s="21">
        <f t="shared" si="113"/>
        <v>0</v>
      </c>
      <c r="DZ64" s="21">
        <f t="shared" si="113"/>
        <v>14</v>
      </c>
      <c r="EA64" s="21">
        <f t="shared" si="113"/>
        <v>14</v>
      </c>
      <c r="EB64" s="21">
        <f t="shared" si="113"/>
        <v>7</v>
      </c>
      <c r="EC64" s="21">
        <f t="shared" si="113"/>
        <v>14</v>
      </c>
      <c r="ED64" s="21">
        <f t="shared" si="113"/>
        <v>21</v>
      </c>
      <c r="EE64" s="21">
        <f t="shared" si="113"/>
        <v>14</v>
      </c>
      <c r="EF64" s="21">
        <f t="shared" si="113"/>
        <v>21</v>
      </c>
      <c r="EG64" s="21">
        <f t="shared" si="113"/>
        <v>28</v>
      </c>
      <c r="EH64" s="21"/>
      <c r="EI64" s="21"/>
      <c r="EJ64" s="196"/>
      <c r="EK64" s="21" t="s">
        <v>586</v>
      </c>
      <c r="EL64" s="21">
        <v>0</v>
      </c>
      <c r="EM64" s="21">
        <f t="shared" ref="EM64:EX67" si="114">EM9/5*7</f>
        <v>0</v>
      </c>
      <c r="EN64" s="21">
        <f t="shared" si="114"/>
        <v>7</v>
      </c>
      <c r="EO64" s="21">
        <f t="shared" si="114"/>
        <v>7</v>
      </c>
      <c r="EP64" s="21">
        <f t="shared" si="114"/>
        <v>0</v>
      </c>
      <c r="EQ64" s="21">
        <f t="shared" si="114"/>
        <v>0</v>
      </c>
      <c r="ER64" s="21">
        <f t="shared" si="114"/>
        <v>0</v>
      </c>
      <c r="ES64" s="21">
        <f t="shared" si="114"/>
        <v>0</v>
      </c>
      <c r="ET64" s="21">
        <f t="shared" si="114"/>
        <v>0</v>
      </c>
      <c r="EU64" s="21">
        <f t="shared" si="114"/>
        <v>0</v>
      </c>
      <c r="EV64" s="21">
        <f t="shared" si="114"/>
        <v>0</v>
      </c>
      <c r="EW64" s="21">
        <f t="shared" si="114"/>
        <v>0</v>
      </c>
      <c r="EX64" s="21">
        <f t="shared" si="114"/>
        <v>0</v>
      </c>
      <c r="EZ64" s="21" t="s">
        <v>586</v>
      </c>
      <c r="FA64" s="21">
        <v>0</v>
      </c>
      <c r="FB64" s="21">
        <f t="shared" ref="FB64:FM67" si="115">FB9/5*7</f>
        <v>0</v>
      </c>
      <c r="FC64" s="21">
        <f t="shared" si="115"/>
        <v>7</v>
      </c>
      <c r="FD64" s="21">
        <f t="shared" si="115"/>
        <v>0</v>
      </c>
      <c r="FE64" s="21">
        <f t="shared" si="115"/>
        <v>0</v>
      </c>
      <c r="FF64" s="21">
        <f t="shared" si="115"/>
        <v>0</v>
      </c>
      <c r="FG64" s="21">
        <f t="shared" si="115"/>
        <v>0</v>
      </c>
      <c r="FH64" s="21">
        <f t="shared" si="115"/>
        <v>0</v>
      </c>
      <c r="FI64" s="21">
        <f t="shared" si="115"/>
        <v>0</v>
      </c>
      <c r="FJ64" s="21">
        <f t="shared" si="115"/>
        <v>0</v>
      </c>
      <c r="FK64" s="21">
        <f t="shared" si="115"/>
        <v>0</v>
      </c>
      <c r="FL64" s="21">
        <f t="shared" si="115"/>
        <v>0</v>
      </c>
      <c r="FM64" s="21">
        <f t="shared" si="115"/>
        <v>0</v>
      </c>
      <c r="FO64" s="21" t="s">
        <v>586</v>
      </c>
      <c r="FP64" s="21">
        <v>0</v>
      </c>
      <c r="FQ64" s="21">
        <f t="shared" ref="FQ64:GB67" si="116">FQ9/5*7</f>
        <v>0</v>
      </c>
      <c r="FR64" s="21">
        <f t="shared" si="116"/>
        <v>7</v>
      </c>
      <c r="FS64" s="21">
        <f t="shared" si="116"/>
        <v>0</v>
      </c>
      <c r="FT64" s="21">
        <f t="shared" si="116"/>
        <v>0</v>
      </c>
      <c r="FU64" s="21">
        <f t="shared" si="116"/>
        <v>0</v>
      </c>
      <c r="FV64" s="21">
        <f t="shared" si="116"/>
        <v>0</v>
      </c>
      <c r="FW64" s="21">
        <f t="shared" si="116"/>
        <v>0</v>
      </c>
      <c r="FX64" s="21">
        <f t="shared" si="116"/>
        <v>0</v>
      </c>
      <c r="FY64" s="21">
        <f t="shared" si="116"/>
        <v>0</v>
      </c>
      <c r="FZ64" s="21">
        <f t="shared" si="116"/>
        <v>0</v>
      </c>
      <c r="GA64" s="21">
        <f t="shared" si="116"/>
        <v>0</v>
      </c>
      <c r="GB64" s="21">
        <f t="shared" si="116"/>
        <v>0</v>
      </c>
      <c r="GD64" s="21" t="s">
        <v>586</v>
      </c>
      <c r="GE64" s="21">
        <v>0</v>
      </c>
      <c r="GF64" s="21">
        <f t="shared" ref="GF64:GQ67" si="117">GF9/5*7</f>
        <v>0</v>
      </c>
      <c r="GG64" s="21">
        <f t="shared" si="117"/>
        <v>7</v>
      </c>
      <c r="GH64" s="21">
        <f t="shared" si="117"/>
        <v>0</v>
      </c>
      <c r="GI64" s="21">
        <f t="shared" si="117"/>
        <v>0</v>
      </c>
      <c r="GJ64" s="21">
        <f t="shared" si="117"/>
        <v>0</v>
      </c>
      <c r="GK64" s="21">
        <f t="shared" si="117"/>
        <v>0</v>
      </c>
      <c r="GL64" s="21">
        <f t="shared" si="117"/>
        <v>0</v>
      </c>
      <c r="GM64" s="21">
        <f t="shared" si="117"/>
        <v>0</v>
      </c>
      <c r="GN64" s="21">
        <f t="shared" si="117"/>
        <v>0</v>
      </c>
      <c r="GO64" s="21">
        <f t="shared" si="117"/>
        <v>0</v>
      </c>
      <c r="GP64" s="21">
        <f t="shared" si="117"/>
        <v>0</v>
      </c>
      <c r="GQ64" s="21">
        <f t="shared" si="117"/>
        <v>0</v>
      </c>
      <c r="GS64" s="21" t="s">
        <v>586</v>
      </c>
      <c r="GT64" s="21">
        <v>0</v>
      </c>
      <c r="GU64" s="21">
        <f t="shared" ref="GU64:HF67" si="118">GU9/5*7</f>
        <v>0</v>
      </c>
      <c r="GV64" s="21">
        <f t="shared" si="118"/>
        <v>7</v>
      </c>
      <c r="GW64" s="21">
        <f t="shared" si="118"/>
        <v>0</v>
      </c>
      <c r="GX64" s="21">
        <f t="shared" si="118"/>
        <v>0</v>
      </c>
      <c r="GY64" s="21">
        <f t="shared" si="118"/>
        <v>0</v>
      </c>
      <c r="GZ64" s="21">
        <f t="shared" si="118"/>
        <v>0</v>
      </c>
      <c r="HA64" s="21">
        <f t="shared" si="118"/>
        <v>0</v>
      </c>
      <c r="HB64" s="21">
        <f t="shared" si="118"/>
        <v>0</v>
      </c>
      <c r="HC64" s="21">
        <f t="shared" si="118"/>
        <v>0</v>
      </c>
      <c r="HD64" s="21">
        <f t="shared" si="118"/>
        <v>0</v>
      </c>
      <c r="HE64" s="21">
        <f t="shared" si="118"/>
        <v>0</v>
      </c>
      <c r="HF64" s="21">
        <f t="shared" si="118"/>
        <v>0</v>
      </c>
      <c r="HG64" s="197"/>
      <c r="HH64" s="21"/>
    </row>
    <row r="65" spans="1:254" ht="51.75" x14ac:dyDescent="0.25">
      <c r="A65" s="3" t="s">
        <v>443</v>
      </c>
      <c r="B65" s="3"/>
      <c r="C65" s="3" t="s">
        <v>444</v>
      </c>
      <c r="D65" s="9"/>
      <c r="E65" s="9"/>
      <c r="F65" s="9"/>
      <c r="G65" s="9"/>
      <c r="H65" s="9"/>
      <c r="I65" s="9"/>
      <c r="J65" s="9"/>
      <c r="K65" s="9"/>
      <c r="L65" s="360" t="str">
        <f>IF(E69="wbijana","KONSTRUKCJA W-H6G2-25°",IF(E69="betonowana","KONSTRUKCJA W-H6B2-25°",IF(E69="kotwiona","KONSTRUKCJA W-H6K2-25°",IF(E69="wkręcana","KONSTRUKCJA W-H6S2-25°"))))</f>
        <v>KONSTRUKCJA W-H6K2-25°</v>
      </c>
      <c r="M65" s="360"/>
      <c r="N65" s="360"/>
      <c r="O65" s="360"/>
      <c r="P65" s="360"/>
      <c r="Q65" s="360"/>
      <c r="R65" s="360"/>
      <c r="S65" s="360"/>
      <c r="T65" s="360"/>
      <c r="U65" s="360"/>
      <c r="V65" s="25"/>
      <c r="W65" s="21">
        <f>INDEX(($EL$58:$EX$61,$EL$64:$EX$67,$EL$70:$EX$73,$FA$58:$FM$61,$FA$64:$FM$67,$FA$70:$FM$73,$FP$58:$GB$61,$FP$64:$GB$67,$FP$70:$GB$73,$GE$58:$GQ$61,$GE$64:$GQ$67,$GE$70:$GQ$73,$GT$58:$HF$61,$GT$64:$HF$67),MATCH($L$81,$EK$58:$EK$61,0),MATCH($A66,$EL$57:$EX$57,0),MATCH($E$35,$AE$33:$AE$48,0))*$C66</f>
        <v>0</v>
      </c>
      <c r="X65" s="21">
        <f>INDEX(($EL$58:$EX$61,$EL$64:$EX$67,$EL$70:$EX$73,$FA$58:$FM$61,$FA$64:$FM$67,$FA$70:$FM$73,$FP$58:$GB$61,$FP$64:$GB$67,$FP$70:$GB$73,$GE$58:$GQ$61,$GE$64:$GQ$67,$GE$70:$GQ$73,$GT$58:$HF$61,$GT$64:$HF$67),MATCH($L$78,$EK$58:$EK$61,0),MATCH($A66,$EL$57:$EX$57,0),MATCH($E$35,$AE$33:$AE$48,0))*$C66</f>
        <v>0</v>
      </c>
      <c r="Y65" s="21">
        <f>INDEX(($EL$58:$EX$61,$EL$64:$EX$67,$EL$70:$EX$73,$FA$58:$FM$61,$FA$64:$FM$67,$FA$70:$FM$73,$FP$58:$GB$61,$FP$64:$GB$67,$FP$70:$GB$73,$GE$58:$GQ$61,$GE$64:$GQ$67,$GE$70:$GQ$73,$GT$58:$HF$61,$GT$64:$HF$67),MATCH($L$79,$EK$58:$EK$61,0),MATCH($A66,$EL$57:$EX$57,0),MATCH($E$35,$AE$33:$AE$48,0))*$C66</f>
        <v>0</v>
      </c>
      <c r="Z65" s="21">
        <f>INDEX(($EL$58:$EX$61,$EL$64:$EX$67,$EL$70:$EX$73,$FA$58:$FM$61,$FA$64:$FM$67,$FA$70:$FM$73,$FP$58:$GB$61,$FP$64:$GB$67,$FP$70:$GB$73,$GE$58:$GQ$61,$GE$64:$GQ$67,$GE$70:$GQ$73,$GT$58:$HF$61,$GT$64:$HF$67),MATCH($L$80,$EK$58:$EK$61,0),MATCH($A66,$EL$57:$EX$57,0),MATCH($E$35,$AE$33:$AE$48,0))*$C66</f>
        <v>0</v>
      </c>
      <c r="AA65" s="21">
        <f t="shared" si="106"/>
        <v>0</v>
      </c>
      <c r="AB65" s="21">
        <f t="shared" si="107"/>
        <v>0</v>
      </c>
      <c r="AC65" s="21"/>
      <c r="AD65" s="21"/>
      <c r="AE65" s="21"/>
      <c r="AF65" s="21"/>
      <c r="AG65" s="21"/>
      <c r="AH65" s="21"/>
      <c r="AI65" s="21"/>
      <c r="AJ65" s="21"/>
      <c r="AK65" s="21"/>
      <c r="AL65" s="21"/>
      <c r="AM65" s="21"/>
      <c r="AN65" s="21"/>
      <c r="AO65" s="21"/>
      <c r="AP65" s="21"/>
      <c r="AQ65" s="21"/>
      <c r="AR65" s="21"/>
      <c r="AS65" s="21"/>
      <c r="AT65" s="21"/>
      <c r="AU65" s="21"/>
      <c r="AV65" s="21"/>
      <c r="AW65" s="21"/>
      <c r="AX65" s="21"/>
      <c r="AY65" s="21"/>
      <c r="AZ65" s="21"/>
      <c r="BA65" s="21"/>
      <c r="BB65" s="21"/>
      <c r="BC65" s="21"/>
      <c r="BD65" s="21"/>
      <c r="BE65" s="21"/>
      <c r="BF65" s="21"/>
      <c r="BG65" s="21">
        <f t="shared" si="108"/>
        <v>1</v>
      </c>
      <c r="BH65" s="21" t="s">
        <v>216</v>
      </c>
      <c r="BI65" s="21">
        <v>0</v>
      </c>
      <c r="BJ65" s="21">
        <f t="shared" ref="BJ65:BU67" si="119">IF(BJ10=0,0,IF(BJ10=5,7,IF(BJ10=10,14,IF(BJ10=15,21,IF(BJ10=20,28,0)))))</f>
        <v>0</v>
      </c>
      <c r="BK65" s="21">
        <f t="shared" si="119"/>
        <v>0</v>
      </c>
      <c r="BL65" s="21">
        <f t="shared" si="119"/>
        <v>0</v>
      </c>
      <c r="BM65" s="21">
        <f t="shared" si="119"/>
        <v>14</v>
      </c>
      <c r="BN65" s="21">
        <f t="shared" si="119"/>
        <v>0</v>
      </c>
      <c r="BO65" s="21">
        <f>IF(BO10=0,0,IF(BO10=5,7,IF(BO10=10,14,IF(BO10=15,21,IF(BO10=20,28,0)))))</f>
        <v>14</v>
      </c>
      <c r="BP65" s="21">
        <f t="shared" si="119"/>
        <v>0</v>
      </c>
      <c r="BQ65" s="21">
        <f t="shared" si="119"/>
        <v>14</v>
      </c>
      <c r="BR65" s="21">
        <f t="shared" si="119"/>
        <v>0</v>
      </c>
      <c r="BS65" s="21">
        <f t="shared" si="119"/>
        <v>14</v>
      </c>
      <c r="BT65" s="21">
        <f t="shared" si="119"/>
        <v>7</v>
      </c>
      <c r="BU65" s="21">
        <f t="shared" si="119"/>
        <v>14</v>
      </c>
      <c r="BV65" s="21"/>
      <c r="BW65" s="21" t="s">
        <v>216</v>
      </c>
      <c r="BX65" s="21">
        <v>0</v>
      </c>
      <c r="BY65" s="21">
        <f t="shared" si="110"/>
        <v>0</v>
      </c>
      <c r="BZ65" s="21">
        <f t="shared" si="110"/>
        <v>0</v>
      </c>
      <c r="CA65" s="21">
        <f t="shared" si="110"/>
        <v>7</v>
      </c>
      <c r="CB65" s="21">
        <f t="shared" si="110"/>
        <v>14</v>
      </c>
      <c r="CC65" s="21">
        <f t="shared" si="110"/>
        <v>14</v>
      </c>
      <c r="CD65" s="21">
        <f t="shared" si="110"/>
        <v>0</v>
      </c>
      <c r="CE65" s="21">
        <f t="shared" si="110"/>
        <v>14</v>
      </c>
      <c r="CF65" s="21">
        <f t="shared" si="110"/>
        <v>7</v>
      </c>
      <c r="CG65" s="21">
        <f t="shared" si="110"/>
        <v>14</v>
      </c>
      <c r="CH65" s="21">
        <f t="shared" si="110"/>
        <v>7</v>
      </c>
      <c r="CI65" s="21">
        <f t="shared" si="110"/>
        <v>14</v>
      </c>
      <c r="CJ65" s="21">
        <f t="shared" si="110"/>
        <v>7</v>
      </c>
      <c r="CK65" s="21"/>
      <c r="CL65" s="21"/>
      <c r="CM65" s="21"/>
      <c r="CN65" s="21" t="s">
        <v>216</v>
      </c>
      <c r="CO65" s="21">
        <v>0</v>
      </c>
      <c r="CP65" s="21">
        <f t="shared" si="111"/>
        <v>7</v>
      </c>
      <c r="CQ65" s="21">
        <f t="shared" si="111"/>
        <v>0</v>
      </c>
      <c r="CR65" s="21">
        <f t="shared" si="111"/>
        <v>7</v>
      </c>
      <c r="CS65" s="21">
        <f t="shared" si="111"/>
        <v>0</v>
      </c>
      <c r="CT65" s="21">
        <f t="shared" si="111"/>
        <v>14</v>
      </c>
      <c r="CU65" s="21">
        <f t="shared" si="111"/>
        <v>14</v>
      </c>
      <c r="CV65" s="21">
        <f t="shared" si="111"/>
        <v>0</v>
      </c>
      <c r="CW65" s="21">
        <f t="shared" si="111"/>
        <v>7</v>
      </c>
      <c r="CX65" s="21">
        <f t="shared" si="111"/>
        <v>7</v>
      </c>
      <c r="CY65" s="21">
        <f t="shared" si="111"/>
        <v>14</v>
      </c>
      <c r="CZ65" s="21">
        <f t="shared" si="111"/>
        <v>7</v>
      </c>
      <c r="DA65" s="21">
        <f t="shared" si="111"/>
        <v>0</v>
      </c>
      <c r="DB65" s="21"/>
      <c r="DC65" s="21" t="s">
        <v>216</v>
      </c>
      <c r="DD65" s="21">
        <v>0</v>
      </c>
      <c r="DE65" s="21">
        <f t="shared" ref="DE65:DP67" si="120">IF(DE10=0,0,IF(DE10=5,7,IF(DE10=10,14,IF(DE10=15,21,IF(DE10=20,28,0)))))</f>
        <v>7</v>
      </c>
      <c r="DF65" s="21">
        <f t="shared" si="120"/>
        <v>0</v>
      </c>
      <c r="DG65" s="21">
        <f t="shared" si="120"/>
        <v>14</v>
      </c>
      <c r="DH65" s="21">
        <f t="shared" si="120"/>
        <v>7</v>
      </c>
      <c r="DI65" s="21">
        <f t="shared" si="120"/>
        <v>0</v>
      </c>
      <c r="DJ65" s="21">
        <f t="shared" si="120"/>
        <v>14</v>
      </c>
      <c r="DK65" s="21">
        <f t="shared" si="120"/>
        <v>7</v>
      </c>
      <c r="DL65" s="21">
        <f t="shared" si="120"/>
        <v>0</v>
      </c>
      <c r="DM65" s="21">
        <f t="shared" si="120"/>
        <v>14</v>
      </c>
      <c r="DN65" s="21">
        <f t="shared" si="120"/>
        <v>7</v>
      </c>
      <c r="DO65" s="21">
        <f t="shared" si="120"/>
        <v>0</v>
      </c>
      <c r="DP65" s="21">
        <f t="shared" si="120"/>
        <v>7</v>
      </c>
      <c r="DQ65" s="87"/>
      <c r="DR65" s="87">
        <v>60</v>
      </c>
      <c r="DS65" s="87"/>
      <c r="DT65" s="21" t="s">
        <v>216</v>
      </c>
      <c r="DU65" s="21">
        <v>0</v>
      </c>
      <c r="DV65" s="21">
        <f t="shared" ref="DV65:EG67" si="121">IF(DV10=0,0,IF(DV10=5,7,IF(DV10=10,14,IF(DV10=15,21,IF(DV10=20,28,0)))))</f>
        <v>7</v>
      </c>
      <c r="DW65" s="21">
        <f t="shared" si="121"/>
        <v>0</v>
      </c>
      <c r="DX65" s="21">
        <f t="shared" si="121"/>
        <v>14</v>
      </c>
      <c r="DY65" s="21">
        <f t="shared" si="121"/>
        <v>14</v>
      </c>
      <c r="DZ65" s="21">
        <f t="shared" si="121"/>
        <v>0</v>
      </c>
      <c r="EA65" s="21">
        <f t="shared" si="121"/>
        <v>0</v>
      </c>
      <c r="EB65" s="21">
        <f t="shared" si="121"/>
        <v>14</v>
      </c>
      <c r="EC65" s="21">
        <f t="shared" si="121"/>
        <v>7</v>
      </c>
      <c r="ED65" s="21">
        <f t="shared" si="121"/>
        <v>7</v>
      </c>
      <c r="EE65" s="21">
        <f t="shared" si="121"/>
        <v>14</v>
      </c>
      <c r="EF65" s="21">
        <f t="shared" si="121"/>
        <v>7</v>
      </c>
      <c r="EG65" s="21">
        <f t="shared" si="121"/>
        <v>0</v>
      </c>
      <c r="EH65" s="21"/>
      <c r="EI65" s="21"/>
      <c r="EJ65" s="196"/>
      <c r="EK65" s="21" t="s">
        <v>522</v>
      </c>
      <c r="EL65" s="21">
        <v>0</v>
      </c>
      <c r="EM65" s="21">
        <f t="shared" si="114"/>
        <v>0</v>
      </c>
      <c r="EN65" s="21">
        <f t="shared" si="114"/>
        <v>0</v>
      </c>
      <c r="EO65" s="21">
        <f t="shared" si="114"/>
        <v>0</v>
      </c>
      <c r="EP65" s="21">
        <f t="shared" si="114"/>
        <v>14</v>
      </c>
      <c r="EQ65" s="21">
        <f t="shared" si="114"/>
        <v>0</v>
      </c>
      <c r="ER65" s="21">
        <f t="shared" si="114"/>
        <v>14</v>
      </c>
      <c r="ES65" s="21">
        <f t="shared" si="114"/>
        <v>0</v>
      </c>
      <c r="ET65" s="21">
        <f t="shared" si="114"/>
        <v>14</v>
      </c>
      <c r="EU65" s="21">
        <f t="shared" si="114"/>
        <v>0</v>
      </c>
      <c r="EV65" s="21">
        <f t="shared" si="114"/>
        <v>14</v>
      </c>
      <c r="EW65" s="21">
        <f t="shared" si="114"/>
        <v>7</v>
      </c>
      <c r="EX65" s="21">
        <f t="shared" si="114"/>
        <v>14</v>
      </c>
      <c r="EY65" s="21"/>
      <c r="EZ65" s="21" t="s">
        <v>522</v>
      </c>
      <c r="FA65" s="21">
        <v>0</v>
      </c>
      <c r="FB65" s="21">
        <f t="shared" si="115"/>
        <v>0</v>
      </c>
      <c r="FC65" s="21">
        <f t="shared" si="115"/>
        <v>0</v>
      </c>
      <c r="FD65" s="21">
        <f t="shared" si="115"/>
        <v>7</v>
      </c>
      <c r="FE65" s="21">
        <f t="shared" si="115"/>
        <v>14</v>
      </c>
      <c r="FF65" s="21">
        <f t="shared" si="115"/>
        <v>14</v>
      </c>
      <c r="FG65" s="21">
        <f t="shared" si="115"/>
        <v>0</v>
      </c>
      <c r="FH65" s="21">
        <f t="shared" si="115"/>
        <v>14</v>
      </c>
      <c r="FI65" s="21">
        <f t="shared" si="115"/>
        <v>7</v>
      </c>
      <c r="FJ65" s="21">
        <f t="shared" si="115"/>
        <v>14</v>
      </c>
      <c r="FK65" s="21">
        <f t="shared" si="115"/>
        <v>7</v>
      </c>
      <c r="FL65" s="21">
        <f t="shared" si="115"/>
        <v>14</v>
      </c>
      <c r="FM65" s="21">
        <f t="shared" si="115"/>
        <v>7</v>
      </c>
      <c r="FN65" s="21"/>
      <c r="FO65" s="21" t="s">
        <v>522</v>
      </c>
      <c r="FP65" s="21">
        <v>0</v>
      </c>
      <c r="FQ65" s="21">
        <f t="shared" si="116"/>
        <v>7</v>
      </c>
      <c r="FR65" s="21">
        <f t="shared" si="116"/>
        <v>0</v>
      </c>
      <c r="FS65" s="21">
        <f t="shared" si="116"/>
        <v>7</v>
      </c>
      <c r="FT65" s="21">
        <f t="shared" si="116"/>
        <v>0</v>
      </c>
      <c r="FU65" s="21">
        <f t="shared" si="116"/>
        <v>14</v>
      </c>
      <c r="FV65" s="21">
        <f t="shared" si="116"/>
        <v>14</v>
      </c>
      <c r="FW65" s="21">
        <f t="shared" si="116"/>
        <v>0</v>
      </c>
      <c r="FX65" s="21">
        <f t="shared" si="116"/>
        <v>7</v>
      </c>
      <c r="FY65" s="21">
        <f t="shared" si="116"/>
        <v>7</v>
      </c>
      <c r="FZ65" s="21">
        <f t="shared" si="116"/>
        <v>14</v>
      </c>
      <c r="GA65" s="21">
        <f t="shared" si="116"/>
        <v>7</v>
      </c>
      <c r="GB65" s="21">
        <f t="shared" si="116"/>
        <v>0</v>
      </c>
      <c r="GC65" s="21"/>
      <c r="GD65" s="21" t="s">
        <v>522</v>
      </c>
      <c r="GE65" s="21">
        <v>0</v>
      </c>
      <c r="GF65" s="21">
        <f t="shared" si="117"/>
        <v>7</v>
      </c>
      <c r="GG65" s="21">
        <f t="shared" si="117"/>
        <v>0</v>
      </c>
      <c r="GH65" s="21">
        <f t="shared" si="117"/>
        <v>14</v>
      </c>
      <c r="GI65" s="21">
        <f t="shared" si="117"/>
        <v>7</v>
      </c>
      <c r="GJ65" s="21">
        <f t="shared" si="117"/>
        <v>0</v>
      </c>
      <c r="GK65" s="21">
        <f t="shared" si="117"/>
        <v>14</v>
      </c>
      <c r="GL65" s="21">
        <f t="shared" si="117"/>
        <v>7</v>
      </c>
      <c r="GM65" s="21">
        <f t="shared" si="117"/>
        <v>0</v>
      </c>
      <c r="GN65" s="21">
        <f t="shared" si="117"/>
        <v>14</v>
      </c>
      <c r="GO65" s="21">
        <f t="shared" si="117"/>
        <v>7</v>
      </c>
      <c r="GP65" s="21">
        <f t="shared" si="117"/>
        <v>0</v>
      </c>
      <c r="GQ65" s="21">
        <f t="shared" si="117"/>
        <v>7</v>
      </c>
      <c r="GR65" s="21"/>
      <c r="GS65" s="21" t="s">
        <v>522</v>
      </c>
      <c r="GT65" s="21">
        <v>0</v>
      </c>
      <c r="GU65" s="21">
        <f t="shared" si="118"/>
        <v>7</v>
      </c>
      <c r="GV65" s="21">
        <f t="shared" si="118"/>
        <v>0</v>
      </c>
      <c r="GW65" s="21">
        <f t="shared" si="118"/>
        <v>14</v>
      </c>
      <c r="GX65" s="21">
        <f t="shared" si="118"/>
        <v>14</v>
      </c>
      <c r="GY65" s="21">
        <f t="shared" si="118"/>
        <v>0</v>
      </c>
      <c r="GZ65" s="21">
        <f t="shared" si="118"/>
        <v>0</v>
      </c>
      <c r="HA65" s="21">
        <f t="shared" si="118"/>
        <v>14</v>
      </c>
      <c r="HB65" s="21">
        <f t="shared" si="118"/>
        <v>7</v>
      </c>
      <c r="HC65" s="21">
        <f t="shared" si="118"/>
        <v>7</v>
      </c>
      <c r="HD65" s="21">
        <f t="shared" si="118"/>
        <v>14</v>
      </c>
      <c r="HE65" s="21">
        <f t="shared" si="118"/>
        <v>7</v>
      </c>
      <c r="HF65" s="21">
        <f t="shared" si="118"/>
        <v>0</v>
      </c>
      <c r="HG65" s="197"/>
      <c r="HH65" s="21"/>
    </row>
    <row r="66" spans="1:254" x14ac:dyDescent="0.25">
      <c r="A66" s="8"/>
      <c r="B66" s="5" t="s">
        <v>116</v>
      </c>
      <c r="C66" s="8"/>
      <c r="D66" s="9"/>
      <c r="E66" s="1"/>
      <c r="F66" s="9"/>
      <c r="G66" s="9"/>
      <c r="H66" s="9"/>
      <c r="I66" s="9"/>
      <c r="J66" s="9"/>
      <c r="K66" s="9"/>
      <c r="L66" s="5" t="s">
        <v>103</v>
      </c>
      <c r="M66" s="5" t="s">
        <v>104</v>
      </c>
      <c r="N66" s="5" t="s">
        <v>107</v>
      </c>
      <c r="O66" s="5" t="s">
        <v>290</v>
      </c>
      <c r="P66" s="5" t="s">
        <v>446</v>
      </c>
      <c r="Q66" s="5" t="s">
        <v>448</v>
      </c>
      <c r="R66" s="5" t="s">
        <v>409</v>
      </c>
      <c r="S66" s="5" t="s">
        <v>447</v>
      </c>
      <c r="T66" s="5" t="s">
        <v>449</v>
      </c>
      <c r="U66" s="5" t="s">
        <v>106</v>
      </c>
      <c r="V66" s="25"/>
      <c r="W66" s="21">
        <f>INDEX(($EL$58:$EX$61,$EL$64:$EX$67,$EL$70:$EX$73,$FA$58:$FM$61,$FA$64:$FM$67,$FA$70:$FM$73,$FP$58:$GB$61,$FP$64:$GB$67,$FP$70:$GB$73,$GE$58:$GQ$61,$GE$64:$GQ$67,$GE$70:$GQ$73,$GT$58:$HF$61,$GT$64:$HF$67),MATCH($L$81,$EK$58:$EK$61,0),MATCH($A67,$EL$57:$EX$57,0),MATCH($E$35,$AE$33:$AE$48,0))*$C67</f>
        <v>0</v>
      </c>
      <c r="X66" s="21">
        <f>INDEX(($EL$58:$EX$61,$EL$64:$EX$67,$EL$70:$EX$73,$FA$58:$FM$61,$FA$64:$FM$67,$FA$70:$FM$73,$FP$58:$GB$61,$FP$64:$GB$67,$FP$70:$GB$73,$GE$58:$GQ$61,$GE$64:$GQ$67,$GE$70:$GQ$73,$GT$58:$HF$61,$GT$64:$HF$67),MATCH($L$78,$EK$58:$EK$61,0),MATCH($A67,$EL$57:$EX$57,0),MATCH($E$35,$AE$33:$AE$48,0))*$C67</f>
        <v>0</v>
      </c>
      <c r="Y66" s="21">
        <f>INDEX(($EL$58:$EX$61,$EL$64:$EX$67,$EL$70:$EX$73,$FA$58:$FM$61,$FA$64:$FM$67,$FA$70:$FM$73,$FP$58:$GB$61,$FP$64:$GB$67,$FP$70:$GB$73,$GE$58:$GQ$61,$GE$64:$GQ$67,$GE$70:$GQ$73,$GT$58:$HF$61,$GT$64:$HF$67),MATCH($L$79,$EK$58:$EK$61,0),MATCH($A67,$EL$57:$EX$57,0),MATCH($E$35,$AE$33:$AE$48,0))*$C67</f>
        <v>0</v>
      </c>
      <c r="Z66" s="21">
        <f>INDEX(($EL$58:$EX$61,$EL$64:$EX$67,$EL$70:$EX$73,$FA$58:$FM$61,$FA$64:$FM$67,$FA$70:$FM$73,$FP$58:$GB$61,$FP$64:$GB$67,$FP$70:$GB$73,$GE$58:$GQ$61,$GE$64:$GQ$67,$GE$70:$GQ$73,$GT$58:$HF$61,$GT$64:$HF$67),MATCH($L$80,$EK$58:$EK$61,0),MATCH($A67,$EL$57:$EX$57,0),MATCH($E$35,$AE$33:$AE$48,0))*$C67</f>
        <v>0</v>
      </c>
      <c r="AA66" s="21">
        <f t="shared" si="106"/>
        <v>0</v>
      </c>
      <c r="AB66" s="21">
        <f t="shared" si="107"/>
        <v>0</v>
      </c>
      <c r="AC66" s="21"/>
      <c r="AD66" s="21"/>
      <c r="AE66" s="21"/>
      <c r="AF66" s="21"/>
      <c r="AG66" s="21"/>
      <c r="AH66" s="21"/>
      <c r="AI66" s="21"/>
      <c r="AJ66" s="21"/>
      <c r="AK66" s="21"/>
      <c r="AL66" s="21"/>
      <c r="AM66" s="21"/>
      <c r="AN66" s="21"/>
      <c r="AO66" s="21"/>
      <c r="AP66" s="21"/>
      <c r="AQ66" s="21"/>
      <c r="AR66" s="186" t="s">
        <v>728</v>
      </c>
      <c r="AS66" s="21"/>
      <c r="AT66" s="21"/>
      <c r="AU66" s="21"/>
      <c r="AV66" s="21"/>
      <c r="AW66" s="21"/>
      <c r="AX66" s="21"/>
      <c r="AY66" s="21"/>
      <c r="AZ66" s="21"/>
      <c r="BA66" s="21"/>
      <c r="BB66" s="21"/>
      <c r="BC66" s="21"/>
      <c r="BD66" s="21"/>
      <c r="BE66" s="21"/>
      <c r="BF66" s="21"/>
      <c r="BG66" s="21">
        <f t="shared" si="108"/>
        <v>1</v>
      </c>
      <c r="BH66" s="21" t="s">
        <v>17</v>
      </c>
      <c r="BI66" s="21">
        <v>0</v>
      </c>
      <c r="BJ66" s="21">
        <f t="shared" si="119"/>
        <v>7</v>
      </c>
      <c r="BK66" s="21">
        <f t="shared" si="119"/>
        <v>0</v>
      </c>
      <c r="BL66" s="21">
        <f t="shared" si="119"/>
        <v>0</v>
      </c>
      <c r="BM66" s="21">
        <f t="shared" si="119"/>
        <v>0</v>
      </c>
      <c r="BN66" s="21">
        <f t="shared" si="119"/>
        <v>7</v>
      </c>
      <c r="BO66" s="21">
        <f t="shared" si="119"/>
        <v>7</v>
      </c>
      <c r="BP66" s="21">
        <f t="shared" si="119"/>
        <v>0</v>
      </c>
      <c r="BQ66" s="21">
        <f t="shared" si="119"/>
        <v>0</v>
      </c>
      <c r="BR66" s="21">
        <f t="shared" si="119"/>
        <v>7</v>
      </c>
      <c r="BS66" s="21">
        <f t="shared" si="119"/>
        <v>7</v>
      </c>
      <c r="BT66" s="21">
        <f t="shared" si="119"/>
        <v>7</v>
      </c>
      <c r="BU66" s="21">
        <f t="shared" si="119"/>
        <v>0</v>
      </c>
      <c r="BV66" s="21"/>
      <c r="BW66" s="21" t="s">
        <v>17</v>
      </c>
      <c r="BX66" s="21">
        <v>0</v>
      </c>
      <c r="BY66" s="21">
        <f t="shared" si="110"/>
        <v>7</v>
      </c>
      <c r="BZ66" s="21">
        <f t="shared" si="110"/>
        <v>0</v>
      </c>
      <c r="CA66" s="21">
        <f t="shared" si="110"/>
        <v>7</v>
      </c>
      <c r="CB66" s="21">
        <f t="shared" si="110"/>
        <v>0</v>
      </c>
      <c r="CC66" s="21">
        <f t="shared" si="110"/>
        <v>7</v>
      </c>
      <c r="CD66" s="21">
        <f t="shared" si="110"/>
        <v>0</v>
      </c>
      <c r="CE66" s="21">
        <f t="shared" si="110"/>
        <v>0</v>
      </c>
      <c r="CF66" s="21">
        <f t="shared" si="110"/>
        <v>0</v>
      </c>
      <c r="CG66" s="21">
        <f t="shared" si="110"/>
        <v>7</v>
      </c>
      <c r="CH66" s="21">
        <f t="shared" si="110"/>
        <v>7</v>
      </c>
      <c r="CI66" s="21">
        <f t="shared" si="110"/>
        <v>0</v>
      </c>
      <c r="CJ66" s="21">
        <f t="shared" si="110"/>
        <v>0</v>
      </c>
      <c r="CK66" s="21"/>
      <c r="CL66" s="21"/>
      <c r="CM66" s="21"/>
      <c r="CN66" s="21" t="s">
        <v>17</v>
      </c>
      <c r="CO66" s="21">
        <v>0</v>
      </c>
      <c r="CP66" s="21">
        <f t="shared" si="111"/>
        <v>0</v>
      </c>
      <c r="CQ66" s="21">
        <f t="shared" si="111"/>
        <v>0</v>
      </c>
      <c r="CR66" s="21">
        <f t="shared" si="111"/>
        <v>7</v>
      </c>
      <c r="CS66" s="21">
        <f t="shared" si="111"/>
        <v>7</v>
      </c>
      <c r="CT66" s="21">
        <f t="shared" si="111"/>
        <v>7</v>
      </c>
      <c r="CU66" s="21">
        <f t="shared" si="111"/>
        <v>0</v>
      </c>
      <c r="CV66" s="21">
        <f t="shared" si="111"/>
        <v>7</v>
      </c>
      <c r="CW66" s="21">
        <f t="shared" si="111"/>
        <v>0</v>
      </c>
      <c r="CX66" s="21">
        <f t="shared" si="111"/>
        <v>7</v>
      </c>
      <c r="CY66" s="21">
        <f t="shared" si="111"/>
        <v>0</v>
      </c>
      <c r="CZ66" s="21">
        <f t="shared" si="111"/>
        <v>0</v>
      </c>
      <c r="DA66" s="21">
        <f t="shared" si="111"/>
        <v>0</v>
      </c>
      <c r="DB66" s="21"/>
      <c r="DC66" s="21" t="s">
        <v>17</v>
      </c>
      <c r="DD66" s="21">
        <v>0</v>
      </c>
      <c r="DE66" s="21">
        <f t="shared" si="120"/>
        <v>0</v>
      </c>
      <c r="DF66" s="21">
        <f t="shared" si="120"/>
        <v>0</v>
      </c>
      <c r="DG66" s="21">
        <f t="shared" si="120"/>
        <v>0</v>
      </c>
      <c r="DH66" s="21">
        <f t="shared" si="120"/>
        <v>0</v>
      </c>
      <c r="DI66" s="21">
        <f t="shared" si="120"/>
        <v>0</v>
      </c>
      <c r="DJ66" s="21">
        <f t="shared" si="120"/>
        <v>0</v>
      </c>
      <c r="DK66" s="21">
        <f t="shared" si="120"/>
        <v>0</v>
      </c>
      <c r="DL66" s="21">
        <f t="shared" si="120"/>
        <v>0</v>
      </c>
      <c r="DM66" s="21">
        <f t="shared" si="120"/>
        <v>0</v>
      </c>
      <c r="DN66" s="21">
        <f t="shared" si="120"/>
        <v>0</v>
      </c>
      <c r="DO66" s="21">
        <f t="shared" si="120"/>
        <v>0</v>
      </c>
      <c r="DP66" s="21">
        <f t="shared" si="120"/>
        <v>7</v>
      </c>
      <c r="DQ66" s="87"/>
      <c r="DR66" s="87">
        <v>66</v>
      </c>
      <c r="DS66" s="87"/>
      <c r="DT66" s="21" t="s">
        <v>17</v>
      </c>
      <c r="DU66" s="21">
        <v>0</v>
      </c>
      <c r="DV66" s="21">
        <f t="shared" si="121"/>
        <v>0</v>
      </c>
      <c r="DW66" s="21">
        <f t="shared" si="121"/>
        <v>0</v>
      </c>
      <c r="DX66" s="21">
        <f t="shared" si="121"/>
        <v>0</v>
      </c>
      <c r="DY66" s="21">
        <f t="shared" si="121"/>
        <v>7</v>
      </c>
      <c r="DZ66" s="21">
        <f t="shared" si="121"/>
        <v>0</v>
      </c>
      <c r="EA66" s="21">
        <f t="shared" si="121"/>
        <v>7</v>
      </c>
      <c r="EB66" s="21">
        <f t="shared" si="121"/>
        <v>7</v>
      </c>
      <c r="EC66" s="21">
        <f t="shared" si="121"/>
        <v>7</v>
      </c>
      <c r="ED66" s="21">
        <f t="shared" si="121"/>
        <v>0</v>
      </c>
      <c r="EE66" s="21">
        <f t="shared" si="121"/>
        <v>7</v>
      </c>
      <c r="EF66" s="21">
        <f t="shared" si="121"/>
        <v>7</v>
      </c>
      <c r="EG66" s="21">
        <f t="shared" si="121"/>
        <v>7</v>
      </c>
      <c r="EH66" s="21"/>
      <c r="EI66" s="21"/>
      <c r="EJ66" s="196"/>
      <c r="EK66" s="21" t="s">
        <v>523</v>
      </c>
      <c r="EL66" s="21">
        <v>0</v>
      </c>
      <c r="EM66" s="21">
        <f t="shared" si="114"/>
        <v>7</v>
      </c>
      <c r="EN66" s="21">
        <f t="shared" si="114"/>
        <v>0</v>
      </c>
      <c r="EO66" s="21">
        <f t="shared" si="114"/>
        <v>0</v>
      </c>
      <c r="EP66" s="21">
        <f t="shared" si="114"/>
        <v>0</v>
      </c>
      <c r="EQ66" s="21">
        <f t="shared" si="114"/>
        <v>21</v>
      </c>
      <c r="ER66" s="21">
        <f t="shared" si="114"/>
        <v>7</v>
      </c>
      <c r="ES66" s="21">
        <f t="shared" si="114"/>
        <v>28</v>
      </c>
      <c r="ET66" s="21">
        <f t="shared" si="114"/>
        <v>14</v>
      </c>
      <c r="EU66" s="21">
        <f t="shared" si="114"/>
        <v>35</v>
      </c>
      <c r="EV66" s="21">
        <f t="shared" si="114"/>
        <v>21</v>
      </c>
      <c r="EW66" s="21">
        <f t="shared" si="114"/>
        <v>35</v>
      </c>
      <c r="EX66" s="21">
        <f t="shared" si="114"/>
        <v>28</v>
      </c>
      <c r="EY66" s="21"/>
      <c r="EZ66" s="21" t="s">
        <v>523</v>
      </c>
      <c r="FA66" s="21">
        <v>0</v>
      </c>
      <c r="FB66" s="21">
        <f t="shared" si="115"/>
        <v>7</v>
      </c>
      <c r="FC66" s="21">
        <f t="shared" si="115"/>
        <v>0</v>
      </c>
      <c r="FD66" s="21">
        <f t="shared" si="115"/>
        <v>7</v>
      </c>
      <c r="FE66" s="21">
        <f t="shared" si="115"/>
        <v>0</v>
      </c>
      <c r="FF66" s="21">
        <f t="shared" si="115"/>
        <v>7</v>
      </c>
      <c r="FG66" s="21">
        <f t="shared" si="115"/>
        <v>28</v>
      </c>
      <c r="FH66" s="21">
        <f t="shared" si="115"/>
        <v>14</v>
      </c>
      <c r="FI66" s="21">
        <f t="shared" si="115"/>
        <v>28</v>
      </c>
      <c r="FJ66" s="21">
        <f t="shared" si="115"/>
        <v>21</v>
      </c>
      <c r="FK66" s="21">
        <f t="shared" si="115"/>
        <v>35</v>
      </c>
      <c r="FL66" s="21">
        <f t="shared" si="115"/>
        <v>28</v>
      </c>
      <c r="FM66" s="21">
        <f t="shared" si="115"/>
        <v>42</v>
      </c>
      <c r="FN66" s="21"/>
      <c r="FO66" s="21" t="s">
        <v>523</v>
      </c>
      <c r="FP66" s="21">
        <v>0</v>
      </c>
      <c r="FQ66" s="21">
        <f t="shared" si="116"/>
        <v>0</v>
      </c>
      <c r="FR66" s="21">
        <f t="shared" si="116"/>
        <v>0</v>
      </c>
      <c r="FS66" s="21">
        <f t="shared" si="116"/>
        <v>7</v>
      </c>
      <c r="FT66" s="21">
        <f t="shared" si="116"/>
        <v>21</v>
      </c>
      <c r="FU66" s="21">
        <f t="shared" si="116"/>
        <v>7</v>
      </c>
      <c r="FV66" s="21">
        <f t="shared" si="116"/>
        <v>14</v>
      </c>
      <c r="FW66" s="21">
        <f t="shared" si="116"/>
        <v>35</v>
      </c>
      <c r="FX66" s="21">
        <f t="shared" si="116"/>
        <v>28</v>
      </c>
      <c r="FY66" s="21">
        <f t="shared" si="116"/>
        <v>35</v>
      </c>
      <c r="FZ66" s="21">
        <f t="shared" si="116"/>
        <v>28</v>
      </c>
      <c r="GA66" s="21">
        <f t="shared" si="116"/>
        <v>42</v>
      </c>
      <c r="GB66" s="21">
        <f t="shared" si="116"/>
        <v>56</v>
      </c>
      <c r="GC66" s="21"/>
      <c r="GD66" s="21" t="s">
        <v>523</v>
      </c>
      <c r="GE66" s="21">
        <v>0</v>
      </c>
      <c r="GF66" s="21">
        <f t="shared" si="117"/>
        <v>0</v>
      </c>
      <c r="GG66" s="21">
        <f t="shared" si="117"/>
        <v>0</v>
      </c>
      <c r="GH66" s="21">
        <f t="shared" si="117"/>
        <v>0</v>
      </c>
      <c r="GI66" s="21">
        <f t="shared" si="117"/>
        <v>14</v>
      </c>
      <c r="GJ66" s="21">
        <f t="shared" si="117"/>
        <v>28</v>
      </c>
      <c r="GK66" s="21">
        <f t="shared" si="117"/>
        <v>14</v>
      </c>
      <c r="GL66" s="21">
        <f t="shared" si="117"/>
        <v>28</v>
      </c>
      <c r="GM66" s="21">
        <f t="shared" si="117"/>
        <v>42</v>
      </c>
      <c r="GN66" s="21">
        <f t="shared" si="117"/>
        <v>28</v>
      </c>
      <c r="GO66" s="21">
        <f t="shared" si="117"/>
        <v>42</v>
      </c>
      <c r="GP66" s="21">
        <f t="shared" si="117"/>
        <v>56</v>
      </c>
      <c r="GQ66" s="21">
        <f t="shared" si="117"/>
        <v>49</v>
      </c>
      <c r="GR66" s="21"/>
      <c r="GS66" s="21" t="s">
        <v>523</v>
      </c>
      <c r="GT66" s="21">
        <v>0</v>
      </c>
      <c r="GU66" s="21">
        <f t="shared" si="118"/>
        <v>0</v>
      </c>
      <c r="GV66" s="21">
        <f t="shared" si="118"/>
        <v>0</v>
      </c>
      <c r="GW66" s="21">
        <f t="shared" si="118"/>
        <v>0</v>
      </c>
      <c r="GX66" s="21">
        <f t="shared" si="118"/>
        <v>7</v>
      </c>
      <c r="GY66" s="21">
        <f t="shared" si="118"/>
        <v>28</v>
      </c>
      <c r="GZ66" s="21">
        <f t="shared" si="118"/>
        <v>35</v>
      </c>
      <c r="HA66" s="21">
        <f t="shared" si="118"/>
        <v>21</v>
      </c>
      <c r="HB66" s="21">
        <f t="shared" si="118"/>
        <v>35</v>
      </c>
      <c r="HC66" s="21">
        <f t="shared" si="118"/>
        <v>42</v>
      </c>
      <c r="HD66" s="21">
        <f t="shared" si="118"/>
        <v>35</v>
      </c>
      <c r="HE66" s="21">
        <f t="shared" si="118"/>
        <v>49</v>
      </c>
      <c r="HF66" s="21">
        <f t="shared" si="118"/>
        <v>63</v>
      </c>
      <c r="HG66" s="197"/>
      <c r="HH66" s="21"/>
    </row>
    <row r="67" spans="1:254" x14ac:dyDescent="0.25">
      <c r="A67" s="8"/>
      <c r="B67" s="5" t="s">
        <v>116</v>
      </c>
      <c r="C67" s="8"/>
      <c r="D67" s="6" t="s">
        <v>118</v>
      </c>
      <c r="E67" s="8" t="s">
        <v>508</v>
      </c>
      <c r="F67" s="5" t="s">
        <v>116</v>
      </c>
      <c r="G67" s="8" t="s">
        <v>115</v>
      </c>
      <c r="H67" s="5" t="s">
        <v>116</v>
      </c>
      <c r="I67" s="8">
        <v>35</v>
      </c>
      <c r="J67" s="5" t="s">
        <v>119</v>
      </c>
      <c r="K67" s="9"/>
      <c r="L67" s="7" t="str">
        <f>IF(E69=$AC$5,"-------",IF(E69=$AC$6,"-------",IF(E69=$AC$7,"-------",IF(E69=$AC$8,IF(E77=$DS$10,"GSW76X1600N",IF(E77=$DS$11,"GSW76X2200N","")),0))))</f>
        <v>-------</v>
      </c>
      <c r="M67" s="11" t="str">
        <f>INDEX(cennik!$C$2:$L$529,MATCH($L67,cennik!$B$2:$B$522,0),MATCH(M$2,cennik!$C$1:$L$1,0))</f>
        <v>-------</v>
      </c>
      <c r="N67" s="11">
        <f>INDEX(cennik!$C$2:$L$529,MATCH($L67,cennik!$B$2:$B$522,0),MATCH(N$2,cennik!$C$1:$L$1,0))</f>
        <v>0</v>
      </c>
      <c r="O67" s="11">
        <f>IF(L67="-------",0,SUM(O69:O70))</f>
        <v>0</v>
      </c>
      <c r="P67" s="34">
        <f>INDEX(cennik!$C$2:$L$529,MATCH($L67,cennik!$B$2:$B$522,0),MATCH(P$2,cennik!$C$1:$L$1,0))</f>
        <v>0</v>
      </c>
      <c r="Q67" s="34">
        <f>O67*P67</f>
        <v>0</v>
      </c>
      <c r="R67" s="35">
        <f t="shared" ref="R67:R91" si="122">$E$71</f>
        <v>0</v>
      </c>
      <c r="S67" s="34">
        <f t="shared" ref="S67:S91" si="123">P67*((100-$E$71)/100)</f>
        <v>0</v>
      </c>
      <c r="T67" s="34">
        <f>O67*S67</f>
        <v>0</v>
      </c>
      <c r="U67" s="34">
        <f>INDEX(cennik!$C$2:$L$529,MATCH($L67,cennik!$B$2:$B$522,0),MATCH(U$2,cennik!$C$1:$L$1,0))*O67</f>
        <v>0</v>
      </c>
      <c r="V67" s="25"/>
      <c r="W67" s="21">
        <f>INDEX(($EL$58:$EX$61,$EL$64:$EX$67,$EL$70:$EX$73,$FA$58:$FM$61,$FA$64:$FM$67,$FA$70:$FM$73,$FP$58:$GB$61,$FP$64:$GB$67,$FP$70:$GB$73,$GE$58:$GQ$61,$GE$64:$GQ$67,$GE$70:$GQ$73,$GT$58:$HF$61,$GT$64:$HF$67),MATCH($L$81,$EK$58:$EK$61,0),MATCH($A68,$EL$57:$EX$57,0),MATCH($E$35,$AE$33:$AE$48,0))*$C68</f>
        <v>0</v>
      </c>
      <c r="X67" s="21">
        <f>INDEX(($EL$58:$EX$61,$EL$64:$EX$67,$EL$70:$EX$73,$FA$58:$FM$61,$FA$64:$FM$67,$FA$70:$FM$73,$FP$58:$GB$61,$FP$64:$GB$67,$FP$70:$GB$73,$GE$58:$GQ$61,$GE$64:$GQ$67,$GE$70:$GQ$73,$GT$58:$HF$61,$GT$64:$HF$67),MATCH($L$78,$EK$58:$EK$61,0),MATCH($A68,$EL$57:$EX$57,0),MATCH($E$35,$AE$33:$AE$48,0))*$C68</f>
        <v>0</v>
      </c>
      <c r="Y67" s="21">
        <f>INDEX(($EL$58:$EX$61,$EL$64:$EX$67,$EL$70:$EX$73,$FA$58:$FM$61,$FA$64:$FM$67,$FA$70:$FM$73,$FP$58:$GB$61,$FP$64:$GB$67,$FP$70:$GB$73,$GE$58:$GQ$61,$GE$64:$GQ$67,$GE$70:$GQ$73,$GT$58:$HF$61,$GT$64:$HF$67),MATCH($L$79,$EK$58:$EK$61,0),MATCH($A68,$EL$57:$EX$57,0),MATCH($E$35,$AE$33:$AE$48,0))*$C68</f>
        <v>0</v>
      </c>
      <c r="Z67" s="21">
        <f>INDEX(($EL$58:$EX$61,$EL$64:$EX$67,$EL$70:$EX$73,$FA$58:$FM$61,$FA$64:$FM$67,$FA$70:$FM$73,$FP$58:$GB$61,$FP$64:$GB$67,$FP$70:$GB$73,$GE$58:$GQ$61,$GE$64:$GQ$67,$GE$70:$GQ$73,$GT$58:$HF$61,$GT$64:$HF$67),MATCH($L$80,$EK$58:$EK$61,0),MATCH($A68,$EL$57:$EX$57,0),MATCH($E$35,$AE$33:$AE$48,0))*$C68</f>
        <v>0</v>
      </c>
      <c r="AA67" s="21">
        <f t="shared" si="106"/>
        <v>0</v>
      </c>
      <c r="AB67" s="21">
        <f t="shared" si="107"/>
        <v>0</v>
      </c>
      <c r="AC67" s="21"/>
      <c r="AD67" s="21"/>
      <c r="AE67" s="21"/>
      <c r="AF67" s="21"/>
      <c r="AG67" s="21"/>
      <c r="AH67" s="21"/>
      <c r="AI67" s="21"/>
      <c r="AJ67" s="21"/>
      <c r="AK67" s="21"/>
      <c r="AL67" s="21"/>
      <c r="AM67" s="21"/>
      <c r="AN67" s="21"/>
      <c r="AO67" s="21"/>
      <c r="AP67" s="21"/>
      <c r="AQ67" s="21"/>
      <c r="AR67" s="21"/>
      <c r="AS67" s="21" t="s">
        <v>314</v>
      </c>
      <c r="AT67" s="21" t="s">
        <v>312</v>
      </c>
      <c r="AU67" s="21" t="s">
        <v>309</v>
      </c>
      <c r="AV67" s="21" t="s">
        <v>313</v>
      </c>
      <c r="AW67" s="21"/>
      <c r="AX67" s="21"/>
      <c r="AY67" s="21"/>
      <c r="AZ67" s="21"/>
      <c r="BA67" s="21"/>
      <c r="BB67" s="21"/>
      <c r="BC67" s="21"/>
      <c r="BD67" s="21"/>
      <c r="BE67" s="21"/>
      <c r="BF67" s="21"/>
      <c r="BG67" s="21">
        <f t="shared" si="108"/>
        <v>1</v>
      </c>
      <c r="BH67" s="20" t="s">
        <v>18</v>
      </c>
      <c r="BI67" s="20">
        <v>0</v>
      </c>
      <c r="BJ67" s="21">
        <f t="shared" si="119"/>
        <v>0</v>
      </c>
      <c r="BK67" s="21">
        <f t="shared" si="119"/>
        <v>0</v>
      </c>
      <c r="BL67" s="21">
        <f t="shared" si="119"/>
        <v>0</v>
      </c>
      <c r="BM67" s="21">
        <f t="shared" si="119"/>
        <v>7</v>
      </c>
      <c r="BN67" s="21">
        <f t="shared" si="119"/>
        <v>7</v>
      </c>
      <c r="BO67" s="21">
        <f t="shared" si="119"/>
        <v>14</v>
      </c>
      <c r="BP67" s="21">
        <f t="shared" si="119"/>
        <v>7</v>
      </c>
      <c r="BQ67" s="21">
        <f t="shared" si="119"/>
        <v>14</v>
      </c>
      <c r="BR67" s="21">
        <f t="shared" si="119"/>
        <v>14</v>
      </c>
      <c r="BS67" s="21">
        <f t="shared" si="119"/>
        <v>21</v>
      </c>
      <c r="BT67" s="21">
        <f t="shared" si="119"/>
        <v>21</v>
      </c>
      <c r="BU67" s="21">
        <f t="shared" si="119"/>
        <v>21</v>
      </c>
      <c r="BV67" s="21"/>
      <c r="BW67" s="21" t="s">
        <v>18</v>
      </c>
      <c r="BX67" s="21">
        <v>0</v>
      </c>
      <c r="BY67" s="21">
        <f t="shared" si="110"/>
        <v>0</v>
      </c>
      <c r="BZ67" s="21">
        <f t="shared" si="110"/>
        <v>0</v>
      </c>
      <c r="CA67" s="21">
        <f t="shared" si="110"/>
        <v>7</v>
      </c>
      <c r="CB67" s="21">
        <f t="shared" si="110"/>
        <v>7</v>
      </c>
      <c r="CC67" s="21">
        <f t="shared" si="110"/>
        <v>14</v>
      </c>
      <c r="CD67" s="21">
        <f t="shared" si="110"/>
        <v>7</v>
      </c>
      <c r="CE67" s="21">
        <f t="shared" si="110"/>
        <v>14</v>
      </c>
      <c r="CF67" s="21">
        <f t="shared" si="110"/>
        <v>14</v>
      </c>
      <c r="CG67" s="21">
        <f t="shared" si="110"/>
        <v>21</v>
      </c>
      <c r="CH67" s="21">
        <f t="shared" si="110"/>
        <v>21</v>
      </c>
      <c r="CI67" s="21">
        <f t="shared" si="110"/>
        <v>21</v>
      </c>
      <c r="CJ67" s="21">
        <f t="shared" si="110"/>
        <v>21</v>
      </c>
      <c r="CK67" s="21"/>
      <c r="CL67" s="21"/>
      <c r="CM67" s="21"/>
      <c r="CN67" s="20" t="s">
        <v>18</v>
      </c>
      <c r="CO67" s="20">
        <v>0</v>
      </c>
      <c r="CP67" s="21">
        <f t="shared" si="111"/>
        <v>0</v>
      </c>
      <c r="CQ67" s="21">
        <f t="shared" si="111"/>
        <v>0</v>
      </c>
      <c r="CR67" s="21">
        <f t="shared" si="111"/>
        <v>7</v>
      </c>
      <c r="CS67" s="21">
        <f t="shared" si="111"/>
        <v>7</v>
      </c>
      <c r="CT67" s="21">
        <f t="shared" si="111"/>
        <v>14</v>
      </c>
      <c r="CU67" s="21">
        <f t="shared" si="111"/>
        <v>14</v>
      </c>
      <c r="CV67" s="21">
        <f t="shared" si="111"/>
        <v>14</v>
      </c>
      <c r="CW67" s="21">
        <f t="shared" si="111"/>
        <v>14</v>
      </c>
      <c r="CX67" s="21">
        <f t="shared" si="111"/>
        <v>21</v>
      </c>
      <c r="CY67" s="21">
        <f t="shared" si="111"/>
        <v>21</v>
      </c>
      <c r="CZ67" s="21">
        <f t="shared" si="111"/>
        <v>21</v>
      </c>
      <c r="DA67" s="21">
        <f t="shared" si="111"/>
        <v>21</v>
      </c>
      <c r="DB67" s="21"/>
      <c r="DC67" s="21" t="s">
        <v>18</v>
      </c>
      <c r="DD67" s="21">
        <v>0</v>
      </c>
      <c r="DE67" s="21">
        <f t="shared" si="120"/>
        <v>0</v>
      </c>
      <c r="DF67" s="21">
        <f t="shared" si="120"/>
        <v>0</v>
      </c>
      <c r="DG67" s="21">
        <f t="shared" si="120"/>
        <v>7</v>
      </c>
      <c r="DH67" s="21">
        <f t="shared" si="120"/>
        <v>7</v>
      </c>
      <c r="DI67" s="21">
        <f t="shared" si="120"/>
        <v>7</v>
      </c>
      <c r="DJ67" s="21">
        <f t="shared" si="120"/>
        <v>14</v>
      </c>
      <c r="DK67" s="21">
        <f t="shared" si="120"/>
        <v>14</v>
      </c>
      <c r="DL67" s="21">
        <f t="shared" si="120"/>
        <v>14</v>
      </c>
      <c r="DM67" s="21">
        <f t="shared" si="120"/>
        <v>21</v>
      </c>
      <c r="DN67" s="21">
        <f t="shared" si="120"/>
        <v>21</v>
      </c>
      <c r="DO67" s="21">
        <f t="shared" si="120"/>
        <v>21</v>
      </c>
      <c r="DP67" s="21">
        <f t="shared" si="120"/>
        <v>28</v>
      </c>
      <c r="DQ67" s="87"/>
      <c r="DR67" s="87">
        <v>72</v>
      </c>
      <c r="DS67" s="87"/>
      <c r="DT67" s="21" t="s">
        <v>18</v>
      </c>
      <c r="DU67" s="21">
        <v>0</v>
      </c>
      <c r="DV67" s="21">
        <f t="shared" si="121"/>
        <v>0</v>
      </c>
      <c r="DW67" s="21">
        <f t="shared" si="121"/>
        <v>0</v>
      </c>
      <c r="DX67" s="21">
        <f t="shared" si="121"/>
        <v>7</v>
      </c>
      <c r="DY67" s="21">
        <f t="shared" si="121"/>
        <v>14</v>
      </c>
      <c r="DZ67" s="21">
        <f t="shared" si="121"/>
        <v>7</v>
      </c>
      <c r="EA67" s="21">
        <f t="shared" si="121"/>
        <v>14</v>
      </c>
      <c r="EB67" s="21">
        <f t="shared" si="121"/>
        <v>21</v>
      </c>
      <c r="EC67" s="21">
        <f t="shared" si="121"/>
        <v>21</v>
      </c>
      <c r="ED67" s="21">
        <f t="shared" si="121"/>
        <v>21</v>
      </c>
      <c r="EE67" s="21">
        <f t="shared" si="121"/>
        <v>28</v>
      </c>
      <c r="EF67" s="21">
        <f t="shared" si="121"/>
        <v>28</v>
      </c>
      <c r="EG67" s="21">
        <f t="shared" si="121"/>
        <v>28</v>
      </c>
      <c r="EH67" s="21"/>
      <c r="EI67" s="21"/>
      <c r="EJ67" s="196"/>
      <c r="EK67" s="20" t="s">
        <v>779</v>
      </c>
      <c r="EL67" s="21">
        <v>0</v>
      </c>
      <c r="EM67" s="21">
        <f t="shared" si="114"/>
        <v>0</v>
      </c>
      <c r="EN67" s="21">
        <f t="shared" si="114"/>
        <v>0</v>
      </c>
      <c r="EO67" s="21">
        <f t="shared" si="114"/>
        <v>0</v>
      </c>
      <c r="EP67" s="21">
        <f t="shared" si="114"/>
        <v>7</v>
      </c>
      <c r="EQ67" s="21">
        <f t="shared" si="114"/>
        <v>14</v>
      </c>
      <c r="ER67" s="21">
        <f t="shared" si="114"/>
        <v>14</v>
      </c>
      <c r="ES67" s="21">
        <f t="shared" si="114"/>
        <v>21</v>
      </c>
      <c r="ET67" s="21">
        <f t="shared" si="114"/>
        <v>21</v>
      </c>
      <c r="EU67" s="21">
        <f t="shared" si="114"/>
        <v>28</v>
      </c>
      <c r="EV67" s="21">
        <f t="shared" si="114"/>
        <v>28</v>
      </c>
      <c r="EW67" s="21">
        <f t="shared" si="114"/>
        <v>35</v>
      </c>
      <c r="EX67" s="21">
        <f t="shared" si="114"/>
        <v>35</v>
      </c>
      <c r="EY67" s="21"/>
      <c r="EZ67" s="20" t="s">
        <v>779</v>
      </c>
      <c r="FA67" s="21">
        <v>0</v>
      </c>
      <c r="FB67" s="21">
        <f t="shared" si="115"/>
        <v>0</v>
      </c>
      <c r="FC67" s="21">
        <f t="shared" si="115"/>
        <v>0</v>
      </c>
      <c r="FD67" s="21">
        <f t="shared" si="115"/>
        <v>7</v>
      </c>
      <c r="FE67" s="21">
        <f t="shared" si="115"/>
        <v>7</v>
      </c>
      <c r="FF67" s="21">
        <f t="shared" si="115"/>
        <v>14</v>
      </c>
      <c r="FG67" s="21">
        <f t="shared" si="115"/>
        <v>21</v>
      </c>
      <c r="FH67" s="21">
        <f t="shared" si="115"/>
        <v>21</v>
      </c>
      <c r="FI67" s="21">
        <f t="shared" si="115"/>
        <v>28</v>
      </c>
      <c r="FJ67" s="21">
        <f t="shared" si="115"/>
        <v>28</v>
      </c>
      <c r="FK67" s="21">
        <f t="shared" si="115"/>
        <v>35</v>
      </c>
      <c r="FL67" s="21">
        <f t="shared" si="115"/>
        <v>35</v>
      </c>
      <c r="FM67" s="21">
        <f t="shared" si="115"/>
        <v>42</v>
      </c>
      <c r="FN67" s="21"/>
      <c r="FO67" s="20" t="s">
        <v>779</v>
      </c>
      <c r="FP67" s="21">
        <v>0</v>
      </c>
      <c r="FQ67" s="21">
        <f t="shared" si="116"/>
        <v>0</v>
      </c>
      <c r="FR67" s="21">
        <f t="shared" si="116"/>
        <v>0</v>
      </c>
      <c r="FS67" s="21">
        <f t="shared" si="116"/>
        <v>7</v>
      </c>
      <c r="FT67" s="21">
        <f t="shared" si="116"/>
        <v>14</v>
      </c>
      <c r="FU67" s="21">
        <f t="shared" si="116"/>
        <v>14</v>
      </c>
      <c r="FV67" s="21">
        <f t="shared" si="116"/>
        <v>21</v>
      </c>
      <c r="FW67" s="21">
        <f t="shared" si="116"/>
        <v>28</v>
      </c>
      <c r="FX67" s="21">
        <f t="shared" si="116"/>
        <v>28</v>
      </c>
      <c r="FY67" s="21">
        <f t="shared" si="116"/>
        <v>35</v>
      </c>
      <c r="FZ67" s="21">
        <f t="shared" si="116"/>
        <v>35</v>
      </c>
      <c r="GA67" s="21">
        <f t="shared" si="116"/>
        <v>42</v>
      </c>
      <c r="GB67" s="21">
        <f t="shared" si="116"/>
        <v>49</v>
      </c>
      <c r="GC67" s="21"/>
      <c r="GD67" s="20" t="s">
        <v>779</v>
      </c>
      <c r="GE67" s="21">
        <v>0</v>
      </c>
      <c r="GF67" s="21">
        <f t="shared" si="117"/>
        <v>0</v>
      </c>
      <c r="GG67" s="21">
        <f t="shared" si="117"/>
        <v>0</v>
      </c>
      <c r="GH67" s="21">
        <f t="shared" si="117"/>
        <v>7</v>
      </c>
      <c r="GI67" s="21">
        <f t="shared" si="117"/>
        <v>14</v>
      </c>
      <c r="GJ67" s="21">
        <f t="shared" si="117"/>
        <v>21</v>
      </c>
      <c r="GK67" s="21">
        <f t="shared" si="117"/>
        <v>21</v>
      </c>
      <c r="GL67" s="21">
        <f t="shared" si="117"/>
        <v>28</v>
      </c>
      <c r="GM67" s="21">
        <f t="shared" si="117"/>
        <v>35</v>
      </c>
      <c r="GN67" s="21">
        <f t="shared" si="117"/>
        <v>35</v>
      </c>
      <c r="GO67" s="21">
        <f t="shared" si="117"/>
        <v>42</v>
      </c>
      <c r="GP67" s="21">
        <f t="shared" si="117"/>
        <v>49</v>
      </c>
      <c r="GQ67" s="21">
        <f t="shared" si="117"/>
        <v>49</v>
      </c>
      <c r="GR67" s="21"/>
      <c r="GS67" s="20" t="s">
        <v>779</v>
      </c>
      <c r="GT67" s="21">
        <v>0</v>
      </c>
      <c r="GU67" s="21">
        <f t="shared" si="118"/>
        <v>0</v>
      </c>
      <c r="GV67" s="21">
        <f t="shared" si="118"/>
        <v>0</v>
      </c>
      <c r="GW67" s="21">
        <f t="shared" si="118"/>
        <v>7</v>
      </c>
      <c r="GX67" s="21">
        <f t="shared" si="118"/>
        <v>14</v>
      </c>
      <c r="GY67" s="21">
        <f t="shared" si="118"/>
        <v>21</v>
      </c>
      <c r="GZ67" s="21">
        <f t="shared" si="118"/>
        <v>28</v>
      </c>
      <c r="HA67" s="21">
        <f t="shared" si="118"/>
        <v>28</v>
      </c>
      <c r="HB67" s="21">
        <f t="shared" si="118"/>
        <v>35</v>
      </c>
      <c r="HC67" s="21">
        <f t="shared" si="118"/>
        <v>42</v>
      </c>
      <c r="HD67" s="21">
        <f t="shared" si="118"/>
        <v>42</v>
      </c>
      <c r="HE67" s="21">
        <f t="shared" si="118"/>
        <v>49</v>
      </c>
      <c r="HF67" s="21">
        <f t="shared" si="118"/>
        <v>56</v>
      </c>
      <c r="HG67" s="197"/>
      <c r="HH67" s="21"/>
    </row>
    <row r="68" spans="1:254" x14ac:dyDescent="0.25">
      <c r="A68" s="8"/>
      <c r="B68" s="5" t="s">
        <v>116</v>
      </c>
      <c r="C68" s="8"/>
      <c r="D68" s="6" t="s">
        <v>124</v>
      </c>
      <c r="E68" s="8" t="s">
        <v>125</v>
      </c>
      <c r="F68" s="5"/>
      <c r="G68" s="5"/>
      <c r="H68" s="5"/>
      <c r="I68" s="5"/>
      <c r="J68" s="5"/>
      <c r="K68" s="9"/>
      <c r="L68" s="7" t="str">
        <f>IF(E69=$AC$5,"-------",IF(E69=$AC$6,"-------",IF(E69=$AC$7,"PCB70",IF(E69=$AC$8,"PCS70",0))))</f>
        <v>PCB70</v>
      </c>
      <c r="M68" s="11">
        <f>INDEX(cennik!$C$2:$L$529,MATCH($L68,cennik!$B$2:$B$522,0),MATCH(M$2,cennik!$C$1:$L$1,0))</f>
        <v>751218</v>
      </c>
      <c r="N68" s="11" t="str">
        <f>INDEX(cennik!$C$2:$L$529,MATCH($L68,cennik!$B$2:$B$522,0),MATCH(N$2,cennik!$C$1:$L$1,0))</f>
        <v>szt.</v>
      </c>
      <c r="O68" s="11">
        <f>IF(E69=AC7,SUM(O69:O70),IF(E69=AC8,SUM(O69:O70),IF(E69=AC5,0,IF(E69=AC6,0,0))))</f>
        <v>0</v>
      </c>
      <c r="P68" s="34">
        <f>INDEX(cennik!$C$2:$L$529,MATCH($L68,cennik!$B$2:$B$522,0),MATCH(P$2,cennik!$C$1:$L$1,0))</f>
        <v>116.38</v>
      </c>
      <c r="Q68" s="34">
        <f>O68*P68</f>
        <v>0</v>
      </c>
      <c r="R68" s="35">
        <f t="shared" si="122"/>
        <v>0</v>
      </c>
      <c r="S68" s="34">
        <f t="shared" si="123"/>
        <v>116.38</v>
      </c>
      <c r="T68" s="34">
        <f>O68*S68</f>
        <v>0</v>
      </c>
      <c r="U68" s="34">
        <f>INDEX(cennik!$C$2:$L$529,MATCH($L68,cennik!$B$2:$B$522,0),MATCH(U$2,cennik!$C$1:$L$1,0))*O68</f>
        <v>0</v>
      </c>
      <c r="V68" s="25"/>
      <c r="W68" s="21">
        <f>INDEX(($EL$58:$EX$61,$EL$64:$EX$67,$EL$70:$EX$73,$FA$58:$FM$61,$FA$64:$FM$67,$FA$70:$FM$73,$FP$58:$GB$61,$FP$64:$GB$67,$FP$70:$GB$73,$GE$58:$GQ$61,$GE$64:$GQ$67,$GE$70:$GQ$73,$GT$58:$HF$61,$GT$64:$HF$67),MATCH($L$81,$EK$58:$EK$61,0),MATCH($A69,$EL$57:$EX$57,0),MATCH($E$35,$AE$33:$AE$48,0))*$C69</f>
        <v>0</v>
      </c>
      <c r="X68" s="21">
        <f>INDEX(($EL$58:$EX$61,$EL$64:$EX$67,$EL$70:$EX$73,$FA$58:$FM$61,$FA$64:$FM$67,$FA$70:$FM$73,$FP$58:$GB$61,$FP$64:$GB$67,$FP$70:$GB$73,$GE$58:$GQ$61,$GE$64:$GQ$67,$GE$70:$GQ$73,$GT$58:$HF$61,$GT$64:$HF$67),MATCH($L$78,$EK$58:$EK$61,0),MATCH($A69,$EL$57:$EX$57,0),MATCH($E$35,$AE$33:$AE$48,0))*$C69</f>
        <v>0</v>
      </c>
      <c r="Y68" s="21">
        <f>INDEX(($EL$58:$EX$61,$EL$64:$EX$67,$EL$70:$EX$73,$FA$58:$FM$61,$FA$64:$FM$67,$FA$70:$FM$73,$FP$58:$GB$61,$FP$64:$GB$67,$FP$70:$GB$73,$GE$58:$GQ$61,$GE$64:$GQ$67,$GE$70:$GQ$73,$GT$58:$HF$61,$GT$64:$HF$67),MATCH($L$79,$EK$58:$EK$61,0),MATCH($A69,$EL$57:$EX$57,0),MATCH($E$35,$AE$33:$AE$48,0))*$C69</f>
        <v>0</v>
      </c>
      <c r="Z68" s="21">
        <f>INDEX(($EL$58:$EX$61,$EL$64:$EX$67,$EL$70:$EX$73,$FA$58:$FM$61,$FA$64:$FM$67,$FA$70:$FM$73,$FP$58:$GB$61,$FP$64:$GB$67,$FP$70:$GB$73,$GE$58:$GQ$61,$GE$64:$GQ$67,$GE$70:$GQ$73,$GT$58:$HF$61,$GT$64:$HF$67),MATCH($L$80,$EK$58:$EK$61,0),MATCH($A69,$EL$57:$EX$57,0),MATCH($E$35,$AE$33:$AE$48,0))*$C69</f>
        <v>0</v>
      </c>
      <c r="AA68" s="21">
        <f t="shared" si="106"/>
        <v>0</v>
      </c>
      <c r="AB68" s="21">
        <f t="shared" si="107"/>
        <v>0</v>
      </c>
      <c r="AC68" s="21"/>
      <c r="AD68" s="21"/>
      <c r="AE68" s="21"/>
      <c r="AF68" s="21"/>
      <c r="AG68" s="21"/>
      <c r="AH68" s="21"/>
      <c r="AI68" s="21"/>
      <c r="AJ68" s="21"/>
      <c r="AK68" s="21"/>
      <c r="AL68" s="21"/>
      <c r="AM68" s="21"/>
      <c r="AN68" s="21"/>
      <c r="AO68" s="21"/>
      <c r="AP68" s="21"/>
      <c r="AQ68" s="21"/>
      <c r="AR68" s="21" t="s">
        <v>114</v>
      </c>
      <c r="AS68" s="21" t="s">
        <v>593</v>
      </c>
      <c r="AT68" s="21" t="s">
        <v>151</v>
      </c>
      <c r="AU68" s="21" t="s">
        <v>151</v>
      </c>
      <c r="AV68" s="21" t="s">
        <v>151</v>
      </c>
      <c r="AW68" s="21"/>
      <c r="AX68" s="21"/>
      <c r="AY68" s="21"/>
      <c r="AZ68" s="21"/>
      <c r="BA68" s="21"/>
      <c r="BB68" s="21"/>
      <c r="BC68" s="21"/>
      <c r="BD68" s="21"/>
      <c r="BE68" s="21"/>
      <c r="BF68" s="21"/>
      <c r="BG68" s="21">
        <f t="shared" si="108"/>
        <v>1</v>
      </c>
      <c r="BH68" s="21"/>
      <c r="BI68" s="21"/>
      <c r="BJ68" s="21"/>
      <c r="BK68" s="21"/>
      <c r="BL68" s="21"/>
      <c r="BM68" s="21"/>
      <c r="BN68" s="21"/>
      <c r="BO68" s="21"/>
      <c r="BP68" s="21"/>
      <c r="BQ68" s="21"/>
      <c r="BR68" s="21"/>
      <c r="BS68" s="21"/>
      <c r="BT68" s="21"/>
      <c r="BU68" s="21"/>
      <c r="BV68" s="21"/>
      <c r="BW68" s="21"/>
      <c r="BX68" s="21"/>
      <c r="BY68" s="21"/>
      <c r="BZ68" s="21"/>
      <c r="CA68" s="21"/>
      <c r="CB68" s="21"/>
      <c r="CC68" s="21"/>
      <c r="CD68" s="21"/>
      <c r="CE68" s="21"/>
      <c r="CF68" s="21"/>
      <c r="CG68" s="21"/>
      <c r="CH68" s="21"/>
      <c r="CI68" s="21"/>
      <c r="CJ68" s="21"/>
      <c r="CK68" s="21"/>
      <c r="CL68" s="21"/>
      <c r="CM68" s="21"/>
      <c r="CN68" s="21"/>
      <c r="CO68" s="21"/>
      <c r="CP68" s="21"/>
      <c r="CQ68" s="21"/>
      <c r="CR68" s="21"/>
      <c r="CS68" s="21"/>
      <c r="CT68" s="21"/>
      <c r="CU68" s="21"/>
      <c r="CV68" s="21"/>
      <c r="CW68" s="21"/>
      <c r="CX68" s="21"/>
      <c r="CY68" s="21"/>
      <c r="CZ68" s="21"/>
      <c r="DA68" s="21"/>
      <c r="DB68" s="21"/>
      <c r="DC68" s="21"/>
      <c r="DD68" s="21"/>
      <c r="DE68" s="21"/>
      <c r="DF68" s="21"/>
      <c r="DG68" s="21"/>
      <c r="DH68" s="21"/>
      <c r="DI68" s="21"/>
      <c r="DJ68" s="21"/>
      <c r="DK68" s="21"/>
      <c r="DL68" s="21"/>
      <c r="DM68" s="21"/>
      <c r="DN68" s="21"/>
      <c r="DO68" s="21"/>
      <c r="DP68" s="21"/>
      <c r="DQ68" s="87"/>
      <c r="DR68" s="87">
        <v>78</v>
      </c>
      <c r="DS68" s="87"/>
      <c r="DT68" s="21"/>
      <c r="DU68" s="21"/>
      <c r="DV68" s="21"/>
      <c r="DW68" s="21"/>
      <c r="DX68" s="21"/>
      <c r="DY68" s="21"/>
      <c r="DZ68" s="21"/>
      <c r="EA68" s="21"/>
      <c r="EB68" s="21"/>
      <c r="EC68" s="21"/>
      <c r="ED68" s="21"/>
      <c r="EE68" s="21"/>
      <c r="EF68" s="21"/>
      <c r="EG68" s="21"/>
      <c r="EH68" s="21"/>
      <c r="EI68" s="21"/>
      <c r="EJ68" s="196"/>
      <c r="EK68" s="21"/>
      <c r="EL68" s="21"/>
      <c r="EM68" s="21"/>
      <c r="EN68" s="21"/>
      <c r="EO68" s="21"/>
      <c r="EP68" s="21"/>
      <c r="EQ68" s="21"/>
      <c r="ER68" s="21"/>
      <c r="ES68" s="21"/>
      <c r="ET68" s="21"/>
      <c r="EU68" s="21"/>
      <c r="EV68" s="21"/>
      <c r="EW68" s="21"/>
      <c r="EX68" s="21"/>
      <c r="EY68" s="21"/>
      <c r="EZ68" s="21"/>
      <c r="FA68" s="21"/>
      <c r="FB68" s="21"/>
      <c r="FC68" s="21"/>
      <c r="FD68" s="21"/>
      <c r="FE68" s="21"/>
      <c r="FF68" s="21"/>
      <c r="FG68" s="21"/>
      <c r="FH68" s="21"/>
      <c r="FI68" s="21"/>
      <c r="FJ68" s="21"/>
      <c r="FK68" s="21"/>
      <c r="FL68" s="21"/>
      <c r="FM68" s="21"/>
      <c r="FN68" s="21"/>
      <c r="FO68" s="21"/>
      <c r="FP68" s="21"/>
      <c r="FQ68" s="21"/>
      <c r="FR68" s="21"/>
      <c r="FS68" s="21"/>
      <c r="FT68" s="21"/>
      <c r="FU68" s="21"/>
      <c r="FV68" s="21"/>
      <c r="FW68" s="21"/>
      <c r="FX68" s="21"/>
      <c r="FY68" s="21"/>
      <c r="FZ68" s="21"/>
      <c r="GA68" s="21"/>
      <c r="GB68" s="21"/>
      <c r="GC68" s="21"/>
      <c r="GD68" s="21"/>
      <c r="GE68" s="21"/>
      <c r="GF68" s="21"/>
      <c r="GG68" s="21"/>
      <c r="GH68" s="21"/>
      <c r="GI68" s="21"/>
      <c r="GJ68" s="21"/>
      <c r="GK68" s="21"/>
      <c r="GL68" s="21"/>
      <c r="GM68" s="21"/>
      <c r="GN68" s="21"/>
      <c r="GO68" s="21"/>
      <c r="GP68" s="21"/>
      <c r="GQ68" s="21"/>
      <c r="GR68" s="21"/>
      <c r="GS68" s="21"/>
      <c r="GT68" s="21"/>
      <c r="GU68" s="21"/>
      <c r="GV68" s="21"/>
      <c r="GW68" s="21"/>
      <c r="GX68" s="21"/>
      <c r="GY68" s="21"/>
      <c r="GZ68" s="21"/>
      <c r="HA68" s="21"/>
      <c r="HB68" s="21"/>
      <c r="HC68" s="21"/>
      <c r="HD68" s="21"/>
      <c r="HE68" s="21"/>
      <c r="HF68" s="21"/>
      <c r="HG68" s="197"/>
      <c r="HH68" s="21"/>
    </row>
    <row r="69" spans="1:254" x14ac:dyDescent="0.25">
      <c r="A69" s="8"/>
      <c r="B69" s="5" t="s">
        <v>116</v>
      </c>
      <c r="C69" s="8"/>
      <c r="D69" s="6" t="s">
        <v>307</v>
      </c>
      <c r="E69" s="8" t="s">
        <v>309</v>
      </c>
      <c r="F69" s="5"/>
      <c r="G69" s="5"/>
      <c r="H69" s="5"/>
      <c r="I69" s="5"/>
      <c r="J69" s="5"/>
      <c r="K69" s="9"/>
      <c r="L69" s="7" t="str">
        <f>IF(E69=$AC$5,"CWT70H50/3NMC",IF(E69=$AC$6,"CWT70H50/2NMC",IF(E69=$AC$7,"CWT70H50/1NMC",IF(E69=$AC$8,"CWT70H50/1NMC",0))))</f>
        <v>CWT70H50/1NMC</v>
      </c>
      <c r="M69" s="11">
        <f>INDEX(cennik!$C$2:$L$529,MATCH($L69,cennik!$B$2:$B$522,0),MATCH(M$2,cennik!$C$1:$L$1,0))</f>
        <v>867810</v>
      </c>
      <c r="N69" s="11" t="str">
        <f>INDEX(cennik!$C$2:$L$529,MATCH($L69,cennik!$B$2:$B$522,0),MATCH(N$2,cennik!$C$1:$L$1,0))</f>
        <v>szt.</v>
      </c>
      <c r="O69" s="11">
        <f>SUM(AB63:AB78)</f>
        <v>0</v>
      </c>
      <c r="P69" s="34">
        <f>INDEX(cennik!$C$2:$L$529,MATCH($L69,cennik!$B$2:$B$522,0),MATCH(P$2,cennik!$C$1:$L$1,0))</f>
        <v>50.61</v>
      </c>
      <c r="Q69" s="34">
        <f>O69*P69</f>
        <v>0</v>
      </c>
      <c r="R69" s="35">
        <f t="shared" si="122"/>
        <v>0</v>
      </c>
      <c r="S69" s="34">
        <f t="shared" si="123"/>
        <v>50.61</v>
      </c>
      <c r="T69" s="34">
        <f t="shared" ref="T69:T92" si="124">O69*S69</f>
        <v>0</v>
      </c>
      <c r="U69" s="34">
        <f>INDEX(cennik!$C$2:$L$529,MATCH($L69,cennik!$B$2:$B$522,0),MATCH(U$2,cennik!$C$1:$L$1,0))*O69</f>
        <v>0</v>
      </c>
      <c r="V69" s="25"/>
      <c r="W69" s="21">
        <f>INDEX(($EL$58:$EX$61,$EL$64:$EX$67,$EL$70:$EX$73,$FA$58:$FM$61,$FA$64:$FM$67,$FA$70:$FM$73,$FP$58:$GB$61,$FP$64:$GB$67,$FP$70:$GB$73,$GE$58:$GQ$61,$GE$64:$GQ$67,$GE$70:$GQ$73,$GT$58:$HF$61,$GT$64:$HF$67),MATCH($L$81,$EK$58:$EK$61,0),MATCH($A70,$EL$57:$EX$57,0),MATCH($E$35,$AE$33:$AE$48,0))*$C70</f>
        <v>0</v>
      </c>
      <c r="X69" s="21">
        <f>INDEX(($EL$58:$EX$61,$EL$64:$EX$67,$EL$70:$EX$73,$FA$58:$FM$61,$FA$64:$FM$67,$FA$70:$FM$73,$FP$58:$GB$61,$FP$64:$GB$67,$FP$70:$GB$73,$GE$58:$GQ$61,$GE$64:$GQ$67,$GE$70:$GQ$73,$GT$58:$HF$61,$GT$64:$HF$67),MATCH($L$78,$EK$58:$EK$61,0),MATCH($A70,$EL$57:$EX$57,0),MATCH($E$35,$AE$33:$AE$48,0))*$C70</f>
        <v>0</v>
      </c>
      <c r="Y69" s="21">
        <f>INDEX(($EL$58:$EX$61,$EL$64:$EX$67,$EL$70:$EX$73,$FA$58:$FM$61,$FA$64:$FM$67,$FA$70:$FM$73,$FP$58:$GB$61,$FP$64:$GB$67,$FP$70:$GB$73,$GE$58:$GQ$61,$GE$64:$GQ$67,$GE$70:$GQ$73,$GT$58:$HF$61,$GT$64:$HF$67),MATCH($L$79,$EK$58:$EK$61,0),MATCH($A70,$EL$57:$EX$57,0),MATCH($E$35,$AE$33:$AE$48,0))*$C70</f>
        <v>0</v>
      </c>
      <c r="Z69" s="21">
        <f>INDEX(($EL$58:$EX$61,$EL$64:$EX$67,$EL$70:$EX$73,$FA$58:$FM$61,$FA$64:$FM$67,$FA$70:$FM$73,$FP$58:$GB$61,$FP$64:$GB$67,$FP$70:$GB$73,$GE$58:$GQ$61,$GE$64:$GQ$67,$GE$70:$GQ$73,$GT$58:$HF$61,$GT$64:$HF$67),MATCH($L$80,$EK$58:$EK$61,0),MATCH($A70,$EL$57:$EX$57,0),MATCH($E$35,$AE$33:$AE$48,0))*$C70</f>
        <v>0</v>
      </c>
      <c r="AA69" s="21">
        <f t="shared" si="106"/>
        <v>0</v>
      </c>
      <c r="AB69" s="21">
        <f t="shared" si="107"/>
        <v>0</v>
      </c>
      <c r="AC69" s="21"/>
      <c r="AD69" s="21"/>
      <c r="AE69" s="21"/>
      <c r="AF69" s="21"/>
      <c r="AG69" s="21"/>
      <c r="AH69" s="21"/>
      <c r="AI69" s="21"/>
      <c r="AJ69" s="21"/>
      <c r="AK69" s="21"/>
      <c r="AL69" s="21"/>
      <c r="AM69" s="21"/>
      <c r="AN69" s="21"/>
      <c r="AO69" s="21"/>
      <c r="AP69" s="21"/>
      <c r="AQ69" s="21"/>
      <c r="AR69" s="21" t="s">
        <v>115</v>
      </c>
      <c r="AS69" s="21" t="s">
        <v>593</v>
      </c>
      <c r="AT69" s="21" t="s">
        <v>151</v>
      </c>
      <c r="AU69" s="21" t="s">
        <v>151</v>
      </c>
      <c r="AV69" s="21" t="s">
        <v>151</v>
      </c>
      <c r="AW69" s="21"/>
      <c r="AX69" s="21"/>
      <c r="AY69" s="21"/>
      <c r="AZ69" s="21"/>
      <c r="BA69" s="21"/>
      <c r="BB69" s="21"/>
      <c r="BC69" s="21"/>
      <c r="BD69" s="21"/>
      <c r="BE69" s="21"/>
      <c r="BF69" s="21"/>
      <c r="BG69" s="21">
        <f t="shared" si="108"/>
        <v>1</v>
      </c>
      <c r="BH69" s="21" t="s">
        <v>132</v>
      </c>
      <c r="BI69" s="21">
        <v>0</v>
      </c>
      <c r="BJ69" s="21">
        <v>12</v>
      </c>
      <c r="BK69" s="21">
        <v>18</v>
      </c>
      <c r="BL69" s="21">
        <v>24</v>
      </c>
      <c r="BM69" s="21">
        <v>30</v>
      </c>
      <c r="BN69" s="21">
        <v>36</v>
      </c>
      <c r="BO69" s="21">
        <v>42</v>
      </c>
      <c r="BP69" s="21">
        <v>48</v>
      </c>
      <c r="BQ69" s="21">
        <v>54</v>
      </c>
      <c r="BR69" s="21">
        <v>60</v>
      </c>
      <c r="BS69" s="21">
        <v>66</v>
      </c>
      <c r="BT69" s="21">
        <v>72</v>
      </c>
      <c r="BU69" s="21">
        <v>78</v>
      </c>
      <c r="BV69" s="21"/>
      <c r="BW69" s="21" t="s">
        <v>471</v>
      </c>
      <c r="BX69" s="21">
        <v>0</v>
      </c>
      <c r="BY69" s="21">
        <v>12</v>
      </c>
      <c r="BZ69" s="21">
        <v>18</v>
      </c>
      <c r="CA69" s="21">
        <v>24</v>
      </c>
      <c r="CB69" s="21">
        <v>30</v>
      </c>
      <c r="CC69" s="21">
        <v>36</v>
      </c>
      <c r="CD69" s="21">
        <v>42</v>
      </c>
      <c r="CE69" s="21">
        <v>48</v>
      </c>
      <c r="CF69" s="21">
        <v>54</v>
      </c>
      <c r="CG69" s="21">
        <v>60</v>
      </c>
      <c r="CH69" s="21">
        <v>66</v>
      </c>
      <c r="CI69" s="21">
        <v>72</v>
      </c>
      <c r="CJ69" s="21">
        <v>78</v>
      </c>
      <c r="CK69" s="21"/>
      <c r="CL69" s="21"/>
      <c r="CM69" s="21"/>
      <c r="CN69" s="21" t="s">
        <v>137</v>
      </c>
      <c r="CO69" s="21">
        <v>0</v>
      </c>
      <c r="CP69" s="21">
        <v>12</v>
      </c>
      <c r="CQ69" s="21">
        <v>18</v>
      </c>
      <c r="CR69" s="21">
        <v>24</v>
      </c>
      <c r="CS69" s="21">
        <v>30</v>
      </c>
      <c r="CT69" s="21">
        <v>36</v>
      </c>
      <c r="CU69" s="21">
        <v>42</v>
      </c>
      <c r="CV69" s="21">
        <v>48</v>
      </c>
      <c r="CW69" s="21">
        <v>54</v>
      </c>
      <c r="CX69" s="21">
        <v>60</v>
      </c>
      <c r="CY69" s="21">
        <v>66</v>
      </c>
      <c r="CZ69" s="21">
        <v>72</v>
      </c>
      <c r="DA69" s="21">
        <v>78</v>
      </c>
      <c r="DB69" s="21"/>
      <c r="DC69" s="21" t="s">
        <v>479</v>
      </c>
      <c r="DD69" s="21">
        <v>0</v>
      </c>
      <c r="DE69" s="21">
        <v>12</v>
      </c>
      <c r="DF69" s="21">
        <v>18</v>
      </c>
      <c r="DG69" s="21">
        <v>24</v>
      </c>
      <c r="DH69" s="21">
        <v>30</v>
      </c>
      <c r="DI69" s="21">
        <v>36</v>
      </c>
      <c r="DJ69" s="21">
        <v>42</v>
      </c>
      <c r="DK69" s="21">
        <v>48</v>
      </c>
      <c r="DL69" s="21">
        <v>54</v>
      </c>
      <c r="DM69" s="21">
        <v>60</v>
      </c>
      <c r="DN69" s="21">
        <v>66</v>
      </c>
      <c r="DO69" s="21">
        <v>72</v>
      </c>
      <c r="DP69" s="21">
        <v>78</v>
      </c>
      <c r="DQ69" s="87"/>
      <c r="DR69" s="87"/>
      <c r="DS69" s="87"/>
      <c r="DT69" s="21"/>
      <c r="DU69" s="21"/>
      <c r="DV69" s="21"/>
      <c r="DW69" s="21"/>
      <c r="DX69" s="21"/>
      <c r="DY69" s="21"/>
      <c r="DZ69" s="21"/>
      <c r="EA69" s="21"/>
      <c r="EB69" s="21"/>
      <c r="EC69" s="21"/>
      <c r="ED69" s="21"/>
      <c r="EE69" s="21"/>
      <c r="EF69" s="21"/>
      <c r="EG69" s="21"/>
      <c r="EH69" s="21"/>
      <c r="EI69" s="21"/>
      <c r="EJ69" s="196"/>
      <c r="EK69" s="21" t="s">
        <v>132</v>
      </c>
      <c r="EL69" s="21">
        <v>0</v>
      </c>
      <c r="EM69" s="21">
        <v>12</v>
      </c>
      <c r="EN69" s="21">
        <v>18</v>
      </c>
      <c r="EO69" s="21">
        <v>24</v>
      </c>
      <c r="EP69" s="21">
        <v>30</v>
      </c>
      <c r="EQ69" s="21">
        <v>36</v>
      </c>
      <c r="ER69" s="21">
        <v>42</v>
      </c>
      <c r="ES69" s="21">
        <v>48</v>
      </c>
      <c r="ET69" s="21">
        <v>54</v>
      </c>
      <c r="EU69" s="21">
        <v>60</v>
      </c>
      <c r="EV69" s="21">
        <v>66</v>
      </c>
      <c r="EW69" s="21">
        <v>72</v>
      </c>
      <c r="EX69" s="21">
        <v>78</v>
      </c>
      <c r="EY69" s="21"/>
      <c r="EZ69" s="21" t="s">
        <v>471</v>
      </c>
      <c r="FA69" s="21">
        <v>0</v>
      </c>
      <c r="FB69" s="21">
        <v>12</v>
      </c>
      <c r="FC69" s="21">
        <v>18</v>
      </c>
      <c r="FD69" s="21">
        <v>24</v>
      </c>
      <c r="FE69" s="21">
        <v>30</v>
      </c>
      <c r="FF69" s="21">
        <v>36</v>
      </c>
      <c r="FG69" s="21">
        <v>42</v>
      </c>
      <c r="FH69" s="21">
        <v>48</v>
      </c>
      <c r="FI69" s="21">
        <v>54</v>
      </c>
      <c r="FJ69" s="21">
        <v>60</v>
      </c>
      <c r="FK69" s="21">
        <v>66</v>
      </c>
      <c r="FL69" s="21">
        <v>72</v>
      </c>
      <c r="FM69" s="21">
        <v>78</v>
      </c>
      <c r="FN69" s="21"/>
      <c r="FO69" s="21" t="s">
        <v>137</v>
      </c>
      <c r="FP69" s="21">
        <v>0</v>
      </c>
      <c r="FQ69" s="21">
        <v>12</v>
      </c>
      <c r="FR69" s="21">
        <v>18</v>
      </c>
      <c r="FS69" s="21">
        <v>24</v>
      </c>
      <c r="FT69" s="21">
        <v>30</v>
      </c>
      <c r="FU69" s="21">
        <v>36</v>
      </c>
      <c r="FV69" s="21">
        <v>42</v>
      </c>
      <c r="FW69" s="21">
        <v>48</v>
      </c>
      <c r="FX69" s="21">
        <v>54</v>
      </c>
      <c r="FY69" s="21">
        <v>60</v>
      </c>
      <c r="FZ69" s="21">
        <v>66</v>
      </c>
      <c r="GA69" s="21">
        <v>72</v>
      </c>
      <c r="GB69" s="21">
        <v>78</v>
      </c>
      <c r="GC69" s="21"/>
      <c r="GD69" s="21" t="s">
        <v>479</v>
      </c>
      <c r="GE69" s="21">
        <v>0</v>
      </c>
      <c r="GF69" s="21">
        <v>12</v>
      </c>
      <c r="GG69" s="21">
        <v>18</v>
      </c>
      <c r="GH69" s="21">
        <v>24</v>
      </c>
      <c r="GI69" s="21">
        <v>30</v>
      </c>
      <c r="GJ69" s="21">
        <v>36</v>
      </c>
      <c r="GK69" s="21">
        <v>42</v>
      </c>
      <c r="GL69" s="21">
        <v>48</v>
      </c>
      <c r="GM69" s="21">
        <v>54</v>
      </c>
      <c r="GN69" s="21">
        <v>60</v>
      </c>
      <c r="GO69" s="21">
        <v>66</v>
      </c>
      <c r="GP69" s="21">
        <v>72</v>
      </c>
      <c r="GQ69" s="21">
        <v>78</v>
      </c>
      <c r="GR69" s="21"/>
      <c r="GS69" s="21"/>
      <c r="GT69" s="21"/>
      <c r="GU69" s="21"/>
      <c r="GV69" s="21"/>
      <c r="GW69" s="21"/>
      <c r="GX69" s="21"/>
      <c r="GY69" s="21"/>
      <c r="GZ69" s="21"/>
      <c r="HA69" s="21"/>
      <c r="HB69" s="21"/>
      <c r="HC69" s="21"/>
      <c r="HD69" s="21"/>
      <c r="HE69" s="21"/>
      <c r="HF69" s="21"/>
      <c r="HG69" s="197"/>
      <c r="HH69" s="21"/>
    </row>
    <row r="70" spans="1:254" x14ac:dyDescent="0.25">
      <c r="A70" s="8"/>
      <c r="B70" s="5" t="s">
        <v>116</v>
      </c>
      <c r="C70" s="8"/>
      <c r="D70" s="6" t="s">
        <v>315</v>
      </c>
      <c r="E70" s="8">
        <v>0</v>
      </c>
      <c r="F70" s="5"/>
      <c r="G70" s="5"/>
      <c r="H70" s="5"/>
      <c r="I70" s="5"/>
      <c r="J70" s="5" t="s">
        <v>412</v>
      </c>
      <c r="K70" s="9"/>
      <c r="L70" s="6" t="str">
        <f>INDEX((AS62:AV64),MATCH(G67,AR62:AR64,0),MATCH(E69,AS61:AV61,0))</f>
        <v>CWT70H50/3NMC</v>
      </c>
      <c r="M70" s="11">
        <f>INDEX(cennik!$C$2:$L$529,MATCH($L70,cennik!$B$2:$B$522,0),MATCH(M$2,cennik!$C$1:$L$1,0))</f>
        <v>867830</v>
      </c>
      <c r="N70" s="11" t="str">
        <f>INDEX(cennik!$C$2:$L$529,MATCH($L70,cennik!$B$2:$B$522,0),MATCH(N$2,cennik!$C$1:$L$1,0))</f>
        <v>szt.</v>
      </c>
      <c r="O70" s="11">
        <f>O69</f>
        <v>0</v>
      </c>
      <c r="P70" s="34">
        <f>INDEX(cennik!$C$2:$L$529,MATCH($L70,cennik!$B$2:$B$522,0),MATCH(P$2,cennik!$C$1:$L$1,0))</f>
        <v>151.83000000000001</v>
      </c>
      <c r="Q70" s="34">
        <f t="shared" ref="Q70:Q92" si="125">O70*P70</f>
        <v>0</v>
      </c>
      <c r="R70" s="35">
        <f t="shared" si="122"/>
        <v>0</v>
      </c>
      <c r="S70" s="34">
        <f t="shared" si="123"/>
        <v>151.83000000000001</v>
      </c>
      <c r="T70" s="34">
        <f t="shared" si="124"/>
        <v>0</v>
      </c>
      <c r="U70" s="34">
        <f>INDEX(cennik!$C$2:$L$529,MATCH($L70,cennik!$B$2:$B$522,0),MATCH(U$2,cennik!$C$1:$L$1,0))*O70</f>
        <v>0</v>
      </c>
      <c r="V70" s="25"/>
      <c r="W70" s="21">
        <f>INDEX(($EL$58:$EX$61,$EL$64:$EX$67,$EL$70:$EX$73,$FA$58:$FM$61,$FA$64:$FM$67,$FA$70:$FM$73,$FP$58:$GB$61,$FP$64:$GB$67,$FP$70:$GB$73,$GE$58:$GQ$61,$GE$64:$GQ$67,$GE$70:$GQ$73,$GT$58:$HF$61,$GT$64:$HF$67),MATCH($L$81,$EK$58:$EK$61,0),MATCH($A71,$EL$57:$EX$57,0),MATCH($E$35,$AE$33:$AE$48,0))*$C71</f>
        <v>0</v>
      </c>
      <c r="X70" s="21">
        <f>INDEX(($EL$58:$EX$61,$EL$64:$EX$67,$EL$70:$EX$73,$FA$58:$FM$61,$FA$64:$FM$67,$FA$70:$FM$73,$FP$58:$GB$61,$FP$64:$GB$67,$FP$70:$GB$73,$GE$58:$GQ$61,$GE$64:$GQ$67,$GE$70:$GQ$73,$GT$58:$HF$61,$GT$64:$HF$67),MATCH($L$78,$EK$58:$EK$61,0),MATCH($A71,$EL$57:$EX$57,0),MATCH($E$35,$AE$33:$AE$48,0))*$C71</f>
        <v>0</v>
      </c>
      <c r="Y70" s="21">
        <f>INDEX(($EL$58:$EX$61,$EL$64:$EX$67,$EL$70:$EX$73,$FA$58:$FM$61,$FA$64:$FM$67,$FA$70:$FM$73,$FP$58:$GB$61,$FP$64:$GB$67,$FP$70:$GB$73,$GE$58:$GQ$61,$GE$64:$GQ$67,$GE$70:$GQ$73,$GT$58:$HF$61,$GT$64:$HF$67),MATCH($L$79,$EK$58:$EK$61,0),MATCH($A71,$EL$57:$EX$57,0),MATCH($E$35,$AE$33:$AE$48,0))*$C71</f>
        <v>0</v>
      </c>
      <c r="Z70" s="21">
        <f>INDEX(($EL$58:$EX$61,$EL$64:$EX$67,$EL$70:$EX$73,$FA$58:$FM$61,$FA$64:$FM$67,$FA$70:$FM$73,$FP$58:$GB$61,$FP$64:$GB$67,$FP$70:$GB$73,$GE$58:$GQ$61,$GE$64:$GQ$67,$GE$70:$GQ$73,$GT$58:$HF$61,$GT$64:$HF$67),MATCH($L$80,$EK$58:$EK$61,0),MATCH($A71,$EL$57:$EX$57,0),MATCH($E$35,$AE$33:$AE$48,0))*$C71</f>
        <v>0</v>
      </c>
      <c r="AA70" s="21">
        <f t="shared" si="106"/>
        <v>0</v>
      </c>
      <c r="AB70" s="21">
        <f t="shared" si="107"/>
        <v>0</v>
      </c>
      <c r="AC70" s="21"/>
      <c r="AD70" s="21"/>
      <c r="AE70" s="21"/>
      <c r="AF70" s="21"/>
      <c r="AG70" s="21"/>
      <c r="AH70" s="21"/>
      <c r="AI70" s="21"/>
      <c r="AJ70" s="21"/>
      <c r="AK70" s="21"/>
      <c r="AL70" s="21"/>
      <c r="AM70" s="21"/>
      <c r="AN70" s="21"/>
      <c r="AO70" s="21"/>
      <c r="AP70" s="21"/>
      <c r="AQ70" s="21"/>
      <c r="AR70" s="21" t="s">
        <v>474</v>
      </c>
      <c r="AS70" s="21" t="s">
        <v>593</v>
      </c>
      <c r="AT70" s="21" t="s">
        <v>151</v>
      </c>
      <c r="AU70" s="21" t="s">
        <v>151</v>
      </c>
      <c r="AV70" s="21" t="s">
        <v>151</v>
      </c>
      <c r="AW70" s="21"/>
      <c r="AX70" s="21"/>
      <c r="AY70" s="21"/>
      <c r="AZ70" s="21"/>
      <c r="BA70" s="21"/>
      <c r="BB70" s="21"/>
      <c r="BC70" s="21"/>
      <c r="BD70" s="21"/>
      <c r="BE70" s="21"/>
      <c r="BF70" s="21"/>
      <c r="BG70" s="21">
        <f t="shared" si="108"/>
        <v>1</v>
      </c>
      <c r="BH70" s="21" t="s">
        <v>217</v>
      </c>
      <c r="BI70" s="21">
        <v>0</v>
      </c>
      <c r="BJ70" s="21">
        <f>IF(BJ15=0,0,IF(BJ15=5,7,IF(BJ15=10,14,IF(BJ15=15,21,IF(BJ15=20,28,0)))))</f>
        <v>0</v>
      </c>
      <c r="BK70" s="21">
        <f t="shared" ref="BK70:BU70" si="126">IF(BK15=0,0,IF(BK15=5,7,IF(BK15=10,14,IF(BK15=15,21,IF(BK15=20,28,0)))))</f>
        <v>7</v>
      </c>
      <c r="BL70" s="21">
        <f t="shared" si="126"/>
        <v>7</v>
      </c>
      <c r="BM70" s="21">
        <f t="shared" si="126"/>
        <v>0</v>
      </c>
      <c r="BN70" s="21">
        <f t="shared" si="126"/>
        <v>7</v>
      </c>
      <c r="BO70" s="21">
        <f t="shared" si="126"/>
        <v>0</v>
      </c>
      <c r="BP70" s="21">
        <f t="shared" si="126"/>
        <v>7</v>
      </c>
      <c r="BQ70" s="21">
        <f t="shared" si="126"/>
        <v>7</v>
      </c>
      <c r="BR70" s="21">
        <f t="shared" si="126"/>
        <v>14</v>
      </c>
      <c r="BS70" s="21">
        <f t="shared" si="126"/>
        <v>21</v>
      </c>
      <c r="BT70" s="21">
        <f t="shared" si="126"/>
        <v>14</v>
      </c>
      <c r="BU70" s="21">
        <f t="shared" si="126"/>
        <v>21</v>
      </c>
      <c r="BV70" s="21"/>
      <c r="BW70" s="21" t="s">
        <v>217</v>
      </c>
      <c r="BX70" s="21">
        <v>0</v>
      </c>
      <c r="BY70" s="21">
        <f t="shared" ref="BY70:CJ73" si="127">IF(BY15=0,0,IF(BY15=5,7,IF(BY15=10,14,IF(BY15=15,21,IF(BY15=20,28,0)))))</f>
        <v>0</v>
      </c>
      <c r="BZ70" s="21">
        <f t="shared" si="127"/>
        <v>7</v>
      </c>
      <c r="CA70" s="21">
        <f t="shared" si="127"/>
        <v>0</v>
      </c>
      <c r="CB70" s="21">
        <f t="shared" si="127"/>
        <v>7</v>
      </c>
      <c r="CC70" s="21">
        <f t="shared" si="127"/>
        <v>0</v>
      </c>
      <c r="CD70" s="21">
        <f t="shared" si="127"/>
        <v>14</v>
      </c>
      <c r="CE70" s="21">
        <f t="shared" si="127"/>
        <v>7</v>
      </c>
      <c r="CF70" s="21">
        <f t="shared" si="127"/>
        <v>14</v>
      </c>
      <c r="CG70" s="21">
        <f t="shared" si="127"/>
        <v>7</v>
      </c>
      <c r="CH70" s="21">
        <f t="shared" si="127"/>
        <v>14</v>
      </c>
      <c r="CI70" s="21">
        <f t="shared" si="127"/>
        <v>21</v>
      </c>
      <c r="CJ70" s="21">
        <f t="shared" si="127"/>
        <v>14</v>
      </c>
      <c r="CK70" s="21"/>
      <c r="CL70" s="21"/>
      <c r="CM70" s="21"/>
      <c r="CN70" s="21" t="s">
        <v>217</v>
      </c>
      <c r="CO70" s="21">
        <v>0</v>
      </c>
      <c r="CP70" s="21">
        <f t="shared" ref="CP70:DA73" si="128">IF(CP15=0,0,IF(CP15=5,7,IF(CP15=10,14,IF(CP15=15,21,IF(CP15=20,28,0)))))</f>
        <v>0</v>
      </c>
      <c r="CQ70" s="21">
        <f t="shared" si="128"/>
        <v>7</v>
      </c>
      <c r="CR70" s="21">
        <f t="shared" si="128"/>
        <v>0</v>
      </c>
      <c r="CS70" s="21">
        <f t="shared" si="128"/>
        <v>7</v>
      </c>
      <c r="CT70" s="21">
        <f t="shared" si="128"/>
        <v>0</v>
      </c>
      <c r="CU70" s="21">
        <f t="shared" si="128"/>
        <v>7</v>
      </c>
      <c r="CV70" s="21">
        <f t="shared" si="128"/>
        <v>14</v>
      </c>
      <c r="CW70" s="21">
        <f t="shared" si="128"/>
        <v>7</v>
      </c>
      <c r="CX70" s="21">
        <f t="shared" si="128"/>
        <v>14</v>
      </c>
      <c r="CY70" s="21">
        <f t="shared" si="128"/>
        <v>21</v>
      </c>
      <c r="CZ70" s="21">
        <f t="shared" si="128"/>
        <v>21</v>
      </c>
      <c r="DA70" s="21">
        <f t="shared" si="128"/>
        <v>28</v>
      </c>
      <c r="DB70" s="21"/>
      <c r="DC70" s="21" t="s">
        <v>217</v>
      </c>
      <c r="DD70" s="21">
        <v>0</v>
      </c>
      <c r="DE70" s="21">
        <f>IF(DE15=0,0,IF(DE15=5,7,IF(DE15=10,14,IF(DE15=15,21,IF(DE15=20,28,0)))))</f>
        <v>0</v>
      </c>
      <c r="DF70" s="21">
        <f t="shared" ref="DF70:DP70" si="129">IF(DF15=0,0,IF(DF15=5,7,IF(DF15=10,14,IF(DF15=15,21,IF(DF15=20,28,0)))))</f>
        <v>7</v>
      </c>
      <c r="DG70" s="21">
        <f t="shared" si="129"/>
        <v>0</v>
      </c>
      <c r="DH70" s="21">
        <f t="shared" si="129"/>
        <v>0</v>
      </c>
      <c r="DI70" s="21">
        <f t="shared" si="129"/>
        <v>14</v>
      </c>
      <c r="DJ70" s="21">
        <f t="shared" si="129"/>
        <v>7</v>
      </c>
      <c r="DK70" s="21">
        <f t="shared" si="129"/>
        <v>14</v>
      </c>
      <c r="DL70" s="21">
        <f t="shared" si="129"/>
        <v>14</v>
      </c>
      <c r="DM70" s="21">
        <f t="shared" si="129"/>
        <v>14</v>
      </c>
      <c r="DN70" s="21">
        <f t="shared" si="129"/>
        <v>21</v>
      </c>
      <c r="DO70" s="21">
        <f t="shared" si="129"/>
        <v>28</v>
      </c>
      <c r="DP70" s="21">
        <f t="shared" si="129"/>
        <v>28</v>
      </c>
      <c r="DQ70" s="87"/>
      <c r="DR70" s="87"/>
      <c r="DS70" s="87"/>
      <c r="DT70" s="21"/>
      <c r="DU70" s="21"/>
      <c r="DV70" s="21"/>
      <c r="DW70" s="21"/>
      <c r="DX70" s="21"/>
      <c r="DY70" s="21"/>
      <c r="DZ70" s="21"/>
      <c r="EA70" s="21"/>
      <c r="EB70" s="21"/>
      <c r="EC70" s="21"/>
      <c r="ED70" s="21"/>
      <c r="EE70" s="21"/>
      <c r="EF70" s="21"/>
      <c r="EG70" s="21"/>
      <c r="EH70" s="21"/>
      <c r="EI70" s="21"/>
      <c r="EJ70" s="196"/>
      <c r="EK70" s="21" t="s">
        <v>586</v>
      </c>
      <c r="EL70" s="21">
        <v>0</v>
      </c>
      <c r="EM70" s="21">
        <f t="shared" ref="EM70:EX73" si="130">EM15/5*7</f>
        <v>0</v>
      </c>
      <c r="EN70" s="21">
        <f t="shared" si="130"/>
        <v>7</v>
      </c>
      <c r="EO70" s="21">
        <f t="shared" si="130"/>
        <v>7</v>
      </c>
      <c r="EP70" s="21">
        <f t="shared" si="130"/>
        <v>0</v>
      </c>
      <c r="EQ70" s="21">
        <f t="shared" si="130"/>
        <v>0</v>
      </c>
      <c r="ER70" s="21">
        <f t="shared" si="130"/>
        <v>0</v>
      </c>
      <c r="ES70" s="21">
        <f t="shared" si="130"/>
        <v>0</v>
      </c>
      <c r="ET70" s="21">
        <f t="shared" si="130"/>
        <v>0</v>
      </c>
      <c r="EU70" s="21">
        <f t="shared" si="130"/>
        <v>0</v>
      </c>
      <c r="EV70" s="21">
        <f t="shared" si="130"/>
        <v>0</v>
      </c>
      <c r="EW70" s="21">
        <f t="shared" si="130"/>
        <v>0</v>
      </c>
      <c r="EX70" s="21">
        <f t="shared" si="130"/>
        <v>0</v>
      </c>
      <c r="EZ70" s="21" t="s">
        <v>586</v>
      </c>
      <c r="FA70" s="21">
        <v>0</v>
      </c>
      <c r="FB70" s="21">
        <f t="shared" ref="FB70:FM73" si="131">FB15/5*7</f>
        <v>0</v>
      </c>
      <c r="FC70" s="21">
        <f t="shared" si="131"/>
        <v>7</v>
      </c>
      <c r="FD70" s="21">
        <f t="shared" si="131"/>
        <v>0</v>
      </c>
      <c r="FE70" s="21">
        <f t="shared" si="131"/>
        <v>0</v>
      </c>
      <c r="FF70" s="21">
        <f t="shared" si="131"/>
        <v>0</v>
      </c>
      <c r="FG70" s="21">
        <f t="shared" si="131"/>
        <v>0</v>
      </c>
      <c r="FH70" s="21">
        <f t="shared" si="131"/>
        <v>0</v>
      </c>
      <c r="FI70" s="21">
        <f t="shared" si="131"/>
        <v>0</v>
      </c>
      <c r="FJ70" s="21">
        <f t="shared" si="131"/>
        <v>0</v>
      </c>
      <c r="FK70" s="21">
        <f t="shared" si="131"/>
        <v>0</v>
      </c>
      <c r="FL70" s="21">
        <f t="shared" si="131"/>
        <v>0</v>
      </c>
      <c r="FM70" s="21">
        <f t="shared" si="131"/>
        <v>0</v>
      </c>
      <c r="FO70" s="21" t="s">
        <v>586</v>
      </c>
      <c r="FP70" s="21">
        <v>0</v>
      </c>
      <c r="FQ70" s="21">
        <f t="shared" ref="FQ70:GB73" si="132">FQ15/5*7</f>
        <v>0</v>
      </c>
      <c r="FR70" s="21">
        <f t="shared" si="132"/>
        <v>7</v>
      </c>
      <c r="FS70" s="21">
        <f t="shared" si="132"/>
        <v>0</v>
      </c>
      <c r="FT70" s="21">
        <f t="shared" si="132"/>
        <v>0</v>
      </c>
      <c r="FU70" s="21">
        <f t="shared" si="132"/>
        <v>0</v>
      </c>
      <c r="FV70" s="21">
        <f t="shared" si="132"/>
        <v>0</v>
      </c>
      <c r="FW70" s="21">
        <f t="shared" si="132"/>
        <v>0</v>
      </c>
      <c r="FX70" s="21">
        <f t="shared" si="132"/>
        <v>0</v>
      </c>
      <c r="FY70" s="21">
        <f t="shared" si="132"/>
        <v>0</v>
      </c>
      <c r="FZ70" s="21">
        <f t="shared" si="132"/>
        <v>0</v>
      </c>
      <c r="GA70" s="21">
        <f t="shared" si="132"/>
        <v>0</v>
      </c>
      <c r="GB70" s="21">
        <f t="shared" si="132"/>
        <v>0</v>
      </c>
      <c r="GD70" s="21" t="s">
        <v>586</v>
      </c>
      <c r="GE70" s="21">
        <v>0</v>
      </c>
      <c r="GF70" s="21">
        <f t="shared" ref="GF70:GQ73" si="133">GF15/5*7</f>
        <v>0</v>
      </c>
      <c r="GG70" s="21">
        <f t="shared" si="133"/>
        <v>7</v>
      </c>
      <c r="GH70" s="21">
        <f t="shared" si="133"/>
        <v>0</v>
      </c>
      <c r="GI70" s="21">
        <f t="shared" si="133"/>
        <v>0</v>
      </c>
      <c r="GJ70" s="21">
        <f t="shared" si="133"/>
        <v>0</v>
      </c>
      <c r="GK70" s="21">
        <f t="shared" si="133"/>
        <v>0</v>
      </c>
      <c r="GL70" s="21">
        <f t="shared" si="133"/>
        <v>0</v>
      </c>
      <c r="GM70" s="21">
        <f t="shared" si="133"/>
        <v>0</v>
      </c>
      <c r="GN70" s="21">
        <f t="shared" si="133"/>
        <v>0</v>
      </c>
      <c r="GO70" s="21">
        <f t="shared" si="133"/>
        <v>0</v>
      </c>
      <c r="GP70" s="21">
        <f t="shared" si="133"/>
        <v>0</v>
      </c>
      <c r="GQ70" s="21">
        <f t="shared" si="133"/>
        <v>0</v>
      </c>
      <c r="GR70" s="21"/>
      <c r="GS70" s="21"/>
      <c r="GT70" s="21"/>
      <c r="GU70" s="21"/>
      <c r="GV70" s="21"/>
      <c r="GW70" s="21"/>
      <c r="GX70" s="21"/>
      <c r="GY70" s="21"/>
      <c r="GZ70" s="21"/>
      <c r="HA70" s="21"/>
      <c r="HB70" s="21"/>
      <c r="HC70" s="21"/>
      <c r="HD70" s="21"/>
      <c r="HE70" s="21"/>
      <c r="HF70" s="21"/>
      <c r="HG70" s="197"/>
      <c r="HH70" s="21"/>
    </row>
    <row r="71" spans="1:254" x14ac:dyDescent="0.25">
      <c r="A71" s="8"/>
      <c r="B71" s="5" t="s">
        <v>116</v>
      </c>
      <c r="C71" s="8"/>
      <c r="D71" s="6" t="s">
        <v>162</v>
      </c>
      <c r="E71" s="8">
        <v>0</v>
      </c>
      <c r="F71" s="5"/>
      <c r="G71" s="5"/>
      <c r="H71" s="5"/>
      <c r="I71" s="5"/>
      <c r="J71" s="5" t="s">
        <v>163</v>
      </c>
      <c r="K71" s="9"/>
      <c r="L71" s="6" t="str">
        <f>INDEX((AS68:AV70),MATCH(G67,AR68:AR70,0),MATCH(E69,AS67:AV67,0))</f>
        <v>-------</v>
      </c>
      <c r="M71" s="11" t="str">
        <f>INDEX(cennik!$C$2:$L$529,MATCH($L71,cennik!$B$2:$B$522,0),MATCH(M$2,cennik!$C$1:$L$1,0))</f>
        <v>-------</v>
      </c>
      <c r="N71" s="11">
        <f>INDEX(cennik!$C$2:$L$529,MATCH($L71,cennik!$B$2:$B$522,0),MATCH(N$2,cennik!$C$1:$L$1,0))</f>
        <v>0</v>
      </c>
      <c r="O71" s="11">
        <f>IF(L71="CWT70H50/2NMC",O70,IF(L71="CWT70H50/2,4NMC",O70,0))</f>
        <v>0</v>
      </c>
      <c r="P71" s="34">
        <f>INDEX(cennik!$C$2:$L$529,MATCH($L71,cennik!$B$2:$B$522,0),MATCH(P$2,cennik!$C$1:$L$1,0))</f>
        <v>0</v>
      </c>
      <c r="Q71" s="34">
        <f t="shared" si="125"/>
        <v>0</v>
      </c>
      <c r="R71" s="35">
        <f t="shared" si="122"/>
        <v>0</v>
      </c>
      <c r="S71" s="34">
        <f t="shared" si="123"/>
        <v>0</v>
      </c>
      <c r="T71" s="34">
        <f t="shared" si="124"/>
        <v>0</v>
      </c>
      <c r="U71" s="34">
        <f>INDEX(cennik!$C$2:$L$529,MATCH($L71,cennik!$B$2:$B$522,0),MATCH(U$2,cennik!$C$1:$L$1,0))*O71</f>
        <v>0</v>
      </c>
      <c r="V71" s="25"/>
      <c r="W71" s="21">
        <f>INDEX(($EL$58:$EX$61,$EL$64:$EX$67,$EL$70:$EX$73,$FA$58:$FM$61,$FA$64:$FM$67,$FA$70:$FM$73,$FP$58:$GB$61,$FP$64:$GB$67,$FP$70:$GB$73,$GE$58:$GQ$61,$GE$64:$GQ$67,$GE$70:$GQ$73,$GT$58:$HF$61,$GT$64:$HF$67),MATCH($L$81,$EK$58:$EK$61,0),MATCH($A72,$EL$57:$EX$57,0),MATCH($E$35,$AE$33:$AE$48,0))*$C72</f>
        <v>0</v>
      </c>
      <c r="X71" s="21">
        <f>INDEX(($EL$58:$EX$61,$EL$64:$EX$67,$EL$70:$EX$73,$FA$58:$FM$61,$FA$64:$FM$67,$FA$70:$FM$73,$FP$58:$GB$61,$FP$64:$GB$67,$FP$70:$GB$73,$GE$58:$GQ$61,$GE$64:$GQ$67,$GE$70:$GQ$73,$GT$58:$HF$61,$GT$64:$HF$67),MATCH($L$78,$EK$58:$EK$61,0),MATCH($A72,$EL$57:$EX$57,0),MATCH($E$35,$AE$33:$AE$48,0))*$C72</f>
        <v>0</v>
      </c>
      <c r="Y71" s="21">
        <f>INDEX(($EL$58:$EX$61,$EL$64:$EX$67,$EL$70:$EX$73,$FA$58:$FM$61,$FA$64:$FM$67,$FA$70:$FM$73,$FP$58:$GB$61,$FP$64:$GB$67,$FP$70:$GB$73,$GE$58:$GQ$61,$GE$64:$GQ$67,$GE$70:$GQ$73,$GT$58:$HF$61,$GT$64:$HF$67),MATCH($L$79,$EK$58:$EK$61,0),MATCH($A72,$EL$57:$EX$57,0),MATCH($E$35,$AE$33:$AE$48,0))*$C72</f>
        <v>0</v>
      </c>
      <c r="Z71" s="21">
        <f>INDEX(($EL$58:$EX$61,$EL$64:$EX$67,$EL$70:$EX$73,$FA$58:$FM$61,$FA$64:$FM$67,$FA$70:$FM$73,$FP$58:$GB$61,$FP$64:$GB$67,$FP$70:$GB$73,$GE$58:$GQ$61,$GE$64:$GQ$67,$GE$70:$GQ$73,$GT$58:$HF$61,$GT$64:$HF$67),MATCH($L$80,$EK$58:$EK$61,0),MATCH($A72,$EL$57:$EX$57,0),MATCH($E$35,$AE$33:$AE$48,0))*$C72</f>
        <v>0</v>
      </c>
      <c r="AA71" s="21">
        <f t="shared" si="106"/>
        <v>0</v>
      </c>
      <c r="AB71" s="21">
        <f t="shared" si="107"/>
        <v>0</v>
      </c>
      <c r="AC71" s="21"/>
      <c r="AD71" s="21"/>
      <c r="AE71" s="21"/>
      <c r="AF71" s="21"/>
      <c r="AG71" s="21"/>
      <c r="AH71" s="21"/>
      <c r="AI71" s="21"/>
      <c r="AJ71" s="21"/>
      <c r="AK71" s="21"/>
      <c r="AL71" s="21"/>
      <c r="AM71" s="21"/>
      <c r="AN71" s="21"/>
      <c r="AO71" s="21"/>
      <c r="AP71" s="21"/>
      <c r="AQ71" s="21"/>
      <c r="AW71" s="21"/>
      <c r="AX71" s="21"/>
      <c r="AY71" s="21"/>
      <c r="AZ71" s="21"/>
      <c r="BA71" s="21"/>
      <c r="BB71" s="21"/>
      <c r="BC71" s="21"/>
      <c r="BD71" s="21"/>
      <c r="BE71" s="21"/>
      <c r="BF71" s="21"/>
      <c r="BG71" s="21">
        <f t="shared" si="108"/>
        <v>1</v>
      </c>
      <c r="BH71" s="21" t="s">
        <v>216</v>
      </c>
      <c r="BI71" s="21">
        <v>0</v>
      </c>
      <c r="BJ71" s="21">
        <f t="shared" ref="BJ71:BU73" si="134">IF(BJ16=0,0,IF(BJ16=5,7,IF(BJ16=10,14,IF(BJ16=15,21,IF(BJ16=20,28,0)))))</f>
        <v>0</v>
      </c>
      <c r="BK71" s="21">
        <f t="shared" si="134"/>
        <v>0</v>
      </c>
      <c r="BL71" s="21">
        <f t="shared" si="134"/>
        <v>0</v>
      </c>
      <c r="BM71" s="21">
        <f t="shared" si="134"/>
        <v>14</v>
      </c>
      <c r="BN71" s="21">
        <f t="shared" si="134"/>
        <v>0</v>
      </c>
      <c r="BO71" s="21">
        <f t="shared" si="134"/>
        <v>14</v>
      </c>
      <c r="BP71" s="21">
        <f t="shared" si="134"/>
        <v>14</v>
      </c>
      <c r="BQ71" s="21">
        <f t="shared" si="134"/>
        <v>14</v>
      </c>
      <c r="BR71" s="21">
        <f t="shared" si="134"/>
        <v>7</v>
      </c>
      <c r="BS71" s="21">
        <f t="shared" si="134"/>
        <v>0</v>
      </c>
      <c r="BT71" s="21">
        <f t="shared" si="134"/>
        <v>7</v>
      </c>
      <c r="BU71" s="21">
        <f t="shared" si="134"/>
        <v>7</v>
      </c>
      <c r="BV71" s="21"/>
      <c r="BW71" s="21" t="s">
        <v>216</v>
      </c>
      <c r="BX71" s="21">
        <v>0</v>
      </c>
      <c r="BY71" s="21">
        <f t="shared" si="127"/>
        <v>0</v>
      </c>
      <c r="BZ71" s="21">
        <f t="shared" si="127"/>
        <v>0</v>
      </c>
      <c r="CA71" s="21">
        <f t="shared" si="127"/>
        <v>7</v>
      </c>
      <c r="CB71" s="21">
        <f t="shared" si="127"/>
        <v>0</v>
      </c>
      <c r="CC71" s="21">
        <f t="shared" si="127"/>
        <v>14</v>
      </c>
      <c r="CD71" s="21">
        <f t="shared" si="127"/>
        <v>0</v>
      </c>
      <c r="CE71" s="21">
        <f t="shared" si="127"/>
        <v>14</v>
      </c>
      <c r="CF71" s="21">
        <f t="shared" si="127"/>
        <v>7</v>
      </c>
      <c r="CG71" s="21">
        <f t="shared" si="127"/>
        <v>14</v>
      </c>
      <c r="CH71" s="21">
        <f t="shared" si="127"/>
        <v>7</v>
      </c>
      <c r="CI71" s="21">
        <f t="shared" si="127"/>
        <v>7</v>
      </c>
      <c r="CJ71" s="21">
        <f t="shared" si="127"/>
        <v>14</v>
      </c>
      <c r="CK71" s="21"/>
      <c r="CL71" s="21"/>
      <c r="CM71" s="21"/>
      <c r="CN71" s="21" t="s">
        <v>216</v>
      </c>
      <c r="CO71" s="21">
        <v>0</v>
      </c>
      <c r="CP71" s="21">
        <f t="shared" si="128"/>
        <v>7</v>
      </c>
      <c r="CQ71" s="21">
        <f t="shared" si="128"/>
        <v>0</v>
      </c>
      <c r="CR71" s="21">
        <f t="shared" si="128"/>
        <v>14</v>
      </c>
      <c r="CS71" s="21">
        <f t="shared" si="128"/>
        <v>0</v>
      </c>
      <c r="CT71" s="21">
        <f t="shared" si="128"/>
        <v>14</v>
      </c>
      <c r="CU71" s="21">
        <f t="shared" si="128"/>
        <v>14</v>
      </c>
      <c r="CV71" s="21">
        <f t="shared" si="128"/>
        <v>0</v>
      </c>
      <c r="CW71" s="21">
        <f t="shared" si="128"/>
        <v>14</v>
      </c>
      <c r="CX71" s="21">
        <f t="shared" si="128"/>
        <v>7</v>
      </c>
      <c r="CY71" s="21">
        <f t="shared" si="128"/>
        <v>0</v>
      </c>
      <c r="CZ71" s="21">
        <f t="shared" si="128"/>
        <v>7</v>
      </c>
      <c r="DA71" s="21">
        <f t="shared" si="128"/>
        <v>0</v>
      </c>
      <c r="DB71" s="21"/>
      <c r="DC71" s="21" t="s">
        <v>216</v>
      </c>
      <c r="DD71" s="21">
        <v>0</v>
      </c>
      <c r="DE71" s="21">
        <f t="shared" ref="DE71:DP73" si="135">IF(DE16=0,0,IF(DE16=5,7,IF(DE16=10,14,IF(DE16=15,21,IF(DE16=20,28,0)))))</f>
        <v>7</v>
      </c>
      <c r="DF71" s="21">
        <f t="shared" si="135"/>
        <v>0</v>
      </c>
      <c r="DG71" s="21">
        <f t="shared" si="135"/>
        <v>14</v>
      </c>
      <c r="DH71" s="21">
        <f t="shared" si="135"/>
        <v>14</v>
      </c>
      <c r="DI71" s="21">
        <f t="shared" si="135"/>
        <v>0</v>
      </c>
      <c r="DJ71" s="21">
        <f t="shared" si="135"/>
        <v>14</v>
      </c>
      <c r="DK71" s="21">
        <f t="shared" si="135"/>
        <v>7</v>
      </c>
      <c r="DL71" s="21">
        <f t="shared" si="135"/>
        <v>7</v>
      </c>
      <c r="DM71" s="21">
        <f t="shared" si="135"/>
        <v>14</v>
      </c>
      <c r="DN71" s="21">
        <f t="shared" si="135"/>
        <v>7</v>
      </c>
      <c r="DO71" s="21">
        <f t="shared" si="135"/>
        <v>0</v>
      </c>
      <c r="DP71" s="21">
        <f t="shared" si="135"/>
        <v>0</v>
      </c>
      <c r="DQ71" s="87"/>
      <c r="DR71" s="87"/>
      <c r="DS71" s="87"/>
      <c r="DT71" s="21"/>
      <c r="DU71" s="21"/>
      <c r="DV71" s="21"/>
      <c r="DW71" s="21"/>
      <c r="DX71" s="21"/>
      <c r="DY71" s="21"/>
      <c r="DZ71" s="21"/>
      <c r="EA71" s="21"/>
      <c r="EB71" s="21"/>
      <c r="EC71" s="21"/>
      <c r="ED71" s="21"/>
      <c r="EE71" s="21"/>
      <c r="EF71" s="21"/>
      <c r="EG71" s="21"/>
      <c r="EH71" s="21"/>
      <c r="EI71" s="21"/>
      <c r="EJ71" s="196"/>
      <c r="EK71" s="21" t="s">
        <v>522</v>
      </c>
      <c r="EL71" s="21">
        <v>0</v>
      </c>
      <c r="EM71" s="21">
        <f t="shared" si="130"/>
        <v>0</v>
      </c>
      <c r="EN71" s="21">
        <f t="shared" si="130"/>
        <v>0</v>
      </c>
      <c r="EO71" s="21">
        <f t="shared" si="130"/>
        <v>0</v>
      </c>
      <c r="EP71" s="21">
        <f t="shared" si="130"/>
        <v>14</v>
      </c>
      <c r="EQ71" s="21">
        <f t="shared" si="130"/>
        <v>0</v>
      </c>
      <c r="ER71" s="21">
        <f t="shared" si="130"/>
        <v>14</v>
      </c>
      <c r="ES71" s="21">
        <f t="shared" si="130"/>
        <v>14</v>
      </c>
      <c r="ET71" s="21">
        <f t="shared" si="130"/>
        <v>14</v>
      </c>
      <c r="EU71" s="21">
        <f t="shared" si="130"/>
        <v>7</v>
      </c>
      <c r="EV71" s="21">
        <f t="shared" si="130"/>
        <v>0</v>
      </c>
      <c r="EW71" s="21">
        <f t="shared" si="130"/>
        <v>7</v>
      </c>
      <c r="EX71" s="21">
        <f t="shared" si="130"/>
        <v>7</v>
      </c>
      <c r="EY71" s="21"/>
      <c r="EZ71" s="21" t="s">
        <v>522</v>
      </c>
      <c r="FA71" s="21">
        <v>0</v>
      </c>
      <c r="FB71" s="21">
        <f t="shared" si="131"/>
        <v>0</v>
      </c>
      <c r="FC71" s="21">
        <f t="shared" si="131"/>
        <v>0</v>
      </c>
      <c r="FD71" s="21">
        <f t="shared" si="131"/>
        <v>7</v>
      </c>
      <c r="FE71" s="21">
        <f t="shared" si="131"/>
        <v>0</v>
      </c>
      <c r="FF71" s="21">
        <f t="shared" si="131"/>
        <v>14</v>
      </c>
      <c r="FG71" s="21">
        <f t="shared" si="131"/>
        <v>0</v>
      </c>
      <c r="FH71" s="21">
        <f t="shared" si="131"/>
        <v>14</v>
      </c>
      <c r="FI71" s="21">
        <f t="shared" si="131"/>
        <v>7</v>
      </c>
      <c r="FJ71" s="21">
        <f t="shared" si="131"/>
        <v>14</v>
      </c>
      <c r="FK71" s="21">
        <f t="shared" si="131"/>
        <v>7</v>
      </c>
      <c r="FL71" s="21">
        <f t="shared" si="131"/>
        <v>7</v>
      </c>
      <c r="FM71" s="21">
        <f t="shared" si="131"/>
        <v>14</v>
      </c>
      <c r="FN71" s="21"/>
      <c r="FO71" s="21" t="s">
        <v>522</v>
      </c>
      <c r="FP71" s="21">
        <v>0</v>
      </c>
      <c r="FQ71" s="21">
        <f t="shared" si="132"/>
        <v>7</v>
      </c>
      <c r="FR71" s="21">
        <f t="shared" si="132"/>
        <v>0</v>
      </c>
      <c r="FS71" s="21">
        <f t="shared" si="132"/>
        <v>14</v>
      </c>
      <c r="FT71" s="21">
        <f t="shared" si="132"/>
        <v>0</v>
      </c>
      <c r="FU71" s="21">
        <f t="shared" si="132"/>
        <v>14</v>
      </c>
      <c r="FV71" s="21">
        <f t="shared" si="132"/>
        <v>14</v>
      </c>
      <c r="FW71" s="21">
        <f t="shared" si="132"/>
        <v>0</v>
      </c>
      <c r="FX71" s="21">
        <f t="shared" si="132"/>
        <v>14</v>
      </c>
      <c r="FY71" s="21">
        <f t="shared" si="132"/>
        <v>7</v>
      </c>
      <c r="FZ71" s="21">
        <f t="shared" si="132"/>
        <v>0</v>
      </c>
      <c r="GA71" s="21">
        <f t="shared" si="132"/>
        <v>7</v>
      </c>
      <c r="GB71" s="21">
        <f t="shared" si="132"/>
        <v>0</v>
      </c>
      <c r="GC71" s="21"/>
      <c r="GD71" s="21" t="s">
        <v>522</v>
      </c>
      <c r="GE71" s="21">
        <v>0</v>
      </c>
      <c r="GF71" s="21">
        <f t="shared" si="133"/>
        <v>7</v>
      </c>
      <c r="GG71" s="21">
        <f t="shared" si="133"/>
        <v>0</v>
      </c>
      <c r="GH71" s="21">
        <f t="shared" si="133"/>
        <v>14</v>
      </c>
      <c r="GI71" s="21">
        <f t="shared" si="133"/>
        <v>14</v>
      </c>
      <c r="GJ71" s="21">
        <f t="shared" si="133"/>
        <v>0</v>
      </c>
      <c r="GK71" s="21">
        <f t="shared" si="133"/>
        <v>14</v>
      </c>
      <c r="GL71" s="21">
        <f t="shared" si="133"/>
        <v>7</v>
      </c>
      <c r="GM71" s="21">
        <f t="shared" si="133"/>
        <v>7</v>
      </c>
      <c r="GN71" s="21">
        <f t="shared" si="133"/>
        <v>14</v>
      </c>
      <c r="GO71" s="21">
        <f t="shared" si="133"/>
        <v>7</v>
      </c>
      <c r="GP71" s="21">
        <f t="shared" si="133"/>
        <v>0</v>
      </c>
      <c r="GQ71" s="21">
        <f t="shared" si="133"/>
        <v>0</v>
      </c>
      <c r="GR71" s="21"/>
      <c r="GS71" s="21"/>
      <c r="GT71" s="21"/>
      <c r="GU71" s="21"/>
      <c r="GV71" s="21"/>
      <c r="GW71" s="21"/>
      <c r="GX71" s="21"/>
      <c r="GY71" s="21"/>
      <c r="GZ71" s="21"/>
      <c r="HA71" s="21"/>
      <c r="HB71" s="21"/>
      <c r="HC71" s="21"/>
      <c r="HD71" s="21"/>
      <c r="HE71" s="21"/>
      <c r="HF71" s="21"/>
      <c r="HG71" s="197"/>
      <c r="HH71" s="21"/>
    </row>
    <row r="72" spans="1:254" x14ac:dyDescent="0.25">
      <c r="A72" s="8"/>
      <c r="B72" s="5" t="s">
        <v>116</v>
      </c>
      <c r="C72" s="8"/>
      <c r="D72" s="6" t="s">
        <v>515</v>
      </c>
      <c r="E72" s="8">
        <v>0</v>
      </c>
      <c r="F72" s="5"/>
      <c r="G72" s="5"/>
      <c r="H72" s="5"/>
      <c r="I72" s="5"/>
      <c r="J72" s="5" t="s">
        <v>412</v>
      </c>
      <c r="K72" s="9"/>
      <c r="L72" s="92" t="str">
        <f>IF(L71="CWT70H50/2NMC","LCT70H50MC",IF(L71="CWT70H50/2,4NMC","LCT70H50MC","-------"))</f>
        <v>-------</v>
      </c>
      <c r="M72" s="11" t="str">
        <f>INDEX(cennik!$C$2:$L$529,MATCH($L72,cennik!$B$2:$B$522,0),MATCH(M$2,cennik!$C$1:$L$1,0))</f>
        <v>-------</v>
      </c>
      <c r="N72" s="11">
        <f>INDEX(cennik!$C$2:$L$529,MATCH($L72,cennik!$B$2:$B$522,0),MATCH(N$2,cennik!$C$1:$L$1,0))</f>
        <v>0</v>
      </c>
      <c r="O72" s="11">
        <f>O71</f>
        <v>0</v>
      </c>
      <c r="P72" s="34">
        <f>INDEX(cennik!$C$2:$L$529,MATCH($L72,cennik!$B$2:$B$522,0),MATCH(P$2,cennik!$C$1:$L$1,0))</f>
        <v>0</v>
      </c>
      <c r="Q72" s="34">
        <f t="shared" si="125"/>
        <v>0</v>
      </c>
      <c r="R72" s="35">
        <f t="shared" si="122"/>
        <v>0</v>
      </c>
      <c r="S72" s="34">
        <f t="shared" si="123"/>
        <v>0</v>
      </c>
      <c r="T72" s="34">
        <f t="shared" si="124"/>
        <v>0</v>
      </c>
      <c r="U72" s="34">
        <f>INDEX(cennik!$C$2:$L$529,MATCH($L72,cennik!$B$2:$B$522,0),MATCH(U$2,cennik!$C$1:$L$1,0))*O72</f>
        <v>0</v>
      </c>
      <c r="V72" s="25"/>
      <c r="W72" s="21">
        <f>INDEX(($EL$58:$EX$61,$EL$64:$EX$67,$EL$70:$EX$73,$FA$58:$FM$61,$FA$64:$FM$67,$FA$70:$FM$73,$FP$58:$GB$61,$FP$64:$GB$67,$FP$70:$GB$73,$GE$58:$GQ$61,$GE$64:$GQ$67,$GE$70:$GQ$73,$GT$58:$HF$61,$GT$64:$HF$67),MATCH($L$81,$EK$58:$EK$61,0),MATCH($A73,$EL$57:$EX$57,0),MATCH($E$35,$AE$33:$AE$48,0))*$C73</f>
        <v>0</v>
      </c>
      <c r="X72" s="21">
        <f>INDEX(($EL$58:$EX$61,$EL$64:$EX$67,$EL$70:$EX$73,$FA$58:$FM$61,$FA$64:$FM$67,$FA$70:$FM$73,$FP$58:$GB$61,$FP$64:$GB$67,$FP$70:$GB$73,$GE$58:$GQ$61,$GE$64:$GQ$67,$GE$70:$GQ$73,$GT$58:$HF$61,$GT$64:$HF$67),MATCH($L$78,$EK$58:$EK$61,0),MATCH($A73,$EL$57:$EX$57,0),MATCH($E$35,$AE$33:$AE$48,0))*$C73</f>
        <v>0</v>
      </c>
      <c r="Y72" s="21">
        <f>INDEX(($EL$58:$EX$61,$EL$64:$EX$67,$EL$70:$EX$73,$FA$58:$FM$61,$FA$64:$FM$67,$FA$70:$FM$73,$FP$58:$GB$61,$FP$64:$GB$67,$FP$70:$GB$73,$GE$58:$GQ$61,$GE$64:$GQ$67,$GE$70:$GQ$73,$GT$58:$HF$61,$GT$64:$HF$67),MATCH($L$79,$EK$58:$EK$61,0),MATCH($A73,$EL$57:$EX$57,0),MATCH($E$35,$AE$33:$AE$48,0))*$C73</f>
        <v>0</v>
      </c>
      <c r="Z72" s="21">
        <f>INDEX(($EL$58:$EX$61,$EL$64:$EX$67,$EL$70:$EX$73,$FA$58:$FM$61,$FA$64:$FM$67,$FA$70:$FM$73,$FP$58:$GB$61,$FP$64:$GB$67,$FP$70:$GB$73,$GE$58:$GQ$61,$GE$64:$GQ$67,$GE$70:$GQ$73,$GT$58:$HF$61,$GT$64:$HF$67),MATCH($L$80,$EK$58:$EK$61,0),MATCH($A73,$EL$57:$EX$57,0),MATCH($E$35,$AE$33:$AE$48,0))*$C73</f>
        <v>0</v>
      </c>
      <c r="AA72" s="21">
        <f t="shared" si="106"/>
        <v>0</v>
      </c>
      <c r="AB72" s="21">
        <f t="shared" si="107"/>
        <v>0</v>
      </c>
      <c r="AC72" s="21"/>
      <c r="AD72" s="21"/>
      <c r="AE72" s="21"/>
      <c r="AF72" s="21"/>
      <c r="AG72" s="21"/>
      <c r="AH72" s="21"/>
      <c r="AI72" s="21"/>
      <c r="AJ72" s="21"/>
      <c r="AK72" s="21"/>
      <c r="AL72" s="21"/>
      <c r="AM72" s="21"/>
      <c r="AN72" s="21"/>
      <c r="AO72" s="21"/>
      <c r="AP72" s="21"/>
      <c r="AQ72" s="21"/>
      <c r="AR72" s="201" t="s">
        <v>435</v>
      </c>
      <c r="AW72" s="21"/>
      <c r="AX72" s="21"/>
      <c r="AY72" s="21"/>
      <c r="AZ72" s="21"/>
      <c r="BA72" s="21"/>
      <c r="BB72" s="21"/>
      <c r="BC72" s="21"/>
      <c r="BD72" s="21"/>
      <c r="BE72" s="21"/>
      <c r="BF72" s="21"/>
      <c r="BG72" s="21">
        <f t="shared" si="108"/>
        <v>1</v>
      </c>
      <c r="BH72" s="21" t="s">
        <v>17</v>
      </c>
      <c r="BI72" s="21">
        <v>0</v>
      </c>
      <c r="BJ72" s="21">
        <f t="shared" si="134"/>
        <v>7</v>
      </c>
      <c r="BK72" s="21">
        <f t="shared" si="134"/>
        <v>0</v>
      </c>
      <c r="BL72" s="21">
        <f t="shared" si="134"/>
        <v>0</v>
      </c>
      <c r="BM72" s="21">
        <f t="shared" si="134"/>
        <v>0</v>
      </c>
      <c r="BN72" s="21">
        <f t="shared" si="134"/>
        <v>7</v>
      </c>
      <c r="BO72" s="21">
        <f t="shared" si="134"/>
        <v>7</v>
      </c>
      <c r="BP72" s="21">
        <f t="shared" si="134"/>
        <v>0</v>
      </c>
      <c r="BQ72" s="21">
        <f t="shared" si="134"/>
        <v>0</v>
      </c>
      <c r="BR72" s="21">
        <f t="shared" si="134"/>
        <v>0</v>
      </c>
      <c r="BS72" s="21">
        <f t="shared" si="134"/>
        <v>0</v>
      </c>
      <c r="BT72" s="21">
        <f t="shared" si="134"/>
        <v>7</v>
      </c>
      <c r="BU72" s="21">
        <f t="shared" si="134"/>
        <v>0</v>
      </c>
      <c r="BV72" s="21"/>
      <c r="BW72" s="21" t="s">
        <v>17</v>
      </c>
      <c r="BX72" s="21">
        <v>0</v>
      </c>
      <c r="BY72" s="21">
        <f t="shared" si="127"/>
        <v>7</v>
      </c>
      <c r="BZ72" s="21">
        <f t="shared" si="127"/>
        <v>0</v>
      </c>
      <c r="CA72" s="21">
        <f t="shared" si="127"/>
        <v>7</v>
      </c>
      <c r="CB72" s="21">
        <f t="shared" si="127"/>
        <v>7</v>
      </c>
      <c r="CC72" s="21">
        <f t="shared" si="127"/>
        <v>7</v>
      </c>
      <c r="CD72" s="21">
        <f t="shared" si="127"/>
        <v>0</v>
      </c>
      <c r="CE72" s="21">
        <f t="shared" si="127"/>
        <v>0</v>
      </c>
      <c r="CF72" s="21">
        <f t="shared" si="127"/>
        <v>0</v>
      </c>
      <c r="CG72" s="21">
        <f t="shared" si="127"/>
        <v>7</v>
      </c>
      <c r="CH72" s="21">
        <f t="shared" si="127"/>
        <v>7</v>
      </c>
      <c r="CI72" s="21">
        <f t="shared" si="127"/>
        <v>0</v>
      </c>
      <c r="CJ72" s="21">
        <f t="shared" si="127"/>
        <v>7</v>
      </c>
      <c r="CK72" s="21"/>
      <c r="CL72" s="21"/>
      <c r="CM72" s="21"/>
      <c r="CN72" s="21" t="s">
        <v>17</v>
      </c>
      <c r="CO72" s="21">
        <v>0</v>
      </c>
      <c r="CP72" s="21">
        <f t="shared" si="128"/>
        <v>0</v>
      </c>
      <c r="CQ72" s="21">
        <f t="shared" si="128"/>
        <v>0</v>
      </c>
      <c r="CR72" s="21">
        <f t="shared" si="128"/>
        <v>0</v>
      </c>
      <c r="CS72" s="21">
        <f t="shared" si="128"/>
        <v>7</v>
      </c>
      <c r="CT72" s="21">
        <f t="shared" si="128"/>
        <v>7</v>
      </c>
      <c r="CU72" s="21">
        <f t="shared" si="128"/>
        <v>0</v>
      </c>
      <c r="CV72" s="21">
        <f t="shared" si="128"/>
        <v>7</v>
      </c>
      <c r="CW72" s="21">
        <f t="shared" si="128"/>
        <v>7</v>
      </c>
      <c r="CX72" s="21">
        <f t="shared" si="128"/>
        <v>7</v>
      </c>
      <c r="CY72" s="21">
        <f t="shared" si="128"/>
        <v>7</v>
      </c>
      <c r="CZ72" s="21">
        <f t="shared" si="128"/>
        <v>0</v>
      </c>
      <c r="DA72" s="21">
        <f t="shared" si="128"/>
        <v>0</v>
      </c>
      <c r="DB72" s="21"/>
      <c r="DC72" s="21" t="s">
        <v>17</v>
      </c>
      <c r="DD72" s="21">
        <v>0</v>
      </c>
      <c r="DE72" s="21">
        <f t="shared" si="135"/>
        <v>0</v>
      </c>
      <c r="DF72" s="21">
        <f t="shared" si="135"/>
        <v>0</v>
      </c>
      <c r="DG72" s="21">
        <f t="shared" si="135"/>
        <v>0</v>
      </c>
      <c r="DH72" s="21">
        <f t="shared" si="135"/>
        <v>7</v>
      </c>
      <c r="DI72" s="21">
        <f t="shared" si="135"/>
        <v>0</v>
      </c>
      <c r="DJ72" s="21">
        <f t="shared" si="135"/>
        <v>0</v>
      </c>
      <c r="DK72" s="21">
        <f t="shared" si="135"/>
        <v>0</v>
      </c>
      <c r="DL72" s="21">
        <f t="shared" si="135"/>
        <v>7</v>
      </c>
      <c r="DM72" s="21">
        <f t="shared" si="135"/>
        <v>0</v>
      </c>
      <c r="DN72" s="21">
        <f t="shared" si="135"/>
        <v>0</v>
      </c>
      <c r="DO72" s="21">
        <f t="shared" si="135"/>
        <v>0</v>
      </c>
      <c r="DP72" s="21">
        <f t="shared" si="135"/>
        <v>7</v>
      </c>
      <c r="DQ72" s="87"/>
      <c r="DR72" s="87"/>
      <c r="DS72" s="87"/>
      <c r="DT72" s="21"/>
      <c r="DU72" s="21"/>
      <c r="DV72" s="21"/>
      <c r="DW72" s="21"/>
      <c r="DX72" s="21"/>
      <c r="DY72" s="21"/>
      <c r="DZ72" s="21"/>
      <c r="EA72" s="21"/>
      <c r="EB72" s="21"/>
      <c r="EC72" s="21"/>
      <c r="ED72" s="21"/>
      <c r="EE72" s="21"/>
      <c r="EF72" s="21"/>
      <c r="EG72" s="21"/>
      <c r="EH72" s="21"/>
      <c r="EI72" s="21"/>
      <c r="EJ72" s="196"/>
      <c r="EK72" s="21" t="s">
        <v>523</v>
      </c>
      <c r="EL72" s="21">
        <v>0</v>
      </c>
      <c r="EM72" s="21">
        <f t="shared" si="130"/>
        <v>7</v>
      </c>
      <c r="EN72" s="21">
        <f t="shared" si="130"/>
        <v>0</v>
      </c>
      <c r="EO72" s="21">
        <f t="shared" si="130"/>
        <v>0</v>
      </c>
      <c r="EP72" s="21">
        <f t="shared" si="130"/>
        <v>0</v>
      </c>
      <c r="EQ72" s="21">
        <f t="shared" si="130"/>
        <v>21</v>
      </c>
      <c r="ER72" s="21">
        <f t="shared" si="130"/>
        <v>7</v>
      </c>
      <c r="ES72" s="21">
        <f t="shared" si="130"/>
        <v>14</v>
      </c>
      <c r="ET72" s="21">
        <f t="shared" si="130"/>
        <v>14</v>
      </c>
      <c r="EU72" s="21">
        <f t="shared" si="130"/>
        <v>28</v>
      </c>
      <c r="EV72" s="21">
        <f t="shared" si="130"/>
        <v>42</v>
      </c>
      <c r="EW72" s="21">
        <f t="shared" si="130"/>
        <v>35</v>
      </c>
      <c r="EX72" s="21">
        <f t="shared" si="130"/>
        <v>42</v>
      </c>
      <c r="EY72" s="21"/>
      <c r="EZ72" s="21" t="s">
        <v>523</v>
      </c>
      <c r="FA72" s="21">
        <v>0</v>
      </c>
      <c r="FB72" s="21">
        <f t="shared" si="131"/>
        <v>7</v>
      </c>
      <c r="FC72" s="21">
        <f t="shared" si="131"/>
        <v>0</v>
      </c>
      <c r="FD72" s="21">
        <f t="shared" si="131"/>
        <v>7</v>
      </c>
      <c r="FE72" s="21">
        <f t="shared" si="131"/>
        <v>21</v>
      </c>
      <c r="FF72" s="21">
        <f t="shared" si="131"/>
        <v>7</v>
      </c>
      <c r="FG72" s="21">
        <f t="shared" si="131"/>
        <v>28</v>
      </c>
      <c r="FH72" s="21">
        <f t="shared" si="131"/>
        <v>14</v>
      </c>
      <c r="FI72" s="21">
        <f t="shared" si="131"/>
        <v>28</v>
      </c>
      <c r="FJ72" s="21">
        <f t="shared" si="131"/>
        <v>21</v>
      </c>
      <c r="FK72" s="21">
        <f t="shared" si="131"/>
        <v>35</v>
      </c>
      <c r="FL72" s="21">
        <f t="shared" si="131"/>
        <v>42</v>
      </c>
      <c r="FM72" s="21">
        <f t="shared" si="131"/>
        <v>35</v>
      </c>
      <c r="FN72" s="21"/>
      <c r="FO72" s="21" t="s">
        <v>523</v>
      </c>
      <c r="FP72" s="21">
        <v>0</v>
      </c>
      <c r="FQ72" s="21">
        <f t="shared" si="132"/>
        <v>0</v>
      </c>
      <c r="FR72" s="21">
        <f t="shared" si="132"/>
        <v>0</v>
      </c>
      <c r="FS72" s="21">
        <f t="shared" si="132"/>
        <v>0</v>
      </c>
      <c r="FT72" s="21">
        <f t="shared" si="132"/>
        <v>21</v>
      </c>
      <c r="FU72" s="21">
        <f t="shared" si="132"/>
        <v>7</v>
      </c>
      <c r="FV72" s="21">
        <f t="shared" si="132"/>
        <v>14</v>
      </c>
      <c r="FW72" s="21">
        <f t="shared" si="132"/>
        <v>35</v>
      </c>
      <c r="FX72" s="21">
        <f t="shared" si="132"/>
        <v>21</v>
      </c>
      <c r="FY72" s="21">
        <f t="shared" si="132"/>
        <v>35</v>
      </c>
      <c r="FZ72" s="21">
        <f t="shared" si="132"/>
        <v>49</v>
      </c>
      <c r="GA72" s="21">
        <f t="shared" si="132"/>
        <v>42</v>
      </c>
      <c r="GB72" s="21">
        <f t="shared" si="132"/>
        <v>56</v>
      </c>
      <c r="GC72" s="21"/>
      <c r="GD72" s="21" t="s">
        <v>523</v>
      </c>
      <c r="GE72" s="21">
        <v>0</v>
      </c>
      <c r="GF72" s="21">
        <f t="shared" si="133"/>
        <v>0</v>
      </c>
      <c r="GG72" s="21">
        <f t="shared" si="133"/>
        <v>0</v>
      </c>
      <c r="GH72" s="21">
        <f t="shared" si="133"/>
        <v>0</v>
      </c>
      <c r="GI72" s="21">
        <f t="shared" si="133"/>
        <v>7</v>
      </c>
      <c r="GJ72" s="21">
        <f t="shared" si="133"/>
        <v>28</v>
      </c>
      <c r="GK72" s="21">
        <f t="shared" si="133"/>
        <v>14</v>
      </c>
      <c r="GL72" s="21">
        <f t="shared" si="133"/>
        <v>28</v>
      </c>
      <c r="GM72" s="21">
        <f t="shared" si="133"/>
        <v>35</v>
      </c>
      <c r="GN72" s="21">
        <f t="shared" si="133"/>
        <v>28</v>
      </c>
      <c r="GO72" s="21">
        <f t="shared" si="133"/>
        <v>42</v>
      </c>
      <c r="GP72" s="21">
        <f t="shared" si="133"/>
        <v>56</v>
      </c>
      <c r="GQ72" s="21">
        <f t="shared" si="133"/>
        <v>63</v>
      </c>
      <c r="GR72" s="21"/>
      <c r="GS72" s="21"/>
      <c r="GT72" s="21"/>
      <c r="GU72" s="21"/>
      <c r="GV72" s="21"/>
      <c r="GW72" s="21"/>
      <c r="GX72" s="21"/>
      <c r="GY72" s="21"/>
      <c r="GZ72" s="21"/>
      <c r="HA72" s="21"/>
      <c r="HB72" s="21"/>
      <c r="HC72" s="21"/>
      <c r="HD72" s="21"/>
      <c r="HE72" s="21"/>
      <c r="HF72" s="21"/>
      <c r="HG72" s="197"/>
      <c r="HH72" s="21"/>
    </row>
    <row r="73" spans="1:254" x14ac:dyDescent="0.25">
      <c r="A73" s="8"/>
      <c r="B73" s="5" t="s">
        <v>116</v>
      </c>
      <c r="C73" s="8"/>
      <c r="D73" s="6" t="s">
        <v>511</v>
      </c>
      <c r="E73" s="4"/>
      <c r="F73" s="6"/>
      <c r="G73" s="6"/>
      <c r="H73" s="6"/>
      <c r="I73" s="6"/>
      <c r="J73" s="1"/>
      <c r="K73" s="9"/>
      <c r="L73" s="6" t="str">
        <f>IF(G67=AE24,"BDFTH120/6,4NMC",IF(G67=AE25,"BDFTH120/6,8NMC",IF(G67=AE26,"BDFTH120/6,8NMC",IF(G67=AE27,"BDFTH120/7,4NMC",0))))</f>
        <v>BDFTH120/6,8NMC</v>
      </c>
      <c r="M73" s="11">
        <f>INDEX(cennik!$C$2:$L$529,MATCH($L73,cennik!$B$2:$B$522,0),MATCH(M$2,cennik!$C$1:$L$1,0))</f>
        <v>863468</v>
      </c>
      <c r="N73" s="11" t="str">
        <f>INDEX(cennik!$C$2:$L$529,MATCH($L73,cennik!$B$2:$B$522,0),MATCH(N$2,cennik!$C$1:$L$1,0))</f>
        <v>szt.</v>
      </c>
      <c r="O73" s="11">
        <f>O69</f>
        <v>0</v>
      </c>
      <c r="P73" s="34">
        <f>INDEX(cennik!$C$2:$L$529,MATCH($L73,cennik!$B$2:$B$522,0),MATCH(P$2,cennik!$C$1:$L$1,0))</f>
        <v>424.51</v>
      </c>
      <c r="Q73" s="34">
        <f t="shared" si="125"/>
        <v>0</v>
      </c>
      <c r="R73" s="35">
        <f t="shared" si="122"/>
        <v>0</v>
      </c>
      <c r="S73" s="34">
        <f t="shared" si="123"/>
        <v>424.51</v>
      </c>
      <c r="T73" s="34">
        <f t="shared" si="124"/>
        <v>0</v>
      </c>
      <c r="U73" s="34">
        <f>INDEX(cennik!$C$2:$L$529,MATCH($L73,cennik!$B$2:$B$522,0),MATCH(U$2,cennik!$C$1:$L$1,0))*O73</f>
        <v>0</v>
      </c>
      <c r="V73" s="25"/>
      <c r="W73" s="21">
        <f>INDEX(($EL$58:$EX$61,$EL$64:$EX$67,$EL$70:$EX$73,$FA$58:$FM$61,$FA$64:$FM$67,$FA$70:$FM$73,$FP$58:$GB$61,$FP$64:$GB$67,$FP$70:$GB$73,$GE$58:$GQ$61,$GE$64:$GQ$67,$GE$70:$GQ$73,$GT$58:$HF$61,$GT$64:$HF$67),MATCH($L$81,$EK$58:$EK$61,0),MATCH($A74,$EL$57:$EX$57,0),MATCH($E$35,$AE$33:$AE$48,0))*$C74</f>
        <v>0</v>
      </c>
      <c r="X73" s="21">
        <f>INDEX(($EL$58:$EX$61,$EL$64:$EX$67,$EL$70:$EX$73,$FA$58:$FM$61,$FA$64:$FM$67,$FA$70:$FM$73,$FP$58:$GB$61,$FP$64:$GB$67,$FP$70:$GB$73,$GE$58:$GQ$61,$GE$64:$GQ$67,$GE$70:$GQ$73,$GT$58:$HF$61,$GT$64:$HF$67),MATCH($L$78,$EK$58:$EK$61,0),MATCH($A74,$EL$57:$EX$57,0),MATCH($E$35,$AE$33:$AE$48,0))*$C74</f>
        <v>0</v>
      </c>
      <c r="Y73" s="21">
        <f>INDEX(($EL$58:$EX$61,$EL$64:$EX$67,$EL$70:$EX$73,$FA$58:$FM$61,$FA$64:$FM$67,$FA$70:$FM$73,$FP$58:$GB$61,$FP$64:$GB$67,$FP$70:$GB$73,$GE$58:$GQ$61,$GE$64:$GQ$67,$GE$70:$GQ$73,$GT$58:$HF$61,$GT$64:$HF$67),MATCH($L$79,$EK$58:$EK$61,0),MATCH($A74,$EL$57:$EX$57,0),MATCH($E$35,$AE$33:$AE$48,0))*$C74</f>
        <v>0</v>
      </c>
      <c r="Z73" s="21">
        <f>INDEX(($EL$58:$EX$61,$EL$64:$EX$67,$EL$70:$EX$73,$FA$58:$FM$61,$FA$64:$FM$67,$FA$70:$FM$73,$FP$58:$GB$61,$FP$64:$GB$67,$FP$70:$GB$73,$GE$58:$GQ$61,$GE$64:$GQ$67,$GE$70:$GQ$73,$GT$58:$HF$61,$GT$64:$HF$67),MATCH($L$80,$EK$58:$EK$61,0),MATCH($A74,$EL$57:$EX$57,0),MATCH($E$35,$AE$33:$AE$48,0))*$C74</f>
        <v>0</v>
      </c>
      <c r="AA73" s="21">
        <f t="shared" si="106"/>
        <v>0</v>
      </c>
      <c r="AB73" s="21">
        <f t="shared" si="107"/>
        <v>0</v>
      </c>
      <c r="AC73" s="21"/>
      <c r="AD73" s="21"/>
      <c r="AE73" s="21"/>
      <c r="AF73" s="21"/>
      <c r="AG73" s="21"/>
      <c r="AH73" s="21"/>
      <c r="AI73" s="21"/>
      <c r="AJ73" s="21"/>
      <c r="AK73" s="21"/>
      <c r="AL73" s="21"/>
      <c r="AM73" s="21"/>
      <c r="AN73" s="21"/>
      <c r="AO73" s="21"/>
      <c r="AP73" s="21"/>
      <c r="AQ73" s="21"/>
      <c r="AR73" s="180" t="s">
        <v>717</v>
      </c>
      <c r="AS73" s="180" t="s">
        <v>1157</v>
      </c>
      <c r="AT73" s="180">
        <v>2</v>
      </c>
      <c r="AU73" s="180" t="s">
        <v>1022</v>
      </c>
      <c r="AV73" s="180">
        <v>4</v>
      </c>
      <c r="AW73" s="21">
        <v>5</v>
      </c>
      <c r="AX73" s="21"/>
      <c r="AY73" s="21"/>
      <c r="AZ73" s="21"/>
      <c r="BA73" s="21"/>
      <c r="BB73" s="21"/>
      <c r="BC73" s="21"/>
      <c r="BD73" s="21"/>
      <c r="BE73" s="21"/>
      <c r="BF73" s="21"/>
      <c r="BG73" s="21">
        <f t="shared" si="108"/>
        <v>1</v>
      </c>
      <c r="BH73" s="20" t="s">
        <v>18</v>
      </c>
      <c r="BI73" s="20">
        <v>0</v>
      </c>
      <c r="BJ73" s="21">
        <f t="shared" si="134"/>
        <v>0</v>
      </c>
      <c r="BK73" s="21">
        <f t="shared" si="134"/>
        <v>0</v>
      </c>
      <c r="BL73" s="21">
        <f t="shared" si="134"/>
        <v>0</v>
      </c>
      <c r="BM73" s="21">
        <f t="shared" si="134"/>
        <v>7</v>
      </c>
      <c r="BN73" s="21">
        <f t="shared" si="134"/>
        <v>7</v>
      </c>
      <c r="BO73" s="21">
        <f t="shared" si="134"/>
        <v>14</v>
      </c>
      <c r="BP73" s="21">
        <f t="shared" si="134"/>
        <v>14</v>
      </c>
      <c r="BQ73" s="21">
        <f t="shared" si="134"/>
        <v>14</v>
      </c>
      <c r="BR73" s="21">
        <f t="shared" si="134"/>
        <v>14</v>
      </c>
      <c r="BS73" s="21">
        <f t="shared" si="134"/>
        <v>14</v>
      </c>
      <c r="BT73" s="21">
        <f t="shared" si="134"/>
        <v>21</v>
      </c>
      <c r="BU73" s="21">
        <f t="shared" si="134"/>
        <v>21</v>
      </c>
      <c r="BV73" s="21"/>
      <c r="BW73" s="21" t="s">
        <v>18</v>
      </c>
      <c r="BX73" s="21">
        <v>0</v>
      </c>
      <c r="BY73" s="21">
        <f t="shared" si="127"/>
        <v>0</v>
      </c>
      <c r="BZ73" s="21">
        <f t="shared" si="127"/>
        <v>0</v>
      </c>
      <c r="CA73" s="21">
        <f t="shared" si="127"/>
        <v>7</v>
      </c>
      <c r="CB73" s="21">
        <f t="shared" si="127"/>
        <v>7</v>
      </c>
      <c r="CC73" s="21">
        <f t="shared" si="127"/>
        <v>14</v>
      </c>
      <c r="CD73" s="21">
        <f t="shared" si="127"/>
        <v>7</v>
      </c>
      <c r="CE73" s="21">
        <f t="shared" si="127"/>
        <v>14</v>
      </c>
      <c r="CF73" s="21">
        <f t="shared" si="127"/>
        <v>14</v>
      </c>
      <c r="CG73" s="21">
        <f t="shared" si="127"/>
        <v>21</v>
      </c>
      <c r="CH73" s="21">
        <f t="shared" si="127"/>
        <v>21</v>
      </c>
      <c r="CI73" s="21">
        <f t="shared" si="127"/>
        <v>21</v>
      </c>
      <c r="CJ73" s="21">
        <f t="shared" si="127"/>
        <v>28</v>
      </c>
      <c r="CK73" s="21"/>
      <c r="CL73" s="21"/>
      <c r="CM73" s="21"/>
      <c r="CN73" s="20" t="s">
        <v>18</v>
      </c>
      <c r="CO73" s="20">
        <v>0</v>
      </c>
      <c r="CP73" s="21">
        <f t="shared" si="128"/>
        <v>0</v>
      </c>
      <c r="CQ73" s="21">
        <f t="shared" si="128"/>
        <v>0</v>
      </c>
      <c r="CR73" s="21">
        <f t="shared" si="128"/>
        <v>7</v>
      </c>
      <c r="CS73" s="21">
        <f t="shared" si="128"/>
        <v>7</v>
      </c>
      <c r="CT73" s="21">
        <f t="shared" si="128"/>
        <v>14</v>
      </c>
      <c r="CU73" s="21">
        <f t="shared" si="128"/>
        <v>14</v>
      </c>
      <c r="CV73" s="21">
        <f t="shared" si="128"/>
        <v>14</v>
      </c>
      <c r="CW73" s="21">
        <f t="shared" si="128"/>
        <v>21</v>
      </c>
      <c r="CX73" s="21">
        <f t="shared" si="128"/>
        <v>21</v>
      </c>
      <c r="CY73" s="21">
        <f t="shared" si="128"/>
        <v>21</v>
      </c>
      <c r="CZ73" s="21">
        <f t="shared" si="128"/>
        <v>21</v>
      </c>
      <c r="DA73" s="21">
        <f t="shared" si="128"/>
        <v>21</v>
      </c>
      <c r="DB73" s="21"/>
      <c r="DC73" s="21" t="s">
        <v>18</v>
      </c>
      <c r="DD73" s="21">
        <v>0</v>
      </c>
      <c r="DE73" s="21">
        <f t="shared" si="135"/>
        <v>0</v>
      </c>
      <c r="DF73" s="21">
        <f t="shared" si="135"/>
        <v>0</v>
      </c>
      <c r="DG73" s="21">
        <f t="shared" si="135"/>
        <v>7</v>
      </c>
      <c r="DH73" s="21">
        <f t="shared" si="135"/>
        <v>14</v>
      </c>
      <c r="DI73" s="21">
        <f t="shared" si="135"/>
        <v>7</v>
      </c>
      <c r="DJ73" s="21">
        <f t="shared" si="135"/>
        <v>14</v>
      </c>
      <c r="DK73" s="21">
        <f t="shared" si="135"/>
        <v>14</v>
      </c>
      <c r="DL73" s="21">
        <f t="shared" si="135"/>
        <v>21</v>
      </c>
      <c r="DM73" s="21">
        <f t="shared" si="135"/>
        <v>21</v>
      </c>
      <c r="DN73" s="21">
        <f t="shared" si="135"/>
        <v>21</v>
      </c>
      <c r="DO73" s="21">
        <f t="shared" si="135"/>
        <v>21</v>
      </c>
      <c r="DP73" s="21">
        <f t="shared" si="135"/>
        <v>28</v>
      </c>
      <c r="DQ73" s="87"/>
      <c r="DR73" s="87"/>
      <c r="DS73" s="87"/>
      <c r="DT73" s="21"/>
      <c r="DU73" s="21"/>
      <c r="DV73" s="21"/>
      <c r="DW73" s="21"/>
      <c r="DX73" s="21"/>
      <c r="DY73" s="21"/>
      <c r="DZ73" s="21"/>
      <c r="EA73" s="21"/>
      <c r="EB73" s="21"/>
      <c r="EC73" s="21"/>
      <c r="ED73" s="21"/>
      <c r="EE73" s="21"/>
      <c r="EF73" s="21"/>
      <c r="EG73" s="21"/>
      <c r="EH73" s="21"/>
      <c r="EI73" s="21"/>
      <c r="EJ73" s="196"/>
      <c r="EK73" s="20" t="s">
        <v>779</v>
      </c>
      <c r="EL73" s="21">
        <v>0</v>
      </c>
      <c r="EM73" s="21">
        <f t="shared" si="130"/>
        <v>0</v>
      </c>
      <c r="EN73" s="21">
        <f t="shared" si="130"/>
        <v>0</v>
      </c>
      <c r="EO73" s="21">
        <f t="shared" si="130"/>
        <v>0</v>
      </c>
      <c r="EP73" s="21">
        <f t="shared" si="130"/>
        <v>7</v>
      </c>
      <c r="EQ73" s="21">
        <f t="shared" si="130"/>
        <v>14</v>
      </c>
      <c r="ER73" s="21">
        <f t="shared" si="130"/>
        <v>14</v>
      </c>
      <c r="ES73" s="21">
        <f t="shared" si="130"/>
        <v>21</v>
      </c>
      <c r="ET73" s="21">
        <f t="shared" si="130"/>
        <v>21</v>
      </c>
      <c r="EU73" s="21">
        <f t="shared" si="130"/>
        <v>28</v>
      </c>
      <c r="EV73" s="21">
        <f t="shared" si="130"/>
        <v>35</v>
      </c>
      <c r="EW73" s="21">
        <f t="shared" si="130"/>
        <v>35</v>
      </c>
      <c r="EX73" s="21">
        <f t="shared" si="130"/>
        <v>42</v>
      </c>
      <c r="EY73" s="21"/>
      <c r="EZ73" s="20" t="s">
        <v>779</v>
      </c>
      <c r="FA73" s="21">
        <v>0</v>
      </c>
      <c r="FB73" s="21">
        <f t="shared" si="131"/>
        <v>0</v>
      </c>
      <c r="FC73" s="21">
        <f t="shared" si="131"/>
        <v>0</v>
      </c>
      <c r="FD73" s="21">
        <f t="shared" si="131"/>
        <v>7</v>
      </c>
      <c r="FE73" s="21">
        <f t="shared" si="131"/>
        <v>14</v>
      </c>
      <c r="FF73" s="21">
        <f t="shared" si="131"/>
        <v>14</v>
      </c>
      <c r="FG73" s="21">
        <f t="shared" si="131"/>
        <v>21</v>
      </c>
      <c r="FH73" s="21">
        <f t="shared" si="131"/>
        <v>21</v>
      </c>
      <c r="FI73" s="21">
        <f t="shared" si="131"/>
        <v>28</v>
      </c>
      <c r="FJ73" s="21">
        <f t="shared" si="131"/>
        <v>28</v>
      </c>
      <c r="FK73" s="21">
        <f t="shared" si="131"/>
        <v>35</v>
      </c>
      <c r="FL73" s="21">
        <f t="shared" si="131"/>
        <v>42</v>
      </c>
      <c r="FM73" s="21">
        <f t="shared" si="131"/>
        <v>42</v>
      </c>
      <c r="FN73" s="21"/>
      <c r="FO73" s="20" t="s">
        <v>779</v>
      </c>
      <c r="FP73" s="21">
        <v>0</v>
      </c>
      <c r="FQ73" s="21">
        <f t="shared" si="132"/>
        <v>0</v>
      </c>
      <c r="FR73" s="21">
        <f t="shared" si="132"/>
        <v>0</v>
      </c>
      <c r="FS73" s="21">
        <f t="shared" si="132"/>
        <v>7</v>
      </c>
      <c r="FT73" s="21">
        <f t="shared" si="132"/>
        <v>14</v>
      </c>
      <c r="FU73" s="21">
        <f t="shared" si="132"/>
        <v>14</v>
      </c>
      <c r="FV73" s="21">
        <f t="shared" si="132"/>
        <v>21</v>
      </c>
      <c r="FW73" s="21">
        <f t="shared" si="132"/>
        <v>28</v>
      </c>
      <c r="FX73" s="21">
        <f t="shared" si="132"/>
        <v>28</v>
      </c>
      <c r="FY73" s="21">
        <f t="shared" si="132"/>
        <v>35</v>
      </c>
      <c r="FZ73" s="21">
        <f t="shared" si="132"/>
        <v>42</v>
      </c>
      <c r="GA73" s="21">
        <f t="shared" si="132"/>
        <v>42</v>
      </c>
      <c r="GB73" s="21">
        <f t="shared" si="132"/>
        <v>49</v>
      </c>
      <c r="GC73" s="21"/>
      <c r="GD73" s="20" t="s">
        <v>779</v>
      </c>
      <c r="GE73" s="21">
        <v>0</v>
      </c>
      <c r="GF73" s="21">
        <f t="shared" si="133"/>
        <v>0</v>
      </c>
      <c r="GG73" s="21">
        <f t="shared" si="133"/>
        <v>0</v>
      </c>
      <c r="GH73" s="21">
        <f t="shared" si="133"/>
        <v>7</v>
      </c>
      <c r="GI73" s="21">
        <f t="shared" si="133"/>
        <v>14</v>
      </c>
      <c r="GJ73" s="21">
        <f t="shared" si="133"/>
        <v>21</v>
      </c>
      <c r="GK73" s="21">
        <f t="shared" si="133"/>
        <v>21</v>
      </c>
      <c r="GL73" s="21">
        <f t="shared" si="133"/>
        <v>28</v>
      </c>
      <c r="GM73" s="21">
        <f t="shared" si="133"/>
        <v>35</v>
      </c>
      <c r="GN73" s="21">
        <f t="shared" si="133"/>
        <v>35</v>
      </c>
      <c r="GO73" s="21">
        <f t="shared" si="133"/>
        <v>42</v>
      </c>
      <c r="GP73" s="21">
        <f t="shared" si="133"/>
        <v>49</v>
      </c>
      <c r="GQ73" s="21">
        <f t="shared" si="133"/>
        <v>56</v>
      </c>
      <c r="GR73" s="21"/>
      <c r="GS73" s="21"/>
      <c r="GT73" s="21"/>
      <c r="GU73" s="21"/>
      <c r="GV73" s="21"/>
      <c r="GW73" s="21"/>
      <c r="GX73" s="21"/>
      <c r="GY73" s="21"/>
      <c r="GZ73" s="21"/>
      <c r="HA73" s="21"/>
      <c r="HB73" s="21"/>
      <c r="HC73" s="21"/>
      <c r="HD73" s="21"/>
      <c r="HE73" s="21"/>
      <c r="HF73" s="21"/>
      <c r="HG73" s="197"/>
      <c r="HH73" s="21"/>
    </row>
    <row r="74" spans="1:254" ht="15.75" thickBot="1" x14ac:dyDescent="0.3">
      <c r="A74" s="8"/>
      <c r="B74" s="5" t="s">
        <v>116</v>
      </c>
      <c r="C74" s="8"/>
      <c r="D74" s="6" t="s">
        <v>787</v>
      </c>
      <c r="E74" s="8">
        <v>1</v>
      </c>
      <c r="F74" s="39" t="s">
        <v>789</v>
      </c>
      <c r="G74" s="9"/>
      <c r="H74" s="9"/>
      <c r="I74" s="9"/>
      <c r="J74" s="9"/>
      <c r="K74" s="9"/>
      <c r="L74" s="6" t="s">
        <v>293</v>
      </c>
      <c r="M74" s="11">
        <f>INDEX(cennik!$C$2:$L$529,MATCH($L74,cennik!$B$2:$B$522,0),MATCH(M$2,cennik!$C$1:$L$1,0))</f>
        <v>851122</v>
      </c>
      <c r="N74" s="11" t="str">
        <f>INDEX(cennik!$C$2:$L$529,MATCH($L74,cennik!$B$2:$B$522,0),MATCH(N$2,cennik!$C$1:$L$1,0))</f>
        <v>szt.</v>
      </c>
      <c r="O74" s="11">
        <f>O69</f>
        <v>0</v>
      </c>
      <c r="P74" s="34">
        <f>INDEX(cennik!$C$2:$L$529,MATCH($L74,cennik!$B$2:$B$522,0),MATCH(P$2,cennik!$C$1:$L$1,0))</f>
        <v>46.2</v>
      </c>
      <c r="Q74" s="34">
        <f t="shared" si="125"/>
        <v>0</v>
      </c>
      <c r="R74" s="35">
        <f t="shared" si="122"/>
        <v>0</v>
      </c>
      <c r="S74" s="34">
        <f t="shared" si="123"/>
        <v>46.2</v>
      </c>
      <c r="T74" s="34">
        <f t="shared" si="124"/>
        <v>0</v>
      </c>
      <c r="U74" s="34">
        <f>INDEX(cennik!$C$2:$L$529,MATCH($L74,cennik!$B$2:$B$522,0),MATCH(U$2,cennik!$C$1:$L$1,0))*O74</f>
        <v>0</v>
      </c>
      <c r="V74" s="25"/>
      <c r="W74" s="21">
        <f>INDEX(($EL$58:$EX$61,$EL$64:$EX$67,$EL$70:$EX$73,$FA$58:$FM$61,$FA$64:$FM$67,$FA$70:$FM$73,$FP$58:$GB$61,$FP$64:$GB$67,$FP$70:$GB$73,$GE$58:$GQ$61,$GE$64:$GQ$67,$GE$70:$GQ$73,$GT$58:$HF$61,$GT$64:$HF$67),MATCH($L$81,$EK$58:$EK$61,0),MATCH($A75,$EL$57:$EX$57,0),MATCH($E$35,$AE$33:$AE$48,0))*$C75</f>
        <v>0</v>
      </c>
      <c r="X74" s="21">
        <f>INDEX(($EL$58:$EX$61,$EL$64:$EX$67,$EL$70:$EX$73,$FA$58:$FM$61,$FA$64:$FM$67,$FA$70:$FM$73,$FP$58:$GB$61,$FP$64:$GB$67,$FP$70:$GB$73,$GE$58:$GQ$61,$GE$64:$GQ$67,$GE$70:$GQ$73,$GT$58:$HF$61,$GT$64:$HF$67),MATCH($L$78,$EK$58:$EK$61,0),MATCH($A75,$EL$57:$EX$57,0),MATCH($E$35,$AE$33:$AE$48,0))*$C75</f>
        <v>0</v>
      </c>
      <c r="Y74" s="21">
        <f>INDEX(($EL$58:$EX$61,$EL$64:$EX$67,$EL$70:$EX$73,$FA$58:$FM$61,$FA$64:$FM$67,$FA$70:$FM$73,$FP$58:$GB$61,$FP$64:$GB$67,$FP$70:$GB$73,$GE$58:$GQ$61,$GE$64:$GQ$67,$GE$70:$GQ$73,$GT$58:$HF$61,$GT$64:$HF$67),MATCH($L$79,$EK$58:$EK$61,0),MATCH($A75,$EL$57:$EX$57,0),MATCH($E$35,$AE$33:$AE$48,0))*$C75</f>
        <v>0</v>
      </c>
      <c r="Z74" s="21">
        <f>INDEX(($EL$58:$EX$61,$EL$64:$EX$67,$EL$70:$EX$73,$FA$58:$FM$61,$FA$64:$FM$67,$FA$70:$FM$73,$FP$58:$GB$61,$FP$64:$GB$67,$FP$70:$GB$73,$GE$58:$GQ$61,$GE$64:$GQ$67,$GE$70:$GQ$73,$GT$58:$HF$61,$GT$64:$HF$67),MATCH($L$80,$EK$58:$EK$61,0),MATCH($A75,$EL$57:$EX$57,0),MATCH($E$35,$AE$33:$AE$48,0))*$C75</f>
        <v>0</v>
      </c>
      <c r="AA74" s="21">
        <f t="shared" si="106"/>
        <v>0</v>
      </c>
      <c r="AB74" s="21">
        <f t="shared" si="107"/>
        <v>0</v>
      </c>
      <c r="AC74" s="21"/>
      <c r="AD74" s="21"/>
      <c r="AE74" s="21"/>
      <c r="AF74" s="21"/>
      <c r="AG74" s="21"/>
      <c r="AH74" s="21"/>
      <c r="AI74" s="21"/>
      <c r="AJ74" s="21"/>
      <c r="AK74" s="21"/>
      <c r="AL74" s="21"/>
      <c r="AM74" s="21"/>
      <c r="AN74" s="21"/>
      <c r="AO74" s="21"/>
      <c r="AP74" s="21"/>
      <c r="AQ74" s="21"/>
      <c r="AR74" s="180">
        <v>1</v>
      </c>
      <c r="AS74" s="180">
        <v>2900</v>
      </c>
      <c r="AT74" s="180">
        <v>2900</v>
      </c>
      <c r="AU74" s="180">
        <v>2700</v>
      </c>
      <c r="AV74" s="180">
        <v>2700</v>
      </c>
      <c r="AW74" s="21" t="s">
        <v>719</v>
      </c>
      <c r="AX74" s="21"/>
      <c r="AY74" s="21"/>
      <c r="AZ74" s="21"/>
      <c r="BA74" s="21"/>
      <c r="BB74" s="21"/>
      <c r="BC74" s="21"/>
      <c r="BD74" s="21"/>
      <c r="BE74" s="21"/>
      <c r="BF74" s="21"/>
      <c r="BG74" s="21">
        <f t="shared" si="108"/>
        <v>1</v>
      </c>
      <c r="BH74" s="21"/>
      <c r="BI74" s="21"/>
      <c r="BJ74" s="21"/>
      <c r="BK74" s="21"/>
      <c r="BL74" s="21"/>
      <c r="BM74" s="21"/>
      <c r="BN74" s="21"/>
      <c r="BO74" s="21"/>
      <c r="BP74" s="21"/>
      <c r="BQ74" s="21"/>
      <c r="BR74" s="21"/>
      <c r="BS74" s="21"/>
      <c r="BT74" s="21"/>
      <c r="BU74" s="21"/>
      <c r="BV74" s="21"/>
      <c r="BW74" s="21"/>
      <c r="BX74" s="21"/>
      <c r="BY74" s="21"/>
      <c r="BZ74" s="21"/>
      <c r="CA74" s="21"/>
      <c r="CB74" s="21"/>
      <c r="CC74" s="21"/>
      <c r="CD74" s="21"/>
      <c r="CE74" s="21"/>
      <c r="CF74" s="21"/>
      <c r="CG74" s="21"/>
      <c r="CH74" s="21"/>
      <c r="CI74" s="21"/>
      <c r="CJ74" s="21"/>
      <c r="CK74" s="21"/>
      <c r="CL74" s="21"/>
      <c r="CM74" s="21"/>
      <c r="CN74" s="21"/>
      <c r="CO74" s="21"/>
      <c r="CP74" s="21"/>
      <c r="CQ74" s="21"/>
      <c r="CR74" s="21"/>
      <c r="CS74" s="21"/>
      <c r="CT74" s="21"/>
      <c r="CU74" s="21"/>
      <c r="CV74" s="21"/>
      <c r="CW74" s="21"/>
      <c r="CX74" s="21"/>
      <c r="CY74" s="21"/>
      <c r="CZ74" s="21"/>
      <c r="DA74" s="21"/>
      <c r="DB74" s="21"/>
      <c r="DC74" s="21"/>
      <c r="DD74" s="21"/>
      <c r="DE74" s="21"/>
      <c r="DF74" s="21"/>
      <c r="DG74" s="21"/>
      <c r="DH74" s="21"/>
      <c r="DI74" s="21"/>
      <c r="DJ74" s="21"/>
      <c r="DK74" s="21"/>
      <c r="DL74" s="21"/>
      <c r="DM74" s="21"/>
      <c r="DN74" s="21"/>
      <c r="DO74" s="21"/>
      <c r="DP74" s="21"/>
      <c r="DQ74" s="87"/>
      <c r="DR74" s="87"/>
      <c r="DS74" s="87"/>
      <c r="DT74" s="21"/>
      <c r="DU74" s="21"/>
      <c r="DV74" s="21"/>
      <c r="DW74" s="21"/>
      <c r="DX74" s="21"/>
      <c r="DY74" s="21"/>
      <c r="DZ74" s="21"/>
      <c r="EA74" s="21"/>
      <c r="EB74" s="21"/>
      <c r="EC74" s="21"/>
      <c r="ED74" s="21"/>
      <c r="EE74" s="21"/>
      <c r="EF74" s="21"/>
      <c r="EG74" s="21"/>
      <c r="EH74" s="21"/>
      <c r="EI74" s="21"/>
      <c r="EJ74" s="203"/>
      <c r="EK74" s="204"/>
      <c r="EL74" s="204"/>
      <c r="EM74" s="204"/>
      <c r="EN74" s="204"/>
      <c r="EO74" s="204"/>
      <c r="EP74" s="204"/>
      <c r="EQ74" s="204"/>
      <c r="ER74" s="204"/>
      <c r="ES74" s="204"/>
      <c r="ET74" s="204"/>
      <c r="EU74" s="204"/>
      <c r="EV74" s="204"/>
      <c r="EW74" s="204"/>
      <c r="EX74" s="204"/>
      <c r="EY74" s="204"/>
      <c r="EZ74" s="204"/>
      <c r="FA74" s="204"/>
      <c r="FB74" s="204"/>
      <c r="FC74" s="204"/>
      <c r="FD74" s="204"/>
      <c r="FE74" s="204"/>
      <c r="FF74" s="204"/>
      <c r="FG74" s="204"/>
      <c r="FH74" s="204"/>
      <c r="FI74" s="204"/>
      <c r="FJ74" s="204"/>
      <c r="FK74" s="204"/>
      <c r="FL74" s="204"/>
      <c r="FM74" s="204"/>
      <c r="FN74" s="204"/>
      <c r="FO74" s="204"/>
      <c r="FP74" s="204"/>
      <c r="FQ74" s="204"/>
      <c r="FR74" s="204"/>
      <c r="FS74" s="204"/>
      <c r="FT74" s="204"/>
      <c r="FU74" s="204"/>
      <c r="FV74" s="204"/>
      <c r="FW74" s="204"/>
      <c r="FX74" s="204"/>
      <c r="FY74" s="204"/>
      <c r="FZ74" s="204"/>
      <c r="GA74" s="204"/>
      <c r="GB74" s="204"/>
      <c r="GC74" s="204"/>
      <c r="GD74" s="204"/>
      <c r="GE74" s="204"/>
      <c r="GF74" s="204"/>
      <c r="GG74" s="204"/>
      <c r="GH74" s="204"/>
      <c r="GI74" s="204"/>
      <c r="GJ74" s="204"/>
      <c r="GK74" s="204"/>
      <c r="GL74" s="204"/>
      <c r="GM74" s="204"/>
      <c r="GN74" s="204"/>
      <c r="GO74" s="204"/>
      <c r="GP74" s="204"/>
      <c r="GQ74" s="204"/>
      <c r="GR74" s="204"/>
      <c r="GS74" s="204"/>
      <c r="GT74" s="204"/>
      <c r="GU74" s="204"/>
      <c r="GV74" s="204"/>
      <c r="GW74" s="204"/>
      <c r="GX74" s="204"/>
      <c r="GY74" s="204"/>
      <c r="GZ74" s="204"/>
      <c r="HA74" s="204"/>
      <c r="HB74" s="204"/>
      <c r="HC74" s="204"/>
      <c r="HD74" s="204"/>
      <c r="HE74" s="204"/>
      <c r="HF74" s="204"/>
      <c r="HG74" s="205"/>
      <c r="HH74" s="21"/>
    </row>
    <row r="75" spans="1:254" x14ac:dyDescent="0.25">
      <c r="A75" s="8"/>
      <c r="B75" s="5" t="s">
        <v>116</v>
      </c>
      <c r="C75" s="8"/>
      <c r="D75" s="6" t="s">
        <v>788</v>
      </c>
      <c r="E75" s="8" t="s">
        <v>1157</v>
      </c>
      <c r="F75" s="39" t="s">
        <v>790</v>
      </c>
      <c r="G75" s="9"/>
      <c r="H75" s="9"/>
      <c r="I75" s="9"/>
      <c r="J75" s="9"/>
      <c r="K75" s="9"/>
      <c r="L75" s="6" t="s">
        <v>9</v>
      </c>
      <c r="M75" s="11">
        <f>INDEX(cennik!$C$2:$L$529,MATCH($L75,cennik!$B$2:$B$522,0),MATCH(M$2,cennik!$C$1:$L$1,0))</f>
        <v>856211</v>
      </c>
      <c r="N75" s="11" t="str">
        <f>INDEX(cennik!$C$2:$L$529,MATCH($L75,cennik!$B$2:$B$522,0),MATCH(N$2,cennik!$C$1:$L$1,0))</f>
        <v>szt.</v>
      </c>
      <c r="O75" s="11">
        <f>O69</f>
        <v>0</v>
      </c>
      <c r="P75" s="34">
        <f>INDEX(cennik!$C$2:$L$529,MATCH($L75,cennik!$B$2:$B$522,0),MATCH(P$2,cennik!$C$1:$L$1,0))</f>
        <v>25.2</v>
      </c>
      <c r="Q75" s="34">
        <f t="shared" si="125"/>
        <v>0</v>
      </c>
      <c r="R75" s="35">
        <f t="shared" si="122"/>
        <v>0</v>
      </c>
      <c r="S75" s="34">
        <f t="shared" si="123"/>
        <v>25.2</v>
      </c>
      <c r="T75" s="34">
        <f t="shared" si="124"/>
        <v>0</v>
      </c>
      <c r="U75" s="34">
        <f>INDEX(cennik!$C$2:$L$529,MATCH($L75,cennik!$B$2:$B$522,0),MATCH(U$2,cennik!$C$1:$L$1,0))*O75</f>
        <v>0</v>
      </c>
      <c r="V75" s="25"/>
      <c r="W75" s="21">
        <f>INDEX(($EL$58:$EX$61,$EL$64:$EX$67,$EL$70:$EX$73,$FA$58:$FM$61,$FA$64:$FM$67,$FA$70:$FM$73,$FP$58:$GB$61,$FP$64:$GB$67,$FP$70:$GB$73,$GE$58:$GQ$61,$GE$64:$GQ$67,$GE$70:$GQ$73,$GT$58:$HF$61,$GT$64:$HF$67),MATCH($L$81,$EK$58:$EK$61,0),MATCH($A76,$EL$57:$EX$57,0),MATCH($E$35,$AE$33:$AE$48,0))*$C76</f>
        <v>0</v>
      </c>
      <c r="X75" s="21">
        <f>INDEX(($EL$58:$EX$61,$EL$64:$EX$67,$EL$70:$EX$73,$FA$58:$FM$61,$FA$64:$FM$67,$FA$70:$FM$73,$FP$58:$GB$61,$FP$64:$GB$67,$FP$70:$GB$73,$GE$58:$GQ$61,$GE$64:$GQ$67,$GE$70:$GQ$73,$GT$58:$HF$61,$GT$64:$HF$67),MATCH($L$78,$EK$58:$EK$61,0),MATCH($A76,$EL$57:$EX$57,0),MATCH($E$35,$AE$33:$AE$48,0))*$C76</f>
        <v>0</v>
      </c>
      <c r="Y75" s="21">
        <f>INDEX(($EL$58:$EX$61,$EL$64:$EX$67,$EL$70:$EX$73,$FA$58:$FM$61,$FA$64:$FM$67,$FA$70:$FM$73,$FP$58:$GB$61,$FP$64:$GB$67,$FP$70:$GB$73,$GE$58:$GQ$61,$GE$64:$GQ$67,$GE$70:$GQ$73,$GT$58:$HF$61,$GT$64:$HF$67),MATCH($L$79,$EK$58:$EK$61,0),MATCH($A76,$EL$57:$EX$57,0),MATCH($E$35,$AE$33:$AE$48,0))*$C76</f>
        <v>0</v>
      </c>
      <c r="Z75" s="21">
        <f>INDEX(($EL$58:$EX$61,$EL$64:$EX$67,$EL$70:$EX$73,$FA$58:$FM$61,$FA$64:$FM$67,$FA$70:$FM$73,$FP$58:$GB$61,$FP$64:$GB$67,$FP$70:$GB$73,$GE$58:$GQ$61,$GE$64:$GQ$67,$GE$70:$GQ$73,$GT$58:$HF$61,$GT$64:$HF$67),MATCH($L$80,$EK$58:$EK$61,0),MATCH($A76,$EL$57:$EX$57,0),MATCH($E$35,$AE$33:$AE$48,0))*$C76</f>
        <v>0</v>
      </c>
      <c r="AA75" s="21">
        <f t="shared" si="106"/>
        <v>0</v>
      </c>
      <c r="AB75" s="21">
        <f t="shared" si="107"/>
        <v>0</v>
      </c>
      <c r="AC75" s="21"/>
      <c r="AD75" s="21"/>
      <c r="AE75" s="21"/>
      <c r="AF75" s="21"/>
      <c r="AG75" s="21"/>
      <c r="AH75" s="21"/>
      <c r="AI75" s="21"/>
      <c r="AJ75" s="21"/>
      <c r="AK75" s="21"/>
      <c r="AL75" s="21"/>
      <c r="AM75" s="21"/>
      <c r="AN75" s="21"/>
      <c r="AO75" s="21"/>
      <c r="AP75" s="21"/>
      <c r="AQ75" s="21"/>
      <c r="AR75" s="180">
        <v>2</v>
      </c>
      <c r="AS75" s="180" t="s">
        <v>719</v>
      </c>
      <c r="AT75" s="180">
        <v>2000</v>
      </c>
      <c r="AU75" s="180">
        <v>2000</v>
      </c>
      <c r="AV75" s="180" t="s">
        <v>719</v>
      </c>
      <c r="AW75" s="21" t="s">
        <v>719</v>
      </c>
      <c r="AX75" s="21"/>
      <c r="AY75" s="21"/>
      <c r="AZ75" s="21"/>
      <c r="BA75" s="21"/>
      <c r="BB75" s="21"/>
      <c r="BC75" s="21"/>
      <c r="BD75" s="21"/>
      <c r="BE75" s="21"/>
      <c r="BF75" s="21"/>
      <c r="BG75" s="21">
        <f t="shared" si="108"/>
        <v>1</v>
      </c>
      <c r="BH75" s="21"/>
      <c r="BI75" s="21"/>
      <c r="BJ75" s="21"/>
      <c r="BK75" s="21"/>
      <c r="BL75" s="21"/>
      <c r="BM75" s="21"/>
      <c r="BN75" s="21"/>
      <c r="BO75" s="21"/>
      <c r="BP75" s="21"/>
      <c r="BQ75" s="21"/>
      <c r="BR75" s="21"/>
      <c r="BS75" s="21"/>
      <c r="BT75" s="21"/>
      <c r="BU75" s="21"/>
      <c r="BV75" s="21"/>
      <c r="BW75" s="21"/>
      <c r="BX75" s="21"/>
      <c r="BY75" s="21"/>
      <c r="BZ75" s="21"/>
      <c r="CA75" s="21"/>
      <c r="CB75" s="21"/>
      <c r="CC75" s="21"/>
      <c r="CD75" s="21"/>
      <c r="CE75" s="21"/>
      <c r="CF75" s="21"/>
      <c r="CG75" s="21"/>
      <c r="CH75" s="21"/>
      <c r="CI75" s="21"/>
      <c r="CJ75" s="21"/>
      <c r="CK75" s="21"/>
      <c r="CL75" s="21"/>
      <c r="CM75" s="21"/>
      <c r="CN75" s="21"/>
      <c r="CO75" s="21"/>
      <c r="CP75" s="21"/>
      <c r="CQ75" s="21"/>
      <c r="CR75" s="21"/>
      <c r="CS75" s="21"/>
      <c r="CT75" s="21"/>
      <c r="CU75" s="21"/>
      <c r="CV75" s="21"/>
      <c r="CW75" s="21"/>
      <c r="CX75" s="21"/>
      <c r="CY75" s="21"/>
      <c r="CZ75" s="21"/>
      <c r="DA75" s="21"/>
      <c r="DB75" s="21"/>
      <c r="DC75" s="21"/>
      <c r="DD75" s="21"/>
      <c r="DE75" s="21"/>
      <c r="DF75" s="21"/>
      <c r="DG75" s="21"/>
      <c r="DH75" s="21"/>
      <c r="DI75" s="21"/>
      <c r="DJ75" s="21"/>
      <c r="DK75" s="21"/>
      <c r="DL75" s="21"/>
      <c r="DM75" s="21"/>
      <c r="DN75" s="21"/>
      <c r="DO75" s="21"/>
      <c r="DP75" s="21"/>
      <c r="DQ75" s="87"/>
      <c r="DR75" s="87"/>
      <c r="DS75" s="87"/>
      <c r="DT75" s="21"/>
      <c r="DU75" s="21"/>
      <c r="DV75" s="21"/>
      <c r="DW75" s="21"/>
      <c r="DX75" s="21"/>
      <c r="DY75" s="21"/>
      <c r="DZ75" s="21"/>
      <c r="EA75" s="21"/>
      <c r="EB75" s="21"/>
      <c r="EC75" s="21"/>
      <c r="ED75" s="21"/>
      <c r="EE75" s="21"/>
      <c r="EF75" s="21"/>
      <c r="EG75" s="21"/>
      <c r="EH75" s="21"/>
      <c r="EI75" s="21"/>
      <c r="EJ75" s="21"/>
      <c r="EK75" s="21"/>
      <c r="EL75" s="21"/>
      <c r="EM75" s="21"/>
      <c r="EN75" s="21"/>
      <c r="EO75" s="21"/>
      <c r="EP75" s="21"/>
      <c r="EQ75" s="21"/>
      <c r="ER75" s="21"/>
      <c r="ES75" s="21"/>
      <c r="ET75" s="21"/>
      <c r="EU75" s="21"/>
      <c r="EV75" s="21"/>
      <c r="EW75" s="21"/>
      <c r="EX75" s="21"/>
      <c r="EY75" s="21"/>
      <c r="EZ75" s="21"/>
      <c r="FA75" s="21"/>
      <c r="FB75" s="21"/>
      <c r="FC75" s="21"/>
      <c r="FD75" s="21"/>
      <c r="FE75" s="21"/>
      <c r="FF75" s="21"/>
      <c r="FG75" s="21"/>
      <c r="FH75" s="21"/>
      <c r="FI75" s="21"/>
      <c r="FJ75" s="21"/>
      <c r="FK75" s="21"/>
      <c r="FL75" s="21"/>
      <c r="FM75" s="21"/>
      <c r="FN75" s="21"/>
      <c r="FO75" s="21"/>
      <c r="FP75" s="21"/>
      <c r="FQ75" s="21"/>
      <c r="FR75" s="21"/>
      <c r="FS75" s="21"/>
      <c r="FT75" s="21"/>
      <c r="FU75" s="21"/>
      <c r="FV75" s="21"/>
      <c r="FW75" s="21"/>
      <c r="FX75" s="21"/>
      <c r="FY75" s="21"/>
      <c r="FZ75" s="21"/>
      <c r="GA75" s="21"/>
      <c r="GB75" s="21"/>
      <c r="GC75" s="21"/>
      <c r="GD75" s="21"/>
      <c r="GE75" s="21"/>
      <c r="GF75" s="21"/>
      <c r="GG75" s="21"/>
      <c r="GH75" s="21"/>
      <c r="GI75" s="21"/>
      <c r="GJ75" s="21"/>
      <c r="GK75" s="21"/>
      <c r="GL75" s="21"/>
      <c r="GM75" s="21"/>
      <c r="GN75" s="21"/>
      <c r="GO75" s="21"/>
      <c r="GP75" s="21"/>
      <c r="GQ75" s="21"/>
      <c r="GR75" s="21"/>
      <c r="GS75" s="21"/>
      <c r="GT75" s="21"/>
      <c r="GU75" s="21"/>
      <c r="GV75" s="21"/>
      <c r="GW75" s="21"/>
      <c r="GX75" s="21"/>
      <c r="GY75" s="21"/>
      <c r="GZ75" s="21"/>
      <c r="HA75" s="21"/>
      <c r="HB75" s="21"/>
      <c r="HC75" s="21"/>
      <c r="HD75" s="21"/>
      <c r="HE75" s="21"/>
      <c r="HF75" s="21"/>
      <c r="HG75" s="21"/>
      <c r="HH75" s="21"/>
    </row>
    <row r="76" spans="1:254" x14ac:dyDescent="0.25">
      <c r="A76" s="8"/>
      <c r="B76" s="5" t="s">
        <v>116</v>
      </c>
      <c r="C76" s="8"/>
      <c r="D76" s="6" t="s">
        <v>718</v>
      </c>
      <c r="E76" s="32">
        <f>INDEX((AS74:AW76),MATCH(E74,AR74:AR76,0),MATCH(E75,AS73:AW73,0))</f>
        <v>2900</v>
      </c>
      <c r="F76" s="9"/>
      <c r="G76" s="9"/>
      <c r="H76" s="9"/>
      <c r="I76" s="9"/>
      <c r="J76" s="29" t="s">
        <v>119</v>
      </c>
      <c r="K76" s="9"/>
      <c r="L76" s="6" t="str">
        <f>IF(E76=$AS$74,"CMP41H41/3,7MC",IF(E76=$AU$74,"CMP41H41/3,7MC",IF(E76=$AU$76,"CMP41H41/3,5MC",IF(E76=$AW$76,"CMP41H41/32,2MC","-------"))))</f>
        <v>CMP41H41/3,7MC</v>
      </c>
      <c r="M76" s="11">
        <f>INDEX(cennik!$C$2:$L$529,MATCH($L76,cennik!$B$2:$B$522,0),MATCH(M$2,cennik!$C$1:$L$1,0))</f>
        <v>852137</v>
      </c>
      <c r="N76" s="11" t="str">
        <f>INDEX(cennik!$C$2:$L$529,MATCH($L76,cennik!$B$2:$B$522,0),MATCH(N$2,cennik!$C$1:$L$1,0))</f>
        <v>szt.</v>
      </c>
      <c r="O76" s="11">
        <f>SUM(AA63:AA78)</f>
        <v>0</v>
      </c>
      <c r="P76" s="34">
        <f>INDEX(cennik!$C$2:$L$529,MATCH($L76,cennik!$B$2:$B$522,0),MATCH(P$2,cennik!$C$1:$L$1,0))</f>
        <v>77.7</v>
      </c>
      <c r="Q76" s="34">
        <f t="shared" si="125"/>
        <v>0</v>
      </c>
      <c r="R76" s="35">
        <f t="shared" si="122"/>
        <v>0</v>
      </c>
      <c r="S76" s="34">
        <f t="shared" si="123"/>
        <v>77.7</v>
      </c>
      <c r="T76" s="34">
        <f t="shared" si="124"/>
        <v>0</v>
      </c>
      <c r="U76" s="34">
        <f>INDEX(cennik!$C$2:$L$529,MATCH($L76,cennik!$B$2:$B$522,0),MATCH(U$2,cennik!$C$1:$L$1,0))*O76</f>
        <v>0</v>
      </c>
      <c r="V76" s="25"/>
      <c r="W76" s="21">
        <f>INDEX(($EL$58:$EX$61,$EL$64:$EX$67,$EL$70:$EX$73,$FA$58:$FM$61,$FA$64:$FM$67,$FA$70:$FM$73,$FP$58:$GB$61,$FP$64:$GB$67,$FP$70:$GB$73,$GE$58:$GQ$61,$GE$64:$GQ$67,$GE$70:$GQ$73,$GT$58:$HF$61,$GT$64:$HF$67),MATCH($L$81,$EK$58:$EK$61,0),MATCH($A77,$EL$57:$EX$57,0),MATCH($E$35,$AE$33:$AE$48,0))*$C77</f>
        <v>0</v>
      </c>
      <c r="X76" s="21">
        <f>INDEX(($EL$58:$EX$61,$EL$64:$EX$67,$EL$70:$EX$73,$FA$58:$FM$61,$FA$64:$FM$67,$FA$70:$FM$73,$FP$58:$GB$61,$FP$64:$GB$67,$FP$70:$GB$73,$GE$58:$GQ$61,$GE$64:$GQ$67,$GE$70:$GQ$73,$GT$58:$HF$61,$GT$64:$HF$67),MATCH($L$78,$EK$58:$EK$61,0),MATCH($A77,$EL$57:$EX$57,0),MATCH($E$35,$AE$33:$AE$48,0))*$C77</f>
        <v>0</v>
      </c>
      <c r="Y76" s="21">
        <f>INDEX(($EL$58:$EX$61,$EL$64:$EX$67,$EL$70:$EX$73,$FA$58:$FM$61,$FA$64:$FM$67,$FA$70:$FM$73,$FP$58:$GB$61,$FP$64:$GB$67,$FP$70:$GB$73,$GE$58:$GQ$61,$GE$64:$GQ$67,$GE$70:$GQ$73,$GT$58:$HF$61,$GT$64:$HF$67),MATCH($L$79,$EK$58:$EK$61,0),MATCH($A77,$EL$57:$EX$57,0),MATCH($E$35,$AE$33:$AE$48,0))*$C77</f>
        <v>0</v>
      </c>
      <c r="Z76" s="21">
        <f>INDEX(($EL$58:$EX$61,$EL$64:$EX$67,$EL$70:$EX$73,$FA$58:$FM$61,$FA$64:$FM$67,$FA$70:$FM$73,$FP$58:$GB$61,$FP$64:$GB$67,$FP$70:$GB$73,$GE$58:$GQ$61,$GE$64:$GQ$67,$GE$70:$GQ$73,$GT$58:$HF$61,$GT$64:$HF$67),MATCH($L$80,$EK$58:$EK$61,0),MATCH($A77,$EL$57:$EX$57,0),MATCH($E$35,$AE$33:$AE$48,0))*$C77</f>
        <v>0</v>
      </c>
      <c r="AA76" s="21">
        <f t="shared" si="106"/>
        <v>0</v>
      </c>
      <c r="AB76" s="21">
        <f t="shared" si="107"/>
        <v>0</v>
      </c>
      <c r="AC76" s="21"/>
      <c r="AD76" s="21"/>
      <c r="AE76" s="21"/>
      <c r="AF76" s="21"/>
      <c r="AG76" s="21"/>
      <c r="AH76" s="21"/>
      <c r="AI76" s="21"/>
      <c r="AJ76" s="21"/>
      <c r="AK76" s="21"/>
      <c r="AL76" s="21"/>
      <c r="AM76" s="21"/>
      <c r="AN76" s="21"/>
      <c r="AO76" s="21"/>
      <c r="AP76" s="21"/>
      <c r="AQ76" s="21"/>
      <c r="AR76" s="180" t="s">
        <v>725</v>
      </c>
      <c r="AS76" s="180">
        <v>2700</v>
      </c>
      <c r="AT76" s="180" t="s">
        <v>719</v>
      </c>
      <c r="AU76" s="180">
        <v>2000</v>
      </c>
      <c r="AV76" s="180" t="s">
        <v>719</v>
      </c>
      <c r="AW76" s="21">
        <v>1000</v>
      </c>
      <c r="AX76" s="21"/>
      <c r="AY76" s="21"/>
      <c r="AZ76" s="21"/>
      <c r="BA76" s="21"/>
      <c r="BB76" s="21"/>
      <c r="BC76" s="21"/>
      <c r="BD76" s="21"/>
      <c r="BE76" s="21"/>
      <c r="BF76" s="21"/>
      <c r="BG76" s="21">
        <f t="shared" si="108"/>
        <v>1</v>
      </c>
      <c r="BH76" s="21"/>
      <c r="BI76" s="21"/>
      <c r="BJ76" s="21"/>
      <c r="BK76" s="21"/>
      <c r="BL76" s="21"/>
      <c r="BM76" s="21"/>
      <c r="BN76" s="21"/>
      <c r="BO76" s="21"/>
      <c r="BP76" s="21"/>
      <c r="BQ76" s="21"/>
      <c r="BR76" s="21"/>
      <c r="BS76" s="21"/>
      <c r="BT76" s="21"/>
      <c r="BU76" s="21"/>
      <c r="BV76" s="21"/>
      <c r="BW76" s="21"/>
      <c r="BX76" s="21"/>
      <c r="BY76" s="21"/>
      <c r="BZ76" s="21"/>
      <c r="CA76" s="21"/>
      <c r="CB76" s="21"/>
      <c r="CC76" s="21"/>
      <c r="CD76" s="21"/>
      <c r="CE76" s="21"/>
      <c r="CF76" s="21"/>
      <c r="CG76" s="21"/>
      <c r="CH76" s="21"/>
      <c r="CI76" s="21"/>
      <c r="CJ76" s="21"/>
      <c r="CK76" s="21"/>
      <c r="CL76" s="21"/>
      <c r="CM76" s="21"/>
      <c r="CN76" s="21"/>
      <c r="CO76" s="21"/>
      <c r="CP76" s="21"/>
      <c r="CQ76" s="21"/>
      <c r="CR76" s="21"/>
      <c r="CS76" s="21"/>
      <c r="CT76" s="21"/>
      <c r="CU76" s="21"/>
      <c r="CV76" s="21"/>
      <c r="CW76" s="21"/>
      <c r="CX76" s="21"/>
      <c r="CY76" s="21"/>
      <c r="CZ76" s="21"/>
      <c r="DA76" s="21"/>
      <c r="DB76" s="21"/>
      <c r="DC76" s="21"/>
      <c r="DD76" s="21"/>
      <c r="DE76" s="21"/>
      <c r="DF76" s="21"/>
      <c r="DG76" s="21"/>
      <c r="DH76" s="21"/>
      <c r="DI76" s="21"/>
      <c r="DJ76" s="21"/>
      <c r="DK76" s="21"/>
      <c r="DL76" s="21"/>
      <c r="DM76" s="21"/>
      <c r="DN76" s="21"/>
      <c r="DO76" s="21"/>
      <c r="DP76" s="21"/>
      <c r="DQ76" s="87"/>
      <c r="DR76" s="87"/>
      <c r="DS76" s="87"/>
      <c r="DT76" s="21"/>
      <c r="DU76" s="21"/>
      <c r="DV76" s="21"/>
      <c r="DW76" s="21"/>
      <c r="DX76" s="21"/>
      <c r="DY76" s="21"/>
      <c r="DZ76" s="21"/>
      <c r="EA76" s="21"/>
      <c r="EB76" s="21"/>
      <c r="EC76" s="21"/>
      <c r="ED76" s="21"/>
      <c r="EE76" s="21"/>
      <c r="EF76" s="21"/>
      <c r="EG76" s="21"/>
      <c r="EH76" s="21"/>
      <c r="EI76" s="21"/>
      <c r="EJ76" s="21"/>
      <c r="EK76" s="21"/>
      <c r="EL76" s="21"/>
      <c r="EM76" s="21"/>
      <c r="EN76" s="21"/>
      <c r="EO76" s="21"/>
      <c r="EP76" s="21"/>
      <c r="EQ76" s="21"/>
      <c r="ER76" s="21"/>
      <c r="ES76" s="21"/>
      <c r="ET76" s="21"/>
      <c r="EU76" s="21"/>
      <c r="EV76" s="21"/>
      <c r="EW76" s="21"/>
      <c r="EX76" s="21"/>
      <c r="EY76" s="21"/>
      <c r="EZ76" s="21"/>
      <c r="FA76" s="21"/>
      <c r="FB76" s="21"/>
      <c r="FC76" s="21"/>
      <c r="FD76" s="21"/>
      <c r="FE76" s="21"/>
      <c r="FF76" s="21"/>
      <c r="FG76" s="21"/>
      <c r="FH76" s="21"/>
      <c r="FI76" s="21"/>
      <c r="FJ76" s="21"/>
      <c r="FK76" s="21"/>
      <c r="FL76" s="21"/>
      <c r="FM76" s="21"/>
      <c r="FN76" s="21"/>
      <c r="FO76" s="21"/>
      <c r="FP76" s="21"/>
      <c r="FQ76" s="21"/>
      <c r="FR76" s="21"/>
      <c r="FS76" s="21"/>
      <c r="FT76" s="21"/>
      <c r="FU76" s="21"/>
      <c r="FV76" s="21"/>
      <c r="FW76" s="21"/>
      <c r="FX76" s="21"/>
      <c r="FY76" s="21"/>
      <c r="FZ76" s="21"/>
      <c r="GA76" s="21"/>
      <c r="GB76" s="21"/>
      <c r="GC76" s="21"/>
      <c r="GD76" s="21"/>
      <c r="GE76" s="21"/>
      <c r="GF76" s="21"/>
      <c r="GG76" s="21"/>
      <c r="GH76" s="21"/>
      <c r="GI76" s="21"/>
      <c r="GJ76" s="21"/>
      <c r="GK76" s="21"/>
      <c r="GL76" s="21"/>
      <c r="GM76" s="21"/>
      <c r="GN76" s="21"/>
      <c r="GO76" s="21"/>
      <c r="GP76" s="21"/>
      <c r="GQ76" s="21"/>
      <c r="GR76" s="21"/>
      <c r="GS76" s="21"/>
      <c r="GT76" s="21"/>
      <c r="GU76" s="21"/>
      <c r="GV76" s="21"/>
      <c r="GW76" s="21"/>
      <c r="GX76" s="21"/>
      <c r="GY76" s="21"/>
      <c r="GZ76" s="21"/>
      <c r="HA76" s="21"/>
      <c r="HB76" s="21"/>
      <c r="HC76" s="21"/>
      <c r="HD76" s="21"/>
      <c r="HE76" s="21"/>
      <c r="HF76" s="21"/>
      <c r="HG76" s="21"/>
      <c r="HH76" s="21"/>
    </row>
    <row r="77" spans="1:254" x14ac:dyDescent="0.25">
      <c r="A77" s="8"/>
      <c r="B77" s="5" t="s">
        <v>116</v>
      </c>
      <c r="C77" s="8"/>
      <c r="D77" s="6" t="str">
        <f>IF(E69=$AC$8,"długość śruby GSW","")</f>
        <v/>
      </c>
      <c r="E77" s="38">
        <v>1600</v>
      </c>
      <c r="F77" s="9"/>
      <c r="G77" s="9"/>
      <c r="H77" s="9"/>
      <c r="I77" s="9"/>
      <c r="J77" s="29" t="str">
        <f>IF(E69=$AC$8,"[mm]","")</f>
        <v/>
      </c>
      <c r="K77" s="9"/>
      <c r="L77" s="6" t="s">
        <v>1111</v>
      </c>
      <c r="M77" s="11">
        <f>INDEX(cennik!$C$2:$L$529,MATCH($L77,cennik!$B$2:$B$522,0),MATCH(M$2,cennik!$C$1:$L$1,0))</f>
        <v>850252</v>
      </c>
      <c r="N77" s="11" t="str">
        <f>INDEX(cennik!$C$2:$L$529,MATCH($L77,cennik!$B$2:$B$522,0),MATCH(N$2,cennik!$C$1:$L$1,0))</f>
        <v>szt.</v>
      </c>
      <c r="O77" s="11">
        <f>O69*2</f>
        <v>0</v>
      </c>
      <c r="P77" s="34">
        <f>INDEX(cennik!$C$2:$L$529,MATCH($L77,cennik!$B$2:$B$522,0),MATCH(P$2,cennik!$C$1:$L$1,0))</f>
        <v>6.06</v>
      </c>
      <c r="Q77" s="34">
        <f t="shared" si="125"/>
        <v>0</v>
      </c>
      <c r="R77" s="35">
        <f t="shared" si="122"/>
        <v>0</v>
      </c>
      <c r="S77" s="34">
        <f t="shared" si="123"/>
        <v>6.06</v>
      </c>
      <c r="T77" s="34">
        <f t="shared" si="124"/>
        <v>0</v>
      </c>
      <c r="U77" s="34">
        <f>INDEX(cennik!$C$2:$L$529,MATCH($L77,cennik!$B$2:$B$522,0),MATCH(U$2,cennik!$C$1:$L$1,0))*O77</f>
        <v>0</v>
      </c>
      <c r="V77" s="25"/>
      <c r="W77" s="21">
        <f>INDEX(($EL$58:$EX$61,$EL$64:$EX$67,$EL$70:$EX$73,$FA$58:$FM$61,$FA$64:$FM$67,$FA$70:$FM$73,$FP$58:$GB$61,$FP$64:$GB$67,$FP$70:$GB$73,$GE$58:$GQ$61,$GE$64:$GQ$67,$GE$70:$GQ$73,$GT$58:$HF$61,$GT$64:$HF$67),MATCH($L$81,$EK$58:$EK$61,0),MATCH($A78,$EL$57:$EX$57,0),MATCH($E$35,$AE$33:$AE$48,0))*$C78</f>
        <v>0</v>
      </c>
      <c r="X77" s="21">
        <f>INDEX(($EL$58:$EX$61,$EL$64:$EX$67,$EL$70:$EX$73,$FA$58:$FM$61,$FA$64:$FM$67,$FA$70:$FM$73,$FP$58:$GB$61,$FP$64:$GB$67,$FP$70:$GB$73,$GE$58:$GQ$61,$GE$64:$GQ$67,$GE$70:$GQ$73,$GT$58:$HF$61,$GT$64:$HF$67),MATCH($L$78,$EK$58:$EK$61,0),MATCH($A78,$EL$57:$EX$57,0),MATCH($E$35,$AE$33:$AE$48,0))*$C78</f>
        <v>0</v>
      </c>
      <c r="Y77" s="21">
        <f>INDEX(($EL$58:$EX$61,$EL$64:$EX$67,$EL$70:$EX$73,$FA$58:$FM$61,$FA$64:$FM$67,$FA$70:$FM$73,$FP$58:$GB$61,$FP$64:$GB$67,$FP$70:$GB$73,$GE$58:$GQ$61,$GE$64:$GQ$67,$GE$70:$GQ$73,$GT$58:$HF$61,$GT$64:$HF$67),MATCH($L$79,$EK$58:$EK$61,0),MATCH($A78,$EL$57:$EX$57,0),MATCH($E$35,$AE$33:$AE$48,0))*$C78</f>
        <v>0</v>
      </c>
      <c r="Z77" s="21">
        <f>INDEX(($EL$58:$EX$61,$EL$64:$EX$67,$EL$70:$EX$73,$FA$58:$FM$61,$FA$64:$FM$67,$FA$70:$FM$73,$FP$58:$GB$61,$FP$64:$GB$67,$FP$70:$GB$73,$GE$58:$GQ$61,$GE$64:$GQ$67,$GE$70:$GQ$73,$GT$58:$HF$61,$GT$64:$HF$67),MATCH($L$80,$EK$58:$EK$61,0),MATCH($A78,$EL$57:$EX$57,0),MATCH($E$35,$AE$33:$AE$48,0))*$C78</f>
        <v>0</v>
      </c>
      <c r="AA77" s="21">
        <f t="shared" si="106"/>
        <v>0</v>
      </c>
      <c r="AB77" s="21">
        <f t="shared" si="107"/>
        <v>0</v>
      </c>
      <c r="AC77" s="21"/>
      <c r="AD77" s="21"/>
      <c r="AE77" s="21"/>
      <c r="AF77" s="21"/>
      <c r="AG77" s="21"/>
      <c r="AH77" s="21"/>
      <c r="AI77" s="21"/>
      <c r="AJ77" s="21"/>
      <c r="AK77" s="21"/>
      <c r="AL77" s="21"/>
      <c r="AM77" s="21"/>
      <c r="AN77" s="21"/>
      <c r="AO77" s="21"/>
      <c r="AP77" s="21"/>
      <c r="AQ77" s="21"/>
      <c r="AR77" s="21"/>
      <c r="AS77" s="21"/>
      <c r="AT77" s="21"/>
      <c r="AU77" s="21"/>
      <c r="AV77" s="21"/>
      <c r="AW77" s="21"/>
      <c r="AX77" s="21"/>
      <c r="AY77" s="21"/>
      <c r="AZ77" s="21"/>
      <c r="BA77" s="21"/>
      <c r="BB77" s="21"/>
      <c r="BC77" s="21"/>
      <c r="BD77" s="21"/>
      <c r="BE77" s="21"/>
      <c r="BF77" s="21"/>
      <c r="BG77" s="21">
        <f t="shared" si="108"/>
        <v>1</v>
      </c>
      <c r="BH77" s="21"/>
      <c r="BI77" s="21"/>
      <c r="BJ77" s="21"/>
      <c r="BK77" s="21"/>
      <c r="BL77" s="21"/>
      <c r="BM77" s="21"/>
      <c r="BN77" s="21"/>
      <c r="BO77" s="21"/>
      <c r="BP77" s="21"/>
      <c r="BQ77" s="21"/>
      <c r="BR77" s="21"/>
      <c r="BS77" s="21"/>
      <c r="BT77" s="21"/>
      <c r="BU77" s="21"/>
      <c r="BV77" s="21"/>
      <c r="BW77" s="21"/>
      <c r="BX77" s="21"/>
      <c r="BY77" s="21"/>
      <c r="BZ77" s="21"/>
      <c r="CA77" s="21"/>
      <c r="CB77" s="21"/>
      <c r="CC77" s="21"/>
      <c r="CD77" s="21"/>
      <c r="CE77" s="21"/>
      <c r="CF77" s="21"/>
      <c r="CG77" s="21"/>
      <c r="CH77" s="21"/>
      <c r="CI77" s="21"/>
      <c r="CJ77" s="21"/>
      <c r="CK77" s="21"/>
      <c r="CL77" s="21"/>
      <c r="CM77" s="21"/>
      <c r="CN77" s="21"/>
      <c r="CO77" s="21"/>
      <c r="CP77" s="21"/>
      <c r="CQ77" s="21"/>
      <c r="CR77" s="21"/>
      <c r="CS77" s="21"/>
      <c r="CT77" s="21"/>
      <c r="CU77" s="21"/>
      <c r="CV77" s="21"/>
      <c r="CW77" s="21"/>
      <c r="CX77" s="21"/>
      <c r="CY77" s="21"/>
      <c r="CZ77" s="21"/>
      <c r="DA77" s="21"/>
      <c r="DB77" s="21"/>
      <c r="DC77" s="21"/>
      <c r="DD77" s="21"/>
      <c r="DE77" s="21"/>
      <c r="DF77" s="21"/>
      <c r="DG77" s="21"/>
      <c r="DH77" s="21"/>
      <c r="DI77" s="21"/>
      <c r="DJ77" s="21"/>
      <c r="DK77" s="21"/>
      <c r="DL77" s="21"/>
      <c r="DM77" s="21"/>
      <c r="DN77" s="21"/>
      <c r="DO77" s="21"/>
      <c r="DP77" s="21"/>
      <c r="DQ77" s="87"/>
      <c r="DR77" s="87"/>
      <c r="DS77" s="87"/>
      <c r="DT77" s="21"/>
      <c r="DU77" s="21"/>
      <c r="DV77" s="21"/>
      <c r="DW77" s="21"/>
      <c r="DX77" s="21"/>
      <c r="DY77" s="21"/>
      <c r="DZ77" s="21"/>
      <c r="EA77" s="21"/>
      <c r="EB77" s="21"/>
      <c r="EC77" s="21"/>
      <c r="ED77" s="21"/>
      <c r="EE77" s="21"/>
      <c r="EF77" s="21"/>
      <c r="EG77" s="21"/>
      <c r="EH77" s="21"/>
      <c r="EI77" s="21"/>
      <c r="EJ77" s="21"/>
      <c r="EK77" s="21"/>
      <c r="EL77" s="21"/>
      <c r="EM77" s="21"/>
      <c r="EN77" s="21"/>
      <c r="EO77" s="21"/>
      <c r="EP77" s="21"/>
      <c r="EQ77" s="21"/>
      <c r="ER77" s="21"/>
      <c r="ES77" s="21"/>
      <c r="ET77" s="21"/>
      <c r="EU77" s="21"/>
      <c r="EV77" s="21"/>
      <c r="EW77" s="21"/>
      <c r="EX77" s="21"/>
      <c r="EY77" s="21"/>
      <c r="EZ77" s="21"/>
      <c r="FA77" s="21"/>
      <c r="FB77" s="21"/>
      <c r="FC77" s="21"/>
      <c r="FD77" s="21"/>
      <c r="FE77" s="21"/>
      <c r="FF77" s="21"/>
      <c r="FG77" s="21"/>
      <c r="FH77" s="21"/>
      <c r="FI77" s="21"/>
      <c r="FJ77" s="21"/>
      <c r="FK77" s="21"/>
      <c r="FL77" s="21"/>
      <c r="FM77" s="21"/>
      <c r="FN77" s="21"/>
      <c r="FO77" s="21"/>
      <c r="FP77" s="21"/>
      <c r="FQ77" s="21"/>
      <c r="FR77" s="21"/>
      <c r="FS77" s="21"/>
      <c r="FT77" s="21"/>
      <c r="FU77" s="21"/>
      <c r="FV77" s="21"/>
      <c r="FW77" s="21"/>
      <c r="FX77" s="21"/>
      <c r="FY77" s="21"/>
      <c r="FZ77" s="21"/>
      <c r="GA77" s="21"/>
      <c r="GB77" s="21"/>
      <c r="GC77" s="21"/>
      <c r="GD77" s="21"/>
      <c r="GE77" s="21"/>
      <c r="GF77" s="21"/>
      <c r="GG77" s="21"/>
      <c r="GH77" s="21"/>
      <c r="GI77" s="21"/>
      <c r="GJ77" s="21"/>
      <c r="GK77" s="21"/>
      <c r="GL77" s="21"/>
      <c r="GM77" s="21"/>
      <c r="GN77" s="21"/>
      <c r="GO77" s="21"/>
      <c r="GP77" s="21"/>
      <c r="GQ77" s="21"/>
      <c r="GR77" s="21"/>
      <c r="GS77" s="21"/>
      <c r="GT77" s="21"/>
      <c r="GU77" s="21"/>
      <c r="GV77" s="21"/>
      <c r="GW77" s="21"/>
      <c r="GX77" s="21"/>
      <c r="GY77" s="21"/>
      <c r="GZ77" s="21"/>
      <c r="HA77" s="21"/>
      <c r="HB77" s="21"/>
      <c r="HC77" s="21"/>
      <c r="HD77" s="21"/>
      <c r="HE77" s="21"/>
      <c r="HF77" s="21"/>
      <c r="HG77" s="21"/>
      <c r="HH77" s="21"/>
    </row>
    <row r="78" spans="1:254" x14ac:dyDescent="0.25">
      <c r="A78" s="8"/>
      <c r="B78" s="5" t="s">
        <v>116</v>
      </c>
      <c r="C78" s="8"/>
      <c r="D78" s="40" t="s">
        <v>795</v>
      </c>
      <c r="E78" s="9"/>
      <c r="F78" s="9"/>
      <c r="G78" s="9"/>
      <c r="H78" s="9"/>
      <c r="I78" s="9"/>
      <c r="J78" s="9"/>
      <c r="K78" s="9"/>
      <c r="L78" s="6" t="s">
        <v>586</v>
      </c>
      <c r="M78" s="11">
        <f>INDEX(cennik!$C$2:$L$529,MATCH($L78,cennik!$B$2:$B$522,0),MATCH(M$2,cennik!$C$1:$L$1,0))</f>
        <v>867566</v>
      </c>
      <c r="N78" s="11" t="str">
        <f>INDEX(cennik!$C$2:$L$529,MATCH($L78,cennik!$B$2:$B$522,0),MATCH(N$2,cennik!$C$1:$L$1,0))</f>
        <v>szt.</v>
      </c>
      <c r="O78" s="11">
        <f>SUM(X65:X80)</f>
        <v>0</v>
      </c>
      <c r="P78" s="34">
        <f>INDEX(cennik!$C$2:$L$529,MATCH($L78,cennik!$B$2:$B$522,0),MATCH(P$2,cennik!$C$1:$L$1,0))</f>
        <v>265.20999999999998</v>
      </c>
      <c r="Q78" s="34">
        <f t="shared" si="125"/>
        <v>0</v>
      </c>
      <c r="R78" s="35">
        <f t="shared" si="122"/>
        <v>0</v>
      </c>
      <c r="S78" s="34">
        <f t="shared" si="123"/>
        <v>265.20999999999998</v>
      </c>
      <c r="T78" s="34">
        <f t="shared" si="124"/>
        <v>0</v>
      </c>
      <c r="U78" s="34">
        <f>INDEX(cennik!$C$2:$L$529,MATCH($L78,cennik!$B$2:$B$522,0),MATCH(U$2,cennik!$C$1:$L$1,0))*O78</f>
        <v>0</v>
      </c>
      <c r="V78" s="25"/>
      <c r="W78" s="21">
        <f>INDEX(($EL$58:$EX$61,$EL$64:$EX$67,$EL$70:$EX$73,$FA$58:$FM$61,$FA$64:$FM$67,$FA$70:$FM$73,$FP$58:$GB$61,$FP$64:$GB$67,$FP$70:$GB$73,$GE$58:$GQ$61,$GE$64:$GQ$67,$GE$70:$GQ$73,$GT$58:$HF$61,$GT$64:$HF$67),MATCH($L$81,$EK$58:$EK$61,0),MATCH($A79,$EL$57:$EX$57,0),MATCH($E$35,$AE$33:$AE$48,0))*$C79</f>
        <v>0</v>
      </c>
      <c r="X78" s="21">
        <f>INDEX(($EL$58:$EX$61,$EL$64:$EX$67,$EL$70:$EX$73,$FA$58:$FM$61,$FA$64:$FM$67,$FA$70:$FM$73,$FP$58:$GB$61,$FP$64:$GB$67,$FP$70:$GB$73,$GE$58:$GQ$61,$GE$64:$GQ$67,$GE$70:$GQ$73,$GT$58:$HF$61,$GT$64:$HF$67),MATCH($L$78,$EK$58:$EK$61,0),MATCH($A79,$EL$57:$EX$57,0),MATCH($E$35,$AE$33:$AE$48,0))*$C79</f>
        <v>0</v>
      </c>
      <c r="Y78" s="21">
        <f>INDEX(($EL$58:$EX$61,$EL$64:$EX$67,$EL$70:$EX$73,$FA$58:$FM$61,$FA$64:$FM$67,$FA$70:$FM$73,$FP$58:$GB$61,$FP$64:$GB$67,$FP$70:$GB$73,$GE$58:$GQ$61,$GE$64:$GQ$67,$GE$70:$GQ$73,$GT$58:$HF$61,$GT$64:$HF$67),MATCH($L$79,$EK$58:$EK$61,0),MATCH($A79,$EL$57:$EX$57,0),MATCH($E$35,$AE$33:$AE$48,0))*$C79</f>
        <v>0</v>
      </c>
      <c r="Z78" s="21">
        <f>INDEX(($EL$58:$EX$61,$EL$64:$EX$67,$EL$70:$EX$73,$FA$58:$FM$61,$FA$64:$FM$67,$FA$70:$FM$73,$FP$58:$GB$61,$FP$64:$GB$67,$FP$70:$GB$73,$GE$58:$GQ$61,$GE$64:$GQ$67,$GE$70:$GQ$73,$GT$58:$HF$61,$GT$64:$HF$67),MATCH($L$80,$EK$58:$EK$61,0),MATCH($A79,$EL$57:$EX$57,0),MATCH($E$35,$AE$33:$AE$48,0))*$C79</f>
        <v>0</v>
      </c>
      <c r="AA78" s="21">
        <f t="shared" si="106"/>
        <v>0</v>
      </c>
      <c r="AB78" s="21">
        <f t="shared" si="107"/>
        <v>0</v>
      </c>
      <c r="AC78" s="21"/>
      <c r="AD78" s="21"/>
      <c r="AE78" s="21"/>
      <c r="AF78" s="21"/>
      <c r="AG78" s="21"/>
      <c r="AH78" s="21"/>
      <c r="AI78" s="21"/>
      <c r="AJ78" s="21"/>
      <c r="AK78" s="21"/>
      <c r="AL78" s="21"/>
      <c r="AM78" s="21"/>
      <c r="AN78" s="21"/>
      <c r="AO78" s="21"/>
      <c r="AP78" s="186" t="s">
        <v>729</v>
      </c>
      <c r="AQ78" s="21"/>
      <c r="AR78" s="21"/>
      <c r="AS78" s="21"/>
      <c r="AT78" s="21"/>
      <c r="AU78" s="21"/>
      <c r="BA78" s="21"/>
      <c r="BB78" s="21"/>
      <c r="BC78" s="21"/>
      <c r="BD78" s="21"/>
      <c r="BE78" s="21"/>
      <c r="BF78" s="21"/>
      <c r="BG78" s="21">
        <f t="shared" si="108"/>
        <v>1</v>
      </c>
      <c r="BH78" s="21"/>
      <c r="BI78" s="21"/>
      <c r="BJ78" s="21"/>
      <c r="BK78" s="21"/>
      <c r="BL78" s="21"/>
      <c r="BM78" s="21"/>
      <c r="BN78" s="21"/>
      <c r="BO78" s="21"/>
      <c r="BP78" s="21"/>
      <c r="BQ78" s="21"/>
      <c r="BR78" s="21"/>
      <c r="BS78" s="21"/>
      <c r="BT78" s="21"/>
      <c r="BU78" s="21"/>
      <c r="BV78" s="21"/>
      <c r="BW78" s="21"/>
      <c r="BX78" s="21"/>
      <c r="BY78" s="21"/>
      <c r="BZ78" s="21"/>
      <c r="CA78" s="21"/>
      <c r="CB78" s="21"/>
      <c r="CC78" s="21"/>
      <c r="CD78" s="21"/>
      <c r="CE78" s="21"/>
      <c r="CF78" s="21"/>
      <c r="CG78" s="21"/>
      <c r="CH78" s="21"/>
      <c r="CI78" s="21"/>
      <c r="CJ78" s="21"/>
      <c r="CK78" s="21"/>
      <c r="CL78" s="21"/>
      <c r="CM78" s="21"/>
      <c r="CN78" s="21"/>
      <c r="CO78" s="21"/>
      <c r="CP78" s="21"/>
      <c r="CQ78" s="21"/>
      <c r="CR78" s="21"/>
      <c r="CS78" s="21"/>
      <c r="CT78" s="21"/>
      <c r="CU78" s="21"/>
      <c r="CV78" s="21"/>
      <c r="CW78" s="21"/>
      <c r="CX78" s="21"/>
      <c r="CY78" s="21"/>
      <c r="CZ78" s="21"/>
      <c r="DA78" s="21"/>
      <c r="DB78" s="21"/>
      <c r="DC78" s="21"/>
      <c r="DD78" s="21"/>
      <c r="DE78" s="21"/>
      <c r="DF78" s="21"/>
      <c r="DG78" s="21"/>
      <c r="DH78" s="21"/>
      <c r="DI78" s="21"/>
      <c r="DJ78" s="21"/>
      <c r="DK78" s="21"/>
      <c r="DL78" s="21"/>
      <c r="DM78" s="21"/>
      <c r="DN78" s="21"/>
      <c r="DO78" s="21"/>
      <c r="DP78" s="21"/>
      <c r="DQ78" s="87"/>
      <c r="DR78" s="87"/>
      <c r="DS78" s="87"/>
      <c r="DT78" s="21"/>
      <c r="DU78" s="21"/>
      <c r="DV78" s="21"/>
      <c r="DW78" s="21"/>
      <c r="DX78" s="21"/>
      <c r="DY78" s="21"/>
      <c r="DZ78" s="21"/>
      <c r="EA78" s="21"/>
      <c r="EB78" s="21"/>
      <c r="EC78" s="21"/>
      <c r="ED78" s="21"/>
      <c r="EE78" s="21"/>
      <c r="EF78" s="21"/>
      <c r="EG78" s="21"/>
      <c r="EH78" s="21"/>
      <c r="EI78" s="21"/>
      <c r="EJ78" s="21"/>
      <c r="EK78" s="21"/>
      <c r="EL78" s="21"/>
      <c r="EM78" s="21"/>
      <c r="EN78" s="21"/>
      <c r="EO78" s="21"/>
      <c r="EP78" s="21"/>
      <c r="EQ78" s="21"/>
      <c r="ER78" s="21"/>
      <c r="ES78" s="21"/>
      <c r="ET78" s="21"/>
      <c r="EU78" s="21"/>
      <c r="EV78" s="21"/>
      <c r="EW78" s="21"/>
      <c r="EX78" s="21"/>
      <c r="EY78" s="21"/>
      <c r="EZ78" s="21"/>
      <c r="FA78" s="21"/>
      <c r="FB78" s="21"/>
      <c r="FC78" s="21"/>
      <c r="FD78" s="21"/>
      <c r="FE78" s="21"/>
      <c r="FF78" s="21"/>
      <c r="FG78" s="21"/>
      <c r="FH78" s="21"/>
      <c r="FI78" s="21"/>
      <c r="FJ78" s="21"/>
      <c r="FK78" s="21"/>
      <c r="FL78" s="21"/>
      <c r="FM78" s="21"/>
      <c r="FN78" s="21"/>
      <c r="FO78" s="21"/>
      <c r="FP78" s="21"/>
      <c r="FQ78" s="21"/>
      <c r="FR78" s="21"/>
      <c r="FS78" s="21"/>
      <c r="FT78" s="21"/>
      <c r="FU78" s="21"/>
      <c r="FV78" s="21"/>
      <c r="FW78" s="21"/>
      <c r="FX78" s="21"/>
      <c r="FY78" s="21"/>
      <c r="FZ78" s="21"/>
      <c r="GA78" s="21"/>
      <c r="GB78" s="21"/>
      <c r="GC78" s="21"/>
      <c r="GD78" s="21"/>
      <c r="GE78" s="21"/>
      <c r="GF78" s="21"/>
      <c r="GG78" s="21"/>
      <c r="GH78" s="21"/>
      <c r="GI78" s="21"/>
      <c r="GJ78" s="21"/>
      <c r="GK78" s="21"/>
      <c r="GL78" s="21"/>
      <c r="GM78" s="21"/>
      <c r="GN78" s="21"/>
      <c r="GO78" s="21"/>
      <c r="GP78" s="21"/>
      <c r="GQ78" s="21"/>
      <c r="GR78" s="21"/>
      <c r="GS78" s="21"/>
      <c r="GT78" s="21"/>
      <c r="GU78" s="21"/>
      <c r="GV78" s="21"/>
      <c r="GW78" s="21"/>
      <c r="GX78" s="21"/>
      <c r="GY78" s="21"/>
      <c r="GZ78" s="21"/>
      <c r="HA78" s="21"/>
      <c r="HB78" s="21"/>
      <c r="HC78" s="21"/>
      <c r="HD78" s="21"/>
      <c r="HE78" s="21"/>
      <c r="HF78" s="21"/>
      <c r="HG78" s="21"/>
      <c r="HH78" s="21"/>
    </row>
    <row r="79" spans="1:254" ht="15.75" thickBot="1" x14ac:dyDescent="0.3">
      <c r="A79" s="8"/>
      <c r="B79" s="5" t="s">
        <v>116</v>
      </c>
      <c r="C79" s="8"/>
      <c r="D79" s="40" t="s">
        <v>796</v>
      </c>
      <c r="E79" s="9"/>
      <c r="F79" s="9"/>
      <c r="G79" s="9"/>
      <c r="H79" s="9"/>
      <c r="I79" s="9"/>
      <c r="J79" s="9"/>
      <c r="K79" s="9"/>
      <c r="L79" s="6" t="s">
        <v>522</v>
      </c>
      <c r="M79" s="11">
        <f>INDEX(cennik!$C$2:$L$529,MATCH($L79,cennik!$B$2:$B$522,0),MATCH(M$2,cennik!$C$1:$L$1,0))</f>
        <v>867644</v>
      </c>
      <c r="N79" s="11" t="str">
        <f>INDEX(cennik!$C$2:$L$529,MATCH($L79,cennik!$B$2:$B$522,0),MATCH(N$2,cennik!$C$1:$L$1,0))</f>
        <v>szt.</v>
      </c>
      <c r="O79" s="11">
        <f>SUM(Y65:Y80)</f>
        <v>0</v>
      </c>
      <c r="P79" s="34">
        <f>INDEX(cennik!$C$2:$L$529,MATCH($L79,cennik!$B$2:$B$522,0),MATCH(P$2,cennik!$C$1:$L$1,0))</f>
        <v>176.8</v>
      </c>
      <c r="Q79" s="34">
        <f t="shared" si="125"/>
        <v>0</v>
      </c>
      <c r="R79" s="35">
        <f t="shared" si="122"/>
        <v>0</v>
      </c>
      <c r="S79" s="34">
        <f t="shared" si="123"/>
        <v>176.8</v>
      </c>
      <c r="T79" s="34">
        <f t="shared" si="124"/>
        <v>0</v>
      </c>
      <c r="U79" s="34">
        <f>INDEX(cennik!$C$2:$L$529,MATCH($L79,cennik!$B$2:$B$522,0),MATCH(U$2,cennik!$C$1:$L$1,0))*O79</f>
        <v>0</v>
      </c>
      <c r="V79" s="25"/>
      <c r="W79" s="21">
        <f>INDEX(($EL$58:$EX$61,$EL$64:$EX$67,$EL$70:$EX$73,$FA$58:$FM$61,$FA$64:$FM$67,$FA$70:$FM$73,$FP$58:$GB$61,$FP$64:$GB$67,$FP$70:$GB$73,$GE$58:$GQ$61,$GE$64:$GQ$67,$GE$70:$GQ$73,$GT$58:$HF$61,$GT$64:$HF$67),MATCH($L$81,$EK$58:$EK$61,0),MATCH($A80,$EL$57:$EX$57,0),MATCH($E$35,$AE$33:$AE$48,0))*$C80</f>
        <v>0</v>
      </c>
      <c r="X79" s="21">
        <f>INDEX(($EL$58:$EX$61,$EL$64:$EX$67,$EL$70:$EX$73,$FA$58:$FM$61,$FA$64:$FM$67,$FA$70:$FM$73,$FP$58:$GB$61,$FP$64:$GB$67,$FP$70:$GB$73,$GE$58:$GQ$61,$GE$64:$GQ$67,$GE$70:$GQ$73,$GT$58:$HF$61,$GT$64:$HF$67),MATCH($L$78,$EK$58:$EK$61,0),MATCH($A80,$EL$57:$EX$57,0),MATCH($E$35,$AE$33:$AE$48,0))*$C80</f>
        <v>0</v>
      </c>
      <c r="Y79" s="21">
        <f>INDEX(($EL$58:$EX$61,$EL$64:$EX$67,$EL$70:$EX$73,$FA$58:$FM$61,$FA$64:$FM$67,$FA$70:$FM$73,$FP$58:$GB$61,$FP$64:$GB$67,$FP$70:$GB$73,$GE$58:$GQ$61,$GE$64:$GQ$67,$GE$70:$GQ$73,$GT$58:$HF$61,$GT$64:$HF$67),MATCH($L$79,$EK$58:$EK$61,0),MATCH($A80,$EL$57:$EX$57,0),MATCH($E$35,$AE$33:$AE$48,0))*$C80</f>
        <v>0</v>
      </c>
      <c r="Z79" s="21">
        <f>INDEX(($EL$58:$EX$61,$EL$64:$EX$67,$EL$70:$EX$73,$FA$58:$FM$61,$FA$64:$FM$67,$FA$70:$FM$73,$FP$58:$GB$61,$FP$64:$GB$67,$FP$70:$GB$73,$GE$58:$GQ$61,$GE$64:$GQ$67,$GE$70:$GQ$73,$GT$58:$HF$61,$GT$64:$HF$67),MATCH($L$80,$EK$58:$EK$61,0),MATCH($A80,$EL$57:$EX$57,0),MATCH($E$35,$AE$33:$AE$48,0))*$C80</f>
        <v>0</v>
      </c>
      <c r="AA79" s="21"/>
      <c r="AB79" s="21"/>
      <c r="AC79" s="21"/>
      <c r="AD79" s="21"/>
      <c r="AE79" s="21"/>
      <c r="AF79" s="21"/>
      <c r="AG79" s="21"/>
      <c r="AH79" s="21"/>
      <c r="AI79" s="21"/>
      <c r="AJ79" s="21"/>
      <c r="AK79" s="21"/>
      <c r="AL79" s="21"/>
      <c r="AM79" s="21"/>
      <c r="AN79" s="21"/>
      <c r="AO79" s="21"/>
      <c r="AP79" s="21">
        <v>25</v>
      </c>
      <c r="AQ79" s="21" t="s">
        <v>314</v>
      </c>
      <c r="AR79" s="21" t="s">
        <v>312</v>
      </c>
      <c r="AS79" s="21" t="s">
        <v>309</v>
      </c>
      <c r="AT79" s="21" t="s">
        <v>313</v>
      </c>
      <c r="AU79" s="21"/>
      <c r="BA79" s="21"/>
      <c r="BB79" s="21"/>
      <c r="BC79" s="21"/>
      <c r="BD79" s="21"/>
      <c r="BE79" s="21"/>
      <c r="BF79" s="21"/>
      <c r="BG79" s="21"/>
      <c r="BH79" s="21"/>
      <c r="BI79" s="21"/>
      <c r="BJ79" s="21"/>
      <c r="BK79" s="21"/>
      <c r="BL79" s="21"/>
      <c r="BM79" s="21"/>
      <c r="BN79" s="21"/>
      <c r="BO79" s="21"/>
      <c r="BP79" s="21"/>
      <c r="BQ79" s="21"/>
      <c r="BR79" s="21"/>
      <c r="BS79" s="21"/>
      <c r="BT79" s="21"/>
      <c r="BU79" s="21"/>
      <c r="BV79" s="21"/>
      <c r="BW79" s="21"/>
      <c r="BX79" s="21"/>
      <c r="BY79" s="21"/>
      <c r="BZ79" s="21"/>
      <c r="CA79" s="21"/>
      <c r="CB79" s="21"/>
      <c r="CC79" s="21"/>
      <c r="CD79" s="21"/>
      <c r="CE79" s="21"/>
      <c r="CF79" s="21"/>
      <c r="CG79" s="21"/>
      <c r="CH79" s="21"/>
      <c r="CI79" s="21"/>
      <c r="CJ79" s="21"/>
      <c r="CK79" s="21"/>
      <c r="CL79" s="21"/>
      <c r="CM79" s="21"/>
      <c r="CN79" s="21"/>
      <c r="CO79" s="21"/>
      <c r="CP79" s="21"/>
      <c r="CQ79" s="21"/>
      <c r="CR79" s="21"/>
      <c r="CS79" s="21"/>
      <c r="CT79" s="21"/>
      <c r="CU79" s="21"/>
      <c r="CV79" s="21"/>
      <c r="CW79" s="21"/>
      <c r="CX79" s="21"/>
      <c r="CY79" s="21"/>
      <c r="CZ79" s="21"/>
      <c r="DA79" s="21"/>
      <c r="DB79" s="21"/>
      <c r="DC79" s="21"/>
      <c r="DD79" s="21"/>
      <c r="DE79" s="21"/>
      <c r="DF79" s="21"/>
      <c r="DG79" s="21"/>
      <c r="DH79" s="21"/>
      <c r="DI79" s="21"/>
      <c r="DJ79" s="21"/>
      <c r="DK79" s="21"/>
      <c r="DL79" s="21"/>
      <c r="DM79" s="21"/>
      <c r="DN79" s="21"/>
      <c r="DO79" s="21"/>
      <c r="DP79" s="21"/>
      <c r="DQ79" s="87"/>
      <c r="DR79" s="87"/>
      <c r="DS79" s="87"/>
      <c r="DT79" s="21"/>
      <c r="DU79" s="21"/>
      <c r="DV79" s="21"/>
      <c r="DW79" s="21"/>
      <c r="DX79" s="21"/>
      <c r="DY79" s="21"/>
      <c r="DZ79" s="21"/>
      <c r="EA79" s="21"/>
      <c r="EB79" s="21"/>
      <c r="EC79" s="21"/>
      <c r="ED79" s="21"/>
      <c r="EE79" s="21"/>
      <c r="EF79" s="21"/>
      <c r="EG79" s="21"/>
      <c r="EH79" s="21"/>
      <c r="EI79" s="21"/>
      <c r="EJ79" s="21"/>
      <c r="EK79" s="21"/>
      <c r="EL79" s="21"/>
      <c r="EM79" s="21"/>
      <c r="EN79" s="21"/>
      <c r="EO79" s="21"/>
      <c r="EP79" s="21"/>
      <c r="EQ79" s="21"/>
      <c r="ER79" s="21"/>
      <c r="ES79" s="21"/>
      <c r="ET79" s="21"/>
      <c r="EU79" s="21"/>
      <c r="EV79" s="21"/>
      <c r="EW79" s="21"/>
      <c r="EX79" s="21"/>
      <c r="EY79" s="21"/>
      <c r="EZ79" s="21"/>
      <c r="FA79" s="21"/>
      <c r="FB79" s="21"/>
      <c r="FC79" s="21"/>
      <c r="FD79" s="21"/>
      <c r="FE79" s="21"/>
      <c r="FF79" s="21"/>
      <c r="FG79" s="21"/>
      <c r="FH79" s="21"/>
      <c r="FI79" s="21"/>
      <c r="FJ79" s="21"/>
      <c r="FK79" s="21"/>
      <c r="FL79" s="21"/>
      <c r="FM79" s="21"/>
      <c r="FN79" s="21"/>
      <c r="FO79" s="21"/>
      <c r="FP79" s="21"/>
      <c r="FQ79" s="21"/>
      <c r="FR79" s="21"/>
      <c r="FS79" s="21"/>
      <c r="FT79" s="21"/>
      <c r="FU79" s="21"/>
      <c r="FV79" s="21"/>
      <c r="FW79" s="21"/>
      <c r="FX79" s="21"/>
      <c r="FY79" s="21"/>
      <c r="FZ79" s="21"/>
      <c r="GA79" s="21"/>
      <c r="GB79" s="21"/>
      <c r="GC79" s="21"/>
      <c r="GD79" s="21"/>
      <c r="GE79" s="21"/>
      <c r="GF79" s="21"/>
      <c r="GG79" s="21"/>
      <c r="GH79" s="21"/>
      <c r="GI79" s="21"/>
      <c r="GJ79" s="21"/>
      <c r="GK79" s="21"/>
      <c r="GL79" s="21"/>
      <c r="GM79" s="21"/>
      <c r="GN79" s="21"/>
      <c r="GO79" s="21"/>
      <c r="GP79" s="21"/>
      <c r="GQ79" s="21"/>
      <c r="GR79" s="21"/>
      <c r="GS79" s="21"/>
      <c r="GT79" s="21"/>
      <c r="GU79" s="21"/>
      <c r="GV79" s="21"/>
      <c r="GW79" s="21"/>
      <c r="GX79" s="21"/>
      <c r="GY79" s="21"/>
      <c r="GZ79" s="21"/>
      <c r="HA79" s="21"/>
      <c r="HB79" s="21"/>
      <c r="HC79" s="21"/>
      <c r="HD79" s="21"/>
      <c r="HE79" s="21"/>
      <c r="HF79" s="21"/>
      <c r="HG79" s="21"/>
      <c r="HH79" s="21"/>
    </row>
    <row r="80" spans="1:254" x14ac:dyDescent="0.25">
      <c r="A80" s="8"/>
      <c r="B80" s="5" t="s">
        <v>116</v>
      </c>
      <c r="C80" s="8"/>
      <c r="D80" s="40" t="s">
        <v>797</v>
      </c>
      <c r="E80" s="9"/>
      <c r="F80" s="9"/>
      <c r="G80" s="9"/>
      <c r="H80" s="9"/>
      <c r="I80" s="9"/>
      <c r="J80" s="9"/>
      <c r="K80" s="9"/>
      <c r="L80" s="6" t="s">
        <v>523</v>
      </c>
      <c r="M80" s="11">
        <f>INDEX(cennik!$C$2:$L$529,MATCH($L80,cennik!$B$2:$B$522,0),MATCH(M$2,cennik!$C$1:$L$1,0))</f>
        <v>867633</v>
      </c>
      <c r="N80" s="11" t="str">
        <f>INDEX(cennik!$C$2:$L$529,MATCH($L80,cennik!$B$2:$B$522,0),MATCH(N$2,cennik!$C$1:$L$1,0))</f>
        <v>szt.</v>
      </c>
      <c r="O80" s="11">
        <f>SUM(Z65:Z80)</f>
        <v>0</v>
      </c>
      <c r="P80" s="34">
        <f>INDEX(cennik!$C$2:$L$529,MATCH($L80,cennik!$B$2:$B$522,0),MATCH(P$2,cennik!$C$1:$L$1,0))</f>
        <v>132.6</v>
      </c>
      <c r="Q80" s="34">
        <f t="shared" si="125"/>
        <v>0</v>
      </c>
      <c r="R80" s="35">
        <f t="shared" si="122"/>
        <v>0</v>
      </c>
      <c r="S80" s="34">
        <f t="shared" si="123"/>
        <v>132.6</v>
      </c>
      <c r="T80" s="34">
        <f t="shared" si="124"/>
        <v>0</v>
      </c>
      <c r="U80" s="34">
        <f>INDEX(cennik!$C$2:$L$529,MATCH($L80,cennik!$B$2:$B$522,0),MATCH(U$2,cennik!$C$1:$L$1,0))*O80</f>
        <v>0</v>
      </c>
      <c r="V80" s="25"/>
      <c r="W80" s="21">
        <f>INDEX(($EL$58:$EX$61,$EL$64:$EX$67,$EL$70:$EX$73,$FA$58:$FM$61,$FA$64:$FM$67,$FA$70:$FM$73,$FP$58:$GB$61,$FP$64:$GB$67,$FP$70:$GB$73,$GE$58:$GQ$61,$GE$64:$GQ$67,$GE$70:$GQ$73,$GT$58:$HF$61,$GT$64:$HF$67),MATCH($L$81,$EK$58:$EK$61,0),MATCH($A81,$EL$57:$EX$57,0),MATCH($E$35,$AE$33:$AE$48,0))*$C81</f>
        <v>0</v>
      </c>
      <c r="X80" s="21">
        <f>INDEX(($EL$58:$EX$61,$EL$64:$EX$67,$EL$70:$EX$73,$FA$58:$FM$61,$FA$64:$FM$67,$FA$70:$FM$73,$FP$58:$GB$61,$FP$64:$GB$67,$FP$70:$GB$73,$GE$58:$GQ$61,$GE$64:$GQ$67,$GE$70:$GQ$73,$GT$58:$HF$61,$GT$64:$HF$67),MATCH($L$78,$EK$58:$EK$61,0),MATCH($A81,$EL$57:$EX$57,0),MATCH($E$35,$AE$33:$AE$48,0))*$C81</f>
        <v>0</v>
      </c>
      <c r="Y80" s="21">
        <f>INDEX(($EL$58:$EX$61,$EL$64:$EX$67,$EL$70:$EX$73,$FA$58:$FM$61,$FA$64:$FM$67,$FA$70:$FM$73,$FP$58:$GB$61,$FP$64:$GB$67,$FP$70:$GB$73,$GE$58:$GQ$61,$GE$64:$GQ$67,$GE$70:$GQ$73,$GT$58:$HF$61,$GT$64:$HF$67),MATCH($L$79,$EK$58:$EK$61,0),MATCH($A81,$EL$57:$EX$57,0),MATCH($E$35,$AE$33:$AE$48,0))*$C81</f>
        <v>0</v>
      </c>
      <c r="Z80" s="21">
        <f>INDEX(($EL$58:$EX$61,$EL$64:$EX$67,$EL$70:$EX$73,$FA$58:$FM$61,$FA$64:$FM$67,$FA$70:$FM$73,$FP$58:$GB$61,$FP$64:$GB$67,$FP$70:$GB$73,$GE$58:$GQ$61,$GE$64:$GQ$67,$GE$70:$GQ$73,$GT$58:$HF$61,$GT$64:$HF$67),MATCH($L$80,$EK$58:$EK$61,0),MATCH($A81,$EL$57:$EX$57,0),MATCH($E$35,$AE$33:$AE$48,0))*$C81</f>
        <v>0</v>
      </c>
      <c r="AA80" s="21"/>
      <c r="AB80" s="21"/>
      <c r="AC80" s="21"/>
      <c r="AD80" s="21"/>
      <c r="AE80" s="21"/>
      <c r="AF80" s="21"/>
      <c r="AG80" s="21"/>
      <c r="AH80" s="21"/>
      <c r="AI80" s="21"/>
      <c r="AJ80" s="21"/>
      <c r="AK80" s="21"/>
      <c r="AL80" s="21"/>
      <c r="AM80" s="21"/>
      <c r="AN80" s="21"/>
      <c r="AO80" s="21"/>
      <c r="AP80" s="21" t="s">
        <v>111</v>
      </c>
      <c r="AQ80" s="21" t="s">
        <v>590</v>
      </c>
      <c r="AR80" s="21" t="s">
        <v>589</v>
      </c>
      <c r="AS80" s="21" t="s">
        <v>588</v>
      </c>
      <c r="AT80" s="21" t="s">
        <v>588</v>
      </c>
      <c r="AU80" s="21"/>
      <c r="BA80" s="21"/>
      <c r="BB80" s="21"/>
      <c r="BC80" s="21"/>
      <c r="BD80" s="21"/>
      <c r="BE80" s="21"/>
      <c r="BF80" s="21"/>
      <c r="BG80" s="21"/>
      <c r="BH80" s="21"/>
      <c r="BI80" s="21"/>
      <c r="BJ80" s="21"/>
      <c r="BK80" s="21"/>
      <c r="BL80" s="21"/>
      <c r="BM80" s="21"/>
      <c r="BN80" s="21"/>
      <c r="BO80" s="21"/>
      <c r="BP80" s="21"/>
      <c r="BQ80" s="21"/>
      <c r="BR80" s="21"/>
      <c r="BS80" s="21"/>
      <c r="BT80" s="21"/>
      <c r="BU80" s="21"/>
      <c r="BV80" s="21"/>
      <c r="BW80" s="21"/>
      <c r="BX80" s="21"/>
      <c r="BY80" s="21"/>
      <c r="BZ80" s="21"/>
      <c r="CA80" s="21"/>
      <c r="CB80" s="21"/>
      <c r="CC80" s="21"/>
      <c r="CD80" s="21"/>
      <c r="CE80" s="21"/>
      <c r="CF80" s="21"/>
      <c r="CG80" s="21"/>
      <c r="CH80" s="21"/>
      <c r="CI80" s="21"/>
      <c r="CJ80" s="21"/>
      <c r="CK80" s="21"/>
      <c r="CL80" s="21"/>
      <c r="CM80" s="21"/>
      <c r="CN80" s="21"/>
      <c r="CO80" s="21"/>
      <c r="CP80" s="21"/>
      <c r="CQ80" s="21"/>
      <c r="CR80" s="21"/>
      <c r="CS80" s="21"/>
      <c r="CT80" s="21"/>
      <c r="CU80" s="21"/>
      <c r="CV80" s="21"/>
      <c r="CW80" s="21"/>
      <c r="CX80" s="21"/>
      <c r="CY80" s="21"/>
      <c r="CZ80" s="21"/>
      <c r="DA80" s="21"/>
      <c r="DB80" s="21"/>
      <c r="DC80" s="21"/>
      <c r="DD80" s="21"/>
      <c r="DE80" s="21"/>
      <c r="DF80" s="21"/>
      <c r="DG80" s="21"/>
      <c r="DH80" s="21"/>
      <c r="DI80" s="21"/>
      <c r="DJ80" s="21"/>
      <c r="DK80" s="21"/>
      <c r="DL80" s="21"/>
      <c r="DM80" s="21"/>
      <c r="DN80" s="21"/>
      <c r="DO80" s="21"/>
      <c r="DP80" s="21"/>
      <c r="DQ80" s="87"/>
      <c r="DR80" s="87"/>
      <c r="DS80" s="87"/>
      <c r="DT80" s="21"/>
      <c r="DU80" s="21"/>
      <c r="DV80" s="21"/>
      <c r="DW80" s="21"/>
      <c r="DX80" s="21"/>
      <c r="DY80" s="21"/>
      <c r="DZ80" s="21"/>
      <c r="EA80" s="21"/>
      <c r="EB80" s="21"/>
      <c r="EC80" s="21"/>
      <c r="ED80" s="21"/>
      <c r="EE80" s="21"/>
      <c r="EF80" s="21"/>
      <c r="EG80" s="21"/>
      <c r="EH80" s="21"/>
      <c r="EI80" s="21"/>
      <c r="EJ80" s="193"/>
      <c r="EK80" s="194"/>
      <c r="EL80" s="194"/>
      <c r="EM80" s="194"/>
      <c r="EN80" s="194"/>
      <c r="EO80" s="194"/>
      <c r="EP80" s="194"/>
      <c r="EQ80" s="194"/>
      <c r="ER80" s="194"/>
      <c r="ES80" s="194"/>
      <c r="ET80" s="194"/>
      <c r="EU80" s="194"/>
      <c r="EV80" s="194"/>
      <c r="EW80" s="194"/>
      <c r="EX80" s="194"/>
      <c r="EY80" s="194"/>
      <c r="EZ80" s="194"/>
      <c r="FA80" s="194"/>
      <c r="FB80" s="194"/>
      <c r="FC80" s="194"/>
      <c r="FD80" s="194"/>
      <c r="FE80" s="194"/>
      <c r="FF80" s="194"/>
      <c r="FG80" s="194"/>
      <c r="FH80" s="194"/>
      <c r="FI80" s="194"/>
      <c r="FJ80" s="194"/>
      <c r="FK80" s="194"/>
      <c r="FL80" s="194"/>
      <c r="FM80" s="194"/>
      <c r="FN80" s="194"/>
      <c r="FO80" s="194"/>
      <c r="FP80" s="194"/>
      <c r="FQ80" s="194"/>
      <c r="FR80" s="194"/>
      <c r="FS80" s="194"/>
      <c r="FT80" s="194"/>
      <c r="FU80" s="194"/>
      <c r="FV80" s="194"/>
      <c r="FW80" s="194"/>
      <c r="FX80" s="194"/>
      <c r="FY80" s="194"/>
      <c r="FZ80" s="194"/>
      <c r="GA80" s="194"/>
      <c r="GB80" s="194"/>
      <c r="GC80" s="194"/>
      <c r="GD80" s="194"/>
      <c r="GE80" s="194"/>
      <c r="GF80" s="194"/>
      <c r="GG80" s="194"/>
      <c r="GH80" s="194"/>
      <c r="GI80" s="194"/>
      <c r="GJ80" s="194"/>
      <c r="GK80" s="194"/>
      <c r="GL80" s="194"/>
      <c r="GM80" s="194"/>
      <c r="GN80" s="194"/>
      <c r="GO80" s="194"/>
      <c r="GP80" s="194"/>
      <c r="GQ80" s="194"/>
      <c r="GR80" s="194"/>
      <c r="GS80" s="194"/>
      <c r="GT80" s="194"/>
      <c r="GU80" s="194"/>
      <c r="GV80" s="194"/>
      <c r="GW80" s="194"/>
      <c r="GX80" s="194"/>
      <c r="GY80" s="194"/>
      <c r="GZ80" s="194"/>
      <c r="HA80" s="194"/>
      <c r="HB80" s="194"/>
      <c r="HC80" s="194"/>
      <c r="HD80" s="194"/>
      <c r="HE80" s="194"/>
      <c r="HF80" s="194"/>
      <c r="HG80" s="194"/>
      <c r="HH80" s="194"/>
      <c r="HI80" s="206"/>
      <c r="HJ80" s="206"/>
      <c r="HK80" s="206"/>
      <c r="HL80" s="206"/>
      <c r="HM80" s="206"/>
      <c r="HN80" s="206"/>
      <c r="HO80" s="206"/>
      <c r="HP80" s="206"/>
      <c r="HQ80" s="206"/>
      <c r="HR80" s="206"/>
      <c r="HS80" s="206"/>
      <c r="HT80" s="206"/>
      <c r="HU80" s="206"/>
      <c r="HV80" s="206"/>
      <c r="HW80" s="206"/>
      <c r="HX80" s="206"/>
      <c r="HY80" s="206"/>
      <c r="HZ80" s="206"/>
      <c r="IA80" s="206"/>
      <c r="IB80" s="206"/>
      <c r="IC80" s="206"/>
      <c r="ID80" s="206"/>
      <c r="IE80" s="206"/>
      <c r="IF80" s="206"/>
      <c r="IG80" s="206"/>
      <c r="IH80" s="206"/>
      <c r="II80" s="206"/>
      <c r="IJ80" s="206"/>
      <c r="IK80" s="206"/>
      <c r="IL80" s="206"/>
      <c r="IM80" s="206"/>
      <c r="IN80" s="206"/>
      <c r="IO80" s="206"/>
      <c r="IP80" s="206"/>
      <c r="IQ80" s="206"/>
      <c r="IR80" s="206"/>
      <c r="IS80" s="206"/>
      <c r="IT80" s="207"/>
    </row>
    <row r="81" spans="1:254" x14ac:dyDescent="0.25">
      <c r="A81" s="8"/>
      <c r="B81" s="5" t="s">
        <v>116</v>
      </c>
      <c r="C81" s="8"/>
      <c r="D81" s="40" t="s">
        <v>798</v>
      </c>
      <c r="E81" s="9"/>
      <c r="F81" s="9"/>
      <c r="G81" s="9"/>
      <c r="H81" s="9"/>
      <c r="I81" s="9"/>
      <c r="J81" s="9"/>
      <c r="K81" s="9"/>
      <c r="L81" s="6" t="s">
        <v>779</v>
      </c>
      <c r="M81" s="11">
        <f>INDEX(cennik!$C$2:$L$529,MATCH($L81,cennik!$B$2:$B$522,0),MATCH(M$2,cennik!$C$1:$L$1,0))</f>
        <v>856105</v>
      </c>
      <c r="N81" s="11" t="str">
        <f>INDEX(cennik!$C$2:$L$529,MATCH($L81,cennik!$B$2:$B$522,0),MATCH(N$2,cennik!$C$1:$L$1,0))</f>
        <v>szt.</v>
      </c>
      <c r="O81" s="11">
        <f>SUM(W65:W80)</f>
        <v>0</v>
      </c>
      <c r="P81" s="34">
        <f>INDEX(cennik!$C$2:$L$529,MATCH($L81,cennik!$B$2:$B$522,0),MATCH(P$2,cennik!$C$1:$L$1,0))</f>
        <v>21.81</v>
      </c>
      <c r="Q81" s="34">
        <f t="shared" si="125"/>
        <v>0</v>
      </c>
      <c r="R81" s="35">
        <f t="shared" si="122"/>
        <v>0</v>
      </c>
      <c r="S81" s="34">
        <f t="shared" si="123"/>
        <v>21.81</v>
      </c>
      <c r="T81" s="34">
        <f t="shared" si="124"/>
        <v>0</v>
      </c>
      <c r="U81" s="34">
        <f>INDEX(cennik!$C$2:$L$529,MATCH($L81,cennik!$B$2:$B$522,0),MATCH(U$2,cennik!$C$1:$L$1,0))*O81</f>
        <v>0</v>
      </c>
      <c r="V81" s="25"/>
      <c r="W81" s="21"/>
      <c r="X81" s="25"/>
      <c r="Y81" s="25"/>
      <c r="Z81" s="25"/>
      <c r="AA81" s="21"/>
      <c r="AB81" s="21"/>
      <c r="AC81" s="21"/>
      <c r="AD81" s="21"/>
      <c r="AE81" s="21"/>
      <c r="AF81" s="21"/>
      <c r="AG81" s="21"/>
      <c r="AH81" s="21"/>
      <c r="AI81" s="21"/>
      <c r="AJ81" s="21"/>
      <c r="AK81" s="21"/>
      <c r="AL81" s="21"/>
      <c r="AM81" s="21"/>
      <c r="AN81" s="21"/>
      <c r="AO81" s="21"/>
      <c r="AP81" s="21" t="s">
        <v>112</v>
      </c>
      <c r="AQ81" s="21" t="s">
        <v>590</v>
      </c>
      <c r="AR81" s="21" t="s">
        <v>589</v>
      </c>
      <c r="AS81" s="21" t="s">
        <v>588</v>
      </c>
      <c r="AT81" s="21" t="s">
        <v>588</v>
      </c>
      <c r="AU81" s="21"/>
      <c r="BA81" s="21"/>
      <c r="BB81" s="21"/>
      <c r="BC81" s="21"/>
      <c r="BD81" s="21"/>
      <c r="BE81" s="21"/>
      <c r="BF81" s="21"/>
      <c r="BG81" s="21"/>
      <c r="BH81" s="21"/>
      <c r="BI81" s="21"/>
      <c r="BJ81" s="21"/>
      <c r="BK81" s="21"/>
      <c r="BL81" s="21"/>
      <c r="BM81" s="21"/>
      <c r="BN81" s="21"/>
      <c r="BO81" s="21"/>
      <c r="BP81" s="21"/>
      <c r="BQ81" s="21"/>
      <c r="BR81" s="21"/>
      <c r="BS81" s="21"/>
      <c r="BT81" s="21"/>
      <c r="BU81" s="21"/>
      <c r="BV81" s="21"/>
      <c r="BW81" s="21"/>
      <c r="BX81" s="21"/>
      <c r="BY81" s="21"/>
      <c r="BZ81" s="21"/>
      <c r="CA81" s="21"/>
      <c r="CB81" s="21"/>
      <c r="CC81" s="21"/>
      <c r="CD81" s="21"/>
      <c r="CE81" s="21"/>
      <c r="CF81" s="21"/>
      <c r="CG81" s="21"/>
      <c r="CH81" s="21"/>
      <c r="CI81" s="21"/>
      <c r="CJ81" s="21"/>
      <c r="CK81" s="21"/>
      <c r="CL81" s="21"/>
      <c r="CM81" s="21"/>
      <c r="CN81" s="21"/>
      <c r="CO81" s="21"/>
      <c r="CP81" s="21"/>
      <c r="CQ81" s="21"/>
      <c r="CR81" s="21"/>
      <c r="CS81" s="21"/>
      <c r="CT81" s="21"/>
      <c r="CU81" s="21"/>
      <c r="CV81" s="21"/>
      <c r="CW81" s="21"/>
      <c r="CX81" s="21"/>
      <c r="CY81" s="21"/>
      <c r="CZ81" s="21"/>
      <c r="DA81" s="21"/>
      <c r="DB81" s="21"/>
      <c r="DC81" s="21"/>
      <c r="DD81" s="21"/>
      <c r="DE81" s="21"/>
      <c r="DF81" s="21"/>
      <c r="DG81" s="21"/>
      <c r="DH81" s="21"/>
      <c r="DI81" s="21"/>
      <c r="DJ81" s="21"/>
      <c r="DK81" s="21"/>
      <c r="DL81" s="21"/>
      <c r="DM81" s="21"/>
      <c r="DN81" s="21"/>
      <c r="DO81" s="21"/>
      <c r="DP81" s="21"/>
      <c r="DQ81" s="87"/>
      <c r="DR81" s="87"/>
      <c r="DS81" s="87"/>
      <c r="DT81" s="21"/>
      <c r="DU81" s="21"/>
      <c r="DV81" s="21"/>
      <c r="DW81" s="21"/>
      <c r="DX81" s="21"/>
      <c r="DY81" s="21"/>
      <c r="DZ81" s="21"/>
      <c r="EA81" s="21"/>
      <c r="EB81" s="21"/>
      <c r="EC81" s="21"/>
      <c r="ED81" s="21"/>
      <c r="EE81" s="21"/>
      <c r="EF81" s="21"/>
      <c r="EG81" s="21"/>
      <c r="EH81" s="21"/>
      <c r="EI81" s="21"/>
      <c r="EJ81" s="196"/>
      <c r="EK81" s="21"/>
      <c r="EL81" s="21"/>
      <c r="EM81" s="21" t="s">
        <v>766</v>
      </c>
      <c r="EN81" s="21"/>
      <c r="EO81" s="21"/>
      <c r="EP81" s="21"/>
      <c r="EQ81" s="21"/>
      <c r="ER81" s="21"/>
      <c r="ES81" s="21"/>
      <c r="ET81" s="21"/>
      <c r="EU81" s="21"/>
      <c r="EV81" s="21"/>
      <c r="EW81" s="21"/>
      <c r="EX81" s="21"/>
      <c r="EY81" s="21"/>
      <c r="EZ81" s="21"/>
      <c r="FA81" s="21"/>
      <c r="FB81" s="21"/>
      <c r="FC81" s="21"/>
      <c r="FD81" s="21"/>
      <c r="FE81" s="21"/>
      <c r="FF81" s="21"/>
      <c r="FG81" s="21"/>
      <c r="FH81" s="21"/>
      <c r="FI81" s="21"/>
      <c r="FJ81" s="21"/>
      <c r="FK81" s="21"/>
      <c r="FL81" s="21"/>
      <c r="FM81" s="21"/>
      <c r="FN81" s="21"/>
      <c r="FO81" s="21"/>
      <c r="FP81" s="21"/>
      <c r="FQ81" s="21"/>
      <c r="FR81" s="21"/>
      <c r="FS81" s="21"/>
      <c r="FT81" s="21"/>
      <c r="FU81" s="21"/>
      <c r="FV81" s="21"/>
      <c r="FW81" s="21"/>
      <c r="FX81" s="21"/>
      <c r="FY81" s="21"/>
      <c r="FZ81" s="21"/>
      <c r="GA81" s="21"/>
      <c r="GB81" s="21"/>
      <c r="GC81" s="21"/>
      <c r="GD81" s="21"/>
      <c r="GE81" s="21"/>
      <c r="GF81" s="21"/>
      <c r="GG81" s="21"/>
      <c r="GH81" s="21"/>
      <c r="GI81" s="21"/>
      <c r="GJ81" s="21"/>
      <c r="GK81" s="21"/>
      <c r="GL81" s="21"/>
      <c r="GM81" s="21"/>
      <c r="GN81" s="21"/>
      <c r="GO81" s="21"/>
      <c r="GP81" s="21"/>
      <c r="GQ81" s="21"/>
      <c r="GR81" s="21"/>
      <c r="GS81" s="21"/>
      <c r="GT81" s="21"/>
      <c r="GU81" s="21"/>
      <c r="GV81" s="21"/>
      <c r="GW81" s="21"/>
      <c r="GX81" s="21"/>
      <c r="GY81" s="21"/>
      <c r="GZ81" s="21"/>
      <c r="HA81" s="21"/>
      <c r="HB81" s="21"/>
      <c r="HC81" s="21"/>
      <c r="HD81" s="21"/>
      <c r="HE81" s="21"/>
      <c r="HF81" s="21"/>
      <c r="HG81" s="21"/>
      <c r="HH81" s="21"/>
      <c r="IT81" s="198"/>
    </row>
    <row r="82" spans="1:254" x14ac:dyDescent="0.25">
      <c r="A82" s="9"/>
      <c r="B82" s="6"/>
      <c r="C82" s="9"/>
      <c r="D82" s="9"/>
      <c r="E82" s="9"/>
      <c r="F82" s="9"/>
      <c r="G82" s="9"/>
      <c r="H82" s="9"/>
      <c r="I82" s="9"/>
      <c r="J82" s="9"/>
      <c r="K82" s="9"/>
      <c r="L82" s="6" t="str">
        <f>INDEX(($AH$3:$AI$12),MATCH(I67,$AG$3:$AG$12,0),MATCH(E68,$AH$2:$AI$2,0))</f>
        <v>BUF35</v>
      </c>
      <c r="M82" s="11">
        <f>INDEX(cennik!$C$2:$L$529,MATCH($L82,cennik!$B$2:$B$522,0),MATCH(M$2,cennik!$C$1:$L$1,0))</f>
        <v>897335</v>
      </c>
      <c r="N82" s="11" t="str">
        <f>INDEX(cennik!$C$2:$L$529,MATCH($L82,cennik!$B$2:$B$522,0),MATCH(N$2,cennik!$C$1:$L$1,0))</f>
        <v>szt.</v>
      </c>
      <c r="O82" s="11">
        <f>SUM((A66/6*4*C66),(A67/6*4*C67),(A68/6*4*C68),(A69/6*4*C69),(A70/6*4*C70),(A71/6*4*C71),(A72/6*4*C72),(A73/6*4*C73),(A74/6*4*C74),(A75/6*4*C75),(A76/6*4*C76),(A77/6*4*C77),(A78/6*4*C78),(A79/6*4*C79),(A80/6*4*C80),(A81/6*4*C81))</f>
        <v>0</v>
      </c>
      <c r="P82" s="34">
        <f>INDEX(cennik!$C$2:$L$529,MATCH($L82,cennik!$B$2:$B$522,0),MATCH(P$2,cennik!$C$1:$L$1,0))</f>
        <v>1.92</v>
      </c>
      <c r="Q82" s="34">
        <f t="shared" si="125"/>
        <v>0</v>
      </c>
      <c r="R82" s="35">
        <f t="shared" si="122"/>
        <v>0</v>
      </c>
      <c r="S82" s="34">
        <f t="shared" si="123"/>
        <v>1.92</v>
      </c>
      <c r="T82" s="34">
        <f t="shared" si="124"/>
        <v>0</v>
      </c>
      <c r="U82" s="34">
        <f>INDEX(cennik!$C$2:$L$529,MATCH($L82,cennik!$B$2:$B$522,0),MATCH(U$2,cennik!$C$1:$L$1,0))*O82</f>
        <v>0</v>
      </c>
      <c r="V82" s="21"/>
      <c r="W82" s="21">
        <f>INDEX(($EL$58:$EX$61,$FA$58:$FM$61,$FP$58:$GB$61,$GE$58:$GQ$61,$GT$58:$HF$61,$GT$64:$HF$67,$GE$64:$GQ$67,$GE$70:$GQ$73,$FP$64:$GB$67,$FP$70:$GB$73,$FA$70:$FM$73,$FA$64:$FM$67,$EL$64:$EX$67,$EL$70:$EX$73),MATCH($L$81,$EK$58:$EK$61,1),MATCH($A66,$EL$57:$EX$57,1),MATCH($E$67,$AE$33:$AE$48,1))*C66</f>
        <v>0</v>
      </c>
      <c r="X82" s="25"/>
      <c r="Y82" s="25"/>
      <c r="Z82" s="25"/>
      <c r="AA82" s="21"/>
      <c r="AB82" s="21"/>
      <c r="AC82" s="21"/>
      <c r="AD82" s="21"/>
      <c r="AE82" s="21"/>
      <c r="AF82" s="21"/>
      <c r="AG82" s="21"/>
      <c r="AH82" s="21"/>
      <c r="AI82" s="21"/>
      <c r="AJ82" s="21"/>
      <c r="AK82" s="21"/>
      <c r="AL82" s="21"/>
      <c r="AM82" s="21"/>
      <c r="AN82" s="21"/>
      <c r="AO82" s="21"/>
      <c r="AP82" s="21" t="s">
        <v>132</v>
      </c>
      <c r="AQ82" s="21" t="s">
        <v>590</v>
      </c>
      <c r="AR82" s="21" t="s">
        <v>589</v>
      </c>
      <c r="AS82" s="21" t="s">
        <v>588</v>
      </c>
      <c r="AT82" s="21" t="s">
        <v>588</v>
      </c>
      <c r="AU82" s="21"/>
      <c r="BA82" s="21"/>
      <c r="BB82" s="21"/>
      <c r="BC82" s="21"/>
      <c r="BD82" s="21"/>
      <c r="BE82" s="21"/>
      <c r="BF82" s="21"/>
      <c r="BG82" s="21"/>
      <c r="BH82" s="21"/>
      <c r="BI82" s="21"/>
      <c r="BJ82" s="21"/>
      <c r="BK82" s="21"/>
      <c r="BL82" s="21"/>
      <c r="BM82" s="21"/>
      <c r="BN82" s="21"/>
      <c r="BO82" s="21"/>
      <c r="BP82" s="21"/>
      <c r="BQ82" s="21"/>
      <c r="BR82" s="21"/>
      <c r="BS82" s="21"/>
      <c r="BT82" s="21"/>
      <c r="BU82" s="21"/>
      <c r="BV82" s="21"/>
      <c r="BW82" s="21"/>
      <c r="BX82" s="21"/>
      <c r="BY82" s="21"/>
      <c r="BZ82" s="21"/>
      <c r="CA82" s="21"/>
      <c r="CB82" s="21"/>
      <c r="CC82" s="21"/>
      <c r="CD82" s="21"/>
      <c r="CE82" s="21"/>
      <c r="CF82" s="21"/>
      <c r="CG82" s="21"/>
      <c r="CH82" s="21"/>
      <c r="CI82" s="21"/>
      <c r="CJ82" s="21"/>
      <c r="CK82" s="21"/>
      <c r="CL82" s="21"/>
      <c r="CM82" s="21"/>
      <c r="CN82" s="21"/>
      <c r="CO82" s="21"/>
      <c r="CP82" s="21"/>
      <c r="CQ82" s="21"/>
      <c r="CR82" s="21"/>
      <c r="CS82" s="21"/>
      <c r="CT82" s="21"/>
      <c r="CU82" s="21"/>
      <c r="CV82" s="21"/>
      <c r="CW82" s="21"/>
      <c r="CX82" s="21"/>
      <c r="CY82" s="21"/>
      <c r="CZ82" s="21"/>
      <c r="DA82" s="21"/>
      <c r="DB82" s="21"/>
      <c r="DC82" s="21"/>
      <c r="DD82" s="21"/>
      <c r="DE82" s="21"/>
      <c r="DF82" s="21"/>
      <c r="DG82" s="21"/>
      <c r="DH82" s="21"/>
      <c r="DI82" s="21"/>
      <c r="DJ82" s="21"/>
      <c r="DK82" s="21"/>
      <c r="DL82" s="21"/>
      <c r="DM82" s="21"/>
      <c r="DN82" s="21"/>
      <c r="DO82" s="21"/>
      <c r="DP82" s="21"/>
      <c r="DQ82" s="87"/>
      <c r="DR82" s="87"/>
      <c r="DS82" s="87"/>
      <c r="DT82" s="21"/>
      <c r="DU82" s="21"/>
      <c r="DV82" s="21"/>
      <c r="DW82" s="21"/>
      <c r="DX82" s="21"/>
      <c r="DY82" s="21"/>
      <c r="DZ82" s="21"/>
      <c r="EA82" s="21"/>
      <c r="EB82" s="21"/>
      <c r="EC82" s="21"/>
      <c r="ED82" s="21"/>
      <c r="EE82" s="21"/>
      <c r="EF82" s="21"/>
      <c r="EG82" s="21"/>
      <c r="EH82" s="21"/>
      <c r="EI82" s="21"/>
      <c r="EJ82" s="196"/>
      <c r="EK82" s="21"/>
      <c r="EL82" s="21"/>
      <c r="EM82" s="21"/>
      <c r="EN82" s="21"/>
      <c r="EO82" s="21"/>
      <c r="EP82" s="21"/>
      <c r="EQ82" s="21"/>
      <c r="ER82" s="21"/>
      <c r="ES82" s="21"/>
      <c r="ET82" s="21"/>
      <c r="EU82" s="21"/>
      <c r="EV82" s="21"/>
      <c r="EW82" s="21"/>
      <c r="EX82" s="21"/>
      <c r="EY82" s="21"/>
      <c r="EZ82" s="21"/>
      <c r="FA82" s="21"/>
      <c r="FB82" s="21"/>
      <c r="FC82" s="21"/>
      <c r="FD82" s="21"/>
      <c r="FE82" s="21"/>
      <c r="FF82" s="21"/>
      <c r="FG82" s="21"/>
      <c r="FH82" s="21"/>
      <c r="FI82" s="21"/>
      <c r="FJ82" s="21"/>
      <c r="FK82" s="21"/>
      <c r="FL82" s="21"/>
      <c r="FM82" s="21"/>
      <c r="FN82" s="21"/>
      <c r="FO82" s="21"/>
      <c r="FP82" s="21"/>
      <c r="FQ82" s="21"/>
      <c r="FR82" s="21"/>
      <c r="FS82" s="21"/>
      <c r="FT82" s="21"/>
      <c r="FU82" s="21"/>
      <c r="FV82" s="21"/>
      <c r="FW82" s="21"/>
      <c r="FX82" s="21"/>
      <c r="FY82" s="21"/>
      <c r="FZ82" s="21"/>
      <c r="GA82" s="21"/>
      <c r="GB82" s="21"/>
      <c r="GC82" s="21"/>
      <c r="GD82" s="21"/>
      <c r="GE82" s="21"/>
      <c r="GF82" s="21"/>
      <c r="GG82" s="21"/>
      <c r="GH82" s="21"/>
      <c r="GI82" s="21"/>
      <c r="GJ82" s="21"/>
      <c r="GK82" s="21"/>
      <c r="GL82" s="21"/>
      <c r="GM82" s="21"/>
      <c r="GN82" s="21"/>
      <c r="GO82" s="21"/>
      <c r="GP82" s="21"/>
      <c r="GQ82" s="21"/>
      <c r="GR82" s="21"/>
      <c r="GS82" s="21"/>
      <c r="GT82" s="21"/>
      <c r="GU82" s="21"/>
      <c r="GV82" s="21"/>
      <c r="GW82" s="21"/>
      <c r="GX82" s="21"/>
      <c r="GY82" s="21"/>
      <c r="GZ82" s="21"/>
      <c r="HA82" s="21"/>
      <c r="HB82" s="21"/>
      <c r="HC82" s="21"/>
      <c r="HD82" s="21"/>
      <c r="HE82" s="21"/>
      <c r="HF82" s="21"/>
      <c r="HG82" s="21"/>
      <c r="HH82" s="21"/>
      <c r="IT82" s="198"/>
    </row>
    <row r="83" spans="1:254" x14ac:dyDescent="0.25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6" t="str">
        <f>INDEX(($AH$13:$AI$13),1,MATCH(E68,$AH$2:$AI$2,0))</f>
        <v>PUF</v>
      </c>
      <c r="M83" s="11">
        <f>INDEX(cennik!$C$2:$L$529,MATCH($L83,cennik!$B$2:$B$522,0),MATCH(M$2,cennik!$C$1:$L$1,0))</f>
        <v>897300</v>
      </c>
      <c r="N83" s="11" t="str">
        <f>INDEX(cennik!$C$2:$L$529,MATCH($L83,cennik!$B$2:$B$522,0),MATCH(N$2,cennik!$C$1:$L$1,0))</f>
        <v>szt.</v>
      </c>
      <c r="O83" s="11">
        <f>SUM(((A66/6)*10)*C66,((A67/6)*10)*C67,((A68/6)*10)*C68,((A69/6)*10)*C69,((A70/6)*10)*C70,((A71/6)*10)*C71,((A72/6)*10)*C72,((A73/6)*10)*C73,((A74/6)*10)*C74,((A75/6)*10)*C75,((A76/6)*10)*C76,((A77/6)*10)*C77,((A78/6)*10)*C78,((A79/6)*10)*C79,((A80/6)*10)*C80,((A81/6)*10)*C81)</f>
        <v>0</v>
      </c>
      <c r="P83" s="34">
        <f>INDEX(cennik!$C$2:$L$529,MATCH($L83,cennik!$B$2:$B$522,0),MATCH(P$2,cennik!$C$1:$L$1,0))</f>
        <v>2.06</v>
      </c>
      <c r="Q83" s="34">
        <f t="shared" si="125"/>
        <v>0</v>
      </c>
      <c r="R83" s="35">
        <f t="shared" si="122"/>
        <v>0</v>
      </c>
      <c r="S83" s="34">
        <f t="shared" si="123"/>
        <v>2.06</v>
      </c>
      <c r="T83" s="34">
        <f t="shared" si="124"/>
        <v>0</v>
      </c>
      <c r="U83" s="34">
        <f>INDEX(cennik!$C$2:$L$529,MATCH($L83,cennik!$B$2:$B$522,0),MATCH(U$2,cennik!$C$1:$L$1,0))*O83</f>
        <v>0</v>
      </c>
      <c r="V83" s="27"/>
      <c r="W83" s="25"/>
      <c r="X83" s="25"/>
      <c r="Y83" s="25"/>
      <c r="Z83" s="25"/>
      <c r="AA83" s="21"/>
      <c r="AB83" s="21"/>
      <c r="AC83" s="21"/>
      <c r="AD83" s="21"/>
      <c r="AE83" s="21"/>
      <c r="AF83" s="21"/>
      <c r="AG83" s="21"/>
      <c r="AH83" s="21"/>
      <c r="AI83" s="21"/>
      <c r="AJ83" s="21"/>
      <c r="AK83" s="21"/>
      <c r="AL83" s="21"/>
      <c r="AM83" s="21"/>
      <c r="AN83" s="21"/>
      <c r="AO83" s="21"/>
      <c r="AP83" s="21" t="s">
        <v>470</v>
      </c>
      <c r="AQ83" s="21" t="s">
        <v>590</v>
      </c>
      <c r="AR83" s="21" t="s">
        <v>589</v>
      </c>
      <c r="AS83" s="21" t="s">
        <v>588</v>
      </c>
      <c r="AT83" s="21" t="s">
        <v>588</v>
      </c>
      <c r="AU83" s="21"/>
      <c r="BA83" s="21"/>
      <c r="BB83" s="21"/>
      <c r="BC83" s="21"/>
      <c r="BD83" s="21"/>
      <c r="BE83" s="21"/>
      <c r="BF83" s="21"/>
      <c r="BG83" s="21"/>
      <c r="BH83" s="21"/>
      <c r="BI83" s="21"/>
      <c r="BJ83" s="21"/>
      <c r="BK83" s="21"/>
      <c r="BL83" s="21"/>
      <c r="BM83" s="21"/>
      <c r="BN83" s="21"/>
      <c r="BO83" s="21"/>
      <c r="BP83" s="21"/>
      <c r="BQ83" s="21"/>
      <c r="BR83" s="21"/>
      <c r="BS83" s="21"/>
      <c r="BT83" s="21"/>
      <c r="BU83" s="21"/>
      <c r="BV83" s="21"/>
      <c r="BW83" s="21"/>
      <c r="BX83" s="21"/>
      <c r="BY83" s="21"/>
      <c r="BZ83" s="21"/>
      <c r="CA83" s="21"/>
      <c r="CB83" s="21"/>
      <c r="CC83" s="21"/>
      <c r="CD83" s="21"/>
      <c r="CE83" s="21"/>
      <c r="CF83" s="21"/>
      <c r="CG83" s="21"/>
      <c r="CH83" s="21"/>
      <c r="CI83" s="21"/>
      <c r="CJ83" s="21"/>
      <c r="CK83" s="21"/>
      <c r="CL83" s="21"/>
      <c r="CM83" s="21"/>
      <c r="CN83" s="21"/>
      <c r="CO83" s="21"/>
      <c r="CP83" s="21"/>
      <c r="CQ83" s="21"/>
      <c r="CR83" s="21"/>
      <c r="CS83" s="21"/>
      <c r="CT83" s="21"/>
      <c r="CU83" s="21"/>
      <c r="CV83" s="21"/>
      <c r="CW83" s="21"/>
      <c r="CX83" s="21"/>
      <c r="CY83" s="21"/>
      <c r="CZ83" s="21"/>
      <c r="DA83" s="21"/>
      <c r="DB83" s="21"/>
      <c r="DC83" s="21"/>
      <c r="DD83" s="21"/>
      <c r="DE83" s="21"/>
      <c r="DF83" s="21"/>
      <c r="DG83" s="21"/>
      <c r="DH83" s="21"/>
      <c r="DI83" s="21"/>
      <c r="DJ83" s="21"/>
      <c r="DK83" s="21"/>
      <c r="DL83" s="21"/>
      <c r="DM83" s="21"/>
      <c r="DN83" s="21"/>
      <c r="DO83" s="21"/>
      <c r="DP83" s="21"/>
      <c r="DQ83" s="87"/>
      <c r="DR83" s="87">
        <v>0</v>
      </c>
      <c r="DS83" s="87"/>
      <c r="DT83" s="21"/>
      <c r="DU83" s="21"/>
      <c r="DV83" s="21"/>
      <c r="DW83" s="21"/>
      <c r="DX83" s="21"/>
      <c r="DY83" s="21"/>
      <c r="DZ83" s="21"/>
      <c r="EA83" s="21"/>
      <c r="EB83" s="21"/>
      <c r="EC83" s="21"/>
      <c r="ED83" s="21"/>
      <c r="EE83" s="21"/>
      <c r="EF83" s="21"/>
      <c r="EG83" s="21"/>
      <c r="EH83" s="21"/>
      <c r="EI83" s="21"/>
      <c r="EJ83" s="196"/>
      <c r="EK83" s="21"/>
      <c r="EL83" s="21"/>
      <c r="EM83" s="21"/>
      <c r="EN83" s="21"/>
      <c r="EO83" s="21"/>
      <c r="EP83" s="21"/>
      <c r="EQ83" s="21"/>
      <c r="ER83" s="21"/>
      <c r="ES83" s="21"/>
      <c r="ET83" s="21"/>
      <c r="EU83" s="21"/>
      <c r="EV83" s="21"/>
      <c r="EW83" s="21"/>
      <c r="EX83" s="21"/>
      <c r="EY83" s="21"/>
      <c r="EZ83" s="21"/>
      <c r="FA83" s="21"/>
      <c r="FB83" s="21"/>
      <c r="FC83" s="21"/>
      <c r="FD83" s="21"/>
      <c r="FE83" s="21"/>
      <c r="FF83" s="21"/>
      <c r="FG83" s="21"/>
      <c r="FH83" s="21"/>
      <c r="FI83" s="21"/>
      <c r="FJ83" s="21"/>
      <c r="FK83" s="21"/>
      <c r="FL83" s="21"/>
      <c r="FM83" s="21"/>
      <c r="FN83" s="21"/>
      <c r="FO83" s="21"/>
      <c r="FP83" s="21"/>
      <c r="FQ83" s="21"/>
      <c r="FR83" s="21"/>
      <c r="FS83" s="21"/>
      <c r="FT83" s="21"/>
      <c r="FU83" s="21"/>
      <c r="FV83" s="21"/>
      <c r="FW83" s="21"/>
      <c r="FX83" s="21"/>
      <c r="FY83" s="21"/>
      <c r="FZ83" s="21"/>
      <c r="GA83" s="21"/>
      <c r="GB83" s="21"/>
      <c r="GC83" s="21"/>
      <c r="GD83" s="21"/>
      <c r="GE83" s="21"/>
      <c r="GF83" s="21"/>
      <c r="GG83" s="21"/>
      <c r="GH83" s="21"/>
      <c r="GI83" s="21"/>
      <c r="GJ83" s="21"/>
      <c r="GK83" s="21"/>
      <c r="GL83" s="21"/>
      <c r="GM83" s="21"/>
      <c r="GN83" s="21"/>
      <c r="GO83" s="21"/>
      <c r="GP83" s="21"/>
      <c r="GQ83" s="21"/>
      <c r="GR83" s="21"/>
      <c r="GS83" s="21"/>
      <c r="GT83" s="21"/>
      <c r="GU83" s="21"/>
      <c r="GV83" s="21"/>
      <c r="GW83" s="21"/>
      <c r="GX83" s="21"/>
      <c r="GY83" s="21"/>
      <c r="GZ83" s="21"/>
      <c r="HA83" s="21"/>
      <c r="HB83" s="21"/>
      <c r="HC83" s="21"/>
      <c r="HD83" s="21"/>
      <c r="HE83" s="21"/>
      <c r="HF83" s="21"/>
      <c r="HG83" s="21"/>
      <c r="HH83" s="21"/>
      <c r="IT83" s="198"/>
    </row>
    <row r="84" spans="1:254" x14ac:dyDescent="0.25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6" t="str">
        <f>INDEX(($AJ$3:$AJ$12),MATCH(I67,$AG$3:$AG$12,0),1)</f>
        <v>SAM8X30E</v>
      </c>
      <c r="M84" s="11">
        <f>INDEX(cennik!$C$2:$L$529,MATCH($L84,cennik!$B$2:$B$522,0),MATCH(M$2,cennik!$C$1:$L$1,0))</f>
        <v>898530</v>
      </c>
      <c r="N84" s="11" t="str">
        <f>INDEX(cennik!$C$2:$L$529,MATCH($L84,cennik!$B$2:$B$522,0),MATCH(N$2,cennik!$C$1:$L$1,0))</f>
        <v>szt.</v>
      </c>
      <c r="O84" s="11">
        <f>IF(L84="-------",0,SUM(O82:O83))</f>
        <v>0</v>
      </c>
      <c r="P84" s="34">
        <f>INDEX(cennik!$C$2:$L$529,MATCH($L84,cennik!$B$2:$B$522,0),MATCH(P$2,cennik!$C$1:$L$1,0))</f>
        <v>0.5</v>
      </c>
      <c r="Q84" s="34">
        <f t="shared" si="125"/>
        <v>0</v>
      </c>
      <c r="R84" s="35">
        <f t="shared" si="122"/>
        <v>0</v>
      </c>
      <c r="S84" s="34">
        <f t="shared" si="123"/>
        <v>0.5</v>
      </c>
      <c r="T84" s="34">
        <f t="shared" si="124"/>
        <v>0</v>
      </c>
      <c r="U84" s="34">
        <f>INDEX(cennik!$C$2:$L$529,MATCH($L84,cennik!$B$2:$B$522,0),MATCH(U$2,cennik!$C$1:$L$1,0))*O84</f>
        <v>0</v>
      </c>
      <c r="V84" s="27"/>
      <c r="W84" s="25"/>
      <c r="X84" s="25"/>
      <c r="Y84" s="25"/>
      <c r="Z84" s="25"/>
      <c r="AA84" s="21"/>
      <c r="AB84" s="21"/>
      <c r="AC84" s="21"/>
      <c r="AD84" s="21"/>
      <c r="AE84" s="21"/>
      <c r="AF84" s="21"/>
      <c r="AG84" s="21"/>
      <c r="AH84" s="21"/>
      <c r="AI84" s="21" t="s">
        <v>159</v>
      </c>
      <c r="AJ84" s="21"/>
      <c r="AK84" s="21"/>
      <c r="AL84" s="21"/>
      <c r="AM84" s="21"/>
      <c r="AN84" s="21"/>
      <c r="AO84" s="21"/>
      <c r="AP84" s="21" t="s">
        <v>472</v>
      </c>
      <c r="AQ84" s="21" t="s">
        <v>596</v>
      </c>
      <c r="AR84" s="21" t="s">
        <v>595</v>
      </c>
      <c r="AS84" s="21" t="s">
        <v>593</v>
      </c>
      <c r="AT84" s="21" t="s">
        <v>593</v>
      </c>
      <c r="AU84" s="21"/>
      <c r="BA84" s="21"/>
      <c r="BB84" s="21"/>
      <c r="BC84" s="21"/>
      <c r="BD84" s="21"/>
      <c r="BE84" s="21"/>
      <c r="BF84" s="21"/>
      <c r="BG84" s="21"/>
      <c r="BH84" s="21" t="s">
        <v>114</v>
      </c>
      <c r="BI84" s="21">
        <v>0</v>
      </c>
      <c r="BJ84" s="21">
        <v>6</v>
      </c>
      <c r="BK84" s="21">
        <v>8</v>
      </c>
      <c r="BL84" s="21">
        <v>10</v>
      </c>
      <c r="BM84" s="21">
        <v>12</v>
      </c>
      <c r="BN84" s="21">
        <v>14</v>
      </c>
      <c r="BO84" s="21">
        <v>16</v>
      </c>
      <c r="BP84" s="21">
        <v>18</v>
      </c>
      <c r="BQ84" s="21">
        <v>20</v>
      </c>
      <c r="BR84" s="21">
        <v>22</v>
      </c>
      <c r="BS84" s="21">
        <v>24</v>
      </c>
      <c r="BT84" s="21">
        <v>26</v>
      </c>
      <c r="BU84" s="21">
        <v>28</v>
      </c>
      <c r="BV84" s="21">
        <v>30</v>
      </c>
      <c r="BW84" s="21">
        <v>32</v>
      </c>
      <c r="BX84" s="21">
        <v>34</v>
      </c>
      <c r="BY84" s="21">
        <v>36</v>
      </c>
      <c r="BZ84" s="21">
        <v>38</v>
      </c>
      <c r="CA84" s="21">
        <v>40</v>
      </c>
      <c r="CB84" s="21">
        <v>42</v>
      </c>
      <c r="CC84" s="21">
        <v>44</v>
      </c>
      <c r="CD84" s="21">
        <v>46</v>
      </c>
      <c r="CE84" s="21">
        <v>48</v>
      </c>
      <c r="CF84" s="21">
        <v>50</v>
      </c>
      <c r="CG84" s="21"/>
      <c r="CH84" s="21"/>
      <c r="CI84" s="21"/>
      <c r="CJ84" s="21"/>
      <c r="CK84" s="21"/>
      <c r="CL84" s="21"/>
      <c r="CM84" s="21"/>
      <c r="CN84" s="21" t="s">
        <v>474</v>
      </c>
      <c r="CO84" s="21">
        <v>0</v>
      </c>
      <c r="CP84" s="21">
        <v>6</v>
      </c>
      <c r="CQ84" s="21">
        <v>8</v>
      </c>
      <c r="CR84" s="21">
        <v>10</v>
      </c>
      <c r="CS84" s="21">
        <v>12</v>
      </c>
      <c r="CT84" s="21">
        <v>14</v>
      </c>
      <c r="CU84" s="21">
        <v>16</v>
      </c>
      <c r="CV84" s="21">
        <v>18</v>
      </c>
      <c r="CW84" s="21">
        <v>20</v>
      </c>
      <c r="CX84" s="21">
        <v>22</v>
      </c>
      <c r="CY84" s="21">
        <v>24</v>
      </c>
      <c r="CZ84" s="21">
        <v>26</v>
      </c>
      <c r="DA84" s="21">
        <v>28</v>
      </c>
      <c r="DB84" s="21">
        <v>30</v>
      </c>
      <c r="DC84" s="21">
        <v>32</v>
      </c>
      <c r="DD84" s="21">
        <v>34</v>
      </c>
      <c r="DE84" s="21">
        <v>36</v>
      </c>
      <c r="DF84" s="21">
        <v>38</v>
      </c>
      <c r="DG84" s="21">
        <v>40</v>
      </c>
      <c r="DH84" s="21">
        <v>42</v>
      </c>
      <c r="DI84" s="21">
        <v>44</v>
      </c>
      <c r="DJ84" s="21">
        <v>46</v>
      </c>
      <c r="DK84" s="21">
        <v>48</v>
      </c>
      <c r="DL84" s="21">
        <v>50</v>
      </c>
      <c r="DM84" s="21"/>
      <c r="DN84" s="21"/>
      <c r="DO84" s="21"/>
      <c r="DP84" s="21"/>
      <c r="DQ84" s="87"/>
      <c r="DR84" s="87">
        <v>6</v>
      </c>
      <c r="DS84" s="87"/>
      <c r="DT84" s="21"/>
      <c r="DU84" s="21"/>
      <c r="DV84" s="21"/>
      <c r="DW84" s="21"/>
      <c r="DX84" s="21"/>
      <c r="DY84" s="21"/>
      <c r="DZ84" s="21"/>
      <c r="EA84" s="21"/>
      <c r="EB84" s="21"/>
      <c r="EC84" s="21"/>
      <c r="ED84" s="21"/>
      <c r="EE84" s="21"/>
      <c r="EF84" s="21"/>
      <c r="EG84" s="21"/>
      <c r="EH84" s="21"/>
      <c r="EI84" s="21"/>
      <c r="EJ84" s="196"/>
      <c r="EK84" s="21" t="s">
        <v>114</v>
      </c>
      <c r="EL84" s="21">
        <v>0</v>
      </c>
      <c r="EM84" s="21">
        <v>6</v>
      </c>
      <c r="EN84" s="21">
        <v>8</v>
      </c>
      <c r="EO84" s="21">
        <v>10</v>
      </c>
      <c r="EP84" s="21">
        <v>12</v>
      </c>
      <c r="EQ84" s="21">
        <v>14</v>
      </c>
      <c r="ER84" s="21">
        <v>16</v>
      </c>
      <c r="ES84" s="21">
        <v>18</v>
      </c>
      <c r="ET84" s="21">
        <v>20</v>
      </c>
      <c r="EU84" s="21">
        <v>22</v>
      </c>
      <c r="EV84" s="21">
        <v>24</v>
      </c>
      <c r="EW84" s="21">
        <v>26</v>
      </c>
      <c r="EX84" s="21">
        <v>28</v>
      </c>
      <c r="EY84" s="21">
        <v>30</v>
      </c>
      <c r="EZ84" s="21">
        <v>32</v>
      </c>
      <c r="FA84" s="21">
        <v>34</v>
      </c>
      <c r="FB84" s="21">
        <v>36</v>
      </c>
      <c r="FC84" s="21">
        <v>38</v>
      </c>
      <c r="FD84" s="21">
        <v>40</v>
      </c>
      <c r="FE84" s="21">
        <v>42</v>
      </c>
      <c r="FF84" s="21">
        <v>44</v>
      </c>
      <c r="FG84" s="21">
        <v>46</v>
      </c>
      <c r="FH84" s="21">
        <v>48</v>
      </c>
      <c r="FI84" s="21">
        <v>50</v>
      </c>
      <c r="FJ84" s="21"/>
      <c r="FK84" s="21" t="s">
        <v>474</v>
      </c>
      <c r="FL84" s="21">
        <v>0</v>
      </c>
      <c r="FM84" s="21">
        <v>6</v>
      </c>
      <c r="FN84" s="21">
        <v>8</v>
      </c>
      <c r="FO84" s="21">
        <v>10</v>
      </c>
      <c r="FP84" s="21">
        <v>12</v>
      </c>
      <c r="FQ84" s="21">
        <v>14</v>
      </c>
      <c r="FR84" s="21">
        <v>16</v>
      </c>
      <c r="FS84" s="21">
        <v>18</v>
      </c>
      <c r="FT84" s="21">
        <v>20</v>
      </c>
      <c r="FU84" s="21">
        <v>22</v>
      </c>
      <c r="FV84" s="21">
        <v>24</v>
      </c>
      <c r="FW84" s="21">
        <v>26</v>
      </c>
      <c r="FX84" s="21">
        <v>28</v>
      </c>
      <c r="FY84" s="21">
        <v>30</v>
      </c>
      <c r="FZ84" s="21">
        <v>32</v>
      </c>
      <c r="GA84" s="21">
        <v>34</v>
      </c>
      <c r="GB84" s="21">
        <v>36</v>
      </c>
      <c r="GC84" s="21">
        <v>38</v>
      </c>
      <c r="GD84" s="21">
        <v>40</v>
      </c>
      <c r="GE84" s="21">
        <v>42</v>
      </c>
      <c r="GF84" s="21">
        <v>44</v>
      </c>
      <c r="GG84" s="21">
        <v>46</v>
      </c>
      <c r="GH84" s="21">
        <v>48</v>
      </c>
      <c r="GI84" s="21">
        <v>50</v>
      </c>
      <c r="GJ84" s="21"/>
      <c r="GK84" s="21"/>
      <c r="GL84" s="21"/>
      <c r="GM84" s="21"/>
      <c r="GN84" s="21"/>
      <c r="GO84" s="21"/>
      <c r="GP84" s="21"/>
      <c r="GQ84" s="21"/>
      <c r="GR84" s="21" t="s">
        <v>713</v>
      </c>
      <c r="GS84" s="21">
        <v>0</v>
      </c>
      <c r="GT84" s="21">
        <v>6</v>
      </c>
      <c r="GU84" s="21">
        <v>8</v>
      </c>
      <c r="GV84" s="21">
        <v>10</v>
      </c>
      <c r="GW84" s="21">
        <v>12</v>
      </c>
      <c r="GX84" s="21">
        <v>14</v>
      </c>
      <c r="GY84" s="21">
        <v>16</v>
      </c>
      <c r="GZ84" s="21">
        <v>18</v>
      </c>
      <c r="HA84" s="21">
        <v>20</v>
      </c>
      <c r="HB84" s="21">
        <v>22</v>
      </c>
      <c r="HC84" s="21">
        <v>24</v>
      </c>
      <c r="HD84" s="21">
        <v>26</v>
      </c>
      <c r="HE84" s="21">
        <v>28</v>
      </c>
      <c r="HF84" s="21">
        <v>30</v>
      </c>
      <c r="HG84" s="21">
        <v>32</v>
      </c>
      <c r="HH84" s="21">
        <v>34</v>
      </c>
      <c r="HI84" s="180">
        <v>36</v>
      </c>
      <c r="HJ84" s="180">
        <v>38</v>
      </c>
      <c r="HK84" s="180">
        <v>40</v>
      </c>
      <c r="HL84" s="180">
        <v>42</v>
      </c>
      <c r="HM84" s="180">
        <v>44</v>
      </c>
      <c r="HN84" s="180">
        <v>46</v>
      </c>
      <c r="HO84" s="180">
        <v>48</v>
      </c>
      <c r="HP84" s="180">
        <v>50</v>
      </c>
      <c r="HS84" s="180" t="s">
        <v>715</v>
      </c>
      <c r="HT84" s="180">
        <v>0</v>
      </c>
      <c r="HU84" s="180">
        <v>6</v>
      </c>
      <c r="HV84" s="180">
        <v>8</v>
      </c>
      <c r="HW84" s="180">
        <v>10</v>
      </c>
      <c r="HX84" s="180">
        <v>12</v>
      </c>
      <c r="HY84" s="180">
        <v>14</v>
      </c>
      <c r="HZ84" s="180">
        <v>16</v>
      </c>
      <c r="IA84" s="180">
        <v>18</v>
      </c>
      <c r="IB84" s="180">
        <v>20</v>
      </c>
      <c r="IC84" s="180">
        <v>22</v>
      </c>
      <c r="ID84" s="180">
        <v>24</v>
      </c>
      <c r="IE84" s="180">
        <v>26</v>
      </c>
      <c r="IF84" s="180">
        <v>28</v>
      </c>
      <c r="IG84" s="180">
        <v>30</v>
      </c>
      <c r="IH84" s="180">
        <v>32</v>
      </c>
      <c r="II84" s="180">
        <v>34</v>
      </c>
      <c r="IJ84" s="180">
        <v>36</v>
      </c>
      <c r="IK84" s="180">
        <v>38</v>
      </c>
      <c r="IL84" s="180">
        <v>40</v>
      </c>
      <c r="IM84" s="180">
        <v>42</v>
      </c>
      <c r="IN84" s="180">
        <v>44</v>
      </c>
      <c r="IO84" s="180">
        <v>46</v>
      </c>
      <c r="IP84" s="180">
        <v>48</v>
      </c>
      <c r="IQ84" s="180">
        <v>50</v>
      </c>
      <c r="IT84" s="198"/>
    </row>
    <row r="85" spans="1:254" x14ac:dyDescent="0.25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6" t="s">
        <v>1019</v>
      </c>
      <c r="M85" s="11">
        <f>INDEX(cennik!$C$2:$L$529,MATCH($L85,cennik!$B$2:$B$522,0),MATCH(M$2,cennik!$C$1:$L$1,0))</f>
        <v>166794</v>
      </c>
      <c r="N85" s="11" t="str">
        <f>INDEX(cennik!$C$2:$L$529,MATCH($L85,cennik!$B$2:$B$522,0),MATCH(N$2,cennik!$C$1:$L$1,0))</f>
        <v>100 szt.</v>
      </c>
      <c r="O85" s="11">
        <f>ROUNDUP(O84/100,0)</f>
        <v>0</v>
      </c>
      <c r="P85" s="34">
        <f>INDEX(cennik!$C$2:$L$529,MATCH($L85,cennik!$B$2:$B$522,0),MATCH(P$2,cennik!$C$1:$L$1,0))</f>
        <v>3.95</v>
      </c>
      <c r="Q85" s="34">
        <f t="shared" si="125"/>
        <v>0</v>
      </c>
      <c r="R85" s="35">
        <f t="shared" si="122"/>
        <v>0</v>
      </c>
      <c r="S85" s="34">
        <f t="shared" si="123"/>
        <v>3.95</v>
      </c>
      <c r="T85" s="34">
        <f t="shared" si="124"/>
        <v>0</v>
      </c>
      <c r="U85" s="34">
        <f>INDEX(cennik!$C$2:$L$529,MATCH($L85,cennik!$B$2:$B$522,0),MATCH(U$2,cennik!$C$1:$L$1,0))*O85</f>
        <v>0</v>
      </c>
      <c r="V85" s="25"/>
      <c r="W85" s="25"/>
      <c r="X85" s="25"/>
      <c r="Y85" s="25"/>
      <c r="Z85" s="25"/>
      <c r="AA85" s="21"/>
      <c r="AB85" s="21"/>
      <c r="AC85" s="21"/>
      <c r="AD85" s="21"/>
      <c r="AE85" s="21"/>
      <c r="AF85" s="21"/>
      <c r="AG85" s="21"/>
      <c r="AH85" s="21"/>
      <c r="AI85" s="21" t="s">
        <v>152</v>
      </c>
      <c r="AJ85" s="21" t="s">
        <v>153</v>
      </c>
      <c r="AK85" s="21"/>
      <c r="AL85" s="21"/>
      <c r="AM85" s="21"/>
      <c r="AN85" s="21"/>
      <c r="AO85" s="21"/>
      <c r="AP85" s="21" t="s">
        <v>471</v>
      </c>
      <c r="AQ85" s="21" t="s">
        <v>596</v>
      </c>
      <c r="AR85" s="21" t="s">
        <v>595</v>
      </c>
      <c r="AS85" s="21" t="s">
        <v>593</v>
      </c>
      <c r="AT85" s="21" t="s">
        <v>593</v>
      </c>
      <c r="AU85" s="21"/>
      <c r="BA85" s="21"/>
      <c r="BB85" s="21"/>
      <c r="BC85" s="21"/>
      <c r="BD85" s="21"/>
      <c r="BE85" s="21"/>
      <c r="BF85" s="21"/>
      <c r="BG85" s="21"/>
      <c r="BH85" s="21" t="s">
        <v>217</v>
      </c>
      <c r="BI85" s="21">
        <v>0</v>
      </c>
      <c r="BJ85" s="21">
        <v>0</v>
      </c>
      <c r="BK85" s="21">
        <v>0</v>
      </c>
      <c r="BL85" s="21">
        <v>4</v>
      </c>
      <c r="BM85" s="21">
        <v>4</v>
      </c>
      <c r="BN85" s="21">
        <v>0</v>
      </c>
      <c r="BO85" s="21">
        <v>0</v>
      </c>
      <c r="BP85" s="21">
        <v>4</v>
      </c>
      <c r="BQ85" s="21">
        <v>4</v>
      </c>
      <c r="BR85" s="21">
        <v>0</v>
      </c>
      <c r="BS85" s="21">
        <v>8</v>
      </c>
      <c r="BT85" s="21">
        <v>4</v>
      </c>
      <c r="BU85" s="21">
        <v>4</v>
      </c>
      <c r="BV85" s="21">
        <v>4</v>
      </c>
      <c r="BW85" s="21">
        <v>8</v>
      </c>
      <c r="BX85" s="21">
        <v>8</v>
      </c>
      <c r="BY85" s="21">
        <v>4</v>
      </c>
      <c r="BZ85" s="21">
        <v>12</v>
      </c>
      <c r="CA85" s="21">
        <v>8</v>
      </c>
      <c r="CB85" s="21">
        <v>8</v>
      </c>
      <c r="CC85" s="21">
        <v>12</v>
      </c>
      <c r="CD85" s="21">
        <v>12</v>
      </c>
      <c r="CE85" s="21">
        <v>8</v>
      </c>
      <c r="CF85" s="21">
        <v>16</v>
      </c>
      <c r="CG85" s="21"/>
      <c r="CH85" s="21"/>
      <c r="CI85" s="21"/>
      <c r="CJ85" s="21"/>
      <c r="CK85" s="21"/>
      <c r="CL85" s="21"/>
      <c r="CM85" s="21"/>
      <c r="CN85" s="21" t="s">
        <v>217</v>
      </c>
      <c r="CO85" s="21">
        <v>0</v>
      </c>
      <c r="CP85" s="21">
        <v>0</v>
      </c>
      <c r="CQ85" s="21">
        <v>4</v>
      </c>
      <c r="CR85" s="21">
        <v>4</v>
      </c>
      <c r="CS85" s="21">
        <v>0</v>
      </c>
      <c r="CT85" s="21">
        <v>0</v>
      </c>
      <c r="CU85" s="21">
        <v>4</v>
      </c>
      <c r="CV85" s="21">
        <v>4</v>
      </c>
      <c r="CW85" s="21">
        <v>0</v>
      </c>
      <c r="CX85" s="21">
        <v>8</v>
      </c>
      <c r="CY85" s="21">
        <v>4</v>
      </c>
      <c r="CZ85" s="21">
        <v>4</v>
      </c>
      <c r="DA85" s="21">
        <v>8</v>
      </c>
      <c r="DB85" s="21">
        <v>8</v>
      </c>
      <c r="DC85" s="21">
        <v>4</v>
      </c>
      <c r="DD85" s="21">
        <v>12</v>
      </c>
      <c r="DE85" s="21">
        <v>8</v>
      </c>
      <c r="DF85" s="21">
        <v>8</v>
      </c>
      <c r="DG85" s="21">
        <v>12</v>
      </c>
      <c r="DH85" s="21">
        <v>12</v>
      </c>
      <c r="DI85" s="21">
        <v>8</v>
      </c>
      <c r="DJ85" s="21">
        <v>16</v>
      </c>
      <c r="DK85" s="21">
        <v>12</v>
      </c>
      <c r="DL85" s="21">
        <v>12</v>
      </c>
      <c r="DM85" s="21"/>
      <c r="DN85" s="21"/>
      <c r="DO85" s="21"/>
      <c r="DP85" s="21"/>
      <c r="DQ85" s="87"/>
      <c r="DR85" s="87">
        <v>8</v>
      </c>
      <c r="DS85" s="87"/>
      <c r="DT85" s="21"/>
      <c r="DU85" s="21"/>
      <c r="DV85" s="21"/>
      <c r="DW85" s="21"/>
      <c r="DX85" s="21"/>
      <c r="DY85" s="21"/>
      <c r="DZ85" s="21"/>
      <c r="EA85" s="21"/>
      <c r="EB85" s="21"/>
      <c r="EC85" s="21"/>
      <c r="ED85" s="21"/>
      <c r="EE85" s="21"/>
      <c r="EF85" s="21"/>
      <c r="EG85" s="21"/>
      <c r="EH85" s="21"/>
      <c r="EI85" s="21"/>
      <c r="EJ85" s="196"/>
      <c r="EK85" s="180" t="s">
        <v>586</v>
      </c>
      <c r="EL85" s="21">
        <v>0</v>
      </c>
      <c r="EM85" s="21">
        <v>0</v>
      </c>
      <c r="EN85" s="21">
        <v>0</v>
      </c>
      <c r="EO85" s="21">
        <v>4</v>
      </c>
      <c r="EP85" s="21">
        <v>0</v>
      </c>
      <c r="EQ85" s="21">
        <v>0</v>
      </c>
      <c r="ER85" s="21">
        <v>0</v>
      </c>
      <c r="ES85" s="21">
        <v>0</v>
      </c>
      <c r="ET85" s="21">
        <v>0</v>
      </c>
      <c r="EU85" s="21">
        <v>0</v>
      </c>
      <c r="EV85" s="21">
        <v>0</v>
      </c>
      <c r="EW85" s="21">
        <v>0</v>
      </c>
      <c r="EX85" s="21">
        <v>0</v>
      </c>
      <c r="EY85" s="21">
        <v>0</v>
      </c>
      <c r="EZ85" s="21">
        <v>0</v>
      </c>
      <c r="FA85" s="21">
        <v>0</v>
      </c>
      <c r="FB85" s="21">
        <v>0</v>
      </c>
      <c r="FC85" s="21">
        <v>0</v>
      </c>
      <c r="FD85" s="21">
        <v>0</v>
      </c>
      <c r="FE85" s="21">
        <v>0</v>
      </c>
      <c r="FF85" s="21">
        <v>0</v>
      </c>
      <c r="FG85" s="21">
        <v>0</v>
      </c>
      <c r="FH85" s="21">
        <v>0</v>
      </c>
      <c r="FI85" s="21">
        <v>0</v>
      </c>
      <c r="FK85" s="180" t="s">
        <v>586</v>
      </c>
      <c r="FL85" s="21">
        <v>0</v>
      </c>
      <c r="FM85" s="180">
        <v>0</v>
      </c>
      <c r="FN85" s="180">
        <v>4</v>
      </c>
      <c r="FO85" s="180">
        <v>4</v>
      </c>
      <c r="FP85" s="180">
        <v>0</v>
      </c>
      <c r="FQ85" s="180">
        <v>0</v>
      </c>
      <c r="FR85" s="180">
        <v>0</v>
      </c>
      <c r="FS85" s="180">
        <v>0</v>
      </c>
      <c r="FT85" s="180">
        <v>0</v>
      </c>
      <c r="FU85" s="180">
        <v>0</v>
      </c>
      <c r="FV85" s="180">
        <v>0</v>
      </c>
      <c r="FW85" s="180">
        <v>0</v>
      </c>
      <c r="FX85" s="180">
        <v>0</v>
      </c>
      <c r="FY85" s="180">
        <v>0</v>
      </c>
      <c r="FZ85" s="180">
        <v>0</v>
      </c>
      <c r="GA85" s="180">
        <v>0</v>
      </c>
      <c r="GB85" s="180">
        <v>0</v>
      </c>
      <c r="GC85" s="180">
        <v>0</v>
      </c>
      <c r="GD85" s="180">
        <v>0</v>
      </c>
      <c r="GE85" s="180">
        <v>0</v>
      </c>
      <c r="GF85" s="180">
        <v>0</v>
      </c>
      <c r="GG85" s="180">
        <v>0</v>
      </c>
      <c r="GH85" s="180">
        <v>0</v>
      </c>
      <c r="GI85" s="180">
        <v>0</v>
      </c>
      <c r="GJ85" s="21"/>
      <c r="GK85" s="21"/>
      <c r="GL85" s="21"/>
      <c r="GM85" s="21"/>
      <c r="GN85" s="21"/>
      <c r="GO85" s="21"/>
      <c r="GP85" s="21"/>
      <c r="GQ85" s="21"/>
      <c r="GR85" s="21" t="s">
        <v>586</v>
      </c>
      <c r="GS85" s="21">
        <v>0</v>
      </c>
      <c r="GT85" s="21">
        <v>0</v>
      </c>
      <c r="GU85" s="21">
        <v>4</v>
      </c>
      <c r="GV85" s="21">
        <v>4</v>
      </c>
      <c r="GW85" s="21">
        <v>0</v>
      </c>
      <c r="GX85" s="21">
        <v>0</v>
      </c>
      <c r="GY85" s="21">
        <v>0</v>
      </c>
      <c r="GZ85" s="21">
        <v>0</v>
      </c>
      <c r="HA85" s="21">
        <v>0</v>
      </c>
      <c r="HB85" s="21">
        <v>0</v>
      </c>
      <c r="HC85" s="21">
        <v>0</v>
      </c>
      <c r="HD85" s="21">
        <v>0</v>
      </c>
      <c r="HE85" s="21">
        <v>0</v>
      </c>
      <c r="HF85" s="21">
        <v>0</v>
      </c>
      <c r="HG85" s="21">
        <v>0</v>
      </c>
      <c r="HH85" s="21">
        <v>0</v>
      </c>
      <c r="HI85" s="180">
        <v>0</v>
      </c>
      <c r="HJ85" s="180">
        <v>0</v>
      </c>
      <c r="HK85" s="180">
        <v>0</v>
      </c>
      <c r="HL85" s="180">
        <v>0</v>
      </c>
      <c r="HM85" s="180">
        <v>0</v>
      </c>
      <c r="HN85" s="180">
        <v>0</v>
      </c>
      <c r="HO85" s="180">
        <v>0</v>
      </c>
      <c r="HP85" s="180">
        <v>0</v>
      </c>
      <c r="HS85" s="180" t="s">
        <v>586</v>
      </c>
      <c r="HT85" s="180">
        <v>0</v>
      </c>
      <c r="HU85" s="180">
        <v>0</v>
      </c>
      <c r="HV85" s="180">
        <v>4</v>
      </c>
      <c r="HW85" s="180">
        <v>0</v>
      </c>
      <c r="HX85" s="180">
        <v>0</v>
      </c>
      <c r="HY85" s="180">
        <v>0</v>
      </c>
      <c r="HZ85" s="180">
        <v>0</v>
      </c>
      <c r="IA85" s="180">
        <v>0</v>
      </c>
      <c r="IB85" s="180">
        <v>0</v>
      </c>
      <c r="IC85" s="180">
        <v>0</v>
      </c>
      <c r="ID85" s="180">
        <v>0</v>
      </c>
      <c r="IE85" s="180">
        <v>0</v>
      </c>
      <c r="IF85" s="180">
        <v>0</v>
      </c>
      <c r="IG85" s="180">
        <v>0</v>
      </c>
      <c r="IH85" s="180">
        <v>0</v>
      </c>
      <c r="II85" s="180">
        <v>0</v>
      </c>
      <c r="IJ85" s="180">
        <v>0</v>
      </c>
      <c r="IK85" s="180">
        <v>0</v>
      </c>
      <c r="IL85" s="180">
        <v>0</v>
      </c>
      <c r="IM85" s="180">
        <v>0</v>
      </c>
      <c r="IN85" s="180">
        <v>0</v>
      </c>
      <c r="IO85" s="180">
        <v>0</v>
      </c>
      <c r="IP85" s="180">
        <v>0</v>
      </c>
      <c r="IQ85" s="180">
        <v>0</v>
      </c>
      <c r="IT85" s="198"/>
    </row>
    <row r="86" spans="1:254" x14ac:dyDescent="0.25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6" t="s">
        <v>525</v>
      </c>
      <c r="M86" s="11">
        <f>INDEX(cennik!$C$2:$L$529,MATCH($L86,cennik!$B$2:$B$522,0),MATCH(M$2,cennik!$C$1:$L$1,0))</f>
        <v>660245</v>
      </c>
      <c r="N86" s="11" t="str">
        <f>INDEX(cennik!$C$2:$L$529,MATCH($L86,cennik!$B$2:$B$522,0),MATCH(N$2,cennik!$C$1:$L$1,0))</f>
        <v>szt.</v>
      </c>
      <c r="O86" s="11">
        <f>SUM(O82:O83)</f>
        <v>0</v>
      </c>
      <c r="P86" s="34">
        <f>INDEX(cennik!$C$2:$L$529,MATCH($L86,cennik!$B$2:$B$522,0),MATCH(P$2,cennik!$C$1:$L$1,0))</f>
        <v>1.56</v>
      </c>
      <c r="Q86" s="34">
        <f t="shared" si="125"/>
        <v>0</v>
      </c>
      <c r="R86" s="35">
        <f t="shared" si="122"/>
        <v>0</v>
      </c>
      <c r="S86" s="34">
        <f t="shared" si="123"/>
        <v>1.56</v>
      </c>
      <c r="T86" s="34">
        <f t="shared" si="124"/>
        <v>0</v>
      </c>
      <c r="U86" s="34">
        <f>INDEX(cennik!$C$2:$L$529,MATCH($L86,cennik!$B$2:$B$522,0),MATCH(U$2,cennik!$C$1:$L$1,0))*O86</f>
        <v>0</v>
      </c>
      <c r="V86" s="25"/>
      <c r="W86" s="25"/>
      <c r="X86" s="25"/>
      <c r="Y86" s="25"/>
      <c r="Z86" s="25"/>
      <c r="AA86" s="21"/>
      <c r="AB86" s="21"/>
      <c r="AC86" s="21"/>
      <c r="AD86" s="21"/>
      <c r="AE86" s="21"/>
      <c r="AF86" s="21"/>
      <c r="AG86" s="21"/>
      <c r="AH86" s="21"/>
      <c r="AI86" s="21">
        <v>50</v>
      </c>
      <c r="AJ86" s="21">
        <v>1150</v>
      </c>
      <c r="AK86" s="21"/>
      <c r="AL86" s="21"/>
      <c r="AM86" s="21"/>
      <c r="AN86" s="21"/>
      <c r="AO86" s="21"/>
      <c r="AP86" s="21" t="s">
        <v>473</v>
      </c>
      <c r="AQ86" s="21" t="s">
        <v>596</v>
      </c>
      <c r="AR86" s="21" t="s">
        <v>595</v>
      </c>
      <c r="AS86" s="21" t="s">
        <v>593</v>
      </c>
      <c r="AT86" s="21" t="s">
        <v>593</v>
      </c>
      <c r="AU86" s="21"/>
      <c r="BA86" s="21"/>
      <c r="BB86" s="21"/>
      <c r="BC86" s="21"/>
      <c r="BD86" s="21"/>
      <c r="BE86" s="21"/>
      <c r="BF86" s="21"/>
      <c r="BG86" s="21"/>
      <c r="BH86" s="21" t="s">
        <v>216</v>
      </c>
      <c r="BI86" s="21">
        <v>0</v>
      </c>
      <c r="BJ86" s="21">
        <v>0</v>
      </c>
      <c r="BK86" s="21">
        <v>4</v>
      </c>
      <c r="BL86" s="21">
        <v>0</v>
      </c>
      <c r="BM86" s="21">
        <v>0</v>
      </c>
      <c r="BN86" s="21">
        <v>4</v>
      </c>
      <c r="BO86" s="21">
        <v>8</v>
      </c>
      <c r="BP86" s="21">
        <v>0</v>
      </c>
      <c r="BQ86" s="21">
        <v>4</v>
      </c>
      <c r="BR86" s="21">
        <v>8</v>
      </c>
      <c r="BS86" s="21">
        <v>0</v>
      </c>
      <c r="BT86" s="21">
        <v>4</v>
      </c>
      <c r="BU86" s="21">
        <v>8</v>
      </c>
      <c r="BV86" s="21">
        <v>8</v>
      </c>
      <c r="BW86" s="21">
        <v>0</v>
      </c>
      <c r="BX86" s="21">
        <v>4</v>
      </c>
      <c r="BY86" s="21">
        <v>8</v>
      </c>
      <c r="BZ86" s="21">
        <v>0</v>
      </c>
      <c r="CA86" s="21">
        <v>4</v>
      </c>
      <c r="CB86" s="21">
        <v>8</v>
      </c>
      <c r="CC86" s="21">
        <v>0</v>
      </c>
      <c r="CD86" s="21">
        <v>4</v>
      </c>
      <c r="CE86" s="21">
        <v>8</v>
      </c>
      <c r="CF86" s="21">
        <v>0</v>
      </c>
      <c r="CG86" s="21"/>
      <c r="CH86" s="21"/>
      <c r="CI86" s="21"/>
      <c r="CJ86" s="21"/>
      <c r="CK86" s="21"/>
      <c r="CL86" s="21"/>
      <c r="CM86" s="21"/>
      <c r="CN86" s="21" t="s">
        <v>216</v>
      </c>
      <c r="CO86" s="21">
        <v>0</v>
      </c>
      <c r="CP86" s="21">
        <v>4</v>
      </c>
      <c r="CQ86" s="21">
        <v>0</v>
      </c>
      <c r="CR86" s="21">
        <v>0</v>
      </c>
      <c r="CS86" s="21">
        <v>4</v>
      </c>
      <c r="CT86" s="21">
        <v>8</v>
      </c>
      <c r="CU86" s="21">
        <v>0</v>
      </c>
      <c r="CV86" s="21">
        <v>4</v>
      </c>
      <c r="CW86" s="21">
        <v>8</v>
      </c>
      <c r="CX86" s="21">
        <v>0</v>
      </c>
      <c r="CY86" s="21">
        <v>4</v>
      </c>
      <c r="CZ86" s="21">
        <v>8</v>
      </c>
      <c r="DA86" s="21">
        <v>0</v>
      </c>
      <c r="DB86" s="21">
        <v>4</v>
      </c>
      <c r="DC86" s="21">
        <v>8</v>
      </c>
      <c r="DD86" s="21">
        <v>0</v>
      </c>
      <c r="DE86" s="21">
        <v>4</v>
      </c>
      <c r="DF86" s="21">
        <v>8</v>
      </c>
      <c r="DG86" s="21">
        <v>0</v>
      </c>
      <c r="DH86" s="21">
        <v>4</v>
      </c>
      <c r="DI86" s="21">
        <v>8</v>
      </c>
      <c r="DJ86" s="21">
        <v>0</v>
      </c>
      <c r="DK86" s="21">
        <v>4</v>
      </c>
      <c r="DL86" s="21">
        <v>8</v>
      </c>
      <c r="DM86" s="21"/>
      <c r="DN86" s="21"/>
      <c r="DO86" s="21"/>
      <c r="DP86" s="21"/>
      <c r="DQ86" s="87"/>
      <c r="DR86" s="87">
        <v>10</v>
      </c>
      <c r="DS86" s="87"/>
      <c r="DT86" s="21"/>
      <c r="DU86" s="21"/>
      <c r="DV86" s="21"/>
      <c r="DW86" s="21"/>
      <c r="DX86" s="21"/>
      <c r="DY86" s="21"/>
      <c r="DZ86" s="21"/>
      <c r="EA86" s="21"/>
      <c r="EB86" s="21"/>
      <c r="EC86" s="21"/>
      <c r="ED86" s="21"/>
      <c r="EE86" s="21"/>
      <c r="EF86" s="21"/>
      <c r="EG86" s="21"/>
      <c r="EH86" s="21"/>
      <c r="EI86" s="21"/>
      <c r="EJ86" s="196"/>
      <c r="EK86" s="21" t="s">
        <v>522</v>
      </c>
      <c r="EL86" s="21">
        <v>0</v>
      </c>
      <c r="EM86" s="21">
        <f t="shared" ref="EM86:FI86" si="136">BJ86</f>
        <v>0</v>
      </c>
      <c r="EN86" s="21">
        <f>BK86</f>
        <v>4</v>
      </c>
      <c r="EO86" s="21">
        <f t="shared" si="136"/>
        <v>0</v>
      </c>
      <c r="EP86" s="21">
        <f t="shared" si="136"/>
        <v>0</v>
      </c>
      <c r="EQ86" s="21">
        <f t="shared" si="136"/>
        <v>4</v>
      </c>
      <c r="ER86" s="21">
        <f t="shared" si="136"/>
        <v>8</v>
      </c>
      <c r="ES86" s="21">
        <f t="shared" si="136"/>
        <v>0</v>
      </c>
      <c r="ET86" s="21">
        <f t="shared" si="136"/>
        <v>4</v>
      </c>
      <c r="EU86" s="21">
        <f t="shared" si="136"/>
        <v>8</v>
      </c>
      <c r="EV86" s="21">
        <f t="shared" si="136"/>
        <v>0</v>
      </c>
      <c r="EW86" s="21">
        <f t="shared" si="136"/>
        <v>4</v>
      </c>
      <c r="EX86" s="21">
        <f t="shared" si="136"/>
        <v>8</v>
      </c>
      <c r="EY86" s="21">
        <f t="shared" si="136"/>
        <v>8</v>
      </c>
      <c r="EZ86" s="21">
        <f t="shared" si="136"/>
        <v>0</v>
      </c>
      <c r="FA86" s="21">
        <f t="shared" si="136"/>
        <v>4</v>
      </c>
      <c r="FB86" s="21">
        <f t="shared" si="136"/>
        <v>8</v>
      </c>
      <c r="FC86" s="21">
        <f t="shared" si="136"/>
        <v>0</v>
      </c>
      <c r="FD86" s="21">
        <f t="shared" si="136"/>
        <v>4</v>
      </c>
      <c r="FE86" s="21">
        <f t="shared" si="136"/>
        <v>8</v>
      </c>
      <c r="FF86" s="21">
        <f t="shared" si="136"/>
        <v>0</v>
      </c>
      <c r="FG86" s="21">
        <f t="shared" si="136"/>
        <v>4</v>
      </c>
      <c r="FH86" s="21">
        <f t="shared" si="136"/>
        <v>8</v>
      </c>
      <c r="FI86" s="21">
        <f t="shared" si="136"/>
        <v>0</v>
      </c>
      <c r="FJ86" s="21"/>
      <c r="FK86" s="21" t="s">
        <v>522</v>
      </c>
      <c r="FL86" s="21">
        <v>0</v>
      </c>
      <c r="FM86" s="21">
        <f>CP86</f>
        <v>4</v>
      </c>
      <c r="FN86" s="21">
        <f>CQ86</f>
        <v>0</v>
      </c>
      <c r="FO86" s="21">
        <v>0</v>
      </c>
      <c r="FP86" s="21">
        <f t="shared" ref="FP86:GI86" si="137">CS86</f>
        <v>4</v>
      </c>
      <c r="FQ86" s="21">
        <f t="shared" si="137"/>
        <v>8</v>
      </c>
      <c r="FR86" s="21">
        <f t="shared" si="137"/>
        <v>0</v>
      </c>
      <c r="FS86" s="21">
        <f t="shared" si="137"/>
        <v>4</v>
      </c>
      <c r="FT86" s="21">
        <f t="shared" si="137"/>
        <v>8</v>
      </c>
      <c r="FU86" s="21">
        <f t="shared" si="137"/>
        <v>0</v>
      </c>
      <c r="FV86" s="21">
        <f t="shared" si="137"/>
        <v>4</v>
      </c>
      <c r="FW86" s="21">
        <f t="shared" si="137"/>
        <v>8</v>
      </c>
      <c r="FX86" s="21">
        <f t="shared" si="137"/>
        <v>0</v>
      </c>
      <c r="FY86" s="21">
        <f t="shared" si="137"/>
        <v>4</v>
      </c>
      <c r="FZ86" s="21">
        <f t="shared" si="137"/>
        <v>8</v>
      </c>
      <c r="GA86" s="21">
        <f t="shared" si="137"/>
        <v>0</v>
      </c>
      <c r="GB86" s="21">
        <f t="shared" si="137"/>
        <v>4</v>
      </c>
      <c r="GC86" s="21">
        <f t="shared" si="137"/>
        <v>8</v>
      </c>
      <c r="GD86" s="21">
        <f t="shared" si="137"/>
        <v>0</v>
      </c>
      <c r="GE86" s="21">
        <f t="shared" si="137"/>
        <v>4</v>
      </c>
      <c r="GF86" s="21">
        <f t="shared" si="137"/>
        <v>8</v>
      </c>
      <c r="GG86" s="21">
        <f t="shared" si="137"/>
        <v>0</v>
      </c>
      <c r="GH86" s="21">
        <f t="shared" si="137"/>
        <v>4</v>
      </c>
      <c r="GI86" s="21">
        <f t="shared" si="137"/>
        <v>8</v>
      </c>
      <c r="GJ86" s="21"/>
      <c r="GK86" s="21"/>
      <c r="GL86" s="21"/>
      <c r="GM86" s="21"/>
      <c r="GN86" s="21"/>
      <c r="GO86" s="21"/>
      <c r="GP86" s="21"/>
      <c r="GQ86" s="21"/>
      <c r="GR86" s="21" t="s">
        <v>522</v>
      </c>
      <c r="GS86" s="21">
        <v>0</v>
      </c>
      <c r="GT86" s="21">
        <v>4</v>
      </c>
      <c r="GU86" s="21">
        <v>0</v>
      </c>
      <c r="GV86" s="21">
        <v>0</v>
      </c>
      <c r="GW86" s="21">
        <v>4</v>
      </c>
      <c r="GX86" s="21">
        <v>8</v>
      </c>
      <c r="GY86" s="21">
        <v>0</v>
      </c>
      <c r="GZ86" s="21">
        <v>8</v>
      </c>
      <c r="HA86" s="21">
        <v>12</v>
      </c>
      <c r="HB86" s="21">
        <v>4</v>
      </c>
      <c r="HC86" s="21">
        <v>8</v>
      </c>
      <c r="HD86" s="21">
        <v>12</v>
      </c>
      <c r="HE86" s="21">
        <v>16</v>
      </c>
      <c r="HF86" s="21">
        <v>8</v>
      </c>
      <c r="HG86" s="21">
        <v>12</v>
      </c>
      <c r="HH86" s="21">
        <v>16</v>
      </c>
      <c r="HI86" s="180">
        <v>12</v>
      </c>
      <c r="HJ86" s="180">
        <v>16</v>
      </c>
      <c r="HK86" s="180">
        <v>20</v>
      </c>
      <c r="HL86" s="180">
        <v>24</v>
      </c>
      <c r="HM86" s="180">
        <v>16</v>
      </c>
      <c r="HN86" s="180">
        <v>20</v>
      </c>
      <c r="HO86" s="180">
        <v>24</v>
      </c>
      <c r="HP86" s="180">
        <v>28</v>
      </c>
      <c r="HS86" s="180" t="s">
        <v>522</v>
      </c>
      <c r="HT86" s="180">
        <v>0</v>
      </c>
      <c r="HU86" s="180">
        <v>4</v>
      </c>
      <c r="HV86" s="180">
        <v>0</v>
      </c>
      <c r="HW86" s="180">
        <v>4</v>
      </c>
      <c r="HX86" s="180">
        <v>8</v>
      </c>
      <c r="HY86" s="180">
        <v>0</v>
      </c>
      <c r="HZ86" s="180">
        <v>4</v>
      </c>
      <c r="IA86" s="180">
        <v>8</v>
      </c>
      <c r="IB86" s="180">
        <v>4</v>
      </c>
      <c r="IC86" s="180">
        <v>8</v>
      </c>
      <c r="ID86" s="180">
        <v>12</v>
      </c>
      <c r="IE86" s="180">
        <v>16</v>
      </c>
      <c r="IF86" s="180">
        <v>8</v>
      </c>
      <c r="IG86" s="180">
        <v>16</v>
      </c>
      <c r="IH86" s="180">
        <v>20</v>
      </c>
      <c r="II86" s="180">
        <v>12</v>
      </c>
      <c r="IJ86" s="180">
        <v>16</v>
      </c>
      <c r="IK86" s="180">
        <v>20</v>
      </c>
      <c r="IL86" s="180">
        <v>16</v>
      </c>
      <c r="IM86" s="180">
        <v>20</v>
      </c>
      <c r="IN86" s="180">
        <v>24</v>
      </c>
      <c r="IO86" s="180">
        <v>28</v>
      </c>
      <c r="IP86" s="180">
        <v>20</v>
      </c>
      <c r="IQ86" s="180">
        <v>28</v>
      </c>
      <c r="IT86" s="198"/>
    </row>
    <row r="87" spans="1:254" x14ac:dyDescent="0.25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6" t="s">
        <v>799</v>
      </c>
      <c r="M87" s="11">
        <f>INDEX(cennik!$C$2:$L$529,MATCH($L87,cennik!$B$2:$B$522,0),MATCH(M$2,cennik!$C$1:$L$1,0))</f>
        <v>6510443</v>
      </c>
      <c r="N87" s="11" t="str">
        <f>INDEX(cennik!$C$2:$L$529,MATCH($L87,cennik!$B$2:$B$522,0),MATCH(N$2,cennik!$C$1:$L$1,0))</f>
        <v>100 szt.</v>
      </c>
      <c r="O87" s="11">
        <f>O88</f>
        <v>0</v>
      </c>
      <c r="P87" s="34">
        <f>INDEX(cennik!$C$2:$L$529,MATCH($L87,cennik!$B$2:$B$522,0),MATCH(P$2,cennik!$C$1:$L$1,0))</f>
        <v>43.51</v>
      </c>
      <c r="Q87" s="34">
        <f t="shared" si="125"/>
        <v>0</v>
      </c>
      <c r="R87" s="35">
        <f t="shared" si="122"/>
        <v>0</v>
      </c>
      <c r="S87" s="34">
        <f t="shared" si="123"/>
        <v>43.51</v>
      </c>
      <c r="T87" s="34">
        <f t="shared" si="124"/>
        <v>0</v>
      </c>
      <c r="U87" s="34">
        <f>INDEX(cennik!$C$2:$L$529,MATCH($L87,cennik!$B$2:$B$522,0),MATCH(U$2,cennik!$C$1:$L$1,0))*O87</f>
        <v>0</v>
      </c>
      <c r="V87" s="25"/>
      <c r="W87" s="25"/>
      <c r="X87" s="25"/>
      <c r="Y87" s="25"/>
      <c r="Z87" s="21"/>
      <c r="AA87" s="21"/>
      <c r="AB87" s="21"/>
      <c r="AC87" s="21"/>
      <c r="AD87" s="21"/>
      <c r="AE87" s="21"/>
      <c r="AF87" s="21"/>
      <c r="AG87" s="21"/>
      <c r="AH87" s="21"/>
      <c r="AI87" s="21">
        <f>((AI86/2)*AJ86)+(((AI86/2)-1)*20)+100</f>
        <v>29330</v>
      </c>
      <c r="AJ87" s="21" t="s">
        <v>158</v>
      </c>
      <c r="AK87" s="21" t="s">
        <v>156</v>
      </c>
      <c r="AL87" s="21" t="s">
        <v>155</v>
      </c>
      <c r="AM87" s="21"/>
      <c r="AN87" s="21" t="s">
        <v>157</v>
      </c>
      <c r="AO87" s="21"/>
      <c r="AP87" s="21" t="s">
        <v>113</v>
      </c>
      <c r="AQ87" s="21" t="s">
        <v>596</v>
      </c>
      <c r="AR87" s="21" t="s">
        <v>595</v>
      </c>
      <c r="AS87" s="21" t="s">
        <v>593</v>
      </c>
      <c r="AT87" s="21" t="s">
        <v>593</v>
      </c>
      <c r="AU87" s="21"/>
      <c r="BA87" s="21"/>
      <c r="BB87" s="21"/>
      <c r="BC87" s="21"/>
      <c r="BD87" s="21"/>
      <c r="BE87" s="21"/>
      <c r="BF87" s="21"/>
      <c r="BG87" s="21"/>
      <c r="BH87" s="21" t="s">
        <v>17</v>
      </c>
      <c r="BI87" s="21">
        <v>0</v>
      </c>
      <c r="BJ87" s="21">
        <v>4</v>
      </c>
      <c r="BK87" s="21">
        <v>0</v>
      </c>
      <c r="BL87" s="21">
        <v>0</v>
      </c>
      <c r="BM87" s="21">
        <v>0</v>
      </c>
      <c r="BN87" s="21">
        <v>4</v>
      </c>
      <c r="BO87" s="21">
        <v>0</v>
      </c>
      <c r="BP87" s="21">
        <v>4</v>
      </c>
      <c r="BQ87" s="21">
        <v>0</v>
      </c>
      <c r="BR87" s="21">
        <v>4</v>
      </c>
      <c r="BS87" s="21">
        <v>0</v>
      </c>
      <c r="BT87" s="21">
        <v>4</v>
      </c>
      <c r="BU87" s="21">
        <v>0</v>
      </c>
      <c r="BV87" s="21">
        <v>0</v>
      </c>
      <c r="BW87" s="21">
        <v>4</v>
      </c>
      <c r="BX87" s="21">
        <v>0</v>
      </c>
      <c r="BY87" s="21">
        <v>4</v>
      </c>
      <c r="BZ87" s="21">
        <v>0</v>
      </c>
      <c r="CA87" s="21">
        <v>4</v>
      </c>
      <c r="CB87" s="21">
        <v>0</v>
      </c>
      <c r="CC87" s="21">
        <v>4</v>
      </c>
      <c r="CD87" s="21">
        <v>0</v>
      </c>
      <c r="CE87" s="21">
        <v>4</v>
      </c>
      <c r="CF87" s="21">
        <v>0</v>
      </c>
      <c r="CG87" s="21"/>
      <c r="CH87" s="21"/>
      <c r="CI87" s="21"/>
      <c r="CJ87" s="21"/>
      <c r="CK87" s="21"/>
      <c r="CL87" s="21"/>
      <c r="CM87" s="21"/>
      <c r="CN87" s="21" t="s">
        <v>17</v>
      </c>
      <c r="CO87" s="21">
        <v>0</v>
      </c>
      <c r="CP87" s="21">
        <v>0</v>
      </c>
      <c r="CQ87" s="21">
        <v>0</v>
      </c>
      <c r="CR87" s="21">
        <v>0</v>
      </c>
      <c r="CS87" s="21">
        <v>4</v>
      </c>
      <c r="CT87" s="21">
        <v>0</v>
      </c>
      <c r="CU87" s="21">
        <v>4</v>
      </c>
      <c r="CV87" s="21">
        <v>0</v>
      </c>
      <c r="CW87" s="21">
        <v>4</v>
      </c>
      <c r="CX87" s="21">
        <v>0</v>
      </c>
      <c r="CY87" s="21">
        <v>4</v>
      </c>
      <c r="CZ87" s="21">
        <v>0</v>
      </c>
      <c r="DA87" s="21">
        <v>4</v>
      </c>
      <c r="DB87" s="21">
        <v>0</v>
      </c>
      <c r="DC87" s="21">
        <v>4</v>
      </c>
      <c r="DD87" s="21">
        <v>0</v>
      </c>
      <c r="DE87" s="21">
        <v>4</v>
      </c>
      <c r="DF87" s="21">
        <v>0</v>
      </c>
      <c r="DG87" s="21">
        <v>4</v>
      </c>
      <c r="DH87" s="21">
        <v>0</v>
      </c>
      <c r="DI87" s="21">
        <v>4</v>
      </c>
      <c r="DJ87" s="21">
        <v>0</v>
      </c>
      <c r="DK87" s="21">
        <v>4</v>
      </c>
      <c r="DL87" s="21">
        <v>0</v>
      </c>
      <c r="DM87" s="21"/>
      <c r="DN87" s="21"/>
      <c r="DO87" s="21"/>
      <c r="DP87" s="21"/>
      <c r="DQ87" s="87"/>
      <c r="DR87" s="87">
        <v>12</v>
      </c>
      <c r="DS87" s="87"/>
      <c r="DT87" s="21"/>
      <c r="DU87" s="21"/>
      <c r="DV87" s="21"/>
      <c r="DW87" s="21"/>
      <c r="DX87" s="21"/>
      <c r="DY87" s="21"/>
      <c r="DZ87" s="21"/>
      <c r="EA87" s="21"/>
      <c r="EB87" s="21"/>
      <c r="EC87" s="21"/>
      <c r="ED87" s="21"/>
      <c r="EE87" s="21"/>
      <c r="EF87" s="21"/>
      <c r="EG87" s="21"/>
      <c r="EH87" s="21"/>
      <c r="EI87" s="21"/>
      <c r="EJ87" s="196"/>
      <c r="EK87" s="21" t="s">
        <v>523</v>
      </c>
      <c r="EL87" s="21">
        <v>0</v>
      </c>
      <c r="EM87" s="21">
        <f>BJ87+(BJ85*2)</f>
        <v>4</v>
      </c>
      <c r="EN87" s="21">
        <f>BK87+(BK85*2)</f>
        <v>0</v>
      </c>
      <c r="EO87" s="21">
        <v>0</v>
      </c>
      <c r="EP87" s="21">
        <f t="shared" ref="EP87:FI87" si="138">BM87+(BM85*2)</f>
        <v>8</v>
      </c>
      <c r="EQ87" s="21">
        <f t="shared" si="138"/>
        <v>4</v>
      </c>
      <c r="ER87" s="21">
        <f t="shared" si="138"/>
        <v>0</v>
      </c>
      <c r="ES87" s="21">
        <f t="shared" si="138"/>
        <v>12</v>
      </c>
      <c r="ET87" s="21">
        <f t="shared" si="138"/>
        <v>8</v>
      </c>
      <c r="EU87" s="21">
        <f t="shared" si="138"/>
        <v>4</v>
      </c>
      <c r="EV87" s="21">
        <f t="shared" si="138"/>
        <v>16</v>
      </c>
      <c r="EW87" s="21">
        <f t="shared" si="138"/>
        <v>12</v>
      </c>
      <c r="EX87" s="21">
        <f t="shared" si="138"/>
        <v>8</v>
      </c>
      <c r="EY87" s="21">
        <f t="shared" si="138"/>
        <v>8</v>
      </c>
      <c r="EZ87" s="21">
        <f t="shared" si="138"/>
        <v>20</v>
      </c>
      <c r="FA87" s="21">
        <f t="shared" si="138"/>
        <v>16</v>
      </c>
      <c r="FB87" s="21">
        <f t="shared" si="138"/>
        <v>12</v>
      </c>
      <c r="FC87" s="21">
        <f t="shared" si="138"/>
        <v>24</v>
      </c>
      <c r="FD87" s="21">
        <f t="shared" si="138"/>
        <v>20</v>
      </c>
      <c r="FE87" s="21">
        <f t="shared" si="138"/>
        <v>16</v>
      </c>
      <c r="FF87" s="21">
        <f t="shared" si="138"/>
        <v>28</v>
      </c>
      <c r="FG87" s="21">
        <f t="shared" si="138"/>
        <v>24</v>
      </c>
      <c r="FH87" s="21">
        <f t="shared" si="138"/>
        <v>20</v>
      </c>
      <c r="FI87" s="21">
        <f t="shared" si="138"/>
        <v>32</v>
      </c>
      <c r="FJ87" s="21"/>
      <c r="FK87" s="21" t="s">
        <v>523</v>
      </c>
      <c r="FL87" s="21">
        <v>0</v>
      </c>
      <c r="FM87" s="21">
        <f>CP87+(CP85*2)</f>
        <v>0</v>
      </c>
      <c r="FN87" s="21">
        <v>0</v>
      </c>
      <c r="FO87" s="21">
        <v>0</v>
      </c>
      <c r="FP87" s="21">
        <f t="shared" ref="FP87:GI87" si="139">CS87+(CS85*2)</f>
        <v>4</v>
      </c>
      <c r="FQ87" s="21">
        <f t="shared" si="139"/>
        <v>0</v>
      </c>
      <c r="FR87" s="21">
        <f t="shared" si="139"/>
        <v>12</v>
      </c>
      <c r="FS87" s="21">
        <f t="shared" si="139"/>
        <v>8</v>
      </c>
      <c r="FT87" s="21">
        <f t="shared" si="139"/>
        <v>4</v>
      </c>
      <c r="FU87" s="21">
        <f t="shared" si="139"/>
        <v>16</v>
      </c>
      <c r="FV87" s="21">
        <f t="shared" si="139"/>
        <v>12</v>
      </c>
      <c r="FW87" s="21">
        <f t="shared" si="139"/>
        <v>8</v>
      </c>
      <c r="FX87" s="21">
        <f t="shared" si="139"/>
        <v>20</v>
      </c>
      <c r="FY87" s="21">
        <f t="shared" si="139"/>
        <v>16</v>
      </c>
      <c r="FZ87" s="21">
        <f t="shared" si="139"/>
        <v>12</v>
      </c>
      <c r="GA87" s="21">
        <f t="shared" si="139"/>
        <v>24</v>
      </c>
      <c r="GB87" s="21">
        <f t="shared" si="139"/>
        <v>20</v>
      </c>
      <c r="GC87" s="21">
        <f t="shared" si="139"/>
        <v>16</v>
      </c>
      <c r="GD87" s="21">
        <f t="shared" si="139"/>
        <v>28</v>
      </c>
      <c r="GE87" s="21">
        <f t="shared" si="139"/>
        <v>24</v>
      </c>
      <c r="GF87" s="21">
        <f t="shared" si="139"/>
        <v>20</v>
      </c>
      <c r="GG87" s="21">
        <f t="shared" si="139"/>
        <v>32</v>
      </c>
      <c r="GH87" s="21">
        <f t="shared" si="139"/>
        <v>28</v>
      </c>
      <c r="GI87" s="21">
        <f t="shared" si="139"/>
        <v>24</v>
      </c>
      <c r="GJ87" s="21"/>
      <c r="GK87" s="21"/>
      <c r="GL87" s="21"/>
      <c r="GM87" s="21"/>
      <c r="GN87" s="21"/>
      <c r="GO87" s="21"/>
      <c r="GP87" s="21"/>
      <c r="GQ87" s="21"/>
      <c r="GR87" s="21" t="s">
        <v>523</v>
      </c>
      <c r="GS87" s="21">
        <v>0</v>
      </c>
      <c r="GT87" s="21">
        <v>0</v>
      </c>
      <c r="GU87" s="21">
        <v>0</v>
      </c>
      <c r="GV87" s="21">
        <v>0</v>
      </c>
      <c r="GW87" s="21">
        <v>4</v>
      </c>
      <c r="GX87" s="21">
        <v>0</v>
      </c>
      <c r="GY87" s="21">
        <v>12</v>
      </c>
      <c r="GZ87" s="21">
        <v>4</v>
      </c>
      <c r="HA87" s="21">
        <v>0</v>
      </c>
      <c r="HB87" s="21">
        <v>12</v>
      </c>
      <c r="HC87" s="21">
        <v>8</v>
      </c>
      <c r="HD87" s="21">
        <v>4</v>
      </c>
      <c r="HE87" s="21">
        <v>0</v>
      </c>
      <c r="HF87" s="21">
        <v>12</v>
      </c>
      <c r="HG87" s="21">
        <v>8</v>
      </c>
      <c r="HH87" s="21">
        <v>4</v>
      </c>
      <c r="HI87" s="180">
        <v>12</v>
      </c>
      <c r="HJ87" s="180">
        <v>8</v>
      </c>
      <c r="HK87" s="180">
        <v>4</v>
      </c>
      <c r="HL87" s="180">
        <v>0</v>
      </c>
      <c r="HM87" s="180">
        <v>12</v>
      </c>
      <c r="HN87" s="180">
        <v>8</v>
      </c>
      <c r="HO87" s="180">
        <v>4</v>
      </c>
      <c r="HP87" s="180">
        <v>0</v>
      </c>
      <c r="HS87" s="180" t="s">
        <v>523</v>
      </c>
      <c r="HT87" s="180">
        <v>0</v>
      </c>
      <c r="HU87" s="180">
        <v>0</v>
      </c>
      <c r="HV87" s="180">
        <v>0</v>
      </c>
      <c r="HW87" s="180">
        <v>4</v>
      </c>
      <c r="HX87" s="180">
        <v>0</v>
      </c>
      <c r="HY87" s="180">
        <v>12</v>
      </c>
      <c r="HZ87" s="180">
        <v>8</v>
      </c>
      <c r="IA87" s="180">
        <v>4</v>
      </c>
      <c r="IB87" s="180">
        <v>12</v>
      </c>
      <c r="IC87" s="180">
        <v>8</v>
      </c>
      <c r="ID87" s="180">
        <v>4</v>
      </c>
      <c r="IE87" s="180">
        <v>0</v>
      </c>
      <c r="IF87" s="180">
        <v>12</v>
      </c>
      <c r="IG87" s="180">
        <v>4</v>
      </c>
      <c r="IH87" s="180">
        <v>0</v>
      </c>
      <c r="II87" s="180">
        <v>12</v>
      </c>
      <c r="IJ87" s="180">
        <v>8</v>
      </c>
      <c r="IK87" s="180">
        <v>4</v>
      </c>
      <c r="IL87" s="180">
        <v>12</v>
      </c>
      <c r="IM87" s="180">
        <v>8</v>
      </c>
      <c r="IN87" s="180">
        <v>4</v>
      </c>
      <c r="IO87" s="180">
        <v>0</v>
      </c>
      <c r="IP87" s="180">
        <v>12</v>
      </c>
      <c r="IQ87" s="180">
        <v>4</v>
      </c>
      <c r="IT87" s="198"/>
    </row>
    <row r="88" spans="1:254" x14ac:dyDescent="0.25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6" t="s">
        <v>350</v>
      </c>
      <c r="M88" s="11">
        <f>INDEX(cennik!$C$2:$L$529,MATCH($L88,cennik!$B$2:$B$522,0),MATCH(M$2,cennik!$C$1:$L$1,0))</f>
        <v>651643</v>
      </c>
      <c r="N88" s="11" t="str">
        <f>INDEX(cennik!$C$2:$L$529,MATCH($L88,cennik!$B$2:$B$522,0),MATCH(N$2,cennik!$C$1:$L$1,0))</f>
        <v>100 szt.</v>
      </c>
      <c r="O88" s="11">
        <f>ROUNDUP(((O69*17)+(O76*2)+(O94*2)+(O81*4)+(O90*2)+E72+(O68*9)+(O72*12)+(O95*2))/100,0)</f>
        <v>0</v>
      </c>
      <c r="P88" s="34">
        <f>INDEX(cennik!$C$2:$L$529,MATCH($L88,cennik!$B$2:$B$522,0),MATCH(P$2,cennik!$C$1:$L$1,0))</f>
        <v>144.19</v>
      </c>
      <c r="Q88" s="34">
        <f t="shared" si="125"/>
        <v>0</v>
      </c>
      <c r="R88" s="35">
        <f t="shared" si="122"/>
        <v>0</v>
      </c>
      <c r="S88" s="34">
        <f t="shared" si="123"/>
        <v>144.19</v>
      </c>
      <c r="T88" s="34">
        <f t="shared" si="124"/>
        <v>0</v>
      </c>
      <c r="U88" s="34">
        <f>INDEX(cennik!$C$2:$L$529,MATCH($L88,cennik!$B$2:$B$522,0),MATCH(U$2,cennik!$C$1:$L$1,0))*O88</f>
        <v>0</v>
      </c>
      <c r="V88" s="25"/>
      <c r="AC88" s="21"/>
      <c r="AD88" s="21"/>
      <c r="AE88" s="21"/>
      <c r="AF88" s="21"/>
      <c r="AG88" s="21"/>
      <c r="AH88" s="21" t="s">
        <v>217</v>
      </c>
      <c r="AI88" s="21">
        <v>6600</v>
      </c>
      <c r="AJ88" s="21">
        <v>4</v>
      </c>
      <c r="AK88" s="21">
        <f>AI88*AJ88</f>
        <v>26400</v>
      </c>
      <c r="AL88" s="21">
        <v>191.1</v>
      </c>
      <c r="AM88" s="21">
        <f>AJ88*AL88</f>
        <v>764.4</v>
      </c>
      <c r="AN88" s="21">
        <f>AJ88*4</f>
        <v>16</v>
      </c>
      <c r="AO88" s="21"/>
      <c r="AP88" s="21" t="s">
        <v>137</v>
      </c>
      <c r="AQ88" s="21" t="s">
        <v>596</v>
      </c>
      <c r="AR88" s="21" t="s">
        <v>595</v>
      </c>
      <c r="AS88" s="21" t="s">
        <v>593</v>
      </c>
      <c r="AT88" s="21" t="s">
        <v>593</v>
      </c>
      <c r="AU88" s="21"/>
      <c r="BA88" s="21"/>
      <c r="BB88" s="21"/>
      <c r="BC88" s="21"/>
      <c r="BD88" s="21"/>
      <c r="BE88" s="21"/>
      <c r="BF88" s="21"/>
      <c r="BG88" s="21"/>
      <c r="BH88" s="21" t="s">
        <v>18</v>
      </c>
      <c r="BI88" s="21">
        <v>0</v>
      </c>
      <c r="BJ88" s="21">
        <v>0</v>
      </c>
      <c r="BK88" s="21">
        <v>0</v>
      </c>
      <c r="BL88" s="21">
        <v>0</v>
      </c>
      <c r="BM88" s="21">
        <v>0</v>
      </c>
      <c r="BN88" s="21">
        <v>4</v>
      </c>
      <c r="BO88" s="21">
        <v>4</v>
      </c>
      <c r="BP88" s="21">
        <v>4</v>
      </c>
      <c r="BQ88" s="21">
        <v>4</v>
      </c>
      <c r="BR88" s="21">
        <v>8</v>
      </c>
      <c r="BS88" s="21">
        <v>4</v>
      </c>
      <c r="BT88" s="21">
        <v>8</v>
      </c>
      <c r="BU88" s="21">
        <v>8</v>
      </c>
      <c r="BV88" s="21">
        <v>8</v>
      </c>
      <c r="BW88" s="21">
        <v>8</v>
      </c>
      <c r="BX88" s="21">
        <v>8</v>
      </c>
      <c r="BY88" s="21">
        <v>12</v>
      </c>
      <c r="BZ88" s="21">
        <v>8</v>
      </c>
      <c r="CA88" s="21">
        <v>12</v>
      </c>
      <c r="CB88" s="21">
        <v>12</v>
      </c>
      <c r="CC88" s="21">
        <v>12</v>
      </c>
      <c r="CD88" s="21">
        <v>12</v>
      </c>
      <c r="CE88" s="21">
        <v>16</v>
      </c>
      <c r="CF88" s="21">
        <v>12</v>
      </c>
      <c r="CG88" s="21"/>
      <c r="CH88" s="21"/>
      <c r="CI88" s="21"/>
      <c r="CJ88" s="21"/>
      <c r="CK88" s="21"/>
      <c r="CL88" s="21"/>
      <c r="CM88" s="21"/>
      <c r="CN88" s="21" t="s">
        <v>18</v>
      </c>
      <c r="CO88" s="21">
        <v>0</v>
      </c>
      <c r="CP88" s="21">
        <v>0</v>
      </c>
      <c r="CQ88" s="21">
        <v>0</v>
      </c>
      <c r="CR88" s="21">
        <v>0</v>
      </c>
      <c r="CS88" s="21">
        <v>4</v>
      </c>
      <c r="CT88" s="21">
        <v>4</v>
      </c>
      <c r="CU88" s="21">
        <v>4</v>
      </c>
      <c r="CV88" s="21">
        <v>4</v>
      </c>
      <c r="CW88" s="21">
        <v>8</v>
      </c>
      <c r="CX88" s="21">
        <v>4</v>
      </c>
      <c r="CY88" s="21">
        <v>8</v>
      </c>
      <c r="CZ88" s="21">
        <v>8</v>
      </c>
      <c r="DA88" s="21">
        <v>8</v>
      </c>
      <c r="DB88" s="21">
        <v>8</v>
      </c>
      <c r="DC88" s="21">
        <v>12</v>
      </c>
      <c r="DD88" s="21">
        <v>8</v>
      </c>
      <c r="DE88" s="21">
        <v>12</v>
      </c>
      <c r="DF88" s="21">
        <v>12</v>
      </c>
      <c r="DG88" s="21">
        <v>12</v>
      </c>
      <c r="DH88" s="21">
        <v>12</v>
      </c>
      <c r="DI88" s="21">
        <v>16</v>
      </c>
      <c r="DJ88" s="21">
        <v>12</v>
      </c>
      <c r="DK88" s="21">
        <v>16</v>
      </c>
      <c r="DL88" s="21">
        <v>16</v>
      </c>
      <c r="DM88" s="21"/>
      <c r="DN88" s="21"/>
      <c r="DO88" s="21"/>
      <c r="DP88" s="21"/>
      <c r="DQ88" s="87"/>
      <c r="DR88" s="87">
        <v>14</v>
      </c>
      <c r="DS88" s="87"/>
      <c r="DT88" s="21"/>
      <c r="DU88" s="21"/>
      <c r="DV88" s="21"/>
      <c r="DW88" s="21"/>
      <c r="DX88" s="21"/>
      <c r="DY88" s="21"/>
      <c r="DZ88" s="21"/>
      <c r="EA88" s="21"/>
      <c r="EB88" s="21"/>
      <c r="EC88" s="21"/>
      <c r="ED88" s="21"/>
      <c r="EE88" s="21"/>
      <c r="EF88" s="21"/>
      <c r="EG88" s="21"/>
      <c r="EH88" s="21"/>
      <c r="EI88" s="21"/>
      <c r="EJ88" s="196"/>
      <c r="EK88" s="20" t="s">
        <v>779</v>
      </c>
      <c r="EL88" s="21">
        <v>0</v>
      </c>
      <c r="EM88" s="21">
        <f>((SUM(EM86:EM87)/4)-1)*4</f>
        <v>0</v>
      </c>
      <c r="EN88" s="21">
        <f t="shared" ref="EN88:EX88" si="140">((SUM(EN86:EN87)/4)-1)*4</f>
        <v>0</v>
      </c>
      <c r="EO88" s="21">
        <v>0</v>
      </c>
      <c r="EP88" s="21">
        <f t="shared" si="140"/>
        <v>4</v>
      </c>
      <c r="EQ88" s="21">
        <f t="shared" si="140"/>
        <v>4</v>
      </c>
      <c r="ER88" s="21">
        <f t="shared" si="140"/>
        <v>4</v>
      </c>
      <c r="ES88" s="21">
        <f t="shared" si="140"/>
        <v>8</v>
      </c>
      <c r="ET88" s="21">
        <f t="shared" si="140"/>
        <v>8</v>
      </c>
      <c r="EU88" s="21">
        <f t="shared" si="140"/>
        <v>8</v>
      </c>
      <c r="EV88" s="21">
        <f t="shared" si="140"/>
        <v>12</v>
      </c>
      <c r="EW88" s="21">
        <f t="shared" si="140"/>
        <v>12</v>
      </c>
      <c r="EX88" s="21">
        <f t="shared" si="140"/>
        <v>12</v>
      </c>
      <c r="EY88" s="21">
        <f>((SUM(EY86:EY87)/4)-1)*4</f>
        <v>12</v>
      </c>
      <c r="EZ88" s="21">
        <f t="shared" ref="EZ88:FI88" si="141">((SUM(EZ86:EZ87)/4)-1)*4</f>
        <v>16</v>
      </c>
      <c r="FA88" s="21">
        <f t="shared" si="141"/>
        <v>16</v>
      </c>
      <c r="FB88" s="21">
        <f t="shared" si="141"/>
        <v>16</v>
      </c>
      <c r="FC88" s="21">
        <f t="shared" si="141"/>
        <v>20</v>
      </c>
      <c r="FD88" s="21">
        <f t="shared" si="141"/>
        <v>20</v>
      </c>
      <c r="FE88" s="21">
        <f t="shared" si="141"/>
        <v>20</v>
      </c>
      <c r="FF88" s="21">
        <f t="shared" si="141"/>
        <v>24</v>
      </c>
      <c r="FG88" s="21">
        <f t="shared" si="141"/>
        <v>24</v>
      </c>
      <c r="FH88" s="21">
        <f t="shared" si="141"/>
        <v>24</v>
      </c>
      <c r="FI88" s="21">
        <f t="shared" si="141"/>
        <v>28</v>
      </c>
      <c r="FJ88" s="21"/>
      <c r="FK88" s="21" t="s">
        <v>524</v>
      </c>
      <c r="FL88" s="21">
        <v>0</v>
      </c>
      <c r="FM88" s="21">
        <f>((SUM(FM86:FM87)/4)-1)*4</f>
        <v>0</v>
      </c>
      <c r="FN88" s="21">
        <v>0</v>
      </c>
      <c r="FO88" s="21">
        <v>0</v>
      </c>
      <c r="FP88" s="21">
        <f t="shared" ref="FP88:FX88" si="142">((SUM(FP86:FP87)/4)-1)*4</f>
        <v>4</v>
      </c>
      <c r="FQ88" s="21">
        <f t="shared" si="142"/>
        <v>4</v>
      </c>
      <c r="FR88" s="21">
        <f t="shared" si="142"/>
        <v>8</v>
      </c>
      <c r="FS88" s="21">
        <f t="shared" si="142"/>
        <v>8</v>
      </c>
      <c r="FT88" s="21">
        <f t="shared" si="142"/>
        <v>8</v>
      </c>
      <c r="FU88" s="21">
        <f t="shared" si="142"/>
        <v>12</v>
      </c>
      <c r="FV88" s="21">
        <f t="shared" si="142"/>
        <v>12</v>
      </c>
      <c r="FW88" s="21">
        <f t="shared" si="142"/>
        <v>12</v>
      </c>
      <c r="FX88" s="21">
        <f t="shared" si="142"/>
        <v>16</v>
      </c>
      <c r="FY88" s="21">
        <f>((SUM(FY86:FY87)/4)-1)*4</f>
        <v>16</v>
      </c>
      <c r="FZ88" s="21">
        <f t="shared" ref="FZ88:GI88" si="143">((SUM(FZ86:FZ87)/4)-1)*4</f>
        <v>16</v>
      </c>
      <c r="GA88" s="21">
        <f t="shared" si="143"/>
        <v>20</v>
      </c>
      <c r="GB88" s="21">
        <f t="shared" si="143"/>
        <v>20</v>
      </c>
      <c r="GC88" s="21">
        <f t="shared" si="143"/>
        <v>20</v>
      </c>
      <c r="GD88" s="21">
        <f t="shared" si="143"/>
        <v>24</v>
      </c>
      <c r="GE88" s="21">
        <f t="shared" si="143"/>
        <v>24</v>
      </c>
      <c r="GF88" s="21">
        <f t="shared" si="143"/>
        <v>24</v>
      </c>
      <c r="GG88" s="21">
        <f t="shared" si="143"/>
        <v>28</v>
      </c>
      <c r="GH88" s="21">
        <f t="shared" si="143"/>
        <v>28</v>
      </c>
      <c r="GI88" s="21">
        <f t="shared" si="143"/>
        <v>28</v>
      </c>
      <c r="GJ88" s="21"/>
      <c r="GK88" s="21"/>
      <c r="GL88" s="21"/>
      <c r="GM88" s="21"/>
      <c r="GN88" s="21"/>
      <c r="GO88" s="21"/>
      <c r="GP88" s="21"/>
      <c r="GQ88" s="21"/>
      <c r="GR88" s="20" t="s">
        <v>779</v>
      </c>
      <c r="GS88" s="21">
        <v>0</v>
      </c>
      <c r="GT88" s="21">
        <v>0</v>
      </c>
      <c r="GU88" s="21">
        <v>0</v>
      </c>
      <c r="GV88" s="21">
        <v>0</v>
      </c>
      <c r="GW88" s="21">
        <v>4</v>
      </c>
      <c r="GX88" s="21">
        <v>4</v>
      </c>
      <c r="GY88" s="21">
        <v>8</v>
      </c>
      <c r="GZ88" s="21">
        <v>8</v>
      </c>
      <c r="HA88" s="21">
        <v>8</v>
      </c>
      <c r="HB88" s="21">
        <v>12</v>
      </c>
      <c r="HC88" s="21">
        <v>12</v>
      </c>
      <c r="HD88" s="21">
        <v>12</v>
      </c>
      <c r="HE88" s="21">
        <v>12</v>
      </c>
      <c r="HF88" s="21">
        <v>16</v>
      </c>
      <c r="HG88" s="21">
        <v>16</v>
      </c>
      <c r="HH88" s="21">
        <v>16</v>
      </c>
      <c r="HI88" s="180">
        <v>20</v>
      </c>
      <c r="HJ88" s="180">
        <v>20</v>
      </c>
      <c r="HK88" s="180">
        <v>20</v>
      </c>
      <c r="HL88" s="180">
        <v>20</v>
      </c>
      <c r="HM88" s="180">
        <v>24</v>
      </c>
      <c r="HN88" s="180">
        <v>24</v>
      </c>
      <c r="HO88" s="180">
        <v>24</v>
      </c>
      <c r="HP88" s="180">
        <v>24</v>
      </c>
      <c r="HS88" s="180" t="s">
        <v>524</v>
      </c>
      <c r="HT88" s="180">
        <v>0</v>
      </c>
      <c r="HU88" s="180">
        <v>0</v>
      </c>
      <c r="HV88" s="180">
        <v>0</v>
      </c>
      <c r="HW88" s="180">
        <v>4</v>
      </c>
      <c r="HX88" s="180">
        <v>4</v>
      </c>
      <c r="HY88" s="180">
        <v>8</v>
      </c>
      <c r="HZ88" s="180">
        <v>8</v>
      </c>
      <c r="IA88" s="180">
        <v>8</v>
      </c>
      <c r="IB88" s="180">
        <v>12</v>
      </c>
      <c r="IC88" s="180">
        <v>12</v>
      </c>
      <c r="ID88" s="180">
        <v>12</v>
      </c>
      <c r="IE88" s="180">
        <v>12</v>
      </c>
      <c r="IF88" s="180">
        <v>16</v>
      </c>
      <c r="IG88" s="180">
        <v>16</v>
      </c>
      <c r="IH88" s="180">
        <v>16</v>
      </c>
      <c r="II88" s="180">
        <v>20</v>
      </c>
      <c r="IJ88" s="180">
        <v>20</v>
      </c>
      <c r="IK88" s="180">
        <v>20</v>
      </c>
      <c r="IL88" s="180">
        <v>24</v>
      </c>
      <c r="IM88" s="180">
        <v>24</v>
      </c>
      <c r="IN88" s="180">
        <v>24</v>
      </c>
      <c r="IO88" s="180">
        <v>24</v>
      </c>
      <c r="IP88" s="180">
        <v>28</v>
      </c>
      <c r="IQ88" s="180">
        <v>28</v>
      </c>
      <c r="IT88" s="198"/>
    </row>
    <row r="89" spans="1:254" x14ac:dyDescent="0.25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6" t="s">
        <v>128</v>
      </c>
      <c r="M89" s="11">
        <f>INDEX(cennik!$C$2:$L$529,MATCH($L89,cennik!$B$2:$B$522,0),MATCH(M$2,cennik!$C$1:$L$1,0))</f>
        <v>897303</v>
      </c>
      <c r="N89" s="11" t="str">
        <f>INDEX(cennik!$C$2:$L$529,MATCH($L89,cennik!$B$2:$B$522,0),MATCH(N$2,cennik!$C$1:$L$1,0))</f>
        <v>szt.</v>
      </c>
      <c r="O89" s="11">
        <f>0.214285714285714*SUM(O82:O83)</f>
        <v>0</v>
      </c>
      <c r="P89" s="34">
        <f>INDEX(cennik!$C$2:$L$529,MATCH($L89,cennik!$B$2:$B$522,0),MATCH(P$2,cennik!$C$1:$L$1,0))</f>
        <v>2.4</v>
      </c>
      <c r="Q89" s="34">
        <f t="shared" si="125"/>
        <v>0</v>
      </c>
      <c r="R89" s="35">
        <f t="shared" si="122"/>
        <v>0</v>
      </c>
      <c r="S89" s="34">
        <f t="shared" si="123"/>
        <v>2.4</v>
      </c>
      <c r="T89" s="34">
        <f t="shared" si="124"/>
        <v>0</v>
      </c>
      <c r="U89" s="34">
        <f>INDEX(cennik!$C$2:$L$529,MATCH($L89,cennik!$B$2:$B$522,0),MATCH(U$2,cennik!$C$1:$L$1,0))*O89</f>
        <v>0</v>
      </c>
      <c r="V89" s="25"/>
      <c r="AC89" s="21"/>
      <c r="AD89" s="21"/>
      <c r="AE89" s="21"/>
      <c r="AF89" s="21"/>
      <c r="AG89" s="21"/>
      <c r="AH89" s="21" t="s">
        <v>216</v>
      </c>
      <c r="AI89" s="21">
        <v>4400</v>
      </c>
      <c r="AJ89" s="21">
        <v>0</v>
      </c>
      <c r="AK89" s="21">
        <f>AI89*AJ89</f>
        <v>0</v>
      </c>
      <c r="AL89" s="21">
        <v>127.4</v>
      </c>
      <c r="AM89" s="21">
        <f>AJ89*AL89</f>
        <v>0</v>
      </c>
      <c r="AN89" s="21">
        <f>AJ89*4</f>
        <v>0</v>
      </c>
      <c r="AO89" s="21"/>
      <c r="AP89" s="21" t="s">
        <v>138</v>
      </c>
      <c r="AQ89" s="21" t="s">
        <v>596</v>
      </c>
      <c r="AR89" s="21" t="s">
        <v>595</v>
      </c>
      <c r="AS89" s="21" t="s">
        <v>593</v>
      </c>
      <c r="AT89" s="21" t="s">
        <v>593</v>
      </c>
      <c r="AU89" s="21"/>
      <c r="BA89" s="21"/>
      <c r="BB89" s="21"/>
      <c r="BC89" s="21"/>
      <c r="BD89" s="21"/>
      <c r="BE89" s="21"/>
      <c r="BF89" s="21"/>
      <c r="BG89" s="21"/>
      <c r="BH89" s="21"/>
      <c r="BI89" s="21"/>
      <c r="BJ89" s="21"/>
      <c r="BK89" s="21"/>
      <c r="BL89" s="21"/>
      <c r="BM89" s="21"/>
      <c r="BN89" s="21"/>
      <c r="BO89" s="21"/>
      <c r="BP89" s="21"/>
      <c r="BQ89" s="21"/>
      <c r="BR89" s="21"/>
      <c r="BS89" s="21"/>
      <c r="BT89" s="21"/>
      <c r="BU89" s="21"/>
      <c r="BV89" s="21"/>
      <c r="BW89" s="21"/>
      <c r="BX89" s="21"/>
      <c r="BY89" s="21"/>
      <c r="BZ89" s="21"/>
      <c r="CA89" s="21"/>
      <c r="CB89" s="21"/>
      <c r="CC89" s="21"/>
      <c r="CD89" s="21"/>
      <c r="CE89" s="21"/>
      <c r="CF89" s="21"/>
      <c r="CG89" s="21"/>
      <c r="CH89" s="21"/>
      <c r="CI89" s="21"/>
      <c r="CJ89" s="21"/>
      <c r="CK89" s="21"/>
      <c r="CL89" s="21"/>
      <c r="CM89" s="21"/>
      <c r="CN89" s="21"/>
      <c r="CO89" s="21"/>
      <c r="CP89" s="21"/>
      <c r="CQ89" s="21"/>
      <c r="CR89" s="21"/>
      <c r="CS89" s="21"/>
      <c r="CT89" s="21"/>
      <c r="CU89" s="21"/>
      <c r="CV89" s="21"/>
      <c r="CW89" s="21"/>
      <c r="CX89" s="21"/>
      <c r="CY89" s="21"/>
      <c r="CZ89" s="21"/>
      <c r="DA89" s="21"/>
      <c r="DB89" s="21"/>
      <c r="DC89" s="21"/>
      <c r="DD89" s="21"/>
      <c r="DE89" s="21"/>
      <c r="DF89" s="21"/>
      <c r="DG89" s="21"/>
      <c r="DH89" s="21"/>
      <c r="DI89" s="21"/>
      <c r="DJ89" s="21"/>
      <c r="DK89" s="21"/>
      <c r="DL89" s="21"/>
      <c r="DM89" s="21"/>
      <c r="DN89" s="21"/>
      <c r="DO89" s="21"/>
      <c r="DP89" s="21"/>
      <c r="DQ89" s="87"/>
      <c r="DR89" s="87">
        <v>16</v>
      </c>
      <c r="DS89" s="87"/>
      <c r="DT89" s="21"/>
      <c r="DU89" s="21"/>
      <c r="DV89" s="21"/>
      <c r="DW89" s="21"/>
      <c r="DX89" s="21"/>
      <c r="DY89" s="21"/>
      <c r="DZ89" s="21"/>
      <c r="EA89" s="21"/>
      <c r="EB89" s="21"/>
      <c r="EC89" s="21"/>
      <c r="ED89" s="21"/>
      <c r="EE89" s="21"/>
      <c r="EF89" s="21"/>
      <c r="EG89" s="21"/>
      <c r="EH89" s="21"/>
      <c r="EI89" s="21"/>
      <c r="EJ89" s="196"/>
      <c r="EK89" s="21" t="s">
        <v>700</v>
      </c>
      <c r="EL89" s="21">
        <v>0</v>
      </c>
      <c r="EM89" s="21">
        <v>0</v>
      </c>
      <c r="EN89" s="21">
        <v>0</v>
      </c>
      <c r="EO89" s="21">
        <v>0</v>
      </c>
      <c r="EP89" s="21">
        <v>4</v>
      </c>
      <c r="EQ89" s="21">
        <v>4</v>
      </c>
      <c r="ER89" s="21">
        <v>4</v>
      </c>
      <c r="ES89" s="21">
        <v>8</v>
      </c>
      <c r="ET89" s="21">
        <v>8</v>
      </c>
      <c r="EU89" s="21">
        <v>8</v>
      </c>
      <c r="EV89" s="21">
        <v>12</v>
      </c>
      <c r="EW89" s="21">
        <v>12</v>
      </c>
      <c r="EX89" s="21">
        <v>12</v>
      </c>
      <c r="EY89" s="21">
        <v>12</v>
      </c>
      <c r="EZ89" s="21">
        <v>16</v>
      </c>
      <c r="FA89" s="21">
        <v>16</v>
      </c>
      <c r="FB89" s="21">
        <v>16</v>
      </c>
      <c r="FC89" s="21">
        <v>20</v>
      </c>
      <c r="FD89" s="21">
        <v>20</v>
      </c>
      <c r="FE89" s="21">
        <v>20</v>
      </c>
      <c r="FF89" s="21">
        <v>24</v>
      </c>
      <c r="FG89" s="21">
        <v>24</v>
      </c>
      <c r="FH89" s="21">
        <v>24</v>
      </c>
      <c r="FI89" s="21">
        <v>28</v>
      </c>
      <c r="FJ89" s="21"/>
      <c r="FK89" s="21" t="s">
        <v>700</v>
      </c>
      <c r="FL89" s="21">
        <v>0</v>
      </c>
      <c r="FM89" s="21">
        <v>0</v>
      </c>
      <c r="FN89" s="21">
        <v>0</v>
      </c>
      <c r="FO89" s="21">
        <v>0</v>
      </c>
      <c r="FP89" s="21">
        <v>4</v>
      </c>
      <c r="FQ89" s="21">
        <v>4</v>
      </c>
      <c r="FR89" s="21">
        <v>8</v>
      </c>
      <c r="FS89" s="21">
        <v>8</v>
      </c>
      <c r="FT89" s="21">
        <v>8</v>
      </c>
      <c r="FU89" s="21">
        <v>12</v>
      </c>
      <c r="FV89" s="21">
        <v>12</v>
      </c>
      <c r="FW89" s="21">
        <v>12</v>
      </c>
      <c r="FX89" s="21">
        <v>16</v>
      </c>
      <c r="FY89" s="21">
        <v>16</v>
      </c>
      <c r="FZ89" s="21">
        <v>16</v>
      </c>
      <c r="GA89" s="21">
        <v>20</v>
      </c>
      <c r="GB89" s="21">
        <v>20</v>
      </c>
      <c r="GC89" s="21">
        <v>20</v>
      </c>
      <c r="GD89" s="21">
        <v>24</v>
      </c>
      <c r="GE89" s="21">
        <v>24</v>
      </c>
      <c r="GF89" s="21">
        <v>24</v>
      </c>
      <c r="GG89" s="21">
        <v>28</v>
      </c>
      <c r="GH89" s="21">
        <v>28</v>
      </c>
      <c r="GI89" s="21">
        <v>28</v>
      </c>
      <c r="GJ89" s="21"/>
      <c r="GK89" s="21"/>
      <c r="GL89" s="21"/>
      <c r="GM89" s="21"/>
      <c r="GN89" s="21"/>
      <c r="GO89" s="21"/>
      <c r="GP89" s="21"/>
      <c r="GQ89" s="21"/>
      <c r="GR89" s="21" t="s">
        <v>700</v>
      </c>
      <c r="GS89" s="21">
        <v>0</v>
      </c>
      <c r="GT89" s="21">
        <v>0</v>
      </c>
      <c r="GU89" s="21">
        <v>0</v>
      </c>
      <c r="GV89" s="21">
        <v>0</v>
      </c>
      <c r="GW89" s="21">
        <v>4</v>
      </c>
      <c r="GX89" s="21">
        <v>4</v>
      </c>
      <c r="GY89" s="21">
        <v>8</v>
      </c>
      <c r="GZ89" s="21">
        <v>8</v>
      </c>
      <c r="HA89" s="21">
        <v>8</v>
      </c>
      <c r="HB89" s="21">
        <v>12</v>
      </c>
      <c r="HC89" s="21">
        <v>12</v>
      </c>
      <c r="HD89" s="21">
        <v>12</v>
      </c>
      <c r="HE89" s="21">
        <v>12</v>
      </c>
      <c r="HF89" s="21">
        <v>16</v>
      </c>
      <c r="HG89" s="21">
        <v>16</v>
      </c>
      <c r="HH89" s="21">
        <v>16</v>
      </c>
      <c r="HI89" s="180">
        <v>20</v>
      </c>
      <c r="HJ89" s="180">
        <v>20</v>
      </c>
      <c r="HK89" s="180">
        <v>20</v>
      </c>
      <c r="HL89" s="180">
        <v>20</v>
      </c>
      <c r="HM89" s="180">
        <v>24</v>
      </c>
      <c r="HN89" s="180">
        <v>24</v>
      </c>
      <c r="HO89" s="180">
        <v>24</v>
      </c>
      <c r="HP89" s="180">
        <v>24</v>
      </c>
      <c r="HS89" s="180" t="s">
        <v>700</v>
      </c>
      <c r="HT89" s="180">
        <v>0</v>
      </c>
      <c r="HU89" s="180">
        <v>0</v>
      </c>
      <c r="HV89" s="180">
        <v>0</v>
      </c>
      <c r="HW89" s="180">
        <v>4</v>
      </c>
      <c r="HX89" s="180">
        <v>4</v>
      </c>
      <c r="HY89" s="180">
        <v>8</v>
      </c>
      <c r="HZ89" s="180">
        <v>8</v>
      </c>
      <c r="IA89" s="180">
        <v>8</v>
      </c>
      <c r="IB89" s="180">
        <v>12</v>
      </c>
      <c r="IC89" s="180">
        <v>12</v>
      </c>
      <c r="ID89" s="180">
        <v>12</v>
      </c>
      <c r="IE89" s="180">
        <v>12</v>
      </c>
      <c r="IF89" s="180">
        <v>16</v>
      </c>
      <c r="IG89" s="180">
        <v>16</v>
      </c>
      <c r="IH89" s="180">
        <v>16</v>
      </c>
      <c r="II89" s="180">
        <v>20</v>
      </c>
      <c r="IJ89" s="180">
        <v>20</v>
      </c>
      <c r="IK89" s="180">
        <v>20</v>
      </c>
      <c r="IL89" s="180">
        <v>24</v>
      </c>
      <c r="IM89" s="180">
        <v>24</v>
      </c>
      <c r="IN89" s="180">
        <v>24</v>
      </c>
      <c r="IO89" s="180">
        <v>24</v>
      </c>
      <c r="IP89" s="180">
        <v>28</v>
      </c>
      <c r="IQ89" s="180">
        <v>28</v>
      </c>
      <c r="IT89" s="198"/>
    </row>
    <row r="90" spans="1:254" x14ac:dyDescent="0.25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6" t="s">
        <v>445</v>
      </c>
      <c r="M90" s="11">
        <f>INDEX(cennik!$C$2:$L$529,MATCH($L90,cennik!$B$2:$B$522,0),MATCH(M$2,cennik!$C$1:$L$1,0))</f>
        <v>858022</v>
      </c>
      <c r="N90" s="11" t="str">
        <f>INDEX(cennik!$C$2:$L$529,MATCH($L90,cennik!$B$2:$B$522,0),MATCH(N$2,cennik!$C$1:$L$1,0))</f>
        <v>szt.</v>
      </c>
      <c r="O90" s="11">
        <f>2*O73</f>
        <v>0</v>
      </c>
      <c r="P90" s="34">
        <f>INDEX(cennik!$C$2:$L$529,MATCH($L90,cennik!$B$2:$B$522,0),MATCH(P$2,cennik!$C$1:$L$1,0))</f>
        <v>4.5</v>
      </c>
      <c r="Q90" s="34">
        <f t="shared" si="125"/>
        <v>0</v>
      </c>
      <c r="R90" s="35">
        <f t="shared" si="122"/>
        <v>0</v>
      </c>
      <c r="S90" s="34">
        <f t="shared" si="123"/>
        <v>4.5</v>
      </c>
      <c r="T90" s="34">
        <f t="shared" si="124"/>
        <v>0</v>
      </c>
      <c r="U90" s="34">
        <f>INDEX(cennik!$C$2:$L$529,MATCH($L90,cennik!$B$2:$B$522,0),MATCH(U$2,cennik!$C$1:$L$1,0))*O90</f>
        <v>0</v>
      </c>
      <c r="V90" s="25"/>
      <c r="AC90" s="21"/>
      <c r="AD90" s="21"/>
      <c r="AE90" s="21"/>
      <c r="AF90" s="21"/>
      <c r="AG90" s="21"/>
      <c r="AH90" s="21" t="s">
        <v>17</v>
      </c>
      <c r="AI90" s="21">
        <v>3300</v>
      </c>
      <c r="AJ90" s="21">
        <v>1</v>
      </c>
      <c r="AK90" s="21">
        <f>AI90*AJ90</f>
        <v>3300</v>
      </c>
      <c r="AL90" s="21">
        <v>95.55</v>
      </c>
      <c r="AM90" s="21">
        <f>AJ90*AL90</f>
        <v>95.55</v>
      </c>
      <c r="AN90" s="21">
        <f>AJ90*4</f>
        <v>4</v>
      </c>
      <c r="AO90" s="21"/>
      <c r="AP90" s="21" t="s">
        <v>478</v>
      </c>
      <c r="AQ90" s="21" t="s">
        <v>596</v>
      </c>
      <c r="AR90" s="21" t="s">
        <v>595</v>
      </c>
      <c r="AS90" s="21" t="s">
        <v>593</v>
      </c>
      <c r="AT90" s="21" t="s">
        <v>593</v>
      </c>
      <c r="AU90" s="21"/>
      <c r="BA90" s="21"/>
      <c r="BB90" s="21"/>
      <c r="BC90" s="21"/>
      <c r="BD90" s="21"/>
      <c r="BE90" s="21"/>
      <c r="BF90" s="21"/>
      <c r="BG90" s="21"/>
      <c r="BH90" s="21" t="s">
        <v>115</v>
      </c>
      <c r="BI90" s="21">
        <v>0</v>
      </c>
      <c r="BJ90" s="21">
        <v>6</v>
      </c>
      <c r="BK90" s="21">
        <v>8</v>
      </c>
      <c r="BL90" s="21">
        <v>10</v>
      </c>
      <c r="BM90" s="21">
        <v>12</v>
      </c>
      <c r="BN90" s="21">
        <v>14</v>
      </c>
      <c r="BO90" s="21">
        <v>16</v>
      </c>
      <c r="BP90" s="21">
        <v>18</v>
      </c>
      <c r="BQ90" s="21">
        <v>20</v>
      </c>
      <c r="BR90" s="21">
        <v>22</v>
      </c>
      <c r="BS90" s="21">
        <v>24</v>
      </c>
      <c r="BT90" s="21">
        <v>26</v>
      </c>
      <c r="BU90" s="21">
        <v>28</v>
      </c>
      <c r="BV90" s="21">
        <v>30</v>
      </c>
      <c r="BW90" s="21">
        <v>32</v>
      </c>
      <c r="BX90" s="21">
        <v>34</v>
      </c>
      <c r="BY90" s="21">
        <v>36</v>
      </c>
      <c r="BZ90" s="21">
        <v>38</v>
      </c>
      <c r="CA90" s="21">
        <v>40</v>
      </c>
      <c r="CB90" s="21">
        <v>42</v>
      </c>
      <c r="CC90" s="21">
        <v>44</v>
      </c>
      <c r="CD90" s="21">
        <v>46</v>
      </c>
      <c r="CE90" s="21">
        <v>48</v>
      </c>
      <c r="CF90" s="21">
        <v>50</v>
      </c>
      <c r="CG90" s="21"/>
      <c r="CH90" s="21"/>
      <c r="CI90" s="21"/>
      <c r="CJ90" s="21"/>
      <c r="CK90" s="21"/>
      <c r="CL90" s="21"/>
      <c r="CM90" s="21"/>
      <c r="CN90" s="21" t="s">
        <v>480</v>
      </c>
      <c r="CO90" s="21">
        <v>0</v>
      </c>
      <c r="CP90" s="21">
        <v>6</v>
      </c>
      <c r="CQ90" s="21">
        <v>8</v>
      </c>
      <c r="CR90" s="21">
        <v>10</v>
      </c>
      <c r="CS90" s="21">
        <v>12</v>
      </c>
      <c r="CT90" s="21">
        <v>14</v>
      </c>
      <c r="CU90" s="21">
        <v>16</v>
      </c>
      <c r="CV90" s="21">
        <v>18</v>
      </c>
      <c r="CW90" s="21">
        <v>20</v>
      </c>
      <c r="CX90" s="21">
        <v>22</v>
      </c>
      <c r="CY90" s="21">
        <v>24</v>
      </c>
      <c r="CZ90" s="21">
        <v>26</v>
      </c>
      <c r="DA90" s="21">
        <v>28</v>
      </c>
      <c r="DB90" s="21">
        <v>30</v>
      </c>
      <c r="DC90" s="21">
        <v>32</v>
      </c>
      <c r="DD90" s="21">
        <v>34</v>
      </c>
      <c r="DE90" s="21">
        <v>36</v>
      </c>
      <c r="DF90" s="21">
        <v>38</v>
      </c>
      <c r="DG90" s="21">
        <v>40</v>
      </c>
      <c r="DH90" s="21">
        <v>42</v>
      </c>
      <c r="DI90" s="21">
        <v>44</v>
      </c>
      <c r="DJ90" s="21">
        <v>46</v>
      </c>
      <c r="DK90" s="21">
        <v>48</v>
      </c>
      <c r="DL90" s="21">
        <v>50</v>
      </c>
      <c r="DM90" s="21"/>
      <c r="DN90" s="21"/>
      <c r="DO90" s="21"/>
      <c r="DP90" s="21"/>
      <c r="DQ90" s="87"/>
      <c r="DR90" s="87">
        <v>18</v>
      </c>
      <c r="DS90" s="87"/>
      <c r="DT90" s="21"/>
      <c r="DU90" s="21"/>
      <c r="DV90" s="21"/>
      <c r="DW90" s="21"/>
      <c r="DX90" s="21"/>
      <c r="DY90" s="21"/>
      <c r="DZ90" s="21"/>
      <c r="EA90" s="21"/>
      <c r="EB90" s="21"/>
      <c r="EC90" s="21"/>
      <c r="ED90" s="21"/>
      <c r="EE90" s="21"/>
      <c r="EF90" s="21"/>
      <c r="EG90" s="21"/>
      <c r="EH90" s="21"/>
      <c r="EI90" s="21"/>
      <c r="EJ90" s="196"/>
      <c r="GJ90" s="21"/>
      <c r="GK90" s="21"/>
      <c r="GL90" s="21"/>
      <c r="GM90" s="21"/>
      <c r="GN90" s="21"/>
      <c r="GO90" s="21"/>
      <c r="GP90" s="21"/>
      <c r="GQ90" s="21"/>
      <c r="GR90" s="21"/>
      <c r="GS90" s="21"/>
      <c r="GT90" s="21"/>
      <c r="GU90" s="21"/>
      <c r="GV90" s="21"/>
      <c r="GW90" s="21"/>
      <c r="GX90" s="21"/>
      <c r="GY90" s="21"/>
      <c r="GZ90" s="21"/>
      <c r="HA90" s="21"/>
      <c r="HB90" s="21"/>
      <c r="HC90" s="21"/>
      <c r="HD90" s="21"/>
      <c r="HE90" s="21"/>
      <c r="HF90" s="21"/>
      <c r="HG90" s="21"/>
      <c r="HH90" s="21"/>
      <c r="IT90" s="198"/>
    </row>
    <row r="91" spans="1:254" x14ac:dyDescent="0.25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6" t="s">
        <v>319</v>
      </c>
      <c r="M91" s="11">
        <f>INDEX(cennik!$C$2:$L$529,MATCH($L91,cennik!$B$2:$B$522,0),MATCH(M$2,cennik!$C$1:$L$1,0))</f>
        <v>890111</v>
      </c>
      <c r="N91" s="11" t="str">
        <f>INDEX(cennik!$C$2:$L$529,MATCH($L91,cennik!$B$2:$B$522,0),MATCH(N$2,cennik!$C$1:$L$1,0))</f>
        <v>100 szt.</v>
      </c>
      <c r="O91" s="11">
        <f>ROUNDUP((O67*4)/100,0)</f>
        <v>0</v>
      </c>
      <c r="P91" s="34">
        <f>INDEX(cennik!$C$2:$L$529,MATCH($L91,cennik!$B$2:$B$522,0),MATCH(P$2,cennik!$C$1:$L$1,0))</f>
        <v>174.59</v>
      </c>
      <c r="Q91" s="34">
        <f t="shared" si="125"/>
        <v>0</v>
      </c>
      <c r="R91" s="35">
        <f t="shared" si="122"/>
        <v>0</v>
      </c>
      <c r="S91" s="34">
        <f t="shared" si="123"/>
        <v>174.59</v>
      </c>
      <c r="T91" s="34">
        <f t="shared" si="124"/>
        <v>0</v>
      </c>
      <c r="U91" s="34">
        <f>INDEX(cennik!$C$2:$L$529,MATCH($L91,cennik!$B$2:$B$522,0),MATCH(U$2,cennik!$C$1:$L$1,0))*O91</f>
        <v>0</v>
      </c>
      <c r="V91" s="25"/>
      <c r="AC91" s="21"/>
      <c r="AD91" s="21"/>
      <c r="AE91" s="21"/>
      <c r="AF91" s="21"/>
      <c r="AG91" s="21"/>
      <c r="AH91" s="21"/>
      <c r="AI91" s="21" t="s">
        <v>317</v>
      </c>
      <c r="AJ91" s="21">
        <f>IF(SUM(AJ88:AJ90)=0,0,IF(SUM(AJ88:AJ90)=1,0,IF(SUM(AJ88:AJ90)&gt;1,(SUM(AJ88:AJ90)-1),0)))</f>
        <v>4</v>
      </c>
      <c r="AK91" s="21"/>
      <c r="AL91" s="21">
        <v>7.1</v>
      </c>
      <c r="AM91" s="21">
        <f>AJ91*AL91</f>
        <v>28.4</v>
      </c>
      <c r="AN91" s="21">
        <f>AJ91*4</f>
        <v>16</v>
      </c>
      <c r="AO91" s="21"/>
      <c r="AP91" s="21" t="s">
        <v>479</v>
      </c>
      <c r="AQ91" s="21" t="s">
        <v>596</v>
      </c>
      <c r="AR91" s="21" t="s">
        <v>595</v>
      </c>
      <c r="AS91" s="21" t="s">
        <v>593</v>
      </c>
      <c r="AT91" s="21" t="s">
        <v>593</v>
      </c>
      <c r="AU91" s="21"/>
      <c r="BA91" s="21"/>
      <c r="BB91" s="21"/>
      <c r="BC91" s="21"/>
      <c r="BD91" s="21"/>
      <c r="BE91" s="21"/>
      <c r="BF91" s="21"/>
      <c r="BG91" s="21"/>
      <c r="BH91" s="21" t="s">
        <v>217</v>
      </c>
      <c r="BI91" s="21">
        <v>0</v>
      </c>
      <c r="BJ91" s="21">
        <v>0</v>
      </c>
      <c r="BK91" s="21">
        <v>0</v>
      </c>
      <c r="BL91" s="21">
        <v>4</v>
      </c>
      <c r="BM91" s="21">
        <v>4</v>
      </c>
      <c r="BN91" s="21">
        <v>0</v>
      </c>
      <c r="BO91" s="21">
        <v>4</v>
      </c>
      <c r="BP91" s="21">
        <v>4</v>
      </c>
      <c r="BQ91" s="21">
        <v>4</v>
      </c>
      <c r="BR91" s="21">
        <v>0</v>
      </c>
      <c r="BS91" s="21">
        <v>8</v>
      </c>
      <c r="BT91" s="21">
        <v>4</v>
      </c>
      <c r="BU91" s="21">
        <v>4</v>
      </c>
      <c r="BV91" s="21">
        <v>8</v>
      </c>
      <c r="BW91" s="21">
        <v>8</v>
      </c>
      <c r="BX91" s="21">
        <v>4</v>
      </c>
      <c r="BY91" s="21">
        <v>12</v>
      </c>
      <c r="BZ91" s="21">
        <v>8</v>
      </c>
      <c r="CA91" s="21">
        <v>8</v>
      </c>
      <c r="CB91" s="21">
        <v>12</v>
      </c>
      <c r="CC91" s="21">
        <v>12</v>
      </c>
      <c r="CD91" s="21">
        <v>8</v>
      </c>
      <c r="CE91" s="21">
        <v>16</v>
      </c>
      <c r="CF91" s="21">
        <v>12</v>
      </c>
      <c r="CG91" s="21"/>
      <c r="CH91" s="21"/>
      <c r="CI91" s="21"/>
      <c r="CJ91" s="21"/>
      <c r="CK91" s="21"/>
      <c r="CL91" s="21"/>
      <c r="CM91" s="21"/>
      <c r="CN91" s="21" t="s">
        <v>217</v>
      </c>
      <c r="CO91" s="21">
        <v>0</v>
      </c>
      <c r="CP91" s="21">
        <v>0</v>
      </c>
      <c r="CQ91" s="21">
        <v>4</v>
      </c>
      <c r="CR91" s="21">
        <v>4</v>
      </c>
      <c r="CS91" s="21">
        <v>0</v>
      </c>
      <c r="CT91" s="21">
        <v>0</v>
      </c>
      <c r="CU91" s="21">
        <v>4</v>
      </c>
      <c r="CV91" s="21">
        <v>4</v>
      </c>
      <c r="CW91" s="21">
        <v>0</v>
      </c>
      <c r="CX91" s="21">
        <v>8</v>
      </c>
      <c r="CY91" s="21">
        <v>4</v>
      </c>
      <c r="CZ91" s="21">
        <v>4</v>
      </c>
      <c r="DA91" s="21">
        <v>8</v>
      </c>
      <c r="DB91" s="21">
        <v>4</v>
      </c>
      <c r="DC91" s="21">
        <v>12</v>
      </c>
      <c r="DD91" s="21">
        <v>8</v>
      </c>
      <c r="DE91" s="21">
        <v>8</v>
      </c>
      <c r="DF91" s="21">
        <v>12</v>
      </c>
      <c r="DG91" s="21">
        <v>12</v>
      </c>
      <c r="DH91" s="21">
        <v>8</v>
      </c>
      <c r="DI91" s="21">
        <v>16</v>
      </c>
      <c r="DJ91" s="21">
        <v>12</v>
      </c>
      <c r="DK91" s="21">
        <v>12</v>
      </c>
      <c r="DL91" s="21">
        <v>16</v>
      </c>
      <c r="DM91" s="21"/>
      <c r="DN91" s="21"/>
      <c r="DO91" s="21"/>
      <c r="DP91" s="21"/>
      <c r="DQ91" s="87"/>
      <c r="DR91" s="87">
        <v>20</v>
      </c>
      <c r="DS91" s="87"/>
      <c r="DT91" s="21"/>
      <c r="DU91" s="21"/>
      <c r="DV91" s="21"/>
      <c r="DW91" s="21"/>
      <c r="DX91" s="21"/>
      <c r="DY91" s="21"/>
      <c r="DZ91" s="21"/>
      <c r="EA91" s="21"/>
      <c r="EB91" s="21"/>
      <c r="EC91" s="21"/>
      <c r="ED91" s="21"/>
      <c r="EE91" s="21"/>
      <c r="EF91" s="21"/>
      <c r="EG91" s="21"/>
      <c r="EH91" s="21"/>
      <c r="EI91" s="21"/>
      <c r="EJ91" s="196"/>
      <c r="GJ91" s="21"/>
      <c r="GK91" s="21"/>
      <c r="GL91" s="21"/>
      <c r="GM91" s="21"/>
      <c r="GN91" s="21"/>
      <c r="GO91" s="21"/>
      <c r="GP91" s="21"/>
      <c r="GQ91" s="21"/>
      <c r="GR91" s="21" t="s">
        <v>714</v>
      </c>
      <c r="GS91" s="21">
        <v>0</v>
      </c>
      <c r="GT91" s="21">
        <v>6</v>
      </c>
      <c r="GU91" s="21">
        <v>8</v>
      </c>
      <c r="GV91" s="21">
        <v>10</v>
      </c>
      <c r="GW91" s="21">
        <v>12</v>
      </c>
      <c r="GX91" s="21">
        <v>14</v>
      </c>
      <c r="GY91" s="21">
        <v>16</v>
      </c>
      <c r="GZ91" s="21">
        <v>18</v>
      </c>
      <c r="HA91" s="21">
        <v>20</v>
      </c>
      <c r="HB91" s="21">
        <v>22</v>
      </c>
      <c r="HC91" s="21">
        <v>24</v>
      </c>
      <c r="HD91" s="21">
        <v>26</v>
      </c>
      <c r="HE91" s="21">
        <v>28</v>
      </c>
      <c r="HF91" s="21">
        <v>30</v>
      </c>
      <c r="HG91" s="21">
        <v>32</v>
      </c>
      <c r="HH91" s="21">
        <v>34</v>
      </c>
      <c r="HI91" s="180">
        <v>36</v>
      </c>
      <c r="HJ91" s="180">
        <v>38</v>
      </c>
      <c r="HK91" s="180">
        <v>40</v>
      </c>
      <c r="HL91" s="180">
        <v>42</v>
      </c>
      <c r="HM91" s="180">
        <v>44</v>
      </c>
      <c r="HN91" s="180">
        <v>46</v>
      </c>
      <c r="HO91" s="180">
        <v>48</v>
      </c>
      <c r="HP91" s="180">
        <v>50</v>
      </c>
      <c r="HS91" s="180" t="s">
        <v>762</v>
      </c>
      <c r="HT91" s="180">
        <v>0</v>
      </c>
      <c r="HU91" s="180">
        <v>6</v>
      </c>
      <c r="HV91" s="180">
        <v>8</v>
      </c>
      <c r="HW91" s="180">
        <v>10</v>
      </c>
      <c r="HX91" s="180">
        <v>12</v>
      </c>
      <c r="HY91" s="180">
        <v>14</v>
      </c>
      <c r="HZ91" s="180">
        <v>16</v>
      </c>
      <c r="IA91" s="180">
        <v>18</v>
      </c>
      <c r="IB91" s="180">
        <v>20</v>
      </c>
      <c r="IC91" s="180">
        <v>22</v>
      </c>
      <c r="ID91" s="180">
        <v>24</v>
      </c>
      <c r="IE91" s="180">
        <v>26</v>
      </c>
      <c r="IF91" s="180">
        <v>28</v>
      </c>
      <c r="IG91" s="180">
        <v>30</v>
      </c>
      <c r="IH91" s="180">
        <v>32</v>
      </c>
      <c r="II91" s="180">
        <v>34</v>
      </c>
      <c r="IJ91" s="180">
        <v>36</v>
      </c>
      <c r="IK91" s="180">
        <v>38</v>
      </c>
      <c r="IL91" s="180">
        <v>40</v>
      </c>
      <c r="IM91" s="180">
        <v>42</v>
      </c>
      <c r="IN91" s="180">
        <v>44</v>
      </c>
      <c r="IO91" s="180">
        <v>46</v>
      </c>
      <c r="IP91" s="180">
        <v>48</v>
      </c>
      <c r="IQ91" s="180">
        <v>50</v>
      </c>
      <c r="IT91" s="198"/>
    </row>
    <row r="92" spans="1:254" x14ac:dyDescent="0.25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6" t="s">
        <v>722</v>
      </c>
      <c r="M92" s="11">
        <f>INDEX(cennik!$C$2:$L$529,MATCH($L92,cennik!$B$2:$B$522,0),MATCH(M$2,cennik!$C$1:$L$1,0))</f>
        <v>890504</v>
      </c>
      <c r="N92" s="11" t="str">
        <f>INDEX(cennik!$C$2:$L$529,MATCH($L92,cennik!$B$2:$B$522,0),MATCH(N$2,cennik!$C$1:$L$1,0))</f>
        <v>szt.</v>
      </c>
      <c r="O92" s="11">
        <f>SUM(C66:C81)*14</f>
        <v>0</v>
      </c>
      <c r="P92" s="34">
        <f>INDEX(cennik!$C$2:$L$529,MATCH($L92,cennik!$B$2:$B$522,0),MATCH(P$2,cennik!$C$1:$L$1,0))</f>
        <v>4.58</v>
      </c>
      <c r="Q92" s="34">
        <f t="shared" si="125"/>
        <v>0</v>
      </c>
      <c r="R92" s="35">
        <f t="shared" ref="R92" si="144">$E$7</f>
        <v>0</v>
      </c>
      <c r="S92" s="34">
        <f>P92*((100-$E$7)/100)</f>
        <v>4.58</v>
      </c>
      <c r="T92" s="34">
        <f t="shared" si="124"/>
        <v>0</v>
      </c>
      <c r="U92" s="34">
        <f>INDEX(cennik!$C$2:$L$529,MATCH($L92,cennik!$B$2:$B$522,0),MATCH(U$2,cennik!$C$1:$L$1,0))*O92</f>
        <v>0</v>
      </c>
      <c r="V92" s="25"/>
      <c r="W92" s="21"/>
      <c r="X92" s="21"/>
      <c r="Y92" s="21"/>
      <c r="Z92" s="21"/>
      <c r="AA92" s="21"/>
      <c r="AB92" s="21"/>
      <c r="AC92" s="21"/>
      <c r="AD92" s="21"/>
      <c r="AE92" s="21"/>
      <c r="AF92" s="21"/>
      <c r="AG92" s="21"/>
      <c r="AH92" s="21"/>
      <c r="AI92" s="21"/>
      <c r="AJ92" s="21"/>
      <c r="AK92" s="21">
        <f>SUM(AK88:AK90)</f>
        <v>29700</v>
      </c>
      <c r="AL92" s="21"/>
      <c r="AM92" s="21">
        <f>SUM(AM88:AM91)</f>
        <v>888.34999999999991</v>
      </c>
      <c r="AN92" s="21"/>
      <c r="AO92" s="21"/>
      <c r="AP92" s="21" t="s">
        <v>508</v>
      </c>
      <c r="AQ92" s="21" t="s">
        <v>596</v>
      </c>
      <c r="AR92" s="21" t="s">
        <v>595</v>
      </c>
      <c r="AS92" s="21" t="s">
        <v>593</v>
      </c>
      <c r="AT92" s="21" t="s">
        <v>593</v>
      </c>
      <c r="AU92" s="21"/>
      <c r="BA92" s="21"/>
      <c r="BB92" s="21"/>
      <c r="BC92" s="21"/>
      <c r="BD92" s="21"/>
      <c r="BE92" s="21"/>
      <c r="BF92" s="21"/>
      <c r="BG92" s="21"/>
      <c r="BH92" s="21" t="s">
        <v>216</v>
      </c>
      <c r="BI92" s="21">
        <v>0</v>
      </c>
      <c r="BJ92" s="21">
        <v>0</v>
      </c>
      <c r="BK92" s="21">
        <v>4</v>
      </c>
      <c r="BL92" s="21">
        <v>0</v>
      </c>
      <c r="BM92" s="21">
        <v>0</v>
      </c>
      <c r="BN92" s="21">
        <v>4</v>
      </c>
      <c r="BO92" s="21">
        <v>0</v>
      </c>
      <c r="BP92" s="21">
        <v>0</v>
      </c>
      <c r="BQ92" s="21">
        <v>4</v>
      </c>
      <c r="BR92" s="21">
        <v>8</v>
      </c>
      <c r="BS92" s="21">
        <v>0</v>
      </c>
      <c r="BT92" s="21">
        <v>4</v>
      </c>
      <c r="BU92" s="21">
        <v>8</v>
      </c>
      <c r="BV92" s="21">
        <v>0</v>
      </c>
      <c r="BW92" s="21">
        <v>4</v>
      </c>
      <c r="BX92" s="21">
        <v>8</v>
      </c>
      <c r="BY92" s="21">
        <v>0</v>
      </c>
      <c r="BZ92" s="21">
        <v>4</v>
      </c>
      <c r="CA92" s="21">
        <v>8</v>
      </c>
      <c r="CB92" s="21">
        <v>0</v>
      </c>
      <c r="CC92" s="21">
        <v>4</v>
      </c>
      <c r="CD92" s="21">
        <v>8</v>
      </c>
      <c r="CE92" s="21">
        <v>0</v>
      </c>
      <c r="CF92" s="21">
        <v>4</v>
      </c>
      <c r="CG92" s="21"/>
      <c r="CH92" s="21"/>
      <c r="CI92" s="21"/>
      <c r="CJ92" s="21"/>
      <c r="CK92" s="21"/>
      <c r="CL92" s="21"/>
      <c r="CM92" s="21"/>
      <c r="CN92" s="21" t="s">
        <v>216</v>
      </c>
      <c r="CO92" s="21">
        <v>0</v>
      </c>
      <c r="CP92" s="21">
        <v>4</v>
      </c>
      <c r="CQ92" s="21">
        <v>0</v>
      </c>
      <c r="CR92" s="21">
        <v>0</v>
      </c>
      <c r="CS92" s="21">
        <v>4</v>
      </c>
      <c r="CT92" s="21">
        <v>8</v>
      </c>
      <c r="CU92" s="21">
        <v>0</v>
      </c>
      <c r="CV92" s="21">
        <v>4</v>
      </c>
      <c r="CW92" s="21">
        <v>8</v>
      </c>
      <c r="CX92" s="21">
        <v>0</v>
      </c>
      <c r="CY92" s="21">
        <v>4</v>
      </c>
      <c r="CZ92" s="21">
        <v>8</v>
      </c>
      <c r="DA92" s="21">
        <v>0</v>
      </c>
      <c r="DB92" s="21">
        <v>8</v>
      </c>
      <c r="DC92" s="21">
        <v>0</v>
      </c>
      <c r="DD92" s="21">
        <v>4</v>
      </c>
      <c r="DE92" s="21">
        <v>8</v>
      </c>
      <c r="DF92" s="21">
        <v>0</v>
      </c>
      <c r="DG92" s="21">
        <v>4</v>
      </c>
      <c r="DH92" s="21">
        <v>8</v>
      </c>
      <c r="DI92" s="21">
        <v>0</v>
      </c>
      <c r="DJ92" s="21">
        <v>4</v>
      </c>
      <c r="DK92" s="21">
        <v>8</v>
      </c>
      <c r="DL92" s="21">
        <v>0</v>
      </c>
      <c r="DM92" s="21"/>
      <c r="DN92" s="21"/>
      <c r="DO92" s="21"/>
      <c r="DP92" s="21"/>
      <c r="DQ92" s="87"/>
      <c r="DR92" s="87">
        <v>22</v>
      </c>
      <c r="DS92" s="87"/>
      <c r="DT92" s="21"/>
      <c r="DU92" s="21"/>
      <c r="DV92" s="21"/>
      <c r="DW92" s="21"/>
      <c r="DX92" s="21"/>
      <c r="DY92" s="21"/>
      <c r="DZ92" s="21"/>
      <c r="EA92" s="21"/>
      <c r="EB92" s="21"/>
      <c r="EC92" s="21"/>
      <c r="ED92" s="21"/>
      <c r="EE92" s="21"/>
      <c r="EF92" s="21"/>
      <c r="EG92" s="21"/>
      <c r="EH92" s="21"/>
      <c r="EI92" s="21"/>
      <c r="EJ92" s="196"/>
      <c r="EK92" s="21" t="s">
        <v>115</v>
      </c>
      <c r="EL92" s="21">
        <v>0</v>
      </c>
      <c r="EM92" s="21">
        <v>6</v>
      </c>
      <c r="EN92" s="21">
        <v>8</v>
      </c>
      <c r="EO92" s="21">
        <v>10</v>
      </c>
      <c r="EP92" s="21">
        <v>12</v>
      </c>
      <c r="EQ92" s="21">
        <v>14</v>
      </c>
      <c r="ER92" s="21">
        <v>16</v>
      </c>
      <c r="ES92" s="21">
        <v>18</v>
      </c>
      <c r="ET92" s="21">
        <v>20</v>
      </c>
      <c r="EU92" s="21">
        <v>22</v>
      </c>
      <c r="EV92" s="21">
        <v>24</v>
      </c>
      <c r="EW92" s="21">
        <v>26</v>
      </c>
      <c r="EX92" s="21">
        <v>28</v>
      </c>
      <c r="EY92" s="21">
        <v>30</v>
      </c>
      <c r="EZ92" s="21">
        <v>32</v>
      </c>
      <c r="FA92" s="21">
        <v>34</v>
      </c>
      <c r="FB92" s="21">
        <v>36</v>
      </c>
      <c r="FC92" s="21">
        <v>38</v>
      </c>
      <c r="FD92" s="21">
        <v>40</v>
      </c>
      <c r="FE92" s="21">
        <v>42</v>
      </c>
      <c r="FF92" s="21">
        <v>44</v>
      </c>
      <c r="FG92" s="21">
        <v>46</v>
      </c>
      <c r="FH92" s="21">
        <v>48</v>
      </c>
      <c r="FI92" s="21">
        <v>50</v>
      </c>
      <c r="FJ92" s="21"/>
      <c r="FK92" s="21" t="s">
        <v>480</v>
      </c>
      <c r="FL92" s="21">
        <v>0</v>
      </c>
      <c r="FM92" s="21">
        <v>6</v>
      </c>
      <c r="FN92" s="21">
        <v>8</v>
      </c>
      <c r="FO92" s="21">
        <v>10</v>
      </c>
      <c r="FP92" s="21">
        <v>12</v>
      </c>
      <c r="FQ92" s="21">
        <v>14</v>
      </c>
      <c r="FR92" s="21">
        <v>16</v>
      </c>
      <c r="FS92" s="21">
        <v>18</v>
      </c>
      <c r="FT92" s="21">
        <v>20</v>
      </c>
      <c r="FU92" s="21">
        <v>22</v>
      </c>
      <c r="FV92" s="21">
        <v>24</v>
      </c>
      <c r="FW92" s="21">
        <v>26</v>
      </c>
      <c r="FX92" s="21">
        <v>28</v>
      </c>
      <c r="FY92" s="21">
        <v>30</v>
      </c>
      <c r="FZ92" s="21">
        <v>32</v>
      </c>
      <c r="GA92" s="21">
        <v>34</v>
      </c>
      <c r="GB92" s="21">
        <v>36</v>
      </c>
      <c r="GC92" s="21">
        <v>38</v>
      </c>
      <c r="GD92" s="21">
        <v>40</v>
      </c>
      <c r="GE92" s="21">
        <v>42</v>
      </c>
      <c r="GF92" s="21">
        <v>44</v>
      </c>
      <c r="GG92" s="21">
        <v>46</v>
      </c>
      <c r="GH92" s="21">
        <v>48</v>
      </c>
      <c r="GI92" s="21">
        <v>50</v>
      </c>
      <c r="GJ92" s="21"/>
      <c r="GK92" s="21"/>
      <c r="GL92" s="21"/>
      <c r="GM92" s="21"/>
      <c r="GN92" s="21"/>
      <c r="GO92" s="21"/>
      <c r="GP92" s="21"/>
      <c r="GQ92" s="21"/>
      <c r="GR92" s="21" t="s">
        <v>586</v>
      </c>
      <c r="GS92" s="21">
        <v>0</v>
      </c>
      <c r="GT92" s="21">
        <v>0</v>
      </c>
      <c r="GU92" s="21">
        <v>4</v>
      </c>
      <c r="GV92" s="21">
        <v>4</v>
      </c>
      <c r="GW92" s="21">
        <v>0</v>
      </c>
      <c r="GX92" s="21">
        <v>0</v>
      </c>
      <c r="GY92" s="21">
        <v>0</v>
      </c>
      <c r="GZ92" s="21">
        <v>0</v>
      </c>
      <c r="HA92" s="21">
        <v>0</v>
      </c>
      <c r="HB92" s="21">
        <v>0</v>
      </c>
      <c r="HC92" s="21">
        <v>0</v>
      </c>
      <c r="HD92" s="21">
        <v>0</v>
      </c>
      <c r="HE92" s="21">
        <v>0</v>
      </c>
      <c r="HF92" s="21">
        <v>0</v>
      </c>
      <c r="HG92" s="21">
        <v>0</v>
      </c>
      <c r="HH92" s="21">
        <v>0</v>
      </c>
      <c r="HI92" s="180">
        <v>0</v>
      </c>
      <c r="HJ92" s="180">
        <v>0</v>
      </c>
      <c r="HK92" s="180">
        <v>0</v>
      </c>
      <c r="HL92" s="180">
        <v>0</v>
      </c>
      <c r="HM92" s="180">
        <v>0</v>
      </c>
      <c r="HN92" s="180">
        <v>0</v>
      </c>
      <c r="HO92" s="180">
        <v>0</v>
      </c>
      <c r="HP92" s="180">
        <v>0</v>
      </c>
      <c r="HS92" s="180" t="s">
        <v>586</v>
      </c>
      <c r="HT92" s="180">
        <v>0</v>
      </c>
      <c r="HU92" s="180">
        <v>0</v>
      </c>
      <c r="HV92" s="180">
        <v>4</v>
      </c>
      <c r="HW92" s="180">
        <v>0</v>
      </c>
      <c r="HX92" s="180">
        <v>0</v>
      </c>
      <c r="HY92" s="180">
        <v>0</v>
      </c>
      <c r="HZ92" s="180">
        <v>0</v>
      </c>
      <c r="IA92" s="180">
        <v>0</v>
      </c>
      <c r="IB92" s="180">
        <v>0</v>
      </c>
      <c r="IC92" s="180">
        <v>0</v>
      </c>
      <c r="ID92" s="180">
        <v>0</v>
      </c>
      <c r="IE92" s="180">
        <v>0</v>
      </c>
      <c r="IF92" s="180">
        <v>0</v>
      </c>
      <c r="IG92" s="180">
        <v>0</v>
      </c>
      <c r="IH92" s="180">
        <v>0</v>
      </c>
      <c r="II92" s="180">
        <v>0</v>
      </c>
      <c r="IJ92" s="180">
        <v>0</v>
      </c>
      <c r="IK92" s="180">
        <v>0</v>
      </c>
      <c r="IL92" s="180">
        <v>0</v>
      </c>
      <c r="IM92" s="180">
        <v>0</v>
      </c>
      <c r="IN92" s="180">
        <v>0</v>
      </c>
      <c r="IO92" s="180">
        <v>0</v>
      </c>
      <c r="IP92" s="180">
        <v>0</v>
      </c>
      <c r="IQ92" s="180">
        <v>0</v>
      </c>
      <c r="IT92" s="198"/>
    </row>
    <row r="93" spans="1:254" x14ac:dyDescent="0.25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6" t="s">
        <v>316</v>
      </c>
      <c r="M93" s="1"/>
      <c r="N93" s="1"/>
      <c r="O93" s="1"/>
      <c r="P93" s="1"/>
      <c r="Q93" s="1"/>
      <c r="R93" s="1"/>
      <c r="S93" s="1"/>
      <c r="T93" s="1"/>
      <c r="U93" s="1"/>
      <c r="V93" s="25"/>
      <c r="W93" s="27"/>
      <c r="X93" s="27"/>
      <c r="Y93" s="27"/>
      <c r="Z93" s="27"/>
      <c r="AA93" s="186" t="s">
        <v>311</v>
      </c>
      <c r="AB93" s="192" t="s">
        <v>318</v>
      </c>
      <c r="AC93" s="21"/>
      <c r="AD93" s="21"/>
      <c r="AE93" s="21"/>
      <c r="AF93" s="21"/>
      <c r="AG93" s="21"/>
      <c r="AH93" s="21"/>
      <c r="AI93" s="21">
        <f>(AB94-1)*3000</f>
        <v>-3000</v>
      </c>
      <c r="AJ93" s="21"/>
      <c r="AK93" s="21"/>
      <c r="AL93" s="21"/>
      <c r="AM93" s="21"/>
      <c r="AN93" s="21"/>
      <c r="AO93" s="192" t="s">
        <v>318</v>
      </c>
      <c r="AP93" s="21" t="s">
        <v>507</v>
      </c>
      <c r="AQ93" s="21" t="s">
        <v>596</v>
      </c>
      <c r="AR93" s="21" t="s">
        <v>595</v>
      </c>
      <c r="AS93" s="21" t="s">
        <v>593</v>
      </c>
      <c r="AT93" s="21" t="s">
        <v>593</v>
      </c>
      <c r="AU93" s="21"/>
      <c r="BA93" s="21"/>
      <c r="BB93" s="21"/>
      <c r="BC93" s="21"/>
      <c r="BD93" s="21"/>
      <c r="BE93" s="21"/>
      <c r="BF93" s="21"/>
      <c r="BG93" s="21"/>
      <c r="BH93" s="21" t="s">
        <v>17</v>
      </c>
      <c r="BI93" s="21">
        <v>0</v>
      </c>
      <c r="BJ93" s="21">
        <v>4</v>
      </c>
      <c r="BK93" s="21">
        <v>0</v>
      </c>
      <c r="BL93" s="21">
        <v>0</v>
      </c>
      <c r="BM93" s="21">
        <v>0</v>
      </c>
      <c r="BN93" s="21">
        <v>4</v>
      </c>
      <c r="BO93" s="21">
        <v>4</v>
      </c>
      <c r="BP93" s="21">
        <v>4</v>
      </c>
      <c r="BQ93" s="21">
        <v>0</v>
      </c>
      <c r="BR93" s="21">
        <v>4</v>
      </c>
      <c r="BS93" s="21">
        <v>0</v>
      </c>
      <c r="BT93" s="21">
        <v>4</v>
      </c>
      <c r="BU93" s="21">
        <v>0</v>
      </c>
      <c r="BV93" s="21">
        <v>4</v>
      </c>
      <c r="BW93" s="21">
        <v>0</v>
      </c>
      <c r="BX93" s="21">
        <v>4</v>
      </c>
      <c r="BY93" s="21">
        <v>0</v>
      </c>
      <c r="BZ93" s="21">
        <v>4</v>
      </c>
      <c r="CA93" s="21">
        <v>0</v>
      </c>
      <c r="CB93" s="21">
        <v>4</v>
      </c>
      <c r="CC93" s="21">
        <v>0</v>
      </c>
      <c r="CD93" s="21">
        <v>4</v>
      </c>
      <c r="CE93" s="21">
        <v>0</v>
      </c>
      <c r="CF93" s="21">
        <v>4</v>
      </c>
      <c r="CG93" s="21"/>
      <c r="CH93" s="21"/>
      <c r="CI93" s="21"/>
      <c r="CJ93" s="21"/>
      <c r="CK93" s="21"/>
      <c r="CL93" s="21"/>
      <c r="CM93" s="21"/>
      <c r="CN93" s="21" t="s">
        <v>17</v>
      </c>
      <c r="CO93" s="21">
        <v>0</v>
      </c>
      <c r="CP93" s="21">
        <v>0</v>
      </c>
      <c r="CQ93" s="21">
        <v>0</v>
      </c>
      <c r="CR93" s="21">
        <v>0</v>
      </c>
      <c r="CS93" s="21">
        <v>4</v>
      </c>
      <c r="CT93" s="21">
        <v>0</v>
      </c>
      <c r="CU93" s="21">
        <v>4</v>
      </c>
      <c r="CV93" s="21">
        <v>0</v>
      </c>
      <c r="CW93" s="21">
        <v>4</v>
      </c>
      <c r="CX93" s="21">
        <v>0</v>
      </c>
      <c r="CY93" s="21">
        <v>4</v>
      </c>
      <c r="CZ93" s="21">
        <v>0</v>
      </c>
      <c r="DA93" s="21">
        <v>4</v>
      </c>
      <c r="DB93" s="21">
        <v>4</v>
      </c>
      <c r="DC93" s="21">
        <v>0</v>
      </c>
      <c r="DD93" s="21">
        <v>4</v>
      </c>
      <c r="DE93" s="21">
        <v>0</v>
      </c>
      <c r="DF93" s="21">
        <v>4</v>
      </c>
      <c r="DG93" s="21">
        <v>0</v>
      </c>
      <c r="DH93" s="21">
        <v>4</v>
      </c>
      <c r="DI93" s="21">
        <v>0</v>
      </c>
      <c r="DJ93" s="21">
        <v>4</v>
      </c>
      <c r="DK93" s="21">
        <v>0</v>
      </c>
      <c r="DL93" s="21">
        <v>4</v>
      </c>
      <c r="DM93" s="21"/>
      <c r="DN93" s="21"/>
      <c r="DO93" s="21"/>
      <c r="DP93" s="21"/>
      <c r="DQ93" s="87"/>
      <c r="DR93" s="87">
        <v>24</v>
      </c>
      <c r="DS93" s="87"/>
      <c r="DT93" s="21"/>
      <c r="DU93" s="21"/>
      <c r="DV93" s="21"/>
      <c r="DW93" s="21"/>
      <c r="DX93" s="21"/>
      <c r="DY93" s="21"/>
      <c r="DZ93" s="21"/>
      <c r="EA93" s="21"/>
      <c r="EB93" s="21"/>
      <c r="EC93" s="21"/>
      <c r="ED93" s="21"/>
      <c r="EE93" s="21"/>
      <c r="EF93" s="21"/>
      <c r="EG93" s="21"/>
      <c r="EH93" s="21"/>
      <c r="EI93" s="21"/>
      <c r="EJ93" s="196"/>
      <c r="EK93" s="21" t="s">
        <v>586</v>
      </c>
      <c r="EL93" s="21">
        <v>0</v>
      </c>
      <c r="EM93" s="21">
        <v>0</v>
      </c>
      <c r="EN93" s="21">
        <v>0</v>
      </c>
      <c r="EO93" s="21">
        <v>4</v>
      </c>
      <c r="EP93" s="21">
        <v>0</v>
      </c>
      <c r="EQ93" s="21">
        <v>0</v>
      </c>
      <c r="ER93" s="21">
        <v>0</v>
      </c>
      <c r="ES93" s="21">
        <v>0</v>
      </c>
      <c r="ET93" s="21">
        <v>0</v>
      </c>
      <c r="EU93" s="21">
        <v>0</v>
      </c>
      <c r="EV93" s="21">
        <v>0</v>
      </c>
      <c r="EW93" s="21">
        <v>0</v>
      </c>
      <c r="EX93" s="21">
        <v>0</v>
      </c>
      <c r="EY93" s="21">
        <v>0</v>
      </c>
      <c r="EZ93" s="21">
        <v>0</v>
      </c>
      <c r="FA93" s="21">
        <v>0</v>
      </c>
      <c r="FB93" s="21">
        <v>0</v>
      </c>
      <c r="FC93" s="21">
        <v>0</v>
      </c>
      <c r="FD93" s="21">
        <v>0</v>
      </c>
      <c r="FE93" s="21">
        <v>0</v>
      </c>
      <c r="FF93" s="21">
        <v>0</v>
      </c>
      <c r="FG93" s="21">
        <v>0</v>
      </c>
      <c r="FH93" s="21">
        <v>0</v>
      </c>
      <c r="FI93" s="21">
        <v>0</v>
      </c>
      <c r="FK93" s="180" t="s">
        <v>586</v>
      </c>
      <c r="FL93" s="21">
        <v>0</v>
      </c>
      <c r="FM93" s="21">
        <v>0</v>
      </c>
      <c r="FN93" s="21">
        <v>4</v>
      </c>
      <c r="FO93" s="21">
        <v>4</v>
      </c>
      <c r="FP93" s="21">
        <v>0</v>
      </c>
      <c r="FQ93" s="21">
        <v>0</v>
      </c>
      <c r="FR93" s="21">
        <v>0</v>
      </c>
      <c r="FS93" s="21">
        <v>0</v>
      </c>
      <c r="FT93" s="21">
        <v>0</v>
      </c>
      <c r="FU93" s="21">
        <v>0</v>
      </c>
      <c r="FV93" s="21">
        <v>0</v>
      </c>
      <c r="FW93" s="21">
        <v>0</v>
      </c>
      <c r="FX93" s="21">
        <v>0</v>
      </c>
      <c r="FY93" s="21">
        <v>0</v>
      </c>
      <c r="FZ93" s="21">
        <v>0</v>
      </c>
      <c r="GA93" s="21">
        <v>0</v>
      </c>
      <c r="GB93" s="21">
        <v>0</v>
      </c>
      <c r="GC93" s="21">
        <v>0</v>
      </c>
      <c r="GD93" s="21">
        <v>0</v>
      </c>
      <c r="GE93" s="21">
        <v>0</v>
      </c>
      <c r="GF93" s="21">
        <v>0</v>
      </c>
      <c r="GG93" s="21">
        <v>0</v>
      </c>
      <c r="GH93" s="21">
        <v>0</v>
      </c>
      <c r="GI93" s="21">
        <v>0</v>
      </c>
      <c r="GJ93" s="21"/>
      <c r="GK93" s="21"/>
      <c r="GL93" s="21"/>
      <c r="GM93" s="21"/>
      <c r="GN93" s="21"/>
      <c r="GO93" s="21"/>
      <c r="GP93" s="21"/>
      <c r="GQ93" s="21"/>
      <c r="GR93" s="21" t="s">
        <v>522</v>
      </c>
      <c r="GS93" s="21">
        <v>0</v>
      </c>
      <c r="GT93" s="21">
        <v>4</v>
      </c>
      <c r="GU93" s="21">
        <v>0</v>
      </c>
      <c r="GV93" s="21">
        <v>0</v>
      </c>
      <c r="GW93" s="21">
        <v>4</v>
      </c>
      <c r="GX93" s="21">
        <v>0</v>
      </c>
      <c r="GY93" s="21">
        <v>4</v>
      </c>
      <c r="GZ93" s="21">
        <v>8</v>
      </c>
      <c r="HA93" s="21">
        <v>12</v>
      </c>
      <c r="HB93" s="21">
        <v>4</v>
      </c>
      <c r="HC93" s="21">
        <v>8</v>
      </c>
      <c r="HD93" s="21">
        <v>16</v>
      </c>
      <c r="HE93" s="21">
        <v>8</v>
      </c>
      <c r="HF93" s="21">
        <v>12</v>
      </c>
      <c r="HG93" s="21">
        <v>16</v>
      </c>
      <c r="HH93" s="21">
        <v>20</v>
      </c>
      <c r="HI93" s="180">
        <v>12</v>
      </c>
      <c r="HJ93" s="180">
        <v>20</v>
      </c>
      <c r="HK93" s="180">
        <v>24</v>
      </c>
      <c r="HL93" s="180">
        <v>16</v>
      </c>
      <c r="HM93" s="180">
        <v>20</v>
      </c>
      <c r="HN93" s="180">
        <v>24</v>
      </c>
      <c r="HO93" s="180">
        <v>28</v>
      </c>
      <c r="HP93" s="180">
        <v>20</v>
      </c>
      <c r="HS93" s="180" t="s">
        <v>522</v>
      </c>
      <c r="HT93" s="180">
        <v>0</v>
      </c>
      <c r="HU93" s="180">
        <v>4</v>
      </c>
      <c r="HV93" s="180">
        <v>0</v>
      </c>
      <c r="HW93" s="180">
        <v>4</v>
      </c>
      <c r="HX93" s="180">
        <v>8</v>
      </c>
      <c r="HY93" s="180">
        <v>0</v>
      </c>
      <c r="HZ93" s="180">
        <v>8</v>
      </c>
      <c r="IA93" s="180">
        <v>12</v>
      </c>
      <c r="IB93" s="180">
        <v>4</v>
      </c>
      <c r="IC93" s="180">
        <v>8</v>
      </c>
      <c r="ID93" s="180">
        <v>16</v>
      </c>
      <c r="IE93" s="180">
        <v>8</v>
      </c>
      <c r="IF93" s="180">
        <v>12</v>
      </c>
      <c r="IG93" s="180">
        <v>16</v>
      </c>
      <c r="IH93" s="180">
        <v>20</v>
      </c>
      <c r="II93" s="180">
        <v>16</v>
      </c>
      <c r="IJ93" s="180">
        <v>20</v>
      </c>
      <c r="IK93" s="180">
        <v>24</v>
      </c>
      <c r="IL93" s="180">
        <v>16</v>
      </c>
      <c r="IM93" s="180">
        <v>24</v>
      </c>
      <c r="IN93" s="180">
        <v>28</v>
      </c>
      <c r="IO93" s="180">
        <v>20</v>
      </c>
      <c r="IP93" s="180">
        <v>24</v>
      </c>
      <c r="IQ93" s="180">
        <v>32</v>
      </c>
      <c r="IT93" s="198"/>
    </row>
    <row r="94" spans="1:254" x14ac:dyDescent="0.25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6" t="str">
        <f>IF(E76=AS74,"CWT70H50/3,2NMC",IF(E76=AU74,"CWT70H50/3NMC",IF(E76=AT75,"CWT70H50/2,4NMC",IF(E76=AW76,"CWT70H50/2NMC","-------"))))</f>
        <v>CWT70H50/3,2NMC</v>
      </c>
      <c r="M94" s="11">
        <f>INDEX(cennik!$C$2:$L$529,MATCH($L94,cennik!$B$2:$B$522,0),MATCH(M$2,cennik!$C$1:$L$1,0))</f>
        <v>867832</v>
      </c>
      <c r="N94" s="11" t="str">
        <f>INDEX(cennik!$C$2:$L$529,MATCH($L94,cennik!$B$2:$B$522,0),MATCH(N$2,cennik!$C$1:$L$1,0))</f>
        <v>szt.</v>
      </c>
      <c r="O94" s="11">
        <f>E70*2</f>
        <v>0</v>
      </c>
      <c r="P94" s="34">
        <f>INDEX(cennik!$C$2:$L$529,MATCH($L94,cennik!$B$2:$B$522,0),MATCH(P$2,cennik!$C$1:$L$1,0))</f>
        <v>161.94999999999999</v>
      </c>
      <c r="Q94" s="34">
        <f>O94*P94</f>
        <v>0</v>
      </c>
      <c r="R94" s="35">
        <f>$E$71</f>
        <v>0</v>
      </c>
      <c r="S94" s="34">
        <f>P94*((100-$E$71)/100)</f>
        <v>161.94999999999999</v>
      </c>
      <c r="T94" s="34">
        <f>O94*S94</f>
        <v>0</v>
      </c>
      <c r="U94" s="34">
        <f>INDEX(cennik!$C$2:$L$529,MATCH($L94,cennik!$B$2:$B$522,0),MATCH(U$2,cennik!$C$1:$L$1,0))*O94</f>
        <v>0</v>
      </c>
      <c r="V94" s="25"/>
      <c r="W94" s="27"/>
      <c r="X94" s="27"/>
      <c r="Y94" s="27"/>
      <c r="Z94" s="27"/>
      <c r="AA94" s="21">
        <f>(VLOOKUP(AO94,$AY$5:$BA$9,3,1))*C98</f>
        <v>0</v>
      </c>
      <c r="AB94" s="21">
        <f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*C98</f>
        <v>0</v>
      </c>
      <c r="AC94" s="21"/>
      <c r="AD94" s="21"/>
      <c r="AE94" s="21"/>
      <c r="AF94" s="21"/>
      <c r="AG94" s="21"/>
      <c r="AH94" s="21"/>
      <c r="AI94" s="21"/>
      <c r="AJ94" s="21"/>
      <c r="AK94" s="21"/>
      <c r="AL94" s="21"/>
      <c r="AM94" s="21"/>
      <c r="AN94" s="21"/>
      <c r="AO94" s="21">
        <f>(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gt;=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+1,IF(((INT((((A98/2)*(IF($G$99=$AE$24,$AF$24,IF($G$99=$AE$25,$AF$25,IF($G$99=$AE$26,$AF$26,IF($G$99=$AE$27,$AF$27,IF($G$99=$AE$28,$AF$28,IF($G$99=$AE$29,$AF$29,IF($G$99=$AE$30,$AF$30,IF($G$99=$AE$31,$AF$31,IF($G$99=$AE$32,$AF$32,0)))))))))))+(((A98/2)-1)*20))/$E$109))*$E$109)+1000&lt;((A98/2)*(IF($G$99=$AE$24,$AF$24,IF($G$99=$AE$25,$AF$25,IF($G$99=$AE$26,$AF$26,IF($G$99=$AE$27,$AF$27,IF($G$99=$AE$28,$AF$28,IF($G$99=$AE$29,$AF$29,IF($G$99=$AE$30,$AF$30,IF($G$99=$AE$31,$AF$31,IF($G$99=$AE$32,$AF$32,0)))))))))))+(((A98/2)-1)*20),(INT((((A98/2)*(IF($G$99=$AE$24,$AF$24,IF($G$99=$AE$25,$AF$25,IF($G$99=$AE$26,$AF$26,IF($G$99=$AE$27,$AF$27,IF($G$99=$AE$28,$AF$28,IF($G$99=$AE$29,$AF$29,IF($G$99=$AE$30,$AF$30,IF($G$99=$AE$31,$AF$31,IF($G$99=$AE$32,$AF$32,0)))))))))))+(((A98/2)-1)*20))/$E$109))+2,0)))</f>
        <v>1</v>
      </c>
      <c r="AP94" s="21" t="s">
        <v>763</v>
      </c>
      <c r="AQ94" s="21" t="s">
        <v>596</v>
      </c>
      <c r="AR94" s="21" t="s">
        <v>595</v>
      </c>
      <c r="AS94" s="21" t="s">
        <v>593</v>
      </c>
      <c r="AT94" s="21" t="s">
        <v>593</v>
      </c>
      <c r="AU94" s="21"/>
      <c r="AV94" s="21"/>
      <c r="AW94" s="21"/>
      <c r="AX94" s="21"/>
      <c r="AY94" s="21"/>
      <c r="AZ94" s="21"/>
      <c r="BA94" s="21"/>
      <c r="BB94" s="21"/>
      <c r="BC94" s="21"/>
      <c r="BD94" s="21"/>
      <c r="BE94" s="21"/>
      <c r="BF94" s="21"/>
      <c r="BG94" s="21"/>
      <c r="BH94" s="21" t="s">
        <v>18</v>
      </c>
      <c r="BI94" s="21">
        <v>0</v>
      </c>
      <c r="BJ94" s="21">
        <v>0</v>
      </c>
      <c r="BK94" s="21">
        <v>0</v>
      </c>
      <c r="BL94" s="21">
        <v>0</v>
      </c>
      <c r="BM94" s="21">
        <v>0</v>
      </c>
      <c r="BN94" s="21">
        <v>4</v>
      </c>
      <c r="BO94" s="21">
        <v>4</v>
      </c>
      <c r="BP94" s="21">
        <v>4</v>
      </c>
      <c r="BQ94" s="21">
        <v>4</v>
      </c>
      <c r="BR94" s="21">
        <v>8</v>
      </c>
      <c r="BS94" s="21">
        <v>4</v>
      </c>
      <c r="BT94" s="21">
        <v>8</v>
      </c>
      <c r="BU94" s="21">
        <v>8</v>
      </c>
      <c r="BV94" s="21">
        <v>8</v>
      </c>
      <c r="BW94" s="21">
        <v>8</v>
      </c>
      <c r="BX94" s="21">
        <v>12</v>
      </c>
      <c r="BY94" s="21">
        <v>8</v>
      </c>
      <c r="BZ94" s="21">
        <v>12</v>
      </c>
      <c r="CA94" s="21">
        <v>12</v>
      </c>
      <c r="CB94" s="21">
        <v>12</v>
      </c>
      <c r="CC94" s="21">
        <v>12</v>
      </c>
      <c r="CD94" s="21">
        <v>16</v>
      </c>
      <c r="CE94" s="21">
        <v>12</v>
      </c>
      <c r="CF94" s="21">
        <v>16</v>
      </c>
      <c r="CG94" s="21"/>
      <c r="CH94" s="21"/>
      <c r="CI94" s="21"/>
      <c r="CJ94" s="21"/>
      <c r="CK94" s="21"/>
      <c r="CL94" s="21"/>
      <c r="CM94" s="21"/>
      <c r="CN94" s="21" t="s">
        <v>18</v>
      </c>
      <c r="CO94" s="21">
        <v>0</v>
      </c>
      <c r="CP94" s="21">
        <v>0</v>
      </c>
      <c r="CQ94" s="21">
        <v>0</v>
      </c>
      <c r="CR94" s="21">
        <v>0</v>
      </c>
      <c r="CS94" s="21">
        <v>4</v>
      </c>
      <c r="CT94" s="21">
        <v>4</v>
      </c>
      <c r="CU94" s="21">
        <v>4</v>
      </c>
      <c r="CV94" s="21">
        <v>4</v>
      </c>
      <c r="CW94" s="21">
        <v>8</v>
      </c>
      <c r="CX94" s="21">
        <v>4</v>
      </c>
      <c r="CY94" s="21">
        <v>8</v>
      </c>
      <c r="CZ94" s="21">
        <v>8</v>
      </c>
      <c r="DA94" s="21">
        <v>8</v>
      </c>
      <c r="DB94" s="21">
        <v>12</v>
      </c>
      <c r="DC94" s="21">
        <v>8</v>
      </c>
      <c r="DD94" s="21">
        <v>12</v>
      </c>
      <c r="DE94" s="21">
        <v>12</v>
      </c>
      <c r="DF94" s="21">
        <v>12</v>
      </c>
      <c r="DG94" s="21">
        <v>12</v>
      </c>
      <c r="DH94" s="21">
        <v>16</v>
      </c>
      <c r="DI94" s="21">
        <v>12</v>
      </c>
      <c r="DJ94" s="21">
        <v>16</v>
      </c>
      <c r="DK94" s="21">
        <v>16</v>
      </c>
      <c r="DL94" s="21">
        <v>16</v>
      </c>
      <c r="DM94" s="21"/>
      <c r="DN94" s="21"/>
      <c r="DO94" s="21"/>
      <c r="DP94" s="21"/>
      <c r="DQ94" s="87"/>
      <c r="DR94" s="87">
        <v>26</v>
      </c>
      <c r="DS94" s="87"/>
      <c r="DT94" s="21"/>
      <c r="DU94" s="21"/>
      <c r="DV94" s="21"/>
      <c r="DW94" s="21"/>
      <c r="DX94" s="21"/>
      <c r="DY94" s="21"/>
      <c r="DZ94" s="21"/>
      <c r="EA94" s="21"/>
      <c r="EB94" s="21"/>
      <c r="EC94" s="21"/>
      <c r="ED94" s="21"/>
      <c r="EE94" s="21"/>
      <c r="EF94" s="21"/>
      <c r="EG94" s="21"/>
      <c r="EH94" s="21"/>
      <c r="EI94" s="21"/>
      <c r="EJ94" s="196"/>
      <c r="EK94" s="21" t="s">
        <v>522</v>
      </c>
      <c r="EL94" s="21">
        <v>0</v>
      </c>
      <c r="EM94" s="21">
        <f t="shared" ref="EM94:FI94" si="145">BJ92</f>
        <v>0</v>
      </c>
      <c r="EN94" s="21">
        <f t="shared" si="145"/>
        <v>4</v>
      </c>
      <c r="EO94" s="21">
        <f t="shared" si="145"/>
        <v>0</v>
      </c>
      <c r="EP94" s="21">
        <f t="shared" si="145"/>
        <v>0</v>
      </c>
      <c r="EQ94" s="21">
        <f t="shared" si="145"/>
        <v>4</v>
      </c>
      <c r="ER94" s="21">
        <f t="shared" si="145"/>
        <v>0</v>
      </c>
      <c r="ES94" s="21">
        <f t="shared" si="145"/>
        <v>0</v>
      </c>
      <c r="ET94" s="21">
        <f t="shared" si="145"/>
        <v>4</v>
      </c>
      <c r="EU94" s="21">
        <f t="shared" si="145"/>
        <v>8</v>
      </c>
      <c r="EV94" s="21">
        <f t="shared" si="145"/>
        <v>0</v>
      </c>
      <c r="EW94" s="21">
        <f t="shared" si="145"/>
        <v>4</v>
      </c>
      <c r="EX94" s="21">
        <f t="shared" si="145"/>
        <v>8</v>
      </c>
      <c r="EY94" s="21">
        <f t="shared" si="145"/>
        <v>0</v>
      </c>
      <c r="EZ94" s="21">
        <f t="shared" si="145"/>
        <v>4</v>
      </c>
      <c r="FA94" s="21">
        <f t="shared" si="145"/>
        <v>8</v>
      </c>
      <c r="FB94" s="21">
        <f t="shared" si="145"/>
        <v>0</v>
      </c>
      <c r="FC94" s="21">
        <f t="shared" si="145"/>
        <v>4</v>
      </c>
      <c r="FD94" s="21">
        <f t="shared" si="145"/>
        <v>8</v>
      </c>
      <c r="FE94" s="21">
        <f t="shared" si="145"/>
        <v>0</v>
      </c>
      <c r="FF94" s="21">
        <f t="shared" si="145"/>
        <v>4</v>
      </c>
      <c r="FG94" s="21">
        <f t="shared" si="145"/>
        <v>8</v>
      </c>
      <c r="FH94" s="21">
        <f t="shared" si="145"/>
        <v>0</v>
      </c>
      <c r="FI94" s="21">
        <f t="shared" si="145"/>
        <v>4</v>
      </c>
      <c r="FJ94" s="21"/>
      <c r="FK94" s="21" t="s">
        <v>522</v>
      </c>
      <c r="FL94" s="21">
        <v>0</v>
      </c>
      <c r="FM94" s="21">
        <f>CP92</f>
        <v>4</v>
      </c>
      <c r="FN94" s="21">
        <f>CQ92</f>
        <v>0</v>
      </c>
      <c r="FO94" s="21">
        <v>0</v>
      </c>
      <c r="FP94" s="21">
        <f t="shared" ref="FP94:GI94" si="146">CS92</f>
        <v>4</v>
      </c>
      <c r="FQ94" s="21">
        <f t="shared" si="146"/>
        <v>8</v>
      </c>
      <c r="FR94" s="21">
        <f t="shared" si="146"/>
        <v>0</v>
      </c>
      <c r="FS94" s="21">
        <f t="shared" si="146"/>
        <v>4</v>
      </c>
      <c r="FT94" s="21">
        <f t="shared" si="146"/>
        <v>8</v>
      </c>
      <c r="FU94" s="21">
        <f t="shared" si="146"/>
        <v>0</v>
      </c>
      <c r="FV94" s="21">
        <f t="shared" si="146"/>
        <v>4</v>
      </c>
      <c r="FW94" s="21">
        <f t="shared" si="146"/>
        <v>8</v>
      </c>
      <c r="FX94" s="21">
        <f t="shared" si="146"/>
        <v>0</v>
      </c>
      <c r="FY94" s="21">
        <f t="shared" si="146"/>
        <v>8</v>
      </c>
      <c r="FZ94" s="21">
        <f t="shared" si="146"/>
        <v>0</v>
      </c>
      <c r="GA94" s="21">
        <f t="shared" si="146"/>
        <v>4</v>
      </c>
      <c r="GB94" s="21">
        <f t="shared" si="146"/>
        <v>8</v>
      </c>
      <c r="GC94" s="21">
        <f t="shared" si="146"/>
        <v>0</v>
      </c>
      <c r="GD94" s="21">
        <f t="shared" si="146"/>
        <v>4</v>
      </c>
      <c r="GE94" s="21">
        <f t="shared" si="146"/>
        <v>8</v>
      </c>
      <c r="GF94" s="21">
        <f t="shared" si="146"/>
        <v>0</v>
      </c>
      <c r="GG94" s="21">
        <f t="shared" si="146"/>
        <v>4</v>
      </c>
      <c r="GH94" s="21">
        <f t="shared" si="146"/>
        <v>8</v>
      </c>
      <c r="GI94" s="21">
        <f t="shared" si="146"/>
        <v>0</v>
      </c>
      <c r="GJ94" s="21"/>
      <c r="GK94" s="21"/>
      <c r="GL94" s="21"/>
      <c r="GM94" s="21"/>
      <c r="GN94" s="21"/>
      <c r="GO94" s="21"/>
      <c r="GP94" s="21"/>
      <c r="GQ94" s="21"/>
      <c r="GR94" s="21" t="s">
        <v>523</v>
      </c>
      <c r="GS94" s="21">
        <v>0</v>
      </c>
      <c r="GT94" s="21">
        <v>0</v>
      </c>
      <c r="GU94" s="21">
        <v>0</v>
      </c>
      <c r="GV94" s="21">
        <v>0</v>
      </c>
      <c r="GW94" s="21">
        <v>4</v>
      </c>
      <c r="GX94" s="21">
        <v>12</v>
      </c>
      <c r="GY94" s="21">
        <v>8</v>
      </c>
      <c r="GZ94" s="21">
        <v>4</v>
      </c>
      <c r="HA94" s="21">
        <v>0</v>
      </c>
      <c r="HB94" s="21">
        <v>12</v>
      </c>
      <c r="HC94" s="21">
        <v>8</v>
      </c>
      <c r="HD94" s="21">
        <v>0</v>
      </c>
      <c r="HE94" s="21">
        <v>12</v>
      </c>
      <c r="HF94" s="21">
        <v>8</v>
      </c>
      <c r="HG94" s="21">
        <v>4</v>
      </c>
      <c r="HH94" s="21">
        <v>0</v>
      </c>
      <c r="HI94" s="180">
        <v>12</v>
      </c>
      <c r="HJ94" s="180">
        <v>4</v>
      </c>
      <c r="HK94" s="180">
        <v>0</v>
      </c>
      <c r="HL94" s="180">
        <v>12</v>
      </c>
      <c r="HM94" s="180">
        <v>8</v>
      </c>
      <c r="HN94" s="180">
        <v>4</v>
      </c>
      <c r="HO94" s="180">
        <v>0</v>
      </c>
      <c r="HP94" s="180">
        <v>12</v>
      </c>
      <c r="HS94" s="180" t="s">
        <v>523</v>
      </c>
      <c r="HT94" s="180">
        <v>0</v>
      </c>
      <c r="HU94" s="180">
        <v>0</v>
      </c>
      <c r="HV94" s="180">
        <v>0</v>
      </c>
      <c r="HW94" s="180">
        <v>4</v>
      </c>
      <c r="HX94" s="180">
        <v>0</v>
      </c>
      <c r="HY94" s="180">
        <v>12</v>
      </c>
      <c r="HZ94" s="180">
        <v>4</v>
      </c>
      <c r="IA94" s="180">
        <v>0</v>
      </c>
      <c r="IB94" s="180">
        <v>12</v>
      </c>
      <c r="IC94" s="180">
        <v>8</v>
      </c>
      <c r="ID94" s="180">
        <v>0</v>
      </c>
      <c r="IE94" s="180">
        <v>12</v>
      </c>
      <c r="IF94" s="180">
        <v>8</v>
      </c>
      <c r="IG94" s="180">
        <v>4</v>
      </c>
      <c r="IH94" s="180">
        <v>0</v>
      </c>
      <c r="II94" s="180">
        <v>8</v>
      </c>
      <c r="IJ94" s="180">
        <v>4</v>
      </c>
      <c r="IK94" s="180">
        <v>0</v>
      </c>
      <c r="IL94" s="180">
        <v>12</v>
      </c>
      <c r="IM94" s="180">
        <v>4</v>
      </c>
      <c r="IN94" s="180">
        <v>0</v>
      </c>
      <c r="IO94" s="180">
        <v>12</v>
      </c>
      <c r="IP94" s="180">
        <v>8</v>
      </c>
      <c r="IQ94" s="180">
        <v>0</v>
      </c>
      <c r="IT94" s="198"/>
    </row>
    <row r="95" spans="1:254" x14ac:dyDescent="0.25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6" t="s">
        <v>591</v>
      </c>
      <c r="M95" s="11">
        <f>INDEX(cennik!$C$2:$L$529,MATCH($L95,cennik!$B$2:$B$522,0),MATCH(M$2,cennik!$C$1:$L$1,0))</f>
        <v>867810</v>
      </c>
      <c r="N95" s="11" t="str">
        <f>INDEX(cennik!$C$2:$L$529,MATCH($L95,cennik!$B$2:$B$522,0),MATCH(N$2,cennik!$C$1:$L$1,0))</f>
        <v>szt.</v>
      </c>
      <c r="O95" s="11">
        <f>E70*4</f>
        <v>0</v>
      </c>
      <c r="P95" s="34">
        <f>INDEX(cennik!$C$2:$L$529,MATCH($L95,cennik!$B$2:$B$522,0),MATCH(P$2,cennik!$C$1:$L$1,0))</f>
        <v>50.61</v>
      </c>
      <c r="Q95" s="34">
        <f>O95*P95</f>
        <v>0</v>
      </c>
      <c r="R95" s="35">
        <f>$E$71</f>
        <v>0</v>
      </c>
      <c r="S95" s="34">
        <f>P95*((100-$E$71)/100)</f>
        <v>50.61</v>
      </c>
      <c r="T95" s="34">
        <f>O95*S95</f>
        <v>0</v>
      </c>
      <c r="U95" s="34">
        <f>INDEX(cennik!$C$2:$L$529,MATCH($L95,cennik!$B$2:$B$522,0),MATCH(U$2,cennik!$C$1:$L$1,0))*O95</f>
        <v>0</v>
      </c>
      <c r="V95" s="25"/>
      <c r="W95" s="20" t="s">
        <v>18</v>
      </c>
      <c r="X95" s="21" t="s">
        <v>217</v>
      </c>
      <c r="Y95" s="21" t="s">
        <v>216</v>
      </c>
      <c r="Z95" s="21" t="s">
        <v>17</v>
      </c>
      <c r="AA95" s="21">
        <f>(VLOOKUP(AO95,$AY$5:$BA$9,3,1))*C99</f>
        <v>0</v>
      </c>
      <c r="AB95" s="21">
        <f t="shared" ref="AB95:AB109" si="147">(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gt;=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+1,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lt;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+2,0)))*C99</f>
        <v>0</v>
      </c>
      <c r="AC95" s="21"/>
      <c r="AD95" s="21"/>
      <c r="AE95" s="21"/>
      <c r="AF95" s="21"/>
      <c r="AG95" s="21"/>
      <c r="AI95" s="21" t="s">
        <v>314</v>
      </c>
      <c r="AJ95" s="21" t="s">
        <v>312</v>
      </c>
      <c r="AK95" s="21" t="s">
        <v>309</v>
      </c>
      <c r="AL95" s="21" t="s">
        <v>313</v>
      </c>
      <c r="AM95" s="21"/>
      <c r="AN95" s="21"/>
      <c r="AO95" s="21">
        <f t="shared" ref="AO95:AO109" si="148">(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gt;=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+1,IF(((INT((((A99/2)*(IF($G$99=$AE$24,$AF$24,IF($G$99=$AE$25,$AF$25,IF($G$99=$AE$26,$AF$26,IF($G$99=$AE$27,$AF$27,IF($G$99=$AE$28,$AF$28,IF($G$99=$AE$29,$AF$29,IF($G$99=$AE$30,$AF$30,IF($G$99=$AE$31,$AF$31,IF($G$99=$AE$32,$AF$32,0)))))))))))+(((A99/2)-1)*20))/$E$109))*$E$109)+1000&lt;((A99/2)*(IF($G$99=$AE$24,$AF$24,IF($G$99=$AE$25,$AF$25,IF($G$99=$AE$26,$AF$26,IF($G$99=$AE$27,$AF$27,IF($G$99=$AE$28,$AF$28,IF($G$99=$AE$29,$AF$29,IF($G$99=$AE$30,$AF$30,IF($G$99=$AE$31,$AF$31,IF($G$99=$AE$32,$AF$32,0)))))))))))+(((A99/2)-1)*20),(INT((((A99/2)*(IF($G$99=$AE$24,$AF$24,IF($G$99=$AE$25,$AF$25,IF($G$99=$AE$26,$AF$26,IF($G$99=$AE$27,$AF$27,IF($G$99=$AE$28,$AF$28,IF($G$99=$AE$29,$AF$29,IF($G$99=$AE$30,$AF$30,IF($G$99=$AE$31,$AF$31,IF($G$99=$AE$32,$AF$32,0)))))))))))+(((A99/2)-1)*20))/$E$109))+2,0)))</f>
        <v>1</v>
      </c>
      <c r="AP95" s="21" t="s">
        <v>764</v>
      </c>
      <c r="AQ95" s="21" t="s">
        <v>596</v>
      </c>
      <c r="AR95" s="21" t="s">
        <v>595</v>
      </c>
      <c r="AS95" s="21" t="s">
        <v>593</v>
      </c>
      <c r="AT95" s="21" t="s">
        <v>593</v>
      </c>
      <c r="AU95" s="21"/>
      <c r="AX95" s="21"/>
      <c r="AY95" s="21"/>
      <c r="AZ95" s="21"/>
      <c r="BA95" s="21"/>
      <c r="BB95" s="21"/>
      <c r="BC95" s="21"/>
      <c r="BD95" s="21"/>
      <c r="BE95" s="21"/>
      <c r="BF95" s="21"/>
      <c r="BG95" s="21"/>
      <c r="BH95" s="21"/>
      <c r="BI95" s="21"/>
      <c r="BJ95" s="21"/>
      <c r="BK95" s="21"/>
      <c r="BL95" s="21"/>
      <c r="BM95" s="21"/>
      <c r="BN95" s="21"/>
      <c r="BO95" s="21"/>
      <c r="BP95" s="21"/>
      <c r="BQ95" s="21"/>
      <c r="BR95" s="21"/>
      <c r="BS95" s="21"/>
      <c r="BT95" s="21"/>
      <c r="BU95" s="21"/>
      <c r="BV95" s="21"/>
      <c r="BW95" s="21"/>
      <c r="BX95" s="21"/>
      <c r="BY95" s="21"/>
      <c r="BZ95" s="21"/>
      <c r="CA95" s="21"/>
      <c r="CB95" s="21"/>
      <c r="CC95" s="21"/>
      <c r="CD95" s="21"/>
      <c r="CE95" s="21"/>
      <c r="CF95" s="21"/>
      <c r="CG95" s="21"/>
      <c r="CH95" s="21"/>
      <c r="CI95" s="21"/>
      <c r="CJ95" s="21"/>
      <c r="CK95" s="21"/>
      <c r="CL95" s="21"/>
      <c r="CM95" s="21"/>
      <c r="CN95" s="21"/>
      <c r="CO95" s="21"/>
      <c r="CP95" s="21"/>
      <c r="CQ95" s="21"/>
      <c r="CR95" s="21"/>
      <c r="CS95" s="21"/>
      <c r="CT95" s="21"/>
      <c r="CU95" s="21"/>
      <c r="CV95" s="21"/>
      <c r="CW95" s="21"/>
      <c r="CX95" s="21"/>
      <c r="CY95" s="21"/>
      <c r="CZ95" s="21"/>
      <c r="DA95" s="21"/>
      <c r="DB95" s="21"/>
      <c r="DC95" s="21"/>
      <c r="DD95" s="21"/>
      <c r="DE95" s="21"/>
      <c r="DF95" s="21"/>
      <c r="DG95" s="21"/>
      <c r="DH95" s="21"/>
      <c r="DI95" s="21"/>
      <c r="DJ95" s="21"/>
      <c r="DK95" s="21"/>
      <c r="DL95" s="21"/>
      <c r="DM95" s="21"/>
      <c r="DN95" s="21"/>
      <c r="DO95" s="21"/>
      <c r="DP95" s="21"/>
      <c r="DQ95" s="87"/>
      <c r="DR95" s="87">
        <v>28</v>
      </c>
      <c r="DS95" s="87"/>
      <c r="DT95" s="21"/>
      <c r="DU95" s="21"/>
      <c r="DV95" s="21"/>
      <c r="DW95" s="21"/>
      <c r="DX95" s="21"/>
      <c r="DY95" s="21"/>
      <c r="DZ95" s="21"/>
      <c r="EA95" s="21"/>
      <c r="EB95" s="21"/>
      <c r="EC95" s="21"/>
      <c r="ED95" s="21"/>
      <c r="EE95" s="21"/>
      <c r="EF95" s="21"/>
      <c r="EG95" s="21"/>
      <c r="EH95" s="21"/>
      <c r="EI95" s="21"/>
      <c r="EJ95" s="196"/>
      <c r="EK95" s="21" t="s">
        <v>523</v>
      </c>
      <c r="EL95" s="21">
        <v>0</v>
      </c>
      <c r="EM95" s="21">
        <f>BJ93+(BJ91*2)</f>
        <v>4</v>
      </c>
      <c r="EN95" s="21">
        <f>BK93+(BK91*2)</f>
        <v>0</v>
      </c>
      <c r="EO95" s="21">
        <v>0</v>
      </c>
      <c r="EP95" s="21">
        <f t="shared" ref="EP95:FI95" si="149">BM93+(BM91*2)</f>
        <v>8</v>
      </c>
      <c r="EQ95" s="21">
        <f t="shared" si="149"/>
        <v>4</v>
      </c>
      <c r="ER95" s="21">
        <f t="shared" si="149"/>
        <v>12</v>
      </c>
      <c r="ES95" s="21">
        <f t="shared" si="149"/>
        <v>12</v>
      </c>
      <c r="ET95" s="21">
        <f t="shared" si="149"/>
        <v>8</v>
      </c>
      <c r="EU95" s="21">
        <f t="shared" si="149"/>
        <v>4</v>
      </c>
      <c r="EV95" s="21">
        <f t="shared" si="149"/>
        <v>16</v>
      </c>
      <c r="EW95" s="21">
        <f t="shared" si="149"/>
        <v>12</v>
      </c>
      <c r="EX95" s="21">
        <f t="shared" si="149"/>
        <v>8</v>
      </c>
      <c r="EY95" s="21">
        <f t="shared" si="149"/>
        <v>20</v>
      </c>
      <c r="EZ95" s="21">
        <f t="shared" si="149"/>
        <v>16</v>
      </c>
      <c r="FA95" s="21">
        <f t="shared" si="149"/>
        <v>12</v>
      </c>
      <c r="FB95" s="21">
        <f t="shared" si="149"/>
        <v>24</v>
      </c>
      <c r="FC95" s="21">
        <f t="shared" si="149"/>
        <v>20</v>
      </c>
      <c r="FD95" s="21">
        <f t="shared" si="149"/>
        <v>16</v>
      </c>
      <c r="FE95" s="21">
        <f t="shared" si="149"/>
        <v>28</v>
      </c>
      <c r="FF95" s="21">
        <f t="shared" si="149"/>
        <v>24</v>
      </c>
      <c r="FG95" s="21">
        <f t="shared" si="149"/>
        <v>20</v>
      </c>
      <c r="FH95" s="21">
        <f t="shared" si="149"/>
        <v>32</v>
      </c>
      <c r="FI95" s="21">
        <f t="shared" si="149"/>
        <v>28</v>
      </c>
      <c r="FJ95" s="21"/>
      <c r="FK95" s="21" t="s">
        <v>523</v>
      </c>
      <c r="FL95" s="21">
        <v>0</v>
      </c>
      <c r="FM95" s="21">
        <f>CP93+(CP91*2)</f>
        <v>0</v>
      </c>
      <c r="FN95" s="21">
        <v>0</v>
      </c>
      <c r="FO95" s="21">
        <v>0</v>
      </c>
      <c r="FP95" s="21">
        <f t="shared" ref="FP95:GI95" si="150">CS93+(CS91*2)</f>
        <v>4</v>
      </c>
      <c r="FQ95" s="21">
        <f t="shared" si="150"/>
        <v>0</v>
      </c>
      <c r="FR95" s="21">
        <f t="shared" si="150"/>
        <v>12</v>
      </c>
      <c r="FS95" s="21">
        <f t="shared" si="150"/>
        <v>8</v>
      </c>
      <c r="FT95" s="21">
        <f t="shared" si="150"/>
        <v>4</v>
      </c>
      <c r="FU95" s="21">
        <f t="shared" si="150"/>
        <v>16</v>
      </c>
      <c r="FV95" s="21">
        <f t="shared" si="150"/>
        <v>12</v>
      </c>
      <c r="FW95" s="21">
        <f t="shared" si="150"/>
        <v>8</v>
      </c>
      <c r="FX95" s="21">
        <f t="shared" si="150"/>
        <v>20</v>
      </c>
      <c r="FY95" s="21">
        <f t="shared" si="150"/>
        <v>12</v>
      </c>
      <c r="FZ95" s="21">
        <f t="shared" si="150"/>
        <v>24</v>
      </c>
      <c r="GA95" s="21">
        <f t="shared" si="150"/>
        <v>20</v>
      </c>
      <c r="GB95" s="21">
        <f t="shared" si="150"/>
        <v>16</v>
      </c>
      <c r="GC95" s="21">
        <f t="shared" si="150"/>
        <v>28</v>
      </c>
      <c r="GD95" s="21">
        <f t="shared" si="150"/>
        <v>24</v>
      </c>
      <c r="GE95" s="21">
        <f t="shared" si="150"/>
        <v>20</v>
      </c>
      <c r="GF95" s="21">
        <f t="shared" si="150"/>
        <v>32</v>
      </c>
      <c r="GG95" s="21">
        <f t="shared" si="150"/>
        <v>28</v>
      </c>
      <c r="GH95" s="21">
        <f t="shared" si="150"/>
        <v>24</v>
      </c>
      <c r="GI95" s="21">
        <f t="shared" si="150"/>
        <v>36</v>
      </c>
      <c r="GJ95" s="21"/>
      <c r="GK95" s="21"/>
      <c r="GL95" s="21"/>
      <c r="GM95" s="21"/>
      <c r="GN95" s="21"/>
      <c r="GO95" s="21"/>
      <c r="GP95" s="21"/>
      <c r="GQ95" s="21"/>
      <c r="GR95" s="20" t="s">
        <v>779</v>
      </c>
      <c r="GS95" s="21">
        <v>0</v>
      </c>
      <c r="GT95" s="21">
        <v>0</v>
      </c>
      <c r="GU95" s="21">
        <v>0</v>
      </c>
      <c r="GV95" s="21">
        <v>0</v>
      </c>
      <c r="GW95" s="21">
        <v>4</v>
      </c>
      <c r="GX95" s="21">
        <v>8</v>
      </c>
      <c r="GY95" s="21">
        <v>8</v>
      </c>
      <c r="GZ95" s="21">
        <v>8</v>
      </c>
      <c r="HA95" s="21">
        <v>8</v>
      </c>
      <c r="HB95" s="21">
        <v>12</v>
      </c>
      <c r="HC95" s="21">
        <v>12</v>
      </c>
      <c r="HD95" s="21">
        <v>12</v>
      </c>
      <c r="HE95" s="21">
        <v>16</v>
      </c>
      <c r="HF95" s="21">
        <v>16</v>
      </c>
      <c r="HG95" s="21">
        <v>16</v>
      </c>
      <c r="HH95" s="21">
        <v>16</v>
      </c>
      <c r="HI95" s="180">
        <v>20</v>
      </c>
      <c r="HJ95" s="180">
        <v>20</v>
      </c>
      <c r="HK95" s="180">
        <v>20</v>
      </c>
      <c r="HL95" s="180">
        <v>24</v>
      </c>
      <c r="HM95" s="180">
        <v>24</v>
      </c>
      <c r="HN95" s="180">
        <v>24</v>
      </c>
      <c r="HO95" s="180">
        <v>24</v>
      </c>
      <c r="HP95" s="180">
        <v>28</v>
      </c>
      <c r="HS95" s="180" t="s">
        <v>524</v>
      </c>
      <c r="HT95" s="180">
        <v>0</v>
      </c>
      <c r="HU95" s="180">
        <v>0</v>
      </c>
      <c r="HV95" s="180">
        <v>0</v>
      </c>
      <c r="HW95" s="180">
        <v>4</v>
      </c>
      <c r="HX95" s="180">
        <v>4</v>
      </c>
      <c r="HY95" s="180">
        <v>8</v>
      </c>
      <c r="HZ95" s="180">
        <v>8</v>
      </c>
      <c r="IA95" s="180">
        <v>8</v>
      </c>
      <c r="IB95" s="180">
        <v>12</v>
      </c>
      <c r="IC95" s="180">
        <v>12</v>
      </c>
      <c r="ID95" s="180">
        <v>12</v>
      </c>
      <c r="IE95" s="180">
        <v>16</v>
      </c>
      <c r="IF95" s="180">
        <v>16</v>
      </c>
      <c r="IG95" s="180">
        <v>16</v>
      </c>
      <c r="IH95" s="180">
        <v>16</v>
      </c>
      <c r="II95" s="180">
        <v>20</v>
      </c>
      <c r="IJ95" s="180">
        <v>20</v>
      </c>
      <c r="IK95" s="180">
        <v>20</v>
      </c>
      <c r="IL95" s="180">
        <v>24</v>
      </c>
      <c r="IM95" s="180">
        <v>24</v>
      </c>
      <c r="IN95" s="180">
        <v>24</v>
      </c>
      <c r="IO95" s="180">
        <v>28</v>
      </c>
      <c r="IP95" s="180">
        <v>28</v>
      </c>
      <c r="IQ95" s="180">
        <v>28</v>
      </c>
      <c r="IT95" s="198"/>
    </row>
    <row r="96" spans="1:254" x14ac:dyDescent="0.25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9"/>
      <c r="M96" s="11"/>
      <c r="N96" s="11"/>
      <c r="O96" s="11"/>
      <c r="P96" s="34"/>
      <c r="Q96" s="34"/>
      <c r="R96" s="34"/>
      <c r="S96" s="34"/>
      <c r="T96" s="34">
        <f>SUM(T67:T95)</f>
        <v>0</v>
      </c>
      <c r="U96" s="34">
        <f>SUM(U67:U95)</f>
        <v>0</v>
      </c>
      <c r="V96" s="25"/>
      <c r="W96" s="189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96" s="189">
        <f>INDEX(($EL$85:$FI$89,$EL$93:$FI$97,$FL$85:$GI$89,$FL$93:$GI$97,$GS$85:$HP$89,$GS$92:$HP$96,$HT$85:$IQ$89,$HT$92:$IQ$96,$HT$99:$IQ$103),MATCH($L$110,$EK$85:$EK$89,0),MATCH($A98,$EL$84:$FI$84,0),MATCH($G$99,$AE$24:$AE$32,0))*$C98</f>
        <v>0</v>
      </c>
      <c r="Y96" s="189">
        <f>INDEX(($EL$85:$FI$89,$EL$93:$FI$97,$FL$85:$GI$89,$FL$93:$GI$97,$GS$85:$HP$89,$GS$92:$HP$96,$HT$85:$IQ$89,$HT$92:$IQ$96,$HT$99:$IQ$103),MATCH($L$111,$EK$85:$EK$89,0),MATCH($A98,$EL$84:$FI$84,0),MATCH($G$99,$AE$24:$AE$32,0))*$C98</f>
        <v>0</v>
      </c>
      <c r="Z96" s="189">
        <f>INDEX(($EL$85:$FI$89,$EL$93:$FI$97,$FL$85:$GI$89,$FL$93:$GI$97,$GS$85:$HP$89,$GS$92:$HP$96,$HT$85:$IQ$89,$HT$92:$IQ$96,$HT$99:$IQ$103),MATCH($L$112,$EK$85:$EK$89,0),MATCH($A98,$EL$84:$FI$84,0),MATCH($G$99,$AE$24:$AE$32,0))*$C98</f>
        <v>0</v>
      </c>
      <c r="AA96" s="21">
        <f t="shared" ref="AA96:AA109" si="151">(VLOOKUP(AO96,$AY$5:$BA$9,3,1))*C100</f>
        <v>0</v>
      </c>
      <c r="AB96" s="21">
        <f t="shared" si="147"/>
        <v>0</v>
      </c>
      <c r="AC96" s="21"/>
      <c r="AD96" s="21"/>
      <c r="AE96" s="21"/>
      <c r="AF96" s="21"/>
      <c r="AG96" s="21"/>
      <c r="AH96" s="21">
        <v>25</v>
      </c>
      <c r="AI96" s="21" t="s">
        <v>731</v>
      </c>
      <c r="AJ96" s="21" t="s">
        <v>732</v>
      </c>
      <c r="AK96" s="21" t="s">
        <v>733</v>
      </c>
      <c r="AL96" s="21" t="s">
        <v>734</v>
      </c>
      <c r="AM96" s="21"/>
      <c r="AN96" s="21"/>
      <c r="AO96" s="21">
        <f t="shared" si="148"/>
        <v>1</v>
      </c>
      <c r="AP96" s="21" t="s">
        <v>832</v>
      </c>
      <c r="AQ96" s="21" t="s">
        <v>596</v>
      </c>
      <c r="AR96" s="21" t="s">
        <v>595</v>
      </c>
      <c r="AS96" s="21" t="s">
        <v>593</v>
      </c>
      <c r="AT96" s="21" t="s">
        <v>593</v>
      </c>
      <c r="AU96" s="21"/>
      <c r="BG96" s="21"/>
      <c r="BH96" s="21"/>
      <c r="BI96" s="21"/>
      <c r="BJ96" s="21"/>
      <c r="BK96" s="21"/>
      <c r="BL96" s="21"/>
      <c r="BM96" s="21"/>
      <c r="BN96" s="21"/>
      <c r="BO96" s="21"/>
      <c r="BP96" s="21"/>
      <c r="BQ96" s="21"/>
      <c r="BR96" s="21"/>
      <c r="BS96" s="21"/>
      <c r="BT96" s="21"/>
      <c r="BU96" s="21"/>
      <c r="BV96" s="21"/>
      <c r="BW96" s="21"/>
      <c r="BX96" s="21"/>
      <c r="BY96" s="21"/>
      <c r="BZ96" s="21"/>
      <c r="CA96" s="21"/>
      <c r="CB96" s="21"/>
      <c r="CC96" s="21"/>
      <c r="CD96" s="21"/>
      <c r="CE96" s="21"/>
      <c r="CF96" s="21"/>
      <c r="CG96" s="21"/>
      <c r="CH96" s="21"/>
      <c r="CI96" s="21"/>
      <c r="CJ96" s="21"/>
      <c r="CK96" s="21"/>
      <c r="CL96" s="21"/>
      <c r="CM96" s="21"/>
      <c r="CN96" s="21"/>
      <c r="CO96" s="21"/>
      <c r="CP96" s="21"/>
      <c r="CQ96" s="21"/>
      <c r="CR96" s="21"/>
      <c r="CS96" s="21"/>
      <c r="CT96" s="21"/>
      <c r="CU96" s="21"/>
      <c r="CV96" s="21"/>
      <c r="CW96" s="21"/>
      <c r="CX96" s="21"/>
      <c r="CY96" s="21"/>
      <c r="CZ96" s="21"/>
      <c r="DA96" s="21"/>
      <c r="DB96" s="21"/>
      <c r="DC96" s="21"/>
      <c r="DD96" s="21"/>
      <c r="DE96" s="21"/>
      <c r="DF96" s="21"/>
      <c r="DG96" s="21"/>
      <c r="DH96" s="21"/>
      <c r="DI96" s="21"/>
      <c r="DJ96" s="21"/>
      <c r="DK96" s="21"/>
      <c r="DL96" s="21"/>
      <c r="DM96" s="21"/>
      <c r="DN96" s="21"/>
      <c r="DO96" s="21"/>
      <c r="DP96" s="21"/>
      <c r="DQ96" s="87"/>
      <c r="DR96" s="87">
        <v>30</v>
      </c>
      <c r="DS96" s="87"/>
      <c r="DT96" s="21"/>
      <c r="DU96" s="21"/>
      <c r="DV96" s="21"/>
      <c r="DW96" s="21"/>
      <c r="DX96" s="21"/>
      <c r="DY96" s="21"/>
      <c r="DZ96" s="21"/>
      <c r="EA96" s="21"/>
      <c r="EB96" s="21"/>
      <c r="EC96" s="21"/>
      <c r="ED96" s="21"/>
      <c r="EE96" s="21"/>
      <c r="EF96" s="21"/>
      <c r="EG96" s="21"/>
      <c r="EH96" s="21"/>
      <c r="EI96" s="21"/>
      <c r="EJ96" s="196"/>
      <c r="EK96" s="20" t="s">
        <v>779</v>
      </c>
      <c r="EL96" s="21">
        <v>0</v>
      </c>
      <c r="EM96" s="21">
        <f>((SUM(EM94:EM95)/4)-1)*4</f>
        <v>0</v>
      </c>
      <c r="EN96" s="21">
        <f t="shared" ref="EN96:EX96" si="152">((SUM(EN94:EN95)/4)-1)*4</f>
        <v>0</v>
      </c>
      <c r="EO96" s="21">
        <v>0</v>
      </c>
      <c r="EP96" s="21">
        <f t="shared" si="152"/>
        <v>4</v>
      </c>
      <c r="EQ96" s="21">
        <f t="shared" si="152"/>
        <v>4</v>
      </c>
      <c r="ER96" s="21">
        <f t="shared" si="152"/>
        <v>8</v>
      </c>
      <c r="ES96" s="21">
        <f t="shared" si="152"/>
        <v>8</v>
      </c>
      <c r="ET96" s="21">
        <f t="shared" si="152"/>
        <v>8</v>
      </c>
      <c r="EU96" s="21">
        <f t="shared" si="152"/>
        <v>8</v>
      </c>
      <c r="EV96" s="21">
        <f t="shared" si="152"/>
        <v>12</v>
      </c>
      <c r="EW96" s="21">
        <f t="shared" si="152"/>
        <v>12</v>
      </c>
      <c r="EX96" s="21">
        <f t="shared" si="152"/>
        <v>12</v>
      </c>
      <c r="EY96" s="21">
        <f>((SUM(EY94:EY95)/4)-1)*4</f>
        <v>16</v>
      </c>
      <c r="EZ96" s="21">
        <f t="shared" ref="EZ96:FI96" si="153">((SUM(EZ94:EZ95)/4)-1)*4</f>
        <v>16</v>
      </c>
      <c r="FA96" s="21">
        <f t="shared" si="153"/>
        <v>16</v>
      </c>
      <c r="FB96" s="21">
        <f t="shared" si="153"/>
        <v>20</v>
      </c>
      <c r="FC96" s="21">
        <f t="shared" si="153"/>
        <v>20</v>
      </c>
      <c r="FD96" s="21">
        <f t="shared" si="153"/>
        <v>20</v>
      </c>
      <c r="FE96" s="21">
        <f t="shared" si="153"/>
        <v>24</v>
      </c>
      <c r="FF96" s="21">
        <f t="shared" si="153"/>
        <v>24</v>
      </c>
      <c r="FG96" s="21">
        <f t="shared" si="153"/>
        <v>24</v>
      </c>
      <c r="FH96" s="21">
        <f t="shared" si="153"/>
        <v>28</v>
      </c>
      <c r="FI96" s="21">
        <f t="shared" si="153"/>
        <v>28</v>
      </c>
      <c r="FJ96" s="21"/>
      <c r="FK96" s="21" t="s">
        <v>524</v>
      </c>
      <c r="FL96" s="21">
        <v>0</v>
      </c>
      <c r="FM96" s="21">
        <f>((SUM(FM94:FM95)/4)-1)*4</f>
        <v>0</v>
      </c>
      <c r="FN96" s="21">
        <v>0</v>
      </c>
      <c r="FO96" s="21">
        <v>0</v>
      </c>
      <c r="FP96" s="21">
        <f t="shared" ref="FP96:FX96" si="154">((SUM(FP94:FP95)/4)-1)*4</f>
        <v>4</v>
      </c>
      <c r="FQ96" s="21">
        <f t="shared" si="154"/>
        <v>4</v>
      </c>
      <c r="FR96" s="21">
        <f t="shared" si="154"/>
        <v>8</v>
      </c>
      <c r="FS96" s="21">
        <f t="shared" si="154"/>
        <v>8</v>
      </c>
      <c r="FT96" s="21">
        <f t="shared" si="154"/>
        <v>8</v>
      </c>
      <c r="FU96" s="21">
        <f t="shared" si="154"/>
        <v>12</v>
      </c>
      <c r="FV96" s="21">
        <f t="shared" si="154"/>
        <v>12</v>
      </c>
      <c r="FW96" s="21">
        <f t="shared" si="154"/>
        <v>12</v>
      </c>
      <c r="FX96" s="21">
        <f t="shared" si="154"/>
        <v>16</v>
      </c>
      <c r="FY96" s="21">
        <f>((SUM(FY94:FY95)/4)-1)*4</f>
        <v>16</v>
      </c>
      <c r="FZ96" s="21">
        <f t="shared" ref="FZ96:GI96" si="155">((SUM(FZ94:FZ95)/4)-1)*4</f>
        <v>20</v>
      </c>
      <c r="GA96" s="21">
        <f t="shared" si="155"/>
        <v>20</v>
      </c>
      <c r="GB96" s="21">
        <f t="shared" si="155"/>
        <v>20</v>
      </c>
      <c r="GC96" s="21">
        <f t="shared" si="155"/>
        <v>24</v>
      </c>
      <c r="GD96" s="21">
        <f t="shared" si="155"/>
        <v>24</v>
      </c>
      <c r="GE96" s="21">
        <f t="shared" si="155"/>
        <v>24</v>
      </c>
      <c r="GF96" s="21">
        <f t="shared" si="155"/>
        <v>28</v>
      </c>
      <c r="GG96" s="21">
        <f t="shared" si="155"/>
        <v>28</v>
      </c>
      <c r="GH96" s="21">
        <f t="shared" si="155"/>
        <v>28</v>
      </c>
      <c r="GI96" s="21">
        <f t="shared" si="155"/>
        <v>32</v>
      </c>
      <c r="GJ96" s="21"/>
      <c r="GK96" s="21"/>
      <c r="GL96" s="21"/>
      <c r="GM96" s="21"/>
      <c r="GN96" s="21"/>
      <c r="GO96" s="21"/>
      <c r="GP96" s="21"/>
      <c r="GQ96" s="21"/>
      <c r="GR96" s="21" t="s">
        <v>700</v>
      </c>
      <c r="GS96" s="21">
        <v>0</v>
      </c>
      <c r="GT96" s="21">
        <v>0</v>
      </c>
      <c r="GU96" s="21">
        <v>0</v>
      </c>
      <c r="GV96" s="21">
        <v>0</v>
      </c>
      <c r="GW96" s="21">
        <v>4</v>
      </c>
      <c r="GX96" s="21">
        <v>8</v>
      </c>
      <c r="GY96" s="21">
        <v>8</v>
      </c>
      <c r="GZ96" s="21">
        <v>8</v>
      </c>
      <c r="HA96" s="21">
        <v>8</v>
      </c>
      <c r="HB96" s="21">
        <v>12</v>
      </c>
      <c r="HC96" s="21">
        <v>12</v>
      </c>
      <c r="HD96" s="21">
        <v>12</v>
      </c>
      <c r="HE96" s="21">
        <v>16</v>
      </c>
      <c r="HF96" s="21">
        <v>16</v>
      </c>
      <c r="HG96" s="21">
        <v>16</v>
      </c>
      <c r="HH96" s="21">
        <v>16</v>
      </c>
      <c r="HI96" s="180">
        <v>20</v>
      </c>
      <c r="HJ96" s="180">
        <v>20</v>
      </c>
      <c r="HK96" s="180">
        <v>20</v>
      </c>
      <c r="HL96" s="180">
        <v>24</v>
      </c>
      <c r="HM96" s="180">
        <v>24</v>
      </c>
      <c r="HN96" s="180">
        <v>24</v>
      </c>
      <c r="HO96" s="180">
        <v>24</v>
      </c>
      <c r="HP96" s="180">
        <v>28</v>
      </c>
      <c r="HS96" s="180" t="s">
        <v>700</v>
      </c>
      <c r="HT96" s="180">
        <v>0</v>
      </c>
      <c r="HU96" s="180">
        <v>0</v>
      </c>
      <c r="HV96" s="180">
        <v>0</v>
      </c>
      <c r="HW96" s="180">
        <v>4</v>
      </c>
      <c r="HX96" s="180">
        <v>4</v>
      </c>
      <c r="HY96" s="180">
        <v>8</v>
      </c>
      <c r="HZ96" s="180">
        <v>8</v>
      </c>
      <c r="IA96" s="180">
        <v>8</v>
      </c>
      <c r="IB96" s="180">
        <v>12</v>
      </c>
      <c r="IC96" s="180">
        <v>12</v>
      </c>
      <c r="ID96" s="180">
        <v>12</v>
      </c>
      <c r="IE96" s="180">
        <v>16</v>
      </c>
      <c r="IF96" s="180">
        <v>16</v>
      </c>
      <c r="IG96" s="180">
        <v>16</v>
      </c>
      <c r="IH96" s="180">
        <v>16</v>
      </c>
      <c r="II96" s="180">
        <v>20</v>
      </c>
      <c r="IJ96" s="180">
        <v>20</v>
      </c>
      <c r="IK96" s="180">
        <v>20</v>
      </c>
      <c r="IL96" s="180">
        <v>24</v>
      </c>
      <c r="IM96" s="180">
        <v>24</v>
      </c>
      <c r="IN96" s="180">
        <v>24</v>
      </c>
      <c r="IO96" s="180">
        <v>28</v>
      </c>
      <c r="IP96" s="180">
        <v>28</v>
      </c>
      <c r="IQ96" s="180">
        <v>28</v>
      </c>
      <c r="IT96" s="198"/>
    </row>
    <row r="97" spans="1:254" ht="51.75" x14ac:dyDescent="0.25">
      <c r="A97" s="3" t="s">
        <v>443</v>
      </c>
      <c r="B97" s="3"/>
      <c r="C97" s="3" t="s">
        <v>444</v>
      </c>
      <c r="D97" s="9"/>
      <c r="E97" s="9"/>
      <c r="F97" s="9"/>
      <c r="G97" s="9"/>
      <c r="H97" s="9"/>
      <c r="I97" s="9"/>
      <c r="J97" s="9"/>
      <c r="K97" s="9"/>
      <c r="L97" s="360" t="str">
        <f>INDEX((AI96:AL97),MATCH(E106,AH96:AH97,0),MATCH(E101,AI95:AL95,0))</f>
        <v>KONSTRUKCJA W-V2G2-30°</v>
      </c>
      <c r="M97" s="360"/>
      <c r="N97" s="360"/>
      <c r="O97" s="360"/>
      <c r="P97" s="360"/>
      <c r="Q97" s="360"/>
      <c r="R97" s="360"/>
      <c r="S97" s="360"/>
      <c r="T97" s="360"/>
      <c r="U97" s="360"/>
      <c r="V97" s="25"/>
      <c r="W97" s="189">
        <f>INDEX(($EL$85:$FI$89,$EL$93:$FI$97,$FL$85:$GI$89,$FL$93:$GI$97,$GS$85:$HP$89,$GS$92:$HP$96,$HT$85:$IQ$89,$HT$92:$IQ$96,$HT$99:$IQ$103),MATCH($L$113,$EK$85:$EK$89,0),MATCH($A99,$EL$84:$FI$84,0),MATCH($G$99,$AE$24:$AE$32,0))*$C99</f>
        <v>0</v>
      </c>
      <c r="X97" s="189">
        <f>INDEX(($EL$85:$FI$89,$EL$93:$FI$97,$FL$85:$GI$89,$FL$93:$GI$97,$GS$85:$HP$89,$GS$92:$HP$96,$HT$85:$IQ$89,$HT$92:$IQ$96,$HT$99:$IQ$103),MATCH($L$110,$EK$85:$EK$89,0),MATCH($A99,$EL$84:$FI$84,0),MATCH($G$99,$AE$24:$AE$32,0))*$C99</f>
        <v>0</v>
      </c>
      <c r="Y97" s="189">
        <f>INDEX(($EL$85:$FI$89,$EL$93:$FI$97,$FL$85:$GI$89,$FL$93:$GI$97,$GS$85:$HP$89,$GS$92:$HP$96,$HT$85:$IQ$89,$HT$92:$IQ$96,$HT$99:$IQ$103),MATCH($L$111,$EK$85:$EK$89,0),MATCH($A99,$EL$84:$FI$84,0),MATCH($G$99,$AE$24:$AE$32,0))*$C99</f>
        <v>0</v>
      </c>
      <c r="Z97" s="189">
        <f>INDEX(($EL$85:$FI$89,$EL$93:$FI$97,$FL$85:$GI$89,$FL$93:$GI$97,$GS$85:$HP$89,$GS$92:$HP$96,$HT$85:$IQ$89,$HT$92:$IQ$96,$HT$99:$IQ$103),MATCH($L$112,$EK$85:$EK$89,0),MATCH($A99,$EL$84:$FI$84,0),MATCH($G$99,$AE$24:$AE$32,0))*$C99</f>
        <v>0</v>
      </c>
      <c r="AA97" s="21">
        <f t="shared" si="151"/>
        <v>0</v>
      </c>
      <c r="AB97" s="21">
        <f t="shared" si="147"/>
        <v>0</v>
      </c>
      <c r="AD97" s="21"/>
      <c r="AE97" s="21"/>
      <c r="AF97" s="21"/>
      <c r="AG97" s="21"/>
      <c r="AH97" s="21">
        <v>30</v>
      </c>
      <c r="AI97" s="21" t="s">
        <v>735</v>
      </c>
      <c r="AJ97" s="21" t="s">
        <v>736</v>
      </c>
      <c r="AK97" s="21" t="s">
        <v>737</v>
      </c>
      <c r="AL97" s="21" t="s">
        <v>738</v>
      </c>
      <c r="AM97" s="21"/>
      <c r="AN97" s="21"/>
      <c r="AO97" s="21">
        <f t="shared" si="148"/>
        <v>1</v>
      </c>
      <c r="AP97" s="21" t="s">
        <v>833</v>
      </c>
      <c r="AQ97" s="21" t="s">
        <v>596</v>
      </c>
      <c r="AR97" s="21" t="s">
        <v>595</v>
      </c>
      <c r="AS97" s="21" t="s">
        <v>593</v>
      </c>
      <c r="AT97" s="21" t="s">
        <v>593</v>
      </c>
      <c r="AU97" s="21"/>
      <c r="BG97" s="21"/>
      <c r="BH97" s="21"/>
      <c r="BI97" s="21"/>
      <c r="BJ97" s="21"/>
      <c r="BK97" s="21"/>
      <c r="BL97" s="21"/>
      <c r="BM97" s="21"/>
      <c r="BN97" s="21"/>
      <c r="BO97" s="21"/>
      <c r="BP97" s="21"/>
      <c r="BQ97" s="21"/>
      <c r="BR97" s="21"/>
      <c r="BS97" s="21"/>
      <c r="BT97" s="21"/>
      <c r="BU97" s="21"/>
      <c r="BV97" s="21"/>
      <c r="BW97" s="21"/>
      <c r="BX97" s="21"/>
      <c r="BY97" s="21"/>
      <c r="BZ97" s="21"/>
      <c r="CA97" s="21"/>
      <c r="CB97" s="21"/>
      <c r="CC97" s="21"/>
      <c r="CD97" s="21"/>
      <c r="CE97" s="21"/>
      <c r="CF97" s="21"/>
      <c r="CG97" s="21"/>
      <c r="CH97" s="21"/>
      <c r="CI97" s="21"/>
      <c r="CJ97" s="21"/>
      <c r="CK97" s="21"/>
      <c r="CL97" s="21"/>
      <c r="CM97" s="21"/>
      <c r="CN97" s="21"/>
      <c r="CO97" s="21"/>
      <c r="CP97" s="21"/>
      <c r="CQ97" s="21"/>
      <c r="CR97" s="21"/>
      <c r="CS97" s="21"/>
      <c r="CT97" s="21"/>
      <c r="CU97" s="21"/>
      <c r="CV97" s="21"/>
      <c r="CW97" s="21"/>
      <c r="CX97" s="21"/>
      <c r="CY97" s="21"/>
      <c r="CZ97" s="21"/>
      <c r="DA97" s="21"/>
      <c r="DB97" s="21"/>
      <c r="DC97" s="21"/>
      <c r="DD97" s="21"/>
      <c r="DE97" s="21"/>
      <c r="DF97" s="21"/>
      <c r="DG97" s="21"/>
      <c r="DH97" s="21"/>
      <c r="DI97" s="21"/>
      <c r="DJ97" s="21"/>
      <c r="DK97" s="21"/>
      <c r="DL97" s="21"/>
      <c r="DM97" s="21"/>
      <c r="DN97" s="21"/>
      <c r="DO97" s="21"/>
      <c r="DP97" s="21"/>
      <c r="DQ97" s="87"/>
      <c r="DR97" s="87">
        <v>32</v>
      </c>
      <c r="DS97" s="87"/>
      <c r="DT97" s="21"/>
      <c r="DU97" s="21"/>
      <c r="DV97" s="21"/>
      <c r="DW97" s="21"/>
      <c r="DX97" s="21"/>
      <c r="DY97" s="21"/>
      <c r="DZ97" s="21"/>
      <c r="EA97" s="21"/>
      <c r="EB97" s="21"/>
      <c r="EC97" s="21"/>
      <c r="ED97" s="21"/>
      <c r="EE97" s="21"/>
      <c r="EF97" s="21"/>
      <c r="EG97" s="21"/>
      <c r="EH97" s="21"/>
      <c r="EI97" s="21"/>
      <c r="EJ97" s="196"/>
      <c r="EK97" s="21" t="s">
        <v>700</v>
      </c>
      <c r="EL97" s="21">
        <v>0</v>
      </c>
      <c r="EM97" s="21">
        <v>0</v>
      </c>
      <c r="EN97" s="21">
        <v>0</v>
      </c>
      <c r="EO97" s="21">
        <v>0</v>
      </c>
      <c r="EP97" s="21">
        <v>4</v>
      </c>
      <c r="EQ97" s="21">
        <v>4</v>
      </c>
      <c r="ER97" s="21">
        <v>8</v>
      </c>
      <c r="ES97" s="21">
        <v>8</v>
      </c>
      <c r="ET97" s="21">
        <v>8</v>
      </c>
      <c r="EU97" s="21">
        <v>8</v>
      </c>
      <c r="EV97" s="21">
        <v>12</v>
      </c>
      <c r="EW97" s="21">
        <v>12</v>
      </c>
      <c r="EX97" s="21">
        <v>12</v>
      </c>
      <c r="EY97" s="21">
        <v>16</v>
      </c>
      <c r="EZ97" s="21">
        <v>16</v>
      </c>
      <c r="FA97" s="21">
        <v>16</v>
      </c>
      <c r="FB97" s="21">
        <v>20</v>
      </c>
      <c r="FC97" s="21">
        <v>20</v>
      </c>
      <c r="FD97" s="21">
        <v>20</v>
      </c>
      <c r="FE97" s="21">
        <v>24</v>
      </c>
      <c r="FF97" s="21">
        <v>24</v>
      </c>
      <c r="FG97" s="21">
        <v>24</v>
      </c>
      <c r="FH97" s="21">
        <v>28</v>
      </c>
      <c r="FI97" s="21">
        <v>28</v>
      </c>
      <c r="FJ97" s="21"/>
      <c r="FK97" s="21" t="s">
        <v>700</v>
      </c>
      <c r="FL97" s="21">
        <v>0</v>
      </c>
      <c r="FM97" s="21">
        <v>0</v>
      </c>
      <c r="FN97" s="21">
        <v>0</v>
      </c>
      <c r="FO97" s="21">
        <v>0</v>
      </c>
      <c r="FP97" s="21">
        <v>4</v>
      </c>
      <c r="FQ97" s="21">
        <v>4</v>
      </c>
      <c r="FR97" s="21">
        <v>8</v>
      </c>
      <c r="FS97" s="21">
        <v>8</v>
      </c>
      <c r="FT97" s="21">
        <v>8</v>
      </c>
      <c r="FU97" s="21">
        <v>12</v>
      </c>
      <c r="FV97" s="21">
        <v>12</v>
      </c>
      <c r="FW97" s="21">
        <v>12</v>
      </c>
      <c r="FX97" s="21">
        <v>16</v>
      </c>
      <c r="FY97" s="21">
        <v>16</v>
      </c>
      <c r="FZ97" s="21">
        <v>20</v>
      </c>
      <c r="GA97" s="21">
        <v>20</v>
      </c>
      <c r="GB97" s="21">
        <v>20</v>
      </c>
      <c r="GC97" s="21">
        <v>24</v>
      </c>
      <c r="GD97" s="21">
        <v>24</v>
      </c>
      <c r="GE97" s="21">
        <v>24</v>
      </c>
      <c r="GF97" s="21">
        <v>28</v>
      </c>
      <c r="GG97" s="21">
        <v>28</v>
      </c>
      <c r="GH97" s="21">
        <v>28</v>
      </c>
      <c r="GI97" s="21">
        <v>32</v>
      </c>
      <c r="GJ97" s="21"/>
      <c r="GK97" s="21"/>
      <c r="GL97" s="21"/>
      <c r="GM97" s="21"/>
      <c r="GN97" s="21"/>
      <c r="GO97" s="21"/>
      <c r="GP97" s="21"/>
      <c r="GQ97" s="21"/>
      <c r="GR97" s="21"/>
      <c r="GS97" s="21"/>
      <c r="GT97" s="21"/>
      <c r="GU97" s="21"/>
      <c r="GV97" s="21"/>
      <c r="GW97" s="21"/>
      <c r="GX97" s="21"/>
      <c r="GY97" s="21"/>
      <c r="GZ97" s="21"/>
      <c r="HA97" s="21"/>
      <c r="HB97" s="21"/>
      <c r="HC97" s="21"/>
      <c r="HD97" s="21"/>
      <c r="HE97" s="21"/>
      <c r="HF97" s="21"/>
      <c r="HG97" s="21"/>
      <c r="HH97" s="21"/>
      <c r="IT97" s="198"/>
    </row>
    <row r="98" spans="1:254" x14ac:dyDescent="0.25">
      <c r="A98" s="8"/>
      <c r="B98" s="5" t="s">
        <v>116</v>
      </c>
      <c r="C98" s="8"/>
      <c r="D98" s="9"/>
      <c r="E98" s="1"/>
      <c r="F98" s="9"/>
      <c r="G98" s="9"/>
      <c r="H98" s="9"/>
      <c r="I98" s="9"/>
      <c r="J98" s="9"/>
      <c r="K98" s="9"/>
      <c r="L98" s="5" t="s">
        <v>103</v>
      </c>
      <c r="M98" s="5" t="s">
        <v>104</v>
      </c>
      <c r="N98" s="5" t="s">
        <v>107</v>
      </c>
      <c r="O98" s="5" t="s">
        <v>290</v>
      </c>
      <c r="P98" s="5" t="s">
        <v>446</v>
      </c>
      <c r="Q98" s="5" t="s">
        <v>448</v>
      </c>
      <c r="R98" s="5" t="s">
        <v>409</v>
      </c>
      <c r="S98" s="5" t="s">
        <v>447</v>
      </c>
      <c r="T98" s="5" t="s">
        <v>449</v>
      </c>
      <c r="U98" s="5" t="s">
        <v>106</v>
      </c>
      <c r="V98" s="25"/>
      <c r="W98" s="189">
        <f>INDEX(($EL$85:$FI$89,$EL$93:$FI$97,$FL$85:$GI$89,$FL$93:$GI$97,$GS$85:$HP$89,$GS$92:$HP$96,$HT$85:$IQ$89,$HT$92:$IQ$96,$HT$99:$IQ$103),MATCH($L$113,$EK$85:$EK$89,0),MATCH($A100,$EL$84:$FI$84,0),MATCH($G$99,$AE$24:$AE$32,0))*$C100</f>
        <v>0</v>
      </c>
      <c r="X98" s="189">
        <f>INDEX(($EL$85:$FI$89,$EL$93:$FI$97,$FL$85:$GI$89,$FL$93:$GI$97,$GS$85:$HP$89,$GS$92:$HP$96,$HT$85:$IQ$89,$HT$92:$IQ$96,$HT$99:$IQ$103),MATCH($L$110,$EK$85:$EK$89,0),MATCH($A100,$EL$84:$FI$84,0),MATCH($G$99,$AE$24:$AE$32,0))*$C100</f>
        <v>0</v>
      </c>
      <c r="Y98" s="189">
        <f>INDEX(($EL$85:$FI$89,$EL$93:$FI$97,$FL$85:$GI$89,$FL$93:$GI$97,$GS$85:$HP$89,$GS$92:$HP$96,$HT$85:$IQ$89,$HT$92:$IQ$96,$HT$99:$IQ$103),MATCH($L$111,$EK$85:$EK$89,0),MATCH($A100,$EL$84:$FI$84,0),MATCH($G$99,$AE$24:$AE$32,0))*$C100</f>
        <v>0</v>
      </c>
      <c r="Z98" s="189">
        <f>INDEX(($EL$85:$FI$89,$EL$93:$FI$97,$FL$85:$GI$89,$FL$93:$GI$97,$GS$85:$HP$89,$GS$92:$HP$96,$HT$85:$IQ$89,$HT$92:$IQ$96,$HT$99:$IQ$103),MATCH($L$112,$EK$85:$EK$89,0),MATCH($A100,$EL$84:$FI$84,0),MATCH($G$99,$AE$24:$AE$32,0))*$C100</f>
        <v>0</v>
      </c>
      <c r="AA98" s="21">
        <f t="shared" si="151"/>
        <v>0</v>
      </c>
      <c r="AB98" s="21">
        <f t="shared" si="147"/>
        <v>0</v>
      </c>
      <c r="AD98" s="21"/>
      <c r="AE98" s="21"/>
      <c r="AF98" s="21"/>
      <c r="AG98" s="21"/>
      <c r="AH98" s="21"/>
      <c r="AI98" s="21"/>
      <c r="AJ98" s="21"/>
      <c r="AK98" s="21"/>
      <c r="AL98" s="21"/>
      <c r="AM98" s="21"/>
      <c r="AN98" s="21"/>
      <c r="AO98" s="21">
        <f t="shared" si="148"/>
        <v>1</v>
      </c>
      <c r="AU98" s="21"/>
      <c r="BG98" s="21"/>
      <c r="BH98" s="21"/>
      <c r="BI98" s="21"/>
      <c r="BJ98" s="21"/>
      <c r="BK98" s="21"/>
      <c r="BL98" s="21"/>
      <c r="BM98" s="21"/>
      <c r="BN98" s="21"/>
      <c r="BO98" s="21"/>
      <c r="BP98" s="21"/>
      <c r="BQ98" s="21"/>
      <c r="BR98" s="21"/>
      <c r="BS98" s="21"/>
      <c r="BT98" s="21"/>
      <c r="BU98" s="21"/>
      <c r="BV98" s="21"/>
      <c r="BW98" s="21"/>
      <c r="BX98" s="21"/>
      <c r="BY98" s="21"/>
      <c r="BZ98" s="21"/>
      <c r="CA98" s="21"/>
      <c r="CB98" s="21"/>
      <c r="CC98" s="21"/>
      <c r="CD98" s="21"/>
      <c r="CE98" s="21"/>
      <c r="CF98" s="21"/>
      <c r="CG98" s="21"/>
      <c r="CH98" s="21"/>
      <c r="CI98" s="21"/>
      <c r="CJ98" s="21"/>
      <c r="CK98" s="21"/>
      <c r="CL98" s="21"/>
      <c r="CM98" s="21"/>
      <c r="CN98" s="21"/>
      <c r="CO98" s="21"/>
      <c r="CP98" s="21"/>
      <c r="CQ98" s="21"/>
      <c r="CR98" s="21"/>
      <c r="CS98" s="21"/>
      <c r="CT98" s="21"/>
      <c r="CU98" s="21"/>
      <c r="CV98" s="21"/>
      <c r="CW98" s="21"/>
      <c r="CX98" s="21"/>
      <c r="CY98" s="21"/>
      <c r="CZ98" s="21"/>
      <c r="DA98" s="21"/>
      <c r="DB98" s="21"/>
      <c r="DC98" s="21"/>
      <c r="DD98" s="21"/>
      <c r="DE98" s="21"/>
      <c r="DF98" s="21"/>
      <c r="DG98" s="21"/>
      <c r="DH98" s="21"/>
      <c r="DI98" s="21"/>
      <c r="DJ98" s="21"/>
      <c r="DK98" s="21"/>
      <c r="DL98" s="21"/>
      <c r="DM98" s="21"/>
      <c r="DN98" s="21"/>
      <c r="DO98" s="21"/>
      <c r="DP98" s="21"/>
      <c r="DQ98" s="87"/>
      <c r="DR98" s="87">
        <v>34</v>
      </c>
      <c r="DS98" s="87"/>
      <c r="DT98" s="21"/>
      <c r="DU98" s="21"/>
      <c r="DV98" s="21"/>
      <c r="DW98" s="21"/>
      <c r="DX98" s="21"/>
      <c r="DY98" s="21"/>
      <c r="DZ98" s="21"/>
      <c r="EA98" s="21"/>
      <c r="EB98" s="21"/>
      <c r="EC98" s="21"/>
      <c r="ED98" s="21"/>
      <c r="EE98" s="21"/>
      <c r="EF98" s="21"/>
      <c r="EG98" s="21"/>
      <c r="EH98" s="21"/>
      <c r="EI98" s="21"/>
      <c r="EJ98" s="196"/>
      <c r="EK98" s="21"/>
      <c r="EL98" s="21"/>
      <c r="EM98" s="21"/>
      <c r="EN98" s="21"/>
      <c r="EO98" s="21"/>
      <c r="EP98" s="21"/>
      <c r="EQ98" s="21"/>
      <c r="ER98" s="21"/>
      <c r="ES98" s="21"/>
      <c r="ET98" s="21"/>
      <c r="EU98" s="21"/>
      <c r="EV98" s="21"/>
      <c r="EW98" s="21"/>
      <c r="EX98" s="21"/>
      <c r="EY98" s="21"/>
      <c r="EZ98" s="21"/>
      <c r="FA98" s="21"/>
      <c r="FB98" s="21"/>
      <c r="FC98" s="21"/>
      <c r="FD98" s="21"/>
      <c r="FE98" s="21"/>
      <c r="FF98" s="21"/>
      <c r="FG98" s="21"/>
      <c r="FH98" s="21"/>
      <c r="FI98" s="21"/>
      <c r="FJ98" s="21"/>
      <c r="FK98" s="21"/>
      <c r="FL98" s="21"/>
      <c r="FM98" s="21"/>
      <c r="FN98" s="21"/>
      <c r="FO98" s="21"/>
      <c r="FP98" s="21"/>
      <c r="FQ98" s="21"/>
      <c r="FR98" s="21"/>
      <c r="FS98" s="21"/>
      <c r="FT98" s="21"/>
      <c r="FU98" s="21"/>
      <c r="FV98" s="21"/>
      <c r="FW98" s="21"/>
      <c r="FX98" s="21"/>
      <c r="FY98" s="21"/>
      <c r="FZ98" s="21"/>
      <c r="GA98" s="21"/>
      <c r="GB98" s="21"/>
      <c r="GC98" s="21"/>
      <c r="GD98" s="21"/>
      <c r="GE98" s="21"/>
      <c r="GF98" s="21"/>
      <c r="GG98" s="21"/>
      <c r="GH98" s="21"/>
      <c r="GI98" s="21"/>
      <c r="GJ98" s="21"/>
      <c r="GK98" s="21"/>
      <c r="GL98" s="21"/>
      <c r="GM98" s="21"/>
      <c r="GN98" s="21"/>
      <c r="GO98" s="21"/>
      <c r="GP98" s="21"/>
      <c r="GQ98" s="21"/>
      <c r="GR98" s="21"/>
      <c r="GS98" s="21"/>
      <c r="GT98" s="21"/>
      <c r="GU98" s="21"/>
      <c r="GV98" s="21"/>
      <c r="GW98" s="21"/>
      <c r="GX98" s="21"/>
      <c r="GY98" s="21"/>
      <c r="GZ98" s="21"/>
      <c r="HA98" s="21"/>
      <c r="HB98" s="21"/>
      <c r="HC98" s="21"/>
      <c r="HD98" s="21"/>
      <c r="HE98" s="21"/>
      <c r="HF98" s="21"/>
      <c r="HG98" s="21"/>
      <c r="HH98" s="21"/>
      <c r="HS98" s="180" t="s">
        <v>767</v>
      </c>
      <c r="HT98" s="180">
        <v>0</v>
      </c>
      <c r="HU98" s="180">
        <v>6</v>
      </c>
      <c r="HV98" s="180">
        <v>8</v>
      </c>
      <c r="HW98" s="180">
        <v>10</v>
      </c>
      <c r="HX98" s="180">
        <v>12</v>
      </c>
      <c r="HY98" s="180">
        <v>14</v>
      </c>
      <c r="HZ98" s="180">
        <v>16</v>
      </c>
      <c r="IA98" s="180">
        <v>18</v>
      </c>
      <c r="IB98" s="180">
        <v>20</v>
      </c>
      <c r="IC98" s="180">
        <v>22</v>
      </c>
      <c r="ID98" s="180">
        <v>24</v>
      </c>
      <c r="IE98" s="180">
        <v>26</v>
      </c>
      <c r="IF98" s="180">
        <v>28</v>
      </c>
      <c r="IG98" s="180">
        <v>30</v>
      </c>
      <c r="IH98" s="180">
        <v>32</v>
      </c>
      <c r="II98" s="180">
        <v>34</v>
      </c>
      <c r="IJ98" s="180">
        <v>36</v>
      </c>
      <c r="IK98" s="180">
        <v>38</v>
      </c>
      <c r="IL98" s="180">
        <v>40</v>
      </c>
      <c r="IM98" s="180">
        <v>42</v>
      </c>
      <c r="IN98" s="180">
        <v>44</v>
      </c>
      <c r="IO98" s="180">
        <v>46</v>
      </c>
      <c r="IP98" s="180">
        <v>48</v>
      </c>
      <c r="IQ98" s="180">
        <v>50</v>
      </c>
      <c r="IT98" s="198"/>
    </row>
    <row r="99" spans="1:254" x14ac:dyDescent="0.25">
      <c r="A99" s="8"/>
      <c r="B99" s="5" t="s">
        <v>116</v>
      </c>
      <c r="C99" s="8"/>
      <c r="D99" s="6" t="s">
        <v>118</v>
      </c>
      <c r="E99" s="8" t="s">
        <v>507</v>
      </c>
      <c r="F99" s="5" t="s">
        <v>116</v>
      </c>
      <c r="G99" s="8" t="s">
        <v>480</v>
      </c>
      <c r="H99" s="5" t="s">
        <v>116</v>
      </c>
      <c r="I99" s="8">
        <v>35</v>
      </c>
      <c r="J99" s="5" t="s">
        <v>119</v>
      </c>
      <c r="K99" s="9"/>
      <c r="L99" s="7" t="str">
        <f>IF(E101=$AC$5,"-------",IF(E101=$AC$6,"-------",IF(E101=$AC$7,"-------",IF(E101=$AC$8,IF(E110=$DS$10,"GSW76X1600N",IF(E110=$DS$11,"GSW76X2200N","")),0))))</f>
        <v>-------</v>
      </c>
      <c r="M99" s="11" t="str">
        <f>INDEX(cennik!$C$2:$L$529,MATCH($L99,cennik!$B$2:$B$522,0),MATCH(M$2,cennik!$C$1:$L$1,0))</f>
        <v>-------</v>
      </c>
      <c r="N99" s="11">
        <f>INDEX(cennik!$C$2:$L$529,MATCH($L99,cennik!$B$2:$B$522,0),MATCH(N$2,cennik!$C$1:$L$1,0))</f>
        <v>0</v>
      </c>
      <c r="O99" s="11">
        <f>IF(L99="-------",0,SUM(O101:O102))</f>
        <v>0</v>
      </c>
      <c r="P99" s="34">
        <f>INDEX(cennik!$C$2:$L$529,MATCH($L99,cennik!$B$2:$B$522,0),MATCH(P$2,cennik!$C$1:$L$1,0))</f>
        <v>0</v>
      </c>
      <c r="Q99" s="34">
        <f>O99*P99</f>
        <v>0</v>
      </c>
      <c r="R99" s="35">
        <f t="shared" ref="R99:R124" si="156">$E$103</f>
        <v>0</v>
      </c>
      <c r="S99" s="34">
        <f t="shared" ref="S99:S124" si="157">P99*((100-$E$103)/100)</f>
        <v>0</v>
      </c>
      <c r="T99" s="34">
        <f>O99*S99</f>
        <v>0</v>
      </c>
      <c r="U99" s="34">
        <f>INDEX(cennik!$C$2:$L$529,MATCH($L99,cennik!$B$2:$B$522,0),MATCH(U$2,cennik!$C$1:$L$1,0))*O99</f>
        <v>0</v>
      </c>
      <c r="V99" s="25"/>
      <c r="W99" s="189">
        <f>INDEX(($EL$85:$FI$89,$EL$93:$FI$97,$FL$85:$GI$89,$FL$93:$GI$97,$GS$85:$HP$89,$GS$92:$HP$96,$HT$85:$IQ$89,$HT$92:$IQ$96,$HT$99:$IQ$103),MATCH($L$113,$EK$85:$EK$89,0),MATCH($A101,$EL$84:$FI$84,0),MATCH($G$99,$AE$24:$AE$32,0))*$C101</f>
        <v>0</v>
      </c>
      <c r="X99" s="189">
        <f>INDEX(($EL$85:$FI$89,$EL$93:$FI$97,$FL$85:$GI$89,$FL$93:$GI$97,$GS$85:$HP$89,$GS$92:$HP$96,$HT$85:$IQ$89,$HT$92:$IQ$96,$HT$99:$IQ$103),MATCH($L$110,$EK$85:$EK$89,0),MATCH($A101,$EL$84:$FI$84,0),MATCH($G$99,$AE$24:$AE$32,0))*$C101</f>
        <v>0</v>
      </c>
      <c r="Y99" s="189">
        <f>INDEX(($EL$85:$FI$89,$EL$93:$FI$97,$FL$85:$GI$89,$FL$93:$GI$97,$GS$85:$HP$89,$GS$92:$HP$96,$HT$85:$IQ$89,$HT$92:$IQ$96,$HT$99:$IQ$103),MATCH($L$111,$EK$85:$EK$89,0),MATCH($A101,$EL$84:$FI$84,0),MATCH($G$99,$AE$24:$AE$32,0))*$C101</f>
        <v>0</v>
      </c>
      <c r="Z99" s="189">
        <f>INDEX(($EL$85:$FI$89,$EL$93:$FI$97,$FL$85:$GI$89,$FL$93:$GI$97,$GS$85:$HP$89,$GS$92:$HP$96,$HT$85:$IQ$89,$HT$92:$IQ$96,$HT$99:$IQ$103),MATCH($L$112,$EK$85:$EK$89,0),MATCH($A101,$EL$84:$FI$84,0),MATCH($G$99,$AE$24:$AE$32,0))*$C101</f>
        <v>0</v>
      </c>
      <c r="AA99" s="21">
        <f t="shared" si="151"/>
        <v>0</v>
      </c>
      <c r="AB99" s="21">
        <f t="shared" si="147"/>
        <v>0</v>
      </c>
      <c r="AC99" s="21"/>
      <c r="AD99" s="21"/>
      <c r="AE99" s="21"/>
      <c r="AF99" s="21"/>
      <c r="AG99" s="21"/>
      <c r="AH99" s="21"/>
      <c r="AI99" s="21"/>
      <c r="AJ99" s="21"/>
      <c r="AK99" s="21"/>
      <c r="AL99" s="21"/>
      <c r="AM99" s="21"/>
      <c r="AN99" s="21"/>
      <c r="AO99" s="21">
        <f t="shared" si="148"/>
        <v>1</v>
      </c>
      <c r="AP99" s="186" t="s">
        <v>730</v>
      </c>
      <c r="AQ99" s="21"/>
      <c r="AR99" s="21"/>
      <c r="AS99" s="21"/>
      <c r="AT99" s="21"/>
      <c r="AU99" s="21"/>
      <c r="AV99" s="186" t="s">
        <v>843</v>
      </c>
      <c r="BG99" s="21"/>
      <c r="BH99" s="21"/>
      <c r="BI99" s="21"/>
      <c r="BJ99" s="21"/>
      <c r="BK99" s="21"/>
      <c r="BL99" s="21"/>
      <c r="BM99" s="21"/>
      <c r="BN99" s="21"/>
      <c r="BO99" s="21"/>
      <c r="BP99" s="21"/>
      <c r="BQ99" s="21"/>
      <c r="BR99" s="21"/>
      <c r="BS99" s="21"/>
      <c r="BT99" s="21"/>
      <c r="BU99" s="21"/>
      <c r="BV99" s="21"/>
      <c r="BW99" s="21"/>
      <c r="BX99" s="21"/>
      <c r="BY99" s="21"/>
      <c r="BZ99" s="21"/>
      <c r="CA99" s="21"/>
      <c r="CB99" s="21"/>
      <c r="CC99" s="21"/>
      <c r="CD99" s="21"/>
      <c r="CE99" s="21"/>
      <c r="CF99" s="21"/>
      <c r="CG99" s="21"/>
      <c r="CH99" s="21"/>
      <c r="CI99" s="21"/>
      <c r="CJ99" s="21"/>
      <c r="CK99" s="21"/>
      <c r="CL99" s="21"/>
      <c r="CM99" s="21"/>
      <c r="CN99" s="21"/>
      <c r="CO99" s="21"/>
      <c r="CP99" s="21"/>
      <c r="CQ99" s="21"/>
      <c r="CR99" s="21"/>
      <c r="CS99" s="21"/>
      <c r="CT99" s="21"/>
      <c r="CU99" s="21"/>
      <c r="CV99" s="21"/>
      <c r="CW99" s="21"/>
      <c r="CX99" s="21"/>
      <c r="CY99" s="21"/>
      <c r="CZ99" s="21"/>
      <c r="DA99" s="21"/>
      <c r="DB99" s="21"/>
      <c r="DC99" s="21"/>
      <c r="DD99" s="21"/>
      <c r="DE99" s="21"/>
      <c r="DF99" s="21"/>
      <c r="DG99" s="21"/>
      <c r="DH99" s="21"/>
      <c r="DI99" s="21"/>
      <c r="DJ99" s="21"/>
      <c r="DK99" s="21"/>
      <c r="DL99" s="21"/>
      <c r="DM99" s="21"/>
      <c r="DN99" s="21"/>
      <c r="DO99" s="21"/>
      <c r="DP99" s="21"/>
      <c r="DQ99" s="87"/>
      <c r="DR99" s="87">
        <v>36</v>
      </c>
      <c r="DS99" s="87"/>
      <c r="DT99" s="21"/>
      <c r="DU99" s="21"/>
      <c r="DV99" s="21"/>
      <c r="DW99" s="21"/>
      <c r="DX99" s="21"/>
      <c r="DY99" s="21"/>
      <c r="DZ99" s="21"/>
      <c r="EA99" s="21"/>
      <c r="EB99" s="21"/>
      <c r="EC99" s="21"/>
      <c r="ED99" s="21"/>
      <c r="EE99" s="21"/>
      <c r="EF99" s="21"/>
      <c r="EG99" s="21"/>
      <c r="EH99" s="21"/>
      <c r="EI99" s="21"/>
      <c r="EJ99" s="196"/>
      <c r="EK99" s="21"/>
      <c r="EL99" s="21"/>
      <c r="EM99" s="21"/>
      <c r="EN99" s="21"/>
      <c r="EO99" s="21"/>
      <c r="EP99" s="21"/>
      <c r="EQ99" s="21"/>
      <c r="ER99" s="21"/>
      <c r="ES99" s="21"/>
      <c r="ET99" s="21"/>
      <c r="EU99" s="21"/>
      <c r="EV99" s="21"/>
      <c r="EW99" s="21"/>
      <c r="EX99" s="21"/>
      <c r="EY99" s="21"/>
      <c r="EZ99" s="21"/>
      <c r="FA99" s="21"/>
      <c r="FB99" s="21"/>
      <c r="FC99" s="21"/>
      <c r="FD99" s="21"/>
      <c r="FE99" s="21"/>
      <c r="FF99" s="21"/>
      <c r="FG99" s="21"/>
      <c r="FH99" s="21"/>
      <c r="FI99" s="21"/>
      <c r="FJ99" s="21"/>
      <c r="FK99" s="21"/>
      <c r="FL99" s="21"/>
      <c r="FM99" s="21"/>
      <c r="FN99" s="21"/>
      <c r="FO99" s="21"/>
      <c r="FP99" s="21"/>
      <c r="FQ99" s="21"/>
      <c r="FR99" s="21"/>
      <c r="FS99" s="21"/>
      <c r="FT99" s="21"/>
      <c r="FU99" s="21"/>
      <c r="FV99" s="21"/>
      <c r="FW99" s="21"/>
      <c r="FX99" s="21"/>
      <c r="FY99" s="21"/>
      <c r="FZ99" s="21"/>
      <c r="GA99" s="21"/>
      <c r="GB99" s="21"/>
      <c r="GC99" s="21"/>
      <c r="GD99" s="21"/>
      <c r="GE99" s="21"/>
      <c r="GF99" s="21"/>
      <c r="GG99" s="21"/>
      <c r="GH99" s="21"/>
      <c r="GI99" s="21"/>
      <c r="GJ99" s="21"/>
      <c r="GK99" s="21"/>
      <c r="GL99" s="21"/>
      <c r="GM99" s="21"/>
      <c r="GN99" s="21"/>
      <c r="GO99" s="21"/>
      <c r="GP99" s="21"/>
      <c r="GQ99" s="21"/>
      <c r="GR99" s="21"/>
      <c r="GS99" s="21"/>
      <c r="GT99" s="21"/>
      <c r="GU99" s="21"/>
      <c r="GV99" s="21"/>
      <c r="GW99" s="21"/>
      <c r="GX99" s="21"/>
      <c r="GY99" s="21"/>
      <c r="GZ99" s="21"/>
      <c r="HA99" s="21"/>
      <c r="HB99" s="21"/>
      <c r="HC99" s="21"/>
      <c r="HD99" s="21"/>
      <c r="HE99" s="21"/>
      <c r="HF99" s="21"/>
      <c r="HG99" s="21"/>
      <c r="HH99" s="21"/>
      <c r="HS99" s="180" t="s">
        <v>586</v>
      </c>
      <c r="HT99" s="180">
        <v>0</v>
      </c>
      <c r="HU99" s="180">
        <v>0</v>
      </c>
      <c r="HV99" s="180">
        <v>4</v>
      </c>
      <c r="HW99" s="180">
        <v>0</v>
      </c>
      <c r="HX99" s="180">
        <v>0</v>
      </c>
      <c r="HY99" s="180">
        <v>0</v>
      </c>
      <c r="HZ99" s="180">
        <v>0</v>
      </c>
      <c r="IA99" s="180">
        <v>0</v>
      </c>
      <c r="IB99" s="180">
        <v>0</v>
      </c>
      <c r="IC99" s="180">
        <v>0</v>
      </c>
      <c r="ID99" s="180">
        <v>0</v>
      </c>
      <c r="IE99" s="180">
        <v>0</v>
      </c>
      <c r="IF99" s="180">
        <v>0</v>
      </c>
      <c r="IG99" s="180">
        <v>0</v>
      </c>
      <c r="IH99" s="180">
        <v>0</v>
      </c>
      <c r="II99" s="180">
        <v>0</v>
      </c>
      <c r="IJ99" s="180">
        <v>0</v>
      </c>
      <c r="IK99" s="180">
        <v>0</v>
      </c>
      <c r="IL99" s="180">
        <v>0</v>
      </c>
      <c r="IM99" s="180">
        <v>0</v>
      </c>
      <c r="IN99" s="180">
        <v>0</v>
      </c>
      <c r="IO99" s="180">
        <v>0</v>
      </c>
      <c r="IP99" s="180">
        <v>0</v>
      </c>
      <c r="IQ99" s="180">
        <v>0</v>
      </c>
      <c r="IT99" s="198"/>
    </row>
    <row r="100" spans="1:254" x14ac:dyDescent="0.25">
      <c r="A100" s="8"/>
      <c r="B100" s="5" t="s">
        <v>116</v>
      </c>
      <c r="C100" s="8"/>
      <c r="D100" s="6" t="s">
        <v>124</v>
      </c>
      <c r="E100" s="8" t="s">
        <v>125</v>
      </c>
      <c r="F100" s="5"/>
      <c r="G100" s="5"/>
      <c r="H100" s="5"/>
      <c r="I100" s="5"/>
      <c r="J100" s="5"/>
      <c r="K100" s="9"/>
      <c r="L100" s="7" t="str">
        <f>IF(E101=$AC$5,"-------",IF(E101=$AC$6,"-------",IF(E101=$AC$7,"PCB70",IF(E101=$AC$8,"PCS70",0))))</f>
        <v>-------</v>
      </c>
      <c r="M100" s="11" t="str">
        <f>INDEX(cennik!$C$2:$L$529,MATCH($L100,cennik!$B$2:$B$522,0),MATCH(M$2,cennik!$C$1:$L$1,0))</f>
        <v>-------</v>
      </c>
      <c r="N100" s="11">
        <f>INDEX(cennik!$C$2:$L$529,MATCH($L100,cennik!$B$2:$B$522,0),MATCH(N$2,cennik!$C$1:$L$1,0))</f>
        <v>0</v>
      </c>
      <c r="O100" s="11">
        <f>IF(E101=AC7,SUM(O101:O102),IF(E101=AC8,SUM(O101:O102),IF(E101=AC5,0,IF(E101=AC6,0,0))))</f>
        <v>0</v>
      </c>
      <c r="P100" s="34">
        <f>INDEX(cennik!$C$2:$L$529,MATCH($L100,cennik!$B$2:$B$522,0),MATCH(P$2,cennik!$C$1:$L$1,0))</f>
        <v>0</v>
      </c>
      <c r="Q100" s="34">
        <f t="shared" ref="Q100:Q104" si="158">O100*P100</f>
        <v>0</v>
      </c>
      <c r="R100" s="35">
        <f t="shared" si="156"/>
        <v>0</v>
      </c>
      <c r="S100" s="34">
        <f t="shared" si="157"/>
        <v>0</v>
      </c>
      <c r="T100" s="34">
        <f>O100*S100</f>
        <v>0</v>
      </c>
      <c r="U100" s="34">
        <f>INDEX(cennik!$C$2:$L$529,MATCH($L100,cennik!$B$2:$B$522,0),MATCH(U$2,cennik!$C$1:$L$1,0))*O100</f>
        <v>0</v>
      </c>
      <c r="V100" s="25"/>
      <c r="W100" s="189">
        <f>INDEX(($EL$85:$FI$89,$EL$93:$FI$97,$FL$85:$GI$89,$FL$93:$GI$97,$GS$85:$HP$89,$GS$92:$HP$96,$HT$85:$IQ$89,$HT$92:$IQ$96,$HT$99:$IQ$103),MATCH($L$113,$EK$85:$EK$89,0),MATCH($A102,$EL$84:$FI$84,0),MATCH($G$99,$AE$24:$AE$32,0))*$C102</f>
        <v>0</v>
      </c>
      <c r="X100" s="189">
        <f>INDEX(($EL$85:$FI$89,$EL$93:$FI$97,$FL$85:$GI$89,$FL$93:$GI$97,$GS$85:$HP$89,$GS$92:$HP$96,$HT$85:$IQ$89,$HT$92:$IQ$96,$HT$99:$IQ$103),MATCH($L$110,$EK$85:$EK$89,0),MATCH($A102,$EL$84:$FI$84,0),MATCH($G$99,$AE$24:$AE$32,0))*$C102</f>
        <v>0</v>
      </c>
      <c r="Y100" s="189">
        <f>INDEX(($EL$85:$FI$89,$EL$93:$FI$97,$FL$85:$GI$89,$FL$93:$GI$97,$GS$85:$HP$89,$GS$92:$HP$96,$HT$85:$IQ$89,$HT$92:$IQ$96,$HT$99:$IQ$103),MATCH($L$111,$EK$85:$EK$89,0),MATCH($A102,$EL$84:$FI$84,0),MATCH($G$99,$AE$24:$AE$32,0))*$C102</f>
        <v>0</v>
      </c>
      <c r="Z100" s="189">
        <f>INDEX(($EL$85:$FI$89,$EL$93:$FI$97,$FL$85:$GI$89,$FL$93:$GI$97,$GS$85:$HP$89,$GS$92:$HP$96,$HT$85:$IQ$89,$HT$92:$IQ$96,$HT$99:$IQ$103),MATCH($L$112,$EK$85:$EK$89,0),MATCH($A102,$EL$84:$FI$84,0),MATCH($G$99,$AE$24:$AE$32,0))*$C102</f>
        <v>0</v>
      </c>
      <c r="AA100" s="21">
        <f t="shared" si="151"/>
        <v>0</v>
      </c>
      <c r="AB100" s="21">
        <f t="shared" si="147"/>
        <v>0</v>
      </c>
      <c r="AC100" s="21"/>
      <c r="AD100" s="21"/>
      <c r="AE100" s="21"/>
      <c r="AF100" s="21"/>
      <c r="AG100" s="21"/>
      <c r="AH100" s="21"/>
      <c r="AI100" s="21"/>
      <c r="AJ100" s="21"/>
      <c r="AK100" s="21"/>
      <c r="AL100" s="21"/>
      <c r="AM100" s="21"/>
      <c r="AN100" s="21"/>
      <c r="AO100" s="21">
        <f t="shared" si="148"/>
        <v>1</v>
      </c>
      <c r="AP100" s="21">
        <v>30</v>
      </c>
      <c r="AQ100" s="21" t="s">
        <v>314</v>
      </c>
      <c r="AR100" s="21" t="s">
        <v>312</v>
      </c>
      <c r="AS100" s="21" t="s">
        <v>309</v>
      </c>
      <c r="AT100" s="21" t="s">
        <v>313</v>
      </c>
      <c r="AU100" s="21"/>
      <c r="AV100" s="21">
        <v>30</v>
      </c>
      <c r="AW100" s="21" t="s">
        <v>314</v>
      </c>
      <c r="AX100" s="21" t="s">
        <v>312</v>
      </c>
      <c r="AY100" s="21" t="s">
        <v>309</v>
      </c>
      <c r="AZ100" s="21" t="s">
        <v>313</v>
      </c>
      <c r="BG100" s="21"/>
      <c r="BH100" s="21"/>
      <c r="BI100" s="21"/>
      <c r="BJ100" s="21"/>
      <c r="BK100" s="21"/>
      <c r="BL100" s="21"/>
      <c r="BM100" s="21"/>
      <c r="BN100" s="21"/>
      <c r="BO100" s="21"/>
      <c r="BP100" s="21"/>
      <c r="BQ100" s="21"/>
      <c r="BR100" s="21"/>
      <c r="BS100" s="21"/>
      <c r="BT100" s="21"/>
      <c r="BU100" s="21"/>
      <c r="BV100" s="21"/>
      <c r="BW100" s="21"/>
      <c r="BX100" s="21"/>
      <c r="BY100" s="21"/>
      <c r="BZ100" s="21"/>
      <c r="CA100" s="21"/>
      <c r="CB100" s="21"/>
      <c r="CC100" s="21"/>
      <c r="CD100" s="21"/>
      <c r="CE100" s="21"/>
      <c r="CF100" s="21"/>
      <c r="CG100" s="21"/>
      <c r="CH100" s="21"/>
      <c r="CI100" s="21"/>
      <c r="CJ100" s="21"/>
      <c r="CK100" s="21"/>
      <c r="CL100" s="21"/>
      <c r="CM100" s="21"/>
      <c r="CN100" s="21"/>
      <c r="CO100" s="21"/>
      <c r="CP100" s="21"/>
      <c r="CQ100" s="21"/>
      <c r="CR100" s="21"/>
      <c r="CS100" s="21"/>
      <c r="CT100" s="21"/>
      <c r="CU100" s="21"/>
      <c r="CV100" s="21"/>
      <c r="CW100" s="21"/>
      <c r="CX100" s="21"/>
      <c r="CY100" s="21"/>
      <c r="CZ100" s="21"/>
      <c r="DA100" s="21"/>
      <c r="DB100" s="21"/>
      <c r="DC100" s="21"/>
      <c r="DD100" s="21"/>
      <c r="DE100" s="21"/>
      <c r="DF100" s="21"/>
      <c r="DG100" s="21"/>
      <c r="DH100" s="21"/>
      <c r="DI100" s="21"/>
      <c r="DJ100" s="21"/>
      <c r="DK100" s="21"/>
      <c r="DL100" s="21"/>
      <c r="DM100" s="21"/>
      <c r="DN100" s="21"/>
      <c r="DO100" s="21"/>
      <c r="DP100" s="21"/>
      <c r="DQ100" s="87"/>
      <c r="DR100" s="87">
        <v>38</v>
      </c>
      <c r="DS100" s="87"/>
      <c r="DT100" s="21"/>
      <c r="DU100" s="21"/>
      <c r="DV100" s="21"/>
      <c r="DW100" s="21"/>
      <c r="DX100" s="21"/>
      <c r="DY100" s="21"/>
      <c r="DZ100" s="21"/>
      <c r="EA100" s="21"/>
      <c r="EB100" s="21"/>
      <c r="EC100" s="21"/>
      <c r="ED100" s="21"/>
      <c r="EE100" s="21"/>
      <c r="EF100" s="21"/>
      <c r="EG100" s="21"/>
      <c r="EH100" s="21"/>
      <c r="EI100" s="21"/>
      <c r="EJ100" s="196"/>
      <c r="EK100" s="21"/>
      <c r="EL100" s="21"/>
      <c r="EM100" s="21"/>
      <c r="EN100" s="21"/>
      <c r="EO100" s="21"/>
      <c r="EP100" s="21"/>
      <c r="EQ100" s="21"/>
      <c r="ER100" s="21"/>
      <c r="ES100" s="21"/>
      <c r="ET100" s="21"/>
      <c r="EU100" s="21"/>
      <c r="EV100" s="21"/>
      <c r="EW100" s="21"/>
      <c r="EX100" s="21"/>
      <c r="EY100" s="21"/>
      <c r="EZ100" s="21"/>
      <c r="FA100" s="21"/>
      <c r="FB100" s="21"/>
      <c r="FC100" s="21"/>
      <c r="FD100" s="21"/>
      <c r="FE100" s="21"/>
      <c r="FF100" s="21"/>
      <c r="FG100" s="21"/>
      <c r="FH100" s="21"/>
      <c r="FI100" s="21"/>
      <c r="FJ100" s="21"/>
      <c r="FK100" s="21"/>
      <c r="FL100" s="21"/>
      <c r="FM100" s="21"/>
      <c r="FN100" s="21"/>
      <c r="FO100" s="21"/>
      <c r="FP100" s="21"/>
      <c r="FQ100" s="21"/>
      <c r="FR100" s="21"/>
      <c r="FS100" s="21"/>
      <c r="FT100" s="21"/>
      <c r="FU100" s="21"/>
      <c r="FV100" s="21"/>
      <c r="FW100" s="21"/>
      <c r="FX100" s="21"/>
      <c r="FY100" s="21"/>
      <c r="FZ100" s="21"/>
      <c r="GA100" s="21"/>
      <c r="GB100" s="21"/>
      <c r="GC100" s="21"/>
      <c r="GD100" s="21"/>
      <c r="GE100" s="21"/>
      <c r="GF100" s="21"/>
      <c r="GG100" s="21"/>
      <c r="GH100" s="21"/>
      <c r="GI100" s="21"/>
      <c r="GJ100" s="21"/>
      <c r="GK100" s="21"/>
      <c r="GL100" s="21"/>
      <c r="GM100" s="21"/>
      <c r="GN100" s="21"/>
      <c r="GO100" s="21"/>
      <c r="GP100" s="21"/>
      <c r="GQ100" s="21"/>
      <c r="GR100" s="21"/>
      <c r="GS100" s="21"/>
      <c r="GT100" s="21"/>
      <c r="GU100" s="21"/>
      <c r="GV100" s="21"/>
      <c r="GW100" s="21"/>
      <c r="GX100" s="21"/>
      <c r="GY100" s="21"/>
      <c r="GZ100" s="21"/>
      <c r="HA100" s="21"/>
      <c r="HB100" s="21"/>
      <c r="HC100" s="21"/>
      <c r="HD100" s="21"/>
      <c r="HE100" s="21"/>
      <c r="HF100" s="21"/>
      <c r="HG100" s="21"/>
      <c r="HH100" s="21"/>
      <c r="HS100" s="180" t="s">
        <v>522</v>
      </c>
      <c r="HT100" s="180">
        <v>0</v>
      </c>
      <c r="HU100" s="180">
        <v>4</v>
      </c>
      <c r="HV100" s="180">
        <v>0</v>
      </c>
      <c r="HW100" s="180">
        <v>4</v>
      </c>
      <c r="HX100" s="180">
        <v>8</v>
      </c>
      <c r="HY100" s="180">
        <v>4</v>
      </c>
      <c r="HZ100" s="180">
        <v>8</v>
      </c>
      <c r="IA100" s="180">
        <v>12</v>
      </c>
      <c r="IB100" s="180">
        <v>4</v>
      </c>
      <c r="IC100" s="180">
        <v>12</v>
      </c>
      <c r="ID100" s="180">
        <v>16</v>
      </c>
      <c r="IE100" s="180">
        <v>8</v>
      </c>
      <c r="IF100" s="180">
        <v>16</v>
      </c>
      <c r="IG100" s="180">
        <v>20</v>
      </c>
      <c r="IH100" s="180">
        <v>12</v>
      </c>
      <c r="II100" s="180">
        <v>20</v>
      </c>
      <c r="IJ100" s="180">
        <v>24</v>
      </c>
      <c r="IK100" s="180">
        <v>16</v>
      </c>
      <c r="IL100" s="180">
        <v>20</v>
      </c>
      <c r="IM100" s="180">
        <v>28</v>
      </c>
      <c r="IN100" s="180">
        <v>20</v>
      </c>
      <c r="IO100" s="180">
        <v>24</v>
      </c>
      <c r="IP100" s="180">
        <v>32</v>
      </c>
      <c r="IQ100" s="180">
        <v>24</v>
      </c>
      <c r="IT100" s="198"/>
    </row>
    <row r="101" spans="1:254" x14ac:dyDescent="0.25">
      <c r="A101" s="8"/>
      <c r="B101" s="5" t="s">
        <v>116</v>
      </c>
      <c r="C101" s="8"/>
      <c r="D101" s="6" t="s">
        <v>307</v>
      </c>
      <c r="E101" s="8" t="s">
        <v>314</v>
      </c>
      <c r="F101" s="5"/>
      <c r="G101" s="5"/>
      <c r="H101" s="5"/>
      <c r="I101" s="5"/>
      <c r="J101" s="5"/>
      <c r="K101" s="9"/>
      <c r="L101" s="7" t="str">
        <f>IF(E101=$AC$5,"CT70H50/3NMC",IF(E101=$AC$6,"CT70H50/2NMC",IF(E101=$AC$7,"CT70H50/1NMC",IF(E101=$AC$8,"CT70H50/1NMC",0))))</f>
        <v>CT70H50/3NMC</v>
      </c>
      <c r="M101" s="11">
        <f>INDEX(cennik!$C$2:$L$529,MATCH($L101,cennik!$B$2:$B$522,0),MATCH(M$2,cennik!$C$1:$L$1,0))</f>
        <v>864530</v>
      </c>
      <c r="N101" s="11" t="str">
        <f>INDEX(cennik!$C$2:$L$529,MATCH($L101,cennik!$B$2:$B$522,0),MATCH(N$2,cennik!$C$1:$L$1,0))</f>
        <v>szt.</v>
      </c>
      <c r="O101" s="11">
        <f>SUM(AB94:AB109)</f>
        <v>0</v>
      </c>
      <c r="P101" s="34">
        <f>INDEX(cennik!$C$2:$L$529,MATCH($L101,cennik!$B$2:$B$522,0),MATCH(P$2,cennik!$C$1:$L$1,0))</f>
        <v>136.47999999999999</v>
      </c>
      <c r="Q101" s="34">
        <f t="shared" si="158"/>
        <v>0</v>
      </c>
      <c r="R101" s="35">
        <f t="shared" si="156"/>
        <v>0</v>
      </c>
      <c r="S101" s="34">
        <f t="shared" si="157"/>
        <v>136.47999999999999</v>
      </c>
      <c r="T101" s="34">
        <f t="shared" ref="T101:T104" si="159">O101*S101</f>
        <v>0</v>
      </c>
      <c r="U101" s="34">
        <f>INDEX(cennik!$C$2:$L$529,MATCH($L101,cennik!$B$2:$B$522,0),MATCH(U$2,cennik!$C$1:$L$1,0))*O101</f>
        <v>0</v>
      </c>
      <c r="V101" s="25"/>
      <c r="W101" s="189">
        <f>INDEX(($EL$85:$FI$89,$EL$93:$FI$97,$FL$85:$GI$89,$FL$93:$GI$97,$GS$85:$HP$89,$GS$92:$HP$96,$HT$85:$IQ$89,$HT$92:$IQ$96,$HT$99:$IQ$103),MATCH($L$113,$EK$85:$EK$89,0),MATCH($A103,$EL$84:$FI$84,0),MATCH($G$99,$AE$24:$AE$32,0))*$C103</f>
        <v>0</v>
      </c>
      <c r="X101" s="189">
        <f>INDEX(($EL$85:$FI$89,$EL$93:$FI$97,$FL$85:$GI$89,$FL$93:$GI$97,$GS$85:$HP$89,$GS$92:$HP$96,$HT$85:$IQ$89,$HT$92:$IQ$96,$HT$99:$IQ$103),MATCH($L$110,$EK$85:$EK$89,0),MATCH($A103,$EL$84:$FI$84,0),MATCH($G$99,$AE$24:$AE$32,0))*$C103</f>
        <v>0</v>
      </c>
      <c r="Y101" s="189">
        <f>INDEX(($EL$85:$FI$89,$EL$93:$FI$97,$FL$85:$GI$89,$FL$93:$GI$97,$GS$85:$HP$89,$GS$92:$HP$96,$HT$85:$IQ$89,$HT$92:$IQ$96,$HT$99:$IQ$103),MATCH($L$111,$EK$85:$EK$89,0),MATCH($A103,$EL$84:$FI$84,0),MATCH($G$99,$AE$24:$AE$32,0))*$C103</f>
        <v>0</v>
      </c>
      <c r="Z101" s="189">
        <f>INDEX(($EL$85:$FI$89,$EL$93:$FI$97,$FL$85:$GI$89,$FL$93:$GI$97,$GS$85:$HP$89,$GS$92:$HP$96,$HT$85:$IQ$89,$HT$92:$IQ$96,$HT$99:$IQ$103),MATCH($L$112,$EK$85:$EK$89,0),MATCH($A103,$EL$84:$FI$84,0),MATCH($G$99,$AE$24:$AE$32,0))*$C103</f>
        <v>0</v>
      </c>
      <c r="AA101" s="21">
        <f t="shared" si="151"/>
        <v>0</v>
      </c>
      <c r="AB101" s="21">
        <f t="shared" si="147"/>
        <v>0</v>
      </c>
      <c r="AC101" s="21"/>
      <c r="AD101" s="21"/>
      <c r="AE101" s="21"/>
      <c r="AF101" s="21"/>
      <c r="AG101" s="21"/>
      <c r="AH101" s="21"/>
      <c r="AI101" s="186" t="s">
        <v>436</v>
      </c>
      <c r="AJ101" s="21"/>
      <c r="AK101" s="21"/>
      <c r="AL101" s="21"/>
      <c r="AM101" s="21"/>
      <c r="AN101" s="21"/>
      <c r="AO101" s="21">
        <f t="shared" si="148"/>
        <v>1</v>
      </c>
      <c r="AP101" s="21" t="s">
        <v>111</v>
      </c>
      <c r="AQ101" s="21" t="s">
        <v>590</v>
      </c>
      <c r="AR101" s="21" t="s">
        <v>589</v>
      </c>
      <c r="AS101" s="21" t="s">
        <v>588</v>
      </c>
      <c r="AT101" s="21" t="s">
        <v>588</v>
      </c>
      <c r="AU101" s="21"/>
      <c r="AV101" s="21" t="s">
        <v>111</v>
      </c>
      <c r="AW101" s="21" t="s">
        <v>151</v>
      </c>
      <c r="AX101" s="21" t="s">
        <v>151</v>
      </c>
      <c r="AY101" s="21" t="s">
        <v>151</v>
      </c>
      <c r="AZ101" s="21" t="s">
        <v>151</v>
      </c>
      <c r="BA101" s="21"/>
      <c r="BB101" s="21"/>
      <c r="BC101" s="21"/>
      <c r="BD101" s="21"/>
      <c r="BE101" s="21"/>
      <c r="BF101" s="21"/>
      <c r="BG101" s="21"/>
      <c r="BH101" s="21"/>
      <c r="BI101" s="21"/>
      <c r="BJ101" s="21"/>
      <c r="BK101" s="21"/>
      <c r="BL101" s="21"/>
      <c r="BM101" s="21"/>
      <c r="BN101" s="21"/>
      <c r="BO101" s="21"/>
      <c r="BP101" s="21"/>
      <c r="BQ101" s="21"/>
      <c r="BR101" s="21"/>
      <c r="BS101" s="21"/>
      <c r="BT101" s="21"/>
      <c r="BU101" s="21"/>
      <c r="BV101" s="21"/>
      <c r="BW101" s="21"/>
      <c r="BX101" s="21"/>
      <c r="BY101" s="21"/>
      <c r="BZ101" s="21"/>
      <c r="CA101" s="21"/>
      <c r="CB101" s="21"/>
      <c r="CC101" s="21"/>
      <c r="CD101" s="21"/>
      <c r="CE101" s="21"/>
      <c r="CF101" s="21"/>
      <c r="CG101" s="21"/>
      <c r="CH101" s="21"/>
      <c r="CI101" s="21"/>
      <c r="CJ101" s="21"/>
      <c r="CK101" s="21"/>
      <c r="CL101" s="21"/>
      <c r="CM101" s="21"/>
      <c r="CN101" s="21"/>
      <c r="CO101" s="21"/>
      <c r="CP101" s="21"/>
      <c r="CQ101" s="21"/>
      <c r="CR101" s="21"/>
      <c r="CS101" s="21"/>
      <c r="CT101" s="21"/>
      <c r="CU101" s="21"/>
      <c r="CV101" s="21"/>
      <c r="CW101" s="21"/>
      <c r="CX101" s="21"/>
      <c r="CY101" s="21"/>
      <c r="CZ101" s="21"/>
      <c r="DA101" s="21"/>
      <c r="DB101" s="21"/>
      <c r="DC101" s="21"/>
      <c r="DD101" s="21"/>
      <c r="DE101" s="21"/>
      <c r="DF101" s="21"/>
      <c r="DG101" s="21"/>
      <c r="DH101" s="21"/>
      <c r="DI101" s="21"/>
      <c r="DJ101" s="21"/>
      <c r="DK101" s="21"/>
      <c r="DL101" s="21"/>
      <c r="DM101" s="21"/>
      <c r="DN101" s="21"/>
      <c r="DO101" s="21"/>
      <c r="DP101" s="21"/>
      <c r="DQ101" s="87"/>
      <c r="DR101" s="87">
        <v>40</v>
      </c>
      <c r="DS101" s="87"/>
      <c r="DT101" s="21"/>
      <c r="DU101" s="21"/>
      <c r="DV101" s="21"/>
      <c r="DW101" s="21"/>
      <c r="DX101" s="21"/>
      <c r="DY101" s="21"/>
      <c r="DZ101" s="21"/>
      <c r="EA101" s="21"/>
      <c r="EB101" s="21"/>
      <c r="EC101" s="21"/>
      <c r="ED101" s="21"/>
      <c r="EE101" s="21"/>
      <c r="EF101" s="21"/>
      <c r="EG101" s="21"/>
      <c r="EH101" s="21"/>
      <c r="EI101" s="21"/>
      <c r="EJ101" s="196"/>
      <c r="EK101" s="21"/>
      <c r="EL101" s="21"/>
      <c r="EM101" s="21"/>
      <c r="EN101" s="21"/>
      <c r="EO101" s="21"/>
      <c r="EP101" s="21"/>
      <c r="EQ101" s="21"/>
      <c r="ER101" s="21"/>
      <c r="ES101" s="21"/>
      <c r="ET101" s="21"/>
      <c r="EU101" s="21"/>
      <c r="EV101" s="21"/>
      <c r="EW101" s="21"/>
      <c r="EX101" s="21"/>
      <c r="EY101" s="21"/>
      <c r="EZ101" s="21"/>
      <c r="FA101" s="21"/>
      <c r="FB101" s="21"/>
      <c r="FC101" s="21"/>
      <c r="FD101" s="21"/>
      <c r="FE101" s="21"/>
      <c r="FF101" s="21"/>
      <c r="FG101" s="21"/>
      <c r="FH101" s="21"/>
      <c r="FI101" s="21"/>
      <c r="FJ101" s="21"/>
      <c r="FK101" s="21"/>
      <c r="FL101" s="21"/>
      <c r="FM101" s="21"/>
      <c r="FN101" s="21"/>
      <c r="FO101" s="21"/>
      <c r="FP101" s="21"/>
      <c r="FQ101" s="21"/>
      <c r="FR101" s="21"/>
      <c r="FS101" s="21"/>
      <c r="FT101" s="21"/>
      <c r="FU101" s="21"/>
      <c r="FV101" s="21"/>
      <c r="FW101" s="21"/>
      <c r="FX101" s="21"/>
      <c r="FY101" s="21"/>
      <c r="FZ101" s="21"/>
      <c r="GA101" s="21"/>
      <c r="GB101" s="21"/>
      <c r="GC101" s="21"/>
      <c r="GD101" s="21"/>
      <c r="GE101" s="21"/>
      <c r="GF101" s="21"/>
      <c r="GG101" s="21"/>
      <c r="GH101" s="21"/>
      <c r="GI101" s="21"/>
      <c r="GJ101" s="21"/>
      <c r="GK101" s="21"/>
      <c r="GL101" s="21"/>
      <c r="GM101" s="21"/>
      <c r="GN101" s="21"/>
      <c r="GO101" s="21"/>
      <c r="GP101" s="21"/>
      <c r="GQ101" s="21"/>
      <c r="GR101" s="21"/>
      <c r="GS101" s="21"/>
      <c r="GT101" s="21"/>
      <c r="GU101" s="21"/>
      <c r="GV101" s="21"/>
      <c r="GW101" s="21"/>
      <c r="GX101" s="21"/>
      <c r="GY101" s="21"/>
      <c r="GZ101" s="21"/>
      <c r="HA101" s="21"/>
      <c r="HB101" s="21"/>
      <c r="HC101" s="21"/>
      <c r="HD101" s="21"/>
      <c r="HE101" s="21"/>
      <c r="HF101" s="21"/>
      <c r="HG101" s="21"/>
      <c r="HH101" s="21"/>
      <c r="HS101" s="180" t="s">
        <v>523</v>
      </c>
      <c r="HT101" s="180">
        <v>0</v>
      </c>
      <c r="HU101" s="180">
        <v>0</v>
      </c>
      <c r="HV101" s="180">
        <v>0</v>
      </c>
      <c r="HW101" s="180">
        <v>4</v>
      </c>
      <c r="HX101" s="180">
        <v>0</v>
      </c>
      <c r="HY101" s="180">
        <v>8</v>
      </c>
      <c r="HZ101" s="180">
        <v>4</v>
      </c>
      <c r="IA101" s="180">
        <v>0</v>
      </c>
      <c r="IB101" s="180">
        <v>12</v>
      </c>
      <c r="IC101" s="180">
        <v>4</v>
      </c>
      <c r="ID101" s="180">
        <v>0</v>
      </c>
      <c r="IE101" s="180">
        <v>12</v>
      </c>
      <c r="IF101" s="180">
        <v>4</v>
      </c>
      <c r="IG101" s="180">
        <v>0</v>
      </c>
      <c r="IH101" s="180">
        <v>12</v>
      </c>
      <c r="II101" s="180">
        <v>4</v>
      </c>
      <c r="IJ101" s="180">
        <v>0</v>
      </c>
      <c r="IK101" s="180">
        <v>12</v>
      </c>
      <c r="IL101" s="180">
        <v>8</v>
      </c>
      <c r="IM101" s="180">
        <v>0</v>
      </c>
      <c r="IN101" s="180">
        <v>12</v>
      </c>
      <c r="IO101" s="180">
        <v>8</v>
      </c>
      <c r="IP101" s="180">
        <v>0</v>
      </c>
      <c r="IQ101" s="180">
        <v>12</v>
      </c>
      <c r="IT101" s="198"/>
    </row>
    <row r="102" spans="1:254" x14ac:dyDescent="0.25">
      <c r="A102" s="8"/>
      <c r="B102" s="5" t="s">
        <v>116</v>
      </c>
      <c r="C102" s="8"/>
      <c r="D102" s="6" t="s">
        <v>315</v>
      </c>
      <c r="E102" s="8">
        <v>0</v>
      </c>
      <c r="F102" s="5"/>
      <c r="G102" s="5"/>
      <c r="H102" s="5"/>
      <c r="I102" s="5"/>
      <c r="J102" s="5" t="s">
        <v>412</v>
      </c>
      <c r="K102" s="9"/>
      <c r="L102" s="6" t="str">
        <f>INDEX((AQ80:AT97,AQ101:AT118),MATCH(E99,AP80:AP97,0),MATCH(E101,AQ79:AT79,0),MATCH(E106,DS6:DS7,0))</f>
        <v>CWT70H50/4,4NMC</v>
      </c>
      <c r="M102" s="11">
        <f>INDEX(cennik!$C$2:$L$529,MATCH($L102,cennik!$B$2:$B$522,0),MATCH(M$2,cennik!$C$1:$L$1,0))</f>
        <v>867844</v>
      </c>
      <c r="N102" s="11" t="str">
        <f>INDEX(cennik!$C$2:$L$529,MATCH($L102,cennik!$B$2:$B$522,0),MATCH(N$2,cennik!$C$1:$L$1,0))</f>
        <v>szt.</v>
      </c>
      <c r="O102" s="11">
        <f>O101</f>
        <v>0</v>
      </c>
      <c r="P102" s="34">
        <f>INDEX(cennik!$C$2:$L$529,MATCH($L102,cennik!$B$2:$B$522,0),MATCH(P$2,cennik!$C$1:$L$1,0))</f>
        <v>222.68</v>
      </c>
      <c r="Q102" s="34">
        <f t="shared" si="158"/>
        <v>0</v>
      </c>
      <c r="R102" s="35">
        <f t="shared" si="156"/>
        <v>0</v>
      </c>
      <c r="S102" s="34">
        <f t="shared" si="157"/>
        <v>222.68</v>
      </c>
      <c r="T102" s="34">
        <f t="shared" si="159"/>
        <v>0</v>
      </c>
      <c r="U102" s="34">
        <f>INDEX(cennik!$C$2:$L$529,MATCH($L102,cennik!$B$2:$B$522,0),MATCH(U$2,cennik!$C$1:$L$1,0))*O102</f>
        <v>0</v>
      </c>
      <c r="V102" s="25"/>
      <c r="W102" s="189">
        <f>INDEX(($EL$85:$FI$89,$EL$93:$FI$97,$FL$85:$GI$89,$FL$93:$GI$97,$GS$85:$HP$89,$GS$92:$HP$96,$HT$85:$IQ$89,$HT$92:$IQ$96,$HT$99:$IQ$103),MATCH($L$113,$EK$85:$EK$89,0),MATCH($A104,$EL$84:$FI$84,0),MATCH($G$99,$AE$24:$AE$32,0))*$C104</f>
        <v>0</v>
      </c>
      <c r="X102" s="189">
        <f>INDEX(($EL$85:$FI$89,$EL$93:$FI$97,$FL$85:$GI$89,$FL$93:$GI$97,$GS$85:$HP$89,$GS$92:$HP$96,$HT$85:$IQ$89,$HT$92:$IQ$96,$HT$99:$IQ$103),MATCH($L$110,$EK$85:$EK$89,0),MATCH($A104,$EL$84:$FI$84,0),MATCH($G$99,$AE$24:$AE$32,0))*$C104</f>
        <v>0</v>
      </c>
      <c r="Y102" s="189">
        <f>INDEX(($EL$85:$FI$89,$EL$93:$FI$97,$FL$85:$GI$89,$FL$93:$GI$97,$GS$85:$HP$89,$GS$92:$HP$96,$HT$85:$IQ$89,$HT$92:$IQ$96,$HT$99:$IQ$103),MATCH($L$111,$EK$85:$EK$89,0),MATCH($A104,$EL$84:$FI$84,0),MATCH($G$99,$AE$24:$AE$32,0))*$C104</f>
        <v>0</v>
      </c>
      <c r="Z102" s="189">
        <f>INDEX(($EL$85:$FI$89,$EL$93:$FI$97,$FL$85:$GI$89,$FL$93:$GI$97,$GS$85:$HP$89,$GS$92:$HP$96,$HT$85:$IQ$89,$HT$92:$IQ$96,$HT$99:$IQ$103),MATCH($L$112,$EK$85:$EK$89,0),MATCH($A104,$EL$84:$FI$84,0),MATCH($G$99,$AE$24:$AE$32,0))*$C104</f>
        <v>0</v>
      </c>
      <c r="AA102" s="21">
        <f t="shared" si="151"/>
        <v>0</v>
      </c>
      <c r="AB102" s="21">
        <f t="shared" si="147"/>
        <v>0</v>
      </c>
      <c r="AC102" s="21"/>
      <c r="AD102" s="21"/>
      <c r="AE102" s="21"/>
      <c r="AF102" s="21"/>
      <c r="AG102" s="21"/>
      <c r="AH102" s="21"/>
      <c r="AI102" s="21" t="s">
        <v>717</v>
      </c>
      <c r="AJ102" s="21" t="s">
        <v>1157</v>
      </c>
      <c r="AK102" s="21">
        <v>2</v>
      </c>
      <c r="AL102" s="21" t="s">
        <v>1022</v>
      </c>
      <c r="AM102" s="21">
        <v>4</v>
      </c>
      <c r="AN102" s="21">
        <v>5</v>
      </c>
      <c r="AO102" s="21">
        <f t="shared" si="148"/>
        <v>1</v>
      </c>
      <c r="AP102" s="21" t="s">
        <v>112</v>
      </c>
      <c r="AQ102" s="21" t="s">
        <v>590</v>
      </c>
      <c r="AR102" s="21" t="s">
        <v>589</v>
      </c>
      <c r="AS102" s="21" t="s">
        <v>588</v>
      </c>
      <c r="AT102" s="21" t="s">
        <v>588</v>
      </c>
      <c r="AU102" s="21"/>
      <c r="AV102" s="21" t="s">
        <v>112</v>
      </c>
      <c r="AW102" s="21" t="s">
        <v>151</v>
      </c>
      <c r="AX102" s="21" t="s">
        <v>151</v>
      </c>
      <c r="AY102" s="21" t="s">
        <v>151</v>
      </c>
      <c r="AZ102" s="21" t="s">
        <v>151</v>
      </c>
      <c r="BA102" s="21"/>
      <c r="BB102" s="21"/>
      <c r="BC102" s="21"/>
      <c r="BD102" s="21"/>
      <c r="BE102" s="21"/>
      <c r="BF102" s="21"/>
      <c r="BG102" s="21"/>
      <c r="BH102" s="21"/>
      <c r="BI102" s="21"/>
      <c r="BJ102" s="21"/>
      <c r="BK102" s="21"/>
      <c r="BL102" s="21"/>
      <c r="BM102" s="21"/>
      <c r="BN102" s="21"/>
      <c r="BO102" s="21"/>
      <c r="BP102" s="21"/>
      <c r="BQ102" s="21"/>
      <c r="BR102" s="21"/>
      <c r="BS102" s="21"/>
      <c r="BT102" s="21"/>
      <c r="BU102" s="21"/>
      <c r="BV102" s="21"/>
      <c r="BW102" s="21"/>
      <c r="BX102" s="21"/>
      <c r="BY102" s="21"/>
      <c r="BZ102" s="21"/>
      <c r="CA102" s="21"/>
      <c r="CB102" s="21"/>
      <c r="CC102" s="21"/>
      <c r="CD102" s="21"/>
      <c r="CE102" s="21"/>
      <c r="CF102" s="21"/>
      <c r="CG102" s="21"/>
      <c r="CH102" s="21"/>
      <c r="CI102" s="21"/>
      <c r="CJ102" s="21"/>
      <c r="CK102" s="21"/>
      <c r="CL102" s="21"/>
      <c r="CM102" s="21"/>
      <c r="CN102" s="21"/>
      <c r="CO102" s="21"/>
      <c r="CP102" s="21"/>
      <c r="CQ102" s="21"/>
      <c r="CR102" s="21"/>
      <c r="CS102" s="21"/>
      <c r="CT102" s="21"/>
      <c r="CU102" s="21"/>
      <c r="CV102" s="21"/>
      <c r="CW102" s="21"/>
      <c r="CX102" s="21"/>
      <c r="CY102" s="21"/>
      <c r="CZ102" s="21"/>
      <c r="DA102" s="21"/>
      <c r="DB102" s="21"/>
      <c r="DC102" s="21"/>
      <c r="DD102" s="21"/>
      <c r="DE102" s="21"/>
      <c r="DF102" s="21"/>
      <c r="DG102" s="21"/>
      <c r="DH102" s="21"/>
      <c r="DI102" s="21"/>
      <c r="DJ102" s="21"/>
      <c r="DK102" s="21"/>
      <c r="DL102" s="21"/>
      <c r="DM102" s="21"/>
      <c r="DN102" s="21"/>
      <c r="DO102" s="21"/>
      <c r="DP102" s="21"/>
      <c r="DQ102" s="87"/>
      <c r="DR102" s="87">
        <v>42</v>
      </c>
      <c r="DS102" s="87"/>
      <c r="DT102" s="21"/>
      <c r="DU102" s="21"/>
      <c r="DV102" s="21"/>
      <c r="DW102" s="21"/>
      <c r="DX102" s="21"/>
      <c r="DY102" s="21"/>
      <c r="DZ102" s="21"/>
      <c r="EA102" s="21"/>
      <c r="EB102" s="21"/>
      <c r="EC102" s="21"/>
      <c r="ED102" s="21"/>
      <c r="EE102" s="21"/>
      <c r="EF102" s="21"/>
      <c r="EG102" s="21"/>
      <c r="EH102" s="21"/>
      <c r="EI102" s="21"/>
      <c r="EJ102" s="196"/>
      <c r="EK102" s="21"/>
      <c r="EL102" s="21"/>
      <c r="EM102" s="21"/>
      <c r="EN102" s="21"/>
      <c r="EO102" s="21"/>
      <c r="EP102" s="21"/>
      <c r="EQ102" s="21"/>
      <c r="ER102" s="21"/>
      <c r="ES102" s="21"/>
      <c r="ET102" s="21"/>
      <c r="EU102" s="21"/>
      <c r="EV102" s="21"/>
      <c r="EW102" s="21"/>
      <c r="EX102" s="21"/>
      <c r="EY102" s="21"/>
      <c r="EZ102" s="21"/>
      <c r="FA102" s="21"/>
      <c r="FB102" s="21"/>
      <c r="FC102" s="21"/>
      <c r="FD102" s="21"/>
      <c r="FE102" s="21"/>
      <c r="FF102" s="21"/>
      <c r="FG102" s="21"/>
      <c r="FH102" s="21"/>
      <c r="FI102" s="21"/>
      <c r="FJ102" s="21"/>
      <c r="FK102" s="21"/>
      <c r="FL102" s="21"/>
      <c r="FM102" s="21"/>
      <c r="FN102" s="21"/>
      <c r="FO102" s="21"/>
      <c r="FP102" s="21"/>
      <c r="FQ102" s="21"/>
      <c r="FR102" s="21"/>
      <c r="FS102" s="21"/>
      <c r="FT102" s="21"/>
      <c r="FU102" s="21"/>
      <c r="FV102" s="21"/>
      <c r="FW102" s="21"/>
      <c r="FX102" s="21"/>
      <c r="FY102" s="21"/>
      <c r="FZ102" s="21"/>
      <c r="GA102" s="21"/>
      <c r="GB102" s="21"/>
      <c r="GC102" s="21"/>
      <c r="GD102" s="21"/>
      <c r="GE102" s="21"/>
      <c r="GF102" s="21"/>
      <c r="GG102" s="21"/>
      <c r="GH102" s="21"/>
      <c r="GI102" s="21"/>
      <c r="GJ102" s="21"/>
      <c r="GK102" s="21"/>
      <c r="GL102" s="21"/>
      <c r="GM102" s="21"/>
      <c r="GN102" s="21"/>
      <c r="GO102" s="21"/>
      <c r="GP102" s="21"/>
      <c r="GQ102" s="21"/>
      <c r="GR102" s="21"/>
      <c r="GS102" s="21"/>
      <c r="GT102" s="21"/>
      <c r="GU102" s="21"/>
      <c r="GV102" s="21"/>
      <c r="GW102" s="21"/>
      <c r="GX102" s="21"/>
      <c r="GY102" s="21"/>
      <c r="GZ102" s="21"/>
      <c r="HA102" s="21"/>
      <c r="HB102" s="21"/>
      <c r="HC102" s="21"/>
      <c r="HD102" s="21"/>
      <c r="HE102" s="21"/>
      <c r="HF102" s="21"/>
      <c r="HG102" s="21"/>
      <c r="HH102" s="21"/>
      <c r="HS102" s="180" t="s">
        <v>524</v>
      </c>
      <c r="HT102" s="180">
        <v>0</v>
      </c>
      <c r="HU102" s="180">
        <v>0</v>
      </c>
      <c r="HV102" s="180">
        <v>0</v>
      </c>
      <c r="HW102" s="180">
        <v>4</v>
      </c>
      <c r="HX102" s="180">
        <v>4</v>
      </c>
      <c r="HY102" s="180">
        <v>8</v>
      </c>
      <c r="HZ102" s="180">
        <v>8</v>
      </c>
      <c r="IA102" s="180">
        <v>8</v>
      </c>
      <c r="IB102" s="180">
        <v>12</v>
      </c>
      <c r="IC102" s="180">
        <v>12</v>
      </c>
      <c r="ID102" s="180">
        <v>12</v>
      </c>
      <c r="IE102" s="180">
        <v>16</v>
      </c>
      <c r="IF102" s="180">
        <v>16</v>
      </c>
      <c r="IG102" s="180">
        <v>16</v>
      </c>
      <c r="IH102" s="180">
        <v>20</v>
      </c>
      <c r="II102" s="180">
        <v>20</v>
      </c>
      <c r="IJ102" s="180">
        <v>20</v>
      </c>
      <c r="IK102" s="180">
        <v>24</v>
      </c>
      <c r="IL102" s="180">
        <v>24</v>
      </c>
      <c r="IM102" s="180">
        <v>24</v>
      </c>
      <c r="IN102" s="180">
        <v>28</v>
      </c>
      <c r="IO102" s="180">
        <v>28</v>
      </c>
      <c r="IP102" s="180">
        <v>28</v>
      </c>
      <c r="IQ102" s="180">
        <v>32</v>
      </c>
      <c r="IT102" s="198"/>
    </row>
    <row r="103" spans="1:254" x14ac:dyDescent="0.25">
      <c r="A103" s="8"/>
      <c r="B103" s="5" t="s">
        <v>116</v>
      </c>
      <c r="C103" s="8"/>
      <c r="D103" s="6" t="s">
        <v>162</v>
      </c>
      <c r="E103" s="8">
        <v>0</v>
      </c>
      <c r="F103" s="5"/>
      <c r="G103" s="5"/>
      <c r="H103" s="5"/>
      <c r="I103" s="5"/>
      <c r="J103" s="5" t="s">
        <v>163</v>
      </c>
      <c r="K103" s="9"/>
      <c r="L103" s="6" t="str">
        <f>IF(E106=25,"-------",IF(E106=30,(INDEX((AW101:AZ118),MATCH(E99,AV101:AV118,0),MATCH(E101,AW100:AZ100,0))),0))</f>
        <v>-------</v>
      </c>
      <c r="M103" s="11" t="str">
        <f>INDEX(cennik!$C$2:$L$529,MATCH($L103,cennik!$B$2:$B$522,0),MATCH(M$2,cennik!$C$1:$L$1,0))</f>
        <v>-------</v>
      </c>
      <c r="N103" s="11">
        <f>INDEX(cennik!$C$2:$L$529,MATCH($L103,cennik!$B$2:$B$522,0),MATCH(N$2,cennik!$C$1:$L$1,0))</f>
        <v>0</v>
      </c>
      <c r="O103" s="24">
        <f>IF(L103="CWT70H50/2,4NMC",O102,0)</f>
        <v>0</v>
      </c>
      <c r="P103" s="34">
        <f>INDEX(cennik!$C$2:$L$529,MATCH($L103,cennik!$B$2:$B$522,0),MATCH(P$2,cennik!$C$1:$L$1,0))</f>
        <v>0</v>
      </c>
      <c r="Q103" s="34">
        <f t="shared" si="158"/>
        <v>0</v>
      </c>
      <c r="R103" s="35">
        <f t="shared" si="156"/>
        <v>0</v>
      </c>
      <c r="S103" s="34">
        <f t="shared" si="157"/>
        <v>0</v>
      </c>
      <c r="T103" s="34">
        <f t="shared" si="159"/>
        <v>0</v>
      </c>
      <c r="U103" s="34">
        <f>INDEX(cennik!$C$2:$L$529,MATCH($L103,cennik!$B$2:$B$522,0),MATCH(U$2,cennik!$C$1:$L$1,0))*O103</f>
        <v>0</v>
      </c>
      <c r="V103" s="25"/>
      <c r="W103" s="189">
        <f>INDEX(($EL$85:$FI$89,$EL$93:$FI$97,$FL$85:$GI$89,$FL$93:$GI$97,$GS$85:$HP$89,$GS$92:$HP$96,$HT$85:$IQ$89,$HT$92:$IQ$96,$HT$99:$IQ$103),MATCH($L$113,$EK$85:$EK$89,0),MATCH($A105,$EL$84:$FI$84,0),MATCH($G$99,$AE$24:$AE$32,0))*$C105</f>
        <v>0</v>
      </c>
      <c r="X103" s="189">
        <f>INDEX(($EL$85:$FI$89,$EL$93:$FI$97,$FL$85:$GI$89,$FL$93:$GI$97,$GS$85:$HP$89,$GS$92:$HP$96,$HT$85:$IQ$89,$HT$92:$IQ$96,$HT$99:$IQ$103),MATCH($L$110,$EK$85:$EK$89,0),MATCH($A105,$EL$84:$FI$84,0),MATCH($G$99,$AE$24:$AE$32,0))*$C105</f>
        <v>0</v>
      </c>
      <c r="Y103" s="189">
        <f>INDEX(($EL$85:$FI$89,$EL$93:$FI$97,$FL$85:$GI$89,$FL$93:$GI$97,$GS$85:$HP$89,$GS$92:$HP$96,$HT$85:$IQ$89,$HT$92:$IQ$96,$HT$99:$IQ$103),MATCH($L$111,$EK$85:$EK$89,0),MATCH($A105,$EL$84:$FI$84,0),MATCH($G$99,$AE$24:$AE$32,0))*$C105</f>
        <v>0</v>
      </c>
      <c r="Z103" s="189">
        <f>INDEX(($EL$85:$FI$89,$EL$93:$FI$97,$FL$85:$GI$89,$FL$93:$GI$97,$GS$85:$HP$89,$GS$92:$HP$96,$HT$85:$IQ$89,$HT$92:$IQ$96,$HT$99:$IQ$103),MATCH($L$112,$EK$85:$EK$89,0),MATCH($A105,$EL$84:$FI$84,0),MATCH($G$99,$AE$24:$AE$32,0))*$C105</f>
        <v>0</v>
      </c>
      <c r="AA103" s="21">
        <f t="shared" si="151"/>
        <v>0</v>
      </c>
      <c r="AB103" s="21">
        <f t="shared" si="147"/>
        <v>0</v>
      </c>
      <c r="AC103" s="21"/>
      <c r="AD103" s="21"/>
      <c r="AE103" s="21"/>
      <c r="AF103" s="21"/>
      <c r="AG103" s="21"/>
      <c r="AH103" s="21"/>
      <c r="AI103" s="21">
        <v>1</v>
      </c>
      <c r="AJ103" s="21">
        <v>2900</v>
      </c>
      <c r="AK103" s="21">
        <v>2900</v>
      </c>
      <c r="AL103" s="21">
        <v>2700</v>
      </c>
      <c r="AM103" s="21">
        <v>2700</v>
      </c>
      <c r="AN103" s="21" t="s">
        <v>719</v>
      </c>
      <c r="AO103" s="21">
        <f t="shared" si="148"/>
        <v>1</v>
      </c>
      <c r="AP103" s="21" t="s">
        <v>132</v>
      </c>
      <c r="AQ103" s="21" t="s">
        <v>590</v>
      </c>
      <c r="AR103" s="21" t="s">
        <v>589</v>
      </c>
      <c r="AS103" s="21" t="s">
        <v>588</v>
      </c>
      <c r="AT103" s="21" t="s">
        <v>588</v>
      </c>
      <c r="AU103" s="21"/>
      <c r="AV103" s="21" t="s">
        <v>132</v>
      </c>
      <c r="AW103" s="21" t="s">
        <v>151</v>
      </c>
      <c r="AX103" s="21" t="s">
        <v>151</v>
      </c>
      <c r="AY103" s="21" t="s">
        <v>151</v>
      </c>
      <c r="AZ103" s="21" t="s">
        <v>151</v>
      </c>
      <c r="BA103" s="21"/>
      <c r="BB103" s="21"/>
      <c r="BC103" s="21"/>
      <c r="BD103" s="21"/>
      <c r="BE103" s="21"/>
      <c r="BF103" s="21"/>
      <c r="BG103" s="21"/>
      <c r="BH103" s="21"/>
      <c r="BI103" s="21"/>
      <c r="BJ103" s="21"/>
      <c r="BK103" s="21"/>
      <c r="BL103" s="21"/>
      <c r="BM103" s="21"/>
      <c r="BN103" s="21"/>
      <c r="BO103" s="21"/>
      <c r="BP103" s="21"/>
      <c r="BQ103" s="21"/>
      <c r="BR103" s="21"/>
      <c r="BS103" s="21"/>
      <c r="BT103" s="21"/>
      <c r="BU103" s="21"/>
      <c r="BV103" s="21"/>
      <c r="BW103" s="21"/>
      <c r="BX103" s="21"/>
      <c r="BY103" s="21"/>
      <c r="BZ103" s="21"/>
      <c r="CA103" s="21"/>
      <c r="CB103" s="21"/>
      <c r="CC103" s="21"/>
      <c r="CD103" s="21"/>
      <c r="CE103" s="21"/>
      <c r="CF103" s="21"/>
      <c r="CG103" s="21"/>
      <c r="CH103" s="21"/>
      <c r="CI103" s="21"/>
      <c r="CJ103" s="21"/>
      <c r="CK103" s="21"/>
      <c r="CL103" s="21"/>
      <c r="CM103" s="21"/>
      <c r="CN103" s="21"/>
      <c r="CO103" s="21"/>
      <c r="CP103" s="21"/>
      <c r="CQ103" s="21"/>
      <c r="CR103" s="21"/>
      <c r="CS103" s="21"/>
      <c r="CT103" s="21"/>
      <c r="CU103" s="21"/>
      <c r="CV103" s="21"/>
      <c r="CW103" s="21"/>
      <c r="CX103" s="21"/>
      <c r="CY103" s="21"/>
      <c r="CZ103" s="21"/>
      <c r="DA103" s="21"/>
      <c r="DB103" s="21"/>
      <c r="DC103" s="21"/>
      <c r="DD103" s="21"/>
      <c r="DE103" s="21"/>
      <c r="DF103" s="21"/>
      <c r="DG103" s="21"/>
      <c r="DH103" s="21"/>
      <c r="DI103" s="21"/>
      <c r="DJ103" s="21"/>
      <c r="DK103" s="21"/>
      <c r="DL103" s="21"/>
      <c r="DM103" s="21"/>
      <c r="DN103" s="21"/>
      <c r="DO103" s="21"/>
      <c r="DP103" s="21"/>
      <c r="DQ103" s="87"/>
      <c r="DR103" s="87">
        <v>44</v>
      </c>
      <c r="DS103" s="87"/>
      <c r="DT103" s="21"/>
      <c r="DU103" s="21"/>
      <c r="DV103" s="21"/>
      <c r="DW103" s="21"/>
      <c r="DX103" s="21"/>
      <c r="DY103" s="21"/>
      <c r="DZ103" s="21"/>
      <c r="EA103" s="21"/>
      <c r="EB103" s="21"/>
      <c r="EC103" s="21"/>
      <c r="ED103" s="21"/>
      <c r="EE103" s="21"/>
      <c r="EF103" s="21"/>
      <c r="EG103" s="21"/>
      <c r="EH103" s="21"/>
      <c r="EI103" s="21"/>
      <c r="EJ103" s="196"/>
      <c r="EK103" s="21"/>
      <c r="EL103" s="21"/>
      <c r="EM103" s="21"/>
      <c r="EN103" s="21"/>
      <c r="EO103" s="21"/>
      <c r="EP103" s="21"/>
      <c r="EQ103" s="21"/>
      <c r="ER103" s="21"/>
      <c r="ES103" s="21"/>
      <c r="ET103" s="21"/>
      <c r="EU103" s="21"/>
      <c r="EV103" s="21"/>
      <c r="EW103" s="21"/>
      <c r="EX103" s="21"/>
      <c r="EY103" s="21"/>
      <c r="EZ103" s="21"/>
      <c r="FA103" s="21"/>
      <c r="FB103" s="21"/>
      <c r="FC103" s="21"/>
      <c r="FD103" s="21"/>
      <c r="FE103" s="21"/>
      <c r="FF103" s="21"/>
      <c r="FG103" s="21"/>
      <c r="FH103" s="21"/>
      <c r="FI103" s="21"/>
      <c r="FJ103" s="21"/>
      <c r="FK103" s="21"/>
      <c r="FL103" s="21"/>
      <c r="FM103" s="21"/>
      <c r="FN103" s="21"/>
      <c r="FO103" s="21"/>
      <c r="FP103" s="21"/>
      <c r="FQ103" s="21"/>
      <c r="FR103" s="21"/>
      <c r="FS103" s="21"/>
      <c r="FT103" s="21"/>
      <c r="FU103" s="21"/>
      <c r="FV103" s="21"/>
      <c r="FW103" s="21"/>
      <c r="FX103" s="21"/>
      <c r="FY103" s="21"/>
      <c r="FZ103" s="21"/>
      <c r="GA103" s="21"/>
      <c r="GB103" s="21"/>
      <c r="GC103" s="21"/>
      <c r="GD103" s="21"/>
      <c r="GE103" s="21"/>
      <c r="GF103" s="21"/>
      <c r="GG103" s="21"/>
      <c r="GH103" s="21"/>
      <c r="GI103" s="21"/>
      <c r="GJ103" s="21"/>
      <c r="GK103" s="21"/>
      <c r="GL103" s="21"/>
      <c r="GM103" s="21"/>
      <c r="GN103" s="21"/>
      <c r="GO103" s="21"/>
      <c r="GP103" s="21"/>
      <c r="GQ103" s="21"/>
      <c r="GR103" s="21"/>
      <c r="GS103" s="21"/>
      <c r="GT103" s="21"/>
      <c r="GU103" s="21"/>
      <c r="GV103" s="21"/>
      <c r="GW103" s="21"/>
      <c r="GX103" s="21"/>
      <c r="GY103" s="21"/>
      <c r="GZ103" s="21"/>
      <c r="HA103" s="21"/>
      <c r="HB103" s="21"/>
      <c r="HC103" s="21"/>
      <c r="HD103" s="21"/>
      <c r="HE103" s="21"/>
      <c r="HF103" s="21"/>
      <c r="HG103" s="21"/>
      <c r="HH103" s="21"/>
      <c r="HS103" s="180" t="s">
        <v>700</v>
      </c>
      <c r="HT103" s="180">
        <v>0</v>
      </c>
      <c r="HU103" s="180">
        <v>0</v>
      </c>
      <c r="HV103" s="180">
        <v>0</v>
      </c>
      <c r="HW103" s="180">
        <v>4</v>
      </c>
      <c r="HX103" s="180">
        <v>4</v>
      </c>
      <c r="HY103" s="180">
        <v>8</v>
      </c>
      <c r="HZ103" s="180">
        <v>8</v>
      </c>
      <c r="IA103" s="180">
        <v>8</v>
      </c>
      <c r="IB103" s="180">
        <v>12</v>
      </c>
      <c r="IC103" s="180">
        <v>12</v>
      </c>
      <c r="ID103" s="180">
        <v>12</v>
      </c>
      <c r="IE103" s="180">
        <v>16</v>
      </c>
      <c r="IF103" s="180">
        <v>16</v>
      </c>
      <c r="IG103" s="180">
        <v>16</v>
      </c>
      <c r="IH103" s="180">
        <v>20</v>
      </c>
      <c r="II103" s="180">
        <v>20</v>
      </c>
      <c r="IJ103" s="180">
        <v>20</v>
      </c>
      <c r="IK103" s="180">
        <v>24</v>
      </c>
      <c r="IL103" s="180">
        <v>24</v>
      </c>
      <c r="IM103" s="180">
        <v>24</v>
      </c>
      <c r="IN103" s="180">
        <v>28</v>
      </c>
      <c r="IO103" s="180">
        <v>28</v>
      </c>
      <c r="IP103" s="180">
        <v>28</v>
      </c>
      <c r="IQ103" s="180">
        <v>32</v>
      </c>
      <c r="IT103" s="198"/>
    </row>
    <row r="104" spans="1:254" x14ac:dyDescent="0.25">
      <c r="A104" s="8"/>
      <c r="B104" s="5" t="s">
        <v>116</v>
      </c>
      <c r="C104" s="8"/>
      <c r="D104" s="6" t="s">
        <v>515</v>
      </c>
      <c r="E104" s="8">
        <v>0</v>
      </c>
      <c r="F104" s="5"/>
      <c r="G104" s="5"/>
      <c r="H104" s="5"/>
      <c r="I104" s="5"/>
      <c r="J104" s="5" t="s">
        <v>412</v>
      </c>
      <c r="K104" s="9"/>
      <c r="L104" s="6" t="str">
        <f>IF(L103="CWT70H50/2,4NMC","LCT70H50MC","-------")</f>
        <v>-------</v>
      </c>
      <c r="M104" s="11" t="str">
        <f>INDEX(cennik!$C$2:$L$529,MATCH($L104,cennik!$B$2:$B$522,0),MATCH(M$2,cennik!$C$1:$L$1,0))</f>
        <v>-------</v>
      </c>
      <c r="N104" s="11">
        <f>INDEX(cennik!$C$2:$L$529,MATCH($L104,cennik!$B$2:$B$522,0),MATCH(N$2,cennik!$C$1:$L$1,0))</f>
        <v>0</v>
      </c>
      <c r="O104" s="24">
        <f>O103</f>
        <v>0</v>
      </c>
      <c r="P104" s="34">
        <f>INDEX(cennik!$C$2:$L$529,MATCH($L104,cennik!$B$2:$B$522,0),MATCH(P$2,cennik!$C$1:$L$1,0))</f>
        <v>0</v>
      </c>
      <c r="Q104" s="34">
        <f t="shared" si="158"/>
        <v>0</v>
      </c>
      <c r="R104" s="35">
        <f t="shared" si="156"/>
        <v>0</v>
      </c>
      <c r="S104" s="34">
        <f t="shared" si="157"/>
        <v>0</v>
      </c>
      <c r="T104" s="34">
        <f t="shared" si="159"/>
        <v>0</v>
      </c>
      <c r="U104" s="34">
        <f>INDEX(cennik!$C$2:$L$529,MATCH($L104,cennik!$B$2:$B$522,0),MATCH(U$2,cennik!$C$1:$L$1,0))*O104</f>
        <v>0</v>
      </c>
      <c r="V104" s="25"/>
      <c r="W104" s="189">
        <f>INDEX(($EL$85:$FI$89,$EL$93:$FI$97,$FL$85:$GI$89,$FL$93:$GI$97,$GS$85:$HP$89,$GS$92:$HP$96,$HT$85:$IQ$89,$HT$92:$IQ$96,$HT$99:$IQ$103),MATCH($L$113,$EK$85:$EK$89,0),MATCH($A106,$EL$84:$FI$84,0),MATCH($G$99,$AE$24:$AE$32,0))*$C106</f>
        <v>0</v>
      </c>
      <c r="X104" s="189">
        <f>INDEX(($EL$85:$FI$89,$EL$93:$FI$97,$FL$85:$GI$89,$FL$93:$GI$97,$GS$85:$HP$89,$GS$92:$HP$96,$HT$85:$IQ$89,$HT$92:$IQ$96,$HT$99:$IQ$103),MATCH($L$110,$EK$85:$EK$89,0),MATCH($A106,$EL$84:$FI$84,0),MATCH($G$99,$AE$24:$AE$32,0))*$C106</f>
        <v>0</v>
      </c>
      <c r="Y104" s="189">
        <f>INDEX(($EL$85:$FI$89,$EL$93:$FI$97,$FL$85:$GI$89,$FL$93:$GI$97,$GS$85:$HP$89,$GS$92:$HP$96,$HT$85:$IQ$89,$HT$92:$IQ$96,$HT$99:$IQ$103),MATCH($L$111,$EK$85:$EK$89,0),MATCH($A106,$EL$84:$FI$84,0),MATCH($G$99,$AE$24:$AE$32,0))*$C106</f>
        <v>0</v>
      </c>
      <c r="Z104" s="189">
        <f>INDEX(($EL$85:$FI$89,$EL$93:$FI$97,$FL$85:$GI$89,$FL$93:$GI$97,$GS$85:$HP$89,$GS$92:$HP$96,$HT$85:$IQ$89,$HT$92:$IQ$96,$HT$99:$IQ$103),MATCH($L$112,$EK$85:$EK$89,0),MATCH($A106,$EL$84:$FI$84,0),MATCH($G$99,$AE$24:$AE$32,0))*$C106</f>
        <v>0</v>
      </c>
      <c r="AA104" s="21">
        <f t="shared" si="151"/>
        <v>0</v>
      </c>
      <c r="AB104" s="21">
        <f t="shared" si="147"/>
        <v>0</v>
      </c>
      <c r="AC104" s="21"/>
      <c r="AD104" s="21"/>
      <c r="AE104" s="21"/>
      <c r="AF104" s="21"/>
      <c r="AG104" s="21"/>
      <c r="AH104" s="21"/>
      <c r="AI104" s="21">
        <v>2</v>
      </c>
      <c r="AJ104" s="21" t="s">
        <v>719</v>
      </c>
      <c r="AK104" s="21">
        <v>2000</v>
      </c>
      <c r="AL104" s="21">
        <v>2000</v>
      </c>
      <c r="AM104" s="21" t="s">
        <v>719</v>
      </c>
      <c r="AN104" s="21" t="s">
        <v>719</v>
      </c>
      <c r="AO104" s="21">
        <f t="shared" si="148"/>
        <v>1</v>
      </c>
      <c r="AP104" s="21" t="s">
        <v>470</v>
      </c>
      <c r="AQ104" s="21" t="s">
        <v>590</v>
      </c>
      <c r="AR104" s="21" t="s">
        <v>589</v>
      </c>
      <c r="AS104" s="21" t="s">
        <v>588</v>
      </c>
      <c r="AT104" s="21" t="s">
        <v>588</v>
      </c>
      <c r="AU104" s="21"/>
      <c r="AV104" s="21" t="s">
        <v>470</v>
      </c>
      <c r="AW104" s="21" t="s">
        <v>151</v>
      </c>
      <c r="AX104" s="21" t="s">
        <v>151</v>
      </c>
      <c r="AY104" s="21" t="s">
        <v>151</v>
      </c>
      <c r="AZ104" s="21" t="s">
        <v>151</v>
      </c>
      <c r="BA104" s="21"/>
      <c r="BB104" s="21"/>
      <c r="BC104" s="21"/>
      <c r="BD104" s="21"/>
      <c r="BE104" s="21"/>
      <c r="BF104" s="21"/>
      <c r="BG104" s="21"/>
      <c r="BH104" s="21"/>
      <c r="BI104" s="21"/>
      <c r="BJ104" s="21"/>
      <c r="BK104" s="21"/>
      <c r="BL104" s="21"/>
      <c r="BM104" s="21"/>
      <c r="BN104" s="21"/>
      <c r="BO104" s="21"/>
      <c r="BP104" s="21"/>
      <c r="BQ104" s="21"/>
      <c r="BR104" s="21"/>
      <c r="BS104" s="21"/>
      <c r="BT104" s="21"/>
      <c r="BU104" s="21"/>
      <c r="BV104" s="21"/>
      <c r="BW104" s="21"/>
      <c r="BX104" s="21"/>
      <c r="BY104" s="21"/>
      <c r="BZ104" s="21"/>
      <c r="CA104" s="21"/>
      <c r="CB104" s="21"/>
      <c r="CC104" s="21"/>
      <c r="CD104" s="21"/>
      <c r="CE104" s="21"/>
      <c r="CF104" s="21"/>
      <c r="CG104" s="21"/>
      <c r="CH104" s="21"/>
      <c r="CI104" s="21"/>
      <c r="CJ104" s="21"/>
      <c r="CK104" s="21"/>
      <c r="CL104" s="21"/>
      <c r="CM104" s="21"/>
      <c r="CN104" s="21"/>
      <c r="CO104" s="21"/>
      <c r="CP104" s="21"/>
      <c r="CQ104" s="21"/>
      <c r="CR104" s="21"/>
      <c r="CS104" s="21"/>
      <c r="CT104" s="21"/>
      <c r="CU104" s="21"/>
      <c r="CV104" s="21"/>
      <c r="CW104" s="21"/>
      <c r="CX104" s="21"/>
      <c r="CY104" s="21"/>
      <c r="CZ104" s="21"/>
      <c r="DA104" s="21"/>
      <c r="DB104" s="21"/>
      <c r="DC104" s="21"/>
      <c r="DD104" s="21"/>
      <c r="DE104" s="21"/>
      <c r="DF104" s="21"/>
      <c r="DG104" s="21"/>
      <c r="DH104" s="21"/>
      <c r="DI104" s="21"/>
      <c r="DJ104" s="21"/>
      <c r="DK104" s="21"/>
      <c r="DL104" s="21"/>
      <c r="DM104" s="21"/>
      <c r="DN104" s="21"/>
      <c r="DO104" s="21"/>
      <c r="DP104" s="21"/>
      <c r="DQ104" s="87"/>
      <c r="DR104" s="87">
        <v>46</v>
      </c>
      <c r="DS104" s="87"/>
      <c r="DT104" s="21"/>
      <c r="DU104" s="21"/>
      <c r="DV104" s="21"/>
      <c r="DW104" s="21"/>
      <c r="DX104" s="21"/>
      <c r="DY104" s="21"/>
      <c r="DZ104" s="21"/>
      <c r="EA104" s="21"/>
      <c r="EB104" s="21"/>
      <c r="EC104" s="21"/>
      <c r="ED104" s="21"/>
      <c r="EE104" s="21"/>
      <c r="EF104" s="21"/>
      <c r="EG104" s="21"/>
      <c r="EH104" s="21"/>
      <c r="EI104" s="21"/>
      <c r="EJ104" s="196"/>
      <c r="EK104" s="21"/>
      <c r="EL104" s="21"/>
      <c r="EM104" s="21"/>
      <c r="EN104" s="21"/>
      <c r="EO104" s="21"/>
      <c r="EP104" s="21"/>
      <c r="EQ104" s="21"/>
      <c r="ER104" s="21"/>
      <c r="ES104" s="21"/>
      <c r="ET104" s="21"/>
      <c r="EU104" s="21"/>
      <c r="EV104" s="21"/>
      <c r="EW104" s="21"/>
      <c r="EX104" s="21"/>
      <c r="EY104" s="21"/>
      <c r="EZ104" s="21"/>
      <c r="FA104" s="21"/>
      <c r="FB104" s="21"/>
      <c r="FC104" s="21"/>
      <c r="FD104" s="21"/>
      <c r="FE104" s="21"/>
      <c r="FF104" s="21"/>
      <c r="FG104" s="21"/>
      <c r="FH104" s="21"/>
      <c r="FI104" s="21"/>
      <c r="FJ104" s="21"/>
      <c r="FK104" s="21"/>
      <c r="FL104" s="21"/>
      <c r="FM104" s="21"/>
      <c r="FN104" s="21"/>
      <c r="FO104" s="21"/>
      <c r="FP104" s="21"/>
      <c r="FQ104" s="21"/>
      <c r="FR104" s="21"/>
      <c r="FS104" s="21"/>
      <c r="FT104" s="21"/>
      <c r="FU104" s="21"/>
      <c r="FV104" s="21"/>
      <c r="FW104" s="21"/>
      <c r="FX104" s="21"/>
      <c r="FY104" s="21"/>
      <c r="FZ104" s="21"/>
      <c r="GA104" s="21"/>
      <c r="GB104" s="21"/>
      <c r="GC104" s="21"/>
      <c r="GD104" s="21"/>
      <c r="GE104" s="21"/>
      <c r="GF104" s="21"/>
      <c r="GG104" s="21"/>
      <c r="GH104" s="21"/>
      <c r="GI104" s="21"/>
      <c r="GJ104" s="21"/>
      <c r="GK104" s="21"/>
      <c r="GL104" s="21"/>
      <c r="GM104" s="21"/>
      <c r="GN104" s="21"/>
      <c r="GO104" s="21"/>
      <c r="GP104" s="21"/>
      <c r="GQ104" s="21"/>
      <c r="GR104" s="21"/>
      <c r="GS104" s="21"/>
      <c r="GT104" s="21"/>
      <c r="GU104" s="21"/>
      <c r="GV104" s="21"/>
      <c r="GW104" s="21"/>
      <c r="GX104" s="21"/>
      <c r="GY104" s="21"/>
      <c r="GZ104" s="21"/>
      <c r="HA104" s="21"/>
      <c r="HB104" s="21"/>
      <c r="HC104" s="21"/>
      <c r="HD104" s="21"/>
      <c r="HE104" s="21"/>
      <c r="HF104" s="21"/>
      <c r="HG104" s="21"/>
      <c r="HH104" s="21"/>
      <c r="IT104" s="198"/>
    </row>
    <row r="105" spans="1:254" ht="15.75" thickBot="1" x14ac:dyDescent="0.3">
      <c r="A105" s="8"/>
      <c r="B105" s="5" t="s">
        <v>116</v>
      </c>
      <c r="C105" s="8"/>
      <c r="D105" s="6" t="s">
        <v>511</v>
      </c>
      <c r="E105" s="4"/>
      <c r="F105" s="6"/>
      <c r="G105" s="6"/>
      <c r="H105" s="6"/>
      <c r="I105" s="6"/>
      <c r="J105" s="1"/>
      <c r="K105" s="9"/>
      <c r="L105" s="6" t="str">
        <f>IF(E99=AE33,"BDFCH100/2,75NMC",IF(E99=AE34,"BDFCH100/2,75NMC",IF(E99=AE35,"BDFCH100/3,2NMC",IF(E99=AE36,"BDFCH100/3,2NMC",IF(E99=AE37,"BDFCH120/3,6NMC",IF(E99=AE38,"BDFCH120/3,6NMC",IF(E99=AE39,"BDFCH120/3,6NMC",IF(E99=AE40,"BDFCH120/3,6NMC",IF(E99=AE41,"BDFCH120/3,6NMC",IF(E99=AE42,"BDFCH120/3,6NMC",IF(E99=AE43,"BDFCH120/3,6NMC",IF(E99=AE44,"BDFCH120/4,4NMC",IF(E99=AE45,"BDFCH120/4,4NMC",IF(E99=AE46,"BDFCH120/4,4NMC",IF(E99=AE47,"BDFCH120/4,4NMC",IF(E99=AE48,"BDFCH120/4,4NMC",IF(E99=AE49,"BDFCH120/4,4NMC",IF(E99=AE50,"BDFCH120/4,4NMC",IF(E99=AE51,"BDFCH120/4,4NMC",IF(E99=AE51,"BDFCH120/4,4NMC",IF(E99=AE52,"BDFCH120/4,4NMC",0)))))))))))))))))))))</f>
        <v>BDFCH120/4,4NMC</v>
      </c>
      <c r="M105" s="11">
        <f>INDEX(cennik!$C$2:$L$529,MATCH($L105,cennik!$B$2:$B$522,0),MATCH(M$2,cennik!$C$1:$L$1,0))</f>
        <v>863343</v>
      </c>
      <c r="N105" s="11" t="str">
        <f>INDEX(cennik!$C$2:$L$529,MATCH($L105,cennik!$B$2:$B$522,0),MATCH(N$2,cennik!$C$1:$L$1,0))</f>
        <v>szt.</v>
      </c>
      <c r="O105" s="11">
        <f>O101</f>
        <v>0</v>
      </c>
      <c r="P105" s="34">
        <f>INDEX(cennik!$C$2:$L$529,MATCH($L105,cennik!$B$2:$B$522,0),MATCH(P$2,cennik!$C$1:$L$1,0))</f>
        <v>181</v>
      </c>
      <c r="Q105" s="34">
        <f>O105*P105</f>
        <v>0</v>
      </c>
      <c r="R105" s="35">
        <f t="shared" si="156"/>
        <v>0</v>
      </c>
      <c r="S105" s="34">
        <f t="shared" si="157"/>
        <v>181</v>
      </c>
      <c r="T105" s="34">
        <f>O105*S105</f>
        <v>0</v>
      </c>
      <c r="U105" s="34">
        <f>INDEX(cennik!$C$2:$L$529,MATCH($L105,cennik!$B$2:$B$522,0),MATCH(U$2,cennik!$C$1:$L$1,0))*O105</f>
        <v>0</v>
      </c>
      <c r="V105" s="25"/>
      <c r="W105" s="189">
        <f>INDEX(($EL$85:$FI$89,$EL$93:$FI$97,$FL$85:$GI$89,$FL$93:$GI$97,$GS$85:$HP$89,$GS$92:$HP$96,$HT$85:$IQ$89,$HT$92:$IQ$96,$HT$99:$IQ$103),MATCH($L$113,$EK$85:$EK$89,0),MATCH($A107,$EL$84:$FI$84,0),MATCH($G$99,$AE$24:$AE$32,0))*$C107</f>
        <v>0</v>
      </c>
      <c r="X105" s="189">
        <f>INDEX(($EL$85:$FI$89,$EL$93:$FI$97,$FL$85:$GI$89,$FL$93:$GI$97,$GS$85:$HP$89,$GS$92:$HP$96,$HT$85:$IQ$89,$HT$92:$IQ$96,$HT$99:$IQ$103),MATCH($L$110,$EK$85:$EK$89,0),MATCH($A107,$EL$84:$FI$84,0),MATCH($G$99,$AE$24:$AE$32,0))*$C107</f>
        <v>0</v>
      </c>
      <c r="Y105" s="189">
        <f>INDEX(($EL$85:$FI$89,$EL$93:$FI$97,$FL$85:$GI$89,$FL$93:$GI$97,$GS$85:$HP$89,$GS$92:$HP$96,$HT$85:$IQ$89,$HT$92:$IQ$96,$HT$99:$IQ$103),MATCH($L$111,$EK$85:$EK$89,0),MATCH($A107,$EL$84:$FI$84,0),MATCH($G$99,$AE$24:$AE$32,0))*$C107</f>
        <v>0</v>
      </c>
      <c r="Z105" s="189">
        <f>INDEX(($EL$85:$FI$89,$EL$93:$FI$97,$FL$85:$GI$89,$FL$93:$GI$97,$GS$85:$HP$89,$GS$92:$HP$96,$HT$85:$IQ$89,$HT$92:$IQ$96,$HT$99:$IQ$103),MATCH($L$112,$EK$85:$EK$89,0),MATCH($A107,$EL$84:$FI$84,0),MATCH($G$99,$AE$24:$AE$32,0))*$C107</f>
        <v>0</v>
      </c>
      <c r="AA105" s="21">
        <f t="shared" si="151"/>
        <v>0</v>
      </c>
      <c r="AB105" s="21">
        <f t="shared" si="147"/>
        <v>0</v>
      </c>
      <c r="AC105" s="21"/>
      <c r="AD105" s="21"/>
      <c r="AE105" s="21"/>
      <c r="AF105" s="21"/>
      <c r="AG105" s="21"/>
      <c r="AH105" s="21"/>
      <c r="AI105" s="21" t="s">
        <v>725</v>
      </c>
      <c r="AJ105" s="21">
        <v>2700</v>
      </c>
      <c r="AK105" s="21" t="s">
        <v>719</v>
      </c>
      <c r="AL105" s="21">
        <v>2000</v>
      </c>
      <c r="AM105" s="21" t="s">
        <v>719</v>
      </c>
      <c r="AN105" s="21">
        <v>1000</v>
      </c>
      <c r="AO105" s="21">
        <f t="shared" si="148"/>
        <v>1</v>
      </c>
      <c r="AP105" s="21" t="s">
        <v>472</v>
      </c>
      <c r="AQ105" s="21" t="s">
        <v>596</v>
      </c>
      <c r="AR105" s="21" t="s">
        <v>595</v>
      </c>
      <c r="AS105" s="21" t="s">
        <v>593</v>
      </c>
      <c r="AT105" s="21" t="s">
        <v>593</v>
      </c>
      <c r="AU105" s="21"/>
      <c r="AV105" s="21" t="s">
        <v>472</v>
      </c>
      <c r="AW105" s="21" t="s">
        <v>151</v>
      </c>
      <c r="AX105" s="21" t="s">
        <v>151</v>
      </c>
      <c r="AY105" s="21" t="s">
        <v>151</v>
      </c>
      <c r="AZ105" s="21" t="s">
        <v>151</v>
      </c>
      <c r="BA105" s="21"/>
      <c r="BB105" s="21"/>
      <c r="BC105" s="21"/>
      <c r="BD105" s="21"/>
      <c r="BE105" s="21"/>
      <c r="BF105" s="21"/>
      <c r="BG105" s="21"/>
      <c r="BH105" s="21"/>
      <c r="BI105" s="21"/>
      <c r="BJ105" s="21"/>
      <c r="BK105" s="21"/>
      <c r="BL105" s="21"/>
      <c r="BM105" s="21"/>
      <c r="BN105" s="21"/>
      <c r="BO105" s="21"/>
      <c r="BP105" s="21"/>
      <c r="BQ105" s="21"/>
      <c r="BR105" s="21"/>
      <c r="BS105" s="21"/>
      <c r="BT105" s="21"/>
      <c r="BU105" s="21"/>
      <c r="BV105" s="21"/>
      <c r="BW105" s="21"/>
      <c r="BX105" s="21"/>
      <c r="BY105" s="21"/>
      <c r="BZ105" s="21"/>
      <c r="CA105" s="21"/>
      <c r="CB105" s="21"/>
      <c r="CC105" s="21"/>
      <c r="CD105" s="21"/>
      <c r="CE105" s="21"/>
      <c r="CF105" s="21"/>
      <c r="CG105" s="21"/>
      <c r="CH105" s="21"/>
      <c r="CI105" s="21"/>
      <c r="CJ105" s="21"/>
      <c r="CK105" s="21"/>
      <c r="CL105" s="21"/>
      <c r="CM105" s="21"/>
      <c r="CN105" s="21"/>
      <c r="CO105" s="21"/>
      <c r="CP105" s="21"/>
      <c r="CQ105" s="21"/>
      <c r="CR105" s="21"/>
      <c r="CS105" s="21"/>
      <c r="CT105" s="21"/>
      <c r="CU105" s="21"/>
      <c r="CV105" s="21"/>
      <c r="CW105" s="21"/>
      <c r="CX105" s="21"/>
      <c r="CY105" s="21"/>
      <c r="CZ105" s="21"/>
      <c r="DA105" s="21"/>
      <c r="DB105" s="21"/>
      <c r="DC105" s="21"/>
      <c r="DD105" s="21"/>
      <c r="DE105" s="21"/>
      <c r="DF105" s="21"/>
      <c r="DG105" s="21"/>
      <c r="DH105" s="21"/>
      <c r="DI105" s="21"/>
      <c r="DJ105" s="21"/>
      <c r="DK105" s="21"/>
      <c r="DL105" s="21"/>
      <c r="DM105" s="21"/>
      <c r="DN105" s="21"/>
      <c r="DO105" s="21"/>
      <c r="DP105" s="21"/>
      <c r="DQ105" s="87"/>
      <c r="DR105" s="87">
        <v>48</v>
      </c>
      <c r="DS105" s="87"/>
      <c r="DT105" s="21"/>
      <c r="DU105" s="21"/>
      <c r="DV105" s="21"/>
      <c r="DW105" s="21"/>
      <c r="DX105" s="21"/>
      <c r="DY105" s="21"/>
      <c r="DZ105" s="21"/>
      <c r="EA105" s="21"/>
      <c r="EB105" s="21"/>
      <c r="EC105" s="21"/>
      <c r="ED105" s="21"/>
      <c r="EE105" s="21"/>
      <c r="EF105" s="21"/>
      <c r="EG105" s="21"/>
      <c r="EH105" s="21"/>
      <c r="EI105" s="21"/>
      <c r="EJ105" s="203"/>
      <c r="EK105" s="204"/>
      <c r="EL105" s="204"/>
      <c r="EM105" s="204"/>
      <c r="EN105" s="204"/>
      <c r="EO105" s="204"/>
      <c r="EP105" s="204"/>
      <c r="EQ105" s="204"/>
      <c r="ER105" s="204"/>
      <c r="ES105" s="204"/>
      <c r="ET105" s="204"/>
      <c r="EU105" s="204"/>
      <c r="EV105" s="204"/>
      <c r="EW105" s="204"/>
      <c r="EX105" s="204"/>
      <c r="EY105" s="204"/>
      <c r="EZ105" s="204"/>
      <c r="FA105" s="204"/>
      <c r="FB105" s="204"/>
      <c r="FC105" s="204"/>
      <c r="FD105" s="204"/>
      <c r="FE105" s="204"/>
      <c r="FF105" s="204"/>
      <c r="FG105" s="204"/>
      <c r="FH105" s="204"/>
      <c r="FI105" s="204"/>
      <c r="FJ105" s="204"/>
      <c r="FK105" s="204"/>
      <c r="FL105" s="204"/>
      <c r="FM105" s="204"/>
      <c r="FN105" s="204"/>
      <c r="FO105" s="204"/>
      <c r="FP105" s="204"/>
      <c r="FQ105" s="204"/>
      <c r="FR105" s="204"/>
      <c r="FS105" s="204"/>
      <c r="FT105" s="204"/>
      <c r="FU105" s="204"/>
      <c r="FV105" s="204"/>
      <c r="FW105" s="204"/>
      <c r="FX105" s="204"/>
      <c r="FY105" s="204"/>
      <c r="FZ105" s="204"/>
      <c r="GA105" s="204"/>
      <c r="GB105" s="204"/>
      <c r="GC105" s="204"/>
      <c r="GD105" s="204"/>
      <c r="GE105" s="204"/>
      <c r="GF105" s="204"/>
      <c r="GG105" s="204"/>
      <c r="GH105" s="204"/>
      <c r="GI105" s="204"/>
      <c r="GJ105" s="204"/>
      <c r="GK105" s="204"/>
      <c r="GL105" s="204"/>
      <c r="GM105" s="204"/>
      <c r="GN105" s="204"/>
      <c r="GO105" s="204"/>
      <c r="GP105" s="204"/>
      <c r="GQ105" s="204"/>
      <c r="GR105" s="204"/>
      <c r="GS105" s="204"/>
      <c r="GT105" s="204"/>
      <c r="GU105" s="204"/>
      <c r="GV105" s="204"/>
      <c r="GW105" s="204"/>
      <c r="GX105" s="204"/>
      <c r="GY105" s="204"/>
      <c r="GZ105" s="204"/>
      <c r="HA105" s="204"/>
      <c r="HB105" s="204"/>
      <c r="HC105" s="204"/>
      <c r="HD105" s="204"/>
      <c r="HE105" s="204"/>
      <c r="HF105" s="204"/>
      <c r="HG105" s="204"/>
      <c r="HH105" s="204"/>
      <c r="HI105" s="208"/>
      <c r="HJ105" s="208"/>
      <c r="HK105" s="208"/>
      <c r="HL105" s="208"/>
      <c r="HM105" s="208"/>
      <c r="HN105" s="208"/>
      <c r="HO105" s="208"/>
      <c r="HP105" s="208"/>
      <c r="HQ105" s="208"/>
      <c r="HR105" s="208"/>
      <c r="HS105" s="208"/>
      <c r="HT105" s="208"/>
      <c r="HU105" s="208"/>
      <c r="HV105" s="208"/>
      <c r="HW105" s="208"/>
      <c r="HX105" s="208"/>
      <c r="HY105" s="208"/>
      <c r="HZ105" s="208"/>
      <c r="IA105" s="208"/>
      <c r="IB105" s="208"/>
      <c r="IC105" s="208"/>
      <c r="ID105" s="208"/>
      <c r="IE105" s="208"/>
      <c r="IF105" s="208"/>
      <c r="IG105" s="208"/>
      <c r="IH105" s="208"/>
      <c r="II105" s="208"/>
      <c r="IJ105" s="208"/>
      <c r="IK105" s="208"/>
      <c r="IL105" s="208"/>
      <c r="IM105" s="208"/>
      <c r="IN105" s="208"/>
      <c r="IO105" s="208"/>
      <c r="IP105" s="208"/>
      <c r="IQ105" s="208"/>
      <c r="IR105" s="208"/>
      <c r="IS105" s="208"/>
      <c r="IT105" s="209"/>
    </row>
    <row r="106" spans="1:254" x14ac:dyDescent="0.25">
      <c r="A106" s="8"/>
      <c r="B106" s="5" t="s">
        <v>116</v>
      </c>
      <c r="C106" s="8"/>
      <c r="D106" s="6" t="s">
        <v>310</v>
      </c>
      <c r="E106" s="8">
        <v>30</v>
      </c>
      <c r="F106" s="9"/>
      <c r="G106" s="9"/>
      <c r="H106" s="9"/>
      <c r="I106" s="9"/>
      <c r="J106" s="9"/>
      <c r="K106" s="9"/>
      <c r="L106" s="6" t="str">
        <f>IF(E99=AE33,"CMP41H41/1MC",IF(E99=AE34,"CMP41H41/1MC",IF(E99=AE35,"CMP41H41/1MC",IF(E99=AE36,"CMP41H41/1MC",IF(E99=AE37,"CMP41H41/1,5MC",IF(E99=AE38,"CMP41H41/1,5MC",IF(E99=AE39,"CMP41H41/1,5MC",IF(E99=AE40,"CMP41H41/1,5MC",IF(E99=AE41,"CMP41H41/1,5MC",IF(E99=AE42,"CMP41H41/1,5MC",IF(E99=AE43,"CMP41H41/1,5MC",IF(E99=AE44,"CMP41H41/1,5MC",IF(E99=AE45,"CMP41H41/1,5MC",IF(E99=AE46,"CMP41H41/1,5MC",IF(E99=AE47,"CMP41H41/1,7MC",IF(E99=AE48,"CMP41H41/1,7MC",IF(E99=AE49,"CMP41H41/1,7MC",IF(E99=AE50,"CMP41H41/1,7MC",IF(E99=AE51,"CMP41H41/1,7MC",IF(E99=AE51,"CMP41H41/1,7MC",IF(E99=AE52,"CMP41H41/1,7MC",0)))))))))))))))))))))</f>
        <v>CMP41H41/1,5MC</v>
      </c>
      <c r="M106" s="11">
        <f>INDEX(cennik!$C$2:$L$529,MATCH($L106,cennik!$B$2:$B$522,0),MATCH(M$2,cennik!$C$1:$L$1,0))</f>
        <v>856215</v>
      </c>
      <c r="N106" s="11" t="str">
        <f>INDEX(cennik!$C$2:$L$529,MATCH($L106,cennik!$B$2:$B$522,0),MATCH(N$2,cennik!$C$1:$L$1,0))</f>
        <v>szt.</v>
      </c>
      <c r="O106" s="11">
        <f>O101</f>
        <v>0</v>
      </c>
      <c r="P106" s="34">
        <f>INDEX(cennik!$C$2:$L$529,MATCH($L106,cennik!$B$2:$B$522,0),MATCH(P$2,cennik!$C$1:$L$1,0))</f>
        <v>31.5</v>
      </c>
      <c r="Q106" s="34">
        <f>O106*P106</f>
        <v>0</v>
      </c>
      <c r="R106" s="35">
        <f t="shared" si="156"/>
        <v>0</v>
      </c>
      <c r="S106" s="34">
        <f t="shared" si="157"/>
        <v>31.5</v>
      </c>
      <c r="T106" s="34">
        <f>O106*S106</f>
        <v>0</v>
      </c>
      <c r="U106" s="34">
        <f>INDEX(cennik!$C$2:$L$529,MATCH($L106,cennik!$B$2:$B$522,0),MATCH(U$2,cennik!$C$1:$L$1,0))*O106</f>
        <v>0</v>
      </c>
      <c r="V106" s="25"/>
      <c r="W106" s="189">
        <f>INDEX(($EL$85:$FI$89,$EL$93:$FI$97,$FL$85:$GI$89,$FL$93:$GI$97,$GS$85:$HP$89,$GS$92:$HP$96,$HT$85:$IQ$89,$HT$92:$IQ$96,$HT$99:$IQ$103),MATCH($L$113,$EK$85:$EK$89,0),MATCH($A108,$EL$84:$FI$84,0),MATCH($G$99,$AE$24:$AE$32,0))*$C108</f>
        <v>0</v>
      </c>
      <c r="X106" s="189">
        <f>INDEX(($EL$85:$FI$89,$EL$93:$FI$97,$FL$85:$GI$89,$FL$93:$GI$97,$GS$85:$HP$89,$GS$92:$HP$96,$HT$85:$IQ$89,$HT$92:$IQ$96,$HT$99:$IQ$103),MATCH($L$110,$EK$85:$EK$89,0),MATCH($A108,$EL$84:$FI$84,0),MATCH($G$99,$AE$24:$AE$32,0))*$C108</f>
        <v>0</v>
      </c>
      <c r="Y106" s="189">
        <f>INDEX(($EL$85:$FI$89,$EL$93:$FI$97,$FL$85:$GI$89,$FL$93:$GI$97,$GS$85:$HP$89,$GS$92:$HP$96,$HT$85:$IQ$89,$HT$92:$IQ$96,$HT$99:$IQ$103),MATCH($L$111,$EK$85:$EK$89,0),MATCH($A108,$EL$84:$FI$84,0),MATCH($G$99,$AE$24:$AE$32,0))*$C108</f>
        <v>0</v>
      </c>
      <c r="Z106" s="189">
        <f>INDEX(($EL$85:$FI$89,$EL$93:$FI$97,$FL$85:$GI$89,$FL$93:$GI$97,$GS$85:$HP$89,$GS$92:$HP$96,$HT$85:$IQ$89,$HT$92:$IQ$96,$HT$99:$IQ$103),MATCH($L$112,$EK$85:$EK$89,0),MATCH($A108,$EL$84:$FI$84,0),MATCH($G$99,$AE$24:$AE$32,0))*$C108</f>
        <v>0</v>
      </c>
      <c r="AA106" s="21">
        <f t="shared" si="151"/>
        <v>0</v>
      </c>
      <c r="AB106" s="21">
        <f t="shared" si="147"/>
        <v>0</v>
      </c>
      <c r="AC106" s="21"/>
      <c r="AD106" s="21"/>
      <c r="AE106" s="21"/>
      <c r="AF106" s="21"/>
      <c r="AG106" s="21"/>
      <c r="AH106" s="21"/>
      <c r="AI106" s="21"/>
      <c r="AJ106" s="21"/>
      <c r="AK106" s="21"/>
      <c r="AL106" s="21"/>
      <c r="AM106" s="21"/>
      <c r="AN106" s="21"/>
      <c r="AO106" s="21">
        <f t="shared" si="148"/>
        <v>1</v>
      </c>
      <c r="AP106" s="21" t="s">
        <v>471</v>
      </c>
      <c r="AQ106" s="21" t="s">
        <v>596</v>
      </c>
      <c r="AR106" s="21" t="s">
        <v>595</v>
      </c>
      <c r="AS106" s="21" t="s">
        <v>593</v>
      </c>
      <c r="AT106" s="21" t="s">
        <v>593</v>
      </c>
      <c r="AU106" s="21"/>
      <c r="AV106" s="21" t="s">
        <v>471</v>
      </c>
      <c r="AW106" s="21" t="s">
        <v>151</v>
      </c>
      <c r="AX106" s="21" t="s">
        <v>151</v>
      </c>
      <c r="AY106" s="21" t="s">
        <v>151</v>
      </c>
      <c r="AZ106" s="21" t="s">
        <v>151</v>
      </c>
      <c r="BA106" s="21"/>
      <c r="BB106" s="21"/>
      <c r="BC106" s="21"/>
      <c r="BD106" s="21"/>
      <c r="BE106" s="21"/>
      <c r="BF106" s="21"/>
      <c r="BG106" s="21"/>
      <c r="BH106" s="21"/>
      <c r="BI106" s="21"/>
      <c r="BJ106" s="21"/>
      <c r="BK106" s="21"/>
      <c r="BL106" s="21"/>
      <c r="BM106" s="21"/>
      <c r="BN106" s="21"/>
      <c r="BO106" s="21"/>
      <c r="BP106" s="21"/>
      <c r="BQ106" s="21"/>
      <c r="BR106" s="21"/>
      <c r="BS106" s="21"/>
      <c r="BT106" s="21"/>
      <c r="BU106" s="21"/>
      <c r="BV106" s="21"/>
      <c r="BW106" s="21"/>
      <c r="BX106" s="21"/>
      <c r="BY106" s="21"/>
      <c r="BZ106" s="21"/>
      <c r="CA106" s="21"/>
      <c r="CB106" s="21"/>
      <c r="CC106" s="21"/>
      <c r="CD106" s="21"/>
      <c r="CE106" s="21"/>
      <c r="CF106" s="21"/>
      <c r="CG106" s="21"/>
      <c r="CH106" s="21"/>
      <c r="CI106" s="21"/>
      <c r="CJ106" s="21"/>
      <c r="CK106" s="21"/>
      <c r="CL106" s="21"/>
      <c r="CM106" s="21"/>
      <c r="CN106" s="21"/>
      <c r="CO106" s="21"/>
      <c r="CP106" s="21"/>
      <c r="CQ106" s="21"/>
      <c r="CR106" s="21"/>
      <c r="CS106" s="21"/>
      <c r="CT106" s="21"/>
      <c r="CU106" s="21"/>
      <c r="CV106" s="21"/>
      <c r="CW106" s="21"/>
      <c r="CX106" s="21"/>
      <c r="CY106" s="21"/>
      <c r="CZ106" s="21"/>
      <c r="DA106" s="21"/>
      <c r="DB106" s="21"/>
      <c r="DC106" s="21"/>
      <c r="DD106" s="21"/>
      <c r="DE106" s="21"/>
      <c r="DF106" s="21"/>
      <c r="DG106" s="21"/>
      <c r="DH106" s="21"/>
      <c r="DI106" s="21"/>
      <c r="DJ106" s="21"/>
      <c r="DK106" s="21"/>
      <c r="DL106" s="21"/>
      <c r="DM106" s="21"/>
      <c r="DN106" s="21"/>
      <c r="DO106" s="21"/>
      <c r="DP106" s="21"/>
      <c r="DQ106" s="87"/>
      <c r="DR106" s="87">
        <v>50</v>
      </c>
      <c r="DS106" s="87"/>
      <c r="DT106" s="21"/>
      <c r="DU106" s="21"/>
      <c r="DV106" s="21"/>
      <c r="DW106" s="21"/>
      <c r="DX106" s="21"/>
      <c r="DY106" s="21"/>
      <c r="DZ106" s="21"/>
      <c r="EA106" s="21"/>
      <c r="EB106" s="21"/>
      <c r="EC106" s="21"/>
      <c r="ED106" s="21"/>
      <c r="EE106" s="21"/>
      <c r="EF106" s="21"/>
      <c r="EG106" s="21"/>
      <c r="EH106" s="21"/>
      <c r="EI106" s="21"/>
      <c r="EJ106" s="21"/>
      <c r="EK106" s="21"/>
      <c r="EL106" s="21"/>
      <c r="EM106" s="21"/>
      <c r="EN106" s="21"/>
      <c r="EO106" s="21"/>
      <c r="EP106" s="21"/>
      <c r="EQ106" s="21"/>
      <c r="ER106" s="21"/>
      <c r="ES106" s="21"/>
      <c r="ET106" s="21"/>
      <c r="EU106" s="21"/>
      <c r="EV106" s="21"/>
      <c r="EW106" s="21"/>
      <c r="EX106" s="21"/>
      <c r="EY106" s="21"/>
      <c r="EZ106" s="21"/>
      <c r="FA106" s="21"/>
      <c r="FB106" s="21"/>
      <c r="FC106" s="21"/>
      <c r="FD106" s="21"/>
      <c r="FE106" s="21"/>
      <c r="FF106" s="21"/>
      <c r="FG106" s="21"/>
      <c r="FH106" s="21"/>
      <c r="FI106" s="21"/>
      <c r="FJ106" s="21"/>
      <c r="FK106" s="21"/>
      <c r="FL106" s="21"/>
      <c r="FM106" s="21"/>
      <c r="FN106" s="21"/>
      <c r="FO106" s="21"/>
      <c r="FP106" s="21"/>
      <c r="FQ106" s="21"/>
      <c r="FR106" s="21"/>
      <c r="FS106" s="21"/>
      <c r="FT106" s="21"/>
      <c r="FU106" s="21"/>
      <c r="FV106" s="21"/>
      <c r="FW106" s="21"/>
      <c r="FX106" s="21"/>
      <c r="FY106" s="21"/>
      <c r="FZ106" s="21"/>
      <c r="GA106" s="21"/>
      <c r="GB106" s="21"/>
      <c r="GC106" s="21"/>
      <c r="GD106" s="21"/>
      <c r="GE106" s="21"/>
      <c r="GF106" s="21"/>
      <c r="GG106" s="21"/>
      <c r="GH106" s="21"/>
      <c r="GI106" s="21"/>
      <c r="GJ106" s="21"/>
      <c r="GK106" s="21"/>
      <c r="GL106" s="21"/>
      <c r="GM106" s="21"/>
      <c r="GN106" s="21"/>
      <c r="GO106" s="21"/>
      <c r="GP106" s="21"/>
      <c r="GQ106" s="21"/>
      <c r="GR106" s="21"/>
      <c r="GS106" s="21"/>
      <c r="GT106" s="21"/>
      <c r="GU106" s="21"/>
      <c r="GV106" s="21"/>
      <c r="GW106" s="21"/>
      <c r="GX106" s="21"/>
      <c r="GY106" s="21"/>
      <c r="GZ106" s="21"/>
      <c r="HA106" s="21"/>
      <c r="HB106" s="21"/>
      <c r="HC106" s="21"/>
      <c r="HD106" s="21"/>
      <c r="HE106" s="21"/>
      <c r="HF106" s="21"/>
      <c r="HG106" s="21"/>
      <c r="HH106" s="21"/>
    </row>
    <row r="107" spans="1:254" x14ac:dyDescent="0.25">
      <c r="A107" s="8"/>
      <c r="B107" s="5" t="s">
        <v>116</v>
      </c>
      <c r="C107" s="8"/>
      <c r="D107" s="6" t="s">
        <v>787</v>
      </c>
      <c r="E107" s="8">
        <v>1</v>
      </c>
      <c r="F107" s="39" t="s">
        <v>789</v>
      </c>
      <c r="G107" s="9"/>
      <c r="H107" s="9"/>
      <c r="I107" s="9"/>
      <c r="J107" s="9"/>
      <c r="K107" s="9"/>
      <c r="L107" s="6" t="str">
        <f>IF(L105="BDFCH100/2,75NMC","-------",IF(L105="BDFCH100/3,2NMC","-------",IF(L105="BDFCH120/3,6NMC","-------",IF(L105="BDFCH120/4,4NMC","CMP41H41/1,2MC","-------"))))</f>
        <v>CMP41H41/1,2MC</v>
      </c>
      <c r="M107" s="11">
        <f>INDEX(cennik!$C$2:$L$529,MATCH($L107,cennik!$B$2:$B$522,0),MATCH(M$2,cennik!$C$1:$L$1,0))</f>
        <v>856211</v>
      </c>
      <c r="N107" s="11" t="str">
        <f>INDEX(cennik!$C$2:$L$529,MATCH($L107,cennik!$B$2:$B$522,0),MATCH(N$2,cennik!$C$1:$L$1,0))</f>
        <v>szt.</v>
      </c>
      <c r="O107" s="24">
        <f>IF(L107="CMP41H41/1,2MC",O106,0)</f>
        <v>0</v>
      </c>
      <c r="P107" s="34">
        <f>INDEX(cennik!$C$2:$L$529,MATCH($L107,cennik!$B$2:$B$522,0),MATCH(P$2,cennik!$C$1:$L$1,0))</f>
        <v>25.2</v>
      </c>
      <c r="Q107" s="34">
        <f t="shared" ref="Q107:Q124" si="160">O107*P107</f>
        <v>0</v>
      </c>
      <c r="R107" s="35">
        <f t="shared" si="156"/>
        <v>0</v>
      </c>
      <c r="S107" s="34">
        <f t="shared" si="157"/>
        <v>25.2</v>
      </c>
      <c r="T107" s="34">
        <f t="shared" ref="T107:T124" si="161">O107*S107</f>
        <v>0</v>
      </c>
      <c r="U107" s="34">
        <f>INDEX(cennik!$C$2:$L$529,MATCH($L107,cennik!$B$2:$B$522,0),MATCH(U$2,cennik!$C$1:$L$1,0))*O107</f>
        <v>0</v>
      </c>
      <c r="V107" s="25"/>
      <c r="W107" s="189">
        <f>INDEX(($EL$85:$FI$89,$EL$93:$FI$97,$FL$85:$GI$89,$FL$93:$GI$97,$GS$85:$HP$89,$GS$92:$HP$96,$HT$85:$IQ$89,$HT$92:$IQ$96,$HT$99:$IQ$103),MATCH($L$113,$EK$85:$EK$89,0),MATCH($A109,$EL$84:$FI$84,0),MATCH($G$99,$AE$24:$AE$32,0))*$C109</f>
        <v>0</v>
      </c>
      <c r="X107" s="189">
        <f>INDEX(($EL$85:$FI$89,$EL$93:$FI$97,$FL$85:$GI$89,$FL$93:$GI$97,$GS$85:$HP$89,$GS$92:$HP$96,$HT$85:$IQ$89,$HT$92:$IQ$96,$HT$99:$IQ$103),MATCH($L$110,$EK$85:$EK$89,0),MATCH($A109,$EL$84:$FI$84,0),MATCH($G$99,$AE$24:$AE$32,0))*$C109</f>
        <v>0</v>
      </c>
      <c r="Y107" s="189">
        <f>INDEX(($EL$85:$FI$89,$EL$93:$FI$97,$FL$85:$GI$89,$FL$93:$GI$97,$GS$85:$HP$89,$GS$92:$HP$96,$HT$85:$IQ$89,$HT$92:$IQ$96,$HT$99:$IQ$103),MATCH($L$111,$EK$85:$EK$89,0),MATCH($A109,$EL$84:$FI$84,0),MATCH($G$99,$AE$24:$AE$32,0))*$C109</f>
        <v>0</v>
      </c>
      <c r="Z107" s="189">
        <f>INDEX(($EL$85:$FI$89,$EL$93:$FI$97,$FL$85:$GI$89,$FL$93:$GI$97,$GS$85:$HP$89,$GS$92:$HP$96,$HT$85:$IQ$89,$HT$92:$IQ$96,$HT$99:$IQ$103),MATCH($L$112,$EK$85:$EK$89,0),MATCH($A109,$EL$84:$FI$84,0),MATCH($G$99,$AE$24:$AE$32,0))*$C109</f>
        <v>0</v>
      </c>
      <c r="AA107" s="21">
        <f t="shared" si="151"/>
        <v>0</v>
      </c>
      <c r="AB107" s="21">
        <f t="shared" si="147"/>
        <v>0</v>
      </c>
      <c r="AC107" s="21"/>
      <c r="AD107" s="21"/>
      <c r="AE107" s="21"/>
      <c r="AF107" s="21"/>
      <c r="AG107" s="21"/>
      <c r="AH107" s="21"/>
      <c r="AI107" s="21"/>
      <c r="AJ107" s="21"/>
      <c r="AK107" s="21"/>
      <c r="AL107" s="21"/>
      <c r="AM107" s="21"/>
      <c r="AN107" s="21"/>
      <c r="AO107" s="21">
        <f t="shared" si="148"/>
        <v>1</v>
      </c>
      <c r="AP107" s="21" t="s">
        <v>473</v>
      </c>
      <c r="AQ107" s="21" t="s">
        <v>596</v>
      </c>
      <c r="AR107" s="21" t="s">
        <v>595</v>
      </c>
      <c r="AS107" s="21" t="s">
        <v>593</v>
      </c>
      <c r="AT107" s="21" t="s">
        <v>593</v>
      </c>
      <c r="AU107" s="21"/>
      <c r="AV107" s="21" t="s">
        <v>473</v>
      </c>
      <c r="AW107" s="21" t="s">
        <v>151</v>
      </c>
      <c r="AX107" s="21" t="s">
        <v>151</v>
      </c>
      <c r="AY107" s="21" t="s">
        <v>151</v>
      </c>
      <c r="AZ107" s="21" t="s">
        <v>151</v>
      </c>
      <c r="BA107" s="21"/>
      <c r="BB107" s="21"/>
      <c r="BC107" s="21"/>
      <c r="BD107" s="21"/>
      <c r="BE107" s="21"/>
      <c r="BF107" s="21"/>
      <c r="BG107" s="21"/>
      <c r="BH107" s="21"/>
      <c r="BI107" s="21"/>
      <c r="BJ107" s="21"/>
      <c r="BK107" s="21"/>
      <c r="BL107" s="21"/>
      <c r="BM107" s="21"/>
      <c r="BN107" s="21"/>
      <c r="BO107" s="21"/>
      <c r="BP107" s="21"/>
      <c r="BQ107" s="21"/>
      <c r="BR107" s="21"/>
      <c r="BS107" s="21"/>
      <c r="BT107" s="21"/>
      <c r="BU107" s="21"/>
      <c r="BV107" s="21"/>
      <c r="BW107" s="21"/>
      <c r="BX107" s="21"/>
      <c r="BY107" s="21"/>
      <c r="BZ107" s="21"/>
      <c r="CA107" s="21"/>
      <c r="CB107" s="21"/>
      <c r="CC107" s="21"/>
      <c r="CD107" s="21"/>
      <c r="CE107" s="21"/>
      <c r="CF107" s="21"/>
      <c r="CG107" s="21"/>
      <c r="CH107" s="21"/>
      <c r="CI107" s="21"/>
      <c r="CJ107" s="21"/>
      <c r="CK107" s="21"/>
      <c r="CL107" s="21"/>
      <c r="CM107" s="21"/>
      <c r="CN107" s="21"/>
      <c r="CO107" s="21"/>
      <c r="CP107" s="21"/>
      <c r="CQ107" s="21"/>
      <c r="CR107" s="21"/>
      <c r="CS107" s="21"/>
      <c r="CT107" s="21"/>
      <c r="CU107" s="21"/>
      <c r="CV107" s="21"/>
      <c r="CW107" s="21"/>
      <c r="CX107" s="21"/>
      <c r="CY107" s="21"/>
      <c r="CZ107" s="21"/>
      <c r="DA107" s="21"/>
      <c r="DB107" s="21"/>
      <c r="DC107" s="21"/>
      <c r="DD107" s="21"/>
      <c r="DE107" s="21"/>
      <c r="DF107" s="21"/>
      <c r="DG107" s="21"/>
      <c r="DH107" s="21"/>
      <c r="DI107" s="21"/>
      <c r="DJ107" s="21"/>
      <c r="DK107" s="21"/>
      <c r="DL107" s="21"/>
      <c r="DM107" s="21"/>
      <c r="DN107" s="21"/>
      <c r="DO107" s="21"/>
      <c r="DP107" s="21"/>
      <c r="DQ107" s="87"/>
      <c r="DR107" s="87"/>
      <c r="DS107" s="87"/>
      <c r="DT107" s="21"/>
      <c r="DU107" s="21"/>
      <c r="DV107" s="21"/>
      <c r="DW107" s="21"/>
      <c r="DX107" s="21"/>
      <c r="DY107" s="21"/>
      <c r="DZ107" s="21"/>
      <c r="EA107" s="21"/>
      <c r="EB107" s="21"/>
      <c r="EC107" s="21"/>
      <c r="ED107" s="21"/>
      <c r="EE107" s="21"/>
      <c r="EF107" s="21"/>
      <c r="EG107" s="21"/>
      <c r="EH107" s="21"/>
      <c r="EI107" s="21"/>
      <c r="EJ107" s="21"/>
      <c r="EK107" s="21"/>
      <c r="EL107" s="21"/>
      <c r="EM107" s="21"/>
      <c r="EN107" s="21"/>
      <c r="EO107" s="21"/>
      <c r="EP107" s="21"/>
      <c r="EQ107" s="21"/>
      <c r="ER107" s="21"/>
      <c r="ES107" s="21"/>
      <c r="ET107" s="21"/>
      <c r="EU107" s="21"/>
      <c r="EV107" s="21"/>
      <c r="EW107" s="21"/>
      <c r="EX107" s="21"/>
      <c r="EY107" s="21"/>
      <c r="EZ107" s="21"/>
      <c r="FA107" s="21"/>
      <c r="FB107" s="21"/>
      <c r="FC107" s="21"/>
      <c r="FD107" s="21"/>
      <c r="FE107" s="21"/>
      <c r="FF107" s="21"/>
      <c r="FG107" s="21"/>
      <c r="FH107" s="21"/>
      <c r="FI107" s="21"/>
      <c r="FJ107" s="21"/>
      <c r="FK107" s="21"/>
      <c r="FL107" s="21"/>
      <c r="FM107" s="21"/>
      <c r="FN107" s="21"/>
      <c r="FO107" s="21"/>
      <c r="FP107" s="21"/>
      <c r="FQ107" s="21"/>
      <c r="FR107" s="21"/>
      <c r="FS107" s="21"/>
      <c r="FT107" s="21"/>
      <c r="FU107" s="21"/>
      <c r="FV107" s="21"/>
      <c r="FW107" s="21"/>
      <c r="FX107" s="21"/>
      <c r="FY107" s="21"/>
      <c r="FZ107" s="21"/>
      <c r="GA107" s="21"/>
      <c r="GB107" s="21"/>
      <c r="GC107" s="21"/>
      <c r="GD107" s="21"/>
      <c r="GE107" s="21"/>
      <c r="GF107" s="21"/>
      <c r="GG107" s="21"/>
      <c r="GH107" s="21"/>
      <c r="GI107" s="21"/>
      <c r="GJ107" s="21"/>
      <c r="GK107" s="21"/>
      <c r="GL107" s="21"/>
      <c r="GM107" s="21"/>
      <c r="GN107" s="21"/>
      <c r="GO107" s="21"/>
      <c r="GP107" s="21"/>
      <c r="GQ107" s="21"/>
      <c r="GR107" s="21"/>
      <c r="GS107" s="21"/>
      <c r="GT107" s="21"/>
      <c r="GU107" s="21"/>
      <c r="GV107" s="21"/>
      <c r="GW107" s="21"/>
      <c r="GX107" s="21"/>
      <c r="GY107" s="21"/>
      <c r="GZ107" s="21"/>
      <c r="HA107" s="21"/>
      <c r="HB107" s="21"/>
      <c r="HC107" s="21"/>
      <c r="HD107" s="21"/>
      <c r="HE107" s="21"/>
      <c r="HF107" s="21"/>
      <c r="HG107" s="21"/>
      <c r="HH107" s="21"/>
    </row>
    <row r="108" spans="1:254" x14ac:dyDescent="0.25">
      <c r="A108" s="8"/>
      <c r="B108" s="5" t="s">
        <v>116</v>
      </c>
      <c r="C108" s="8"/>
      <c r="D108" s="6" t="s">
        <v>788</v>
      </c>
      <c r="E108" s="8" t="s">
        <v>1157</v>
      </c>
      <c r="F108" s="39" t="s">
        <v>790</v>
      </c>
      <c r="G108" s="9"/>
      <c r="H108" s="9"/>
      <c r="I108" s="9"/>
      <c r="J108" s="9"/>
      <c r="K108" s="9"/>
      <c r="L108" s="6" t="str">
        <f>IF(E109=$AJ$103,"CMP41H41/3,5MC",IF(E109=$AL$103,"CMP41H41/3,5MC",IF(E109=$AL$105,"CMP41H41/3MC",IF(E109=$AN$105,"CMP41H41/2,2MC","-------"))))</f>
        <v>CMP41H41/3,5MC</v>
      </c>
      <c r="M108" s="11">
        <f>INDEX(cennik!$C$2:$L$529,MATCH($L108,cennik!$B$2:$B$522,0),MATCH(M$2,cennik!$C$1:$L$1,0))</f>
        <v>851135</v>
      </c>
      <c r="N108" s="11" t="str">
        <f>INDEX(cennik!$C$2:$L$529,MATCH($L108,cennik!$B$2:$B$522,0),MATCH(N$2,cennik!$C$1:$L$1,0))</f>
        <v>szt.</v>
      </c>
      <c r="O108" s="11">
        <f>SUM(AA94:AA109)</f>
        <v>0</v>
      </c>
      <c r="P108" s="34">
        <f>INDEX(cennik!$C$2:$L$529,MATCH($L108,cennik!$B$2:$B$522,0),MATCH(P$2,cennik!$C$1:$L$1,0))</f>
        <v>73.5</v>
      </c>
      <c r="Q108" s="34">
        <f t="shared" si="160"/>
        <v>0</v>
      </c>
      <c r="R108" s="35">
        <f t="shared" si="156"/>
        <v>0</v>
      </c>
      <c r="S108" s="34">
        <f t="shared" si="157"/>
        <v>73.5</v>
      </c>
      <c r="T108" s="34">
        <f t="shared" si="161"/>
        <v>0</v>
      </c>
      <c r="U108" s="34">
        <f>INDEX(cennik!$C$2:$L$529,MATCH($L108,cennik!$B$2:$B$522,0),MATCH(U$2,cennik!$C$1:$L$1,0))*O108</f>
        <v>0</v>
      </c>
      <c r="V108" s="21"/>
      <c r="W108" s="189">
        <f>INDEX(($EL$85:$FI$89,$EL$93:$FI$97,$FL$85:$GI$89,$FL$93:$GI$97,$GS$85:$HP$89,$GS$92:$HP$96,$HT$85:$IQ$89,$HT$92:$IQ$96,$HT$99:$IQ$103),MATCH($L$113,$EK$85:$EK$89,0),MATCH($A110,$EL$84:$FI$84,0),MATCH($G$99,$AE$24:$AE$32,0))*$C110</f>
        <v>0</v>
      </c>
      <c r="X108" s="189">
        <f>INDEX(($EL$85:$FI$89,$EL$93:$FI$97,$FL$85:$GI$89,$FL$93:$GI$97,$GS$85:$HP$89,$GS$92:$HP$96,$HT$85:$IQ$89,$HT$92:$IQ$96,$HT$99:$IQ$103),MATCH($L$110,$EK$85:$EK$89,0),MATCH($A110,$EL$84:$FI$84,0),MATCH($G$99,$AE$24:$AE$32,0))*$C110</f>
        <v>0</v>
      </c>
      <c r="Y108" s="189">
        <f>INDEX(($EL$85:$FI$89,$EL$93:$FI$97,$FL$85:$GI$89,$FL$93:$GI$97,$GS$85:$HP$89,$GS$92:$HP$96,$HT$85:$IQ$89,$HT$92:$IQ$96,$HT$99:$IQ$103),MATCH($L$111,$EK$85:$EK$89,0),MATCH($A110,$EL$84:$FI$84,0),MATCH($G$99,$AE$24:$AE$32,0))*$C110</f>
        <v>0</v>
      </c>
      <c r="Z108" s="189">
        <f>INDEX(($EL$85:$FI$89,$EL$93:$FI$97,$FL$85:$GI$89,$FL$93:$GI$97,$GS$85:$HP$89,$GS$92:$HP$96,$HT$85:$IQ$89,$HT$92:$IQ$96,$HT$99:$IQ$103),MATCH($L$112,$EK$85:$EK$89,0),MATCH($A110,$EL$84:$FI$84,0),MATCH($G$99,$AE$24:$AE$32,0))*$C110</f>
        <v>0</v>
      </c>
      <c r="AA108" s="21">
        <f t="shared" si="151"/>
        <v>0</v>
      </c>
      <c r="AB108" s="21">
        <f t="shared" si="147"/>
        <v>0</v>
      </c>
      <c r="AC108" s="21"/>
      <c r="AD108" s="21"/>
      <c r="AE108" s="21"/>
      <c r="AF108" s="21"/>
      <c r="AG108" s="21"/>
      <c r="AH108" s="21"/>
      <c r="AI108" s="21"/>
      <c r="AJ108" s="21"/>
      <c r="AK108" s="21"/>
      <c r="AL108" s="21"/>
      <c r="AM108" s="21"/>
      <c r="AN108" s="21"/>
      <c r="AO108" s="21">
        <f t="shared" si="148"/>
        <v>1</v>
      </c>
      <c r="AP108" s="21" t="s">
        <v>113</v>
      </c>
      <c r="AQ108" s="21" t="s">
        <v>596</v>
      </c>
      <c r="AR108" s="21" t="s">
        <v>595</v>
      </c>
      <c r="AS108" s="21" t="s">
        <v>593</v>
      </c>
      <c r="AT108" s="21" t="s">
        <v>593</v>
      </c>
      <c r="AU108" s="21"/>
      <c r="AV108" s="21" t="s">
        <v>113</v>
      </c>
      <c r="AW108" s="21" t="s">
        <v>151</v>
      </c>
      <c r="AX108" s="21" t="s">
        <v>151</v>
      </c>
      <c r="AY108" s="21" t="s">
        <v>151</v>
      </c>
      <c r="AZ108" s="21" t="s">
        <v>151</v>
      </c>
      <c r="BA108" s="21"/>
      <c r="BB108" s="21"/>
      <c r="BC108" s="21"/>
      <c r="BD108" s="21"/>
      <c r="BE108" s="21"/>
      <c r="BF108" s="21"/>
      <c r="BG108" s="21"/>
      <c r="BH108" s="21"/>
      <c r="BI108" s="21"/>
      <c r="BJ108" s="21"/>
      <c r="BK108" s="21"/>
      <c r="BL108" s="21"/>
      <c r="BM108" s="21"/>
      <c r="BN108" s="21"/>
      <c r="BO108" s="21"/>
      <c r="BP108" s="21"/>
      <c r="BQ108" s="21"/>
      <c r="BR108" s="21"/>
      <c r="BS108" s="21"/>
      <c r="BT108" s="21"/>
      <c r="BU108" s="21"/>
      <c r="BV108" s="21"/>
      <c r="BW108" s="21"/>
      <c r="BX108" s="21"/>
      <c r="BY108" s="21"/>
      <c r="BZ108" s="21"/>
      <c r="CA108" s="21"/>
      <c r="CB108" s="21"/>
      <c r="CC108" s="21"/>
      <c r="CD108" s="21"/>
      <c r="CE108" s="21"/>
      <c r="CF108" s="21"/>
      <c r="CG108" s="21"/>
      <c r="CH108" s="21"/>
      <c r="CI108" s="21"/>
      <c r="CJ108" s="21"/>
      <c r="CK108" s="21"/>
      <c r="CL108" s="21"/>
      <c r="CM108" s="21"/>
      <c r="CN108" s="21"/>
      <c r="CO108" s="21"/>
      <c r="CP108" s="21"/>
      <c r="CQ108" s="21"/>
      <c r="CR108" s="21"/>
      <c r="CS108" s="21"/>
      <c r="CT108" s="21"/>
      <c r="CU108" s="21"/>
      <c r="CV108" s="21"/>
      <c r="CW108" s="21"/>
      <c r="CX108" s="21"/>
      <c r="CY108" s="21"/>
      <c r="CZ108" s="21"/>
      <c r="DA108" s="21"/>
      <c r="DB108" s="21"/>
      <c r="DC108" s="21"/>
      <c r="DD108" s="21"/>
      <c r="DE108" s="21"/>
      <c r="DF108" s="21"/>
      <c r="DG108" s="21"/>
      <c r="DH108" s="21"/>
      <c r="DI108" s="21"/>
      <c r="DJ108" s="21"/>
      <c r="DK108" s="21"/>
      <c r="DL108" s="21"/>
      <c r="DM108" s="21"/>
      <c r="DN108" s="21"/>
      <c r="DO108" s="21"/>
      <c r="DP108" s="21"/>
      <c r="DQ108" s="87"/>
      <c r="DR108" s="87"/>
      <c r="DS108" s="87"/>
      <c r="DT108" s="21"/>
      <c r="DU108" s="21"/>
      <c r="DV108" s="21"/>
      <c r="DW108" s="21"/>
      <c r="DX108" s="21"/>
      <c r="DY108" s="21"/>
      <c r="DZ108" s="21"/>
      <c r="EA108" s="21"/>
      <c r="EB108" s="21"/>
      <c r="EC108" s="21"/>
      <c r="ED108" s="21"/>
      <c r="EE108" s="21"/>
      <c r="EF108" s="21"/>
      <c r="EG108" s="21"/>
      <c r="EH108" s="21"/>
      <c r="EI108" s="21"/>
      <c r="EJ108" s="21" t="s">
        <v>769</v>
      </c>
      <c r="EK108" s="21"/>
      <c r="EL108" s="21"/>
      <c r="EM108" s="21"/>
      <c r="EN108" s="21"/>
      <c r="EO108" s="21"/>
      <c r="EP108" s="21"/>
      <c r="EQ108" s="21"/>
      <c r="ER108" s="21"/>
      <c r="ES108" s="21"/>
      <c r="ET108" s="21"/>
      <c r="EU108" s="21"/>
      <c r="EV108" s="21"/>
      <c r="EW108" s="21"/>
      <c r="EX108" s="21"/>
      <c r="EY108" s="21"/>
      <c r="EZ108" s="21"/>
      <c r="FA108" s="21"/>
      <c r="FB108" s="21"/>
      <c r="FC108" s="21"/>
      <c r="FD108" s="21"/>
      <c r="FE108" s="21"/>
      <c r="FF108" s="21"/>
      <c r="FG108" s="21"/>
      <c r="FH108" s="21"/>
      <c r="FI108" s="21"/>
      <c r="FJ108" s="21"/>
      <c r="FK108" s="21"/>
      <c r="FL108" s="21"/>
      <c r="FM108" s="21"/>
      <c r="FN108" s="21"/>
      <c r="FO108" s="21"/>
      <c r="FP108" s="21"/>
      <c r="FQ108" s="21"/>
      <c r="FR108" s="21"/>
      <c r="FS108" s="21"/>
      <c r="FT108" s="21"/>
      <c r="FU108" s="21"/>
      <c r="FV108" s="21"/>
      <c r="FW108" s="21"/>
      <c r="FX108" s="21"/>
      <c r="FY108" s="21"/>
      <c r="FZ108" s="21"/>
      <c r="GA108" s="21"/>
      <c r="GB108" s="21"/>
      <c r="GC108" s="21"/>
      <c r="GD108" s="21"/>
      <c r="GE108" s="21"/>
      <c r="GF108" s="21"/>
      <c r="GG108" s="21"/>
      <c r="GH108" s="21"/>
      <c r="GI108" s="21"/>
      <c r="GJ108" s="21"/>
      <c r="GK108" s="21"/>
      <c r="GL108" s="21"/>
      <c r="GM108" s="21"/>
      <c r="GN108" s="21"/>
      <c r="GO108" s="21"/>
      <c r="GP108" s="21"/>
      <c r="GQ108" s="21"/>
      <c r="GR108" s="21"/>
      <c r="GS108" s="21"/>
      <c r="GT108" s="21"/>
      <c r="GU108" s="21"/>
      <c r="GV108" s="21"/>
      <c r="GW108" s="21"/>
      <c r="GX108" s="21"/>
      <c r="GY108" s="21"/>
      <c r="GZ108" s="21"/>
      <c r="HA108" s="21"/>
      <c r="HB108" s="21"/>
      <c r="HC108" s="21"/>
      <c r="HD108" s="21"/>
      <c r="HE108" s="21"/>
      <c r="HF108" s="21"/>
      <c r="HG108" s="21"/>
      <c r="HH108" s="21"/>
    </row>
    <row r="109" spans="1:254" ht="15.75" thickBot="1" x14ac:dyDescent="0.3">
      <c r="A109" s="8"/>
      <c r="B109" s="5" t="s">
        <v>116</v>
      </c>
      <c r="C109" s="8"/>
      <c r="D109" s="6" t="s">
        <v>718</v>
      </c>
      <c r="E109" s="32">
        <f>INDEX((AJ103:AN105),MATCH(E107,AI103:AI105,0),MATCH(E108,AJ102:AN102,0))</f>
        <v>2900</v>
      </c>
      <c r="F109" s="9"/>
      <c r="G109" s="9"/>
      <c r="H109" s="9"/>
      <c r="I109" s="9"/>
      <c r="J109" s="29" t="s">
        <v>119</v>
      </c>
      <c r="K109" s="9"/>
      <c r="L109" s="6" t="s">
        <v>1111</v>
      </c>
      <c r="M109" s="11">
        <f>INDEX(cennik!$C$2:$L$529,MATCH($L109,cennik!$B$2:$B$522,0),MATCH(M$2,cennik!$C$1:$L$1,0))</f>
        <v>850252</v>
      </c>
      <c r="N109" s="11" t="str">
        <f>INDEX(cennik!$C$2:$L$529,MATCH($L109,cennik!$B$2:$B$522,0),MATCH(N$2,cennik!$C$1:$L$1,0))</f>
        <v>szt.</v>
      </c>
      <c r="O109" s="11">
        <f>O101+O107</f>
        <v>0</v>
      </c>
      <c r="P109" s="34">
        <f>INDEX(cennik!$C$2:$L$529,MATCH($L109,cennik!$B$2:$B$522,0),MATCH(P$2,cennik!$C$1:$L$1,0))</f>
        <v>6.06</v>
      </c>
      <c r="Q109" s="34">
        <f t="shared" si="160"/>
        <v>0</v>
      </c>
      <c r="R109" s="35">
        <f t="shared" si="156"/>
        <v>0</v>
      </c>
      <c r="S109" s="34">
        <f t="shared" si="157"/>
        <v>6.06</v>
      </c>
      <c r="T109" s="34">
        <f t="shared" si="161"/>
        <v>0</v>
      </c>
      <c r="U109" s="34">
        <f>INDEX(cennik!$C$2:$L$529,MATCH($L109,cennik!$B$2:$B$522,0),MATCH(U$2,cennik!$C$1:$L$1,0))*O109</f>
        <v>0</v>
      </c>
      <c r="V109" s="21"/>
      <c r="W109" s="189">
        <f>INDEX(($EL$85:$FI$89,$EL$93:$FI$97,$FL$85:$GI$89,$FL$93:$GI$97,$GS$85:$HP$89,$GS$92:$HP$96,$HT$85:$IQ$89,$HT$92:$IQ$96,$HT$99:$IQ$103),MATCH($L$113,$EK$85:$EK$89,0),MATCH($A111,$EL$84:$FI$84,0),MATCH($G$99,$AE$24:$AE$32,0))*$C111</f>
        <v>0</v>
      </c>
      <c r="X109" s="189">
        <f>INDEX(($EL$85:$FI$89,$EL$93:$FI$97,$FL$85:$GI$89,$FL$93:$GI$97,$GS$85:$HP$89,$GS$92:$HP$96,$HT$85:$IQ$89,$HT$92:$IQ$96,$HT$99:$IQ$103),MATCH($L$110,$EK$85:$EK$89,0),MATCH($A111,$EL$84:$FI$84,0),MATCH($G$99,$AE$24:$AE$32,0))*$C111</f>
        <v>0</v>
      </c>
      <c r="Y109" s="189">
        <f>INDEX(($EL$85:$FI$89,$EL$93:$FI$97,$FL$85:$GI$89,$FL$93:$GI$97,$GS$85:$HP$89,$GS$92:$HP$96,$HT$85:$IQ$89,$HT$92:$IQ$96,$HT$99:$IQ$103),MATCH($L$111,$EK$85:$EK$89,0),MATCH($A111,$EL$84:$FI$84,0),MATCH($G$99,$AE$24:$AE$32,0))*$C111</f>
        <v>0</v>
      </c>
      <c r="Z109" s="189">
        <f>INDEX(($EL$85:$FI$89,$EL$93:$FI$97,$FL$85:$GI$89,$FL$93:$GI$97,$GS$85:$HP$89,$GS$92:$HP$96,$HT$85:$IQ$89,$HT$92:$IQ$96,$HT$99:$IQ$103),MATCH($L$112,$EK$85:$EK$89,0),MATCH($A111,$EL$84:$FI$84,0),MATCH($G$99,$AE$24:$AE$32,0))*$C111</f>
        <v>0</v>
      </c>
      <c r="AA109" s="21">
        <f t="shared" si="151"/>
        <v>0</v>
      </c>
      <c r="AB109" s="21">
        <f t="shared" si="147"/>
        <v>0</v>
      </c>
      <c r="AC109" s="21"/>
      <c r="AD109" s="21"/>
      <c r="AE109" s="21"/>
      <c r="AF109" s="21"/>
      <c r="AG109" s="21"/>
      <c r="AH109" s="21"/>
      <c r="AI109" s="21"/>
      <c r="AJ109" s="21"/>
      <c r="AK109" s="21"/>
      <c r="AL109" s="21"/>
      <c r="AM109" s="21"/>
      <c r="AN109" s="21"/>
      <c r="AO109" s="21">
        <f t="shared" si="148"/>
        <v>1</v>
      </c>
      <c r="AP109" s="21" t="s">
        <v>137</v>
      </c>
      <c r="AQ109" s="21" t="s">
        <v>596</v>
      </c>
      <c r="AR109" s="21" t="s">
        <v>595</v>
      </c>
      <c r="AS109" s="21" t="s">
        <v>593</v>
      </c>
      <c r="AT109" s="21" t="s">
        <v>593</v>
      </c>
      <c r="AU109" s="21"/>
      <c r="AV109" s="21" t="s">
        <v>137</v>
      </c>
      <c r="AW109" s="21" t="s">
        <v>151</v>
      </c>
      <c r="AX109" s="21" t="s">
        <v>151</v>
      </c>
      <c r="AY109" s="21" t="s">
        <v>151</v>
      </c>
      <c r="AZ109" s="21" t="s">
        <v>151</v>
      </c>
      <c r="BA109" s="21"/>
      <c r="BB109" s="21"/>
      <c r="BC109" s="21"/>
      <c r="BD109" s="21"/>
      <c r="BE109" s="21"/>
      <c r="BF109" s="21"/>
      <c r="BG109" s="21"/>
      <c r="BH109" s="21"/>
      <c r="BI109" s="21"/>
      <c r="BJ109" s="21"/>
      <c r="BK109" s="21"/>
      <c r="BL109" s="21"/>
      <c r="BM109" s="21"/>
      <c r="BN109" s="21"/>
      <c r="BO109" s="21"/>
      <c r="BP109" s="21"/>
      <c r="BQ109" s="21"/>
      <c r="BR109" s="21"/>
      <c r="BS109" s="21"/>
      <c r="BT109" s="21"/>
      <c r="BU109" s="21"/>
      <c r="BV109" s="21"/>
      <c r="BW109" s="21"/>
      <c r="BX109" s="21"/>
      <c r="BY109" s="21"/>
      <c r="BZ109" s="21"/>
      <c r="CA109" s="21"/>
      <c r="CB109" s="21"/>
      <c r="CC109" s="21"/>
      <c r="CD109" s="21"/>
      <c r="CE109" s="21"/>
      <c r="CF109" s="21"/>
      <c r="CG109" s="21"/>
      <c r="CH109" s="21"/>
      <c r="CI109" s="21"/>
      <c r="CJ109" s="21"/>
      <c r="CK109" s="21"/>
      <c r="CL109" s="21"/>
      <c r="CM109" s="21"/>
      <c r="CN109" s="21"/>
      <c r="CO109" s="21"/>
      <c r="CP109" s="21"/>
      <c r="CQ109" s="21"/>
      <c r="CR109" s="21"/>
      <c r="CS109" s="21"/>
      <c r="CT109" s="21"/>
      <c r="CU109" s="21"/>
      <c r="CV109" s="21"/>
      <c r="CW109" s="21"/>
      <c r="CX109" s="21"/>
      <c r="CY109" s="21"/>
      <c r="CZ109" s="21"/>
      <c r="DA109" s="21"/>
      <c r="DB109" s="21"/>
      <c r="DC109" s="21"/>
      <c r="DD109" s="21"/>
      <c r="DE109" s="21"/>
      <c r="DF109" s="21"/>
      <c r="DG109" s="21"/>
      <c r="DH109" s="21"/>
      <c r="DI109" s="21"/>
      <c r="DJ109" s="21"/>
      <c r="DK109" s="21"/>
      <c r="DL109" s="21"/>
      <c r="DM109" s="21"/>
      <c r="DN109" s="21"/>
      <c r="DO109" s="21"/>
      <c r="DP109" s="21"/>
      <c r="DQ109" s="87"/>
      <c r="DR109" s="87"/>
      <c r="DS109" s="87"/>
      <c r="DT109" s="21"/>
      <c r="DU109" s="21"/>
      <c r="DV109" s="21"/>
      <c r="DW109" s="21"/>
      <c r="DX109" s="21"/>
      <c r="DY109" s="21"/>
      <c r="DZ109" s="21"/>
      <c r="EA109" s="21"/>
      <c r="EB109" s="21"/>
      <c r="EC109" s="21"/>
      <c r="ED109" s="21"/>
      <c r="EE109" s="21"/>
      <c r="EF109" s="21"/>
      <c r="EG109" s="21"/>
      <c r="EH109" s="21"/>
      <c r="EI109" s="21"/>
      <c r="EJ109" s="21"/>
      <c r="EK109" s="21"/>
      <c r="EL109" s="21"/>
      <c r="EM109" s="21"/>
      <c r="EN109" s="21"/>
      <c r="EO109" s="21"/>
      <c r="EP109" s="21"/>
      <c r="EQ109" s="21"/>
      <c r="ER109" s="21"/>
      <c r="ES109" s="21"/>
      <c r="ET109" s="21"/>
      <c r="EU109" s="21"/>
      <c r="EV109" s="21"/>
      <c r="EW109" s="21"/>
      <c r="EX109" s="21"/>
      <c r="EY109" s="21"/>
      <c r="EZ109" s="21"/>
      <c r="FA109" s="21"/>
      <c r="FB109" s="21"/>
      <c r="FC109" s="21"/>
      <c r="FD109" s="21"/>
      <c r="FE109" s="21"/>
      <c r="FF109" s="21"/>
      <c r="FG109" s="21"/>
      <c r="FH109" s="21"/>
      <c r="FI109" s="21"/>
      <c r="FJ109" s="21"/>
      <c r="FK109" s="21"/>
      <c r="FL109" s="21"/>
      <c r="FM109" s="21"/>
      <c r="FN109" s="21"/>
      <c r="FO109" s="21"/>
      <c r="FP109" s="21"/>
      <c r="FQ109" s="21"/>
      <c r="FR109" s="21"/>
      <c r="FS109" s="21"/>
      <c r="FT109" s="21"/>
      <c r="FU109" s="21"/>
      <c r="FV109" s="21"/>
      <c r="FW109" s="21"/>
      <c r="FX109" s="21"/>
      <c r="FY109" s="21"/>
      <c r="FZ109" s="21"/>
      <c r="GA109" s="21"/>
      <c r="GB109" s="21"/>
      <c r="GC109" s="21"/>
      <c r="GD109" s="21"/>
      <c r="GE109" s="21"/>
      <c r="GF109" s="21"/>
      <c r="GG109" s="21"/>
      <c r="GH109" s="21"/>
      <c r="GI109" s="21"/>
      <c r="GJ109" s="21"/>
      <c r="GK109" s="21"/>
      <c r="GL109" s="21"/>
      <c r="GM109" s="21"/>
      <c r="GN109" s="21"/>
      <c r="GO109" s="21"/>
      <c r="GP109" s="21"/>
      <c r="GQ109" s="21"/>
      <c r="GR109" s="21"/>
      <c r="GS109" s="21"/>
      <c r="GT109" s="21"/>
      <c r="GU109" s="21"/>
      <c r="GV109" s="21"/>
      <c r="GW109" s="21"/>
      <c r="GX109" s="21"/>
      <c r="GY109" s="21"/>
      <c r="GZ109" s="21"/>
      <c r="HA109" s="21"/>
      <c r="HB109" s="21"/>
      <c r="HC109" s="21"/>
      <c r="HD109" s="21"/>
      <c r="HE109" s="21"/>
      <c r="HF109" s="21"/>
      <c r="HG109" s="21"/>
      <c r="HH109" s="21"/>
    </row>
    <row r="110" spans="1:254" x14ac:dyDescent="0.25">
      <c r="A110" s="8"/>
      <c r="B110" s="5" t="s">
        <v>116</v>
      </c>
      <c r="C110" s="8"/>
      <c r="D110" s="6" t="str">
        <f>IF(E101=$AC$8,"długość śruby GSW","")</f>
        <v/>
      </c>
      <c r="E110" s="38">
        <v>1600</v>
      </c>
      <c r="F110" s="9"/>
      <c r="G110" s="9"/>
      <c r="H110" s="9"/>
      <c r="I110" s="9"/>
      <c r="J110" s="29" t="str">
        <f>IF(E101=$AC$8,"[mm]","")</f>
        <v/>
      </c>
      <c r="K110" s="9"/>
      <c r="L110" s="6" t="s">
        <v>586</v>
      </c>
      <c r="M110" s="11">
        <f>INDEX(cennik!$C$2:$L$529,MATCH($L110,cennik!$B$2:$B$522,0),MATCH(M$2,cennik!$C$1:$L$1,0))</f>
        <v>867566</v>
      </c>
      <c r="N110" s="11" t="str">
        <f>INDEX(cennik!$C$2:$L$529,MATCH($L110,cennik!$B$2:$B$522,0),MATCH(N$2,cennik!$C$1:$L$1,0))</f>
        <v>szt.</v>
      </c>
      <c r="O110" s="11">
        <f>SUM(X96:X111)</f>
        <v>0</v>
      </c>
      <c r="P110" s="34">
        <f>INDEX(cennik!$C$2:$L$529,MATCH($L110,cennik!$B$2:$B$522,0),MATCH(P$2,cennik!$C$1:$L$1,0))</f>
        <v>265.20999999999998</v>
      </c>
      <c r="Q110" s="34">
        <f t="shared" si="160"/>
        <v>0</v>
      </c>
      <c r="R110" s="35">
        <f t="shared" si="156"/>
        <v>0</v>
      </c>
      <c r="S110" s="34">
        <f t="shared" si="157"/>
        <v>265.20999999999998</v>
      </c>
      <c r="T110" s="34">
        <f t="shared" si="161"/>
        <v>0</v>
      </c>
      <c r="U110" s="34">
        <f>INDEX(cennik!$C$2:$L$529,MATCH($L110,cennik!$B$2:$B$522,0),MATCH(U$2,cennik!$C$1:$L$1,0))*O110</f>
        <v>0</v>
      </c>
      <c r="V110" s="27"/>
      <c r="W110" s="189">
        <f>INDEX(($EL$85:$FI$89,$EL$93:$FI$97,$FL$85:$GI$89,$FL$93:$GI$97,$GS$85:$HP$89,$GS$92:$HP$96,$HT$85:$IQ$89,$HT$92:$IQ$96,$HT$99:$IQ$103),MATCH($L$113,$EK$85:$EK$89,0),MATCH($A112,$EL$84:$FI$84,0),MATCH($G$99,$AE$24:$AE$32,0))*$C112</f>
        <v>0</v>
      </c>
      <c r="X110" s="189">
        <f>INDEX(($EL$85:$FI$89,$EL$93:$FI$97,$FL$85:$GI$89,$FL$93:$GI$97,$GS$85:$HP$89,$GS$92:$HP$96,$HT$85:$IQ$89,$HT$92:$IQ$96,$HT$99:$IQ$103),MATCH($L$110,$EK$85:$EK$89,0),MATCH($A112,$EL$84:$FI$84,0),MATCH($G$99,$AE$24:$AE$32,0))*$C112</f>
        <v>0</v>
      </c>
      <c r="Y110" s="189">
        <f>INDEX(($EL$85:$FI$89,$EL$93:$FI$97,$FL$85:$GI$89,$FL$93:$GI$97,$GS$85:$HP$89,$GS$92:$HP$96,$HT$85:$IQ$89,$HT$92:$IQ$96,$HT$99:$IQ$103),MATCH($L$111,$EK$85:$EK$89,0),MATCH($A112,$EL$84:$FI$84,0),MATCH($G$99,$AE$24:$AE$32,0))*$C112</f>
        <v>0</v>
      </c>
      <c r="Z110" s="189">
        <f>INDEX(($EL$85:$FI$89,$EL$93:$FI$97,$FL$85:$GI$89,$FL$93:$GI$97,$GS$85:$HP$89,$GS$92:$HP$96,$HT$85:$IQ$89,$HT$92:$IQ$96,$HT$99:$IQ$103),MATCH($L$112,$EK$85:$EK$89,0),MATCH($A112,$EL$84:$FI$84,0),MATCH($G$99,$AE$24:$AE$32,0))*$C112</f>
        <v>0</v>
      </c>
      <c r="AA110" s="21"/>
      <c r="AB110" s="21"/>
      <c r="AC110" s="21"/>
      <c r="AD110" s="21"/>
      <c r="AE110" s="21"/>
      <c r="AF110" s="21"/>
      <c r="AG110" s="21"/>
      <c r="AH110" s="21"/>
      <c r="AI110" s="21"/>
      <c r="AJ110" s="21"/>
      <c r="AK110" s="21"/>
      <c r="AL110" s="21"/>
      <c r="AM110" s="21"/>
      <c r="AN110" s="21"/>
      <c r="AO110" s="21"/>
      <c r="AP110" s="21" t="s">
        <v>138</v>
      </c>
      <c r="AQ110" s="21" t="s">
        <v>596</v>
      </c>
      <c r="AR110" s="21" t="s">
        <v>595</v>
      </c>
      <c r="AS110" s="21" t="s">
        <v>593</v>
      </c>
      <c r="AT110" s="21" t="s">
        <v>593</v>
      </c>
      <c r="AU110" s="21"/>
      <c r="AV110" s="21" t="s">
        <v>138</v>
      </c>
      <c r="AW110" s="21" t="s">
        <v>151</v>
      </c>
      <c r="AX110" s="21" t="s">
        <v>151</v>
      </c>
      <c r="AY110" s="21" t="s">
        <v>151</v>
      </c>
      <c r="AZ110" s="21" t="s">
        <v>151</v>
      </c>
      <c r="BA110" s="21"/>
      <c r="BB110" s="21"/>
      <c r="BC110" s="21"/>
      <c r="BD110" s="21"/>
      <c r="BE110" s="21"/>
      <c r="BF110" s="21"/>
      <c r="BG110" s="21"/>
      <c r="BH110" s="21"/>
      <c r="BI110" s="21"/>
      <c r="BJ110" s="21"/>
      <c r="BK110" s="21"/>
      <c r="BL110" s="21"/>
      <c r="BM110" s="21"/>
      <c r="BN110" s="21"/>
      <c r="BO110" s="21"/>
      <c r="BP110" s="21"/>
      <c r="BQ110" s="21"/>
      <c r="BR110" s="21"/>
      <c r="BS110" s="21"/>
      <c r="BT110" s="21"/>
      <c r="BU110" s="21"/>
      <c r="BV110" s="21"/>
      <c r="BW110" s="21"/>
      <c r="BX110" s="21"/>
      <c r="BY110" s="21"/>
      <c r="BZ110" s="21"/>
      <c r="CA110" s="21"/>
      <c r="CB110" s="21"/>
      <c r="CC110" s="21"/>
      <c r="CD110" s="21"/>
      <c r="CE110" s="21"/>
      <c r="CF110" s="21"/>
      <c r="CG110" s="21"/>
      <c r="CH110" s="21"/>
      <c r="CI110" s="21"/>
      <c r="CJ110" s="21"/>
      <c r="CK110" s="21"/>
      <c r="CL110" s="21"/>
      <c r="CM110" s="21"/>
      <c r="CN110" s="21"/>
      <c r="CO110" s="21"/>
      <c r="CP110" s="21"/>
      <c r="CQ110" s="21"/>
      <c r="CR110" s="21"/>
      <c r="CS110" s="21"/>
      <c r="CT110" s="21"/>
      <c r="CU110" s="21"/>
      <c r="CV110" s="21"/>
      <c r="CW110" s="21"/>
      <c r="CX110" s="21"/>
      <c r="CY110" s="21"/>
      <c r="CZ110" s="21"/>
      <c r="DA110" s="21"/>
      <c r="DB110" s="21"/>
      <c r="DC110" s="21"/>
      <c r="DD110" s="21"/>
      <c r="DE110" s="21"/>
      <c r="DF110" s="21"/>
      <c r="DG110" s="21"/>
      <c r="DH110" s="21"/>
      <c r="DI110" s="21"/>
      <c r="DJ110" s="21"/>
      <c r="DK110" s="21"/>
      <c r="DL110" s="21"/>
      <c r="DM110" s="21"/>
      <c r="DN110" s="21"/>
      <c r="DO110" s="21"/>
      <c r="DP110" s="21"/>
      <c r="DQ110" s="87"/>
      <c r="DR110" s="87">
        <v>0</v>
      </c>
      <c r="DS110" s="87"/>
      <c r="DT110" s="21"/>
      <c r="DU110" s="21"/>
      <c r="DV110" s="21"/>
      <c r="DW110" s="21"/>
      <c r="DX110" s="21"/>
      <c r="DY110" s="21"/>
      <c r="DZ110" s="21"/>
      <c r="EA110" s="21"/>
      <c r="EB110" s="21"/>
      <c r="EC110" s="21"/>
      <c r="ED110" s="21"/>
      <c r="EE110" s="21"/>
      <c r="EF110" s="21"/>
      <c r="EG110" s="21"/>
      <c r="EH110" s="21"/>
      <c r="EI110" s="21"/>
      <c r="EJ110" s="193"/>
      <c r="EK110" s="194"/>
      <c r="EL110" s="194"/>
      <c r="EM110" s="194"/>
      <c r="EN110" s="194"/>
      <c r="EO110" s="194"/>
      <c r="EP110" s="194"/>
      <c r="EQ110" s="194"/>
      <c r="ER110" s="194"/>
      <c r="ES110" s="194"/>
      <c r="ET110" s="194"/>
      <c r="EU110" s="194"/>
      <c r="EV110" s="194"/>
      <c r="EW110" s="194"/>
      <c r="EX110" s="194"/>
      <c r="EY110" s="194"/>
      <c r="EZ110" s="194"/>
      <c r="FA110" s="194"/>
      <c r="FB110" s="194"/>
      <c r="FC110" s="194"/>
      <c r="FD110" s="194"/>
      <c r="FE110" s="194"/>
      <c r="FF110" s="194"/>
      <c r="FG110" s="194"/>
      <c r="FH110" s="194"/>
      <c r="FI110" s="194"/>
      <c r="FJ110" s="194"/>
      <c r="FK110" s="194"/>
      <c r="FL110" s="194"/>
      <c r="FM110" s="194"/>
      <c r="FN110" s="194"/>
      <c r="FO110" s="194"/>
      <c r="FP110" s="194"/>
      <c r="FQ110" s="194"/>
      <c r="FR110" s="194"/>
      <c r="FS110" s="194"/>
      <c r="FT110" s="194"/>
      <c r="FU110" s="194"/>
      <c r="FV110" s="194"/>
      <c r="FW110" s="194"/>
      <c r="FX110" s="194"/>
      <c r="FY110" s="194"/>
      <c r="FZ110" s="194"/>
      <c r="GA110" s="194"/>
      <c r="GB110" s="194"/>
      <c r="GC110" s="194"/>
      <c r="GD110" s="194"/>
      <c r="GE110" s="194"/>
      <c r="GF110" s="194"/>
      <c r="GG110" s="194"/>
      <c r="GH110" s="194"/>
      <c r="GI110" s="194"/>
      <c r="GJ110" s="194"/>
      <c r="GK110" s="194"/>
      <c r="GL110" s="194"/>
      <c r="GM110" s="194"/>
      <c r="GN110" s="194"/>
      <c r="GO110" s="194"/>
      <c r="GP110" s="194"/>
      <c r="GQ110" s="194"/>
      <c r="GR110" s="194"/>
      <c r="GS110" s="194"/>
      <c r="GT110" s="194"/>
      <c r="GU110" s="194"/>
      <c r="GV110" s="194"/>
      <c r="GW110" s="194"/>
      <c r="GX110" s="194"/>
      <c r="GY110" s="194"/>
      <c r="GZ110" s="194"/>
      <c r="HA110" s="194"/>
      <c r="HB110" s="194"/>
      <c r="HC110" s="194"/>
      <c r="HD110" s="194"/>
      <c r="HE110" s="194"/>
      <c r="HF110" s="194"/>
      <c r="HG110" s="194"/>
      <c r="HH110" s="194"/>
      <c r="HI110" s="206"/>
      <c r="HJ110" s="206"/>
      <c r="HK110" s="206"/>
      <c r="HL110" s="206"/>
      <c r="HM110" s="206"/>
      <c r="HN110" s="206"/>
      <c r="HO110" s="206"/>
      <c r="HP110" s="206"/>
      <c r="HQ110" s="206"/>
      <c r="HR110" s="206"/>
      <c r="HS110" s="206"/>
      <c r="HT110" s="206"/>
      <c r="HU110" s="206"/>
      <c r="HV110" s="206"/>
      <c r="HW110" s="206"/>
      <c r="HX110" s="206"/>
      <c r="HY110" s="206"/>
      <c r="HZ110" s="206"/>
      <c r="IA110" s="206"/>
      <c r="IB110" s="206"/>
      <c r="IC110" s="206"/>
      <c r="ID110" s="206"/>
      <c r="IE110" s="206"/>
      <c r="IF110" s="206"/>
      <c r="IG110" s="206"/>
      <c r="IH110" s="206"/>
      <c r="II110" s="206"/>
      <c r="IJ110" s="206"/>
      <c r="IK110" s="206"/>
      <c r="IL110" s="206"/>
      <c r="IM110" s="206"/>
      <c r="IN110" s="206"/>
      <c r="IO110" s="206"/>
      <c r="IP110" s="206"/>
      <c r="IQ110" s="206"/>
      <c r="IR110" s="207"/>
    </row>
    <row r="111" spans="1:254" x14ac:dyDescent="0.25">
      <c r="A111" s="8"/>
      <c r="B111" s="5" t="s">
        <v>116</v>
      </c>
      <c r="C111" s="8"/>
      <c r="D111" s="40" t="s">
        <v>795</v>
      </c>
      <c r="E111" s="9"/>
      <c r="F111" s="9"/>
      <c r="G111" s="9"/>
      <c r="H111" s="9"/>
      <c r="I111" s="9"/>
      <c r="J111" s="9"/>
      <c r="K111" s="9"/>
      <c r="L111" s="6" t="s">
        <v>522</v>
      </c>
      <c r="M111" s="11">
        <f>INDEX(cennik!$C$2:$L$529,MATCH($L111,cennik!$B$2:$B$522,0),MATCH(M$2,cennik!$C$1:$L$1,0))</f>
        <v>867644</v>
      </c>
      <c r="N111" s="11" t="str">
        <f>INDEX(cennik!$C$2:$L$529,MATCH($L111,cennik!$B$2:$B$522,0),MATCH(N$2,cennik!$C$1:$L$1,0))</f>
        <v>szt.</v>
      </c>
      <c r="O111" s="11">
        <f>SUM(Y96:Y111)</f>
        <v>0</v>
      </c>
      <c r="P111" s="34">
        <f>INDEX(cennik!$C$2:$L$529,MATCH($L111,cennik!$B$2:$B$522,0),MATCH(P$2,cennik!$C$1:$L$1,0))</f>
        <v>176.8</v>
      </c>
      <c r="Q111" s="34">
        <f t="shared" si="160"/>
        <v>0</v>
      </c>
      <c r="R111" s="35">
        <f t="shared" si="156"/>
        <v>0</v>
      </c>
      <c r="S111" s="34">
        <f t="shared" si="157"/>
        <v>176.8</v>
      </c>
      <c r="T111" s="34">
        <f t="shared" si="161"/>
        <v>0</v>
      </c>
      <c r="U111" s="34">
        <f>INDEX(cennik!$C$2:$L$529,MATCH($L111,cennik!$B$2:$B$522,0),MATCH(U$2,cennik!$C$1:$L$1,0))*O111</f>
        <v>0</v>
      </c>
      <c r="V111" s="27"/>
      <c r="W111" s="189">
        <f>INDEX(($EL$85:$FI$89,$EL$93:$FI$97,$FL$85:$GI$89,$FL$93:$GI$97,$GS$85:$HP$89,$GS$92:$HP$96,$HT$85:$IQ$89,$HT$92:$IQ$96,$HT$99:$IQ$103),MATCH($L$113,$EK$85:$EK$89,0),MATCH($A113,$EL$84:$FI$84,0),MATCH($G$99,$AE$24:$AE$32,0))*$C113</f>
        <v>0</v>
      </c>
      <c r="X111" s="189">
        <f>INDEX(($EL$85:$FI$89,$EL$93:$FI$97,$FL$85:$GI$89,$FL$93:$GI$97,$GS$85:$HP$89,$GS$92:$HP$96,$HT$85:$IQ$89,$HT$92:$IQ$96,$HT$99:$IQ$103),MATCH($L$110,$EK$85:$EK$89,0),MATCH($A113,$EL$84:$FI$84,0),MATCH($G$99,$AE$24:$AE$32,0))*$C113</f>
        <v>0</v>
      </c>
      <c r="Y111" s="189">
        <f>INDEX(($EL$85:$FI$89,$EL$93:$FI$97,$FL$85:$GI$89,$FL$93:$GI$97,$GS$85:$HP$89,$GS$92:$HP$96,$HT$85:$IQ$89,$HT$92:$IQ$96,$HT$99:$IQ$103),MATCH($L$111,$EK$85:$EK$89,0),MATCH($A113,$EL$84:$FI$84,0),MATCH($G$99,$AE$24:$AE$32,0))*$C113</f>
        <v>0</v>
      </c>
      <c r="Z111" s="189">
        <f>INDEX(($EL$85:$FI$89,$EL$93:$FI$97,$FL$85:$GI$89,$FL$93:$GI$97,$GS$85:$HP$89,$GS$92:$HP$96,$HT$85:$IQ$89,$HT$92:$IQ$96,$HT$99:$IQ$103),MATCH($L$112,$EK$85:$EK$89,0),MATCH($A113,$EL$84:$FI$84,0),MATCH($G$99,$AE$24:$AE$32,0))*$C113</f>
        <v>0</v>
      </c>
      <c r="AA111" s="21"/>
      <c r="AB111" s="21"/>
      <c r="AC111" s="21"/>
      <c r="AD111" s="21"/>
      <c r="AE111" s="21"/>
      <c r="AF111" s="21"/>
      <c r="AG111" s="21"/>
      <c r="AH111" s="21" t="s">
        <v>159</v>
      </c>
      <c r="AI111" s="21"/>
      <c r="AJ111" s="21"/>
      <c r="AK111" s="21"/>
      <c r="AL111" s="21"/>
      <c r="AM111" s="21"/>
      <c r="AP111" s="21" t="s">
        <v>478</v>
      </c>
      <c r="AQ111" s="21" t="s">
        <v>596</v>
      </c>
      <c r="AR111" s="21" t="s">
        <v>595</v>
      </c>
      <c r="AS111" s="21" t="s">
        <v>594</v>
      </c>
      <c r="AT111" s="21" t="s">
        <v>594</v>
      </c>
      <c r="AU111" s="21"/>
      <c r="AV111" s="21" t="s">
        <v>478</v>
      </c>
      <c r="AW111" s="21" t="s">
        <v>151</v>
      </c>
      <c r="AX111" s="21" t="s">
        <v>151</v>
      </c>
      <c r="AY111" s="21" t="s">
        <v>151</v>
      </c>
      <c r="AZ111" s="21" t="s">
        <v>151</v>
      </c>
      <c r="BA111" s="21"/>
      <c r="BB111" s="21"/>
      <c r="BC111" s="21"/>
      <c r="BD111" s="21"/>
      <c r="BE111" s="21"/>
      <c r="BF111" s="21"/>
      <c r="BG111" s="21"/>
      <c r="BH111" s="21" t="s">
        <v>114</v>
      </c>
      <c r="BI111" s="21">
        <v>0</v>
      </c>
      <c r="BJ111" s="21">
        <v>9</v>
      </c>
      <c r="BK111" s="21">
        <v>12</v>
      </c>
      <c r="BL111" s="21">
        <v>15</v>
      </c>
      <c r="BM111" s="21">
        <v>18</v>
      </c>
      <c r="BN111" s="21">
        <v>21</v>
      </c>
      <c r="BO111" s="21">
        <v>24</v>
      </c>
      <c r="BP111" s="21">
        <v>27</v>
      </c>
      <c r="BQ111" s="21">
        <v>30</v>
      </c>
      <c r="BR111" s="21">
        <v>33</v>
      </c>
      <c r="BS111" s="21">
        <v>36</v>
      </c>
      <c r="BT111" s="21">
        <v>39</v>
      </c>
      <c r="BU111" s="21">
        <v>42</v>
      </c>
      <c r="BV111" s="21">
        <v>45</v>
      </c>
      <c r="BW111" s="21">
        <v>48</v>
      </c>
      <c r="BX111" s="21">
        <v>51</v>
      </c>
      <c r="BY111" s="21">
        <v>54</v>
      </c>
      <c r="BZ111" s="21">
        <v>57</v>
      </c>
      <c r="CA111" s="21">
        <v>60</v>
      </c>
      <c r="CB111" s="21">
        <v>63</v>
      </c>
      <c r="CC111" s="21">
        <v>66</v>
      </c>
      <c r="CD111" s="21">
        <v>69</v>
      </c>
      <c r="CE111" s="21">
        <v>72</v>
      </c>
      <c r="CF111" s="21">
        <v>75</v>
      </c>
      <c r="CG111" s="21"/>
      <c r="CH111" s="21"/>
      <c r="CI111" s="21"/>
      <c r="CJ111" s="21"/>
      <c r="CK111" s="21"/>
      <c r="CL111" s="21"/>
      <c r="CM111" s="21"/>
      <c r="CN111" s="21" t="s">
        <v>474</v>
      </c>
      <c r="CO111" s="21">
        <v>0</v>
      </c>
      <c r="CP111" s="21">
        <v>9</v>
      </c>
      <c r="CQ111" s="21">
        <v>12</v>
      </c>
      <c r="CR111" s="21">
        <v>15</v>
      </c>
      <c r="CS111" s="21">
        <v>18</v>
      </c>
      <c r="CT111" s="21">
        <v>21</v>
      </c>
      <c r="CU111" s="21">
        <v>24</v>
      </c>
      <c r="CV111" s="21">
        <v>27</v>
      </c>
      <c r="CW111" s="21">
        <v>30</v>
      </c>
      <c r="CX111" s="21">
        <v>33</v>
      </c>
      <c r="CY111" s="21">
        <v>36</v>
      </c>
      <c r="CZ111" s="21">
        <v>39</v>
      </c>
      <c r="DA111" s="21">
        <v>42</v>
      </c>
      <c r="DB111" s="21">
        <v>45</v>
      </c>
      <c r="DC111" s="21">
        <v>48</v>
      </c>
      <c r="DD111" s="21">
        <v>51</v>
      </c>
      <c r="DE111" s="21">
        <v>54</v>
      </c>
      <c r="DF111" s="21">
        <v>57</v>
      </c>
      <c r="DG111" s="21">
        <v>60</v>
      </c>
      <c r="DH111" s="21">
        <v>63</v>
      </c>
      <c r="DI111" s="21">
        <v>66</v>
      </c>
      <c r="DJ111" s="21">
        <v>69</v>
      </c>
      <c r="DK111" s="21">
        <v>72</v>
      </c>
      <c r="DL111" s="21">
        <v>75</v>
      </c>
      <c r="DM111" s="21"/>
      <c r="DN111" s="21"/>
      <c r="DO111" s="21"/>
      <c r="DP111" s="21"/>
      <c r="DQ111" s="87"/>
      <c r="DR111" s="87">
        <v>9</v>
      </c>
      <c r="DS111" s="87"/>
      <c r="DT111" s="21"/>
      <c r="DU111" s="21"/>
      <c r="DV111" s="21"/>
      <c r="DW111" s="21"/>
      <c r="DX111" s="21"/>
      <c r="DY111" s="21"/>
      <c r="DZ111" s="21"/>
      <c r="EA111" s="21"/>
      <c r="EB111" s="21"/>
      <c r="EC111" s="21"/>
      <c r="ED111" s="21"/>
      <c r="EE111" s="21"/>
      <c r="EF111" s="21"/>
      <c r="EG111" s="21"/>
      <c r="EH111" s="21"/>
      <c r="EI111" s="21"/>
      <c r="EJ111" s="196"/>
      <c r="EK111" s="21" t="s">
        <v>114</v>
      </c>
      <c r="EL111" s="21">
        <v>0</v>
      </c>
      <c r="EM111" s="21">
        <v>9</v>
      </c>
      <c r="EN111" s="21">
        <v>12</v>
      </c>
      <c r="EO111" s="21">
        <v>15</v>
      </c>
      <c r="EP111" s="21">
        <v>18</v>
      </c>
      <c r="EQ111" s="21">
        <v>21</v>
      </c>
      <c r="ER111" s="21">
        <v>24</v>
      </c>
      <c r="ES111" s="21">
        <v>27</v>
      </c>
      <c r="ET111" s="21">
        <v>30</v>
      </c>
      <c r="EU111" s="21">
        <v>33</v>
      </c>
      <c r="EV111" s="21">
        <v>36</v>
      </c>
      <c r="EW111" s="21">
        <v>39</v>
      </c>
      <c r="EX111" s="21">
        <v>42</v>
      </c>
      <c r="EY111" s="21">
        <v>45</v>
      </c>
      <c r="EZ111" s="21">
        <v>48</v>
      </c>
      <c r="FA111" s="21">
        <v>51</v>
      </c>
      <c r="FB111" s="21">
        <v>54</v>
      </c>
      <c r="FC111" s="21">
        <v>57</v>
      </c>
      <c r="FD111" s="21">
        <v>60</v>
      </c>
      <c r="FE111" s="21">
        <v>63</v>
      </c>
      <c r="FF111" s="21">
        <v>66</v>
      </c>
      <c r="FG111" s="21">
        <v>69</v>
      </c>
      <c r="FH111" s="21">
        <v>72</v>
      </c>
      <c r="FI111" s="21">
        <v>75</v>
      </c>
      <c r="FJ111" s="21"/>
      <c r="FK111" s="21" t="s">
        <v>474</v>
      </c>
      <c r="FL111" s="21">
        <v>0</v>
      </c>
      <c r="FM111" s="21">
        <v>9</v>
      </c>
      <c r="FN111" s="21">
        <v>12</v>
      </c>
      <c r="FO111" s="21">
        <v>15</v>
      </c>
      <c r="FP111" s="21">
        <v>18</v>
      </c>
      <c r="FQ111" s="21">
        <v>21</v>
      </c>
      <c r="FR111" s="21">
        <v>24</v>
      </c>
      <c r="FS111" s="21">
        <v>27</v>
      </c>
      <c r="FT111" s="21">
        <v>30</v>
      </c>
      <c r="FU111" s="21">
        <v>33</v>
      </c>
      <c r="FV111" s="21">
        <v>36</v>
      </c>
      <c r="FW111" s="21">
        <v>39</v>
      </c>
      <c r="FX111" s="21">
        <v>42</v>
      </c>
      <c r="FY111" s="21">
        <v>45</v>
      </c>
      <c r="FZ111" s="21">
        <v>48</v>
      </c>
      <c r="GA111" s="21">
        <v>51</v>
      </c>
      <c r="GB111" s="21">
        <v>54</v>
      </c>
      <c r="GC111" s="21">
        <v>57</v>
      </c>
      <c r="GD111" s="21">
        <v>60</v>
      </c>
      <c r="GE111" s="21">
        <v>63</v>
      </c>
      <c r="GF111" s="21">
        <v>66</v>
      </c>
      <c r="GG111" s="21">
        <v>69</v>
      </c>
      <c r="GH111" s="21">
        <v>72</v>
      </c>
      <c r="GI111" s="21">
        <v>75</v>
      </c>
      <c r="GJ111" s="21"/>
      <c r="GK111" s="21"/>
      <c r="GL111" s="21"/>
      <c r="GM111" s="21"/>
      <c r="GN111" s="21"/>
      <c r="GO111" s="21"/>
      <c r="GP111" s="21"/>
      <c r="GQ111" s="21"/>
      <c r="GR111" s="21" t="s">
        <v>713</v>
      </c>
      <c r="GS111" s="21">
        <v>0</v>
      </c>
      <c r="GT111" s="21">
        <v>9</v>
      </c>
      <c r="GU111" s="21">
        <v>12</v>
      </c>
      <c r="GV111" s="21">
        <v>15</v>
      </c>
      <c r="GW111" s="21">
        <v>18</v>
      </c>
      <c r="GX111" s="21">
        <v>21</v>
      </c>
      <c r="GY111" s="21">
        <v>24</v>
      </c>
      <c r="GZ111" s="21">
        <v>27</v>
      </c>
      <c r="HA111" s="21">
        <v>30</v>
      </c>
      <c r="HB111" s="21">
        <v>33</v>
      </c>
      <c r="HC111" s="21">
        <v>36</v>
      </c>
      <c r="HD111" s="21">
        <v>39</v>
      </c>
      <c r="HE111" s="21">
        <v>42</v>
      </c>
      <c r="HF111" s="21">
        <v>45</v>
      </c>
      <c r="HG111" s="21">
        <v>48</v>
      </c>
      <c r="HH111" s="21">
        <v>51</v>
      </c>
      <c r="HI111" s="180">
        <v>54</v>
      </c>
      <c r="HJ111" s="180">
        <v>57</v>
      </c>
      <c r="HK111" s="180">
        <v>60</v>
      </c>
      <c r="HL111" s="180">
        <v>63</v>
      </c>
      <c r="HM111" s="180">
        <v>66</v>
      </c>
      <c r="HN111" s="180">
        <v>69</v>
      </c>
      <c r="HO111" s="180">
        <v>72</v>
      </c>
      <c r="HP111" s="180">
        <v>75</v>
      </c>
      <c r="HS111" s="180" t="s">
        <v>715</v>
      </c>
      <c r="HT111" s="180">
        <v>0</v>
      </c>
      <c r="HU111" s="180">
        <v>9</v>
      </c>
      <c r="HV111" s="180">
        <v>12</v>
      </c>
      <c r="HW111" s="180">
        <v>15</v>
      </c>
      <c r="HX111" s="180">
        <v>18</v>
      </c>
      <c r="HY111" s="180">
        <v>21</v>
      </c>
      <c r="HZ111" s="180">
        <v>24</v>
      </c>
      <c r="IA111" s="180">
        <v>27</v>
      </c>
      <c r="IB111" s="180">
        <v>30</v>
      </c>
      <c r="IC111" s="180">
        <v>33</v>
      </c>
      <c r="ID111" s="180">
        <v>36</v>
      </c>
      <c r="IE111" s="180">
        <v>39</v>
      </c>
      <c r="IF111" s="180">
        <v>42</v>
      </c>
      <c r="IG111" s="180">
        <v>45</v>
      </c>
      <c r="IH111" s="180">
        <v>48</v>
      </c>
      <c r="II111" s="180">
        <v>51</v>
      </c>
      <c r="IJ111" s="180">
        <v>54</v>
      </c>
      <c r="IK111" s="180">
        <v>57</v>
      </c>
      <c r="IL111" s="180">
        <v>60</v>
      </c>
      <c r="IM111" s="180">
        <v>63</v>
      </c>
      <c r="IN111" s="180">
        <v>66</v>
      </c>
      <c r="IO111" s="180">
        <v>69</v>
      </c>
      <c r="IP111" s="180">
        <v>72</v>
      </c>
      <c r="IQ111" s="180">
        <v>75</v>
      </c>
      <c r="IR111" s="198"/>
    </row>
    <row r="112" spans="1:254" x14ac:dyDescent="0.25">
      <c r="A112" s="8"/>
      <c r="B112" s="5" t="s">
        <v>116</v>
      </c>
      <c r="C112" s="8"/>
      <c r="D112" s="40" t="s">
        <v>796</v>
      </c>
      <c r="E112" s="9"/>
      <c r="F112" s="9"/>
      <c r="G112" s="9"/>
      <c r="H112" s="9"/>
      <c r="I112" s="9"/>
      <c r="J112" s="9"/>
      <c r="K112" s="9"/>
      <c r="L112" s="6" t="s">
        <v>523</v>
      </c>
      <c r="M112" s="11">
        <f>INDEX(cennik!$C$2:$L$529,MATCH($L112,cennik!$B$2:$B$522,0),MATCH(M$2,cennik!$C$1:$L$1,0))</f>
        <v>867633</v>
      </c>
      <c r="N112" s="11" t="str">
        <f>INDEX(cennik!$C$2:$L$529,MATCH($L112,cennik!$B$2:$B$522,0),MATCH(N$2,cennik!$C$1:$L$1,0))</f>
        <v>szt.</v>
      </c>
      <c r="O112" s="11">
        <f>SUM(Z96:Z111)</f>
        <v>0</v>
      </c>
      <c r="P112" s="34">
        <f>INDEX(cennik!$C$2:$L$529,MATCH($L112,cennik!$B$2:$B$522,0),MATCH(P$2,cennik!$C$1:$L$1,0))</f>
        <v>132.6</v>
      </c>
      <c r="Q112" s="34">
        <f t="shared" si="160"/>
        <v>0</v>
      </c>
      <c r="R112" s="35">
        <f t="shared" si="156"/>
        <v>0</v>
      </c>
      <c r="S112" s="34">
        <f t="shared" si="157"/>
        <v>132.6</v>
      </c>
      <c r="T112" s="34">
        <f t="shared" si="161"/>
        <v>0</v>
      </c>
      <c r="U112" s="34">
        <f>INDEX(cennik!$C$2:$L$529,MATCH($L112,cennik!$B$2:$B$522,0),MATCH(U$2,cennik!$C$1:$L$1,0))*O112</f>
        <v>0</v>
      </c>
      <c r="V112" s="25"/>
      <c r="W112" s="25"/>
      <c r="X112" s="25"/>
      <c r="Y112" s="25"/>
      <c r="Z112" s="25"/>
      <c r="AA112" s="21"/>
      <c r="AB112" s="21"/>
      <c r="AC112" s="21"/>
      <c r="AD112" s="21"/>
      <c r="AE112" s="21"/>
      <c r="AF112" s="21"/>
      <c r="AG112" s="21"/>
      <c r="AH112" s="21" t="s">
        <v>152</v>
      </c>
      <c r="AI112" s="21" t="s">
        <v>153</v>
      </c>
      <c r="AJ112" s="21"/>
      <c r="AK112" s="21"/>
      <c r="AL112" s="21"/>
      <c r="AM112" s="21"/>
      <c r="AP112" s="21" t="s">
        <v>479</v>
      </c>
      <c r="AQ112" s="21" t="s">
        <v>596</v>
      </c>
      <c r="AR112" s="21" t="s">
        <v>595</v>
      </c>
      <c r="AS112" s="21" t="s">
        <v>594</v>
      </c>
      <c r="AT112" s="21" t="s">
        <v>594</v>
      </c>
      <c r="AV112" s="21" t="s">
        <v>479</v>
      </c>
      <c r="AW112" s="21" t="s">
        <v>151</v>
      </c>
      <c r="AX112" s="21" t="s">
        <v>151</v>
      </c>
      <c r="AY112" s="21" t="s">
        <v>151</v>
      </c>
      <c r="AZ112" s="21" t="s">
        <v>151</v>
      </c>
      <c r="BA112" s="21"/>
      <c r="BB112" s="21"/>
      <c r="BC112" s="21"/>
      <c r="BD112" s="21"/>
      <c r="BE112" s="21"/>
      <c r="BF112" s="21"/>
      <c r="BG112" s="21"/>
      <c r="BH112" s="21" t="s">
        <v>217</v>
      </c>
      <c r="BI112" s="21">
        <f>(BI85/2)*3</f>
        <v>0</v>
      </c>
      <c r="BJ112" s="21">
        <v>0</v>
      </c>
      <c r="BK112" s="21">
        <v>0</v>
      </c>
      <c r="BL112" s="21">
        <v>6</v>
      </c>
      <c r="BM112" s="21">
        <v>6</v>
      </c>
      <c r="BN112" s="21">
        <v>0</v>
      </c>
      <c r="BO112" s="21">
        <v>0</v>
      </c>
      <c r="BP112" s="21">
        <v>6</v>
      </c>
      <c r="BQ112" s="21">
        <v>6</v>
      </c>
      <c r="BR112" s="21">
        <v>0</v>
      </c>
      <c r="BS112" s="21">
        <v>12</v>
      </c>
      <c r="BT112" s="21">
        <v>6</v>
      </c>
      <c r="BU112" s="21">
        <v>6</v>
      </c>
      <c r="BV112" s="21">
        <v>12</v>
      </c>
      <c r="BW112" s="21">
        <v>12</v>
      </c>
      <c r="BX112" s="21">
        <v>12</v>
      </c>
      <c r="BY112" s="21">
        <v>18</v>
      </c>
      <c r="BZ112" s="21">
        <v>18</v>
      </c>
      <c r="CA112" s="21">
        <v>12</v>
      </c>
      <c r="CB112" s="21">
        <v>12</v>
      </c>
      <c r="CC112" s="21">
        <v>18</v>
      </c>
      <c r="CD112" s="21">
        <v>18</v>
      </c>
      <c r="CE112" s="21">
        <v>12</v>
      </c>
      <c r="CF112" s="21">
        <v>24</v>
      </c>
      <c r="CG112" s="21"/>
      <c r="CH112" s="21"/>
      <c r="CI112" s="21"/>
      <c r="CJ112" s="21"/>
      <c r="CK112" s="21"/>
      <c r="CL112" s="21"/>
      <c r="CM112" s="21"/>
      <c r="CN112" s="21" t="s">
        <v>217</v>
      </c>
      <c r="CO112" s="21">
        <v>0</v>
      </c>
      <c r="CP112" s="21">
        <f>IF(CP85=0,0,IF(CP85&gt;0,(CP85/4)*6,0))</f>
        <v>0</v>
      </c>
      <c r="CQ112" s="21">
        <f t="shared" ref="CQ112:DL112" si="162">IF(CQ85=0,0,IF(CQ85&gt;0,(CQ85/4)*6,0))</f>
        <v>6</v>
      </c>
      <c r="CR112" s="21">
        <f t="shared" si="162"/>
        <v>6</v>
      </c>
      <c r="CS112" s="21">
        <f t="shared" si="162"/>
        <v>0</v>
      </c>
      <c r="CT112" s="21">
        <f t="shared" si="162"/>
        <v>0</v>
      </c>
      <c r="CU112" s="21">
        <f t="shared" si="162"/>
        <v>6</v>
      </c>
      <c r="CV112" s="21">
        <f t="shared" si="162"/>
        <v>6</v>
      </c>
      <c r="CW112" s="21">
        <f t="shared" si="162"/>
        <v>0</v>
      </c>
      <c r="CX112" s="21">
        <f t="shared" si="162"/>
        <v>12</v>
      </c>
      <c r="CY112" s="21">
        <f t="shared" si="162"/>
        <v>6</v>
      </c>
      <c r="CZ112" s="21">
        <f t="shared" si="162"/>
        <v>6</v>
      </c>
      <c r="DA112" s="21">
        <f t="shared" si="162"/>
        <v>12</v>
      </c>
      <c r="DB112" s="21">
        <f t="shared" si="162"/>
        <v>12</v>
      </c>
      <c r="DC112" s="21">
        <f t="shared" si="162"/>
        <v>6</v>
      </c>
      <c r="DD112" s="21">
        <f t="shared" si="162"/>
        <v>18</v>
      </c>
      <c r="DE112" s="21">
        <f t="shared" si="162"/>
        <v>12</v>
      </c>
      <c r="DF112" s="21">
        <f t="shared" si="162"/>
        <v>12</v>
      </c>
      <c r="DG112" s="21">
        <f t="shared" si="162"/>
        <v>18</v>
      </c>
      <c r="DH112" s="21">
        <f t="shared" si="162"/>
        <v>18</v>
      </c>
      <c r="DI112" s="21">
        <f t="shared" si="162"/>
        <v>12</v>
      </c>
      <c r="DJ112" s="21">
        <f t="shared" si="162"/>
        <v>24</v>
      </c>
      <c r="DK112" s="21">
        <f t="shared" si="162"/>
        <v>18</v>
      </c>
      <c r="DL112" s="21">
        <f t="shared" si="162"/>
        <v>18</v>
      </c>
      <c r="DM112" s="21"/>
      <c r="DN112" s="21"/>
      <c r="DO112" s="21"/>
      <c r="DP112" s="21"/>
      <c r="DQ112" s="87"/>
      <c r="DR112" s="87">
        <v>12</v>
      </c>
      <c r="DS112" s="87"/>
      <c r="DT112" s="21"/>
      <c r="DU112" s="21"/>
      <c r="DV112" s="21"/>
      <c r="DW112" s="21"/>
      <c r="DX112" s="21"/>
      <c r="DY112" s="21"/>
      <c r="DZ112" s="21"/>
      <c r="EA112" s="21"/>
      <c r="EB112" s="21"/>
      <c r="EC112" s="21"/>
      <c r="ED112" s="21"/>
      <c r="EE112" s="21"/>
      <c r="EF112" s="21"/>
      <c r="EG112" s="21"/>
      <c r="EH112" s="21"/>
      <c r="EI112" s="21"/>
      <c r="EJ112" s="196"/>
      <c r="EK112" s="180" t="s">
        <v>586</v>
      </c>
      <c r="EL112" s="21">
        <v>0</v>
      </c>
      <c r="EM112" s="21">
        <f>EM85/4*6</f>
        <v>0</v>
      </c>
      <c r="EN112" s="21">
        <f t="shared" ref="EN112:FI114" si="163">EN85/4*6</f>
        <v>0</v>
      </c>
      <c r="EO112" s="21">
        <f t="shared" si="163"/>
        <v>6</v>
      </c>
      <c r="EP112" s="21">
        <f t="shared" si="163"/>
        <v>0</v>
      </c>
      <c r="EQ112" s="21">
        <f t="shared" si="163"/>
        <v>0</v>
      </c>
      <c r="ER112" s="21">
        <f t="shared" si="163"/>
        <v>0</v>
      </c>
      <c r="ES112" s="21">
        <f t="shared" si="163"/>
        <v>0</v>
      </c>
      <c r="ET112" s="21">
        <f t="shared" si="163"/>
        <v>0</v>
      </c>
      <c r="EU112" s="21">
        <f t="shared" si="163"/>
        <v>0</v>
      </c>
      <c r="EV112" s="21">
        <f t="shared" si="163"/>
        <v>0</v>
      </c>
      <c r="EW112" s="21">
        <f t="shared" si="163"/>
        <v>0</v>
      </c>
      <c r="EX112" s="21">
        <f t="shared" si="163"/>
        <v>0</v>
      </c>
      <c r="EY112" s="21">
        <f t="shared" si="163"/>
        <v>0</v>
      </c>
      <c r="EZ112" s="21">
        <f t="shared" si="163"/>
        <v>0</v>
      </c>
      <c r="FA112" s="21">
        <f t="shared" si="163"/>
        <v>0</v>
      </c>
      <c r="FB112" s="21">
        <f t="shared" si="163"/>
        <v>0</v>
      </c>
      <c r="FC112" s="21">
        <f t="shared" si="163"/>
        <v>0</v>
      </c>
      <c r="FD112" s="21">
        <f t="shared" si="163"/>
        <v>0</v>
      </c>
      <c r="FE112" s="21">
        <f t="shared" si="163"/>
        <v>0</v>
      </c>
      <c r="FF112" s="21">
        <f t="shared" si="163"/>
        <v>0</v>
      </c>
      <c r="FG112" s="21">
        <f t="shared" si="163"/>
        <v>0</v>
      </c>
      <c r="FH112" s="21">
        <f t="shared" si="163"/>
        <v>0</v>
      </c>
      <c r="FI112" s="21">
        <f t="shared" si="163"/>
        <v>0</v>
      </c>
      <c r="FK112" s="180" t="s">
        <v>586</v>
      </c>
      <c r="FL112" s="21">
        <v>0</v>
      </c>
      <c r="FM112" s="21">
        <f>FM85/4*6</f>
        <v>0</v>
      </c>
      <c r="FN112" s="21">
        <f t="shared" ref="FN112:GI114" si="164">FN85/4*6</f>
        <v>6</v>
      </c>
      <c r="FO112" s="21">
        <f t="shared" si="164"/>
        <v>6</v>
      </c>
      <c r="FP112" s="21">
        <f t="shared" si="164"/>
        <v>0</v>
      </c>
      <c r="FQ112" s="21">
        <f t="shared" si="164"/>
        <v>0</v>
      </c>
      <c r="FR112" s="21">
        <f t="shared" si="164"/>
        <v>0</v>
      </c>
      <c r="FS112" s="21">
        <f t="shared" si="164"/>
        <v>0</v>
      </c>
      <c r="FT112" s="21">
        <f t="shared" si="164"/>
        <v>0</v>
      </c>
      <c r="FU112" s="21">
        <f t="shared" si="164"/>
        <v>0</v>
      </c>
      <c r="FV112" s="21">
        <f t="shared" si="164"/>
        <v>0</v>
      </c>
      <c r="FW112" s="21">
        <f t="shared" si="164"/>
        <v>0</v>
      </c>
      <c r="FX112" s="21">
        <f t="shared" si="164"/>
        <v>0</v>
      </c>
      <c r="FY112" s="21">
        <f t="shared" si="164"/>
        <v>0</v>
      </c>
      <c r="FZ112" s="21">
        <f t="shared" si="164"/>
        <v>0</v>
      </c>
      <c r="GA112" s="21">
        <f t="shared" si="164"/>
        <v>0</v>
      </c>
      <c r="GB112" s="21">
        <f t="shared" si="164"/>
        <v>0</v>
      </c>
      <c r="GC112" s="21">
        <f t="shared" si="164"/>
        <v>0</v>
      </c>
      <c r="GD112" s="21">
        <f t="shared" si="164"/>
        <v>0</v>
      </c>
      <c r="GE112" s="21">
        <f t="shared" si="164"/>
        <v>0</v>
      </c>
      <c r="GF112" s="21">
        <f t="shared" si="164"/>
        <v>0</v>
      </c>
      <c r="GG112" s="21">
        <f t="shared" si="164"/>
        <v>0</v>
      </c>
      <c r="GH112" s="21">
        <f t="shared" si="164"/>
        <v>0</v>
      </c>
      <c r="GI112" s="21">
        <f t="shared" si="164"/>
        <v>0</v>
      </c>
      <c r="GJ112" s="21"/>
      <c r="GK112" s="21"/>
      <c r="GL112" s="21"/>
      <c r="GM112" s="21"/>
      <c r="GN112" s="21"/>
      <c r="GO112" s="21"/>
      <c r="GP112" s="21"/>
      <c r="GQ112" s="21"/>
      <c r="GR112" s="21" t="s">
        <v>586</v>
      </c>
      <c r="GS112" s="21">
        <v>0</v>
      </c>
      <c r="GT112" s="21">
        <f>GT85/4*6</f>
        <v>0</v>
      </c>
      <c r="GU112" s="21">
        <f t="shared" ref="GU112:HP112" si="165">GU85/4*6</f>
        <v>6</v>
      </c>
      <c r="GV112" s="21">
        <f t="shared" si="165"/>
        <v>6</v>
      </c>
      <c r="GW112" s="21">
        <f t="shared" si="165"/>
        <v>0</v>
      </c>
      <c r="GX112" s="21">
        <f t="shared" si="165"/>
        <v>0</v>
      </c>
      <c r="GY112" s="21">
        <f t="shared" si="165"/>
        <v>0</v>
      </c>
      <c r="GZ112" s="21">
        <f t="shared" si="165"/>
        <v>0</v>
      </c>
      <c r="HA112" s="21">
        <f t="shared" si="165"/>
        <v>0</v>
      </c>
      <c r="HB112" s="21">
        <f t="shared" si="165"/>
        <v>0</v>
      </c>
      <c r="HC112" s="21">
        <f t="shared" si="165"/>
        <v>0</v>
      </c>
      <c r="HD112" s="21">
        <f t="shared" si="165"/>
        <v>0</v>
      </c>
      <c r="HE112" s="21">
        <f t="shared" si="165"/>
        <v>0</v>
      </c>
      <c r="HF112" s="21">
        <f t="shared" si="165"/>
        <v>0</v>
      </c>
      <c r="HG112" s="21">
        <f t="shared" si="165"/>
        <v>0</v>
      </c>
      <c r="HH112" s="21">
        <f t="shared" si="165"/>
        <v>0</v>
      </c>
      <c r="HI112" s="21">
        <f t="shared" si="165"/>
        <v>0</v>
      </c>
      <c r="HJ112" s="21">
        <f t="shared" si="165"/>
        <v>0</v>
      </c>
      <c r="HK112" s="21">
        <f t="shared" si="165"/>
        <v>0</v>
      </c>
      <c r="HL112" s="21">
        <f t="shared" si="165"/>
        <v>0</v>
      </c>
      <c r="HM112" s="21">
        <f t="shared" si="165"/>
        <v>0</v>
      </c>
      <c r="HN112" s="21">
        <f t="shared" si="165"/>
        <v>0</v>
      </c>
      <c r="HO112" s="21">
        <f t="shared" si="165"/>
        <v>0</v>
      </c>
      <c r="HP112" s="21">
        <f t="shared" si="165"/>
        <v>0</v>
      </c>
      <c r="HS112" s="180" t="s">
        <v>586</v>
      </c>
      <c r="HT112" s="180">
        <v>0</v>
      </c>
      <c r="HU112" s="21">
        <f>HU85/4*6</f>
        <v>0</v>
      </c>
      <c r="HV112" s="21">
        <f t="shared" ref="HV112:IQ112" si="166">HV85/4*6</f>
        <v>6</v>
      </c>
      <c r="HW112" s="21">
        <f t="shared" si="166"/>
        <v>0</v>
      </c>
      <c r="HX112" s="21">
        <f t="shared" si="166"/>
        <v>0</v>
      </c>
      <c r="HY112" s="21">
        <f t="shared" si="166"/>
        <v>0</v>
      </c>
      <c r="HZ112" s="21">
        <f t="shared" si="166"/>
        <v>0</v>
      </c>
      <c r="IA112" s="21">
        <f t="shared" si="166"/>
        <v>0</v>
      </c>
      <c r="IB112" s="21">
        <f t="shared" si="166"/>
        <v>0</v>
      </c>
      <c r="IC112" s="21">
        <f t="shared" si="166"/>
        <v>0</v>
      </c>
      <c r="ID112" s="21">
        <f t="shared" si="166"/>
        <v>0</v>
      </c>
      <c r="IE112" s="21">
        <f t="shared" si="166"/>
        <v>0</v>
      </c>
      <c r="IF112" s="21">
        <f t="shared" si="166"/>
        <v>0</v>
      </c>
      <c r="IG112" s="21">
        <f t="shared" si="166"/>
        <v>0</v>
      </c>
      <c r="IH112" s="21">
        <f t="shared" si="166"/>
        <v>0</v>
      </c>
      <c r="II112" s="21">
        <f t="shared" si="166"/>
        <v>0</v>
      </c>
      <c r="IJ112" s="21">
        <f t="shared" si="166"/>
        <v>0</v>
      </c>
      <c r="IK112" s="21">
        <f t="shared" si="166"/>
        <v>0</v>
      </c>
      <c r="IL112" s="21">
        <f t="shared" si="166"/>
        <v>0</v>
      </c>
      <c r="IM112" s="21">
        <f t="shared" si="166"/>
        <v>0</v>
      </c>
      <c r="IN112" s="21">
        <f t="shared" si="166"/>
        <v>0</v>
      </c>
      <c r="IO112" s="21">
        <f t="shared" si="166"/>
        <v>0</v>
      </c>
      <c r="IP112" s="21">
        <f t="shared" si="166"/>
        <v>0</v>
      </c>
      <c r="IQ112" s="21">
        <f t="shared" si="166"/>
        <v>0</v>
      </c>
      <c r="IR112" s="198"/>
    </row>
    <row r="113" spans="1:252" x14ac:dyDescent="0.25">
      <c r="A113" s="8"/>
      <c r="B113" s="5" t="s">
        <v>116</v>
      </c>
      <c r="C113" s="8"/>
      <c r="D113" s="40" t="s">
        <v>797</v>
      </c>
      <c r="E113" s="9"/>
      <c r="F113" s="9"/>
      <c r="G113" s="9"/>
      <c r="H113" s="9"/>
      <c r="I113" s="9"/>
      <c r="J113" s="9"/>
      <c r="K113" s="9"/>
      <c r="L113" s="6" t="s">
        <v>779</v>
      </c>
      <c r="M113" s="11">
        <f>INDEX(cennik!$C$2:$L$529,MATCH($L113,cennik!$B$2:$B$522,0),MATCH(M$2,cennik!$C$1:$L$1,0))</f>
        <v>856105</v>
      </c>
      <c r="N113" s="11" t="str">
        <f>INDEX(cennik!$C$2:$L$529,MATCH($L113,cennik!$B$2:$B$522,0),MATCH(N$2,cennik!$C$1:$L$1,0))</f>
        <v>szt.</v>
      </c>
      <c r="O113" s="11">
        <f>SUM(W96:W111)</f>
        <v>0</v>
      </c>
      <c r="P113" s="34">
        <f>INDEX(cennik!$C$2:$L$529,MATCH($L113,cennik!$B$2:$B$522,0),MATCH(P$2,cennik!$C$1:$L$1,0))</f>
        <v>21.81</v>
      </c>
      <c r="Q113" s="34">
        <f t="shared" si="160"/>
        <v>0</v>
      </c>
      <c r="R113" s="35">
        <f t="shared" si="156"/>
        <v>0</v>
      </c>
      <c r="S113" s="34">
        <f t="shared" si="157"/>
        <v>21.81</v>
      </c>
      <c r="T113" s="34">
        <f t="shared" si="161"/>
        <v>0</v>
      </c>
      <c r="U113" s="34">
        <f>INDEX(cennik!$C$2:$L$529,MATCH($L113,cennik!$B$2:$B$522,0),MATCH(U$2,cennik!$C$1:$L$1,0))*O113</f>
        <v>0</v>
      </c>
      <c r="V113" s="25"/>
      <c r="W113" s="25"/>
      <c r="X113" s="25"/>
      <c r="Y113" s="25"/>
      <c r="Z113" s="25"/>
      <c r="AA113" s="21"/>
      <c r="AB113" s="21"/>
      <c r="AC113" s="21"/>
      <c r="AD113" s="21"/>
      <c r="AE113" s="21"/>
      <c r="AF113" s="21"/>
      <c r="AG113" s="21"/>
      <c r="AH113" s="21">
        <v>75</v>
      </c>
      <c r="AI113" s="21">
        <v>1150</v>
      </c>
      <c r="AJ113" s="21"/>
      <c r="AK113" s="21"/>
      <c r="AL113" s="21"/>
      <c r="AM113" s="21"/>
      <c r="AP113" s="21" t="s">
        <v>508</v>
      </c>
      <c r="AQ113" s="21" t="s">
        <v>596</v>
      </c>
      <c r="AR113" s="21" t="s">
        <v>595</v>
      </c>
      <c r="AS113" s="21" t="s">
        <v>594</v>
      </c>
      <c r="AT113" s="21" t="s">
        <v>594</v>
      </c>
      <c r="AV113" s="21" t="s">
        <v>508</v>
      </c>
      <c r="AW113" s="21" t="s">
        <v>151</v>
      </c>
      <c r="AX113" s="21" t="s">
        <v>151</v>
      </c>
      <c r="AY113" s="21" t="s">
        <v>151</v>
      </c>
      <c r="AZ113" s="21" t="s">
        <v>151</v>
      </c>
      <c r="BG113" s="21"/>
      <c r="BH113" s="21" t="s">
        <v>216</v>
      </c>
      <c r="BI113" s="21">
        <f>(BI86/2)*3</f>
        <v>0</v>
      </c>
      <c r="BJ113" s="21">
        <v>0</v>
      </c>
      <c r="BK113" s="21">
        <v>6</v>
      </c>
      <c r="BL113" s="21">
        <v>0</v>
      </c>
      <c r="BM113" s="21">
        <v>0</v>
      </c>
      <c r="BN113" s="21">
        <v>6</v>
      </c>
      <c r="BO113" s="21">
        <v>12</v>
      </c>
      <c r="BP113" s="21">
        <v>0</v>
      </c>
      <c r="BQ113" s="21">
        <v>6</v>
      </c>
      <c r="BR113" s="21">
        <v>12</v>
      </c>
      <c r="BS113" s="21">
        <v>0</v>
      </c>
      <c r="BT113" s="21">
        <v>6</v>
      </c>
      <c r="BU113" s="21">
        <v>12</v>
      </c>
      <c r="BV113" s="21">
        <v>0</v>
      </c>
      <c r="BW113" s="21">
        <v>0</v>
      </c>
      <c r="BX113" s="21">
        <v>6</v>
      </c>
      <c r="BY113" s="21">
        <v>0</v>
      </c>
      <c r="BZ113" s="21">
        <v>0</v>
      </c>
      <c r="CA113" s="21">
        <v>6</v>
      </c>
      <c r="CB113" s="21">
        <v>12</v>
      </c>
      <c r="CC113" s="21">
        <v>0</v>
      </c>
      <c r="CD113" s="21">
        <v>6</v>
      </c>
      <c r="CE113" s="21">
        <v>12</v>
      </c>
      <c r="CF113" s="21">
        <v>0</v>
      </c>
      <c r="CG113" s="21"/>
      <c r="CH113" s="21"/>
      <c r="CI113" s="21"/>
      <c r="CJ113" s="21"/>
      <c r="CK113" s="21"/>
      <c r="CL113" s="21"/>
      <c r="CM113" s="21"/>
      <c r="CN113" s="21" t="s">
        <v>216</v>
      </c>
      <c r="CO113" s="21">
        <v>0</v>
      </c>
      <c r="CP113" s="21">
        <f t="shared" ref="CP113:DL115" si="167">IF(CP86=0,0,IF(CP86&gt;0,(CP86/4)*6,0))</f>
        <v>6</v>
      </c>
      <c r="CQ113" s="21">
        <f t="shared" si="167"/>
        <v>0</v>
      </c>
      <c r="CR113" s="21">
        <f t="shared" si="167"/>
        <v>0</v>
      </c>
      <c r="CS113" s="21">
        <f t="shared" si="167"/>
        <v>6</v>
      </c>
      <c r="CT113" s="21">
        <f t="shared" si="167"/>
        <v>12</v>
      </c>
      <c r="CU113" s="21">
        <f t="shared" si="167"/>
        <v>0</v>
      </c>
      <c r="CV113" s="21">
        <f t="shared" si="167"/>
        <v>6</v>
      </c>
      <c r="CW113" s="21">
        <f t="shared" si="167"/>
        <v>12</v>
      </c>
      <c r="CX113" s="21">
        <f t="shared" si="167"/>
        <v>0</v>
      </c>
      <c r="CY113" s="21">
        <f t="shared" si="167"/>
        <v>6</v>
      </c>
      <c r="CZ113" s="21">
        <f t="shared" si="167"/>
        <v>12</v>
      </c>
      <c r="DA113" s="21">
        <f t="shared" si="167"/>
        <v>0</v>
      </c>
      <c r="DB113" s="21">
        <f t="shared" si="167"/>
        <v>6</v>
      </c>
      <c r="DC113" s="21">
        <f t="shared" si="167"/>
        <v>12</v>
      </c>
      <c r="DD113" s="21">
        <f t="shared" si="167"/>
        <v>0</v>
      </c>
      <c r="DE113" s="21">
        <f t="shared" si="167"/>
        <v>6</v>
      </c>
      <c r="DF113" s="21">
        <f t="shared" si="167"/>
        <v>12</v>
      </c>
      <c r="DG113" s="21">
        <f t="shared" si="167"/>
        <v>0</v>
      </c>
      <c r="DH113" s="21">
        <f t="shared" si="167"/>
        <v>6</v>
      </c>
      <c r="DI113" s="21">
        <f t="shared" si="167"/>
        <v>12</v>
      </c>
      <c r="DJ113" s="21">
        <f t="shared" si="167"/>
        <v>0</v>
      </c>
      <c r="DK113" s="21">
        <f t="shared" si="167"/>
        <v>6</v>
      </c>
      <c r="DL113" s="21">
        <f t="shared" si="167"/>
        <v>12</v>
      </c>
      <c r="DM113" s="21"/>
      <c r="DN113" s="21"/>
      <c r="DO113" s="21"/>
      <c r="DP113" s="21"/>
      <c r="DQ113" s="87"/>
      <c r="DR113" s="87">
        <v>15</v>
      </c>
      <c r="DS113" s="87"/>
      <c r="DT113" s="21"/>
      <c r="DU113" s="21"/>
      <c r="DV113" s="21"/>
      <c r="DW113" s="21"/>
      <c r="DX113" s="21"/>
      <c r="DY113" s="21"/>
      <c r="DZ113" s="21"/>
      <c r="EA113" s="21"/>
      <c r="EB113" s="21"/>
      <c r="EC113" s="21"/>
      <c r="ED113" s="21"/>
      <c r="EE113" s="21"/>
      <c r="EF113" s="21"/>
      <c r="EG113" s="21"/>
      <c r="EH113" s="21"/>
      <c r="EI113" s="21"/>
      <c r="EJ113" s="196"/>
      <c r="EK113" s="21" t="s">
        <v>522</v>
      </c>
      <c r="EL113" s="21">
        <v>0</v>
      </c>
      <c r="EM113" s="21">
        <f>EM86/4*6</f>
        <v>0</v>
      </c>
      <c r="EN113" s="21">
        <f t="shared" si="163"/>
        <v>6</v>
      </c>
      <c r="EO113" s="21">
        <f t="shared" si="163"/>
        <v>0</v>
      </c>
      <c r="EP113" s="21">
        <f t="shared" si="163"/>
        <v>0</v>
      </c>
      <c r="EQ113" s="21">
        <f t="shared" si="163"/>
        <v>6</v>
      </c>
      <c r="ER113" s="21">
        <f t="shared" si="163"/>
        <v>12</v>
      </c>
      <c r="ES113" s="21">
        <f t="shared" si="163"/>
        <v>0</v>
      </c>
      <c r="ET113" s="21">
        <f t="shared" si="163"/>
        <v>6</v>
      </c>
      <c r="EU113" s="21">
        <f t="shared" si="163"/>
        <v>12</v>
      </c>
      <c r="EV113" s="21">
        <f t="shared" si="163"/>
        <v>0</v>
      </c>
      <c r="EW113" s="21">
        <f t="shared" si="163"/>
        <v>6</v>
      </c>
      <c r="EX113" s="21">
        <f t="shared" si="163"/>
        <v>12</v>
      </c>
      <c r="EY113" s="21">
        <f t="shared" si="163"/>
        <v>12</v>
      </c>
      <c r="EZ113" s="21">
        <f t="shared" si="163"/>
        <v>0</v>
      </c>
      <c r="FA113" s="21">
        <f t="shared" si="163"/>
        <v>6</v>
      </c>
      <c r="FB113" s="21">
        <f t="shared" si="163"/>
        <v>12</v>
      </c>
      <c r="FC113" s="21">
        <f t="shared" si="163"/>
        <v>0</v>
      </c>
      <c r="FD113" s="21">
        <f t="shared" si="163"/>
        <v>6</v>
      </c>
      <c r="FE113" s="21">
        <f t="shared" si="163"/>
        <v>12</v>
      </c>
      <c r="FF113" s="21">
        <f t="shared" si="163"/>
        <v>0</v>
      </c>
      <c r="FG113" s="21">
        <f t="shared" si="163"/>
        <v>6</v>
      </c>
      <c r="FH113" s="21">
        <f t="shared" si="163"/>
        <v>12</v>
      </c>
      <c r="FI113" s="21">
        <f t="shared" si="163"/>
        <v>0</v>
      </c>
      <c r="FJ113" s="21"/>
      <c r="FK113" s="21" t="s">
        <v>522</v>
      </c>
      <c r="FL113" s="21">
        <v>0</v>
      </c>
      <c r="FM113" s="21">
        <f>FM86/4*6</f>
        <v>6</v>
      </c>
      <c r="FN113" s="21">
        <f t="shared" si="164"/>
        <v>0</v>
      </c>
      <c r="FO113" s="21">
        <f t="shared" si="164"/>
        <v>0</v>
      </c>
      <c r="FP113" s="21">
        <f t="shared" si="164"/>
        <v>6</v>
      </c>
      <c r="FQ113" s="21">
        <f t="shared" si="164"/>
        <v>12</v>
      </c>
      <c r="FR113" s="21">
        <f t="shared" si="164"/>
        <v>0</v>
      </c>
      <c r="FS113" s="21">
        <f t="shared" si="164"/>
        <v>6</v>
      </c>
      <c r="FT113" s="21">
        <f t="shared" si="164"/>
        <v>12</v>
      </c>
      <c r="FU113" s="21">
        <f t="shared" si="164"/>
        <v>0</v>
      </c>
      <c r="FV113" s="21">
        <f t="shared" si="164"/>
        <v>6</v>
      </c>
      <c r="FW113" s="21">
        <f t="shared" si="164"/>
        <v>12</v>
      </c>
      <c r="FX113" s="21">
        <f t="shared" si="164"/>
        <v>0</v>
      </c>
      <c r="FY113" s="21">
        <f t="shared" si="164"/>
        <v>6</v>
      </c>
      <c r="FZ113" s="21">
        <f t="shared" si="164"/>
        <v>12</v>
      </c>
      <c r="GA113" s="21">
        <f t="shared" si="164"/>
        <v>0</v>
      </c>
      <c r="GB113" s="21">
        <f t="shared" si="164"/>
        <v>6</v>
      </c>
      <c r="GC113" s="21">
        <f t="shared" si="164"/>
        <v>12</v>
      </c>
      <c r="GD113" s="21">
        <f t="shared" si="164"/>
        <v>0</v>
      </c>
      <c r="GE113" s="21">
        <f t="shared" si="164"/>
        <v>6</v>
      </c>
      <c r="GF113" s="21">
        <f t="shared" si="164"/>
        <v>12</v>
      </c>
      <c r="GG113" s="21">
        <f t="shared" si="164"/>
        <v>0</v>
      </c>
      <c r="GH113" s="21">
        <f t="shared" si="164"/>
        <v>6</v>
      </c>
      <c r="GI113" s="21">
        <f t="shared" si="164"/>
        <v>12</v>
      </c>
      <c r="GJ113" s="21"/>
      <c r="GK113" s="21"/>
      <c r="GL113" s="21"/>
      <c r="GM113" s="21"/>
      <c r="GN113" s="21"/>
      <c r="GO113" s="21"/>
      <c r="GP113" s="21"/>
      <c r="GQ113" s="21"/>
      <c r="GR113" s="21" t="s">
        <v>522</v>
      </c>
      <c r="GS113" s="21">
        <v>0</v>
      </c>
      <c r="GT113" s="21">
        <f t="shared" ref="GT113:HP116" si="168">GT86/4*6</f>
        <v>6</v>
      </c>
      <c r="GU113" s="21">
        <f t="shared" si="168"/>
        <v>0</v>
      </c>
      <c r="GV113" s="21">
        <f t="shared" si="168"/>
        <v>0</v>
      </c>
      <c r="GW113" s="21">
        <f t="shared" si="168"/>
        <v>6</v>
      </c>
      <c r="GX113" s="21">
        <f t="shared" si="168"/>
        <v>12</v>
      </c>
      <c r="GY113" s="21">
        <f t="shared" si="168"/>
        <v>0</v>
      </c>
      <c r="GZ113" s="21">
        <f t="shared" si="168"/>
        <v>12</v>
      </c>
      <c r="HA113" s="21">
        <f t="shared" si="168"/>
        <v>18</v>
      </c>
      <c r="HB113" s="21">
        <f t="shared" si="168"/>
        <v>6</v>
      </c>
      <c r="HC113" s="21">
        <f t="shared" si="168"/>
        <v>12</v>
      </c>
      <c r="HD113" s="21">
        <f t="shared" si="168"/>
        <v>18</v>
      </c>
      <c r="HE113" s="21">
        <f t="shared" si="168"/>
        <v>24</v>
      </c>
      <c r="HF113" s="21">
        <f t="shared" si="168"/>
        <v>12</v>
      </c>
      <c r="HG113" s="21">
        <f t="shared" si="168"/>
        <v>18</v>
      </c>
      <c r="HH113" s="21">
        <f t="shared" si="168"/>
        <v>24</v>
      </c>
      <c r="HI113" s="21">
        <f t="shared" si="168"/>
        <v>18</v>
      </c>
      <c r="HJ113" s="21">
        <f t="shared" si="168"/>
        <v>24</v>
      </c>
      <c r="HK113" s="21">
        <f t="shared" si="168"/>
        <v>30</v>
      </c>
      <c r="HL113" s="21">
        <f t="shared" si="168"/>
        <v>36</v>
      </c>
      <c r="HM113" s="21">
        <f t="shared" si="168"/>
        <v>24</v>
      </c>
      <c r="HN113" s="21">
        <f t="shared" si="168"/>
        <v>30</v>
      </c>
      <c r="HO113" s="21">
        <f t="shared" si="168"/>
        <v>36</v>
      </c>
      <c r="HP113" s="21">
        <f t="shared" si="168"/>
        <v>42</v>
      </c>
      <c r="HS113" s="180" t="s">
        <v>522</v>
      </c>
      <c r="HT113" s="180">
        <v>0</v>
      </c>
      <c r="HU113" s="21">
        <f t="shared" ref="HU113:IQ116" si="169">HU86/4*6</f>
        <v>6</v>
      </c>
      <c r="HV113" s="21">
        <f t="shared" si="169"/>
        <v>0</v>
      </c>
      <c r="HW113" s="21">
        <f t="shared" si="169"/>
        <v>6</v>
      </c>
      <c r="HX113" s="21">
        <f t="shared" si="169"/>
        <v>12</v>
      </c>
      <c r="HY113" s="21">
        <f t="shared" si="169"/>
        <v>0</v>
      </c>
      <c r="HZ113" s="21">
        <f t="shared" si="169"/>
        <v>6</v>
      </c>
      <c r="IA113" s="21">
        <f t="shared" si="169"/>
        <v>12</v>
      </c>
      <c r="IB113" s="21">
        <f t="shared" si="169"/>
        <v>6</v>
      </c>
      <c r="IC113" s="21">
        <f t="shared" si="169"/>
        <v>12</v>
      </c>
      <c r="ID113" s="21">
        <f t="shared" si="169"/>
        <v>18</v>
      </c>
      <c r="IE113" s="21">
        <f t="shared" si="169"/>
        <v>24</v>
      </c>
      <c r="IF113" s="21">
        <f t="shared" si="169"/>
        <v>12</v>
      </c>
      <c r="IG113" s="21">
        <f t="shared" si="169"/>
        <v>24</v>
      </c>
      <c r="IH113" s="21">
        <f t="shared" si="169"/>
        <v>30</v>
      </c>
      <c r="II113" s="21">
        <f t="shared" si="169"/>
        <v>18</v>
      </c>
      <c r="IJ113" s="21">
        <f t="shared" si="169"/>
        <v>24</v>
      </c>
      <c r="IK113" s="21">
        <f t="shared" si="169"/>
        <v>30</v>
      </c>
      <c r="IL113" s="21">
        <f t="shared" si="169"/>
        <v>24</v>
      </c>
      <c r="IM113" s="21">
        <f t="shared" si="169"/>
        <v>30</v>
      </c>
      <c r="IN113" s="21">
        <f t="shared" si="169"/>
        <v>36</v>
      </c>
      <c r="IO113" s="21">
        <f t="shared" si="169"/>
        <v>42</v>
      </c>
      <c r="IP113" s="21">
        <f t="shared" si="169"/>
        <v>30</v>
      </c>
      <c r="IQ113" s="21">
        <f t="shared" si="169"/>
        <v>42</v>
      </c>
      <c r="IR113" s="198"/>
    </row>
    <row r="114" spans="1:252" x14ac:dyDescent="0.25">
      <c r="A114" s="9"/>
      <c r="B114" s="6"/>
      <c r="C114" s="9"/>
      <c r="D114" s="40" t="s">
        <v>798</v>
      </c>
      <c r="E114" s="9"/>
      <c r="F114" s="9"/>
      <c r="G114" s="9"/>
      <c r="H114" s="9"/>
      <c r="I114" s="9"/>
      <c r="J114" s="9"/>
      <c r="K114" s="9"/>
      <c r="L114" s="6" t="str">
        <f>INDEX(($AH$3:$AI$12),MATCH(I99,$AG$3:$AG$12,0),MATCH(E100,$AH$2:$AI$2,0))</f>
        <v>BUF35</v>
      </c>
      <c r="M114" s="11">
        <f>INDEX(cennik!$C$2:$L$529,MATCH($L114,cennik!$B$2:$B$522,0),MATCH(M$2,cennik!$C$1:$L$1,0))</f>
        <v>897335</v>
      </c>
      <c r="N114" s="11" t="str">
        <f>INDEX(cennik!$C$2:$L$529,MATCH($L114,cennik!$B$2:$B$522,0),MATCH(N$2,cennik!$C$1:$L$1,0))</f>
        <v>szt.</v>
      </c>
      <c r="O114" s="11">
        <f>SUM((C98*8),(C99*8),(C100*8),(C101*8),(C102*8),(C103*8),(C104*8),(C105*8),(C106*8),(C107*8),(C108*8),(C109*8),(C110*8),(C111*8),(C112*8),(C113*8))</f>
        <v>0</v>
      </c>
      <c r="P114" s="34">
        <f>INDEX(cennik!$C$2:$L$529,MATCH($L114,cennik!$B$2:$B$522,0),MATCH(P$2,cennik!$C$1:$L$1,0))</f>
        <v>1.92</v>
      </c>
      <c r="Q114" s="34">
        <f t="shared" si="160"/>
        <v>0</v>
      </c>
      <c r="R114" s="35">
        <f t="shared" si="156"/>
        <v>0</v>
      </c>
      <c r="S114" s="34">
        <f t="shared" si="157"/>
        <v>1.92</v>
      </c>
      <c r="T114" s="34">
        <f t="shared" si="161"/>
        <v>0</v>
      </c>
      <c r="U114" s="34">
        <f>INDEX(cennik!$C$2:$L$529,MATCH($L114,cennik!$B$2:$B$522,0),MATCH(U$2,cennik!$C$1:$L$1,0))*O114</f>
        <v>0</v>
      </c>
      <c r="V114" s="25"/>
      <c r="W114" s="21">
        <f>INDEX(($EL$85:$FI$89,$EL$93:$FI$97,$FL$85:$GI$89,$FL$93:$GI$97,$GS$85:$HP$89,$GS$92:$HP$96,$HT$85:$IQ$89,$HT$92:$IQ$96,$HT$99:$IQ$103),MATCH($L$113,$EK$85:$EK$89,0),MATCH($A98,$EL$84:$FI$84,0),MATCH($G$99,$AE$24:$AE$32,0))*$C98</f>
        <v>0</v>
      </c>
      <c r="X114" s="21"/>
      <c r="Y114" s="21"/>
      <c r="Z114" s="21"/>
      <c r="AA114" s="21"/>
      <c r="AB114" s="21"/>
      <c r="AC114" s="21"/>
      <c r="AD114" s="21"/>
      <c r="AE114" s="21"/>
      <c r="AF114" s="21"/>
      <c r="AG114" s="21"/>
      <c r="AH114" s="21">
        <f>((AH113/3)*AI113)+(((AH113/3)-1)*20)+100</f>
        <v>29330</v>
      </c>
      <c r="AI114" s="21" t="s">
        <v>158</v>
      </c>
      <c r="AJ114" s="21" t="s">
        <v>156</v>
      </c>
      <c r="AK114" s="21" t="s">
        <v>155</v>
      </c>
      <c r="AL114" s="21"/>
      <c r="AM114" s="21" t="s">
        <v>157</v>
      </c>
      <c r="AP114" s="21" t="s">
        <v>507</v>
      </c>
      <c r="AQ114" s="21" t="s">
        <v>596</v>
      </c>
      <c r="AR114" s="21" t="s">
        <v>595</v>
      </c>
      <c r="AS114" s="21" t="s">
        <v>594</v>
      </c>
      <c r="AT114" s="21" t="s">
        <v>594</v>
      </c>
      <c r="AV114" s="21" t="s">
        <v>507</v>
      </c>
      <c r="AW114" s="21" t="s">
        <v>151</v>
      </c>
      <c r="AX114" s="21" t="s">
        <v>151</v>
      </c>
      <c r="AY114" s="21" t="s">
        <v>151</v>
      </c>
      <c r="AZ114" s="21" t="s">
        <v>151</v>
      </c>
      <c r="BG114" s="21"/>
      <c r="BH114" s="21" t="s">
        <v>17</v>
      </c>
      <c r="BI114" s="21">
        <f>(BI87/2)*3</f>
        <v>0</v>
      </c>
      <c r="BJ114" s="21">
        <v>6</v>
      </c>
      <c r="BK114" s="21">
        <v>0</v>
      </c>
      <c r="BL114" s="21">
        <v>0</v>
      </c>
      <c r="BM114" s="21">
        <v>0</v>
      </c>
      <c r="BN114" s="21">
        <v>6</v>
      </c>
      <c r="BO114" s="21">
        <v>0</v>
      </c>
      <c r="BP114" s="21">
        <v>6</v>
      </c>
      <c r="BQ114" s="21">
        <v>0</v>
      </c>
      <c r="BR114" s="21">
        <v>6</v>
      </c>
      <c r="BS114" s="21">
        <v>0</v>
      </c>
      <c r="BT114" s="21">
        <v>6</v>
      </c>
      <c r="BU114" s="21">
        <v>0</v>
      </c>
      <c r="BV114" s="21">
        <v>6</v>
      </c>
      <c r="BW114" s="21">
        <v>6</v>
      </c>
      <c r="BX114" s="21">
        <v>0</v>
      </c>
      <c r="BY114" s="21">
        <v>0</v>
      </c>
      <c r="BZ114" s="21">
        <v>0</v>
      </c>
      <c r="CA114" s="21">
        <v>6</v>
      </c>
      <c r="CB114" s="21">
        <v>0</v>
      </c>
      <c r="CC114" s="21">
        <v>6</v>
      </c>
      <c r="CD114" s="21">
        <v>0</v>
      </c>
      <c r="CE114" s="21">
        <v>6</v>
      </c>
      <c r="CF114" s="21">
        <v>0</v>
      </c>
      <c r="CG114" s="21"/>
      <c r="CH114" s="21"/>
      <c r="CI114" s="21"/>
      <c r="CJ114" s="21"/>
      <c r="CK114" s="21"/>
      <c r="CL114" s="21"/>
      <c r="CM114" s="21"/>
      <c r="CN114" s="21" t="s">
        <v>17</v>
      </c>
      <c r="CO114" s="21">
        <v>0</v>
      </c>
      <c r="CP114" s="21">
        <f t="shared" si="167"/>
        <v>0</v>
      </c>
      <c r="CQ114" s="21">
        <f t="shared" si="167"/>
        <v>0</v>
      </c>
      <c r="CR114" s="21">
        <f t="shared" si="167"/>
        <v>0</v>
      </c>
      <c r="CS114" s="21">
        <f t="shared" si="167"/>
        <v>6</v>
      </c>
      <c r="CT114" s="21">
        <f t="shared" si="167"/>
        <v>0</v>
      </c>
      <c r="CU114" s="21">
        <f t="shared" si="167"/>
        <v>6</v>
      </c>
      <c r="CV114" s="21">
        <f t="shared" si="167"/>
        <v>0</v>
      </c>
      <c r="CW114" s="21">
        <f t="shared" si="167"/>
        <v>6</v>
      </c>
      <c r="CX114" s="21">
        <f t="shared" si="167"/>
        <v>0</v>
      </c>
      <c r="CY114" s="21">
        <f t="shared" si="167"/>
        <v>6</v>
      </c>
      <c r="CZ114" s="21">
        <f t="shared" si="167"/>
        <v>0</v>
      </c>
      <c r="DA114" s="21">
        <f t="shared" si="167"/>
        <v>6</v>
      </c>
      <c r="DB114" s="21">
        <f t="shared" si="167"/>
        <v>0</v>
      </c>
      <c r="DC114" s="21">
        <f t="shared" si="167"/>
        <v>6</v>
      </c>
      <c r="DD114" s="21">
        <f t="shared" si="167"/>
        <v>0</v>
      </c>
      <c r="DE114" s="21">
        <f t="shared" si="167"/>
        <v>6</v>
      </c>
      <c r="DF114" s="21">
        <f t="shared" si="167"/>
        <v>0</v>
      </c>
      <c r="DG114" s="21">
        <f t="shared" si="167"/>
        <v>6</v>
      </c>
      <c r="DH114" s="21">
        <f t="shared" si="167"/>
        <v>0</v>
      </c>
      <c r="DI114" s="21">
        <f t="shared" si="167"/>
        <v>6</v>
      </c>
      <c r="DJ114" s="21">
        <f t="shared" si="167"/>
        <v>0</v>
      </c>
      <c r="DK114" s="21">
        <f t="shared" si="167"/>
        <v>6</v>
      </c>
      <c r="DL114" s="21">
        <f t="shared" si="167"/>
        <v>0</v>
      </c>
      <c r="DM114" s="21"/>
      <c r="DN114" s="21"/>
      <c r="DO114" s="21"/>
      <c r="DP114" s="21"/>
      <c r="DQ114" s="87"/>
      <c r="DR114" s="87">
        <v>18</v>
      </c>
      <c r="DS114" s="87"/>
      <c r="DT114" s="21"/>
      <c r="DU114" s="21"/>
      <c r="DV114" s="21"/>
      <c r="DW114" s="21"/>
      <c r="DX114" s="21"/>
      <c r="DY114" s="21"/>
      <c r="DZ114" s="21"/>
      <c r="EA114" s="21"/>
      <c r="EB114" s="21"/>
      <c r="EC114" s="21"/>
      <c r="ED114" s="21"/>
      <c r="EE114" s="21"/>
      <c r="EF114" s="21"/>
      <c r="EG114" s="21"/>
      <c r="EH114" s="21"/>
      <c r="EI114" s="21"/>
      <c r="EJ114" s="196"/>
      <c r="EK114" s="21" t="s">
        <v>523</v>
      </c>
      <c r="EL114" s="21">
        <v>0</v>
      </c>
      <c r="EM114" s="21">
        <f>EM87/4*6</f>
        <v>6</v>
      </c>
      <c r="EN114" s="21">
        <f t="shared" si="163"/>
        <v>0</v>
      </c>
      <c r="EO114" s="21">
        <f t="shared" si="163"/>
        <v>0</v>
      </c>
      <c r="EP114" s="21">
        <f t="shared" si="163"/>
        <v>12</v>
      </c>
      <c r="EQ114" s="21">
        <f t="shared" si="163"/>
        <v>6</v>
      </c>
      <c r="ER114" s="21">
        <f t="shared" si="163"/>
        <v>0</v>
      </c>
      <c r="ES114" s="21">
        <f t="shared" si="163"/>
        <v>18</v>
      </c>
      <c r="ET114" s="21">
        <f t="shared" si="163"/>
        <v>12</v>
      </c>
      <c r="EU114" s="21">
        <f t="shared" si="163"/>
        <v>6</v>
      </c>
      <c r="EV114" s="21">
        <f t="shared" si="163"/>
        <v>24</v>
      </c>
      <c r="EW114" s="21">
        <f t="shared" si="163"/>
        <v>18</v>
      </c>
      <c r="EX114" s="21">
        <f t="shared" si="163"/>
        <v>12</v>
      </c>
      <c r="EY114" s="21">
        <f t="shared" si="163"/>
        <v>12</v>
      </c>
      <c r="EZ114" s="21">
        <f t="shared" si="163"/>
        <v>30</v>
      </c>
      <c r="FA114" s="21">
        <f t="shared" si="163"/>
        <v>24</v>
      </c>
      <c r="FB114" s="21">
        <f t="shared" si="163"/>
        <v>18</v>
      </c>
      <c r="FC114" s="21">
        <f t="shared" si="163"/>
        <v>36</v>
      </c>
      <c r="FD114" s="21">
        <f t="shared" si="163"/>
        <v>30</v>
      </c>
      <c r="FE114" s="21">
        <f t="shared" si="163"/>
        <v>24</v>
      </c>
      <c r="FF114" s="21">
        <f t="shared" si="163"/>
        <v>42</v>
      </c>
      <c r="FG114" s="21">
        <f t="shared" si="163"/>
        <v>36</v>
      </c>
      <c r="FH114" s="21">
        <f t="shared" si="163"/>
        <v>30</v>
      </c>
      <c r="FI114" s="21">
        <f t="shared" si="163"/>
        <v>48</v>
      </c>
      <c r="FJ114" s="21"/>
      <c r="FK114" s="21" t="s">
        <v>523</v>
      </c>
      <c r="FL114" s="21">
        <v>0</v>
      </c>
      <c r="FM114" s="21">
        <f>FM87/4*6</f>
        <v>0</v>
      </c>
      <c r="FN114" s="21">
        <f t="shared" si="164"/>
        <v>0</v>
      </c>
      <c r="FO114" s="21">
        <f t="shared" si="164"/>
        <v>0</v>
      </c>
      <c r="FP114" s="21">
        <f t="shared" si="164"/>
        <v>6</v>
      </c>
      <c r="FQ114" s="21">
        <f t="shared" si="164"/>
        <v>0</v>
      </c>
      <c r="FR114" s="21">
        <f t="shared" si="164"/>
        <v>18</v>
      </c>
      <c r="FS114" s="21">
        <f t="shared" si="164"/>
        <v>12</v>
      </c>
      <c r="FT114" s="21">
        <f t="shared" si="164"/>
        <v>6</v>
      </c>
      <c r="FU114" s="21">
        <f t="shared" si="164"/>
        <v>24</v>
      </c>
      <c r="FV114" s="21">
        <f t="shared" si="164"/>
        <v>18</v>
      </c>
      <c r="FW114" s="21">
        <f t="shared" si="164"/>
        <v>12</v>
      </c>
      <c r="FX114" s="21">
        <f t="shared" si="164"/>
        <v>30</v>
      </c>
      <c r="FY114" s="21">
        <f t="shared" si="164"/>
        <v>24</v>
      </c>
      <c r="FZ114" s="21">
        <f t="shared" si="164"/>
        <v>18</v>
      </c>
      <c r="GA114" s="21">
        <f t="shared" si="164"/>
        <v>36</v>
      </c>
      <c r="GB114" s="21">
        <f t="shared" si="164"/>
        <v>30</v>
      </c>
      <c r="GC114" s="21">
        <f t="shared" si="164"/>
        <v>24</v>
      </c>
      <c r="GD114" s="21">
        <f t="shared" si="164"/>
        <v>42</v>
      </c>
      <c r="GE114" s="21">
        <f t="shared" si="164"/>
        <v>36</v>
      </c>
      <c r="GF114" s="21">
        <f t="shared" si="164"/>
        <v>30</v>
      </c>
      <c r="GG114" s="21">
        <f t="shared" si="164"/>
        <v>48</v>
      </c>
      <c r="GH114" s="21">
        <f t="shared" si="164"/>
        <v>42</v>
      </c>
      <c r="GI114" s="21">
        <f t="shared" si="164"/>
        <v>36</v>
      </c>
      <c r="GJ114" s="21"/>
      <c r="GK114" s="21"/>
      <c r="GL114" s="21"/>
      <c r="GM114" s="21"/>
      <c r="GN114" s="21"/>
      <c r="GO114" s="21"/>
      <c r="GP114" s="21"/>
      <c r="GQ114" s="21"/>
      <c r="GR114" s="21" t="s">
        <v>523</v>
      </c>
      <c r="GS114" s="21">
        <v>0</v>
      </c>
      <c r="GT114" s="21">
        <f t="shared" si="168"/>
        <v>0</v>
      </c>
      <c r="GU114" s="21">
        <f t="shared" si="168"/>
        <v>0</v>
      </c>
      <c r="GV114" s="21">
        <f t="shared" si="168"/>
        <v>0</v>
      </c>
      <c r="GW114" s="21">
        <f t="shared" si="168"/>
        <v>6</v>
      </c>
      <c r="GX114" s="21">
        <f t="shared" si="168"/>
        <v>0</v>
      </c>
      <c r="GY114" s="21">
        <f t="shared" si="168"/>
        <v>18</v>
      </c>
      <c r="GZ114" s="21">
        <f t="shared" si="168"/>
        <v>6</v>
      </c>
      <c r="HA114" s="21">
        <f t="shared" si="168"/>
        <v>0</v>
      </c>
      <c r="HB114" s="21">
        <f t="shared" si="168"/>
        <v>18</v>
      </c>
      <c r="HC114" s="21">
        <f t="shared" si="168"/>
        <v>12</v>
      </c>
      <c r="HD114" s="21">
        <f t="shared" si="168"/>
        <v>6</v>
      </c>
      <c r="HE114" s="21">
        <f t="shared" si="168"/>
        <v>0</v>
      </c>
      <c r="HF114" s="21">
        <f t="shared" si="168"/>
        <v>18</v>
      </c>
      <c r="HG114" s="21">
        <f t="shared" si="168"/>
        <v>12</v>
      </c>
      <c r="HH114" s="21">
        <f t="shared" si="168"/>
        <v>6</v>
      </c>
      <c r="HI114" s="21">
        <f t="shared" si="168"/>
        <v>18</v>
      </c>
      <c r="HJ114" s="21">
        <f t="shared" si="168"/>
        <v>12</v>
      </c>
      <c r="HK114" s="21">
        <f t="shared" si="168"/>
        <v>6</v>
      </c>
      <c r="HL114" s="21">
        <f t="shared" si="168"/>
        <v>0</v>
      </c>
      <c r="HM114" s="21">
        <f t="shared" si="168"/>
        <v>18</v>
      </c>
      <c r="HN114" s="21">
        <f t="shared" si="168"/>
        <v>12</v>
      </c>
      <c r="HO114" s="21">
        <f t="shared" si="168"/>
        <v>6</v>
      </c>
      <c r="HP114" s="21">
        <f t="shared" si="168"/>
        <v>0</v>
      </c>
      <c r="HS114" s="180" t="s">
        <v>523</v>
      </c>
      <c r="HT114" s="180">
        <v>0</v>
      </c>
      <c r="HU114" s="21">
        <f t="shared" si="169"/>
        <v>0</v>
      </c>
      <c r="HV114" s="21">
        <f t="shared" si="169"/>
        <v>0</v>
      </c>
      <c r="HW114" s="21">
        <f t="shared" si="169"/>
        <v>6</v>
      </c>
      <c r="HX114" s="21">
        <f t="shared" si="169"/>
        <v>0</v>
      </c>
      <c r="HY114" s="21">
        <f t="shared" si="169"/>
        <v>18</v>
      </c>
      <c r="HZ114" s="21">
        <f t="shared" si="169"/>
        <v>12</v>
      </c>
      <c r="IA114" s="21">
        <f t="shared" si="169"/>
        <v>6</v>
      </c>
      <c r="IB114" s="21">
        <f t="shared" si="169"/>
        <v>18</v>
      </c>
      <c r="IC114" s="21">
        <f t="shared" si="169"/>
        <v>12</v>
      </c>
      <c r="ID114" s="21">
        <f t="shared" si="169"/>
        <v>6</v>
      </c>
      <c r="IE114" s="21">
        <f t="shared" si="169"/>
        <v>0</v>
      </c>
      <c r="IF114" s="21">
        <f t="shared" si="169"/>
        <v>18</v>
      </c>
      <c r="IG114" s="21">
        <f t="shared" si="169"/>
        <v>6</v>
      </c>
      <c r="IH114" s="21">
        <f t="shared" si="169"/>
        <v>0</v>
      </c>
      <c r="II114" s="21">
        <f t="shared" si="169"/>
        <v>18</v>
      </c>
      <c r="IJ114" s="21">
        <f t="shared" si="169"/>
        <v>12</v>
      </c>
      <c r="IK114" s="21">
        <f t="shared" si="169"/>
        <v>6</v>
      </c>
      <c r="IL114" s="21">
        <f t="shared" si="169"/>
        <v>18</v>
      </c>
      <c r="IM114" s="21">
        <f t="shared" si="169"/>
        <v>12</v>
      </c>
      <c r="IN114" s="21">
        <f t="shared" si="169"/>
        <v>6</v>
      </c>
      <c r="IO114" s="21">
        <f t="shared" si="169"/>
        <v>0</v>
      </c>
      <c r="IP114" s="21">
        <f t="shared" si="169"/>
        <v>18</v>
      </c>
      <c r="IQ114" s="21">
        <f t="shared" si="169"/>
        <v>6</v>
      </c>
      <c r="IR114" s="198"/>
    </row>
    <row r="115" spans="1:252" x14ac:dyDescent="0.25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6" t="str">
        <f>INDEX(($AH$13:$AI$13),1,MATCH(E100,$AH$2:$AI$2,0))</f>
        <v>PUF</v>
      </c>
      <c r="M115" s="11">
        <f>INDEX(cennik!$C$2:$L$529,MATCH($L115,cennik!$B$2:$B$522,0),MATCH(M$2,cennik!$C$1:$L$1,0))</f>
        <v>897300</v>
      </c>
      <c r="N115" s="11" t="str">
        <f>INDEX(cennik!$C$2:$L$529,MATCH($L115,cennik!$B$2:$B$522,0),MATCH(N$2,cennik!$C$1:$L$1,0))</f>
        <v>szt.</v>
      </c>
      <c r="O115" s="11">
        <f>SUM((((A98/2)-1)*4)*C98,(((A99/2)-1)*4)*C99,(((A100/2)-1)*4)*C100,(((A101/2)-1)*4)*C101,(((A102/2)-1)*4)*C102,(((A103/2)-1)*4)*C103,(((A104/2)-1)*4)*C104,(((A105/2)-1)*4)*C105,(((A106/2)-1)*4)*C106,(((A107/2)-1)*4)*C107,(((A108/2)-1)*4)*C108,(((A109/2)-1)*4)*C109,(((A110/2)-1)*4)*C110,(((A111/2)-1)*4)*C111,(((A112/2)-1)*4)*C112,(((A113/2)-1)*4)*C113)</f>
        <v>0</v>
      </c>
      <c r="P115" s="34">
        <f>INDEX(cennik!$C$2:$L$529,MATCH($L115,cennik!$B$2:$B$522,0),MATCH(P$2,cennik!$C$1:$L$1,0))</f>
        <v>2.06</v>
      </c>
      <c r="Q115" s="34">
        <f t="shared" si="160"/>
        <v>0</v>
      </c>
      <c r="R115" s="35">
        <f t="shared" si="156"/>
        <v>0</v>
      </c>
      <c r="S115" s="34">
        <f t="shared" si="157"/>
        <v>2.06</v>
      </c>
      <c r="T115" s="34">
        <f t="shared" si="161"/>
        <v>0</v>
      </c>
      <c r="U115" s="34">
        <f>INDEX(cennik!$C$2:$L$529,MATCH($L115,cennik!$B$2:$B$522,0),MATCH(U$2,cennik!$C$1:$L$1,0))*O115</f>
        <v>0</v>
      </c>
      <c r="V115" s="25"/>
      <c r="W115" s="21"/>
      <c r="X115" s="21"/>
      <c r="Y115" s="21"/>
      <c r="Z115" s="21"/>
      <c r="AA115" s="21"/>
      <c r="AB115" s="21"/>
      <c r="AC115" s="21"/>
      <c r="AD115" s="21"/>
      <c r="AE115" s="21"/>
      <c r="AF115" s="21"/>
      <c r="AG115" s="21" t="s">
        <v>217</v>
      </c>
      <c r="AH115" s="21">
        <v>6600</v>
      </c>
      <c r="AI115" s="21">
        <v>4</v>
      </c>
      <c r="AJ115" s="21">
        <f>AH115*AI115</f>
        <v>26400</v>
      </c>
      <c r="AK115" s="21">
        <v>191.1</v>
      </c>
      <c r="AL115" s="21">
        <f>AI115*AK115</f>
        <v>764.4</v>
      </c>
      <c r="AM115" s="21">
        <f>AI115*6</f>
        <v>24</v>
      </c>
      <c r="AP115" s="21" t="s">
        <v>763</v>
      </c>
      <c r="AQ115" s="21" t="s">
        <v>593</v>
      </c>
      <c r="AR115" s="21" t="s">
        <v>596</v>
      </c>
      <c r="AS115" s="21" t="s">
        <v>594</v>
      </c>
      <c r="AT115" s="21" t="s">
        <v>594</v>
      </c>
      <c r="AV115" s="21" t="s">
        <v>763</v>
      </c>
      <c r="AW115" s="21" t="s">
        <v>593</v>
      </c>
      <c r="AX115" s="21" t="s">
        <v>151</v>
      </c>
      <c r="AY115" s="21" t="s">
        <v>151</v>
      </c>
      <c r="AZ115" s="21" t="s">
        <v>151</v>
      </c>
      <c r="BG115" s="21"/>
      <c r="BH115" s="21" t="s">
        <v>18</v>
      </c>
      <c r="BI115" s="21">
        <f>(BI88/2)*3</f>
        <v>0</v>
      </c>
      <c r="BJ115" s="21">
        <v>0</v>
      </c>
      <c r="BK115" s="21">
        <v>0</v>
      </c>
      <c r="BL115" s="21">
        <v>0</v>
      </c>
      <c r="BM115" s="21">
        <v>0</v>
      </c>
      <c r="BN115" s="21">
        <v>6</v>
      </c>
      <c r="BO115" s="21">
        <v>6</v>
      </c>
      <c r="BP115" s="21">
        <v>6</v>
      </c>
      <c r="BQ115" s="21">
        <v>6</v>
      </c>
      <c r="BR115" s="21">
        <v>12</v>
      </c>
      <c r="BS115" s="21">
        <v>6</v>
      </c>
      <c r="BT115" s="21">
        <v>12</v>
      </c>
      <c r="BU115" s="21">
        <v>12</v>
      </c>
      <c r="BV115" s="21">
        <v>12</v>
      </c>
      <c r="BW115" s="21">
        <v>12</v>
      </c>
      <c r="BX115" s="21">
        <v>12</v>
      </c>
      <c r="BY115" s="21">
        <v>12</v>
      </c>
      <c r="BZ115" s="21">
        <v>12</v>
      </c>
      <c r="CA115" s="21">
        <v>18</v>
      </c>
      <c r="CB115" s="21">
        <v>18</v>
      </c>
      <c r="CC115" s="21">
        <v>18</v>
      </c>
      <c r="CD115" s="21">
        <v>18</v>
      </c>
      <c r="CE115" s="21">
        <v>24</v>
      </c>
      <c r="CF115" s="21">
        <v>18</v>
      </c>
      <c r="CG115" s="21"/>
      <c r="CH115" s="21"/>
      <c r="CI115" s="21"/>
      <c r="CJ115" s="21"/>
      <c r="CK115" s="21"/>
      <c r="CL115" s="21"/>
      <c r="CM115" s="21"/>
      <c r="CN115" s="21" t="s">
        <v>18</v>
      </c>
      <c r="CO115" s="21">
        <v>0</v>
      </c>
      <c r="CP115" s="21">
        <f t="shared" si="167"/>
        <v>0</v>
      </c>
      <c r="CQ115" s="21">
        <f t="shared" si="167"/>
        <v>0</v>
      </c>
      <c r="CR115" s="21">
        <f t="shared" si="167"/>
        <v>0</v>
      </c>
      <c r="CS115" s="21">
        <f t="shared" si="167"/>
        <v>6</v>
      </c>
      <c r="CT115" s="21">
        <f t="shared" si="167"/>
        <v>6</v>
      </c>
      <c r="CU115" s="21">
        <f t="shared" si="167"/>
        <v>6</v>
      </c>
      <c r="CV115" s="21">
        <f t="shared" si="167"/>
        <v>6</v>
      </c>
      <c r="CW115" s="21">
        <f t="shared" si="167"/>
        <v>12</v>
      </c>
      <c r="CX115" s="21">
        <f t="shared" si="167"/>
        <v>6</v>
      </c>
      <c r="CY115" s="21">
        <f t="shared" si="167"/>
        <v>12</v>
      </c>
      <c r="CZ115" s="21">
        <f t="shared" si="167"/>
        <v>12</v>
      </c>
      <c r="DA115" s="21">
        <f t="shared" si="167"/>
        <v>12</v>
      </c>
      <c r="DB115" s="21">
        <f t="shared" si="167"/>
        <v>12</v>
      </c>
      <c r="DC115" s="21">
        <f t="shared" si="167"/>
        <v>18</v>
      </c>
      <c r="DD115" s="21">
        <f t="shared" si="167"/>
        <v>12</v>
      </c>
      <c r="DE115" s="21">
        <f t="shared" si="167"/>
        <v>18</v>
      </c>
      <c r="DF115" s="21">
        <f t="shared" si="167"/>
        <v>18</v>
      </c>
      <c r="DG115" s="21">
        <f t="shared" si="167"/>
        <v>18</v>
      </c>
      <c r="DH115" s="21">
        <f t="shared" si="167"/>
        <v>18</v>
      </c>
      <c r="DI115" s="21">
        <f t="shared" si="167"/>
        <v>24</v>
      </c>
      <c r="DJ115" s="21">
        <f t="shared" si="167"/>
        <v>18</v>
      </c>
      <c r="DK115" s="21">
        <f t="shared" si="167"/>
        <v>24</v>
      </c>
      <c r="DL115" s="21">
        <f t="shared" si="167"/>
        <v>24</v>
      </c>
      <c r="DM115" s="21"/>
      <c r="DN115" s="21"/>
      <c r="DO115" s="21"/>
      <c r="DP115" s="21"/>
      <c r="DQ115" s="87"/>
      <c r="DR115" s="87">
        <v>21</v>
      </c>
      <c r="DS115" s="87"/>
      <c r="DT115" s="21"/>
      <c r="DU115" s="21"/>
      <c r="DV115" s="21"/>
      <c r="DW115" s="21"/>
      <c r="DX115" s="21"/>
      <c r="DY115" s="21"/>
      <c r="DZ115" s="21"/>
      <c r="EA115" s="21"/>
      <c r="EB115" s="21"/>
      <c r="EC115" s="21"/>
      <c r="ED115" s="21"/>
      <c r="EE115" s="21"/>
      <c r="EF115" s="21"/>
      <c r="EG115" s="21"/>
      <c r="EH115" s="21"/>
      <c r="EI115" s="21"/>
      <c r="EJ115" s="196"/>
      <c r="EK115" s="20" t="s">
        <v>779</v>
      </c>
      <c r="EL115" s="21">
        <v>0</v>
      </c>
      <c r="EM115" s="21">
        <f>((SUM(EM113:EM114)/6)-1)*6</f>
        <v>0</v>
      </c>
      <c r="EN115" s="21">
        <f t="shared" ref="EN115:FI115" si="170">((SUM(EN113:EN114)/6)-1)*6</f>
        <v>0</v>
      </c>
      <c r="EO115" s="21">
        <v>0</v>
      </c>
      <c r="EP115" s="21">
        <f t="shared" si="170"/>
        <v>6</v>
      </c>
      <c r="EQ115" s="21">
        <f t="shared" si="170"/>
        <v>6</v>
      </c>
      <c r="ER115" s="21">
        <f t="shared" si="170"/>
        <v>6</v>
      </c>
      <c r="ES115" s="21">
        <f t="shared" si="170"/>
        <v>12</v>
      </c>
      <c r="ET115" s="21">
        <f t="shared" si="170"/>
        <v>12</v>
      </c>
      <c r="EU115" s="21">
        <f t="shared" si="170"/>
        <v>12</v>
      </c>
      <c r="EV115" s="21">
        <f t="shared" si="170"/>
        <v>18</v>
      </c>
      <c r="EW115" s="21">
        <f t="shared" si="170"/>
        <v>18</v>
      </c>
      <c r="EX115" s="21">
        <f t="shared" si="170"/>
        <v>18</v>
      </c>
      <c r="EY115" s="21">
        <f t="shared" si="170"/>
        <v>18</v>
      </c>
      <c r="EZ115" s="21">
        <f t="shared" si="170"/>
        <v>24</v>
      </c>
      <c r="FA115" s="21">
        <f t="shared" si="170"/>
        <v>24</v>
      </c>
      <c r="FB115" s="21">
        <f t="shared" si="170"/>
        <v>24</v>
      </c>
      <c r="FC115" s="21">
        <f t="shared" si="170"/>
        <v>30</v>
      </c>
      <c r="FD115" s="21">
        <f t="shared" si="170"/>
        <v>30</v>
      </c>
      <c r="FE115" s="21">
        <f t="shared" si="170"/>
        <v>30</v>
      </c>
      <c r="FF115" s="21">
        <f t="shared" si="170"/>
        <v>36</v>
      </c>
      <c r="FG115" s="21">
        <f t="shared" si="170"/>
        <v>36</v>
      </c>
      <c r="FH115" s="21">
        <f t="shared" si="170"/>
        <v>36</v>
      </c>
      <c r="FI115" s="21">
        <f t="shared" si="170"/>
        <v>42</v>
      </c>
      <c r="FJ115" s="21"/>
      <c r="FK115" s="20" t="s">
        <v>779</v>
      </c>
      <c r="FL115" s="21">
        <v>0</v>
      </c>
      <c r="FM115" s="21">
        <f>((SUM(FM113:FM114)/6)-1)*6</f>
        <v>0</v>
      </c>
      <c r="FN115" s="21">
        <v>0</v>
      </c>
      <c r="FO115" s="21">
        <v>0</v>
      </c>
      <c r="FP115" s="21">
        <f t="shared" ref="FP115:GI115" si="171">((SUM(FP113:FP114)/6)-1)*6</f>
        <v>6</v>
      </c>
      <c r="FQ115" s="21">
        <f t="shared" si="171"/>
        <v>6</v>
      </c>
      <c r="FR115" s="21">
        <f t="shared" si="171"/>
        <v>12</v>
      </c>
      <c r="FS115" s="21">
        <f t="shared" si="171"/>
        <v>12</v>
      </c>
      <c r="FT115" s="21">
        <f t="shared" si="171"/>
        <v>12</v>
      </c>
      <c r="FU115" s="21">
        <f t="shared" si="171"/>
        <v>18</v>
      </c>
      <c r="FV115" s="21">
        <f t="shared" si="171"/>
        <v>18</v>
      </c>
      <c r="FW115" s="21">
        <f t="shared" si="171"/>
        <v>18</v>
      </c>
      <c r="FX115" s="21">
        <f t="shared" si="171"/>
        <v>24</v>
      </c>
      <c r="FY115" s="21">
        <f t="shared" si="171"/>
        <v>24</v>
      </c>
      <c r="FZ115" s="21">
        <f t="shared" si="171"/>
        <v>24</v>
      </c>
      <c r="GA115" s="21">
        <f t="shared" si="171"/>
        <v>30</v>
      </c>
      <c r="GB115" s="21">
        <f t="shared" si="171"/>
        <v>30</v>
      </c>
      <c r="GC115" s="21">
        <f t="shared" si="171"/>
        <v>30</v>
      </c>
      <c r="GD115" s="21">
        <f t="shared" si="171"/>
        <v>36</v>
      </c>
      <c r="GE115" s="21">
        <f t="shared" si="171"/>
        <v>36</v>
      </c>
      <c r="GF115" s="21">
        <f t="shared" si="171"/>
        <v>36</v>
      </c>
      <c r="GG115" s="21">
        <f t="shared" si="171"/>
        <v>42</v>
      </c>
      <c r="GH115" s="21">
        <f t="shared" si="171"/>
        <v>42</v>
      </c>
      <c r="GI115" s="21">
        <f t="shared" si="171"/>
        <v>42</v>
      </c>
      <c r="GJ115" s="21"/>
      <c r="GK115" s="21"/>
      <c r="GL115" s="21"/>
      <c r="GM115" s="21"/>
      <c r="GN115" s="21"/>
      <c r="GO115" s="21"/>
      <c r="GP115" s="21"/>
      <c r="GQ115" s="21"/>
      <c r="GR115" s="20" t="s">
        <v>779</v>
      </c>
      <c r="GS115" s="21">
        <v>0</v>
      </c>
      <c r="GT115" s="21">
        <f t="shared" si="168"/>
        <v>0</v>
      </c>
      <c r="GU115" s="21">
        <f t="shared" si="168"/>
        <v>0</v>
      </c>
      <c r="GV115" s="21">
        <f t="shared" si="168"/>
        <v>0</v>
      </c>
      <c r="GW115" s="21">
        <f t="shared" si="168"/>
        <v>6</v>
      </c>
      <c r="GX115" s="21">
        <f t="shared" si="168"/>
        <v>6</v>
      </c>
      <c r="GY115" s="21">
        <f t="shared" si="168"/>
        <v>12</v>
      </c>
      <c r="GZ115" s="21">
        <f t="shared" si="168"/>
        <v>12</v>
      </c>
      <c r="HA115" s="21">
        <f t="shared" si="168"/>
        <v>12</v>
      </c>
      <c r="HB115" s="21">
        <f t="shared" si="168"/>
        <v>18</v>
      </c>
      <c r="HC115" s="21">
        <f t="shared" si="168"/>
        <v>18</v>
      </c>
      <c r="HD115" s="21">
        <f t="shared" si="168"/>
        <v>18</v>
      </c>
      <c r="HE115" s="21">
        <f t="shared" si="168"/>
        <v>18</v>
      </c>
      <c r="HF115" s="21">
        <f t="shared" si="168"/>
        <v>24</v>
      </c>
      <c r="HG115" s="21">
        <f t="shared" si="168"/>
        <v>24</v>
      </c>
      <c r="HH115" s="21">
        <f t="shared" si="168"/>
        <v>24</v>
      </c>
      <c r="HI115" s="21">
        <f t="shared" si="168"/>
        <v>30</v>
      </c>
      <c r="HJ115" s="21">
        <f t="shared" si="168"/>
        <v>30</v>
      </c>
      <c r="HK115" s="21">
        <f t="shared" si="168"/>
        <v>30</v>
      </c>
      <c r="HL115" s="21">
        <f t="shared" si="168"/>
        <v>30</v>
      </c>
      <c r="HM115" s="21">
        <f t="shared" si="168"/>
        <v>36</v>
      </c>
      <c r="HN115" s="21">
        <f t="shared" si="168"/>
        <v>36</v>
      </c>
      <c r="HO115" s="21">
        <f t="shared" si="168"/>
        <v>36</v>
      </c>
      <c r="HP115" s="21">
        <f t="shared" si="168"/>
        <v>36</v>
      </c>
      <c r="HS115" s="180" t="s">
        <v>524</v>
      </c>
      <c r="HT115" s="180">
        <v>0</v>
      </c>
      <c r="HU115" s="21">
        <f t="shared" si="169"/>
        <v>0</v>
      </c>
      <c r="HV115" s="21">
        <f t="shared" si="169"/>
        <v>0</v>
      </c>
      <c r="HW115" s="21">
        <f t="shared" si="169"/>
        <v>6</v>
      </c>
      <c r="HX115" s="21">
        <f t="shared" si="169"/>
        <v>6</v>
      </c>
      <c r="HY115" s="21">
        <f t="shared" si="169"/>
        <v>12</v>
      </c>
      <c r="HZ115" s="21">
        <f t="shared" si="169"/>
        <v>12</v>
      </c>
      <c r="IA115" s="21">
        <f t="shared" si="169"/>
        <v>12</v>
      </c>
      <c r="IB115" s="21">
        <f t="shared" si="169"/>
        <v>18</v>
      </c>
      <c r="IC115" s="21">
        <f t="shared" si="169"/>
        <v>18</v>
      </c>
      <c r="ID115" s="21">
        <f t="shared" si="169"/>
        <v>18</v>
      </c>
      <c r="IE115" s="21">
        <f t="shared" si="169"/>
        <v>18</v>
      </c>
      <c r="IF115" s="21">
        <f t="shared" si="169"/>
        <v>24</v>
      </c>
      <c r="IG115" s="21">
        <f t="shared" si="169"/>
        <v>24</v>
      </c>
      <c r="IH115" s="21">
        <f t="shared" si="169"/>
        <v>24</v>
      </c>
      <c r="II115" s="21">
        <f t="shared" si="169"/>
        <v>30</v>
      </c>
      <c r="IJ115" s="21">
        <f t="shared" si="169"/>
        <v>30</v>
      </c>
      <c r="IK115" s="21">
        <f t="shared" si="169"/>
        <v>30</v>
      </c>
      <c r="IL115" s="21">
        <f t="shared" si="169"/>
        <v>36</v>
      </c>
      <c r="IM115" s="21">
        <f t="shared" si="169"/>
        <v>36</v>
      </c>
      <c r="IN115" s="21">
        <f t="shared" si="169"/>
        <v>36</v>
      </c>
      <c r="IO115" s="21">
        <f t="shared" si="169"/>
        <v>36</v>
      </c>
      <c r="IP115" s="21">
        <f t="shared" si="169"/>
        <v>42</v>
      </c>
      <c r="IQ115" s="21">
        <f t="shared" si="169"/>
        <v>42</v>
      </c>
      <c r="IR115" s="198"/>
    </row>
    <row r="116" spans="1:252" x14ac:dyDescent="0.25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6" t="str">
        <f>INDEX(($AJ$3:$AJ$12),MATCH(I99,$AG$3:$AG$12,0),1)</f>
        <v>SAM8X30E</v>
      </c>
      <c r="M116" s="11">
        <f>INDEX(cennik!$C$2:$L$529,MATCH($L116,cennik!$B$2:$B$522,0),MATCH(M$2,cennik!$C$1:$L$1,0))</f>
        <v>898530</v>
      </c>
      <c r="N116" s="11" t="str">
        <f>INDEX(cennik!$C$2:$L$529,MATCH($L116,cennik!$B$2:$B$522,0),MATCH(N$2,cennik!$C$1:$L$1,0))</f>
        <v>szt.</v>
      </c>
      <c r="O116" s="11">
        <f>SUM(O114:O115)</f>
        <v>0</v>
      </c>
      <c r="P116" s="34">
        <f>INDEX(cennik!$C$2:$L$529,MATCH($L116,cennik!$B$2:$B$522,0),MATCH(P$2,cennik!$C$1:$L$1,0))</f>
        <v>0.5</v>
      </c>
      <c r="Q116" s="34">
        <f t="shared" si="160"/>
        <v>0</v>
      </c>
      <c r="R116" s="35">
        <f t="shared" si="156"/>
        <v>0</v>
      </c>
      <c r="S116" s="34">
        <f t="shared" si="157"/>
        <v>0.5</v>
      </c>
      <c r="T116" s="34">
        <f t="shared" si="161"/>
        <v>0</v>
      </c>
      <c r="U116" s="34">
        <f>INDEX(cennik!$C$2:$L$529,MATCH($L116,cennik!$B$2:$B$522,0),MATCH(U$2,cennik!$C$1:$L$1,0))*O116</f>
        <v>0</v>
      </c>
      <c r="V116" s="25"/>
      <c r="AC116" s="21"/>
      <c r="AD116" s="21"/>
      <c r="AE116" s="21"/>
      <c r="AF116" s="21"/>
      <c r="AG116" s="21" t="s">
        <v>216</v>
      </c>
      <c r="AH116" s="21">
        <v>4400</v>
      </c>
      <c r="AI116" s="21">
        <v>0</v>
      </c>
      <c r="AJ116" s="21">
        <f>AH116*AI116</f>
        <v>0</v>
      </c>
      <c r="AK116" s="21">
        <v>127.4</v>
      </c>
      <c r="AL116" s="21">
        <f>AI116*AK116</f>
        <v>0</v>
      </c>
      <c r="AM116" s="21">
        <f>AI116*6</f>
        <v>0</v>
      </c>
      <c r="AP116" s="21" t="s">
        <v>764</v>
      </c>
      <c r="AQ116" s="21" t="s">
        <v>593</v>
      </c>
      <c r="AR116" s="21" t="s">
        <v>596</v>
      </c>
      <c r="AS116" s="21" t="s">
        <v>594</v>
      </c>
      <c r="AT116" s="21" t="s">
        <v>594</v>
      </c>
      <c r="AV116" s="21" t="s">
        <v>764</v>
      </c>
      <c r="AW116" s="21" t="s">
        <v>593</v>
      </c>
      <c r="AX116" s="21" t="s">
        <v>151</v>
      </c>
      <c r="AY116" s="21" t="s">
        <v>151</v>
      </c>
      <c r="AZ116" s="21" t="s">
        <v>151</v>
      </c>
      <c r="BG116" s="21"/>
      <c r="BH116" s="21"/>
      <c r="BI116" s="21"/>
      <c r="BJ116" s="21"/>
      <c r="BK116" s="21"/>
      <c r="BL116" s="21"/>
      <c r="BM116" s="21"/>
      <c r="BN116" s="21"/>
      <c r="BO116" s="21"/>
      <c r="BP116" s="21"/>
      <c r="BQ116" s="21"/>
      <c r="BR116" s="21"/>
      <c r="BS116" s="21"/>
      <c r="BT116" s="21"/>
      <c r="BU116" s="21"/>
      <c r="BV116" s="21"/>
      <c r="BW116" s="21"/>
      <c r="BX116" s="21"/>
      <c r="BY116" s="21"/>
      <c r="BZ116" s="21"/>
      <c r="CA116" s="21"/>
      <c r="CB116" s="21"/>
      <c r="CC116" s="21"/>
      <c r="CD116" s="21"/>
      <c r="CE116" s="21"/>
      <c r="CF116" s="21"/>
      <c r="CG116" s="21"/>
      <c r="CH116" s="21"/>
      <c r="CI116" s="21"/>
      <c r="CJ116" s="21"/>
      <c r="CK116" s="21"/>
      <c r="CL116" s="21"/>
      <c r="CM116" s="21"/>
      <c r="CN116" s="21"/>
      <c r="CO116" s="21"/>
      <c r="CP116" s="21"/>
      <c r="CQ116" s="21"/>
      <c r="CR116" s="21"/>
      <c r="CS116" s="21"/>
      <c r="CT116" s="21"/>
      <c r="CU116" s="21"/>
      <c r="CV116" s="21"/>
      <c r="CW116" s="21"/>
      <c r="CX116" s="21"/>
      <c r="CY116" s="21"/>
      <c r="CZ116" s="21"/>
      <c r="DA116" s="21"/>
      <c r="DB116" s="21"/>
      <c r="DC116" s="21"/>
      <c r="DD116" s="21"/>
      <c r="DE116" s="21"/>
      <c r="DF116" s="21"/>
      <c r="DG116" s="21"/>
      <c r="DH116" s="21"/>
      <c r="DI116" s="21"/>
      <c r="DJ116" s="21"/>
      <c r="DK116" s="21"/>
      <c r="DL116" s="21"/>
      <c r="DM116" s="21"/>
      <c r="DN116" s="21"/>
      <c r="DO116" s="21"/>
      <c r="DP116" s="21"/>
      <c r="DQ116" s="87"/>
      <c r="DR116" s="87">
        <v>24</v>
      </c>
      <c r="DS116" s="87"/>
      <c r="DT116" s="21"/>
      <c r="DU116" s="21"/>
      <c r="DV116" s="21"/>
      <c r="DW116" s="21"/>
      <c r="DX116" s="21"/>
      <c r="DY116" s="21"/>
      <c r="DZ116" s="21"/>
      <c r="EA116" s="21"/>
      <c r="EB116" s="21"/>
      <c r="EC116" s="21"/>
      <c r="ED116" s="21"/>
      <c r="EE116" s="21"/>
      <c r="EF116" s="21"/>
      <c r="EG116" s="21"/>
      <c r="EH116" s="21"/>
      <c r="EI116" s="21"/>
      <c r="EJ116" s="196"/>
      <c r="GJ116" s="21"/>
      <c r="GK116" s="21"/>
      <c r="GL116" s="21"/>
      <c r="GM116" s="21"/>
      <c r="GN116" s="21"/>
      <c r="GO116" s="21"/>
      <c r="GP116" s="21"/>
      <c r="GQ116" s="21"/>
      <c r="GR116" s="21" t="s">
        <v>700</v>
      </c>
      <c r="GS116" s="21">
        <v>0</v>
      </c>
      <c r="GT116" s="21">
        <f t="shared" si="168"/>
        <v>0</v>
      </c>
      <c r="GU116" s="21">
        <f t="shared" si="168"/>
        <v>0</v>
      </c>
      <c r="GV116" s="21">
        <f t="shared" si="168"/>
        <v>0</v>
      </c>
      <c r="GW116" s="21">
        <f t="shared" si="168"/>
        <v>6</v>
      </c>
      <c r="GX116" s="21">
        <f t="shared" si="168"/>
        <v>6</v>
      </c>
      <c r="GY116" s="21">
        <f t="shared" si="168"/>
        <v>12</v>
      </c>
      <c r="GZ116" s="21">
        <f t="shared" si="168"/>
        <v>12</v>
      </c>
      <c r="HA116" s="21">
        <f t="shared" si="168"/>
        <v>12</v>
      </c>
      <c r="HB116" s="21">
        <f t="shared" si="168"/>
        <v>18</v>
      </c>
      <c r="HC116" s="21">
        <f t="shared" si="168"/>
        <v>18</v>
      </c>
      <c r="HD116" s="21">
        <f t="shared" si="168"/>
        <v>18</v>
      </c>
      <c r="HE116" s="21">
        <f t="shared" si="168"/>
        <v>18</v>
      </c>
      <c r="HF116" s="21">
        <f t="shared" si="168"/>
        <v>24</v>
      </c>
      <c r="HG116" s="21">
        <f t="shared" si="168"/>
        <v>24</v>
      </c>
      <c r="HH116" s="21">
        <f t="shared" si="168"/>
        <v>24</v>
      </c>
      <c r="HI116" s="21">
        <f t="shared" si="168"/>
        <v>30</v>
      </c>
      <c r="HJ116" s="21">
        <f t="shared" si="168"/>
        <v>30</v>
      </c>
      <c r="HK116" s="21">
        <f t="shared" si="168"/>
        <v>30</v>
      </c>
      <c r="HL116" s="21">
        <f t="shared" si="168"/>
        <v>30</v>
      </c>
      <c r="HM116" s="21">
        <f t="shared" si="168"/>
        <v>36</v>
      </c>
      <c r="HN116" s="21">
        <f t="shared" si="168"/>
        <v>36</v>
      </c>
      <c r="HO116" s="21">
        <f t="shared" si="168"/>
        <v>36</v>
      </c>
      <c r="HP116" s="21">
        <f t="shared" si="168"/>
        <v>36</v>
      </c>
      <c r="HS116" s="180" t="s">
        <v>700</v>
      </c>
      <c r="HT116" s="180">
        <v>0</v>
      </c>
      <c r="HU116" s="21">
        <f t="shared" si="169"/>
        <v>0</v>
      </c>
      <c r="HV116" s="21">
        <f t="shared" si="169"/>
        <v>0</v>
      </c>
      <c r="HW116" s="21">
        <f t="shared" si="169"/>
        <v>6</v>
      </c>
      <c r="HX116" s="21">
        <f t="shared" si="169"/>
        <v>6</v>
      </c>
      <c r="HY116" s="21">
        <f t="shared" si="169"/>
        <v>12</v>
      </c>
      <c r="HZ116" s="21">
        <f t="shared" si="169"/>
        <v>12</v>
      </c>
      <c r="IA116" s="21">
        <f t="shared" si="169"/>
        <v>12</v>
      </c>
      <c r="IB116" s="21">
        <f t="shared" si="169"/>
        <v>18</v>
      </c>
      <c r="IC116" s="21">
        <f t="shared" si="169"/>
        <v>18</v>
      </c>
      <c r="ID116" s="21">
        <f t="shared" si="169"/>
        <v>18</v>
      </c>
      <c r="IE116" s="21">
        <f t="shared" si="169"/>
        <v>18</v>
      </c>
      <c r="IF116" s="21">
        <f t="shared" si="169"/>
        <v>24</v>
      </c>
      <c r="IG116" s="21">
        <f t="shared" si="169"/>
        <v>24</v>
      </c>
      <c r="IH116" s="21">
        <f t="shared" si="169"/>
        <v>24</v>
      </c>
      <c r="II116" s="21">
        <f t="shared" si="169"/>
        <v>30</v>
      </c>
      <c r="IJ116" s="21">
        <f t="shared" si="169"/>
        <v>30</v>
      </c>
      <c r="IK116" s="21">
        <f t="shared" si="169"/>
        <v>30</v>
      </c>
      <c r="IL116" s="21">
        <f t="shared" si="169"/>
        <v>36</v>
      </c>
      <c r="IM116" s="21">
        <f t="shared" si="169"/>
        <v>36</v>
      </c>
      <c r="IN116" s="21">
        <f t="shared" si="169"/>
        <v>36</v>
      </c>
      <c r="IO116" s="21">
        <f t="shared" si="169"/>
        <v>36</v>
      </c>
      <c r="IP116" s="21">
        <f t="shared" si="169"/>
        <v>42</v>
      </c>
      <c r="IQ116" s="21">
        <f t="shared" si="169"/>
        <v>42</v>
      </c>
      <c r="IR116" s="198"/>
    </row>
    <row r="117" spans="1:252" x14ac:dyDescent="0.25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6" t="s">
        <v>1019</v>
      </c>
      <c r="M117" s="11">
        <f>INDEX(cennik!$C$2:$L$529,MATCH($L117,cennik!$B$2:$B$522,0),MATCH(M$2,cennik!$C$1:$L$1,0))</f>
        <v>166794</v>
      </c>
      <c r="N117" s="11" t="str">
        <f>INDEX(cennik!$C$2:$L$529,MATCH($L117,cennik!$B$2:$B$522,0),MATCH(N$2,cennik!$C$1:$L$1,0))</f>
        <v>100 szt.</v>
      </c>
      <c r="O117" s="11">
        <f>ROUNDUP(O116/100,0)</f>
        <v>0</v>
      </c>
      <c r="P117" s="34">
        <f>INDEX(cennik!$C$2:$L$529,MATCH($L117,cennik!$B$2:$B$522,0),MATCH(P$2,cennik!$C$1:$L$1,0))</f>
        <v>3.95</v>
      </c>
      <c r="Q117" s="34">
        <f t="shared" si="160"/>
        <v>0</v>
      </c>
      <c r="R117" s="35">
        <f t="shared" si="156"/>
        <v>0</v>
      </c>
      <c r="S117" s="34">
        <f t="shared" si="157"/>
        <v>3.95</v>
      </c>
      <c r="T117" s="34">
        <f t="shared" si="161"/>
        <v>0</v>
      </c>
      <c r="U117" s="34">
        <f>INDEX(cennik!$C$2:$L$529,MATCH($L117,cennik!$B$2:$B$522,0),MATCH(U$2,cennik!$C$1:$L$1,0))*O117</f>
        <v>0</v>
      </c>
      <c r="V117" s="25"/>
      <c r="AC117" s="21"/>
      <c r="AD117" s="21"/>
      <c r="AE117" s="21"/>
      <c r="AF117" s="21"/>
      <c r="AG117" s="21" t="s">
        <v>17</v>
      </c>
      <c r="AH117" s="21">
        <v>3300</v>
      </c>
      <c r="AI117" s="21">
        <v>1</v>
      </c>
      <c r="AJ117" s="21">
        <f>AH117*AI117</f>
        <v>3300</v>
      </c>
      <c r="AK117" s="21">
        <v>95.55</v>
      </c>
      <c r="AL117" s="21">
        <f>AI117*AK117</f>
        <v>95.55</v>
      </c>
      <c r="AM117" s="21">
        <f>AI117*6</f>
        <v>6</v>
      </c>
      <c r="AP117" s="21" t="s">
        <v>832</v>
      </c>
      <c r="AQ117" s="21" t="s">
        <v>593</v>
      </c>
      <c r="AR117" s="21" t="s">
        <v>596</v>
      </c>
      <c r="AS117" s="21" t="s">
        <v>594</v>
      </c>
      <c r="AT117" s="21" t="s">
        <v>594</v>
      </c>
      <c r="AV117" s="21" t="s">
        <v>832</v>
      </c>
      <c r="AW117" s="21" t="s">
        <v>593</v>
      </c>
      <c r="AX117" s="21" t="s">
        <v>151</v>
      </c>
      <c r="AY117" s="21" t="s">
        <v>151</v>
      </c>
      <c r="AZ117" s="21" t="s">
        <v>151</v>
      </c>
      <c r="BG117" s="21"/>
      <c r="BH117" s="21" t="s">
        <v>115</v>
      </c>
      <c r="BI117" s="21">
        <v>0</v>
      </c>
      <c r="BJ117" s="21">
        <v>9</v>
      </c>
      <c r="BK117" s="21">
        <v>12</v>
      </c>
      <c r="BL117" s="21">
        <v>15</v>
      </c>
      <c r="BM117" s="21">
        <v>18</v>
      </c>
      <c r="BN117" s="21">
        <v>21</v>
      </c>
      <c r="BO117" s="21">
        <v>24</v>
      </c>
      <c r="BP117" s="21">
        <v>27</v>
      </c>
      <c r="BQ117" s="21">
        <v>30</v>
      </c>
      <c r="BR117" s="21">
        <v>33</v>
      </c>
      <c r="BS117" s="21">
        <v>36</v>
      </c>
      <c r="BT117" s="21">
        <v>39</v>
      </c>
      <c r="BU117" s="21">
        <v>42</v>
      </c>
      <c r="BV117" s="21">
        <v>45</v>
      </c>
      <c r="BW117" s="21">
        <v>48</v>
      </c>
      <c r="BX117" s="21">
        <v>51</v>
      </c>
      <c r="BY117" s="21">
        <v>54</v>
      </c>
      <c r="BZ117" s="21">
        <v>57</v>
      </c>
      <c r="CA117" s="21">
        <v>60</v>
      </c>
      <c r="CB117" s="21">
        <v>63</v>
      </c>
      <c r="CC117" s="21">
        <v>66</v>
      </c>
      <c r="CD117" s="21">
        <v>69</v>
      </c>
      <c r="CE117" s="21">
        <v>72</v>
      </c>
      <c r="CF117" s="21">
        <v>75</v>
      </c>
      <c r="CG117" s="21"/>
      <c r="CH117" s="21"/>
      <c r="CI117" s="21"/>
      <c r="CJ117" s="21"/>
      <c r="CK117" s="21"/>
      <c r="CL117" s="21"/>
      <c r="CM117" s="21"/>
      <c r="CN117" s="21" t="s">
        <v>480</v>
      </c>
      <c r="CO117" s="21">
        <v>0</v>
      </c>
      <c r="CP117" s="21">
        <v>9</v>
      </c>
      <c r="CQ117" s="21">
        <v>12</v>
      </c>
      <c r="CR117" s="21">
        <v>15</v>
      </c>
      <c r="CS117" s="21">
        <v>18</v>
      </c>
      <c r="CT117" s="21">
        <v>21</v>
      </c>
      <c r="CU117" s="21">
        <v>24</v>
      </c>
      <c r="CV117" s="21">
        <v>27</v>
      </c>
      <c r="CW117" s="21">
        <v>30</v>
      </c>
      <c r="CX117" s="21">
        <v>33</v>
      </c>
      <c r="CY117" s="21">
        <v>36</v>
      </c>
      <c r="CZ117" s="21">
        <v>39</v>
      </c>
      <c r="DA117" s="21">
        <v>42</v>
      </c>
      <c r="DB117" s="21">
        <v>45</v>
      </c>
      <c r="DC117" s="21">
        <v>48</v>
      </c>
      <c r="DD117" s="21">
        <v>51</v>
      </c>
      <c r="DE117" s="21">
        <v>54</v>
      </c>
      <c r="DF117" s="21">
        <v>57</v>
      </c>
      <c r="DG117" s="21">
        <v>60</v>
      </c>
      <c r="DH117" s="21">
        <v>63</v>
      </c>
      <c r="DI117" s="21">
        <v>66</v>
      </c>
      <c r="DJ117" s="21">
        <v>69</v>
      </c>
      <c r="DK117" s="21">
        <v>72</v>
      </c>
      <c r="DL117" s="21">
        <v>75</v>
      </c>
      <c r="DM117" s="21"/>
      <c r="DN117" s="21"/>
      <c r="DO117" s="21"/>
      <c r="DP117" s="21"/>
      <c r="DQ117" s="87"/>
      <c r="DR117" s="87">
        <v>27</v>
      </c>
      <c r="DS117" s="87"/>
      <c r="DT117" s="21"/>
      <c r="DU117" s="21"/>
      <c r="DV117" s="21"/>
      <c r="DW117" s="21"/>
      <c r="DX117" s="21"/>
      <c r="DY117" s="21"/>
      <c r="DZ117" s="21"/>
      <c r="EA117" s="21"/>
      <c r="EB117" s="21"/>
      <c r="EC117" s="21"/>
      <c r="ED117" s="21"/>
      <c r="EE117" s="21"/>
      <c r="EF117" s="21"/>
      <c r="EG117" s="21"/>
      <c r="EH117" s="21"/>
      <c r="EI117" s="21"/>
      <c r="EJ117" s="196"/>
      <c r="EK117" s="21" t="s">
        <v>115</v>
      </c>
      <c r="EL117" s="21">
        <v>0</v>
      </c>
      <c r="EM117" s="21">
        <v>9</v>
      </c>
      <c r="EN117" s="21">
        <v>12</v>
      </c>
      <c r="EO117" s="21">
        <v>15</v>
      </c>
      <c r="EP117" s="21">
        <v>18</v>
      </c>
      <c r="EQ117" s="21">
        <v>21</v>
      </c>
      <c r="ER117" s="21">
        <v>24</v>
      </c>
      <c r="ES117" s="21">
        <v>27</v>
      </c>
      <c r="ET117" s="21">
        <v>30</v>
      </c>
      <c r="EU117" s="21">
        <v>33</v>
      </c>
      <c r="EV117" s="21">
        <v>36</v>
      </c>
      <c r="EW117" s="21">
        <v>39</v>
      </c>
      <c r="EX117" s="21">
        <v>42</v>
      </c>
      <c r="EY117" s="21">
        <v>45</v>
      </c>
      <c r="EZ117" s="21">
        <v>48</v>
      </c>
      <c r="FA117" s="21">
        <v>51</v>
      </c>
      <c r="FB117" s="21">
        <v>54</v>
      </c>
      <c r="FC117" s="21">
        <v>57</v>
      </c>
      <c r="FD117" s="21">
        <v>60</v>
      </c>
      <c r="FE117" s="21">
        <v>63</v>
      </c>
      <c r="FF117" s="21">
        <v>66</v>
      </c>
      <c r="FG117" s="21">
        <v>69</v>
      </c>
      <c r="FH117" s="21">
        <v>72</v>
      </c>
      <c r="FI117" s="21">
        <v>75</v>
      </c>
      <c r="FJ117" s="21"/>
      <c r="FK117" s="21" t="s">
        <v>480</v>
      </c>
      <c r="FL117" s="21">
        <v>0</v>
      </c>
      <c r="FM117" s="21">
        <v>9</v>
      </c>
      <c r="FN117" s="21">
        <v>12</v>
      </c>
      <c r="FO117" s="21">
        <v>15</v>
      </c>
      <c r="FP117" s="21">
        <v>18</v>
      </c>
      <c r="FQ117" s="21">
        <v>21</v>
      </c>
      <c r="FR117" s="21">
        <v>24</v>
      </c>
      <c r="FS117" s="21">
        <v>27</v>
      </c>
      <c r="FT117" s="21">
        <v>30</v>
      </c>
      <c r="FU117" s="21">
        <v>33</v>
      </c>
      <c r="FV117" s="21">
        <v>36</v>
      </c>
      <c r="FW117" s="21">
        <v>39</v>
      </c>
      <c r="FX117" s="21">
        <v>42</v>
      </c>
      <c r="FY117" s="21">
        <v>45</v>
      </c>
      <c r="FZ117" s="21">
        <v>48</v>
      </c>
      <c r="GA117" s="21">
        <v>51</v>
      </c>
      <c r="GB117" s="21">
        <v>54</v>
      </c>
      <c r="GC117" s="21">
        <v>57</v>
      </c>
      <c r="GD117" s="21">
        <v>60</v>
      </c>
      <c r="GE117" s="21">
        <v>63</v>
      </c>
      <c r="GF117" s="21">
        <v>66</v>
      </c>
      <c r="GG117" s="21">
        <v>69</v>
      </c>
      <c r="GH117" s="21">
        <v>72</v>
      </c>
      <c r="GI117" s="21">
        <v>75</v>
      </c>
      <c r="GJ117" s="21"/>
      <c r="GK117" s="21"/>
      <c r="GL117" s="21"/>
      <c r="GM117" s="21"/>
      <c r="GN117" s="21"/>
      <c r="GO117" s="21"/>
      <c r="GP117" s="21"/>
      <c r="GQ117" s="21"/>
      <c r="GR117" s="21"/>
      <c r="GS117" s="21"/>
      <c r="GT117" s="21"/>
      <c r="GU117" s="21"/>
      <c r="GV117" s="21"/>
      <c r="GW117" s="21"/>
      <c r="GX117" s="21"/>
      <c r="GY117" s="21"/>
      <c r="GZ117" s="21"/>
      <c r="HA117" s="21"/>
      <c r="HB117" s="21"/>
      <c r="HC117" s="21"/>
      <c r="HD117" s="21"/>
      <c r="HE117" s="21"/>
      <c r="HF117" s="21"/>
      <c r="HG117" s="21"/>
      <c r="HH117" s="21"/>
      <c r="IR117" s="198"/>
    </row>
    <row r="118" spans="1:252" x14ac:dyDescent="0.25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6" t="s">
        <v>525</v>
      </c>
      <c r="M118" s="11">
        <f>INDEX(cennik!$C$2:$L$529,MATCH($L118,cennik!$B$2:$B$522,0),MATCH(M$2,cennik!$C$1:$L$1,0))</f>
        <v>660245</v>
      </c>
      <c r="N118" s="11" t="str">
        <f>INDEX(cennik!$C$2:$L$529,MATCH($L118,cennik!$B$2:$B$522,0),MATCH(N$2,cennik!$C$1:$L$1,0))</f>
        <v>szt.</v>
      </c>
      <c r="O118" s="11">
        <f>O116</f>
        <v>0</v>
      </c>
      <c r="P118" s="34">
        <f>INDEX(cennik!$C$2:$L$529,MATCH($L118,cennik!$B$2:$B$522,0),MATCH(P$2,cennik!$C$1:$L$1,0))</f>
        <v>1.56</v>
      </c>
      <c r="Q118" s="34">
        <f t="shared" si="160"/>
        <v>0</v>
      </c>
      <c r="R118" s="35">
        <f t="shared" si="156"/>
        <v>0</v>
      </c>
      <c r="S118" s="34">
        <f t="shared" si="157"/>
        <v>1.56</v>
      </c>
      <c r="T118" s="34">
        <f t="shared" si="161"/>
        <v>0</v>
      </c>
      <c r="U118" s="34">
        <f>INDEX(cennik!$C$2:$L$529,MATCH($L118,cennik!$B$2:$B$522,0),MATCH(U$2,cennik!$C$1:$L$1,0))*O118</f>
        <v>0</v>
      </c>
      <c r="V118" s="25"/>
      <c r="AC118" s="21"/>
      <c r="AD118" s="21"/>
      <c r="AE118" s="21"/>
      <c r="AF118" s="21"/>
      <c r="AG118" s="21"/>
      <c r="AH118" s="21" t="s">
        <v>317</v>
      </c>
      <c r="AI118" s="21">
        <f>IF(SUM(AI115:AI117)=0,0,IF(SUM(AI115:AI117)=1,0,IF(SUM(AI115:AI117)&gt;1,(SUM(AI115:AI117)-1),0)))</f>
        <v>4</v>
      </c>
      <c r="AJ118" s="21"/>
      <c r="AK118" s="21">
        <v>7.1</v>
      </c>
      <c r="AL118" s="21">
        <f>AI118*AK118</f>
        <v>28.4</v>
      </c>
      <c r="AM118" s="21">
        <f>AI118*6</f>
        <v>24</v>
      </c>
      <c r="AP118" s="21" t="s">
        <v>833</v>
      </c>
      <c r="AQ118" s="21" t="s">
        <v>593</v>
      </c>
      <c r="AR118" s="21" t="s">
        <v>596</v>
      </c>
      <c r="AS118" s="21" t="s">
        <v>594</v>
      </c>
      <c r="AT118" s="21" t="s">
        <v>594</v>
      </c>
      <c r="AV118" s="21" t="s">
        <v>833</v>
      </c>
      <c r="AW118" s="21" t="s">
        <v>593</v>
      </c>
      <c r="AX118" s="21" t="s">
        <v>151</v>
      </c>
      <c r="AY118" s="21" t="s">
        <v>151</v>
      </c>
      <c r="AZ118" s="21" t="s">
        <v>151</v>
      </c>
      <c r="BA118" s="21"/>
      <c r="BB118" s="21"/>
      <c r="BC118" s="21"/>
      <c r="BD118" s="21"/>
      <c r="BE118" s="21"/>
      <c r="BF118" s="21"/>
      <c r="BG118" s="21"/>
      <c r="BH118" s="21" t="s">
        <v>217</v>
      </c>
      <c r="BI118" s="21">
        <f>(BI91/2)*3</f>
        <v>0</v>
      </c>
      <c r="BJ118" s="21">
        <v>0</v>
      </c>
      <c r="BK118" s="21">
        <v>0</v>
      </c>
      <c r="BL118" s="21">
        <v>6</v>
      </c>
      <c r="BM118" s="21">
        <v>6</v>
      </c>
      <c r="BN118" s="21">
        <v>0</v>
      </c>
      <c r="BO118" s="21">
        <v>0</v>
      </c>
      <c r="BP118" s="21">
        <v>6</v>
      </c>
      <c r="BQ118" s="21">
        <v>6</v>
      </c>
      <c r="BR118" s="21">
        <v>0</v>
      </c>
      <c r="BS118" s="21">
        <v>12</v>
      </c>
      <c r="BT118" s="21">
        <v>6</v>
      </c>
      <c r="BU118" s="21">
        <v>6</v>
      </c>
      <c r="BV118" s="21">
        <v>12</v>
      </c>
      <c r="BW118" s="21">
        <v>12</v>
      </c>
      <c r="BX118" s="21">
        <v>6</v>
      </c>
      <c r="BY118" s="21">
        <v>18</v>
      </c>
      <c r="BZ118" s="21">
        <v>12</v>
      </c>
      <c r="CA118" s="21">
        <v>12</v>
      </c>
      <c r="CB118" s="21">
        <v>18</v>
      </c>
      <c r="CC118" s="21">
        <v>18</v>
      </c>
      <c r="CD118" s="21">
        <v>12</v>
      </c>
      <c r="CE118" s="21">
        <v>24</v>
      </c>
      <c r="CF118" s="21">
        <v>18</v>
      </c>
      <c r="CG118" s="21"/>
      <c r="CH118" s="21"/>
      <c r="CI118" s="21"/>
      <c r="CJ118" s="21"/>
      <c r="CK118" s="21"/>
      <c r="CL118" s="21"/>
      <c r="CM118" s="21"/>
      <c r="CN118" s="21" t="s">
        <v>217</v>
      </c>
      <c r="CO118" s="21">
        <v>0</v>
      </c>
      <c r="CP118" s="21">
        <f>IF(CP91=0,0,IF(CP91&gt;0,(CP91/4)*6,0))</f>
        <v>0</v>
      </c>
      <c r="CQ118" s="21">
        <f t="shared" ref="CQ118:DL118" si="172">IF(CQ91=0,0,IF(CQ91&gt;0,(CQ91/4)*6,0))</f>
        <v>6</v>
      </c>
      <c r="CR118" s="21">
        <f t="shared" si="172"/>
        <v>6</v>
      </c>
      <c r="CS118" s="21">
        <f t="shared" si="172"/>
        <v>0</v>
      </c>
      <c r="CT118" s="21">
        <f t="shared" si="172"/>
        <v>0</v>
      </c>
      <c r="CU118" s="21">
        <f t="shared" si="172"/>
        <v>6</v>
      </c>
      <c r="CV118" s="21">
        <f t="shared" si="172"/>
        <v>6</v>
      </c>
      <c r="CW118" s="21">
        <f t="shared" si="172"/>
        <v>0</v>
      </c>
      <c r="CX118" s="21">
        <f t="shared" si="172"/>
        <v>12</v>
      </c>
      <c r="CY118" s="21">
        <f t="shared" si="172"/>
        <v>6</v>
      </c>
      <c r="CZ118" s="21">
        <v>12</v>
      </c>
      <c r="DA118" s="21">
        <f t="shared" si="172"/>
        <v>12</v>
      </c>
      <c r="DB118" s="21">
        <f t="shared" si="172"/>
        <v>6</v>
      </c>
      <c r="DC118" s="21">
        <f t="shared" si="172"/>
        <v>18</v>
      </c>
      <c r="DD118" s="21">
        <f t="shared" si="172"/>
        <v>12</v>
      </c>
      <c r="DE118" s="21">
        <f t="shared" si="172"/>
        <v>12</v>
      </c>
      <c r="DF118" s="21">
        <f t="shared" si="172"/>
        <v>18</v>
      </c>
      <c r="DG118" s="21">
        <f t="shared" si="172"/>
        <v>18</v>
      </c>
      <c r="DH118" s="21">
        <f t="shared" si="172"/>
        <v>12</v>
      </c>
      <c r="DI118" s="21">
        <f t="shared" si="172"/>
        <v>24</v>
      </c>
      <c r="DJ118" s="21">
        <f t="shared" si="172"/>
        <v>18</v>
      </c>
      <c r="DK118" s="21">
        <f t="shared" si="172"/>
        <v>18</v>
      </c>
      <c r="DL118" s="21">
        <f t="shared" si="172"/>
        <v>24</v>
      </c>
      <c r="DM118" s="21"/>
      <c r="DN118" s="21"/>
      <c r="DO118" s="21"/>
      <c r="DP118" s="21"/>
      <c r="DQ118" s="87"/>
      <c r="DR118" s="87">
        <v>30</v>
      </c>
      <c r="DS118" s="87"/>
      <c r="DT118" s="21"/>
      <c r="DU118" s="21"/>
      <c r="DV118" s="21"/>
      <c r="DW118" s="21"/>
      <c r="DX118" s="21"/>
      <c r="DY118" s="21"/>
      <c r="DZ118" s="21"/>
      <c r="EA118" s="21"/>
      <c r="EB118" s="21"/>
      <c r="EC118" s="21"/>
      <c r="ED118" s="21"/>
      <c r="EE118" s="21"/>
      <c r="EF118" s="21"/>
      <c r="EG118" s="21"/>
      <c r="EH118" s="21"/>
      <c r="EI118" s="21"/>
      <c r="EJ118" s="196"/>
      <c r="EK118" s="180" t="s">
        <v>586</v>
      </c>
      <c r="EL118" s="21">
        <v>0</v>
      </c>
      <c r="EM118" s="21">
        <f>EM93/4*6</f>
        <v>0</v>
      </c>
      <c r="EN118" s="21">
        <f t="shared" ref="EN118:FI120" si="173">EN93/4*6</f>
        <v>0</v>
      </c>
      <c r="EO118" s="21">
        <f t="shared" si="173"/>
        <v>6</v>
      </c>
      <c r="EP118" s="21">
        <f t="shared" si="173"/>
        <v>0</v>
      </c>
      <c r="EQ118" s="21">
        <f t="shared" si="173"/>
        <v>0</v>
      </c>
      <c r="ER118" s="21">
        <f t="shared" si="173"/>
        <v>0</v>
      </c>
      <c r="ES118" s="21">
        <f t="shared" si="173"/>
        <v>0</v>
      </c>
      <c r="ET118" s="21">
        <f t="shared" si="173"/>
        <v>0</v>
      </c>
      <c r="EU118" s="21">
        <f t="shared" si="173"/>
        <v>0</v>
      </c>
      <c r="EV118" s="21">
        <f t="shared" si="173"/>
        <v>0</v>
      </c>
      <c r="EW118" s="21">
        <f t="shared" si="173"/>
        <v>0</v>
      </c>
      <c r="EX118" s="21">
        <f t="shared" si="173"/>
        <v>0</v>
      </c>
      <c r="EY118" s="21">
        <f t="shared" si="173"/>
        <v>0</v>
      </c>
      <c r="EZ118" s="21">
        <f t="shared" si="173"/>
        <v>0</v>
      </c>
      <c r="FA118" s="21">
        <f t="shared" si="173"/>
        <v>0</v>
      </c>
      <c r="FB118" s="21">
        <f t="shared" si="173"/>
        <v>0</v>
      </c>
      <c r="FC118" s="21">
        <f t="shared" si="173"/>
        <v>0</v>
      </c>
      <c r="FD118" s="21">
        <f t="shared" si="173"/>
        <v>0</v>
      </c>
      <c r="FE118" s="21">
        <f t="shared" si="173"/>
        <v>0</v>
      </c>
      <c r="FF118" s="21">
        <f t="shared" si="173"/>
        <v>0</v>
      </c>
      <c r="FG118" s="21">
        <f t="shared" si="173"/>
        <v>0</v>
      </c>
      <c r="FH118" s="21">
        <f t="shared" si="173"/>
        <v>0</v>
      </c>
      <c r="FI118" s="21">
        <f t="shared" si="173"/>
        <v>0</v>
      </c>
      <c r="FK118" s="180" t="s">
        <v>586</v>
      </c>
      <c r="FL118" s="21">
        <v>0</v>
      </c>
      <c r="FM118" s="21">
        <f>FM93/4*6</f>
        <v>0</v>
      </c>
      <c r="FN118" s="21">
        <f t="shared" ref="FN118:GI120" si="174">FN93/4*6</f>
        <v>6</v>
      </c>
      <c r="FO118" s="21">
        <f t="shared" si="174"/>
        <v>6</v>
      </c>
      <c r="FP118" s="21">
        <f t="shared" si="174"/>
        <v>0</v>
      </c>
      <c r="FQ118" s="21">
        <f t="shared" si="174"/>
        <v>0</v>
      </c>
      <c r="FR118" s="21">
        <f t="shared" si="174"/>
        <v>0</v>
      </c>
      <c r="FS118" s="21">
        <f t="shared" si="174"/>
        <v>0</v>
      </c>
      <c r="FT118" s="21">
        <f t="shared" si="174"/>
        <v>0</v>
      </c>
      <c r="FU118" s="21">
        <f t="shared" si="174"/>
        <v>0</v>
      </c>
      <c r="FV118" s="21">
        <f t="shared" si="174"/>
        <v>0</v>
      </c>
      <c r="FW118" s="21">
        <f t="shared" si="174"/>
        <v>0</v>
      </c>
      <c r="FX118" s="21">
        <f t="shared" si="174"/>
        <v>0</v>
      </c>
      <c r="FY118" s="21">
        <f t="shared" si="174"/>
        <v>0</v>
      </c>
      <c r="FZ118" s="21">
        <f t="shared" si="174"/>
        <v>0</v>
      </c>
      <c r="GA118" s="21">
        <f t="shared" si="174"/>
        <v>0</v>
      </c>
      <c r="GB118" s="21">
        <f t="shared" si="174"/>
        <v>0</v>
      </c>
      <c r="GC118" s="21">
        <f t="shared" si="174"/>
        <v>0</v>
      </c>
      <c r="GD118" s="21">
        <f t="shared" si="174"/>
        <v>0</v>
      </c>
      <c r="GE118" s="21">
        <f t="shared" si="174"/>
        <v>0</v>
      </c>
      <c r="GF118" s="21">
        <f t="shared" si="174"/>
        <v>0</v>
      </c>
      <c r="GG118" s="21">
        <f t="shared" si="174"/>
        <v>0</v>
      </c>
      <c r="GH118" s="21">
        <f t="shared" si="174"/>
        <v>0</v>
      </c>
      <c r="GI118" s="21">
        <f t="shared" si="174"/>
        <v>0</v>
      </c>
      <c r="GJ118" s="21"/>
      <c r="GK118" s="21"/>
      <c r="GL118" s="21"/>
      <c r="GM118" s="21"/>
      <c r="GN118" s="21"/>
      <c r="GO118" s="21"/>
      <c r="GP118" s="21"/>
      <c r="GQ118" s="21"/>
      <c r="GR118" s="21" t="s">
        <v>714</v>
      </c>
      <c r="GS118" s="21">
        <v>0</v>
      </c>
      <c r="GT118" s="21">
        <v>9</v>
      </c>
      <c r="GU118" s="21">
        <v>12</v>
      </c>
      <c r="GV118" s="21">
        <v>15</v>
      </c>
      <c r="GW118" s="21">
        <v>18</v>
      </c>
      <c r="GX118" s="21">
        <v>21</v>
      </c>
      <c r="GY118" s="21">
        <v>24</v>
      </c>
      <c r="GZ118" s="21">
        <v>27</v>
      </c>
      <c r="HA118" s="21">
        <v>30</v>
      </c>
      <c r="HB118" s="21">
        <v>33</v>
      </c>
      <c r="HC118" s="21">
        <v>36</v>
      </c>
      <c r="HD118" s="21">
        <v>39</v>
      </c>
      <c r="HE118" s="21">
        <v>42</v>
      </c>
      <c r="HF118" s="21">
        <v>45</v>
      </c>
      <c r="HG118" s="21">
        <v>48</v>
      </c>
      <c r="HH118" s="21">
        <v>51</v>
      </c>
      <c r="HI118" s="180">
        <v>54</v>
      </c>
      <c r="HJ118" s="180">
        <v>57</v>
      </c>
      <c r="HK118" s="180">
        <v>60</v>
      </c>
      <c r="HL118" s="180">
        <v>63</v>
      </c>
      <c r="HM118" s="180">
        <v>66</v>
      </c>
      <c r="HN118" s="180">
        <v>69</v>
      </c>
      <c r="HO118" s="180">
        <v>72</v>
      </c>
      <c r="HP118" s="180">
        <v>75</v>
      </c>
      <c r="HS118" s="180" t="s">
        <v>762</v>
      </c>
      <c r="HT118" s="180">
        <v>0</v>
      </c>
      <c r="HU118" s="180">
        <v>9</v>
      </c>
      <c r="HV118" s="180">
        <v>12</v>
      </c>
      <c r="HW118" s="180">
        <v>15</v>
      </c>
      <c r="HX118" s="180">
        <v>18</v>
      </c>
      <c r="HY118" s="180">
        <v>21</v>
      </c>
      <c r="HZ118" s="180">
        <v>24</v>
      </c>
      <c r="IA118" s="180">
        <v>27</v>
      </c>
      <c r="IB118" s="180">
        <v>30</v>
      </c>
      <c r="IC118" s="180">
        <v>33</v>
      </c>
      <c r="ID118" s="180">
        <v>36</v>
      </c>
      <c r="IE118" s="180">
        <v>39</v>
      </c>
      <c r="IF118" s="180">
        <v>42</v>
      </c>
      <c r="IG118" s="180">
        <v>45</v>
      </c>
      <c r="IH118" s="180">
        <v>48</v>
      </c>
      <c r="II118" s="180">
        <v>51</v>
      </c>
      <c r="IJ118" s="180">
        <v>54</v>
      </c>
      <c r="IK118" s="180">
        <v>57</v>
      </c>
      <c r="IL118" s="180">
        <v>60</v>
      </c>
      <c r="IM118" s="180">
        <v>63</v>
      </c>
      <c r="IN118" s="180">
        <v>66</v>
      </c>
      <c r="IO118" s="180">
        <v>69</v>
      </c>
      <c r="IP118" s="180">
        <v>72</v>
      </c>
      <c r="IQ118" s="180">
        <v>75</v>
      </c>
      <c r="IR118" s="198"/>
    </row>
    <row r="119" spans="1:252" x14ac:dyDescent="0.25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6" t="s">
        <v>799</v>
      </c>
      <c r="M119" s="11">
        <f>INDEX(cennik!$C$2:$L$529,MATCH($L119,cennik!$B$2:$B$522,0),MATCH(M$2,cennik!$C$1:$L$1,0))</f>
        <v>6510443</v>
      </c>
      <c r="N119" s="11" t="str">
        <f>INDEX(cennik!$C$2:$L$529,MATCH($L119,cennik!$B$2:$B$522,0),MATCH(N$2,cennik!$C$1:$L$1,0))</f>
        <v>100 szt.</v>
      </c>
      <c r="O119" s="11">
        <f>O120</f>
        <v>0</v>
      </c>
      <c r="P119" s="34">
        <f>INDEX(cennik!$C$2:$L$529,MATCH($L119,cennik!$B$2:$B$522,0),MATCH(P$2,cennik!$C$1:$L$1,0))</f>
        <v>43.51</v>
      </c>
      <c r="Q119" s="34">
        <f t="shared" si="160"/>
        <v>0</v>
      </c>
      <c r="R119" s="35">
        <f t="shared" si="156"/>
        <v>0</v>
      </c>
      <c r="S119" s="34">
        <f t="shared" si="157"/>
        <v>43.51</v>
      </c>
      <c r="T119" s="34">
        <f t="shared" si="161"/>
        <v>0</v>
      </c>
      <c r="U119" s="34">
        <f>INDEX(cennik!$C$2:$L$529,MATCH($L119,cennik!$B$2:$B$522,0),MATCH(U$2,cennik!$C$1:$L$1,0))*O119</f>
        <v>0</v>
      </c>
      <c r="V119" s="25"/>
      <c r="AC119" s="21"/>
      <c r="AD119" s="21"/>
      <c r="AE119" s="21"/>
      <c r="AF119" s="21"/>
      <c r="AG119" s="21"/>
      <c r="AH119" s="21"/>
      <c r="AI119" s="21"/>
      <c r="AJ119" s="21">
        <f>SUM(AJ115:AJ117)</f>
        <v>29700</v>
      </c>
      <c r="AK119" s="21"/>
      <c r="AL119" s="21">
        <f>SUM(AL115:AL118)</f>
        <v>888.34999999999991</v>
      </c>
      <c r="AM119" s="21"/>
      <c r="AX119" s="21"/>
      <c r="AY119" s="21"/>
      <c r="AZ119" s="21"/>
      <c r="BA119" s="21"/>
      <c r="BB119" s="21"/>
      <c r="BC119" s="21"/>
      <c r="BD119" s="21"/>
      <c r="BE119" s="21"/>
      <c r="BF119" s="21"/>
      <c r="BG119" s="21"/>
      <c r="BH119" s="21" t="s">
        <v>216</v>
      </c>
      <c r="BI119" s="21">
        <f>(BI92/2)*3</f>
        <v>0</v>
      </c>
      <c r="BJ119" s="21">
        <v>0</v>
      </c>
      <c r="BK119" s="21">
        <v>6</v>
      </c>
      <c r="BL119" s="21">
        <v>0</v>
      </c>
      <c r="BM119" s="21">
        <v>0</v>
      </c>
      <c r="BN119" s="21">
        <v>6</v>
      </c>
      <c r="BO119" s="21">
        <v>12</v>
      </c>
      <c r="BP119" s="21">
        <v>0</v>
      </c>
      <c r="BQ119" s="21">
        <v>6</v>
      </c>
      <c r="BR119" s="21">
        <v>12</v>
      </c>
      <c r="BS119" s="21">
        <v>0</v>
      </c>
      <c r="BT119" s="21">
        <v>6</v>
      </c>
      <c r="BU119" s="21">
        <v>12</v>
      </c>
      <c r="BV119" s="21">
        <v>0</v>
      </c>
      <c r="BW119" s="21">
        <v>6</v>
      </c>
      <c r="BX119" s="21">
        <v>12</v>
      </c>
      <c r="BY119" s="21">
        <v>0</v>
      </c>
      <c r="BZ119" s="21">
        <v>6</v>
      </c>
      <c r="CA119" s="21">
        <v>12</v>
      </c>
      <c r="CB119" s="21">
        <v>0</v>
      </c>
      <c r="CC119" s="21">
        <v>6</v>
      </c>
      <c r="CD119" s="21">
        <v>12</v>
      </c>
      <c r="CE119" s="21">
        <v>0</v>
      </c>
      <c r="CF119" s="21">
        <v>6</v>
      </c>
      <c r="CG119" s="21"/>
      <c r="CH119" s="21"/>
      <c r="CI119" s="21"/>
      <c r="CJ119" s="21"/>
      <c r="CK119" s="21"/>
      <c r="CL119" s="21"/>
      <c r="CM119" s="21"/>
      <c r="CN119" s="21" t="s">
        <v>216</v>
      </c>
      <c r="CO119" s="21">
        <v>0</v>
      </c>
      <c r="CP119" s="21">
        <f t="shared" ref="CP119:DL121" si="175">IF(CP92=0,0,IF(CP92&gt;0,(CP92/4)*6,0))</f>
        <v>6</v>
      </c>
      <c r="CQ119" s="21">
        <f t="shared" si="175"/>
        <v>0</v>
      </c>
      <c r="CR119" s="21">
        <f t="shared" si="175"/>
        <v>0</v>
      </c>
      <c r="CS119" s="21">
        <f t="shared" si="175"/>
        <v>6</v>
      </c>
      <c r="CT119" s="21">
        <f t="shared" si="175"/>
        <v>12</v>
      </c>
      <c r="CU119" s="21">
        <f t="shared" si="175"/>
        <v>0</v>
      </c>
      <c r="CV119" s="21">
        <f t="shared" si="175"/>
        <v>6</v>
      </c>
      <c r="CW119" s="21">
        <f t="shared" si="175"/>
        <v>12</v>
      </c>
      <c r="CX119" s="21">
        <f t="shared" si="175"/>
        <v>0</v>
      </c>
      <c r="CY119" s="21">
        <f t="shared" si="175"/>
        <v>6</v>
      </c>
      <c r="CZ119" s="21">
        <v>0</v>
      </c>
      <c r="DA119" s="21">
        <f t="shared" si="175"/>
        <v>0</v>
      </c>
      <c r="DB119" s="21">
        <f t="shared" si="175"/>
        <v>12</v>
      </c>
      <c r="DC119" s="21">
        <f t="shared" si="175"/>
        <v>0</v>
      </c>
      <c r="DD119" s="21">
        <f t="shared" si="175"/>
        <v>6</v>
      </c>
      <c r="DE119" s="21">
        <f t="shared" si="175"/>
        <v>12</v>
      </c>
      <c r="DF119" s="21">
        <f t="shared" si="175"/>
        <v>0</v>
      </c>
      <c r="DG119" s="21">
        <f t="shared" si="175"/>
        <v>6</v>
      </c>
      <c r="DH119" s="21">
        <f t="shared" si="175"/>
        <v>12</v>
      </c>
      <c r="DI119" s="21">
        <f t="shared" si="175"/>
        <v>0</v>
      </c>
      <c r="DJ119" s="21">
        <f t="shared" si="175"/>
        <v>6</v>
      </c>
      <c r="DK119" s="21">
        <f t="shared" si="175"/>
        <v>12</v>
      </c>
      <c r="DL119" s="21">
        <f t="shared" si="175"/>
        <v>0</v>
      </c>
      <c r="DM119" s="21"/>
      <c r="DN119" s="21"/>
      <c r="DO119" s="21"/>
      <c r="DP119" s="21"/>
      <c r="DQ119" s="87"/>
      <c r="DR119" s="87">
        <v>33</v>
      </c>
      <c r="DS119" s="87"/>
      <c r="DT119" s="21"/>
      <c r="DU119" s="21"/>
      <c r="DV119" s="21"/>
      <c r="DW119" s="21"/>
      <c r="DX119" s="21"/>
      <c r="DY119" s="21"/>
      <c r="DZ119" s="21"/>
      <c r="EA119" s="21"/>
      <c r="EB119" s="21"/>
      <c r="EC119" s="21"/>
      <c r="ED119" s="21"/>
      <c r="EE119" s="21"/>
      <c r="EF119" s="21"/>
      <c r="EG119" s="21"/>
      <c r="EH119" s="21"/>
      <c r="EI119" s="21"/>
      <c r="EJ119" s="196"/>
      <c r="EK119" s="21" t="s">
        <v>522</v>
      </c>
      <c r="EL119" s="21">
        <v>0</v>
      </c>
      <c r="EM119" s="21">
        <f>EM94/4*6</f>
        <v>0</v>
      </c>
      <c r="EN119" s="21">
        <f t="shared" si="173"/>
        <v>6</v>
      </c>
      <c r="EO119" s="21">
        <f t="shared" si="173"/>
        <v>0</v>
      </c>
      <c r="EP119" s="21">
        <f t="shared" si="173"/>
        <v>0</v>
      </c>
      <c r="EQ119" s="21">
        <f t="shared" si="173"/>
        <v>6</v>
      </c>
      <c r="ER119" s="21">
        <f t="shared" si="173"/>
        <v>0</v>
      </c>
      <c r="ES119" s="21">
        <f t="shared" si="173"/>
        <v>0</v>
      </c>
      <c r="ET119" s="21">
        <f t="shared" si="173"/>
        <v>6</v>
      </c>
      <c r="EU119" s="21">
        <f t="shared" si="173"/>
        <v>12</v>
      </c>
      <c r="EV119" s="21">
        <f t="shared" si="173"/>
        <v>0</v>
      </c>
      <c r="EW119" s="21">
        <f t="shared" si="173"/>
        <v>6</v>
      </c>
      <c r="EX119" s="21">
        <f t="shared" si="173"/>
        <v>12</v>
      </c>
      <c r="EY119" s="21">
        <f t="shared" si="173"/>
        <v>0</v>
      </c>
      <c r="EZ119" s="21">
        <f t="shared" si="173"/>
        <v>6</v>
      </c>
      <c r="FA119" s="21">
        <f t="shared" si="173"/>
        <v>12</v>
      </c>
      <c r="FB119" s="21">
        <f t="shared" si="173"/>
        <v>0</v>
      </c>
      <c r="FC119" s="21">
        <f t="shared" si="173"/>
        <v>6</v>
      </c>
      <c r="FD119" s="21">
        <f t="shared" si="173"/>
        <v>12</v>
      </c>
      <c r="FE119" s="21">
        <f t="shared" si="173"/>
        <v>0</v>
      </c>
      <c r="FF119" s="21">
        <f t="shared" si="173"/>
        <v>6</v>
      </c>
      <c r="FG119" s="21">
        <f t="shared" si="173"/>
        <v>12</v>
      </c>
      <c r="FH119" s="21">
        <f t="shared" si="173"/>
        <v>0</v>
      </c>
      <c r="FI119" s="21">
        <f t="shared" si="173"/>
        <v>6</v>
      </c>
      <c r="FJ119" s="21"/>
      <c r="FK119" s="21" t="s">
        <v>522</v>
      </c>
      <c r="FL119" s="21">
        <v>0</v>
      </c>
      <c r="FM119" s="21">
        <f>FM94/4*6</f>
        <v>6</v>
      </c>
      <c r="FN119" s="21">
        <f t="shared" si="174"/>
        <v>0</v>
      </c>
      <c r="FO119" s="21">
        <f t="shared" si="174"/>
        <v>0</v>
      </c>
      <c r="FP119" s="21">
        <f t="shared" si="174"/>
        <v>6</v>
      </c>
      <c r="FQ119" s="21">
        <f t="shared" si="174"/>
        <v>12</v>
      </c>
      <c r="FR119" s="21">
        <f t="shared" si="174"/>
        <v>0</v>
      </c>
      <c r="FS119" s="21">
        <f t="shared" si="174"/>
        <v>6</v>
      </c>
      <c r="FT119" s="21">
        <f t="shared" si="174"/>
        <v>12</v>
      </c>
      <c r="FU119" s="21">
        <f t="shared" si="174"/>
        <v>0</v>
      </c>
      <c r="FV119" s="21">
        <f t="shared" si="174"/>
        <v>6</v>
      </c>
      <c r="FW119" s="21">
        <f t="shared" si="174"/>
        <v>12</v>
      </c>
      <c r="FX119" s="21">
        <f t="shared" si="174"/>
        <v>0</v>
      </c>
      <c r="FY119" s="21">
        <f t="shared" si="174"/>
        <v>12</v>
      </c>
      <c r="FZ119" s="21">
        <f t="shared" si="174"/>
        <v>0</v>
      </c>
      <c r="GA119" s="21">
        <f t="shared" si="174"/>
        <v>6</v>
      </c>
      <c r="GB119" s="21">
        <f t="shared" si="174"/>
        <v>12</v>
      </c>
      <c r="GC119" s="21">
        <f t="shared" si="174"/>
        <v>0</v>
      </c>
      <c r="GD119" s="21">
        <f t="shared" si="174"/>
        <v>6</v>
      </c>
      <c r="GE119" s="21">
        <f t="shared" si="174"/>
        <v>12</v>
      </c>
      <c r="GF119" s="21">
        <f t="shared" si="174"/>
        <v>0</v>
      </c>
      <c r="GG119" s="21">
        <f t="shared" si="174"/>
        <v>6</v>
      </c>
      <c r="GH119" s="21">
        <f t="shared" si="174"/>
        <v>12</v>
      </c>
      <c r="GI119" s="21">
        <f t="shared" si="174"/>
        <v>0</v>
      </c>
      <c r="GJ119" s="21"/>
      <c r="GK119" s="21"/>
      <c r="GL119" s="21"/>
      <c r="GM119" s="21"/>
      <c r="GN119" s="21"/>
      <c r="GO119" s="21"/>
      <c r="GP119" s="21"/>
      <c r="GQ119" s="21"/>
      <c r="GR119" s="21" t="s">
        <v>586</v>
      </c>
      <c r="GS119" s="21">
        <v>0</v>
      </c>
      <c r="GT119" s="21">
        <f>GT92/4*6</f>
        <v>0</v>
      </c>
      <c r="GU119" s="21">
        <f t="shared" ref="GU119:HP119" si="176">GU92/4*6</f>
        <v>6</v>
      </c>
      <c r="GV119" s="21">
        <f t="shared" si="176"/>
        <v>6</v>
      </c>
      <c r="GW119" s="21">
        <f t="shared" si="176"/>
        <v>0</v>
      </c>
      <c r="GX119" s="21">
        <f t="shared" si="176"/>
        <v>0</v>
      </c>
      <c r="GY119" s="21">
        <f t="shared" si="176"/>
        <v>0</v>
      </c>
      <c r="GZ119" s="21">
        <f t="shared" si="176"/>
        <v>0</v>
      </c>
      <c r="HA119" s="21">
        <f t="shared" si="176"/>
        <v>0</v>
      </c>
      <c r="HB119" s="21">
        <f t="shared" si="176"/>
        <v>0</v>
      </c>
      <c r="HC119" s="21">
        <f t="shared" si="176"/>
        <v>0</v>
      </c>
      <c r="HD119" s="21">
        <f t="shared" si="176"/>
        <v>0</v>
      </c>
      <c r="HE119" s="21">
        <f t="shared" si="176"/>
        <v>0</v>
      </c>
      <c r="HF119" s="21">
        <f t="shared" si="176"/>
        <v>0</v>
      </c>
      <c r="HG119" s="21">
        <f t="shared" si="176"/>
        <v>0</v>
      </c>
      <c r="HH119" s="21">
        <f t="shared" si="176"/>
        <v>0</v>
      </c>
      <c r="HI119" s="21">
        <f t="shared" si="176"/>
        <v>0</v>
      </c>
      <c r="HJ119" s="21">
        <f t="shared" si="176"/>
        <v>0</v>
      </c>
      <c r="HK119" s="21">
        <f t="shared" si="176"/>
        <v>0</v>
      </c>
      <c r="HL119" s="21">
        <f t="shared" si="176"/>
        <v>0</v>
      </c>
      <c r="HM119" s="21">
        <f t="shared" si="176"/>
        <v>0</v>
      </c>
      <c r="HN119" s="21">
        <f t="shared" si="176"/>
        <v>0</v>
      </c>
      <c r="HO119" s="21">
        <f t="shared" si="176"/>
        <v>0</v>
      </c>
      <c r="HP119" s="21">
        <f t="shared" si="176"/>
        <v>0</v>
      </c>
      <c r="HS119" s="180" t="s">
        <v>586</v>
      </c>
      <c r="HT119" s="180">
        <v>0</v>
      </c>
      <c r="HU119" s="21">
        <f>HU92/4*6</f>
        <v>0</v>
      </c>
      <c r="HV119" s="21">
        <f t="shared" ref="HV119:IQ119" si="177">HV92/4*6</f>
        <v>6</v>
      </c>
      <c r="HW119" s="21">
        <f t="shared" si="177"/>
        <v>0</v>
      </c>
      <c r="HX119" s="21">
        <f t="shared" si="177"/>
        <v>0</v>
      </c>
      <c r="HY119" s="21">
        <f t="shared" si="177"/>
        <v>0</v>
      </c>
      <c r="HZ119" s="21">
        <f t="shared" si="177"/>
        <v>0</v>
      </c>
      <c r="IA119" s="21">
        <f t="shared" si="177"/>
        <v>0</v>
      </c>
      <c r="IB119" s="21">
        <f t="shared" si="177"/>
        <v>0</v>
      </c>
      <c r="IC119" s="21">
        <f t="shared" si="177"/>
        <v>0</v>
      </c>
      <c r="ID119" s="21">
        <f t="shared" si="177"/>
        <v>0</v>
      </c>
      <c r="IE119" s="21">
        <f t="shared" si="177"/>
        <v>0</v>
      </c>
      <c r="IF119" s="21">
        <f t="shared" si="177"/>
        <v>0</v>
      </c>
      <c r="IG119" s="21">
        <f t="shared" si="177"/>
        <v>0</v>
      </c>
      <c r="IH119" s="21">
        <f t="shared" si="177"/>
        <v>0</v>
      </c>
      <c r="II119" s="21">
        <f t="shared" si="177"/>
        <v>0</v>
      </c>
      <c r="IJ119" s="21">
        <f t="shared" si="177"/>
        <v>0</v>
      </c>
      <c r="IK119" s="21">
        <f t="shared" si="177"/>
        <v>0</v>
      </c>
      <c r="IL119" s="21">
        <f t="shared" si="177"/>
        <v>0</v>
      </c>
      <c r="IM119" s="21">
        <f t="shared" si="177"/>
        <v>0</v>
      </c>
      <c r="IN119" s="21">
        <f t="shared" si="177"/>
        <v>0</v>
      </c>
      <c r="IO119" s="21">
        <f t="shared" si="177"/>
        <v>0</v>
      </c>
      <c r="IP119" s="21">
        <f t="shared" si="177"/>
        <v>0</v>
      </c>
      <c r="IQ119" s="21">
        <f t="shared" si="177"/>
        <v>0</v>
      </c>
      <c r="IR119" s="198"/>
    </row>
    <row r="120" spans="1:252" x14ac:dyDescent="0.25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6" t="s">
        <v>350</v>
      </c>
      <c r="M120" s="11">
        <f>INDEX(cennik!$C$2:$L$529,MATCH($L120,cennik!$B$2:$B$522,0),MATCH(M$2,cennik!$C$1:$L$1,0))</f>
        <v>651643</v>
      </c>
      <c r="N120" s="11" t="str">
        <f>INDEX(cennik!$C$2:$L$529,MATCH($L120,cennik!$B$2:$B$522,0),MATCH(N$2,cennik!$C$1:$L$1,0))</f>
        <v>100 szt.</v>
      </c>
      <c r="O120" s="11">
        <f>ROUNDUP(((O101*11)+(O108*2)+(O100*9)+(O113*8)+E104+(O126*2)+(O107*3)+(O127*2))/100,0)</f>
        <v>0</v>
      </c>
      <c r="P120" s="34">
        <f>INDEX(cennik!$C$2:$L$529,MATCH($L120,cennik!$B$2:$B$522,0),MATCH(P$2,cennik!$C$1:$L$1,0))</f>
        <v>144.19</v>
      </c>
      <c r="Q120" s="34">
        <f t="shared" si="160"/>
        <v>0</v>
      </c>
      <c r="R120" s="35">
        <f t="shared" si="156"/>
        <v>0</v>
      </c>
      <c r="S120" s="34">
        <f t="shared" si="157"/>
        <v>144.19</v>
      </c>
      <c r="T120" s="34">
        <f t="shared" si="161"/>
        <v>0</v>
      </c>
      <c r="U120" s="34">
        <f>INDEX(cennik!$C$2:$L$529,MATCH($L120,cennik!$B$2:$B$522,0),MATCH(U$2,cennik!$C$1:$L$1,0))*O120</f>
        <v>0</v>
      </c>
      <c r="V120" s="25"/>
      <c r="AC120" s="21"/>
      <c r="AD120" s="21"/>
      <c r="AE120" s="21"/>
      <c r="AF120" s="21"/>
      <c r="AG120" s="21"/>
      <c r="AH120" s="21">
        <f>(AB122-1)*3150</f>
        <v>-3150</v>
      </c>
      <c r="AI120" s="21"/>
      <c r="AJ120" s="21"/>
      <c r="AK120" s="21"/>
      <c r="AL120" s="21"/>
      <c r="AM120" s="21"/>
      <c r="AX120" s="21"/>
      <c r="AY120" s="21"/>
      <c r="AZ120" s="21"/>
      <c r="BA120" s="21"/>
      <c r="BB120" s="21"/>
      <c r="BC120" s="21"/>
      <c r="BD120" s="21"/>
      <c r="BE120" s="21"/>
      <c r="BF120" s="21"/>
      <c r="BG120" s="21"/>
      <c r="BH120" s="21" t="s">
        <v>17</v>
      </c>
      <c r="BI120" s="21">
        <f>(BI93/2)*3</f>
        <v>0</v>
      </c>
      <c r="BJ120" s="21">
        <v>6</v>
      </c>
      <c r="BK120" s="21">
        <v>0</v>
      </c>
      <c r="BL120" s="21">
        <v>0</v>
      </c>
      <c r="BM120" s="21">
        <v>0</v>
      </c>
      <c r="BN120" s="21">
        <v>6</v>
      </c>
      <c r="BO120" s="21">
        <v>0</v>
      </c>
      <c r="BP120" s="21">
        <v>6</v>
      </c>
      <c r="BQ120" s="21">
        <v>0</v>
      </c>
      <c r="BR120" s="21">
        <v>6</v>
      </c>
      <c r="BS120" s="21">
        <v>0</v>
      </c>
      <c r="BT120" s="21">
        <v>6</v>
      </c>
      <c r="BU120" s="21">
        <v>0</v>
      </c>
      <c r="BV120" s="21">
        <v>6</v>
      </c>
      <c r="BW120" s="21">
        <v>0</v>
      </c>
      <c r="BX120" s="21">
        <v>6</v>
      </c>
      <c r="BY120" s="21">
        <v>0</v>
      </c>
      <c r="BZ120" s="21">
        <v>6</v>
      </c>
      <c r="CA120" s="21">
        <v>0</v>
      </c>
      <c r="CB120" s="21">
        <v>6</v>
      </c>
      <c r="CC120" s="21">
        <v>0</v>
      </c>
      <c r="CD120" s="21">
        <v>6</v>
      </c>
      <c r="CE120" s="21">
        <v>0</v>
      </c>
      <c r="CF120" s="21">
        <v>6</v>
      </c>
      <c r="CG120" s="21"/>
      <c r="CH120" s="21"/>
      <c r="CI120" s="21"/>
      <c r="CJ120" s="21"/>
      <c r="CK120" s="21"/>
      <c r="CL120" s="21"/>
      <c r="CM120" s="21"/>
      <c r="CN120" s="21" t="s">
        <v>17</v>
      </c>
      <c r="CO120" s="21">
        <v>0</v>
      </c>
      <c r="CP120" s="21">
        <f t="shared" si="175"/>
        <v>0</v>
      </c>
      <c r="CQ120" s="21">
        <f t="shared" si="175"/>
        <v>0</v>
      </c>
      <c r="CR120" s="21">
        <f t="shared" si="175"/>
        <v>0</v>
      </c>
      <c r="CS120" s="21">
        <f t="shared" si="175"/>
        <v>6</v>
      </c>
      <c r="CT120" s="21">
        <f t="shared" si="175"/>
        <v>0</v>
      </c>
      <c r="CU120" s="21">
        <f t="shared" si="175"/>
        <v>6</v>
      </c>
      <c r="CV120" s="21">
        <f t="shared" si="175"/>
        <v>0</v>
      </c>
      <c r="CW120" s="21">
        <f t="shared" si="175"/>
        <v>6</v>
      </c>
      <c r="CX120" s="21">
        <f t="shared" si="175"/>
        <v>0</v>
      </c>
      <c r="CY120" s="21">
        <f t="shared" si="175"/>
        <v>6</v>
      </c>
      <c r="CZ120" s="21">
        <v>6</v>
      </c>
      <c r="DA120" s="21">
        <f t="shared" si="175"/>
        <v>6</v>
      </c>
      <c r="DB120" s="21">
        <f t="shared" si="175"/>
        <v>6</v>
      </c>
      <c r="DC120" s="21">
        <f t="shared" si="175"/>
        <v>0</v>
      </c>
      <c r="DD120" s="21">
        <f t="shared" si="175"/>
        <v>6</v>
      </c>
      <c r="DE120" s="21">
        <f t="shared" si="175"/>
        <v>0</v>
      </c>
      <c r="DF120" s="21">
        <f t="shared" si="175"/>
        <v>6</v>
      </c>
      <c r="DG120" s="21">
        <f t="shared" si="175"/>
        <v>0</v>
      </c>
      <c r="DH120" s="21">
        <f t="shared" si="175"/>
        <v>6</v>
      </c>
      <c r="DI120" s="21">
        <f t="shared" si="175"/>
        <v>0</v>
      </c>
      <c r="DJ120" s="21">
        <f t="shared" si="175"/>
        <v>6</v>
      </c>
      <c r="DK120" s="21">
        <f t="shared" si="175"/>
        <v>0</v>
      </c>
      <c r="DL120" s="21">
        <f t="shared" si="175"/>
        <v>6</v>
      </c>
      <c r="DM120" s="21"/>
      <c r="DN120" s="21"/>
      <c r="DO120" s="21"/>
      <c r="DP120" s="21"/>
      <c r="DQ120" s="87"/>
      <c r="DR120" s="87">
        <v>36</v>
      </c>
      <c r="DS120" s="87"/>
      <c r="DT120" s="21"/>
      <c r="DU120" s="21"/>
      <c r="DV120" s="21"/>
      <c r="DW120" s="21"/>
      <c r="DX120" s="21"/>
      <c r="DY120" s="21"/>
      <c r="DZ120" s="21"/>
      <c r="EA120" s="21"/>
      <c r="EB120" s="21"/>
      <c r="EC120" s="21"/>
      <c r="ED120" s="21"/>
      <c r="EE120" s="21"/>
      <c r="EF120" s="21"/>
      <c r="EG120" s="21"/>
      <c r="EH120" s="21"/>
      <c r="EI120" s="21"/>
      <c r="EJ120" s="196"/>
      <c r="EK120" s="21" t="s">
        <v>523</v>
      </c>
      <c r="EL120" s="21">
        <v>0</v>
      </c>
      <c r="EM120" s="21">
        <f>EM95/4*6</f>
        <v>6</v>
      </c>
      <c r="EN120" s="21">
        <f t="shared" si="173"/>
        <v>0</v>
      </c>
      <c r="EO120" s="21">
        <f t="shared" si="173"/>
        <v>0</v>
      </c>
      <c r="EP120" s="21">
        <f t="shared" si="173"/>
        <v>12</v>
      </c>
      <c r="EQ120" s="21">
        <f t="shared" si="173"/>
        <v>6</v>
      </c>
      <c r="ER120" s="21">
        <f t="shared" si="173"/>
        <v>18</v>
      </c>
      <c r="ES120" s="21">
        <f t="shared" si="173"/>
        <v>18</v>
      </c>
      <c r="ET120" s="21">
        <f t="shared" si="173"/>
        <v>12</v>
      </c>
      <c r="EU120" s="21">
        <f t="shared" si="173"/>
        <v>6</v>
      </c>
      <c r="EV120" s="21">
        <f t="shared" si="173"/>
        <v>24</v>
      </c>
      <c r="EW120" s="21">
        <f t="shared" si="173"/>
        <v>18</v>
      </c>
      <c r="EX120" s="21">
        <f t="shared" si="173"/>
        <v>12</v>
      </c>
      <c r="EY120" s="21">
        <f t="shared" si="173"/>
        <v>30</v>
      </c>
      <c r="EZ120" s="21">
        <f t="shared" si="173"/>
        <v>24</v>
      </c>
      <c r="FA120" s="21">
        <f t="shared" si="173"/>
        <v>18</v>
      </c>
      <c r="FB120" s="21">
        <f t="shared" si="173"/>
        <v>36</v>
      </c>
      <c r="FC120" s="21">
        <f t="shared" si="173"/>
        <v>30</v>
      </c>
      <c r="FD120" s="21">
        <f t="shared" si="173"/>
        <v>24</v>
      </c>
      <c r="FE120" s="21">
        <f t="shared" si="173"/>
        <v>42</v>
      </c>
      <c r="FF120" s="21">
        <f t="shared" si="173"/>
        <v>36</v>
      </c>
      <c r="FG120" s="21">
        <f t="shared" si="173"/>
        <v>30</v>
      </c>
      <c r="FH120" s="21">
        <f t="shared" si="173"/>
        <v>48</v>
      </c>
      <c r="FI120" s="21">
        <f t="shared" si="173"/>
        <v>42</v>
      </c>
      <c r="FJ120" s="21"/>
      <c r="FK120" s="21" t="s">
        <v>523</v>
      </c>
      <c r="FL120" s="21">
        <v>0</v>
      </c>
      <c r="FM120" s="21">
        <f>FM95/4*6</f>
        <v>0</v>
      </c>
      <c r="FN120" s="21">
        <f t="shared" si="174"/>
        <v>0</v>
      </c>
      <c r="FO120" s="21">
        <f t="shared" si="174"/>
        <v>0</v>
      </c>
      <c r="FP120" s="21">
        <f t="shared" si="174"/>
        <v>6</v>
      </c>
      <c r="FQ120" s="21">
        <f t="shared" si="174"/>
        <v>0</v>
      </c>
      <c r="FR120" s="21">
        <f t="shared" si="174"/>
        <v>18</v>
      </c>
      <c r="FS120" s="21">
        <f t="shared" si="174"/>
        <v>12</v>
      </c>
      <c r="FT120" s="21">
        <f t="shared" si="174"/>
        <v>6</v>
      </c>
      <c r="FU120" s="21">
        <f t="shared" si="174"/>
        <v>24</v>
      </c>
      <c r="FV120" s="21">
        <f t="shared" si="174"/>
        <v>18</v>
      </c>
      <c r="FW120" s="21">
        <f t="shared" si="174"/>
        <v>12</v>
      </c>
      <c r="FX120" s="21">
        <f t="shared" si="174"/>
        <v>30</v>
      </c>
      <c r="FY120" s="21">
        <f t="shared" si="174"/>
        <v>18</v>
      </c>
      <c r="FZ120" s="21">
        <f t="shared" si="174"/>
        <v>36</v>
      </c>
      <c r="GA120" s="21">
        <f t="shared" si="174"/>
        <v>30</v>
      </c>
      <c r="GB120" s="21">
        <f t="shared" si="174"/>
        <v>24</v>
      </c>
      <c r="GC120" s="21">
        <f t="shared" si="174"/>
        <v>42</v>
      </c>
      <c r="GD120" s="21">
        <f t="shared" si="174"/>
        <v>36</v>
      </c>
      <c r="GE120" s="21">
        <f t="shared" si="174"/>
        <v>30</v>
      </c>
      <c r="GF120" s="21">
        <f t="shared" si="174"/>
        <v>48</v>
      </c>
      <c r="GG120" s="21">
        <f t="shared" si="174"/>
        <v>42</v>
      </c>
      <c r="GH120" s="21">
        <f t="shared" si="174"/>
        <v>36</v>
      </c>
      <c r="GI120" s="21">
        <f t="shared" si="174"/>
        <v>54</v>
      </c>
      <c r="GJ120" s="21"/>
      <c r="GK120" s="21"/>
      <c r="GL120" s="21"/>
      <c r="GM120" s="21"/>
      <c r="GN120" s="21"/>
      <c r="GO120" s="21"/>
      <c r="GP120" s="21"/>
      <c r="GQ120" s="21"/>
      <c r="GR120" s="21" t="s">
        <v>522</v>
      </c>
      <c r="GS120" s="21">
        <v>0</v>
      </c>
      <c r="GT120" s="21">
        <f t="shared" ref="GT120:HP123" si="178">GT93/4*6</f>
        <v>6</v>
      </c>
      <c r="GU120" s="21">
        <f t="shared" si="178"/>
        <v>0</v>
      </c>
      <c r="GV120" s="21">
        <f t="shared" si="178"/>
        <v>0</v>
      </c>
      <c r="GW120" s="21">
        <f t="shared" si="178"/>
        <v>6</v>
      </c>
      <c r="GX120" s="21">
        <f t="shared" si="178"/>
        <v>0</v>
      </c>
      <c r="GY120" s="21">
        <f t="shared" si="178"/>
        <v>6</v>
      </c>
      <c r="GZ120" s="21">
        <f t="shared" si="178"/>
        <v>12</v>
      </c>
      <c r="HA120" s="21">
        <f t="shared" si="178"/>
        <v>18</v>
      </c>
      <c r="HB120" s="21">
        <f t="shared" si="178"/>
        <v>6</v>
      </c>
      <c r="HC120" s="21">
        <f t="shared" si="178"/>
        <v>12</v>
      </c>
      <c r="HD120" s="21">
        <f t="shared" si="178"/>
        <v>24</v>
      </c>
      <c r="HE120" s="21">
        <f t="shared" si="178"/>
        <v>12</v>
      </c>
      <c r="HF120" s="21">
        <f t="shared" si="178"/>
        <v>18</v>
      </c>
      <c r="HG120" s="21">
        <f t="shared" si="178"/>
        <v>24</v>
      </c>
      <c r="HH120" s="21">
        <f t="shared" si="178"/>
        <v>30</v>
      </c>
      <c r="HI120" s="21">
        <f t="shared" si="178"/>
        <v>18</v>
      </c>
      <c r="HJ120" s="21">
        <f t="shared" si="178"/>
        <v>30</v>
      </c>
      <c r="HK120" s="21">
        <f t="shared" si="178"/>
        <v>36</v>
      </c>
      <c r="HL120" s="21">
        <f t="shared" si="178"/>
        <v>24</v>
      </c>
      <c r="HM120" s="21">
        <f t="shared" si="178"/>
        <v>30</v>
      </c>
      <c r="HN120" s="21">
        <f t="shared" si="178"/>
        <v>36</v>
      </c>
      <c r="HO120" s="21">
        <f t="shared" si="178"/>
        <v>42</v>
      </c>
      <c r="HP120" s="21">
        <f t="shared" si="178"/>
        <v>30</v>
      </c>
      <c r="HS120" s="180" t="s">
        <v>522</v>
      </c>
      <c r="HT120" s="180">
        <v>0</v>
      </c>
      <c r="HU120" s="21">
        <f t="shared" ref="HU120:IQ123" si="179">HU93/4*6</f>
        <v>6</v>
      </c>
      <c r="HV120" s="21">
        <f t="shared" si="179"/>
        <v>0</v>
      </c>
      <c r="HW120" s="21">
        <f t="shared" si="179"/>
        <v>6</v>
      </c>
      <c r="HX120" s="21">
        <f t="shared" si="179"/>
        <v>12</v>
      </c>
      <c r="HY120" s="21">
        <f t="shared" si="179"/>
        <v>0</v>
      </c>
      <c r="HZ120" s="21">
        <f t="shared" si="179"/>
        <v>12</v>
      </c>
      <c r="IA120" s="21">
        <f t="shared" si="179"/>
        <v>18</v>
      </c>
      <c r="IB120" s="21">
        <f t="shared" si="179"/>
        <v>6</v>
      </c>
      <c r="IC120" s="21">
        <f t="shared" si="179"/>
        <v>12</v>
      </c>
      <c r="ID120" s="21">
        <f t="shared" si="179"/>
        <v>24</v>
      </c>
      <c r="IE120" s="21">
        <f t="shared" si="179"/>
        <v>12</v>
      </c>
      <c r="IF120" s="21">
        <f t="shared" si="179"/>
        <v>18</v>
      </c>
      <c r="IG120" s="21">
        <f t="shared" si="179"/>
        <v>24</v>
      </c>
      <c r="IH120" s="21">
        <f t="shared" si="179"/>
        <v>30</v>
      </c>
      <c r="II120" s="21">
        <f t="shared" si="179"/>
        <v>24</v>
      </c>
      <c r="IJ120" s="21">
        <f t="shared" si="179"/>
        <v>30</v>
      </c>
      <c r="IK120" s="21">
        <f t="shared" si="179"/>
        <v>36</v>
      </c>
      <c r="IL120" s="21">
        <f t="shared" si="179"/>
        <v>24</v>
      </c>
      <c r="IM120" s="21">
        <f t="shared" si="179"/>
        <v>36</v>
      </c>
      <c r="IN120" s="21">
        <f t="shared" si="179"/>
        <v>42</v>
      </c>
      <c r="IO120" s="21">
        <f t="shared" si="179"/>
        <v>30</v>
      </c>
      <c r="IP120" s="21">
        <f t="shared" si="179"/>
        <v>36</v>
      </c>
      <c r="IQ120" s="21">
        <f t="shared" si="179"/>
        <v>48</v>
      </c>
      <c r="IR120" s="198"/>
    </row>
    <row r="121" spans="1:252" x14ac:dyDescent="0.25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6" t="s">
        <v>128</v>
      </c>
      <c r="M121" s="11">
        <f>INDEX(cennik!$C$2:$L$529,MATCH($L121,cennik!$B$2:$B$522,0),MATCH(M$2,cennik!$C$1:$L$1,0))</f>
        <v>897303</v>
      </c>
      <c r="N121" s="11" t="str">
        <f>INDEX(cennik!$C$2:$L$529,MATCH($L121,cennik!$B$2:$B$522,0),MATCH(N$2,cennik!$C$1:$L$1,0))</f>
        <v>szt.</v>
      </c>
      <c r="O121" s="11">
        <f>SUM((IF(MOD((A98/2),2)=0,(A98/2)/2,IF(MOD((A98/2),2)=1,FLOOR((A98/2)/2,1)+1,0))*C98*2),(IF(MOD((A99/2),2)=0,(A99/2)/2,IF(MOD((A99/2),2)=1,FLOOR((A99/2)/2,1)+1,0))*C99*2),(IF(MOD((A100/2),2)=0,(A100/2)/2,IF(MOD((A100/2),2)=1,FLOOR((A100/2)/2,1)+1,0))*C100*2),(IF(MOD((A101/2),2)=0,(A101/2)/2,IF(MOD((A101/2),2)=1,FLOOR((A101/2)/2,1)+1,0))*C101*2),(IF(MOD((A102/2),2)=0,(A102/2)/2,IF(MOD((A102/2),2)=1,FLOOR((A102/2)/2,1)+1,0))*C102*2),(IF(MOD((A103/2),2)=0,(A103/2)/2,IF(MOD((A103/2),2)=1,FLOOR((A103/2)/2,1)+1,0))*C103*2),(IF(MOD((A104/2),2)=0,(A104/2)/2,IF(MOD((A104/2),2)=1,FLOOR((A104/2)/2,1)+1,0))*C104*2),(IF(MOD((A105/2),2)=0,(A105/2)/2,IF(MOD((A105/2),2)=1,FLOOR((A105/2)/2,1)+1,0))*C105*2),(IF(MOD((A106/2),2)=0,(A106/2)/2,IF(MOD((A106/2),2)=1,FLOOR((A106/2)/2,1)+1,0))*C106*2),(IF(MOD((A107/2),2)=0,(A107/2)/2,IF(MOD((A107/2),2)=1,FLOOR((A107/2)/2,1)+1,0))*C107*2),(IF(MOD((A108/2),2)=0,(A108/2)/2,IF(MOD((A108/2),2)=1,FLOOR((A108/2)/2,1)+1,0))*C108*2),(IF(MOD((A109/2),2)=0,(A109/2)/2,IF(MOD((A109/2),2)=1,FLOOR((A109/2)/2,1)+1,0))*C109*2),(IF(MOD((A110/2),2)=0,(A110/2)/2,IF(MOD((A110/2),2)=1,FLOOR((A110/2)/2,1)+1,0))*C110*2),(IF(MOD((A111/2),2)=0,(A111/2)/2,IF(MOD((A111/2),2)=1,FLOOR((A111/2)/2,1)+1,0))*C111*2),(IF(MOD((A112/2),2)=0,(A112/2)/2,IF(MOD((A112/2),2)=1,FLOOR((A112/2)/2,1)+1,0))*C112*2),(IF(MOD((A113/2),2)=0,(A113/2)/2,IF(MOD((A113/2),2)=1,FLOOR((A113/2)/2,1)+1,0))*C113*2))</f>
        <v>0</v>
      </c>
      <c r="P121" s="34">
        <f>INDEX(cennik!$C$2:$L$529,MATCH($L121,cennik!$B$2:$B$522,0),MATCH(P$2,cennik!$C$1:$L$1,0))</f>
        <v>2.4</v>
      </c>
      <c r="Q121" s="34">
        <f t="shared" si="160"/>
        <v>0</v>
      </c>
      <c r="R121" s="35">
        <f t="shared" si="156"/>
        <v>0</v>
      </c>
      <c r="S121" s="34">
        <f t="shared" si="157"/>
        <v>2.4</v>
      </c>
      <c r="T121" s="34">
        <f t="shared" si="161"/>
        <v>0</v>
      </c>
      <c r="U121" s="34">
        <f>INDEX(cennik!$C$2:$L$529,MATCH($L121,cennik!$B$2:$B$522,0),MATCH(U$2,cennik!$C$1:$L$1,0))*O121</f>
        <v>0</v>
      </c>
      <c r="V121" s="25"/>
      <c r="W121" s="27"/>
      <c r="X121" s="27"/>
      <c r="Y121" s="27"/>
      <c r="Z121" s="27"/>
      <c r="AA121" s="186" t="s">
        <v>311</v>
      </c>
      <c r="AB121" s="192" t="s">
        <v>318</v>
      </c>
      <c r="AC121" s="21"/>
      <c r="AD121" s="21"/>
      <c r="AE121" s="21"/>
      <c r="AF121" s="21"/>
      <c r="AG121" s="21"/>
      <c r="AH121" s="21"/>
      <c r="AI121" s="21"/>
      <c r="AJ121" s="21">
        <f>2*6.6</f>
        <v>13.2</v>
      </c>
      <c r="AK121" s="21"/>
      <c r="AL121" s="21"/>
      <c r="AM121" s="21"/>
      <c r="AO121" s="192" t="s">
        <v>318</v>
      </c>
      <c r="AP121" s="186" t="s">
        <v>739</v>
      </c>
      <c r="AQ121" s="21"/>
      <c r="AX121" s="21"/>
      <c r="AY121" s="21"/>
      <c r="AZ121" s="21"/>
      <c r="BA121" s="21"/>
      <c r="BB121" s="21"/>
      <c r="BC121" s="21"/>
      <c r="BD121" s="21"/>
      <c r="BE121" s="21"/>
      <c r="BF121" s="21"/>
      <c r="BG121" s="21"/>
      <c r="BH121" s="21" t="s">
        <v>18</v>
      </c>
      <c r="BI121" s="21">
        <f>(BI94/2)*3</f>
        <v>0</v>
      </c>
      <c r="BJ121" s="21">
        <v>0</v>
      </c>
      <c r="BK121" s="21">
        <v>0</v>
      </c>
      <c r="BL121" s="21">
        <v>0</v>
      </c>
      <c r="BM121" s="21">
        <v>0</v>
      </c>
      <c r="BN121" s="21">
        <v>6</v>
      </c>
      <c r="BO121" s="21">
        <v>6</v>
      </c>
      <c r="BP121" s="21">
        <v>6</v>
      </c>
      <c r="BQ121" s="21">
        <v>6</v>
      </c>
      <c r="BR121" s="21">
        <v>12</v>
      </c>
      <c r="BS121" s="21">
        <v>6</v>
      </c>
      <c r="BT121" s="21">
        <v>12</v>
      </c>
      <c r="BU121" s="21">
        <v>12</v>
      </c>
      <c r="BV121" s="21">
        <v>12</v>
      </c>
      <c r="BW121" s="21">
        <v>12</v>
      </c>
      <c r="BX121" s="21">
        <v>18</v>
      </c>
      <c r="BY121" s="21">
        <v>12</v>
      </c>
      <c r="BZ121" s="21">
        <v>18</v>
      </c>
      <c r="CA121" s="21">
        <v>18</v>
      </c>
      <c r="CB121" s="21">
        <v>18</v>
      </c>
      <c r="CC121" s="21">
        <v>18</v>
      </c>
      <c r="CD121" s="21">
        <v>24</v>
      </c>
      <c r="CE121" s="21">
        <v>18</v>
      </c>
      <c r="CF121" s="21">
        <v>24</v>
      </c>
      <c r="CG121" s="21"/>
      <c r="CH121" s="21"/>
      <c r="CI121" s="21"/>
      <c r="CJ121" s="21"/>
      <c r="CK121" s="21"/>
      <c r="CL121" s="21"/>
      <c r="CM121" s="21"/>
      <c r="CN121" s="21" t="s">
        <v>18</v>
      </c>
      <c r="CO121" s="21">
        <v>0</v>
      </c>
      <c r="CP121" s="21">
        <f t="shared" si="175"/>
        <v>0</v>
      </c>
      <c r="CQ121" s="21">
        <f t="shared" si="175"/>
        <v>0</v>
      </c>
      <c r="CR121" s="21">
        <f t="shared" si="175"/>
        <v>0</v>
      </c>
      <c r="CS121" s="21">
        <f t="shared" si="175"/>
        <v>6</v>
      </c>
      <c r="CT121" s="21">
        <f t="shared" si="175"/>
        <v>6</v>
      </c>
      <c r="CU121" s="21">
        <f t="shared" si="175"/>
        <v>6</v>
      </c>
      <c r="CV121" s="21">
        <f t="shared" si="175"/>
        <v>6</v>
      </c>
      <c r="CW121" s="21">
        <f t="shared" si="175"/>
        <v>12</v>
      </c>
      <c r="CX121" s="21">
        <f t="shared" si="175"/>
        <v>6</v>
      </c>
      <c r="CY121" s="21">
        <f t="shared" si="175"/>
        <v>12</v>
      </c>
      <c r="CZ121" s="21">
        <v>12</v>
      </c>
      <c r="DA121" s="21">
        <f t="shared" si="175"/>
        <v>12</v>
      </c>
      <c r="DB121" s="21">
        <f t="shared" si="175"/>
        <v>18</v>
      </c>
      <c r="DC121" s="21">
        <f t="shared" si="175"/>
        <v>12</v>
      </c>
      <c r="DD121" s="21">
        <f t="shared" si="175"/>
        <v>18</v>
      </c>
      <c r="DE121" s="21">
        <f t="shared" si="175"/>
        <v>18</v>
      </c>
      <c r="DF121" s="21">
        <f t="shared" si="175"/>
        <v>18</v>
      </c>
      <c r="DG121" s="21">
        <f t="shared" si="175"/>
        <v>18</v>
      </c>
      <c r="DH121" s="21">
        <f t="shared" si="175"/>
        <v>24</v>
      </c>
      <c r="DI121" s="21">
        <f t="shared" si="175"/>
        <v>18</v>
      </c>
      <c r="DJ121" s="21">
        <f t="shared" si="175"/>
        <v>24</v>
      </c>
      <c r="DK121" s="21">
        <f t="shared" si="175"/>
        <v>24</v>
      </c>
      <c r="DL121" s="21">
        <f t="shared" si="175"/>
        <v>24</v>
      </c>
      <c r="DM121" s="21"/>
      <c r="DN121" s="21"/>
      <c r="DO121" s="21"/>
      <c r="DP121" s="21"/>
      <c r="DQ121" s="87"/>
      <c r="DR121" s="87">
        <v>39</v>
      </c>
      <c r="DS121" s="87"/>
      <c r="DT121" s="21"/>
      <c r="DU121" s="21"/>
      <c r="DV121" s="21"/>
      <c r="DW121" s="21"/>
      <c r="DX121" s="21"/>
      <c r="DY121" s="21"/>
      <c r="DZ121" s="21"/>
      <c r="EA121" s="21"/>
      <c r="EB121" s="21"/>
      <c r="EC121" s="21"/>
      <c r="ED121" s="21"/>
      <c r="EE121" s="21"/>
      <c r="EF121" s="21"/>
      <c r="EG121" s="21"/>
      <c r="EH121" s="21"/>
      <c r="EI121" s="21"/>
      <c r="EJ121" s="196"/>
      <c r="EK121" s="20" t="s">
        <v>779</v>
      </c>
      <c r="EL121" s="21">
        <v>0</v>
      </c>
      <c r="EM121" s="21">
        <f>((SUM(EM119:EM120)/6)-1)*6</f>
        <v>0</v>
      </c>
      <c r="EN121" s="21">
        <f>((SUM(EN119:EN120)/6)-1)*6</f>
        <v>0</v>
      </c>
      <c r="EO121" s="21">
        <v>0</v>
      </c>
      <c r="EP121" s="21">
        <f t="shared" ref="EP121:FI121" si="180">((SUM(EP119:EP120)/6)-1)*6</f>
        <v>6</v>
      </c>
      <c r="EQ121" s="21">
        <f t="shared" si="180"/>
        <v>6</v>
      </c>
      <c r="ER121" s="21">
        <f t="shared" si="180"/>
        <v>12</v>
      </c>
      <c r="ES121" s="21">
        <f t="shared" si="180"/>
        <v>12</v>
      </c>
      <c r="ET121" s="21">
        <f t="shared" si="180"/>
        <v>12</v>
      </c>
      <c r="EU121" s="21">
        <f t="shared" si="180"/>
        <v>12</v>
      </c>
      <c r="EV121" s="21">
        <f t="shared" si="180"/>
        <v>18</v>
      </c>
      <c r="EW121" s="21">
        <f t="shared" si="180"/>
        <v>18</v>
      </c>
      <c r="EX121" s="21">
        <f t="shared" si="180"/>
        <v>18</v>
      </c>
      <c r="EY121" s="21">
        <f t="shared" si="180"/>
        <v>24</v>
      </c>
      <c r="EZ121" s="21">
        <f t="shared" si="180"/>
        <v>24</v>
      </c>
      <c r="FA121" s="21">
        <f t="shared" si="180"/>
        <v>24</v>
      </c>
      <c r="FB121" s="21">
        <f t="shared" si="180"/>
        <v>30</v>
      </c>
      <c r="FC121" s="21">
        <f t="shared" si="180"/>
        <v>30</v>
      </c>
      <c r="FD121" s="21">
        <f t="shared" si="180"/>
        <v>30</v>
      </c>
      <c r="FE121" s="21">
        <f t="shared" si="180"/>
        <v>36</v>
      </c>
      <c r="FF121" s="21">
        <f t="shared" si="180"/>
        <v>36</v>
      </c>
      <c r="FG121" s="21">
        <f t="shared" si="180"/>
        <v>36</v>
      </c>
      <c r="FH121" s="21">
        <f t="shared" si="180"/>
        <v>42</v>
      </c>
      <c r="FI121" s="21">
        <f t="shared" si="180"/>
        <v>42</v>
      </c>
      <c r="FJ121" s="21"/>
      <c r="FK121" s="20" t="s">
        <v>779</v>
      </c>
      <c r="FL121" s="21">
        <v>0</v>
      </c>
      <c r="FM121" s="21">
        <f>((SUM(FM119:FM120)/6)-1)*6</f>
        <v>0</v>
      </c>
      <c r="FN121" s="21">
        <v>0</v>
      </c>
      <c r="FO121" s="21">
        <v>0</v>
      </c>
      <c r="FP121" s="21">
        <f t="shared" ref="FP121:GI121" si="181">((SUM(FP119:FP120)/6)-1)*6</f>
        <v>6</v>
      </c>
      <c r="FQ121" s="21">
        <f t="shared" si="181"/>
        <v>6</v>
      </c>
      <c r="FR121" s="21">
        <f t="shared" si="181"/>
        <v>12</v>
      </c>
      <c r="FS121" s="21">
        <f t="shared" si="181"/>
        <v>12</v>
      </c>
      <c r="FT121" s="21">
        <f t="shared" si="181"/>
        <v>12</v>
      </c>
      <c r="FU121" s="21">
        <f t="shared" si="181"/>
        <v>18</v>
      </c>
      <c r="FV121" s="21">
        <f t="shared" si="181"/>
        <v>18</v>
      </c>
      <c r="FW121" s="21">
        <f t="shared" si="181"/>
        <v>18</v>
      </c>
      <c r="FX121" s="21">
        <f t="shared" si="181"/>
        <v>24</v>
      </c>
      <c r="FY121" s="21">
        <f t="shared" si="181"/>
        <v>24</v>
      </c>
      <c r="FZ121" s="21">
        <f t="shared" si="181"/>
        <v>30</v>
      </c>
      <c r="GA121" s="21">
        <f t="shared" si="181"/>
        <v>30</v>
      </c>
      <c r="GB121" s="21">
        <f t="shared" si="181"/>
        <v>30</v>
      </c>
      <c r="GC121" s="21">
        <f t="shared" si="181"/>
        <v>36</v>
      </c>
      <c r="GD121" s="21">
        <f t="shared" si="181"/>
        <v>36</v>
      </c>
      <c r="GE121" s="21">
        <f t="shared" si="181"/>
        <v>36</v>
      </c>
      <c r="GF121" s="21">
        <f t="shared" si="181"/>
        <v>42</v>
      </c>
      <c r="GG121" s="21">
        <f t="shared" si="181"/>
        <v>42</v>
      </c>
      <c r="GH121" s="21">
        <f t="shared" si="181"/>
        <v>42</v>
      </c>
      <c r="GI121" s="21">
        <f t="shared" si="181"/>
        <v>48</v>
      </c>
      <c r="GJ121" s="21"/>
      <c r="GK121" s="21"/>
      <c r="GL121" s="21"/>
      <c r="GM121" s="21"/>
      <c r="GN121" s="21"/>
      <c r="GO121" s="21"/>
      <c r="GP121" s="21"/>
      <c r="GQ121" s="21"/>
      <c r="GR121" s="21" t="s">
        <v>523</v>
      </c>
      <c r="GS121" s="21">
        <v>0</v>
      </c>
      <c r="GT121" s="21">
        <f t="shared" si="178"/>
        <v>0</v>
      </c>
      <c r="GU121" s="21">
        <f t="shared" si="178"/>
        <v>0</v>
      </c>
      <c r="GV121" s="21">
        <f t="shared" si="178"/>
        <v>0</v>
      </c>
      <c r="GW121" s="21">
        <f t="shared" si="178"/>
        <v>6</v>
      </c>
      <c r="GX121" s="21">
        <f t="shared" si="178"/>
        <v>18</v>
      </c>
      <c r="GY121" s="21">
        <f t="shared" si="178"/>
        <v>12</v>
      </c>
      <c r="GZ121" s="21">
        <f t="shared" si="178"/>
        <v>6</v>
      </c>
      <c r="HA121" s="21">
        <f t="shared" si="178"/>
        <v>0</v>
      </c>
      <c r="HB121" s="21">
        <f t="shared" si="178"/>
        <v>18</v>
      </c>
      <c r="HC121" s="21">
        <f t="shared" si="178"/>
        <v>12</v>
      </c>
      <c r="HD121" s="21">
        <f t="shared" si="178"/>
        <v>0</v>
      </c>
      <c r="HE121" s="21">
        <f t="shared" si="178"/>
        <v>18</v>
      </c>
      <c r="HF121" s="21">
        <f t="shared" si="178"/>
        <v>12</v>
      </c>
      <c r="HG121" s="21">
        <f t="shared" si="178"/>
        <v>6</v>
      </c>
      <c r="HH121" s="21">
        <f t="shared" si="178"/>
        <v>0</v>
      </c>
      <c r="HI121" s="21">
        <f t="shared" si="178"/>
        <v>18</v>
      </c>
      <c r="HJ121" s="21">
        <f t="shared" si="178"/>
        <v>6</v>
      </c>
      <c r="HK121" s="21">
        <f t="shared" si="178"/>
        <v>0</v>
      </c>
      <c r="HL121" s="21">
        <f t="shared" si="178"/>
        <v>18</v>
      </c>
      <c r="HM121" s="21">
        <f t="shared" si="178"/>
        <v>12</v>
      </c>
      <c r="HN121" s="21">
        <f t="shared" si="178"/>
        <v>6</v>
      </c>
      <c r="HO121" s="21">
        <f t="shared" si="178"/>
        <v>0</v>
      </c>
      <c r="HP121" s="21">
        <f t="shared" si="178"/>
        <v>18</v>
      </c>
      <c r="HS121" s="180" t="s">
        <v>523</v>
      </c>
      <c r="HT121" s="180">
        <v>0</v>
      </c>
      <c r="HU121" s="21">
        <f t="shared" si="179"/>
        <v>0</v>
      </c>
      <c r="HV121" s="21">
        <f t="shared" si="179"/>
        <v>0</v>
      </c>
      <c r="HW121" s="21">
        <f t="shared" si="179"/>
        <v>6</v>
      </c>
      <c r="HX121" s="21">
        <f t="shared" si="179"/>
        <v>0</v>
      </c>
      <c r="HY121" s="21">
        <f t="shared" si="179"/>
        <v>18</v>
      </c>
      <c r="HZ121" s="21">
        <f t="shared" si="179"/>
        <v>6</v>
      </c>
      <c r="IA121" s="21">
        <f t="shared" si="179"/>
        <v>0</v>
      </c>
      <c r="IB121" s="21">
        <f t="shared" si="179"/>
        <v>18</v>
      </c>
      <c r="IC121" s="21">
        <f t="shared" si="179"/>
        <v>12</v>
      </c>
      <c r="ID121" s="21">
        <f t="shared" si="179"/>
        <v>0</v>
      </c>
      <c r="IE121" s="21">
        <f t="shared" si="179"/>
        <v>18</v>
      </c>
      <c r="IF121" s="21">
        <f t="shared" si="179"/>
        <v>12</v>
      </c>
      <c r="IG121" s="21">
        <f t="shared" si="179"/>
        <v>6</v>
      </c>
      <c r="IH121" s="21">
        <f t="shared" si="179"/>
        <v>0</v>
      </c>
      <c r="II121" s="21">
        <f t="shared" si="179"/>
        <v>12</v>
      </c>
      <c r="IJ121" s="21">
        <f t="shared" si="179"/>
        <v>6</v>
      </c>
      <c r="IK121" s="21">
        <f t="shared" si="179"/>
        <v>0</v>
      </c>
      <c r="IL121" s="21">
        <f t="shared" si="179"/>
        <v>18</v>
      </c>
      <c r="IM121" s="21">
        <f t="shared" si="179"/>
        <v>6</v>
      </c>
      <c r="IN121" s="21">
        <f t="shared" si="179"/>
        <v>0</v>
      </c>
      <c r="IO121" s="21">
        <f t="shared" si="179"/>
        <v>18</v>
      </c>
      <c r="IP121" s="21">
        <f t="shared" si="179"/>
        <v>12</v>
      </c>
      <c r="IQ121" s="21">
        <f t="shared" si="179"/>
        <v>0</v>
      </c>
      <c r="IR121" s="198"/>
    </row>
    <row r="122" spans="1:252" x14ac:dyDescent="0.25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6" t="s">
        <v>527</v>
      </c>
      <c r="M122" s="11">
        <f>INDEX(cennik!$C$2:$L$529,MATCH($L122,cennik!$B$2:$B$522,0),MATCH(M$2,cennik!$C$1:$L$1,0))</f>
        <v>897311</v>
      </c>
      <c r="N122" s="11" t="str">
        <f>INDEX(cennik!$C$2:$L$529,MATCH($L122,cennik!$B$2:$B$522,0),MATCH(N$2,cennik!$C$1:$L$1,0))</f>
        <v>szt.</v>
      </c>
      <c r="O122" s="11">
        <f>SUM(((INT(((A98/2)+1)/3))*4*C98),((INT(((A99/2)+1)/3))*4*C99),((INT(((A100/2)+1)/3))*4*C100),((INT(((A101/2)+1)/3))*4*C101),((INT(((A102/2)+1)/3))*4*C102),((INT(((A103/2)+1)/3))*4*C103),((INT(((A104/2)+1)/3))*4*C104),((INT(((A105/2)+1)/3))*4*C105),((INT(((A106/2)+1)/3))*4*C106),((INT(((A107/2)+1)/3))*4*C107),((INT(((A108/2)+1)/3))*4*C108),((INT(((A109/2)+1)/3))*4*C109),((INT(((A110/2)+1)/3))*4*C110),((INT(((A111/2)+1)/3))*4*C111),((INT(((A112/2)+1)/3))*4*C112),((INT(((A113/2)+1)/3))*4*C113))</f>
        <v>0</v>
      </c>
      <c r="P122" s="34">
        <f>INDEX(cennik!$C$2:$L$529,MATCH($L122,cennik!$B$2:$B$522,0),MATCH(P$2,cennik!$C$1:$L$1,0))</f>
        <v>5.49</v>
      </c>
      <c r="Q122" s="34">
        <f t="shared" si="160"/>
        <v>0</v>
      </c>
      <c r="R122" s="35">
        <f t="shared" si="156"/>
        <v>0</v>
      </c>
      <c r="S122" s="34">
        <f t="shared" si="157"/>
        <v>5.49</v>
      </c>
      <c r="T122" s="34">
        <f t="shared" si="161"/>
        <v>0</v>
      </c>
      <c r="U122" s="34">
        <f>INDEX(cennik!$C$2:$L$529,MATCH($L122,cennik!$B$2:$B$522,0),MATCH(U$2,cennik!$C$1:$L$1,0))*O122</f>
        <v>0</v>
      </c>
      <c r="V122" s="25"/>
      <c r="W122" s="27"/>
      <c r="X122" s="27"/>
      <c r="Y122" s="27"/>
      <c r="Z122" s="27"/>
      <c r="AA122" s="21">
        <f t="shared" ref="AA122:AA137" si="182">(VLOOKUP(AO122,$AY$5:$BA$9,3,1))*C130</f>
        <v>0</v>
      </c>
      <c r="AB122" s="21">
        <f t="shared" ref="AB122:AB137" si="183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*C130</f>
        <v>0</v>
      </c>
      <c r="AC122" s="21"/>
      <c r="AD122" s="21"/>
      <c r="AE122" s="21"/>
      <c r="AF122" s="21"/>
      <c r="AG122" s="21"/>
      <c r="AH122" s="21"/>
      <c r="AI122" s="21"/>
      <c r="AJ122" s="21"/>
      <c r="AK122" s="21"/>
      <c r="AL122" s="21"/>
      <c r="AM122" s="21"/>
      <c r="AN122" s="21"/>
      <c r="AO122" s="21">
        <f t="shared" ref="AO122:AO137" si="184">(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gt;=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+1,IF(((INT((((A130/3)*(IF($G$131=$AE$24,$AF$24,IF($G$131=$AE$25,$AF$25,IF($G$131=$AE$26,$AF$26,IF($G$131=$AE$27,$AF$27,IF($G$131=$AE$28,$AF$28,IF($G$131=$AE$29,$AF$29,IF($G$131=$AE$30,$AF$30,IF($G$131=$AE$31,$AF$31,IF($G$131=$AE$32,$AF$32,0)))))))))))+(((A130/3)-1)*20))/$E$140))*$E$140)+1000&lt;((A130/3)*(IF($G$131=$AE$24,$AF$24,IF($G$131=$AE$25,$AF$25,IF($G$131=$AE$26,$AF$26,IF($G$131=$AE$27,$AF$27,IF($G$131=$AE$28,$AF$28,IF($G$131=$AE$29,$AF$29,IF($G$131=$AE$30,$AF$30,IF($G$131=$AE$31,$AF$31,IF($G$131=$AE$32,$AF$32,0)))))))))))+(((A130/3)-1)*20),(INT((((A130/3)*(IF($G$131=$AE$24,$AF$24,IF($G$131=$AE$25,$AF$25,IF($G$131=$AE$26,$AF$26,IF($G$131=$AE$27,$AF$27,IF($G$131=$AE$28,$AF$28,IF($G$131=$AE$29,$AF$29,IF($G$131=$AE$30,$AF$30,IF($G$131=$AE$31,$AF$31,IF($G$131=$AE$32,$AF$32,0)))))))))))+(((A130/3)-1)*20))/$E$140))+2,0)))</f>
        <v>1</v>
      </c>
      <c r="AP122" s="21"/>
      <c r="AQ122" s="21" t="s">
        <v>314</v>
      </c>
      <c r="AR122" s="180" t="s">
        <v>312</v>
      </c>
      <c r="AS122" s="180" t="s">
        <v>309</v>
      </c>
      <c r="AT122" s="180" t="s">
        <v>313</v>
      </c>
      <c r="AX122" s="21"/>
      <c r="AY122" s="21"/>
      <c r="AZ122" s="21"/>
      <c r="BA122" s="21"/>
      <c r="BB122" s="21"/>
      <c r="BC122" s="21"/>
      <c r="BD122" s="21"/>
      <c r="BE122" s="21"/>
      <c r="BF122" s="21"/>
      <c r="BG122" s="21"/>
      <c r="BH122" s="21"/>
      <c r="BI122" s="21"/>
      <c r="BJ122" s="21"/>
      <c r="BK122" s="21"/>
      <c r="BL122" s="21"/>
      <c r="BM122" s="21"/>
      <c r="BN122" s="21"/>
      <c r="BO122" s="21"/>
      <c r="BP122" s="21"/>
      <c r="BQ122" s="21"/>
      <c r="BR122" s="21"/>
      <c r="BS122" s="21"/>
      <c r="BT122" s="21"/>
      <c r="BU122" s="21"/>
      <c r="BV122" s="21"/>
      <c r="BW122" s="21"/>
      <c r="BX122" s="21"/>
      <c r="BY122" s="21"/>
      <c r="BZ122" s="21"/>
      <c r="CA122" s="21"/>
      <c r="CB122" s="21"/>
      <c r="CC122" s="21"/>
      <c r="CD122" s="21"/>
      <c r="CE122" s="21"/>
      <c r="CF122" s="21"/>
      <c r="CG122" s="21"/>
      <c r="CH122" s="21"/>
      <c r="CI122" s="21"/>
      <c r="CJ122" s="21"/>
      <c r="CK122" s="21"/>
      <c r="CL122" s="21"/>
      <c r="CM122" s="21"/>
      <c r="CN122" s="21"/>
      <c r="CO122" s="21"/>
      <c r="CP122" s="21"/>
      <c r="CQ122" s="21"/>
      <c r="CR122" s="21"/>
      <c r="CS122" s="21"/>
      <c r="CT122" s="21"/>
      <c r="CU122" s="21"/>
      <c r="CV122" s="21"/>
      <c r="CW122" s="21"/>
      <c r="CX122" s="21"/>
      <c r="CY122" s="21"/>
      <c r="CZ122" s="21"/>
      <c r="DA122" s="21"/>
      <c r="DB122" s="21"/>
      <c r="DC122" s="21"/>
      <c r="DD122" s="21"/>
      <c r="DE122" s="21"/>
      <c r="DF122" s="21"/>
      <c r="DG122" s="21"/>
      <c r="DH122" s="21"/>
      <c r="DI122" s="21"/>
      <c r="DJ122" s="21"/>
      <c r="DK122" s="21"/>
      <c r="DL122" s="21"/>
      <c r="DM122" s="21"/>
      <c r="DN122" s="21"/>
      <c r="DO122" s="21"/>
      <c r="DP122" s="21"/>
      <c r="DQ122" s="87"/>
      <c r="DR122" s="87">
        <v>42</v>
      </c>
      <c r="DS122" s="87"/>
      <c r="DT122" s="21"/>
      <c r="DU122" s="21"/>
      <c r="DV122" s="21"/>
      <c r="DW122" s="21"/>
      <c r="DX122" s="21"/>
      <c r="DY122" s="21"/>
      <c r="DZ122" s="21"/>
      <c r="EA122" s="21"/>
      <c r="EB122" s="21"/>
      <c r="EC122" s="21"/>
      <c r="ED122" s="21"/>
      <c r="EE122" s="21"/>
      <c r="EF122" s="21"/>
      <c r="EG122" s="21"/>
      <c r="EH122" s="21"/>
      <c r="EI122" s="21"/>
      <c r="EJ122" s="196"/>
      <c r="GJ122" s="21"/>
      <c r="GK122" s="21"/>
      <c r="GL122" s="21"/>
      <c r="GM122" s="21"/>
      <c r="GN122" s="21"/>
      <c r="GO122" s="21"/>
      <c r="GP122" s="21"/>
      <c r="GQ122" s="21"/>
      <c r="GR122" s="20" t="s">
        <v>779</v>
      </c>
      <c r="GS122" s="21">
        <v>0</v>
      </c>
      <c r="GT122" s="21">
        <f t="shared" si="178"/>
        <v>0</v>
      </c>
      <c r="GU122" s="21">
        <f t="shared" si="178"/>
        <v>0</v>
      </c>
      <c r="GV122" s="21">
        <f t="shared" si="178"/>
        <v>0</v>
      </c>
      <c r="GW122" s="21">
        <f t="shared" si="178"/>
        <v>6</v>
      </c>
      <c r="GX122" s="21">
        <f t="shared" si="178"/>
        <v>12</v>
      </c>
      <c r="GY122" s="21">
        <f t="shared" si="178"/>
        <v>12</v>
      </c>
      <c r="GZ122" s="21">
        <f t="shared" si="178"/>
        <v>12</v>
      </c>
      <c r="HA122" s="21">
        <f t="shared" si="178"/>
        <v>12</v>
      </c>
      <c r="HB122" s="21">
        <f t="shared" si="178"/>
        <v>18</v>
      </c>
      <c r="HC122" s="21">
        <f t="shared" si="178"/>
        <v>18</v>
      </c>
      <c r="HD122" s="21">
        <f t="shared" si="178"/>
        <v>18</v>
      </c>
      <c r="HE122" s="21">
        <f t="shared" si="178"/>
        <v>24</v>
      </c>
      <c r="HF122" s="21">
        <f t="shared" si="178"/>
        <v>24</v>
      </c>
      <c r="HG122" s="21">
        <f t="shared" si="178"/>
        <v>24</v>
      </c>
      <c r="HH122" s="21">
        <f t="shared" si="178"/>
        <v>24</v>
      </c>
      <c r="HI122" s="21">
        <f t="shared" si="178"/>
        <v>30</v>
      </c>
      <c r="HJ122" s="21">
        <f t="shared" si="178"/>
        <v>30</v>
      </c>
      <c r="HK122" s="21">
        <f t="shared" si="178"/>
        <v>30</v>
      </c>
      <c r="HL122" s="21">
        <f t="shared" si="178"/>
        <v>36</v>
      </c>
      <c r="HM122" s="21">
        <f t="shared" si="178"/>
        <v>36</v>
      </c>
      <c r="HN122" s="21">
        <f t="shared" si="178"/>
        <v>36</v>
      </c>
      <c r="HO122" s="21">
        <f t="shared" si="178"/>
        <v>36</v>
      </c>
      <c r="HP122" s="21">
        <f>HP95/4*6</f>
        <v>42</v>
      </c>
      <c r="HS122" s="180" t="s">
        <v>524</v>
      </c>
      <c r="HT122" s="180">
        <v>0</v>
      </c>
      <c r="HU122" s="21">
        <f t="shared" si="179"/>
        <v>0</v>
      </c>
      <c r="HV122" s="21">
        <f t="shared" si="179"/>
        <v>0</v>
      </c>
      <c r="HW122" s="21">
        <f t="shared" si="179"/>
        <v>6</v>
      </c>
      <c r="HX122" s="21">
        <f t="shared" si="179"/>
        <v>6</v>
      </c>
      <c r="HY122" s="21">
        <f t="shared" si="179"/>
        <v>12</v>
      </c>
      <c r="HZ122" s="21">
        <f t="shared" si="179"/>
        <v>12</v>
      </c>
      <c r="IA122" s="21">
        <f t="shared" si="179"/>
        <v>12</v>
      </c>
      <c r="IB122" s="21">
        <f t="shared" si="179"/>
        <v>18</v>
      </c>
      <c r="IC122" s="21">
        <f t="shared" si="179"/>
        <v>18</v>
      </c>
      <c r="ID122" s="21">
        <f t="shared" si="179"/>
        <v>18</v>
      </c>
      <c r="IE122" s="21">
        <f t="shared" si="179"/>
        <v>24</v>
      </c>
      <c r="IF122" s="21">
        <f t="shared" si="179"/>
        <v>24</v>
      </c>
      <c r="IG122" s="21">
        <f t="shared" si="179"/>
        <v>24</v>
      </c>
      <c r="IH122" s="21">
        <f t="shared" si="179"/>
        <v>24</v>
      </c>
      <c r="II122" s="21">
        <f t="shared" si="179"/>
        <v>30</v>
      </c>
      <c r="IJ122" s="21">
        <f t="shared" si="179"/>
        <v>30</v>
      </c>
      <c r="IK122" s="21">
        <f t="shared" si="179"/>
        <v>30</v>
      </c>
      <c r="IL122" s="21">
        <f t="shared" si="179"/>
        <v>36</v>
      </c>
      <c r="IM122" s="21">
        <f t="shared" si="179"/>
        <v>36</v>
      </c>
      <c r="IN122" s="21">
        <f t="shared" si="179"/>
        <v>36</v>
      </c>
      <c r="IO122" s="21">
        <f t="shared" si="179"/>
        <v>42</v>
      </c>
      <c r="IP122" s="21">
        <f t="shared" si="179"/>
        <v>42</v>
      </c>
      <c r="IQ122" s="21">
        <f t="shared" si="179"/>
        <v>42</v>
      </c>
      <c r="IR122" s="198"/>
    </row>
    <row r="123" spans="1:252" x14ac:dyDescent="0.25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6" t="s">
        <v>319</v>
      </c>
      <c r="M123" s="11">
        <f>INDEX(cennik!$C$2:$L$529,MATCH($L123,cennik!$B$2:$B$522,0),MATCH(M$2,cennik!$C$1:$L$1,0))</f>
        <v>890111</v>
      </c>
      <c r="N123" s="11" t="str">
        <f>INDEX(cennik!$C$2:$L$529,MATCH($L123,cennik!$B$2:$B$522,0),MATCH(N$2,cennik!$C$1:$L$1,0))</f>
        <v>100 szt.</v>
      </c>
      <c r="O123" s="11">
        <f>ROUNDUP((O99*4)/100,0)</f>
        <v>0</v>
      </c>
      <c r="P123" s="34">
        <f>INDEX(cennik!$C$2:$L$529,MATCH($L123,cennik!$B$2:$B$522,0),MATCH(P$2,cennik!$C$1:$L$1,0))</f>
        <v>174.59</v>
      </c>
      <c r="Q123" s="34">
        <f t="shared" si="160"/>
        <v>0</v>
      </c>
      <c r="R123" s="35">
        <f t="shared" si="156"/>
        <v>0</v>
      </c>
      <c r="S123" s="34">
        <f t="shared" si="157"/>
        <v>174.59</v>
      </c>
      <c r="T123" s="34">
        <f t="shared" si="161"/>
        <v>0</v>
      </c>
      <c r="U123" s="34">
        <f>INDEX(cennik!$C$2:$L$529,MATCH($L123,cennik!$B$2:$B$522,0),MATCH(U$2,cennik!$C$1:$L$1,0))*O123</f>
        <v>0</v>
      </c>
      <c r="V123" s="25"/>
      <c r="W123" s="20" t="s">
        <v>18</v>
      </c>
      <c r="X123" s="21" t="s">
        <v>217</v>
      </c>
      <c r="Y123" s="21" t="s">
        <v>216</v>
      </c>
      <c r="Z123" s="21" t="s">
        <v>17</v>
      </c>
      <c r="AA123" s="21">
        <f t="shared" si="182"/>
        <v>0</v>
      </c>
      <c r="AB123" s="21">
        <f t="shared" si="183"/>
        <v>0</v>
      </c>
      <c r="AC123" s="21"/>
      <c r="AD123" s="21"/>
      <c r="AE123" s="21"/>
      <c r="AF123" s="21"/>
      <c r="AG123" s="21"/>
      <c r="AH123" s="21"/>
      <c r="AI123" s="21"/>
      <c r="AJ123" s="21"/>
      <c r="AK123" s="21"/>
      <c r="AL123" s="21"/>
      <c r="AM123" s="21"/>
      <c r="AN123" s="21"/>
      <c r="AO123" s="21">
        <f t="shared" si="184"/>
        <v>1</v>
      </c>
      <c r="AP123" s="21" t="s">
        <v>111</v>
      </c>
      <c r="AQ123" s="21" t="s">
        <v>596</v>
      </c>
      <c r="AR123" s="180" t="s">
        <v>595</v>
      </c>
      <c r="AS123" s="180" t="s">
        <v>593</v>
      </c>
      <c r="AT123" s="180" t="s">
        <v>593</v>
      </c>
      <c r="AX123" s="21"/>
      <c r="AY123" s="21"/>
      <c r="AZ123" s="21"/>
      <c r="BA123" s="21"/>
      <c r="BB123" s="21"/>
      <c r="BC123" s="21"/>
      <c r="BD123" s="21"/>
      <c r="BE123" s="21"/>
      <c r="BF123" s="21"/>
      <c r="BG123" s="21"/>
      <c r="BH123" s="21"/>
      <c r="BI123" s="21"/>
      <c r="BJ123" s="21"/>
      <c r="BK123" s="21"/>
      <c r="BL123" s="21"/>
      <c r="BM123" s="21"/>
      <c r="BN123" s="21"/>
      <c r="BO123" s="21"/>
      <c r="BP123" s="21"/>
      <c r="BQ123" s="21"/>
      <c r="BR123" s="21"/>
      <c r="BS123" s="21"/>
      <c r="BT123" s="21"/>
      <c r="BU123" s="21"/>
      <c r="BV123" s="21"/>
      <c r="BW123" s="21"/>
      <c r="BX123" s="21"/>
      <c r="BY123" s="21"/>
      <c r="BZ123" s="21"/>
      <c r="CA123" s="21"/>
      <c r="CB123" s="21"/>
      <c r="CC123" s="21"/>
      <c r="CD123" s="21"/>
      <c r="CE123" s="21"/>
      <c r="CF123" s="21"/>
      <c r="CG123" s="21"/>
      <c r="CH123" s="21"/>
      <c r="CI123" s="21"/>
      <c r="CJ123" s="21"/>
      <c r="CK123" s="21"/>
      <c r="CL123" s="21"/>
      <c r="CM123" s="21"/>
      <c r="CN123" s="21"/>
      <c r="CO123" s="21"/>
      <c r="CP123" s="21"/>
      <c r="CQ123" s="21"/>
      <c r="CR123" s="21"/>
      <c r="CS123" s="21"/>
      <c r="CT123" s="21"/>
      <c r="CU123" s="21"/>
      <c r="CV123" s="21"/>
      <c r="CW123" s="21"/>
      <c r="CX123" s="21"/>
      <c r="CY123" s="21"/>
      <c r="CZ123" s="21"/>
      <c r="DA123" s="21"/>
      <c r="DB123" s="21"/>
      <c r="DC123" s="21"/>
      <c r="DD123" s="21"/>
      <c r="DE123" s="21"/>
      <c r="DF123" s="21"/>
      <c r="DG123" s="21"/>
      <c r="DH123" s="21"/>
      <c r="DI123" s="21"/>
      <c r="DJ123" s="21"/>
      <c r="DK123" s="21"/>
      <c r="DL123" s="21"/>
      <c r="DM123" s="21"/>
      <c r="DN123" s="21"/>
      <c r="DO123" s="21"/>
      <c r="DP123" s="21"/>
      <c r="DQ123" s="87"/>
      <c r="DR123" s="87">
        <v>45</v>
      </c>
      <c r="DS123" s="87"/>
      <c r="DT123" s="21"/>
      <c r="DU123" s="21"/>
      <c r="DV123" s="21"/>
      <c r="DW123" s="21"/>
      <c r="DX123" s="21"/>
      <c r="DY123" s="21"/>
      <c r="DZ123" s="21"/>
      <c r="EA123" s="21"/>
      <c r="EB123" s="21"/>
      <c r="EC123" s="21"/>
      <c r="ED123" s="21"/>
      <c r="EE123" s="21"/>
      <c r="EF123" s="21"/>
      <c r="EG123" s="21"/>
      <c r="EH123" s="21"/>
      <c r="EI123" s="21"/>
      <c r="EJ123" s="196"/>
      <c r="GJ123" s="21"/>
      <c r="GK123" s="21"/>
      <c r="GL123" s="21"/>
      <c r="GM123" s="21"/>
      <c r="GN123" s="21"/>
      <c r="GO123" s="21"/>
      <c r="GP123" s="21"/>
      <c r="GQ123" s="21"/>
      <c r="GR123" s="21" t="s">
        <v>700</v>
      </c>
      <c r="GS123" s="21">
        <v>0</v>
      </c>
      <c r="GT123" s="21">
        <f t="shared" si="178"/>
        <v>0</v>
      </c>
      <c r="GU123" s="21">
        <f t="shared" si="178"/>
        <v>0</v>
      </c>
      <c r="GV123" s="21">
        <f t="shared" si="178"/>
        <v>0</v>
      </c>
      <c r="GW123" s="21">
        <f t="shared" si="178"/>
        <v>6</v>
      </c>
      <c r="GX123" s="21">
        <f t="shared" si="178"/>
        <v>12</v>
      </c>
      <c r="GY123" s="21">
        <f t="shared" si="178"/>
        <v>12</v>
      </c>
      <c r="GZ123" s="21">
        <f t="shared" si="178"/>
        <v>12</v>
      </c>
      <c r="HA123" s="21">
        <f t="shared" si="178"/>
        <v>12</v>
      </c>
      <c r="HB123" s="21">
        <f t="shared" si="178"/>
        <v>18</v>
      </c>
      <c r="HC123" s="21">
        <f t="shared" si="178"/>
        <v>18</v>
      </c>
      <c r="HD123" s="21">
        <f t="shared" si="178"/>
        <v>18</v>
      </c>
      <c r="HE123" s="21">
        <f t="shared" si="178"/>
        <v>24</v>
      </c>
      <c r="HF123" s="21">
        <f t="shared" si="178"/>
        <v>24</v>
      </c>
      <c r="HG123" s="21">
        <f t="shared" si="178"/>
        <v>24</v>
      </c>
      <c r="HH123" s="21">
        <f t="shared" si="178"/>
        <v>24</v>
      </c>
      <c r="HI123" s="21">
        <f t="shared" si="178"/>
        <v>30</v>
      </c>
      <c r="HJ123" s="21">
        <f t="shared" si="178"/>
        <v>30</v>
      </c>
      <c r="HK123" s="21">
        <f t="shared" si="178"/>
        <v>30</v>
      </c>
      <c r="HL123" s="21">
        <f t="shared" si="178"/>
        <v>36</v>
      </c>
      <c r="HM123" s="21">
        <f t="shared" si="178"/>
        <v>36</v>
      </c>
      <c r="HN123" s="21">
        <f t="shared" si="178"/>
        <v>36</v>
      </c>
      <c r="HO123" s="21">
        <f t="shared" si="178"/>
        <v>36</v>
      </c>
      <c r="HP123" s="21">
        <f t="shared" si="178"/>
        <v>42</v>
      </c>
      <c r="HS123" s="180" t="s">
        <v>700</v>
      </c>
      <c r="HT123" s="180">
        <v>0</v>
      </c>
      <c r="HU123" s="21">
        <f t="shared" si="179"/>
        <v>0</v>
      </c>
      <c r="HV123" s="21">
        <f t="shared" si="179"/>
        <v>0</v>
      </c>
      <c r="HW123" s="21">
        <f t="shared" si="179"/>
        <v>6</v>
      </c>
      <c r="HX123" s="21">
        <f t="shared" si="179"/>
        <v>6</v>
      </c>
      <c r="HY123" s="21">
        <f t="shared" si="179"/>
        <v>12</v>
      </c>
      <c r="HZ123" s="21">
        <f t="shared" si="179"/>
        <v>12</v>
      </c>
      <c r="IA123" s="21">
        <f t="shared" si="179"/>
        <v>12</v>
      </c>
      <c r="IB123" s="21">
        <f t="shared" si="179"/>
        <v>18</v>
      </c>
      <c r="IC123" s="21">
        <f t="shared" si="179"/>
        <v>18</v>
      </c>
      <c r="ID123" s="21">
        <f t="shared" si="179"/>
        <v>18</v>
      </c>
      <c r="IE123" s="21">
        <f t="shared" si="179"/>
        <v>24</v>
      </c>
      <c r="IF123" s="21">
        <f t="shared" si="179"/>
        <v>24</v>
      </c>
      <c r="IG123" s="21">
        <f t="shared" si="179"/>
        <v>24</v>
      </c>
      <c r="IH123" s="21">
        <f t="shared" si="179"/>
        <v>24</v>
      </c>
      <c r="II123" s="21">
        <f t="shared" si="179"/>
        <v>30</v>
      </c>
      <c r="IJ123" s="21">
        <f t="shared" si="179"/>
        <v>30</v>
      </c>
      <c r="IK123" s="21">
        <f t="shared" si="179"/>
        <v>30</v>
      </c>
      <c r="IL123" s="21">
        <f t="shared" si="179"/>
        <v>36</v>
      </c>
      <c r="IM123" s="21">
        <f t="shared" si="179"/>
        <v>36</v>
      </c>
      <c r="IN123" s="21">
        <f t="shared" si="179"/>
        <v>36</v>
      </c>
      <c r="IO123" s="21">
        <f t="shared" si="179"/>
        <v>42</v>
      </c>
      <c r="IP123" s="21">
        <f t="shared" si="179"/>
        <v>42</v>
      </c>
      <c r="IQ123" s="21">
        <f t="shared" si="179"/>
        <v>42</v>
      </c>
      <c r="IR123" s="198"/>
    </row>
    <row r="124" spans="1:252" x14ac:dyDescent="0.25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6" t="s">
        <v>722</v>
      </c>
      <c r="M124" s="11">
        <f>INDEX(cennik!$C$2:$L$529,MATCH($L124,cennik!$B$2:$B$522,0),MATCH(M$2,cennik!$C$1:$L$1,0))</f>
        <v>890504</v>
      </c>
      <c r="N124" s="11" t="str">
        <f>INDEX(cennik!$C$2:$L$529,MATCH($L124,cennik!$B$2:$B$522,0),MATCH(N$2,cennik!$C$1:$L$1,0))</f>
        <v>szt.</v>
      </c>
      <c r="O124" s="11">
        <f>SUM(C98:C113)*8</f>
        <v>0</v>
      </c>
      <c r="P124" s="34">
        <f>INDEX(cennik!$C$2:$L$529,MATCH($L124,cennik!$B$2:$B$522,0),MATCH(P$2,cennik!$C$1:$L$1,0))</f>
        <v>4.58</v>
      </c>
      <c r="Q124" s="34">
        <f t="shared" si="160"/>
        <v>0</v>
      </c>
      <c r="R124" s="35">
        <f t="shared" si="156"/>
        <v>0</v>
      </c>
      <c r="S124" s="34">
        <f t="shared" si="157"/>
        <v>4.58</v>
      </c>
      <c r="T124" s="34">
        <f t="shared" si="161"/>
        <v>0</v>
      </c>
      <c r="U124" s="34">
        <f>INDEX(cennik!$C$2:$L$529,MATCH($L124,cennik!$B$2:$B$522,0),MATCH(U$2,cennik!$C$1:$L$1,0))*O124</f>
        <v>0</v>
      </c>
      <c r="V124" s="25"/>
      <c r="W124" s="189">
        <f>(INDEX(($EL$112:$FI$115,$EL$118:$FI$121,$FL$112:$GI$115,$FL$118:$GI$121,$GS$112:$HP$116,$GS$119:$HP$123,$HT$112:$IQ$116,$HT$119:$IQ$123,$HT$126:$IQ$130),MATCH($L$145,$EK$112:$EK$115,0),MATCH(A130,$EL$111:$FI$111,0),MATCH($G$131,$AE$24:$AE$32,0)))*C130</f>
        <v>0</v>
      </c>
      <c r="X124" s="189">
        <f>(INDEX(($EL$112:$FI$115,$EL$118:$FI$121,$FL$112:$GI$115,$FL$118:$GI$121,$GS$112:$HP$116,$GS$119:$HP$123,$HT$112:$IQ$116,$HT$119:$IQ$123,$HT$126:$IQ$130),MATCH($L$142,$EK$112:$EK$115,0),MATCH(A130,$EL$111:$FI$111,0),MATCH($G$131,$AE$24:$AE$32,0)))*C130</f>
        <v>0</v>
      </c>
      <c r="Y124" s="189">
        <f>(INDEX(($EL$112:$FI$115,$EL$118:$FI$121,$FL$112:$GI$115,$FL$118:$GI$121,$GS$112:$HP$116,$GS$119:$HP$123,$HT$112:$IQ$116,$HT$119:$IQ$123,$HT$126:$IQ$130),MATCH($L$143,$EK$112:$EK$115,0),MATCH(A130,$EL$111:$FI$111,0),MATCH($G$131,$AE$24:$AE$32,0)))*C130</f>
        <v>0</v>
      </c>
      <c r="Z124" s="189">
        <f>(INDEX(($EL$112:$FI$115,$EL$118:$FI$121,$FL$112:$GI$115,$FL$118:$GI$121,$GS$112:$HP$116,$GS$119:$HP$123,$HT$112:$IQ$116,$HT$119:$IQ$123,$HT$126:$IQ$130),MATCH($L$144,$EK$112:$EK$115,0),MATCH(A130,$EL$111:$FI$111,0),MATCH($G$131,$AE$24:$AE$32,0)))*C130</f>
        <v>0</v>
      </c>
      <c r="AA124" s="21">
        <f t="shared" si="182"/>
        <v>0</v>
      </c>
      <c r="AB124" s="21">
        <f t="shared" si="183"/>
        <v>0</v>
      </c>
      <c r="AC124" s="21"/>
      <c r="AD124" s="21"/>
      <c r="AE124" s="21"/>
      <c r="AF124" s="21"/>
      <c r="AG124" s="21"/>
      <c r="AH124" s="21"/>
      <c r="AI124" s="21"/>
      <c r="AJ124" s="21"/>
      <c r="AK124" s="21"/>
      <c r="AL124" s="21"/>
      <c r="AM124" s="21"/>
      <c r="AN124" s="21"/>
      <c r="AO124" s="21">
        <f t="shared" si="184"/>
        <v>1</v>
      </c>
      <c r="AP124" s="21" t="s">
        <v>112</v>
      </c>
      <c r="AQ124" s="21" t="s">
        <v>596</v>
      </c>
      <c r="AR124" s="180" t="s">
        <v>595</v>
      </c>
      <c r="AS124" s="180" t="s">
        <v>593</v>
      </c>
      <c r="AT124" s="180" t="s">
        <v>593</v>
      </c>
      <c r="AX124" s="21"/>
      <c r="AY124" s="21"/>
      <c r="AZ124" s="21"/>
      <c r="BA124" s="21"/>
      <c r="BB124" s="21"/>
      <c r="BC124" s="21"/>
      <c r="BD124" s="21"/>
      <c r="BE124" s="21"/>
      <c r="BF124" s="21"/>
      <c r="BG124" s="21"/>
      <c r="BH124" s="21"/>
      <c r="BI124" s="21"/>
      <c r="BJ124" s="21"/>
      <c r="BK124" s="21"/>
      <c r="BL124" s="21"/>
      <c r="BM124" s="21"/>
      <c r="BN124" s="21"/>
      <c r="BO124" s="21"/>
      <c r="BP124" s="21"/>
      <c r="BQ124" s="21"/>
      <c r="BR124" s="21"/>
      <c r="BS124" s="21"/>
      <c r="BT124" s="21"/>
      <c r="BU124" s="21"/>
      <c r="BV124" s="21"/>
      <c r="BW124" s="21"/>
      <c r="BX124" s="21"/>
      <c r="BY124" s="21"/>
      <c r="BZ124" s="21"/>
      <c r="CA124" s="21"/>
      <c r="CB124" s="21"/>
      <c r="CC124" s="21"/>
      <c r="CD124" s="21"/>
      <c r="CE124" s="21"/>
      <c r="CF124" s="21"/>
      <c r="CG124" s="21"/>
      <c r="CH124" s="21"/>
      <c r="CI124" s="21"/>
      <c r="CJ124" s="21"/>
      <c r="CK124" s="21"/>
      <c r="CL124" s="21"/>
      <c r="CM124" s="21"/>
      <c r="CN124" s="21"/>
      <c r="CO124" s="21"/>
      <c r="CP124" s="21"/>
      <c r="CQ124" s="21"/>
      <c r="CR124" s="21"/>
      <c r="CS124" s="21"/>
      <c r="CT124" s="21"/>
      <c r="CU124" s="21"/>
      <c r="CV124" s="21"/>
      <c r="CW124" s="21"/>
      <c r="CX124" s="21"/>
      <c r="CY124" s="21"/>
      <c r="CZ124" s="21"/>
      <c r="DA124" s="21"/>
      <c r="DB124" s="21"/>
      <c r="DC124" s="21"/>
      <c r="DD124" s="21"/>
      <c r="DE124" s="21"/>
      <c r="DF124" s="21"/>
      <c r="DG124" s="21"/>
      <c r="DH124" s="21"/>
      <c r="DI124" s="21"/>
      <c r="DJ124" s="21"/>
      <c r="DK124" s="21"/>
      <c r="DL124" s="21"/>
      <c r="DM124" s="21"/>
      <c r="DN124" s="21"/>
      <c r="DO124" s="21"/>
      <c r="DP124" s="21"/>
      <c r="DQ124" s="87"/>
      <c r="DR124" s="87">
        <v>48</v>
      </c>
      <c r="DS124" s="87"/>
      <c r="DT124" s="21"/>
      <c r="DU124" s="21"/>
      <c r="DV124" s="21"/>
      <c r="DW124" s="21"/>
      <c r="DX124" s="21"/>
      <c r="DY124" s="21"/>
      <c r="DZ124" s="21"/>
      <c r="EA124" s="21"/>
      <c r="EB124" s="21"/>
      <c r="EC124" s="21"/>
      <c r="ED124" s="21"/>
      <c r="EE124" s="21"/>
      <c r="EF124" s="21"/>
      <c r="EG124" s="21"/>
      <c r="EH124" s="21"/>
      <c r="EI124" s="21"/>
      <c r="EJ124" s="196"/>
      <c r="EK124" s="21"/>
      <c r="EL124" s="21"/>
      <c r="EM124" s="21"/>
      <c r="EN124" s="21"/>
      <c r="EO124" s="21"/>
      <c r="EP124" s="21"/>
      <c r="EQ124" s="21"/>
      <c r="ER124" s="21"/>
      <c r="ES124" s="21"/>
      <c r="ET124" s="21"/>
      <c r="EU124" s="21"/>
      <c r="EV124" s="21"/>
      <c r="EW124" s="21"/>
      <c r="EX124" s="21"/>
      <c r="EY124" s="21"/>
      <c r="EZ124" s="21"/>
      <c r="FA124" s="21"/>
      <c r="FB124" s="21"/>
      <c r="FC124" s="21"/>
      <c r="FD124" s="21"/>
      <c r="FE124" s="21"/>
      <c r="FF124" s="21"/>
      <c r="FG124" s="21"/>
      <c r="FH124" s="21"/>
      <c r="FI124" s="21"/>
      <c r="FJ124" s="21"/>
      <c r="FK124" s="21"/>
      <c r="FL124" s="21"/>
      <c r="FM124" s="21"/>
      <c r="FN124" s="21"/>
      <c r="FO124" s="21"/>
      <c r="FP124" s="21"/>
      <c r="FQ124" s="21"/>
      <c r="FR124" s="21"/>
      <c r="FS124" s="21"/>
      <c r="FT124" s="21"/>
      <c r="FU124" s="21"/>
      <c r="FV124" s="21"/>
      <c r="FW124" s="21"/>
      <c r="FX124" s="21"/>
      <c r="FY124" s="21"/>
      <c r="FZ124" s="21"/>
      <c r="GA124" s="21"/>
      <c r="GB124" s="21"/>
      <c r="GC124" s="21"/>
      <c r="GD124" s="21"/>
      <c r="GE124" s="21"/>
      <c r="GF124" s="21"/>
      <c r="GG124" s="21"/>
      <c r="GH124" s="21"/>
      <c r="GI124" s="21"/>
      <c r="GJ124" s="21"/>
      <c r="GK124" s="21"/>
      <c r="GL124" s="21"/>
      <c r="GM124" s="21"/>
      <c r="GN124" s="21"/>
      <c r="GO124" s="21"/>
      <c r="GP124" s="21"/>
      <c r="GQ124" s="21"/>
      <c r="GR124" s="21"/>
      <c r="GS124" s="21"/>
      <c r="GT124" s="21"/>
      <c r="GU124" s="21"/>
      <c r="GV124" s="21"/>
      <c r="GW124" s="21"/>
      <c r="GX124" s="21"/>
      <c r="GY124" s="21"/>
      <c r="GZ124" s="21"/>
      <c r="HA124" s="21"/>
      <c r="HB124" s="21"/>
      <c r="HC124" s="21"/>
      <c r="HD124" s="21"/>
      <c r="HE124" s="21"/>
      <c r="HF124" s="21"/>
      <c r="HG124" s="21"/>
      <c r="HH124" s="21"/>
      <c r="IR124" s="198"/>
    </row>
    <row r="125" spans="1:252" x14ac:dyDescent="0.25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6" t="s">
        <v>316</v>
      </c>
      <c r="M125" s="1"/>
      <c r="N125" s="1"/>
      <c r="O125" s="1"/>
      <c r="P125" s="1"/>
      <c r="Q125" s="1"/>
      <c r="R125" s="1"/>
      <c r="S125" s="34"/>
      <c r="T125" s="1"/>
      <c r="U125" s="1"/>
      <c r="V125" s="25"/>
      <c r="W125" s="189">
        <f>(INDEX(($EL$112:$FI$115,$EL$118:$FI$121,$FL$112:$GI$115,$FL$118:$GI$121,$GS$112:$HP$116,$GS$119:$HP$123,$HT$112:$IQ$116,$HT$119:$IQ$123,$HT$126:$IQ$130),MATCH($L$145,$EK$112:$EK$115,0),MATCH(A131,$EL$111:$FI$111,0),MATCH($G$131,$AE$24:$AE$32,0)))*C131</f>
        <v>0</v>
      </c>
      <c r="X125" s="189">
        <f>(INDEX(($EL$112:$FI$115,$EL$118:$FI$121,$FL$112:$GI$115,$FL$118:$GI$121,$GS$112:$HP$116,$GS$119:$HP$123,$HT$112:$IQ$116,$HT$119:$IQ$123,$HT$126:$IQ$130),MATCH($L$142,$EK$112:$EK$115,0),MATCH(A131,$EL$111:$FI$111,0),MATCH($G$131,$AE$24:$AE$32,0)))*C131</f>
        <v>0</v>
      </c>
      <c r="Y125" s="189">
        <f>(INDEX(($EL$112:$FI$115,$EL$118:$FI$121,$FL$112:$GI$115,$FL$118:$GI$121,$GS$112:$HP$116,$GS$119:$HP$123,$HT$112:$IQ$116,$HT$119:$IQ$123,$HT$126:$IQ$130),MATCH($L$143,$EK$112:$EK$115,0),MATCH(A131,$EL$111:$FI$111,0),MATCH($G$131,$AE$24:$AE$32,0)))*C131</f>
        <v>0</v>
      </c>
      <c r="Z125" s="189">
        <f>(INDEX(($EL$112:$FI$115,$EL$118:$FI$121,$FL$112:$GI$115,$FL$118:$GI$121,$GS$112:$HP$116,$GS$119:$HP$123,$HT$112:$IQ$116,$HT$119:$IQ$123,$HT$126:$IQ$130),MATCH($L$144,$EK$112:$EK$115,0),MATCH(A131,$EL$111:$FI$111,0),MATCH($G$131,$AE$24:$AE$32,0)))*C131</f>
        <v>0</v>
      </c>
      <c r="AA125" s="21">
        <f t="shared" si="182"/>
        <v>0</v>
      </c>
      <c r="AB125" s="21">
        <f t="shared" si="183"/>
        <v>0</v>
      </c>
      <c r="AC125" s="21"/>
      <c r="AD125" s="21"/>
      <c r="AE125" s="21"/>
      <c r="AF125" s="21"/>
      <c r="AG125" s="21"/>
      <c r="AH125" s="21"/>
      <c r="AI125" s="21"/>
      <c r="AJ125" s="21"/>
      <c r="AK125" s="21"/>
      <c r="AL125" s="21"/>
      <c r="AM125" s="21"/>
      <c r="AN125" s="21"/>
      <c r="AO125" s="21">
        <f t="shared" si="184"/>
        <v>1</v>
      </c>
      <c r="AP125" s="21" t="s">
        <v>132</v>
      </c>
      <c r="AQ125" s="21" t="s">
        <v>596</v>
      </c>
      <c r="AR125" s="180" t="s">
        <v>595</v>
      </c>
      <c r="AS125" s="180" t="s">
        <v>594</v>
      </c>
      <c r="AT125" s="180" t="s">
        <v>594</v>
      </c>
      <c r="AX125" s="21"/>
      <c r="AY125" s="21"/>
      <c r="AZ125" s="21"/>
      <c r="BA125" s="21"/>
      <c r="BB125" s="21"/>
      <c r="BC125" s="21"/>
      <c r="BD125" s="21"/>
      <c r="BE125" s="21"/>
      <c r="BF125" s="21"/>
      <c r="BG125" s="21"/>
      <c r="BH125" s="21"/>
      <c r="BI125" s="21"/>
      <c r="BJ125" s="21"/>
      <c r="BK125" s="21"/>
      <c r="BL125" s="21"/>
      <c r="BM125" s="21"/>
      <c r="BN125" s="21"/>
      <c r="BO125" s="21"/>
      <c r="BP125" s="21"/>
      <c r="BQ125" s="21"/>
      <c r="BR125" s="21"/>
      <c r="BS125" s="21"/>
      <c r="BT125" s="21"/>
      <c r="BU125" s="21"/>
      <c r="BV125" s="21"/>
      <c r="BW125" s="21"/>
      <c r="BX125" s="21"/>
      <c r="BY125" s="21"/>
      <c r="BZ125" s="21"/>
      <c r="CA125" s="21"/>
      <c r="CB125" s="21"/>
      <c r="CC125" s="21"/>
      <c r="CD125" s="21"/>
      <c r="CE125" s="21"/>
      <c r="CF125" s="21"/>
      <c r="CG125" s="21"/>
      <c r="CH125" s="21"/>
      <c r="CI125" s="21"/>
      <c r="CJ125" s="21"/>
      <c r="CK125" s="21"/>
      <c r="CL125" s="21"/>
      <c r="CM125" s="21"/>
      <c r="CN125" s="21"/>
      <c r="CO125" s="21"/>
      <c r="CP125" s="21"/>
      <c r="CQ125" s="21"/>
      <c r="CR125" s="21"/>
      <c r="CS125" s="21"/>
      <c r="CT125" s="21"/>
      <c r="CU125" s="21"/>
      <c r="CV125" s="21"/>
      <c r="CW125" s="21"/>
      <c r="CX125" s="21"/>
      <c r="CY125" s="21"/>
      <c r="CZ125" s="21"/>
      <c r="DA125" s="21"/>
      <c r="DB125" s="21"/>
      <c r="DC125" s="21"/>
      <c r="DD125" s="21"/>
      <c r="DE125" s="21"/>
      <c r="DF125" s="21"/>
      <c r="DG125" s="21"/>
      <c r="DH125" s="21"/>
      <c r="DI125" s="21"/>
      <c r="DJ125" s="21"/>
      <c r="DK125" s="21"/>
      <c r="DL125" s="21"/>
      <c r="DM125" s="21"/>
      <c r="DN125" s="21"/>
      <c r="DO125" s="21"/>
      <c r="DP125" s="21"/>
      <c r="DQ125" s="87"/>
      <c r="DR125" s="87">
        <v>51</v>
      </c>
      <c r="DS125" s="87"/>
      <c r="DT125" s="21"/>
      <c r="DU125" s="21"/>
      <c r="DV125" s="21"/>
      <c r="DW125" s="21"/>
      <c r="DX125" s="21"/>
      <c r="DY125" s="21"/>
      <c r="DZ125" s="21"/>
      <c r="EA125" s="21"/>
      <c r="EB125" s="21"/>
      <c r="EC125" s="21"/>
      <c r="ED125" s="21"/>
      <c r="EE125" s="21"/>
      <c r="EF125" s="21"/>
      <c r="EG125" s="21"/>
      <c r="EH125" s="21"/>
      <c r="EI125" s="21"/>
      <c r="EJ125" s="196"/>
      <c r="EK125" s="21"/>
      <c r="EL125" s="21"/>
      <c r="EM125" s="21"/>
      <c r="EN125" s="21"/>
      <c r="EO125" s="21"/>
      <c r="EP125" s="21"/>
      <c r="EQ125" s="21"/>
      <c r="ER125" s="21"/>
      <c r="ES125" s="21"/>
      <c r="ET125" s="21"/>
      <c r="EU125" s="21"/>
      <c r="EV125" s="21"/>
      <c r="EW125" s="21"/>
      <c r="EX125" s="21"/>
      <c r="EY125" s="21"/>
      <c r="EZ125" s="21"/>
      <c r="FA125" s="21"/>
      <c r="FB125" s="21"/>
      <c r="FC125" s="21"/>
      <c r="FD125" s="21"/>
      <c r="FE125" s="21"/>
      <c r="FF125" s="21"/>
      <c r="FG125" s="21"/>
      <c r="FH125" s="21"/>
      <c r="FI125" s="21"/>
      <c r="FJ125" s="21"/>
      <c r="FK125" s="21"/>
      <c r="FL125" s="21"/>
      <c r="FM125" s="21"/>
      <c r="FN125" s="21"/>
      <c r="FO125" s="21"/>
      <c r="FP125" s="21"/>
      <c r="FQ125" s="21"/>
      <c r="FR125" s="21"/>
      <c r="FS125" s="21"/>
      <c r="FT125" s="21"/>
      <c r="FU125" s="21"/>
      <c r="FV125" s="21"/>
      <c r="FW125" s="21"/>
      <c r="FX125" s="21"/>
      <c r="FY125" s="21"/>
      <c r="FZ125" s="21"/>
      <c r="GA125" s="21"/>
      <c r="GB125" s="21"/>
      <c r="GC125" s="21"/>
      <c r="GD125" s="21"/>
      <c r="GE125" s="21"/>
      <c r="GF125" s="21"/>
      <c r="GG125" s="21"/>
      <c r="GH125" s="21"/>
      <c r="GI125" s="21"/>
      <c r="GJ125" s="21"/>
      <c r="GK125" s="21"/>
      <c r="GL125" s="21"/>
      <c r="GM125" s="21"/>
      <c r="GN125" s="21"/>
      <c r="GO125" s="21"/>
      <c r="GP125" s="21"/>
      <c r="GQ125" s="21"/>
      <c r="GR125" s="21"/>
      <c r="GS125" s="21"/>
      <c r="GT125" s="21"/>
      <c r="GU125" s="21"/>
      <c r="GV125" s="21"/>
      <c r="GW125" s="21"/>
      <c r="GX125" s="21"/>
      <c r="GY125" s="21"/>
      <c r="GZ125" s="21"/>
      <c r="HA125" s="21"/>
      <c r="HB125" s="21"/>
      <c r="HC125" s="21"/>
      <c r="HD125" s="21"/>
      <c r="HE125" s="21"/>
      <c r="HF125" s="21"/>
      <c r="HG125" s="21"/>
      <c r="HH125" s="21"/>
      <c r="HS125" s="180" t="s">
        <v>767</v>
      </c>
      <c r="HT125" s="180">
        <v>0</v>
      </c>
      <c r="HU125" s="180">
        <v>9</v>
      </c>
      <c r="HV125" s="180">
        <v>12</v>
      </c>
      <c r="HW125" s="180">
        <v>15</v>
      </c>
      <c r="HX125" s="180">
        <v>18</v>
      </c>
      <c r="HY125" s="180">
        <v>21</v>
      </c>
      <c r="HZ125" s="180">
        <v>24</v>
      </c>
      <c r="IA125" s="180">
        <v>27</v>
      </c>
      <c r="IB125" s="180">
        <v>30</v>
      </c>
      <c r="IC125" s="180">
        <v>33</v>
      </c>
      <c r="ID125" s="180">
        <v>36</v>
      </c>
      <c r="IE125" s="180">
        <v>39</v>
      </c>
      <c r="IF125" s="180">
        <v>42</v>
      </c>
      <c r="IG125" s="180">
        <v>45</v>
      </c>
      <c r="IH125" s="180">
        <v>48</v>
      </c>
      <c r="II125" s="180">
        <v>51</v>
      </c>
      <c r="IJ125" s="180">
        <v>54</v>
      </c>
      <c r="IK125" s="180">
        <v>57</v>
      </c>
      <c r="IL125" s="180">
        <v>60</v>
      </c>
      <c r="IM125" s="180">
        <v>63</v>
      </c>
      <c r="IN125" s="180">
        <v>66</v>
      </c>
      <c r="IO125" s="180">
        <v>69</v>
      </c>
      <c r="IP125" s="180">
        <v>72</v>
      </c>
      <c r="IQ125" s="180">
        <v>75</v>
      </c>
      <c r="IR125" s="198"/>
    </row>
    <row r="126" spans="1:252" x14ac:dyDescent="0.25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6" t="str">
        <f>IF(E109=AJ103,"CWT70H50/3,2NMC",IF(E109=AL103,"CWT70H50/3NMC",IF(E109=AK104,"CWT70H50/2,4NMC",IF(E109=AN105,"CWT70H50/2NMC","-------"))))</f>
        <v>CWT70H50/3,2NMC</v>
      </c>
      <c r="M126" s="11">
        <f>INDEX(cennik!$C$2:$L$529,MATCH($L126,cennik!$B$2:$B$522,0),MATCH(M$2,cennik!$C$1:$L$1,0))</f>
        <v>867832</v>
      </c>
      <c r="N126" s="11" t="str">
        <f>INDEX(cennik!$C$2:$L$529,MATCH($L126,cennik!$B$2:$B$522,0),MATCH(N$2,cennik!$C$1:$L$1,0))</f>
        <v>szt.</v>
      </c>
      <c r="O126" s="11">
        <f>E102*2</f>
        <v>0</v>
      </c>
      <c r="P126" s="34">
        <f>INDEX(cennik!$C$2:$L$529,MATCH($L126,cennik!$B$2:$B$522,0),MATCH(P$2,cennik!$C$1:$L$1,0))</f>
        <v>161.94999999999999</v>
      </c>
      <c r="Q126" s="34">
        <f>O126*P126</f>
        <v>0</v>
      </c>
      <c r="R126" s="35">
        <f>$E$103</f>
        <v>0</v>
      </c>
      <c r="S126" s="34">
        <f>P126*((100-$E$103)/100)</f>
        <v>161.94999999999999</v>
      </c>
      <c r="T126" s="34">
        <f>O126*S126</f>
        <v>0</v>
      </c>
      <c r="U126" s="34">
        <f>INDEX(cennik!$C$2:$L$529,MATCH($L126,cennik!$B$2:$B$522,0),MATCH(U$2,cennik!$C$1:$L$1,0))*O126</f>
        <v>0</v>
      </c>
      <c r="V126" s="25"/>
      <c r="W126" s="189">
        <f>(INDEX(($EL$112:$FI$115,$EL$118:$FI$121,$FL$112:$GI$115,$FL$118:$GI$121,$GS$112:$HP$116,$GS$119:$HP$123,$HT$112:$IQ$116,$HT$119:$IQ$123,$HT$126:$IQ$130),MATCH($L$145,$EK$112:$EK$115,0),MATCH(A132,$EL$111:$FI$111,0),MATCH($G$131,$AE$24:$AE$32,0)))*C132</f>
        <v>0</v>
      </c>
      <c r="X126" s="189">
        <f>(INDEX(($EL$112:$FI$115,$EL$118:$FI$121,$FL$112:$GI$115,$FL$118:$GI$121,$GS$112:$HP$116,$GS$119:$HP$123,$HT$112:$IQ$116,$HT$119:$IQ$123,$HT$126:$IQ$130),MATCH($L$142,$EK$112:$EK$115,0),MATCH(A132,$EL$111:$FI$111,0),MATCH($G$131,$AE$24:$AE$32,0)))*C132</f>
        <v>0</v>
      </c>
      <c r="Y126" s="189">
        <f>(INDEX(($EL$112:$FI$115,$EL$118:$FI$121,$FL$112:$GI$115,$FL$118:$GI$121,$GS$112:$HP$116,$GS$119:$HP$123,$HT$112:$IQ$116,$HT$119:$IQ$123,$HT$126:$IQ$130),MATCH($L$143,$EK$112:$EK$115,0),MATCH(A132,$EL$111:$FI$111,0),MATCH($G$131,$AE$24:$AE$32,0)))*C132</f>
        <v>0</v>
      </c>
      <c r="Z126" s="189">
        <f>(INDEX(($EL$112:$FI$115,$EL$118:$FI$121,$FL$112:$GI$115,$FL$118:$GI$121,$GS$112:$HP$116,$GS$119:$HP$123,$HT$112:$IQ$116,$HT$119:$IQ$123,$HT$126:$IQ$130),MATCH($L$144,$EK$112:$EK$115,0),MATCH(A132,$EL$111:$FI$111,0),MATCH($G$131,$AE$24:$AE$32,0)))*C132</f>
        <v>0</v>
      </c>
      <c r="AA126" s="21">
        <f t="shared" si="182"/>
        <v>0</v>
      </c>
      <c r="AB126" s="21">
        <f t="shared" si="183"/>
        <v>0</v>
      </c>
      <c r="AC126" s="21"/>
      <c r="AD126" s="21"/>
      <c r="AE126" s="21"/>
      <c r="AF126" s="21"/>
      <c r="AG126" s="21"/>
      <c r="AH126" s="21"/>
      <c r="AI126" s="21"/>
      <c r="AJ126" s="21"/>
      <c r="AK126" s="21"/>
      <c r="AL126" s="21"/>
      <c r="AM126" s="21"/>
      <c r="AN126" s="21"/>
      <c r="AO126" s="21">
        <f t="shared" si="184"/>
        <v>1</v>
      </c>
      <c r="AP126" s="21" t="s">
        <v>470</v>
      </c>
      <c r="AQ126" s="21" t="s">
        <v>596</v>
      </c>
      <c r="AR126" s="180" t="s">
        <v>595</v>
      </c>
      <c r="AS126" s="180" t="s">
        <v>594</v>
      </c>
      <c r="AT126" s="180" t="s">
        <v>594</v>
      </c>
      <c r="AX126" s="21"/>
      <c r="AY126" s="21"/>
      <c r="AZ126" s="21"/>
      <c r="BA126" s="21"/>
      <c r="BB126" s="21"/>
      <c r="BC126" s="21"/>
      <c r="BD126" s="21"/>
      <c r="BE126" s="21"/>
      <c r="BF126" s="21"/>
      <c r="BG126" s="21"/>
      <c r="BH126" s="21"/>
      <c r="BI126" s="21"/>
      <c r="BJ126" s="21"/>
      <c r="BK126" s="21"/>
      <c r="BL126" s="21"/>
      <c r="BM126" s="21"/>
      <c r="BN126" s="21"/>
      <c r="BO126" s="21"/>
      <c r="BP126" s="21"/>
      <c r="BQ126" s="21"/>
      <c r="BR126" s="21"/>
      <c r="BS126" s="21"/>
      <c r="BT126" s="21"/>
      <c r="BU126" s="21"/>
      <c r="BV126" s="21"/>
      <c r="BW126" s="21"/>
      <c r="BX126" s="21"/>
      <c r="BY126" s="21"/>
      <c r="BZ126" s="21"/>
      <c r="CA126" s="21"/>
      <c r="CB126" s="21"/>
      <c r="CC126" s="21"/>
      <c r="CD126" s="21"/>
      <c r="CE126" s="21"/>
      <c r="CF126" s="21"/>
      <c r="CG126" s="21"/>
      <c r="CH126" s="21"/>
      <c r="CI126" s="21"/>
      <c r="CJ126" s="21"/>
      <c r="CK126" s="21"/>
      <c r="CL126" s="21"/>
      <c r="CM126" s="21"/>
      <c r="CN126" s="21"/>
      <c r="CO126" s="21"/>
      <c r="CP126" s="21"/>
      <c r="CQ126" s="21"/>
      <c r="CR126" s="21"/>
      <c r="CS126" s="21"/>
      <c r="CT126" s="21"/>
      <c r="CU126" s="21"/>
      <c r="CV126" s="21"/>
      <c r="CW126" s="21"/>
      <c r="CX126" s="21"/>
      <c r="CY126" s="21"/>
      <c r="CZ126" s="21"/>
      <c r="DA126" s="21"/>
      <c r="DB126" s="21"/>
      <c r="DC126" s="21"/>
      <c r="DD126" s="21"/>
      <c r="DE126" s="21"/>
      <c r="DF126" s="21"/>
      <c r="DG126" s="21"/>
      <c r="DH126" s="21"/>
      <c r="DI126" s="21"/>
      <c r="DJ126" s="21"/>
      <c r="DK126" s="21"/>
      <c r="DL126" s="21"/>
      <c r="DM126" s="21"/>
      <c r="DN126" s="21"/>
      <c r="DO126" s="21"/>
      <c r="DP126" s="21"/>
      <c r="DQ126" s="87"/>
      <c r="DR126" s="87">
        <v>54</v>
      </c>
      <c r="DS126" s="87"/>
      <c r="DT126" s="21"/>
      <c r="DU126" s="21"/>
      <c r="DV126" s="21"/>
      <c r="DW126" s="21"/>
      <c r="DX126" s="21"/>
      <c r="DY126" s="21"/>
      <c r="DZ126" s="21"/>
      <c r="EA126" s="21"/>
      <c r="EB126" s="21"/>
      <c r="EC126" s="21"/>
      <c r="ED126" s="21"/>
      <c r="EE126" s="21"/>
      <c r="EF126" s="21"/>
      <c r="EG126" s="21"/>
      <c r="EH126" s="21"/>
      <c r="EI126" s="21"/>
      <c r="EJ126" s="196"/>
      <c r="EK126" s="21"/>
      <c r="EL126" s="21"/>
      <c r="EM126" s="21"/>
      <c r="EN126" s="21"/>
      <c r="EO126" s="21"/>
      <c r="EP126" s="21"/>
      <c r="EQ126" s="21"/>
      <c r="ER126" s="21"/>
      <c r="ES126" s="21"/>
      <c r="ET126" s="21"/>
      <c r="EU126" s="21"/>
      <c r="EV126" s="21"/>
      <c r="EW126" s="21"/>
      <c r="EX126" s="21"/>
      <c r="EY126" s="21"/>
      <c r="EZ126" s="21"/>
      <c r="FA126" s="21"/>
      <c r="FB126" s="21"/>
      <c r="FC126" s="21"/>
      <c r="FD126" s="21"/>
      <c r="FE126" s="21"/>
      <c r="FF126" s="21"/>
      <c r="FG126" s="21"/>
      <c r="FH126" s="21"/>
      <c r="FI126" s="21"/>
      <c r="FJ126" s="21"/>
      <c r="FK126" s="21"/>
      <c r="FL126" s="21"/>
      <c r="FM126" s="21"/>
      <c r="FN126" s="21"/>
      <c r="FO126" s="21"/>
      <c r="FP126" s="21"/>
      <c r="FQ126" s="21"/>
      <c r="FR126" s="21"/>
      <c r="FS126" s="21"/>
      <c r="FT126" s="21"/>
      <c r="FU126" s="21"/>
      <c r="FV126" s="21"/>
      <c r="FW126" s="21"/>
      <c r="FX126" s="21"/>
      <c r="FY126" s="21"/>
      <c r="FZ126" s="21"/>
      <c r="GA126" s="21"/>
      <c r="GB126" s="21"/>
      <c r="GC126" s="21"/>
      <c r="GD126" s="21"/>
      <c r="GE126" s="21"/>
      <c r="GF126" s="21"/>
      <c r="GG126" s="21"/>
      <c r="GH126" s="21"/>
      <c r="GI126" s="21"/>
      <c r="GJ126" s="21"/>
      <c r="GK126" s="21"/>
      <c r="GL126" s="21"/>
      <c r="GM126" s="21"/>
      <c r="GN126" s="21"/>
      <c r="GO126" s="21"/>
      <c r="GP126" s="21"/>
      <c r="GQ126" s="21"/>
      <c r="GR126" s="21"/>
      <c r="GS126" s="21"/>
      <c r="GT126" s="21"/>
      <c r="GU126" s="21"/>
      <c r="GV126" s="21"/>
      <c r="GW126" s="21"/>
      <c r="GX126" s="21"/>
      <c r="GY126" s="21"/>
      <c r="GZ126" s="21"/>
      <c r="HA126" s="21"/>
      <c r="HB126" s="21"/>
      <c r="HC126" s="21"/>
      <c r="HD126" s="21"/>
      <c r="HE126" s="21"/>
      <c r="HF126" s="21"/>
      <c r="HG126" s="21"/>
      <c r="HH126" s="21"/>
      <c r="HS126" s="180" t="s">
        <v>586</v>
      </c>
      <c r="HT126" s="180">
        <v>0</v>
      </c>
      <c r="HU126" s="21">
        <f>HU99/4*6</f>
        <v>0</v>
      </c>
      <c r="HV126" s="21">
        <f t="shared" ref="HV126:IQ126" si="185">HV99/4*6</f>
        <v>6</v>
      </c>
      <c r="HW126" s="21">
        <f t="shared" si="185"/>
        <v>0</v>
      </c>
      <c r="HX126" s="21">
        <f t="shared" si="185"/>
        <v>0</v>
      </c>
      <c r="HY126" s="21">
        <f t="shared" si="185"/>
        <v>0</v>
      </c>
      <c r="HZ126" s="21">
        <f t="shared" si="185"/>
        <v>0</v>
      </c>
      <c r="IA126" s="21">
        <f t="shared" si="185"/>
        <v>0</v>
      </c>
      <c r="IB126" s="21">
        <f t="shared" si="185"/>
        <v>0</v>
      </c>
      <c r="IC126" s="21">
        <f t="shared" si="185"/>
        <v>0</v>
      </c>
      <c r="ID126" s="21">
        <f t="shared" si="185"/>
        <v>0</v>
      </c>
      <c r="IE126" s="21">
        <f t="shared" si="185"/>
        <v>0</v>
      </c>
      <c r="IF126" s="21">
        <f t="shared" si="185"/>
        <v>0</v>
      </c>
      <c r="IG126" s="21">
        <f t="shared" si="185"/>
        <v>0</v>
      </c>
      <c r="IH126" s="21">
        <f t="shared" si="185"/>
        <v>0</v>
      </c>
      <c r="II126" s="21">
        <f t="shared" si="185"/>
        <v>0</v>
      </c>
      <c r="IJ126" s="21">
        <f t="shared" si="185"/>
        <v>0</v>
      </c>
      <c r="IK126" s="21">
        <f t="shared" si="185"/>
        <v>0</v>
      </c>
      <c r="IL126" s="21">
        <f t="shared" si="185"/>
        <v>0</v>
      </c>
      <c r="IM126" s="21">
        <f t="shared" si="185"/>
        <v>0</v>
      </c>
      <c r="IN126" s="21">
        <f t="shared" si="185"/>
        <v>0</v>
      </c>
      <c r="IO126" s="21">
        <f t="shared" si="185"/>
        <v>0</v>
      </c>
      <c r="IP126" s="21">
        <f t="shared" si="185"/>
        <v>0</v>
      </c>
      <c r="IQ126" s="21">
        <f t="shared" si="185"/>
        <v>0</v>
      </c>
      <c r="IR126" s="198"/>
    </row>
    <row r="127" spans="1:252" x14ac:dyDescent="0.25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6" t="s">
        <v>591</v>
      </c>
      <c r="M127" s="11">
        <f>INDEX(cennik!$C$2:$L$529,MATCH($L127,cennik!$B$2:$B$522,0),MATCH(M$2,cennik!$C$1:$L$1,0))</f>
        <v>867810</v>
      </c>
      <c r="N127" s="11" t="str">
        <f>INDEX(cennik!$C$2:$L$529,MATCH($L127,cennik!$B$2:$B$522,0),MATCH(N$2,cennik!$C$1:$L$1,0))</f>
        <v>szt.</v>
      </c>
      <c r="O127" s="11">
        <f>E102*4</f>
        <v>0</v>
      </c>
      <c r="P127" s="34">
        <f>INDEX(cennik!$C$2:$L$529,MATCH($L127,cennik!$B$2:$B$522,0),MATCH(P$2,cennik!$C$1:$L$1,0))</f>
        <v>50.61</v>
      </c>
      <c r="Q127" s="34">
        <f>O127*P127</f>
        <v>0</v>
      </c>
      <c r="R127" s="35">
        <f>$E$103</f>
        <v>0</v>
      </c>
      <c r="S127" s="34">
        <f>P127*((100-$E$103)/100)</f>
        <v>50.61</v>
      </c>
      <c r="T127" s="34">
        <f>O127*S127</f>
        <v>0</v>
      </c>
      <c r="U127" s="34">
        <f>INDEX(cennik!$C$2:$L$529,MATCH($L127,cennik!$B$2:$B$522,0),MATCH(U$2,cennik!$C$1:$L$1,0))*O127</f>
        <v>0</v>
      </c>
      <c r="V127" s="25"/>
      <c r="W127" s="189">
        <f>(INDEX(($EL$112:$FI$115,$EL$118:$FI$121,$FL$112:$GI$115,$FL$118:$GI$121,$GS$112:$HP$116,$GS$119:$HP$123,$HT$112:$IQ$116,$HT$119:$IQ$123,$HT$126:$IQ$130),MATCH($L$145,$EK$112:$EK$115,0),MATCH(A133,$EL$111:$FI$111,0),MATCH($G$131,$AE$24:$AE$32,0)))*C133</f>
        <v>0</v>
      </c>
      <c r="X127" s="189">
        <f>(INDEX(($EL$112:$FI$115,$EL$118:$FI$121,$FL$112:$GI$115,$FL$118:$GI$121,$GS$112:$HP$116,$GS$119:$HP$123,$HT$112:$IQ$116,$HT$119:$IQ$123,$HT$126:$IQ$130),MATCH($L$142,$EK$112:$EK$115,0),MATCH(A133,$EL$111:$FI$111,0),MATCH($G$131,$AE$24:$AE$32,0)))*C133</f>
        <v>0</v>
      </c>
      <c r="Y127" s="189">
        <f>(INDEX(($EL$112:$FI$115,$EL$118:$FI$121,$FL$112:$GI$115,$FL$118:$GI$121,$GS$112:$HP$116,$GS$119:$HP$123,$HT$112:$IQ$116,$HT$119:$IQ$123,$HT$126:$IQ$130),MATCH($L$143,$EK$112:$EK$115,0),MATCH(A133,$EL$111:$FI$111,0),MATCH($G$131,$AE$24:$AE$32,0)))*C133</f>
        <v>0</v>
      </c>
      <c r="Z127" s="189">
        <f>(INDEX(($EL$112:$FI$115,$EL$118:$FI$121,$FL$112:$GI$115,$FL$118:$GI$121,$GS$112:$HP$116,$GS$119:$HP$123,$HT$112:$IQ$116,$HT$119:$IQ$123,$HT$126:$IQ$130),MATCH($L$144,$EK$112:$EK$115,0),MATCH(A133,$EL$111:$FI$111,0),MATCH($G$131,$AE$24:$AE$32,0)))*C133</f>
        <v>0</v>
      </c>
      <c r="AA127" s="21">
        <f t="shared" si="182"/>
        <v>0</v>
      </c>
      <c r="AB127" s="21">
        <f t="shared" si="183"/>
        <v>0</v>
      </c>
      <c r="AC127" s="21"/>
      <c r="AD127" s="21"/>
      <c r="AE127" s="21"/>
      <c r="AF127" s="21"/>
      <c r="AG127" s="21"/>
      <c r="AH127" s="21"/>
      <c r="AI127" s="21"/>
      <c r="AJ127" s="21"/>
      <c r="AK127" s="21"/>
      <c r="AL127" s="21"/>
      <c r="AM127" s="21"/>
      <c r="AN127" s="21"/>
      <c r="AO127" s="21">
        <f t="shared" si="184"/>
        <v>1</v>
      </c>
      <c r="AP127" s="21" t="s">
        <v>472</v>
      </c>
      <c r="AQ127" s="21" t="s">
        <v>596</v>
      </c>
      <c r="AR127" s="180" t="s">
        <v>595</v>
      </c>
      <c r="AS127" s="180" t="s">
        <v>594</v>
      </c>
      <c r="AT127" s="180" t="s">
        <v>594</v>
      </c>
      <c r="AX127" s="21"/>
      <c r="AY127" s="21"/>
      <c r="AZ127" s="21"/>
      <c r="BA127" s="21"/>
      <c r="BB127" s="21"/>
      <c r="BC127" s="21"/>
      <c r="BD127" s="21"/>
      <c r="BE127" s="21"/>
      <c r="BF127" s="21"/>
      <c r="BG127" s="21"/>
      <c r="BH127" s="21"/>
      <c r="BI127" s="21"/>
      <c r="BJ127" s="21"/>
      <c r="BK127" s="21"/>
      <c r="BL127" s="21"/>
      <c r="BM127" s="21"/>
      <c r="BN127" s="21"/>
      <c r="BO127" s="21"/>
      <c r="BP127" s="21"/>
      <c r="BQ127" s="21"/>
      <c r="BR127" s="21"/>
      <c r="BS127" s="21"/>
      <c r="BT127" s="21"/>
      <c r="BU127" s="21"/>
      <c r="BV127" s="21"/>
      <c r="BW127" s="21"/>
      <c r="BX127" s="21"/>
      <c r="BY127" s="21"/>
      <c r="BZ127" s="21"/>
      <c r="CA127" s="21"/>
      <c r="CB127" s="21"/>
      <c r="CC127" s="21"/>
      <c r="CD127" s="21"/>
      <c r="CE127" s="21"/>
      <c r="CF127" s="21"/>
      <c r="CG127" s="21"/>
      <c r="CH127" s="21"/>
      <c r="CI127" s="21"/>
      <c r="CJ127" s="21"/>
      <c r="CK127" s="21"/>
      <c r="CL127" s="21"/>
      <c r="CM127" s="21"/>
      <c r="CN127" s="21"/>
      <c r="CO127" s="21"/>
      <c r="CP127" s="21"/>
      <c r="CQ127" s="21"/>
      <c r="CR127" s="21"/>
      <c r="CS127" s="21"/>
      <c r="CT127" s="21"/>
      <c r="CU127" s="21"/>
      <c r="CV127" s="21"/>
      <c r="CW127" s="21"/>
      <c r="CX127" s="21"/>
      <c r="CY127" s="21"/>
      <c r="CZ127" s="21"/>
      <c r="DA127" s="21"/>
      <c r="DB127" s="21"/>
      <c r="DC127" s="21"/>
      <c r="DD127" s="21"/>
      <c r="DE127" s="21"/>
      <c r="DF127" s="21"/>
      <c r="DG127" s="21"/>
      <c r="DH127" s="21"/>
      <c r="DI127" s="21"/>
      <c r="DJ127" s="21"/>
      <c r="DK127" s="21"/>
      <c r="DL127" s="21"/>
      <c r="DM127" s="21"/>
      <c r="DN127" s="21"/>
      <c r="DO127" s="21"/>
      <c r="DP127" s="21"/>
      <c r="DQ127" s="87"/>
      <c r="DR127" s="87">
        <v>57</v>
      </c>
      <c r="DS127" s="87"/>
      <c r="DT127" s="21"/>
      <c r="DU127" s="21"/>
      <c r="DV127" s="21"/>
      <c r="DW127" s="21"/>
      <c r="DX127" s="21"/>
      <c r="DY127" s="21"/>
      <c r="DZ127" s="21"/>
      <c r="EA127" s="21"/>
      <c r="EB127" s="21"/>
      <c r="EC127" s="21"/>
      <c r="ED127" s="21"/>
      <c r="EE127" s="21"/>
      <c r="EF127" s="21"/>
      <c r="EG127" s="21"/>
      <c r="EH127" s="21"/>
      <c r="EI127" s="21"/>
      <c r="EJ127" s="196"/>
      <c r="EK127" s="21"/>
      <c r="EL127" s="21"/>
      <c r="EM127" s="21"/>
      <c r="EN127" s="21"/>
      <c r="EO127" s="21"/>
      <c r="EP127" s="21"/>
      <c r="EQ127" s="21"/>
      <c r="ER127" s="21"/>
      <c r="ES127" s="21"/>
      <c r="ET127" s="21"/>
      <c r="EU127" s="21"/>
      <c r="EV127" s="21"/>
      <c r="EW127" s="21"/>
      <c r="EX127" s="21"/>
      <c r="EY127" s="21"/>
      <c r="EZ127" s="21"/>
      <c r="FA127" s="21"/>
      <c r="FB127" s="21"/>
      <c r="FC127" s="21"/>
      <c r="FD127" s="21"/>
      <c r="FE127" s="21"/>
      <c r="FF127" s="21"/>
      <c r="FG127" s="21"/>
      <c r="FH127" s="21"/>
      <c r="FI127" s="21"/>
      <c r="FJ127" s="21"/>
      <c r="FK127" s="21"/>
      <c r="FL127" s="21"/>
      <c r="FM127" s="21"/>
      <c r="FN127" s="21"/>
      <c r="FO127" s="21"/>
      <c r="FP127" s="21"/>
      <c r="FQ127" s="21"/>
      <c r="FR127" s="21"/>
      <c r="FS127" s="21"/>
      <c r="FT127" s="21"/>
      <c r="FU127" s="21"/>
      <c r="FV127" s="21"/>
      <c r="FW127" s="21"/>
      <c r="FX127" s="21"/>
      <c r="FY127" s="21"/>
      <c r="FZ127" s="21"/>
      <c r="GA127" s="21"/>
      <c r="GB127" s="21"/>
      <c r="GC127" s="21"/>
      <c r="GD127" s="21"/>
      <c r="GE127" s="21"/>
      <c r="GF127" s="21"/>
      <c r="GG127" s="21"/>
      <c r="GH127" s="21"/>
      <c r="GI127" s="21"/>
      <c r="GJ127" s="21"/>
      <c r="GK127" s="21"/>
      <c r="GL127" s="21"/>
      <c r="GM127" s="21"/>
      <c r="GN127" s="21"/>
      <c r="GO127" s="21"/>
      <c r="GP127" s="21"/>
      <c r="GQ127" s="21"/>
      <c r="GR127" s="21"/>
      <c r="GS127" s="21"/>
      <c r="GT127" s="21"/>
      <c r="GU127" s="21"/>
      <c r="GV127" s="21"/>
      <c r="GW127" s="21"/>
      <c r="GX127" s="21"/>
      <c r="GY127" s="21"/>
      <c r="GZ127" s="21"/>
      <c r="HA127" s="21"/>
      <c r="HB127" s="21"/>
      <c r="HC127" s="21"/>
      <c r="HD127" s="21"/>
      <c r="HE127" s="21"/>
      <c r="HF127" s="21"/>
      <c r="HG127" s="21"/>
      <c r="HH127" s="21"/>
      <c r="HS127" s="180" t="s">
        <v>522</v>
      </c>
      <c r="HT127" s="180">
        <v>0</v>
      </c>
      <c r="HU127" s="21">
        <f t="shared" ref="HU127:IQ130" si="186">HU100/4*6</f>
        <v>6</v>
      </c>
      <c r="HV127" s="21">
        <f t="shared" si="186"/>
        <v>0</v>
      </c>
      <c r="HW127" s="21">
        <f t="shared" si="186"/>
        <v>6</v>
      </c>
      <c r="HX127" s="21">
        <f t="shared" si="186"/>
        <v>12</v>
      </c>
      <c r="HY127" s="21">
        <f t="shared" si="186"/>
        <v>6</v>
      </c>
      <c r="HZ127" s="21">
        <f t="shared" si="186"/>
        <v>12</v>
      </c>
      <c r="IA127" s="21">
        <f t="shared" si="186"/>
        <v>18</v>
      </c>
      <c r="IB127" s="21">
        <f t="shared" si="186"/>
        <v>6</v>
      </c>
      <c r="IC127" s="21">
        <f t="shared" si="186"/>
        <v>18</v>
      </c>
      <c r="ID127" s="21">
        <f t="shared" si="186"/>
        <v>24</v>
      </c>
      <c r="IE127" s="21">
        <f t="shared" si="186"/>
        <v>12</v>
      </c>
      <c r="IF127" s="21">
        <f t="shared" si="186"/>
        <v>24</v>
      </c>
      <c r="IG127" s="21">
        <f t="shared" si="186"/>
        <v>30</v>
      </c>
      <c r="IH127" s="21">
        <f t="shared" si="186"/>
        <v>18</v>
      </c>
      <c r="II127" s="21">
        <f t="shared" si="186"/>
        <v>30</v>
      </c>
      <c r="IJ127" s="21">
        <f t="shared" si="186"/>
        <v>36</v>
      </c>
      <c r="IK127" s="21">
        <f t="shared" si="186"/>
        <v>24</v>
      </c>
      <c r="IL127" s="21">
        <f t="shared" si="186"/>
        <v>30</v>
      </c>
      <c r="IM127" s="21">
        <f t="shared" si="186"/>
        <v>42</v>
      </c>
      <c r="IN127" s="21">
        <f t="shared" si="186"/>
        <v>30</v>
      </c>
      <c r="IO127" s="21">
        <f t="shared" si="186"/>
        <v>36</v>
      </c>
      <c r="IP127" s="21">
        <f t="shared" si="186"/>
        <v>48</v>
      </c>
      <c r="IQ127" s="21">
        <f t="shared" si="186"/>
        <v>36</v>
      </c>
      <c r="IR127" s="198"/>
    </row>
    <row r="128" spans="1:252" x14ac:dyDescent="0.25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24"/>
      <c r="N128" s="24"/>
      <c r="O128" s="24"/>
      <c r="P128" s="24"/>
      <c r="Q128" s="24"/>
      <c r="R128" s="24"/>
      <c r="S128" s="24"/>
      <c r="T128" s="34">
        <f>SUM(T99:T127)</f>
        <v>0</v>
      </c>
      <c r="U128" s="34">
        <f>SUM(U99:U127)</f>
        <v>0</v>
      </c>
      <c r="V128" s="25"/>
      <c r="W128" s="189">
        <f>(INDEX(($EL$112:$FI$115,$EL$118:$FI$121,$FL$112:$GI$115,$FL$118:$GI$121,$GS$112:$HP$116,$GS$119:$HP$123,$HT$112:$IQ$116,$HT$119:$IQ$123,$HT$126:$IQ$130),MATCH($L$145,$EK$112:$EK$115,0),MATCH(A134,$EL$111:$FI$111,0),MATCH($G$131,$AE$24:$AE$32,0)))*C134</f>
        <v>0</v>
      </c>
      <c r="X128" s="189">
        <f>(INDEX(($EL$112:$FI$115,$EL$118:$FI$121,$FL$112:$GI$115,$FL$118:$GI$121,$GS$112:$HP$116,$GS$119:$HP$123,$HT$112:$IQ$116,$HT$119:$IQ$123,$HT$126:$IQ$130),MATCH($L$142,$EK$112:$EK$115,0),MATCH(A134,$EL$111:$FI$111,0),MATCH($G$131,$AE$24:$AE$32,0)))*C134</f>
        <v>0</v>
      </c>
      <c r="Y128" s="189">
        <f>(INDEX(($EL$112:$FI$115,$EL$118:$FI$121,$FL$112:$GI$115,$FL$118:$GI$121,$GS$112:$HP$116,$GS$119:$HP$123,$HT$112:$IQ$116,$HT$119:$IQ$123,$HT$126:$IQ$130),MATCH($L$143,$EK$112:$EK$115,0),MATCH(A134,$EL$111:$FI$111,0),MATCH($G$131,$AE$24:$AE$32,0)))*C134</f>
        <v>0</v>
      </c>
      <c r="Z128" s="189">
        <f>(INDEX(($EL$112:$FI$115,$EL$118:$FI$121,$FL$112:$GI$115,$FL$118:$GI$121,$GS$112:$HP$116,$GS$119:$HP$123,$HT$112:$IQ$116,$HT$119:$IQ$123,$HT$126:$IQ$130),MATCH($L$144,$EK$112:$EK$115,0),MATCH(A134,$EL$111:$FI$111,0),MATCH($G$131,$AE$24:$AE$32,0)))*C134</f>
        <v>0</v>
      </c>
      <c r="AA128" s="21">
        <f t="shared" si="182"/>
        <v>0</v>
      </c>
      <c r="AB128" s="21">
        <f t="shared" si="183"/>
        <v>0</v>
      </c>
      <c r="AC128" s="21"/>
      <c r="AD128" s="21"/>
      <c r="AE128" s="21"/>
      <c r="AF128" s="21"/>
      <c r="AG128" s="21"/>
      <c r="AH128" s="21"/>
      <c r="AI128" s="21"/>
      <c r="AJ128" s="21"/>
      <c r="AK128" s="21"/>
      <c r="AL128" s="21"/>
      <c r="AM128" s="21"/>
      <c r="AN128" s="21"/>
      <c r="AO128" s="21">
        <f t="shared" si="184"/>
        <v>1</v>
      </c>
      <c r="AP128" s="21" t="s">
        <v>471</v>
      </c>
      <c r="AQ128" s="21" t="s">
        <v>594</v>
      </c>
      <c r="AR128" s="180" t="s">
        <v>596</v>
      </c>
      <c r="AS128" s="180" t="s">
        <v>594</v>
      </c>
      <c r="AT128" s="180" t="s">
        <v>594</v>
      </c>
      <c r="AU128" s="21"/>
      <c r="AV128" s="21"/>
      <c r="AW128" s="21"/>
      <c r="AX128" s="21"/>
      <c r="AY128" s="21"/>
      <c r="AZ128" s="21"/>
      <c r="BA128" s="21"/>
      <c r="BB128" s="21"/>
      <c r="BC128" s="21"/>
      <c r="BD128" s="21"/>
      <c r="BE128" s="21"/>
      <c r="BF128" s="21"/>
      <c r="BG128" s="21"/>
      <c r="BH128" s="21"/>
      <c r="BI128" s="21"/>
      <c r="BJ128" s="21"/>
      <c r="BK128" s="21"/>
      <c r="BL128" s="21"/>
      <c r="BM128" s="21"/>
      <c r="BN128" s="21"/>
      <c r="BO128" s="21"/>
      <c r="BP128" s="21"/>
      <c r="BQ128" s="21"/>
      <c r="BR128" s="21"/>
      <c r="BS128" s="21"/>
      <c r="BT128" s="21"/>
      <c r="BU128" s="21"/>
      <c r="BV128" s="21"/>
      <c r="BW128" s="21"/>
      <c r="BX128" s="21"/>
      <c r="BY128" s="21"/>
      <c r="BZ128" s="21"/>
      <c r="CA128" s="21"/>
      <c r="CB128" s="21"/>
      <c r="CC128" s="21"/>
      <c r="CD128" s="21"/>
      <c r="CE128" s="21"/>
      <c r="CF128" s="21"/>
      <c r="CG128" s="21"/>
      <c r="CH128" s="21"/>
      <c r="CI128" s="21"/>
      <c r="CJ128" s="21"/>
      <c r="CK128" s="21"/>
      <c r="CL128" s="21"/>
      <c r="CM128" s="21"/>
      <c r="CN128" s="21"/>
      <c r="CO128" s="21"/>
      <c r="CP128" s="21"/>
      <c r="CQ128" s="21"/>
      <c r="CR128" s="21"/>
      <c r="CS128" s="21"/>
      <c r="CT128" s="21"/>
      <c r="CU128" s="21"/>
      <c r="CV128" s="21"/>
      <c r="CW128" s="21"/>
      <c r="CX128" s="21"/>
      <c r="CY128" s="21"/>
      <c r="CZ128" s="21"/>
      <c r="DA128" s="21"/>
      <c r="DB128" s="21"/>
      <c r="DC128" s="21"/>
      <c r="DD128" s="21"/>
      <c r="DE128" s="21"/>
      <c r="DF128" s="21"/>
      <c r="DG128" s="21"/>
      <c r="DH128" s="21"/>
      <c r="DI128" s="21"/>
      <c r="DJ128" s="21"/>
      <c r="DK128" s="21"/>
      <c r="DL128" s="21"/>
      <c r="DM128" s="21"/>
      <c r="DN128" s="21"/>
      <c r="DO128" s="21"/>
      <c r="DP128" s="21"/>
      <c r="DQ128" s="87"/>
      <c r="DR128" s="87">
        <v>60</v>
      </c>
      <c r="DS128" s="87"/>
      <c r="DT128" s="21"/>
      <c r="DU128" s="21"/>
      <c r="DV128" s="21"/>
      <c r="DW128" s="21"/>
      <c r="DX128" s="21"/>
      <c r="DY128" s="21"/>
      <c r="DZ128" s="21"/>
      <c r="EA128" s="21"/>
      <c r="EB128" s="21"/>
      <c r="EC128" s="21"/>
      <c r="ED128" s="21"/>
      <c r="EE128" s="21"/>
      <c r="EF128" s="21"/>
      <c r="EG128" s="21"/>
      <c r="EH128" s="21"/>
      <c r="EI128" s="21"/>
      <c r="EJ128" s="196"/>
      <c r="EK128" s="21"/>
      <c r="EL128" s="21"/>
      <c r="EM128" s="21"/>
      <c r="EN128" s="21"/>
      <c r="EO128" s="21"/>
      <c r="EP128" s="21"/>
      <c r="EQ128" s="21"/>
      <c r="ER128" s="21"/>
      <c r="ES128" s="21"/>
      <c r="ET128" s="21"/>
      <c r="EU128" s="21"/>
      <c r="EV128" s="21"/>
      <c r="EW128" s="21"/>
      <c r="EX128" s="21"/>
      <c r="EY128" s="21"/>
      <c r="EZ128" s="21"/>
      <c r="FA128" s="21"/>
      <c r="FB128" s="21"/>
      <c r="FC128" s="21"/>
      <c r="FD128" s="21"/>
      <c r="FE128" s="21"/>
      <c r="FF128" s="21"/>
      <c r="FG128" s="21"/>
      <c r="FH128" s="21"/>
      <c r="FI128" s="21"/>
      <c r="FJ128" s="21"/>
      <c r="FK128" s="21"/>
      <c r="FL128" s="21"/>
      <c r="FM128" s="21"/>
      <c r="FN128" s="21"/>
      <c r="FO128" s="21"/>
      <c r="FP128" s="21"/>
      <c r="FQ128" s="21"/>
      <c r="FR128" s="21"/>
      <c r="FS128" s="21"/>
      <c r="FT128" s="21"/>
      <c r="FU128" s="21"/>
      <c r="FV128" s="21"/>
      <c r="FW128" s="21"/>
      <c r="FX128" s="21"/>
      <c r="FY128" s="21"/>
      <c r="FZ128" s="21"/>
      <c r="GA128" s="21"/>
      <c r="GB128" s="21"/>
      <c r="GC128" s="21"/>
      <c r="GD128" s="21"/>
      <c r="GE128" s="21"/>
      <c r="GF128" s="21"/>
      <c r="GG128" s="21"/>
      <c r="GH128" s="21"/>
      <c r="GI128" s="21"/>
      <c r="GJ128" s="21"/>
      <c r="GK128" s="21"/>
      <c r="GL128" s="21"/>
      <c r="GM128" s="21"/>
      <c r="GN128" s="21"/>
      <c r="GO128" s="21"/>
      <c r="GP128" s="21"/>
      <c r="GQ128" s="21"/>
      <c r="GR128" s="21"/>
      <c r="GS128" s="21"/>
      <c r="GT128" s="21"/>
      <c r="GU128" s="21"/>
      <c r="GV128" s="21"/>
      <c r="GW128" s="21"/>
      <c r="GX128" s="21"/>
      <c r="GY128" s="21"/>
      <c r="GZ128" s="21"/>
      <c r="HA128" s="21"/>
      <c r="HB128" s="21"/>
      <c r="HC128" s="21"/>
      <c r="HD128" s="21"/>
      <c r="HE128" s="21"/>
      <c r="HF128" s="21"/>
      <c r="HG128" s="21"/>
      <c r="HH128" s="21"/>
      <c r="HS128" s="180" t="s">
        <v>523</v>
      </c>
      <c r="HT128" s="180">
        <v>0</v>
      </c>
      <c r="HU128" s="21">
        <f t="shared" si="186"/>
        <v>0</v>
      </c>
      <c r="HV128" s="21">
        <f t="shared" si="186"/>
        <v>0</v>
      </c>
      <c r="HW128" s="21">
        <f t="shared" si="186"/>
        <v>6</v>
      </c>
      <c r="HX128" s="21">
        <f t="shared" si="186"/>
        <v>0</v>
      </c>
      <c r="HY128" s="21">
        <f t="shared" si="186"/>
        <v>12</v>
      </c>
      <c r="HZ128" s="21">
        <f t="shared" si="186"/>
        <v>6</v>
      </c>
      <c r="IA128" s="21">
        <f t="shared" si="186"/>
        <v>0</v>
      </c>
      <c r="IB128" s="21">
        <f t="shared" si="186"/>
        <v>18</v>
      </c>
      <c r="IC128" s="21">
        <f t="shared" si="186"/>
        <v>6</v>
      </c>
      <c r="ID128" s="21">
        <f t="shared" si="186"/>
        <v>0</v>
      </c>
      <c r="IE128" s="21">
        <f t="shared" si="186"/>
        <v>18</v>
      </c>
      <c r="IF128" s="21">
        <f t="shared" si="186"/>
        <v>6</v>
      </c>
      <c r="IG128" s="21">
        <f t="shared" si="186"/>
        <v>0</v>
      </c>
      <c r="IH128" s="21">
        <f t="shared" si="186"/>
        <v>18</v>
      </c>
      <c r="II128" s="21">
        <f t="shared" si="186"/>
        <v>6</v>
      </c>
      <c r="IJ128" s="21">
        <f t="shared" si="186"/>
        <v>0</v>
      </c>
      <c r="IK128" s="21">
        <f t="shared" si="186"/>
        <v>18</v>
      </c>
      <c r="IL128" s="21">
        <f t="shared" si="186"/>
        <v>12</v>
      </c>
      <c r="IM128" s="21">
        <f t="shared" si="186"/>
        <v>0</v>
      </c>
      <c r="IN128" s="21">
        <f t="shared" si="186"/>
        <v>18</v>
      </c>
      <c r="IO128" s="21">
        <f t="shared" si="186"/>
        <v>12</v>
      </c>
      <c r="IP128" s="21">
        <f t="shared" si="186"/>
        <v>0</v>
      </c>
      <c r="IQ128" s="21">
        <f t="shared" si="186"/>
        <v>18</v>
      </c>
      <c r="IR128" s="198"/>
    </row>
    <row r="129" spans="1:252" ht="51.75" x14ac:dyDescent="0.25">
      <c r="A129" s="3" t="s">
        <v>443</v>
      </c>
      <c r="B129" s="3"/>
      <c r="C129" s="3" t="s">
        <v>444</v>
      </c>
      <c r="D129" s="9"/>
      <c r="E129" s="9"/>
      <c r="F129" s="9"/>
      <c r="G129" s="9"/>
      <c r="H129" s="9"/>
      <c r="I129" s="9"/>
      <c r="J129" s="9"/>
      <c r="K129" s="9"/>
      <c r="L129" s="360" t="str">
        <f>IF(E133="wbijana","KONSTRUKCJA W-V3G2-25°",IF(E133="betonowana","KONSTRUKCJA W-V3B2-25°",IF(E133="kotwiona","KONSTRUKCJA W-V3K2-25°",IF(E133="wkręcana","KONSTRUKCJA W-V3S2-25°"))))</f>
        <v>KONSTRUKCJA W-V3G2-25°</v>
      </c>
      <c r="M129" s="360"/>
      <c r="N129" s="360"/>
      <c r="O129" s="360"/>
      <c r="P129" s="360"/>
      <c r="Q129" s="360"/>
      <c r="R129" s="360"/>
      <c r="S129" s="360"/>
      <c r="T129" s="360"/>
      <c r="U129" s="360"/>
      <c r="V129" s="25"/>
      <c r="W129" s="189">
        <f>(INDEX(($EL$112:$FI$115,$EL$118:$FI$121,$FL$112:$GI$115,$FL$118:$GI$121,$GS$112:$HP$116,$GS$119:$HP$123,$HT$112:$IQ$116,$HT$119:$IQ$123,$HT$126:$IQ$130),MATCH($L$145,$EK$112:$EK$115,0),MATCH(A135,$EL$111:$FI$111,0),MATCH($G$131,$AE$24:$AE$32,0)))*C135</f>
        <v>0</v>
      </c>
      <c r="X129" s="189">
        <f>(INDEX(($EL$112:$FI$115,$EL$118:$FI$121,$FL$112:$GI$115,$FL$118:$GI$121,$GS$112:$HP$116,$GS$119:$HP$123,$HT$112:$IQ$116,$HT$119:$IQ$123,$HT$126:$IQ$130),MATCH($L$142,$EK$112:$EK$115,0),MATCH(A135,$EL$111:$FI$111,0),MATCH($G$131,$AE$24:$AE$32,0)))*C135</f>
        <v>0</v>
      </c>
      <c r="Y129" s="189">
        <f>(INDEX(($EL$112:$FI$115,$EL$118:$FI$121,$FL$112:$GI$115,$FL$118:$GI$121,$GS$112:$HP$116,$GS$119:$HP$123,$HT$112:$IQ$116,$HT$119:$IQ$123,$HT$126:$IQ$130),MATCH($L$143,$EK$112:$EK$115,0),MATCH(A135,$EL$111:$FI$111,0),MATCH($G$131,$AE$24:$AE$32,0)))*C135</f>
        <v>0</v>
      </c>
      <c r="Z129" s="189">
        <f>(INDEX(($EL$112:$FI$115,$EL$118:$FI$121,$FL$112:$GI$115,$FL$118:$GI$121,$GS$112:$HP$116,$GS$119:$HP$123,$HT$112:$IQ$116,$HT$119:$IQ$123,$HT$126:$IQ$130),MATCH($L$144,$EK$112:$EK$115,0),MATCH(A135,$EL$111:$FI$111,0),MATCH($G$131,$AE$24:$AE$32,0)))*C135</f>
        <v>0</v>
      </c>
      <c r="AA129" s="21">
        <f t="shared" si="182"/>
        <v>0</v>
      </c>
      <c r="AB129" s="21">
        <f t="shared" si="183"/>
        <v>0</v>
      </c>
      <c r="AC129" s="21"/>
      <c r="AD129" s="21"/>
      <c r="AE129" s="21"/>
      <c r="AF129" s="21"/>
      <c r="AG129" s="21"/>
      <c r="AH129" s="21"/>
      <c r="AI129" s="21"/>
      <c r="AJ129" s="21"/>
      <c r="AK129" s="21"/>
      <c r="AL129" s="21"/>
      <c r="AM129" s="21"/>
      <c r="AN129" s="21"/>
      <c r="AO129" s="21">
        <f t="shared" si="184"/>
        <v>1</v>
      </c>
      <c r="AP129" s="21" t="s">
        <v>473</v>
      </c>
      <c r="AQ129" s="21" t="s">
        <v>594</v>
      </c>
      <c r="AR129" s="180" t="s">
        <v>596</v>
      </c>
      <c r="AS129" s="180" t="s">
        <v>594</v>
      </c>
      <c r="AT129" s="180" t="s">
        <v>594</v>
      </c>
      <c r="AX129" s="21"/>
      <c r="AY129" s="21"/>
      <c r="AZ129" s="21"/>
      <c r="BA129" s="21"/>
      <c r="BB129" s="21"/>
      <c r="BC129" s="21"/>
      <c r="BD129" s="21"/>
      <c r="BE129" s="21"/>
      <c r="BF129" s="21"/>
      <c r="BG129" s="21"/>
      <c r="BH129" s="21"/>
      <c r="BI129" s="21"/>
      <c r="BJ129" s="21"/>
      <c r="BK129" s="21"/>
      <c r="BL129" s="21"/>
      <c r="BM129" s="21"/>
      <c r="BN129" s="21"/>
      <c r="BO129" s="21"/>
      <c r="BP129" s="21"/>
      <c r="BQ129" s="21"/>
      <c r="BR129" s="21"/>
      <c r="BS129" s="21"/>
      <c r="BT129" s="21"/>
      <c r="BU129" s="21"/>
      <c r="BV129" s="21"/>
      <c r="BW129" s="21"/>
      <c r="BX129" s="21"/>
      <c r="BY129" s="21"/>
      <c r="BZ129" s="21"/>
      <c r="CA129" s="21"/>
      <c r="CB129" s="21"/>
      <c r="CC129" s="21"/>
      <c r="CD129" s="21"/>
      <c r="CE129" s="21"/>
      <c r="CF129" s="21"/>
      <c r="CG129" s="21"/>
      <c r="CH129" s="21"/>
      <c r="CI129" s="21"/>
      <c r="CJ129" s="21"/>
      <c r="CK129" s="21"/>
      <c r="CL129" s="21"/>
      <c r="CM129" s="21"/>
      <c r="CN129" s="21"/>
      <c r="CO129" s="21"/>
      <c r="CP129" s="21"/>
      <c r="CQ129" s="21"/>
      <c r="CR129" s="21"/>
      <c r="CS129" s="21"/>
      <c r="CT129" s="21"/>
      <c r="CU129" s="21"/>
      <c r="CV129" s="21"/>
      <c r="CW129" s="21"/>
      <c r="CX129" s="21"/>
      <c r="CY129" s="21"/>
      <c r="CZ129" s="21"/>
      <c r="DA129" s="21"/>
      <c r="DB129" s="21"/>
      <c r="DC129" s="21"/>
      <c r="DD129" s="21"/>
      <c r="DE129" s="21"/>
      <c r="DF129" s="21"/>
      <c r="DG129" s="21"/>
      <c r="DH129" s="21"/>
      <c r="DI129" s="21"/>
      <c r="DJ129" s="21"/>
      <c r="DK129" s="21"/>
      <c r="DL129" s="21"/>
      <c r="DM129" s="21"/>
      <c r="DN129" s="21"/>
      <c r="DO129" s="21"/>
      <c r="DP129" s="21"/>
      <c r="DQ129" s="87"/>
      <c r="DR129" s="87">
        <v>63</v>
      </c>
      <c r="DS129" s="87"/>
      <c r="DT129" s="21"/>
      <c r="DU129" s="21"/>
      <c r="DV129" s="21"/>
      <c r="DW129" s="21"/>
      <c r="DX129" s="21"/>
      <c r="DY129" s="21"/>
      <c r="DZ129" s="21"/>
      <c r="EA129" s="21"/>
      <c r="EB129" s="21"/>
      <c r="EC129" s="21"/>
      <c r="ED129" s="21"/>
      <c r="EE129" s="21"/>
      <c r="EF129" s="21"/>
      <c r="EG129" s="21"/>
      <c r="EH129" s="21"/>
      <c r="EI129" s="21"/>
      <c r="EJ129" s="196"/>
      <c r="EK129" s="21"/>
      <c r="EL129" s="21"/>
      <c r="EM129" s="21"/>
      <c r="EN129" s="21"/>
      <c r="EO129" s="21"/>
      <c r="EP129" s="21"/>
      <c r="EQ129" s="21"/>
      <c r="ER129" s="21"/>
      <c r="ES129" s="21"/>
      <c r="ET129" s="21"/>
      <c r="EU129" s="21"/>
      <c r="EV129" s="21"/>
      <c r="EW129" s="21"/>
      <c r="EX129" s="21"/>
      <c r="EY129" s="21"/>
      <c r="EZ129" s="21"/>
      <c r="FA129" s="21"/>
      <c r="FB129" s="21"/>
      <c r="FC129" s="21"/>
      <c r="FD129" s="21"/>
      <c r="FE129" s="21"/>
      <c r="FF129" s="21"/>
      <c r="FG129" s="21"/>
      <c r="FH129" s="21"/>
      <c r="FI129" s="21"/>
      <c r="FJ129" s="21"/>
      <c r="FK129" s="21"/>
      <c r="FL129" s="21"/>
      <c r="FM129" s="21"/>
      <c r="FN129" s="21"/>
      <c r="FO129" s="21"/>
      <c r="FP129" s="21"/>
      <c r="FQ129" s="21"/>
      <c r="FR129" s="21"/>
      <c r="FS129" s="21"/>
      <c r="FT129" s="21"/>
      <c r="FU129" s="21"/>
      <c r="FV129" s="21"/>
      <c r="FW129" s="21"/>
      <c r="FX129" s="21"/>
      <c r="FY129" s="21"/>
      <c r="FZ129" s="21"/>
      <c r="GA129" s="21"/>
      <c r="GB129" s="21"/>
      <c r="GC129" s="21"/>
      <c r="GD129" s="21"/>
      <c r="GE129" s="21"/>
      <c r="GF129" s="21"/>
      <c r="GG129" s="21"/>
      <c r="GH129" s="21"/>
      <c r="GI129" s="21"/>
      <c r="GJ129" s="21"/>
      <c r="GK129" s="21"/>
      <c r="GL129" s="21"/>
      <c r="GM129" s="21"/>
      <c r="GN129" s="21"/>
      <c r="GO129" s="21"/>
      <c r="GP129" s="21"/>
      <c r="GQ129" s="21"/>
      <c r="GR129" s="21"/>
      <c r="GS129" s="21"/>
      <c r="GT129" s="21"/>
      <c r="GU129" s="21"/>
      <c r="GV129" s="21"/>
      <c r="GW129" s="21"/>
      <c r="GX129" s="21"/>
      <c r="GY129" s="21"/>
      <c r="GZ129" s="21"/>
      <c r="HA129" s="21"/>
      <c r="HB129" s="21"/>
      <c r="HC129" s="21"/>
      <c r="HD129" s="21"/>
      <c r="HE129" s="21"/>
      <c r="HF129" s="21"/>
      <c r="HG129" s="21"/>
      <c r="HH129" s="21"/>
      <c r="HS129" s="180" t="s">
        <v>524</v>
      </c>
      <c r="HT129" s="180">
        <v>0</v>
      </c>
      <c r="HU129" s="21">
        <f t="shared" si="186"/>
        <v>0</v>
      </c>
      <c r="HV129" s="21">
        <f t="shared" si="186"/>
        <v>0</v>
      </c>
      <c r="HW129" s="21">
        <f t="shared" si="186"/>
        <v>6</v>
      </c>
      <c r="HX129" s="21">
        <f t="shared" si="186"/>
        <v>6</v>
      </c>
      <c r="HY129" s="21">
        <f t="shared" si="186"/>
        <v>12</v>
      </c>
      <c r="HZ129" s="21">
        <f t="shared" si="186"/>
        <v>12</v>
      </c>
      <c r="IA129" s="21">
        <f t="shared" si="186"/>
        <v>12</v>
      </c>
      <c r="IB129" s="21">
        <f t="shared" si="186"/>
        <v>18</v>
      </c>
      <c r="IC129" s="21">
        <f t="shared" si="186"/>
        <v>18</v>
      </c>
      <c r="ID129" s="21">
        <f t="shared" si="186"/>
        <v>18</v>
      </c>
      <c r="IE129" s="21">
        <f t="shared" si="186"/>
        <v>24</v>
      </c>
      <c r="IF129" s="21">
        <f t="shared" si="186"/>
        <v>24</v>
      </c>
      <c r="IG129" s="21">
        <f t="shared" si="186"/>
        <v>24</v>
      </c>
      <c r="IH129" s="21">
        <f t="shared" si="186"/>
        <v>30</v>
      </c>
      <c r="II129" s="21">
        <f t="shared" si="186"/>
        <v>30</v>
      </c>
      <c r="IJ129" s="21">
        <f t="shared" si="186"/>
        <v>30</v>
      </c>
      <c r="IK129" s="21">
        <f t="shared" si="186"/>
        <v>36</v>
      </c>
      <c r="IL129" s="21">
        <f t="shared" si="186"/>
        <v>36</v>
      </c>
      <c r="IM129" s="21">
        <f t="shared" si="186"/>
        <v>36</v>
      </c>
      <c r="IN129" s="21">
        <f t="shared" si="186"/>
        <v>42</v>
      </c>
      <c r="IO129" s="21">
        <f t="shared" si="186"/>
        <v>42</v>
      </c>
      <c r="IP129" s="21">
        <f t="shared" si="186"/>
        <v>42</v>
      </c>
      <c r="IQ129" s="21">
        <f t="shared" si="186"/>
        <v>48</v>
      </c>
      <c r="IR129" s="198"/>
    </row>
    <row r="130" spans="1:252" x14ac:dyDescent="0.25">
      <c r="A130" s="8"/>
      <c r="B130" s="5" t="s">
        <v>116</v>
      </c>
      <c r="C130" s="8"/>
      <c r="D130" s="9"/>
      <c r="E130" s="1"/>
      <c r="F130" s="9"/>
      <c r="G130" s="9"/>
      <c r="H130" s="9"/>
      <c r="I130" s="9"/>
      <c r="J130" s="9"/>
      <c r="K130" s="9"/>
      <c r="L130" s="5" t="s">
        <v>103</v>
      </c>
      <c r="M130" s="5" t="s">
        <v>104</v>
      </c>
      <c r="N130" s="5" t="s">
        <v>107</v>
      </c>
      <c r="O130" s="5" t="s">
        <v>290</v>
      </c>
      <c r="P130" s="5" t="s">
        <v>446</v>
      </c>
      <c r="Q130" s="5" t="s">
        <v>448</v>
      </c>
      <c r="R130" s="5" t="s">
        <v>409</v>
      </c>
      <c r="S130" s="5" t="s">
        <v>447</v>
      </c>
      <c r="T130" s="5" t="s">
        <v>449</v>
      </c>
      <c r="U130" s="5" t="s">
        <v>106</v>
      </c>
      <c r="V130" s="25"/>
      <c r="W130" s="189">
        <f>(INDEX(($EL$112:$FI$115,$EL$118:$FI$121,$FL$112:$GI$115,$FL$118:$GI$121,$GS$112:$HP$116,$GS$119:$HP$123,$HT$112:$IQ$116,$HT$119:$IQ$123,$HT$126:$IQ$130),MATCH($L$145,$EK$112:$EK$115,0),MATCH(A136,$EL$111:$FI$111,0),MATCH($G$131,$AE$24:$AE$32,0)))*C136</f>
        <v>0</v>
      </c>
      <c r="X130" s="189">
        <f>(INDEX(($EL$112:$FI$115,$EL$118:$FI$121,$FL$112:$GI$115,$FL$118:$GI$121,$GS$112:$HP$116,$GS$119:$HP$123,$HT$112:$IQ$116,$HT$119:$IQ$123,$HT$126:$IQ$130),MATCH($L$142,$EK$112:$EK$115,0),MATCH(A136,$EL$111:$FI$111,0),MATCH($G$131,$AE$24:$AE$32,0)))*C136</f>
        <v>0</v>
      </c>
      <c r="Y130" s="189">
        <f>(INDEX(($EL$112:$FI$115,$EL$118:$FI$121,$FL$112:$GI$115,$FL$118:$GI$121,$GS$112:$HP$116,$GS$119:$HP$123,$HT$112:$IQ$116,$HT$119:$IQ$123,$HT$126:$IQ$130),MATCH($L$143,$EK$112:$EK$115,0),MATCH(A136,$EL$111:$FI$111,0),MATCH($G$131,$AE$24:$AE$32,0)))*C136</f>
        <v>0</v>
      </c>
      <c r="Z130" s="189">
        <f>(INDEX(($EL$112:$FI$115,$EL$118:$FI$121,$FL$112:$GI$115,$FL$118:$GI$121,$GS$112:$HP$116,$GS$119:$HP$123,$HT$112:$IQ$116,$HT$119:$IQ$123,$HT$126:$IQ$130),MATCH($L$144,$EK$112:$EK$115,0),MATCH(A136,$EL$111:$FI$111,0),MATCH($G$131,$AE$24:$AE$32,0)))*C136</f>
        <v>0</v>
      </c>
      <c r="AA130" s="21">
        <f t="shared" si="182"/>
        <v>0</v>
      </c>
      <c r="AB130" s="21">
        <f t="shared" si="183"/>
        <v>0</v>
      </c>
      <c r="AC130" s="21"/>
      <c r="AD130" s="21"/>
      <c r="AE130" s="21"/>
      <c r="AF130" s="21"/>
      <c r="AG130" s="21"/>
      <c r="AH130" s="21"/>
      <c r="AI130" s="201" t="s">
        <v>437</v>
      </c>
      <c r="AK130" s="21"/>
      <c r="AL130" s="21"/>
      <c r="AM130" s="21"/>
      <c r="AN130" s="21"/>
      <c r="AO130" s="21">
        <f t="shared" si="184"/>
        <v>1</v>
      </c>
      <c r="AP130" s="21" t="s">
        <v>113</v>
      </c>
      <c r="AQ130" s="21" t="s">
        <v>594</v>
      </c>
      <c r="AR130" s="180" t="s">
        <v>596</v>
      </c>
      <c r="AS130" s="180" t="s">
        <v>594</v>
      </c>
      <c r="AT130" s="180" t="s">
        <v>594</v>
      </c>
      <c r="AX130" s="21"/>
      <c r="AY130" s="21"/>
      <c r="AZ130" s="21"/>
      <c r="BA130" s="21"/>
      <c r="BB130" s="21"/>
      <c r="BC130" s="21"/>
      <c r="BD130" s="21"/>
      <c r="BE130" s="21"/>
      <c r="BF130" s="21"/>
      <c r="BG130" s="21"/>
      <c r="BH130" s="21"/>
      <c r="BI130" s="21"/>
      <c r="BJ130" s="21"/>
      <c r="BK130" s="21"/>
      <c r="BL130" s="21"/>
      <c r="BM130" s="21"/>
      <c r="BN130" s="21"/>
      <c r="BO130" s="21"/>
      <c r="BP130" s="21"/>
      <c r="BQ130" s="21"/>
      <c r="BR130" s="21"/>
      <c r="BS130" s="21"/>
      <c r="BT130" s="21"/>
      <c r="BU130" s="21"/>
      <c r="BV130" s="21"/>
      <c r="BW130" s="21"/>
      <c r="BX130" s="21"/>
      <c r="BY130" s="21"/>
      <c r="BZ130" s="21"/>
      <c r="CA130" s="21"/>
      <c r="CB130" s="21"/>
      <c r="CC130" s="21"/>
      <c r="CD130" s="21"/>
      <c r="CE130" s="21"/>
      <c r="CF130" s="21"/>
      <c r="CG130" s="21"/>
      <c r="CH130" s="21"/>
      <c r="CI130" s="21"/>
      <c r="CJ130" s="21"/>
      <c r="CK130" s="21"/>
      <c r="CL130" s="21"/>
      <c r="CM130" s="21"/>
      <c r="CN130" s="21"/>
      <c r="CO130" s="21"/>
      <c r="CP130" s="21"/>
      <c r="CQ130" s="21"/>
      <c r="CR130" s="21"/>
      <c r="CS130" s="21"/>
      <c r="CT130" s="21"/>
      <c r="CU130" s="21"/>
      <c r="CV130" s="21"/>
      <c r="CW130" s="21"/>
      <c r="CX130" s="21"/>
      <c r="CY130" s="21"/>
      <c r="CZ130" s="21"/>
      <c r="DA130" s="21"/>
      <c r="DB130" s="21"/>
      <c r="DC130" s="21"/>
      <c r="DD130" s="21"/>
      <c r="DE130" s="21"/>
      <c r="DF130" s="21"/>
      <c r="DG130" s="21"/>
      <c r="DH130" s="21"/>
      <c r="DI130" s="21"/>
      <c r="DJ130" s="21"/>
      <c r="DK130" s="21"/>
      <c r="DL130" s="21"/>
      <c r="DM130" s="21"/>
      <c r="DN130" s="21"/>
      <c r="DO130" s="21"/>
      <c r="DP130" s="21"/>
      <c r="DQ130" s="87"/>
      <c r="DR130" s="87">
        <v>66</v>
      </c>
      <c r="DS130" s="87"/>
      <c r="DT130" s="21"/>
      <c r="DU130" s="21"/>
      <c r="DV130" s="21"/>
      <c r="DW130" s="21"/>
      <c r="DX130" s="21"/>
      <c r="DY130" s="21"/>
      <c r="DZ130" s="21"/>
      <c r="EA130" s="21"/>
      <c r="EB130" s="21"/>
      <c r="EC130" s="21"/>
      <c r="ED130" s="21"/>
      <c r="EE130" s="21"/>
      <c r="EF130" s="21"/>
      <c r="EG130" s="21"/>
      <c r="EH130" s="21"/>
      <c r="EI130" s="21"/>
      <c r="EJ130" s="196"/>
      <c r="EK130" s="21"/>
      <c r="EL130" s="21"/>
      <c r="EM130" s="21"/>
      <c r="EN130" s="21"/>
      <c r="EO130" s="21"/>
      <c r="EP130" s="21"/>
      <c r="EQ130" s="21"/>
      <c r="ER130" s="21"/>
      <c r="ES130" s="21"/>
      <c r="ET130" s="21"/>
      <c r="EU130" s="21"/>
      <c r="EV130" s="21"/>
      <c r="EW130" s="21"/>
      <c r="EX130" s="21"/>
      <c r="EY130" s="21"/>
      <c r="EZ130" s="21"/>
      <c r="FA130" s="21"/>
      <c r="FB130" s="21"/>
      <c r="FC130" s="21"/>
      <c r="FD130" s="21"/>
      <c r="FE130" s="21"/>
      <c r="FF130" s="21"/>
      <c r="FG130" s="21"/>
      <c r="FH130" s="21"/>
      <c r="FI130" s="21"/>
      <c r="FJ130" s="21"/>
      <c r="FK130" s="21"/>
      <c r="FL130" s="21"/>
      <c r="FM130" s="21"/>
      <c r="FN130" s="21"/>
      <c r="FO130" s="21"/>
      <c r="FP130" s="21"/>
      <c r="FQ130" s="21"/>
      <c r="FR130" s="21"/>
      <c r="FS130" s="21"/>
      <c r="FT130" s="21"/>
      <c r="FU130" s="21"/>
      <c r="FV130" s="21"/>
      <c r="FW130" s="21"/>
      <c r="FX130" s="21"/>
      <c r="FY130" s="21"/>
      <c r="FZ130" s="21"/>
      <c r="GA130" s="21"/>
      <c r="GB130" s="21"/>
      <c r="GC130" s="21"/>
      <c r="GD130" s="21"/>
      <c r="GE130" s="21"/>
      <c r="GF130" s="21"/>
      <c r="GG130" s="21"/>
      <c r="GH130" s="21"/>
      <c r="GI130" s="21"/>
      <c r="GJ130" s="21"/>
      <c r="GK130" s="21"/>
      <c r="GL130" s="21"/>
      <c r="GM130" s="21"/>
      <c r="GN130" s="21"/>
      <c r="GO130" s="21"/>
      <c r="GP130" s="21"/>
      <c r="GQ130" s="21"/>
      <c r="GR130" s="21"/>
      <c r="GS130" s="21"/>
      <c r="GT130" s="21"/>
      <c r="GU130" s="21"/>
      <c r="GV130" s="21"/>
      <c r="GW130" s="21"/>
      <c r="GX130" s="21"/>
      <c r="GY130" s="21"/>
      <c r="GZ130" s="21"/>
      <c r="HA130" s="21"/>
      <c r="HB130" s="21"/>
      <c r="HC130" s="21"/>
      <c r="HD130" s="21"/>
      <c r="HE130" s="21"/>
      <c r="HF130" s="21"/>
      <c r="HG130" s="21"/>
      <c r="HH130" s="21"/>
      <c r="HS130" s="180" t="s">
        <v>700</v>
      </c>
      <c r="HT130" s="180">
        <v>0</v>
      </c>
      <c r="HU130" s="21">
        <f t="shared" si="186"/>
        <v>0</v>
      </c>
      <c r="HV130" s="21">
        <f t="shared" si="186"/>
        <v>0</v>
      </c>
      <c r="HW130" s="21">
        <f t="shared" si="186"/>
        <v>6</v>
      </c>
      <c r="HX130" s="21">
        <f t="shared" si="186"/>
        <v>6</v>
      </c>
      <c r="HY130" s="21">
        <f t="shared" si="186"/>
        <v>12</v>
      </c>
      <c r="HZ130" s="21">
        <f t="shared" si="186"/>
        <v>12</v>
      </c>
      <c r="IA130" s="21">
        <f t="shared" si="186"/>
        <v>12</v>
      </c>
      <c r="IB130" s="21">
        <f t="shared" si="186"/>
        <v>18</v>
      </c>
      <c r="IC130" s="21">
        <f t="shared" si="186"/>
        <v>18</v>
      </c>
      <c r="ID130" s="21">
        <f t="shared" si="186"/>
        <v>18</v>
      </c>
      <c r="IE130" s="21">
        <f t="shared" si="186"/>
        <v>24</v>
      </c>
      <c r="IF130" s="21">
        <f t="shared" si="186"/>
        <v>24</v>
      </c>
      <c r="IG130" s="21">
        <f t="shared" si="186"/>
        <v>24</v>
      </c>
      <c r="IH130" s="21">
        <f t="shared" si="186"/>
        <v>30</v>
      </c>
      <c r="II130" s="21">
        <f t="shared" si="186"/>
        <v>30</v>
      </c>
      <c r="IJ130" s="21">
        <f t="shared" si="186"/>
        <v>30</v>
      </c>
      <c r="IK130" s="21">
        <f t="shared" si="186"/>
        <v>36</v>
      </c>
      <c r="IL130" s="21">
        <f t="shared" si="186"/>
        <v>36</v>
      </c>
      <c r="IM130" s="21">
        <f t="shared" si="186"/>
        <v>36</v>
      </c>
      <c r="IN130" s="21">
        <f t="shared" si="186"/>
        <v>42</v>
      </c>
      <c r="IO130" s="21">
        <f t="shared" si="186"/>
        <v>42</v>
      </c>
      <c r="IP130" s="21">
        <f t="shared" si="186"/>
        <v>42</v>
      </c>
      <c r="IQ130" s="21">
        <f t="shared" si="186"/>
        <v>48</v>
      </c>
      <c r="IR130" s="198"/>
    </row>
    <row r="131" spans="1:252" ht="15.75" thickBot="1" x14ac:dyDescent="0.3">
      <c r="A131" s="8"/>
      <c r="B131" s="5" t="s">
        <v>116</v>
      </c>
      <c r="C131" s="8"/>
      <c r="D131" s="6" t="s">
        <v>118</v>
      </c>
      <c r="E131" s="8" t="s">
        <v>137</v>
      </c>
      <c r="F131" s="5" t="s">
        <v>116</v>
      </c>
      <c r="G131" s="8" t="s">
        <v>767</v>
      </c>
      <c r="H131" s="5" t="s">
        <v>116</v>
      </c>
      <c r="I131" s="8">
        <v>40</v>
      </c>
      <c r="J131" s="5" t="s">
        <v>119</v>
      </c>
      <c r="K131" s="9"/>
      <c r="L131" s="7" t="str">
        <f>IF(E133=$AC$5,"-------",IF(E133=$AC$6,"-------",IF(E133=$AC$7,"-------",IF(E133=$AC$8,IF(E141=$DS$10,"GSW76X1600N",IF(E141=$DS$11,"GSW76X2200N","")),0))))</f>
        <v>-------</v>
      </c>
      <c r="M131" s="11" t="str">
        <f>INDEX(cennik!$C$2:$L$529,MATCH($L131,cennik!$B$2:$B$522,0),MATCH(M$2,cennik!$C$1:$L$1,0))</f>
        <v>-------</v>
      </c>
      <c r="N131" s="11">
        <f>INDEX(cennik!$C$2:$L$529,MATCH($L131,cennik!$B$2:$B$522,0),MATCH(N$2,cennik!$C$1:$L$1,0))</f>
        <v>0</v>
      </c>
      <c r="O131" s="11">
        <f>IF(L131="-------",0,SUM(O133:O134))</f>
        <v>0</v>
      </c>
      <c r="P131" s="34">
        <f>INDEX(cennik!$C$2:$L$529,MATCH($L131,cennik!$B$2:$B$522,0),MATCH(P$2,cennik!$C$1:$L$1,0))</f>
        <v>0</v>
      </c>
      <c r="Q131" s="34">
        <f>O131*P131</f>
        <v>0</v>
      </c>
      <c r="R131" s="35">
        <f>$E$71</f>
        <v>0</v>
      </c>
      <c r="S131" s="34">
        <f t="shared" ref="S131:S156" si="187">P131*((100-$E$135)/100)</f>
        <v>0</v>
      </c>
      <c r="T131" s="34">
        <f>O131*S131</f>
        <v>0</v>
      </c>
      <c r="U131" s="34">
        <f>INDEX(cennik!$C$2:$L$529,MATCH($L131,cennik!$B$2:$B$522,0),MATCH(U$2,cennik!$C$1:$L$1,0))*O131</f>
        <v>0</v>
      </c>
      <c r="V131" s="25"/>
      <c r="W131" s="189">
        <f>(INDEX(($EL$112:$FI$115,$EL$118:$FI$121,$FL$112:$GI$115,$FL$118:$GI$121,$GS$112:$HP$116,$GS$119:$HP$123,$HT$112:$IQ$116,$HT$119:$IQ$123,$HT$126:$IQ$130),MATCH($L$145,$EK$112:$EK$115,0),MATCH(A137,$EL$111:$FI$111,0),MATCH($G$131,$AE$24:$AE$32,0)))*C137</f>
        <v>0</v>
      </c>
      <c r="X131" s="189">
        <f>(INDEX(($EL$112:$FI$115,$EL$118:$FI$121,$FL$112:$GI$115,$FL$118:$GI$121,$GS$112:$HP$116,$GS$119:$HP$123,$HT$112:$IQ$116,$HT$119:$IQ$123,$HT$126:$IQ$130),MATCH($L$142,$EK$112:$EK$115,0),MATCH(A137,$EL$111:$FI$111,0),MATCH($G$131,$AE$24:$AE$32,0)))*C137</f>
        <v>0</v>
      </c>
      <c r="Y131" s="189">
        <f>(INDEX(($EL$112:$FI$115,$EL$118:$FI$121,$FL$112:$GI$115,$FL$118:$GI$121,$GS$112:$HP$116,$GS$119:$HP$123,$HT$112:$IQ$116,$HT$119:$IQ$123,$HT$126:$IQ$130),MATCH($L$143,$EK$112:$EK$115,0),MATCH(A137,$EL$111:$FI$111,0),MATCH($G$131,$AE$24:$AE$32,0)))*C137</f>
        <v>0</v>
      </c>
      <c r="Z131" s="189">
        <f>(INDEX(($EL$112:$FI$115,$EL$118:$FI$121,$FL$112:$GI$115,$FL$118:$GI$121,$GS$112:$HP$116,$GS$119:$HP$123,$HT$112:$IQ$116,$HT$119:$IQ$123,$HT$126:$IQ$130),MATCH($L$144,$EK$112:$EK$115,0),MATCH(A137,$EL$111:$FI$111,0),MATCH($G$131,$AE$24:$AE$32,0)))*C137</f>
        <v>0</v>
      </c>
      <c r="AA131" s="21">
        <f t="shared" si="182"/>
        <v>0</v>
      </c>
      <c r="AB131" s="21">
        <f t="shared" si="183"/>
        <v>0</v>
      </c>
      <c r="AC131" s="21"/>
      <c r="AD131" s="21"/>
      <c r="AE131" s="21"/>
      <c r="AF131" s="21"/>
      <c r="AG131" s="21"/>
      <c r="AH131" s="21"/>
      <c r="AI131" s="180" t="s">
        <v>717</v>
      </c>
      <c r="AJ131" s="180" t="s">
        <v>1157</v>
      </c>
      <c r="AK131" s="21">
        <v>2</v>
      </c>
      <c r="AL131" s="21" t="s">
        <v>1022</v>
      </c>
      <c r="AM131" s="21">
        <v>4</v>
      </c>
      <c r="AN131" s="21">
        <v>5</v>
      </c>
      <c r="AO131" s="21">
        <f t="shared" si="184"/>
        <v>1</v>
      </c>
      <c r="AP131" s="21" t="s">
        <v>137</v>
      </c>
      <c r="AQ131" s="21" t="s">
        <v>594</v>
      </c>
      <c r="AR131" s="180" t="s">
        <v>596</v>
      </c>
      <c r="AS131" s="180" t="s">
        <v>594</v>
      </c>
      <c r="AT131" s="180" t="s">
        <v>594</v>
      </c>
      <c r="AX131" s="21"/>
      <c r="AY131" s="21"/>
      <c r="AZ131" s="21"/>
      <c r="BA131" s="21"/>
      <c r="BB131" s="21"/>
      <c r="BC131" s="21"/>
      <c r="BD131" s="21"/>
      <c r="BE131" s="21"/>
      <c r="BF131" s="21"/>
      <c r="BG131" s="21"/>
      <c r="BH131" s="21"/>
      <c r="BI131" s="21"/>
      <c r="BJ131" s="21"/>
      <c r="BK131" s="21"/>
      <c r="BL131" s="21"/>
      <c r="BM131" s="21"/>
      <c r="BN131" s="21"/>
      <c r="BO131" s="21"/>
      <c r="BP131" s="21"/>
      <c r="BQ131" s="21"/>
      <c r="BR131" s="21"/>
      <c r="BS131" s="21"/>
      <c r="BT131" s="21"/>
      <c r="BU131" s="21"/>
      <c r="BV131" s="21"/>
      <c r="BW131" s="21"/>
      <c r="BX131" s="21"/>
      <c r="BY131" s="21"/>
      <c r="BZ131" s="21"/>
      <c r="CA131" s="21"/>
      <c r="CB131" s="21"/>
      <c r="CC131" s="21"/>
      <c r="CD131" s="21"/>
      <c r="CE131" s="21"/>
      <c r="CF131" s="21"/>
      <c r="CG131" s="21"/>
      <c r="CH131" s="21"/>
      <c r="CI131" s="21"/>
      <c r="CJ131" s="21"/>
      <c r="CK131" s="21"/>
      <c r="CL131" s="21"/>
      <c r="CM131" s="21"/>
      <c r="CN131" s="21"/>
      <c r="CO131" s="21"/>
      <c r="CP131" s="21"/>
      <c r="CQ131" s="21"/>
      <c r="CR131" s="21"/>
      <c r="CS131" s="21"/>
      <c r="CT131" s="21"/>
      <c r="CU131" s="21"/>
      <c r="CV131" s="21"/>
      <c r="CW131" s="21"/>
      <c r="CX131" s="21"/>
      <c r="CY131" s="21"/>
      <c r="CZ131" s="21"/>
      <c r="DA131" s="21"/>
      <c r="DB131" s="21"/>
      <c r="DC131" s="21"/>
      <c r="DD131" s="21"/>
      <c r="DE131" s="21"/>
      <c r="DF131" s="21"/>
      <c r="DG131" s="21"/>
      <c r="DH131" s="21"/>
      <c r="DI131" s="21"/>
      <c r="DJ131" s="21"/>
      <c r="DK131" s="21"/>
      <c r="DL131" s="21"/>
      <c r="DM131" s="21"/>
      <c r="DN131" s="21"/>
      <c r="DO131" s="21"/>
      <c r="DP131" s="21"/>
      <c r="DQ131" s="87"/>
      <c r="DR131" s="87">
        <v>69</v>
      </c>
      <c r="DS131" s="87"/>
      <c r="DT131" s="21"/>
      <c r="DU131" s="21"/>
      <c r="DV131" s="21"/>
      <c r="DW131" s="21"/>
      <c r="DX131" s="21"/>
      <c r="DY131" s="21"/>
      <c r="DZ131" s="21"/>
      <c r="EA131" s="21"/>
      <c r="EB131" s="21"/>
      <c r="EC131" s="21"/>
      <c r="ED131" s="21"/>
      <c r="EE131" s="21"/>
      <c r="EF131" s="21"/>
      <c r="EG131" s="21"/>
      <c r="EH131" s="21"/>
      <c r="EI131" s="21"/>
      <c r="EJ131" s="203"/>
      <c r="EK131" s="204"/>
      <c r="EL131" s="204"/>
      <c r="EM131" s="204"/>
      <c r="EN131" s="204"/>
      <c r="EO131" s="204"/>
      <c r="EP131" s="204"/>
      <c r="EQ131" s="204"/>
      <c r="ER131" s="204"/>
      <c r="ES131" s="204"/>
      <c r="ET131" s="204"/>
      <c r="EU131" s="204"/>
      <c r="EV131" s="204"/>
      <c r="EW131" s="204"/>
      <c r="EX131" s="204"/>
      <c r="EY131" s="204"/>
      <c r="EZ131" s="204"/>
      <c r="FA131" s="204"/>
      <c r="FB131" s="204"/>
      <c r="FC131" s="204"/>
      <c r="FD131" s="204"/>
      <c r="FE131" s="204"/>
      <c r="FF131" s="204"/>
      <c r="FG131" s="204"/>
      <c r="FH131" s="204"/>
      <c r="FI131" s="204"/>
      <c r="FJ131" s="204"/>
      <c r="FK131" s="204"/>
      <c r="FL131" s="204"/>
      <c r="FM131" s="204"/>
      <c r="FN131" s="204"/>
      <c r="FO131" s="204"/>
      <c r="FP131" s="204"/>
      <c r="FQ131" s="204"/>
      <c r="FR131" s="204"/>
      <c r="FS131" s="204"/>
      <c r="FT131" s="204"/>
      <c r="FU131" s="204"/>
      <c r="FV131" s="204"/>
      <c r="FW131" s="204"/>
      <c r="FX131" s="204"/>
      <c r="FY131" s="204"/>
      <c r="FZ131" s="204"/>
      <c r="GA131" s="204"/>
      <c r="GB131" s="204"/>
      <c r="GC131" s="204"/>
      <c r="GD131" s="204"/>
      <c r="GE131" s="204"/>
      <c r="GF131" s="204"/>
      <c r="GG131" s="204"/>
      <c r="GH131" s="204"/>
      <c r="GI131" s="204"/>
      <c r="GJ131" s="204"/>
      <c r="GK131" s="204"/>
      <c r="GL131" s="204"/>
      <c r="GM131" s="204"/>
      <c r="GN131" s="204"/>
      <c r="GO131" s="204"/>
      <c r="GP131" s="204"/>
      <c r="GQ131" s="204"/>
      <c r="GR131" s="204"/>
      <c r="GS131" s="204"/>
      <c r="GT131" s="204"/>
      <c r="GU131" s="204"/>
      <c r="GV131" s="204"/>
      <c r="GW131" s="204"/>
      <c r="GX131" s="204"/>
      <c r="GY131" s="204"/>
      <c r="GZ131" s="204"/>
      <c r="HA131" s="204"/>
      <c r="HB131" s="204"/>
      <c r="HC131" s="204"/>
      <c r="HD131" s="204"/>
      <c r="HE131" s="204"/>
      <c r="HF131" s="204"/>
      <c r="HG131" s="204"/>
      <c r="HH131" s="204"/>
      <c r="HI131" s="208"/>
      <c r="HJ131" s="208"/>
      <c r="HK131" s="208"/>
      <c r="HL131" s="208"/>
      <c r="HM131" s="208"/>
      <c r="HN131" s="208"/>
      <c r="HO131" s="208"/>
      <c r="HP131" s="208"/>
      <c r="HQ131" s="208"/>
      <c r="HR131" s="208"/>
      <c r="HS131" s="208"/>
      <c r="HT131" s="208"/>
      <c r="HU131" s="208"/>
      <c r="HV131" s="208"/>
      <c r="HW131" s="208"/>
      <c r="HX131" s="208"/>
      <c r="HY131" s="208"/>
      <c r="HZ131" s="208"/>
      <c r="IA131" s="208"/>
      <c r="IB131" s="208"/>
      <c r="IC131" s="208"/>
      <c r="ID131" s="208"/>
      <c r="IE131" s="208"/>
      <c r="IF131" s="208"/>
      <c r="IG131" s="208"/>
      <c r="IH131" s="208"/>
      <c r="II131" s="208"/>
      <c r="IJ131" s="208"/>
      <c r="IK131" s="208"/>
      <c r="IL131" s="208"/>
      <c r="IM131" s="208"/>
      <c r="IN131" s="208"/>
      <c r="IO131" s="208"/>
      <c r="IP131" s="208"/>
      <c r="IQ131" s="208"/>
      <c r="IR131" s="209"/>
    </row>
    <row r="132" spans="1:252" x14ac:dyDescent="0.25">
      <c r="A132" s="8"/>
      <c r="B132" s="5" t="s">
        <v>116</v>
      </c>
      <c r="C132" s="8"/>
      <c r="D132" s="6" t="s">
        <v>124</v>
      </c>
      <c r="E132" s="8" t="s">
        <v>125</v>
      </c>
      <c r="F132" s="5"/>
      <c r="G132" s="5"/>
      <c r="H132" s="5"/>
      <c r="I132" s="5"/>
      <c r="J132" s="5"/>
      <c r="K132" s="9"/>
      <c r="L132" s="7" t="str">
        <f>IF(E133=$AC$5,"-------",IF(E133=$AC$6,"-------",IF(E133=$AC$7,"PCB70",IF(E133=$AC$8,"PCS70",0))))</f>
        <v>-------</v>
      </c>
      <c r="M132" s="11" t="str">
        <f>INDEX(cennik!$C$2:$L$529,MATCH($L132,cennik!$B$2:$B$522,0),MATCH(M$2,cennik!$C$1:$L$1,0))</f>
        <v>-------</v>
      </c>
      <c r="N132" s="11">
        <f>INDEX(cennik!$C$2:$L$529,MATCH($L132,cennik!$B$2:$B$522,0),MATCH(N$2,cennik!$C$1:$L$1,0))</f>
        <v>0</v>
      </c>
      <c r="O132" s="11">
        <f>IF(E133=AC7,SUM(O133:O134),IF(E133=AC8,SUM(O133:O134),IF(E133=AC5,0,IF(E133=AC6,0,0))))</f>
        <v>0</v>
      </c>
      <c r="P132" s="34">
        <f>INDEX(cennik!$C$2:$L$529,MATCH($L132,cennik!$B$2:$B$522,0),MATCH(P$2,cennik!$C$1:$L$1,0))</f>
        <v>0</v>
      </c>
      <c r="Q132" s="34">
        <f>O132*P132</f>
        <v>0</v>
      </c>
      <c r="R132" s="35">
        <f>$E$71</f>
        <v>0</v>
      </c>
      <c r="S132" s="34">
        <f t="shared" si="187"/>
        <v>0</v>
      </c>
      <c r="T132" s="34">
        <f>O132*S132</f>
        <v>0</v>
      </c>
      <c r="U132" s="34">
        <f>INDEX(cennik!$C$2:$L$529,MATCH($L132,cennik!$B$2:$B$522,0),MATCH(U$2,cennik!$C$1:$L$1,0))*O132</f>
        <v>0</v>
      </c>
      <c r="V132" s="25"/>
      <c r="W132" s="189">
        <f>(INDEX(($EL$112:$FI$115,$EL$118:$FI$121,$FL$112:$GI$115,$FL$118:$GI$121,$GS$112:$HP$116,$GS$119:$HP$123,$HT$112:$IQ$116,$HT$119:$IQ$123,$HT$126:$IQ$130),MATCH($L$145,$EK$112:$EK$115,0),MATCH(A138,$EL$111:$FI$111,0),MATCH($G$131,$AE$24:$AE$32,0)))*C138</f>
        <v>0</v>
      </c>
      <c r="X132" s="189">
        <f>(INDEX(($EL$112:$FI$115,$EL$118:$FI$121,$FL$112:$GI$115,$FL$118:$GI$121,$GS$112:$HP$116,$GS$119:$HP$123,$HT$112:$IQ$116,$HT$119:$IQ$123,$HT$126:$IQ$130),MATCH($L$142,$EK$112:$EK$115,0),MATCH(A138,$EL$111:$FI$111,0),MATCH($G$131,$AE$24:$AE$32,0)))*C138</f>
        <v>0</v>
      </c>
      <c r="Y132" s="189">
        <f>(INDEX(($EL$112:$FI$115,$EL$118:$FI$121,$FL$112:$GI$115,$FL$118:$GI$121,$GS$112:$HP$116,$GS$119:$HP$123,$HT$112:$IQ$116,$HT$119:$IQ$123,$HT$126:$IQ$130),MATCH($L$143,$EK$112:$EK$115,0),MATCH(A138,$EL$111:$FI$111,0),MATCH($G$131,$AE$24:$AE$32,0)))*C138</f>
        <v>0</v>
      </c>
      <c r="Z132" s="189">
        <f>(INDEX(($EL$112:$FI$115,$EL$118:$FI$121,$FL$112:$GI$115,$FL$118:$GI$121,$GS$112:$HP$116,$GS$119:$HP$123,$HT$112:$IQ$116,$HT$119:$IQ$123,$HT$126:$IQ$130),MATCH($L$144,$EK$112:$EK$115,0),MATCH(A138,$EL$111:$FI$111,0),MATCH($G$131,$AE$24:$AE$32,0)))*C138</f>
        <v>0</v>
      </c>
      <c r="AA132" s="21">
        <f t="shared" si="182"/>
        <v>0</v>
      </c>
      <c r="AB132" s="21">
        <f t="shared" si="183"/>
        <v>0</v>
      </c>
      <c r="AC132" s="21"/>
      <c r="AD132" s="21"/>
      <c r="AE132" s="21"/>
      <c r="AF132" s="21"/>
      <c r="AG132" s="21"/>
      <c r="AH132" s="21"/>
      <c r="AI132" s="180">
        <v>1</v>
      </c>
      <c r="AJ132" s="180">
        <v>2900</v>
      </c>
      <c r="AK132" s="21">
        <v>2900</v>
      </c>
      <c r="AL132" s="21">
        <v>2700</v>
      </c>
      <c r="AM132" s="21">
        <v>2700</v>
      </c>
      <c r="AN132" s="21" t="s">
        <v>719</v>
      </c>
      <c r="AO132" s="21">
        <f t="shared" si="184"/>
        <v>1</v>
      </c>
      <c r="AP132" s="21"/>
      <c r="AQ132" s="21"/>
      <c r="AX132" s="21"/>
      <c r="AY132" s="21"/>
      <c r="AZ132" s="21"/>
      <c r="BA132" s="21"/>
      <c r="BB132" s="21"/>
      <c r="BC132" s="21"/>
      <c r="BD132" s="21"/>
      <c r="BE132" s="21"/>
      <c r="BF132" s="21"/>
      <c r="BG132" s="21"/>
      <c r="BH132" s="21"/>
      <c r="BI132" s="21"/>
      <c r="BJ132" s="21"/>
      <c r="BK132" s="21"/>
      <c r="BL132" s="21"/>
      <c r="BM132" s="21"/>
      <c r="BN132" s="21"/>
      <c r="BO132" s="21"/>
      <c r="BP132" s="21"/>
      <c r="BQ132" s="21"/>
      <c r="BR132" s="21"/>
      <c r="BS132" s="21"/>
      <c r="BT132" s="21"/>
      <c r="BU132" s="21"/>
      <c r="BV132" s="21"/>
      <c r="BW132" s="21"/>
      <c r="BX132" s="21"/>
      <c r="BY132" s="21"/>
      <c r="BZ132" s="21"/>
      <c r="CA132" s="21"/>
      <c r="CB132" s="21"/>
      <c r="CC132" s="21"/>
      <c r="CD132" s="21"/>
      <c r="CE132" s="21"/>
      <c r="CF132" s="21"/>
      <c r="CG132" s="21"/>
      <c r="CH132" s="21"/>
      <c r="CI132" s="21"/>
      <c r="CJ132" s="21"/>
      <c r="CK132" s="21"/>
      <c r="CL132" s="21"/>
      <c r="CM132" s="21"/>
      <c r="CN132" s="21"/>
      <c r="CO132" s="21"/>
      <c r="CP132" s="21"/>
      <c r="CQ132" s="21"/>
      <c r="CR132" s="21"/>
      <c r="CS132" s="21"/>
      <c r="CT132" s="21"/>
      <c r="CU132" s="21"/>
      <c r="CV132" s="21"/>
      <c r="CW132" s="21"/>
      <c r="CX132" s="21"/>
      <c r="CY132" s="21"/>
      <c r="CZ132" s="21"/>
      <c r="DA132" s="21"/>
      <c r="DB132" s="21"/>
      <c r="DC132" s="21"/>
      <c r="DD132" s="21"/>
      <c r="DE132" s="21"/>
      <c r="DF132" s="21"/>
      <c r="DG132" s="21"/>
      <c r="DH132" s="21"/>
      <c r="DI132" s="21"/>
      <c r="DJ132" s="21"/>
      <c r="DK132" s="21"/>
      <c r="DL132" s="21"/>
      <c r="DM132" s="21"/>
      <c r="DN132" s="21"/>
      <c r="DO132" s="21"/>
      <c r="DP132" s="21"/>
      <c r="DQ132" s="87"/>
      <c r="DR132" s="87">
        <v>72</v>
      </c>
      <c r="DS132" s="87"/>
      <c r="DT132" s="21"/>
      <c r="DU132" s="21"/>
      <c r="DV132" s="21"/>
      <c r="DW132" s="21"/>
      <c r="DX132" s="21"/>
      <c r="DY132" s="21"/>
      <c r="DZ132" s="21"/>
      <c r="EA132" s="21"/>
      <c r="EB132" s="21"/>
      <c r="EC132" s="21"/>
      <c r="ED132" s="21"/>
      <c r="EE132" s="21"/>
      <c r="EF132" s="21"/>
      <c r="EG132" s="21"/>
      <c r="EH132" s="21"/>
      <c r="EI132" s="21"/>
      <c r="EJ132" s="21"/>
      <c r="EK132" s="21"/>
      <c r="EL132" s="21"/>
      <c r="EM132" s="21"/>
      <c r="EN132" s="21"/>
      <c r="EO132" s="21"/>
      <c r="EP132" s="21"/>
      <c r="EQ132" s="21"/>
      <c r="ER132" s="21"/>
      <c r="ES132" s="21"/>
      <c r="ET132" s="21"/>
      <c r="EU132" s="21"/>
      <c r="EV132" s="21"/>
      <c r="EW132" s="21"/>
      <c r="EX132" s="21"/>
      <c r="EY132" s="21"/>
      <c r="EZ132" s="21"/>
      <c r="FA132" s="21"/>
      <c r="FB132" s="21"/>
      <c r="FC132" s="21"/>
      <c r="FD132" s="21"/>
      <c r="FE132" s="21"/>
      <c r="FF132" s="21"/>
      <c r="FG132" s="21"/>
      <c r="FH132" s="21"/>
      <c r="FI132" s="21"/>
      <c r="FJ132" s="21"/>
      <c r="FK132" s="21"/>
      <c r="FL132" s="21"/>
      <c r="FM132" s="21"/>
      <c r="FN132" s="21"/>
      <c r="FO132" s="21"/>
      <c r="FP132" s="21"/>
      <c r="FQ132" s="21"/>
      <c r="FR132" s="21"/>
      <c r="FS132" s="21"/>
      <c r="FT132" s="21"/>
      <c r="FU132" s="21"/>
      <c r="FV132" s="21"/>
      <c r="FW132" s="21"/>
      <c r="FX132" s="21"/>
      <c r="FY132" s="21"/>
      <c r="FZ132" s="21"/>
      <c r="GA132" s="21"/>
      <c r="GB132" s="21"/>
      <c r="GC132" s="21"/>
      <c r="GD132" s="21"/>
      <c r="GE132" s="21"/>
      <c r="GF132" s="21"/>
      <c r="GG132" s="21"/>
      <c r="GH132" s="21"/>
      <c r="GI132" s="21"/>
      <c r="GJ132" s="21"/>
      <c r="GK132" s="21"/>
      <c r="GL132" s="21"/>
      <c r="GM132" s="21"/>
      <c r="GN132" s="21"/>
      <c r="GO132" s="21"/>
      <c r="GP132" s="21"/>
      <c r="GQ132" s="21"/>
      <c r="GR132" s="21"/>
      <c r="GS132" s="21"/>
      <c r="GT132" s="21"/>
      <c r="GU132" s="21"/>
      <c r="GV132" s="21"/>
      <c r="GW132" s="21"/>
      <c r="GX132" s="21"/>
      <c r="GY132" s="21"/>
      <c r="GZ132" s="21"/>
      <c r="HA132" s="21"/>
      <c r="HB132" s="21"/>
      <c r="HC132" s="21"/>
      <c r="HD132" s="21"/>
      <c r="HE132" s="21"/>
      <c r="HF132" s="21"/>
      <c r="HG132" s="21"/>
      <c r="HH132" s="21"/>
    </row>
    <row r="133" spans="1:252" ht="15.75" thickBot="1" x14ac:dyDescent="0.3">
      <c r="A133" s="8"/>
      <c r="B133" s="5" t="s">
        <v>116</v>
      </c>
      <c r="C133" s="8"/>
      <c r="D133" s="6" t="s">
        <v>307</v>
      </c>
      <c r="E133" s="8" t="s">
        <v>314</v>
      </c>
      <c r="F133" s="5"/>
      <c r="G133" s="5"/>
      <c r="H133" s="5"/>
      <c r="I133" s="5"/>
      <c r="J133" s="5"/>
      <c r="K133" s="9"/>
      <c r="L133" s="7" t="str">
        <f>IF(E133=$AC$5,"CWT70H50/3NMC",IF(E133=$AC$6,"CWT70H50/2NMC",IF(E133=$AC$7,"CWT70H50/1NMC",IF(E133=$AC$8,"CWT70H50/1NMC",0))))</f>
        <v>CWT70H50/3NMC</v>
      </c>
      <c r="M133" s="11">
        <f>INDEX(cennik!$C$2:$L$529,MATCH($L133,cennik!$B$2:$B$522,0),MATCH(M$2,cennik!$C$1:$L$1,0))</f>
        <v>867830</v>
      </c>
      <c r="N133" s="11" t="str">
        <f>INDEX(cennik!$C$2:$L$529,MATCH($L133,cennik!$B$2:$B$522,0),MATCH(N$2,cennik!$C$1:$L$1,0))</f>
        <v>szt.</v>
      </c>
      <c r="O133" s="11">
        <f>SUM(AB122:AB137)</f>
        <v>0</v>
      </c>
      <c r="P133" s="34">
        <f>INDEX(cennik!$C$2:$L$529,MATCH($L133,cennik!$B$2:$B$522,0),MATCH(P$2,cennik!$C$1:$L$1,0))</f>
        <v>151.83000000000001</v>
      </c>
      <c r="Q133" s="34">
        <f>O133*P133</f>
        <v>0</v>
      </c>
      <c r="R133" s="35">
        <f t="shared" ref="R133:R156" si="188">$E$135</f>
        <v>0</v>
      </c>
      <c r="S133" s="34">
        <f t="shared" si="187"/>
        <v>151.83000000000001</v>
      </c>
      <c r="T133" s="34">
        <f t="shared" ref="T133:T139" si="189">O133*S133</f>
        <v>0</v>
      </c>
      <c r="U133" s="34">
        <f>INDEX(cennik!$C$2:$L$529,MATCH($L133,cennik!$B$2:$B$522,0),MATCH(U$2,cennik!$C$1:$L$1,0))*O133</f>
        <v>0</v>
      </c>
      <c r="V133" s="25"/>
      <c r="W133" s="189">
        <f>(INDEX(($EL$112:$FI$115,$EL$118:$FI$121,$FL$112:$GI$115,$FL$118:$GI$121,$GS$112:$HP$116,$GS$119:$HP$123,$HT$112:$IQ$116,$HT$119:$IQ$123,$HT$126:$IQ$130),MATCH($L$145,$EK$112:$EK$115,0),MATCH(A139,$EL$111:$FI$111,0),MATCH($G$131,$AE$24:$AE$32,0)))*C139</f>
        <v>0</v>
      </c>
      <c r="X133" s="189">
        <f>(INDEX(($EL$112:$FI$115,$EL$118:$FI$121,$FL$112:$GI$115,$FL$118:$GI$121,$GS$112:$HP$116,$GS$119:$HP$123,$HT$112:$IQ$116,$HT$119:$IQ$123,$HT$126:$IQ$130),MATCH($L$142,$EK$112:$EK$115,0),MATCH(A139,$EL$111:$FI$111,0),MATCH($G$131,$AE$24:$AE$32,0)))*C139</f>
        <v>0</v>
      </c>
      <c r="Y133" s="189">
        <f>(INDEX(($EL$112:$FI$115,$EL$118:$FI$121,$FL$112:$GI$115,$FL$118:$GI$121,$GS$112:$HP$116,$GS$119:$HP$123,$HT$112:$IQ$116,$HT$119:$IQ$123,$HT$126:$IQ$130),MATCH($L$143,$EK$112:$EK$115,0),MATCH(A139,$EL$111:$FI$111,0),MATCH($G$131,$AE$24:$AE$32,0)))*C139</f>
        <v>0</v>
      </c>
      <c r="Z133" s="189">
        <f>(INDEX(($EL$112:$FI$115,$EL$118:$FI$121,$FL$112:$GI$115,$FL$118:$GI$121,$GS$112:$HP$116,$GS$119:$HP$123,$HT$112:$IQ$116,$HT$119:$IQ$123,$HT$126:$IQ$130),MATCH($L$144,$EK$112:$EK$115,0),MATCH(A139,$EL$111:$FI$111,0),MATCH($G$131,$AE$24:$AE$32,0)))*C139</f>
        <v>0</v>
      </c>
      <c r="AA133" s="21">
        <f t="shared" si="182"/>
        <v>0</v>
      </c>
      <c r="AB133" s="21">
        <f t="shared" si="183"/>
        <v>0</v>
      </c>
      <c r="AC133" s="21"/>
      <c r="AD133" s="21"/>
      <c r="AE133" s="21"/>
      <c r="AF133" s="21"/>
      <c r="AG133" s="21"/>
      <c r="AH133" s="21"/>
      <c r="AI133" s="180">
        <v>2</v>
      </c>
      <c r="AJ133" s="180" t="s">
        <v>719</v>
      </c>
      <c r="AK133" s="21">
        <v>2000</v>
      </c>
      <c r="AL133" s="21">
        <v>2000</v>
      </c>
      <c r="AM133" s="21" t="s">
        <v>719</v>
      </c>
      <c r="AN133" s="21" t="s">
        <v>719</v>
      </c>
      <c r="AO133" s="21">
        <f t="shared" si="184"/>
        <v>1</v>
      </c>
      <c r="AP133" s="186" t="s">
        <v>740</v>
      </c>
      <c r="AQ133" s="21"/>
      <c r="AX133" s="21"/>
      <c r="AY133" s="21"/>
      <c r="AZ133" s="21"/>
      <c r="BA133" s="21"/>
      <c r="BB133" s="21"/>
      <c r="BC133" s="21"/>
      <c r="BD133" s="21"/>
      <c r="BE133" s="21"/>
      <c r="BF133" s="21"/>
      <c r="BG133" s="21"/>
      <c r="BH133" s="21"/>
      <c r="BI133" s="21"/>
      <c r="BJ133" s="21"/>
      <c r="BK133" s="21"/>
      <c r="BL133" s="21"/>
      <c r="BM133" s="21"/>
      <c r="BN133" s="21"/>
      <c r="BO133" s="21"/>
      <c r="BP133" s="21"/>
      <c r="BQ133" s="21"/>
      <c r="BR133" s="21"/>
      <c r="BS133" s="21"/>
      <c r="BT133" s="21"/>
      <c r="BU133" s="21"/>
      <c r="BV133" s="21"/>
      <c r="BW133" s="21"/>
      <c r="BX133" s="21"/>
      <c r="BY133" s="21"/>
      <c r="BZ133" s="21"/>
      <c r="CA133" s="21"/>
      <c r="CB133" s="21"/>
      <c r="CC133" s="21"/>
      <c r="CD133" s="21"/>
      <c r="CE133" s="21"/>
      <c r="CF133" s="21"/>
      <c r="CG133" s="21"/>
      <c r="CH133" s="21"/>
      <c r="CI133" s="21"/>
      <c r="CJ133" s="21"/>
      <c r="CK133" s="21"/>
      <c r="CL133" s="21"/>
      <c r="CM133" s="21"/>
      <c r="CN133" s="21"/>
      <c r="CO133" s="21"/>
      <c r="CP133" s="21"/>
      <c r="CQ133" s="21"/>
      <c r="CR133" s="21"/>
      <c r="CS133" s="21"/>
      <c r="CT133" s="21"/>
      <c r="CU133" s="21"/>
      <c r="CV133" s="21"/>
      <c r="CW133" s="21"/>
      <c r="CX133" s="21"/>
      <c r="CY133" s="21"/>
      <c r="CZ133" s="21"/>
      <c r="DA133" s="21"/>
      <c r="DB133" s="21"/>
      <c r="DC133" s="21"/>
      <c r="DD133" s="21"/>
      <c r="DE133" s="21"/>
      <c r="DF133" s="21"/>
      <c r="DG133" s="21"/>
      <c r="DH133" s="21"/>
      <c r="DI133" s="21"/>
      <c r="DJ133" s="21"/>
      <c r="DK133" s="21"/>
      <c r="DL133" s="21"/>
      <c r="DM133" s="21"/>
      <c r="DN133" s="21"/>
      <c r="DO133" s="21"/>
      <c r="DP133" s="21"/>
      <c r="DQ133" s="87"/>
      <c r="DR133" s="87">
        <v>75</v>
      </c>
      <c r="DS133" s="87"/>
      <c r="DT133" s="21"/>
      <c r="DU133" s="21"/>
      <c r="DV133" s="21"/>
      <c r="DW133" s="21"/>
      <c r="DX133" s="21"/>
      <c r="DY133" s="21"/>
      <c r="DZ133" s="21"/>
      <c r="EA133" s="21"/>
      <c r="EB133" s="21"/>
      <c r="EC133" s="21"/>
      <c r="ED133" s="21"/>
      <c r="EE133" s="21"/>
      <c r="EF133" s="21"/>
      <c r="EG133" s="21"/>
      <c r="EH133" s="21"/>
      <c r="EI133" s="21"/>
      <c r="EJ133" s="21"/>
      <c r="EK133" s="21"/>
      <c r="EL133" s="21"/>
      <c r="EM133" s="21"/>
      <c r="EN133" s="21"/>
      <c r="EO133" s="21"/>
      <c r="EP133" s="21"/>
      <c r="EQ133" s="21"/>
      <c r="ER133" s="21"/>
      <c r="ES133" s="21"/>
      <c r="ET133" s="21"/>
      <c r="EU133" s="21"/>
      <c r="EV133" s="21"/>
      <c r="EW133" s="21"/>
      <c r="EX133" s="21"/>
      <c r="EY133" s="21"/>
      <c r="EZ133" s="21"/>
      <c r="FA133" s="21"/>
      <c r="FB133" s="21"/>
      <c r="FC133" s="21"/>
      <c r="FD133" s="21"/>
      <c r="FE133" s="21"/>
      <c r="FF133" s="21"/>
      <c r="FG133" s="21"/>
      <c r="FH133" s="21"/>
      <c r="FI133" s="21"/>
      <c r="FJ133" s="21"/>
      <c r="FK133" s="21"/>
      <c r="FL133" s="21"/>
      <c r="FM133" s="21"/>
      <c r="FN133" s="21"/>
      <c r="FO133" s="21"/>
      <c r="FP133" s="21"/>
      <c r="FQ133" s="21"/>
      <c r="FR133" s="21"/>
      <c r="FS133" s="21"/>
      <c r="FT133" s="21"/>
      <c r="FU133" s="21"/>
      <c r="FV133" s="21"/>
      <c r="FW133" s="21"/>
      <c r="FX133" s="21"/>
      <c r="FY133" s="21"/>
      <c r="FZ133" s="21"/>
      <c r="GA133" s="21"/>
      <c r="GB133" s="21"/>
      <c r="GC133" s="21"/>
      <c r="GD133" s="21"/>
      <c r="GE133" s="21"/>
      <c r="GF133" s="21"/>
      <c r="GG133" s="21"/>
      <c r="GH133" s="21"/>
      <c r="GI133" s="21"/>
      <c r="GJ133" s="21"/>
      <c r="GK133" s="21"/>
      <c r="GL133" s="21"/>
      <c r="GM133" s="21"/>
      <c r="GN133" s="21"/>
      <c r="GO133" s="21"/>
      <c r="GP133" s="21"/>
      <c r="GQ133" s="21"/>
      <c r="GR133" s="21"/>
      <c r="GS133" s="21"/>
      <c r="GT133" s="21"/>
      <c r="GU133" s="21"/>
      <c r="GV133" s="21"/>
      <c r="GW133" s="21"/>
      <c r="GX133" s="21"/>
      <c r="GY133" s="21"/>
      <c r="GZ133" s="21"/>
      <c r="HA133" s="21"/>
      <c r="HB133" s="21"/>
      <c r="HC133" s="21"/>
      <c r="HD133" s="21"/>
      <c r="HE133" s="21"/>
      <c r="HF133" s="21"/>
      <c r="HG133" s="21"/>
      <c r="HH133" s="21"/>
    </row>
    <row r="134" spans="1:252" x14ac:dyDescent="0.25">
      <c r="A134" s="8"/>
      <c r="B134" s="5" t="s">
        <v>116</v>
      </c>
      <c r="C134" s="8"/>
      <c r="D134" s="6" t="s">
        <v>315</v>
      </c>
      <c r="E134" s="8">
        <v>0</v>
      </c>
      <c r="F134" s="5"/>
      <c r="G134" s="5"/>
      <c r="H134" s="5"/>
      <c r="I134" s="5"/>
      <c r="J134" s="5" t="s">
        <v>412</v>
      </c>
      <c r="K134" s="9"/>
      <c r="L134" s="6" t="str">
        <f>INDEX((AQ123:AT131),MATCH(E131,AP123:AP131,0),MATCH(E133,AQ122:AT122,0))</f>
        <v>CWT70H50/3NMC</v>
      </c>
      <c r="M134" s="11">
        <f>INDEX(cennik!$C$2:$L$529,MATCH($L134,cennik!$B$2:$B$522,0),MATCH(M$2,cennik!$C$1:$L$1,0))</f>
        <v>867830</v>
      </c>
      <c r="N134" s="11" t="str">
        <f>INDEX(cennik!$C$2:$L$529,MATCH($L134,cennik!$B$2:$B$522,0),MATCH(N$2,cennik!$C$1:$L$1,0))</f>
        <v>szt.</v>
      </c>
      <c r="O134" s="11">
        <f>O133</f>
        <v>0</v>
      </c>
      <c r="P134" s="34">
        <f>INDEX(cennik!$C$2:$L$529,MATCH($L134,cennik!$B$2:$B$522,0),MATCH(P$2,cennik!$C$1:$L$1,0))</f>
        <v>151.83000000000001</v>
      </c>
      <c r="Q134" s="34">
        <f t="shared" ref="Q134:Q139" si="190">O134*P134</f>
        <v>0</v>
      </c>
      <c r="R134" s="35">
        <f t="shared" si="188"/>
        <v>0</v>
      </c>
      <c r="S134" s="34">
        <f t="shared" si="187"/>
        <v>151.83000000000001</v>
      </c>
      <c r="T134" s="34">
        <f t="shared" si="189"/>
        <v>0</v>
      </c>
      <c r="U134" s="34">
        <f>INDEX(cennik!$C$2:$L$529,MATCH($L134,cennik!$B$2:$B$522,0),MATCH(U$2,cennik!$C$1:$L$1,0))*O134</f>
        <v>0</v>
      </c>
      <c r="V134" s="25"/>
      <c r="W134" s="189">
        <f>(INDEX(($EL$112:$FI$115,$EL$118:$FI$121,$FL$112:$GI$115,$FL$118:$GI$121,$GS$112:$HP$116,$GS$119:$HP$123,$HT$112:$IQ$116,$HT$119:$IQ$123,$HT$126:$IQ$130),MATCH($L$145,$EK$112:$EK$115,0),MATCH(A140,$EL$111:$FI$111,0),MATCH($G$131,$AE$24:$AE$32,0)))*C140</f>
        <v>0</v>
      </c>
      <c r="X134" s="189">
        <f>(INDEX(($EL$112:$FI$115,$EL$118:$FI$121,$FL$112:$GI$115,$FL$118:$GI$121,$GS$112:$HP$116,$GS$119:$HP$123,$HT$112:$IQ$116,$HT$119:$IQ$123,$HT$126:$IQ$130),MATCH($L$142,$EK$112:$EK$115,0),MATCH(A140,$EL$111:$FI$111,0),MATCH($G$131,$AE$24:$AE$32,0)))*C140</f>
        <v>0</v>
      </c>
      <c r="Y134" s="189">
        <f>(INDEX(($EL$112:$FI$115,$EL$118:$FI$121,$FL$112:$GI$115,$FL$118:$GI$121,$GS$112:$HP$116,$GS$119:$HP$123,$HT$112:$IQ$116,$HT$119:$IQ$123,$HT$126:$IQ$130),MATCH($L$143,$EK$112:$EK$115,0),MATCH(A140,$EL$111:$FI$111,0),MATCH($G$131,$AE$24:$AE$32,0)))*C140</f>
        <v>0</v>
      </c>
      <c r="Z134" s="189">
        <f>(INDEX(($EL$112:$FI$115,$EL$118:$FI$121,$FL$112:$GI$115,$FL$118:$GI$121,$GS$112:$HP$116,$GS$119:$HP$123,$HT$112:$IQ$116,$HT$119:$IQ$123,$HT$126:$IQ$130),MATCH($L$144,$EK$112:$EK$115,0),MATCH(A140,$EL$111:$FI$111,0),MATCH($G$131,$AE$24:$AE$32,0)))*C140</f>
        <v>0</v>
      </c>
      <c r="AA134" s="21">
        <f t="shared" si="182"/>
        <v>0</v>
      </c>
      <c r="AB134" s="21">
        <f t="shared" si="183"/>
        <v>0</v>
      </c>
      <c r="AC134" s="21"/>
      <c r="AD134" s="21"/>
      <c r="AE134" s="21"/>
      <c r="AF134" s="21"/>
      <c r="AG134" s="21"/>
      <c r="AH134" s="21"/>
      <c r="AI134" s="180" t="s">
        <v>725</v>
      </c>
      <c r="AJ134" s="180">
        <v>2700</v>
      </c>
      <c r="AK134" s="21" t="s">
        <v>719</v>
      </c>
      <c r="AL134" s="21">
        <v>2000</v>
      </c>
      <c r="AM134" s="21" t="s">
        <v>719</v>
      </c>
      <c r="AN134" s="21">
        <v>1000</v>
      </c>
      <c r="AO134" s="21">
        <f t="shared" si="184"/>
        <v>1</v>
      </c>
      <c r="AP134" s="21"/>
      <c r="AQ134" s="21" t="s">
        <v>314</v>
      </c>
      <c r="AR134" s="180" t="s">
        <v>312</v>
      </c>
      <c r="AS134" s="180" t="s">
        <v>309</v>
      </c>
      <c r="AT134" s="180" t="s">
        <v>313</v>
      </c>
      <c r="AU134" s="21"/>
      <c r="AV134" s="21"/>
      <c r="AW134" s="21"/>
      <c r="AX134" s="21"/>
      <c r="AY134" s="21"/>
      <c r="AZ134" s="21"/>
      <c r="BA134" s="21"/>
      <c r="BB134" s="21"/>
      <c r="BC134" s="21"/>
      <c r="BD134" s="21"/>
      <c r="BE134" s="21"/>
      <c r="BF134" s="21"/>
      <c r="BG134" s="21"/>
      <c r="BH134" s="21"/>
      <c r="BI134" s="21"/>
      <c r="BJ134" s="21"/>
      <c r="BK134" s="21"/>
      <c r="BL134" s="21"/>
      <c r="BM134" s="21"/>
      <c r="BN134" s="21"/>
      <c r="BO134" s="21"/>
      <c r="BP134" s="21"/>
      <c r="BQ134" s="21"/>
      <c r="BR134" s="21"/>
      <c r="BS134" s="21"/>
      <c r="BT134" s="21"/>
      <c r="BU134" s="21"/>
      <c r="BV134" s="21"/>
      <c r="BW134" s="21"/>
      <c r="BX134" s="21"/>
      <c r="BY134" s="21"/>
      <c r="BZ134" s="21"/>
      <c r="CA134" s="21"/>
      <c r="CB134" s="21"/>
      <c r="CC134" s="21"/>
      <c r="CD134" s="21"/>
      <c r="CE134" s="21"/>
      <c r="CF134" s="21"/>
      <c r="CG134" s="21"/>
      <c r="CH134" s="21"/>
      <c r="CI134" s="21"/>
      <c r="CJ134" s="21"/>
      <c r="CK134" s="21"/>
      <c r="CL134" s="21"/>
      <c r="CM134" s="21"/>
      <c r="CN134" s="21"/>
      <c r="CO134" s="21"/>
      <c r="CP134" s="21"/>
      <c r="CQ134" s="21"/>
      <c r="CR134" s="21"/>
      <c r="CS134" s="21"/>
      <c r="CT134" s="21"/>
      <c r="CU134" s="21"/>
      <c r="CV134" s="21"/>
      <c r="CW134" s="21"/>
      <c r="CX134" s="21"/>
      <c r="CY134" s="21"/>
      <c r="CZ134" s="21"/>
      <c r="DA134" s="21"/>
      <c r="DB134" s="21"/>
      <c r="DC134" s="21"/>
      <c r="DD134" s="21"/>
      <c r="DE134" s="21"/>
      <c r="DF134" s="21"/>
      <c r="DG134" s="21"/>
      <c r="DH134" s="21"/>
      <c r="DI134" s="21"/>
      <c r="DJ134" s="21"/>
      <c r="DK134" s="21"/>
      <c r="DL134" s="21"/>
      <c r="DM134" s="21"/>
      <c r="DN134" s="21"/>
      <c r="DO134" s="21"/>
      <c r="DP134" s="21"/>
      <c r="DQ134" s="87"/>
      <c r="DR134" s="87"/>
      <c r="DS134" s="87"/>
      <c r="DT134" s="21"/>
      <c r="DU134" s="21"/>
      <c r="DV134" s="21"/>
      <c r="DW134" s="21"/>
      <c r="DX134" s="21"/>
      <c r="DY134" s="21"/>
      <c r="DZ134" s="21"/>
      <c r="EA134" s="21"/>
      <c r="EB134" s="21"/>
      <c r="EC134" s="21"/>
      <c r="ED134" s="21"/>
      <c r="EE134" s="21"/>
      <c r="EF134" s="21"/>
      <c r="EG134" s="21"/>
      <c r="EH134" s="21"/>
      <c r="EI134" s="193"/>
      <c r="EJ134" s="194"/>
      <c r="EK134" s="194"/>
      <c r="EL134" s="194"/>
      <c r="EM134" s="194"/>
      <c r="EN134" s="194"/>
      <c r="EO134" s="194"/>
      <c r="EP134" s="194"/>
      <c r="EQ134" s="194"/>
      <c r="ER134" s="194"/>
      <c r="ES134" s="194"/>
      <c r="ET134" s="194"/>
      <c r="EU134" s="194"/>
      <c r="EV134" s="194"/>
      <c r="EW134" s="194"/>
      <c r="EX134" s="194"/>
      <c r="EY134" s="194"/>
      <c r="EZ134" s="194"/>
      <c r="FA134" s="194"/>
      <c r="FB134" s="194"/>
      <c r="FC134" s="194"/>
      <c r="FD134" s="194"/>
      <c r="FE134" s="194"/>
      <c r="FF134" s="194"/>
      <c r="FG134" s="194"/>
      <c r="FH134" s="194"/>
      <c r="FI134" s="194"/>
      <c r="FJ134" s="194"/>
      <c r="FK134" s="194"/>
      <c r="FL134" s="194"/>
      <c r="FM134" s="194"/>
      <c r="FN134" s="194"/>
      <c r="FO134" s="194"/>
      <c r="FP134" s="194"/>
      <c r="FQ134" s="194"/>
      <c r="FR134" s="194"/>
      <c r="FS134" s="194"/>
      <c r="FT134" s="194"/>
      <c r="FU134" s="194"/>
      <c r="FV134" s="194"/>
      <c r="FW134" s="194"/>
      <c r="FX134" s="194"/>
      <c r="FY134" s="194"/>
      <c r="FZ134" s="194"/>
      <c r="GA134" s="194"/>
      <c r="GB134" s="194"/>
      <c r="GC134" s="194"/>
      <c r="GD134" s="194"/>
      <c r="GE134" s="194"/>
      <c r="GF134" s="194"/>
      <c r="GG134" s="194"/>
      <c r="GH134" s="194"/>
      <c r="GI134" s="194"/>
      <c r="GJ134" s="194"/>
      <c r="GK134" s="194"/>
      <c r="GL134" s="195"/>
      <c r="GM134" s="21"/>
      <c r="GN134" s="21"/>
      <c r="GO134" s="21"/>
      <c r="GP134" s="21"/>
      <c r="GQ134" s="21"/>
      <c r="GR134" s="21"/>
      <c r="GS134" s="21"/>
      <c r="GT134" s="21"/>
      <c r="GU134" s="21"/>
      <c r="GV134" s="21"/>
      <c r="GW134" s="21"/>
      <c r="GX134" s="21"/>
      <c r="GY134" s="21"/>
      <c r="GZ134" s="21"/>
      <c r="HA134" s="21"/>
      <c r="HB134" s="21"/>
      <c r="HC134" s="21"/>
      <c r="HD134" s="21"/>
      <c r="HE134" s="21"/>
      <c r="HF134" s="21"/>
      <c r="HG134" s="21"/>
      <c r="HH134" s="21"/>
    </row>
    <row r="135" spans="1:252" x14ac:dyDescent="0.25">
      <c r="A135" s="8"/>
      <c r="B135" s="5" t="s">
        <v>116</v>
      </c>
      <c r="C135" s="8"/>
      <c r="D135" s="6" t="s">
        <v>162</v>
      </c>
      <c r="E135" s="8">
        <v>0</v>
      </c>
      <c r="F135" s="5"/>
      <c r="G135" s="5"/>
      <c r="H135" s="5"/>
      <c r="I135" s="5"/>
      <c r="J135" s="5" t="s">
        <v>163</v>
      </c>
      <c r="K135" s="9"/>
      <c r="L135" s="6" t="str">
        <f>INDEX((AQ135:AT143),MATCH(E131,AP135:AP143,0),MATCH(E133,AQ134:AT134,0))</f>
        <v>CWT70H50/2NMC</v>
      </c>
      <c r="M135" s="11">
        <f>INDEX(cennik!$C$2:$L$529,MATCH($L135,cennik!$B$2:$B$522,0),MATCH(M$2,cennik!$C$1:$L$1,0))</f>
        <v>867820</v>
      </c>
      <c r="N135" s="11" t="str">
        <f>INDEX(cennik!$C$2:$L$529,MATCH($L135,cennik!$B$2:$B$522,0),MATCH(N$2,cennik!$C$1:$L$1,0))</f>
        <v>szt.</v>
      </c>
      <c r="O135" s="24">
        <f>IF(L135="CWT70H50/2NMC",O134,0)</f>
        <v>0</v>
      </c>
      <c r="P135" s="34">
        <f>INDEX(cennik!$C$2:$L$529,MATCH($L135,cennik!$B$2:$B$522,0),MATCH(P$2,cennik!$C$1:$L$1,0))</f>
        <v>101.22</v>
      </c>
      <c r="Q135" s="34">
        <f t="shared" si="190"/>
        <v>0</v>
      </c>
      <c r="R135" s="35">
        <f t="shared" si="188"/>
        <v>0</v>
      </c>
      <c r="S135" s="34">
        <f t="shared" si="187"/>
        <v>101.22</v>
      </c>
      <c r="T135" s="34">
        <f t="shared" si="189"/>
        <v>0</v>
      </c>
      <c r="U135" s="34">
        <f>INDEX(cennik!$C$2:$L$529,MATCH($L135,cennik!$B$2:$B$522,0),MATCH(U$2,cennik!$C$1:$L$1,0))*O135</f>
        <v>0</v>
      </c>
      <c r="V135" s="21"/>
      <c r="W135" s="189">
        <f>(INDEX(($EL$112:$FI$115,$EL$118:$FI$121,$FL$112:$GI$115,$FL$118:$GI$121,$GS$112:$HP$116,$GS$119:$HP$123,$HT$112:$IQ$116,$HT$119:$IQ$123,$HT$126:$IQ$130),MATCH($L$145,$EK$112:$EK$115,0),MATCH(A141,$EL$111:$FI$111,0),MATCH($G$131,$AE$24:$AE$32,0)))*C141</f>
        <v>0</v>
      </c>
      <c r="X135" s="189">
        <f>(INDEX(($EL$112:$FI$115,$EL$118:$FI$121,$FL$112:$GI$115,$FL$118:$GI$121,$GS$112:$HP$116,$GS$119:$HP$123,$HT$112:$IQ$116,$HT$119:$IQ$123,$HT$126:$IQ$130),MATCH($L$142,$EK$112:$EK$115,0),MATCH(A141,$EL$111:$FI$111,0),MATCH($G$131,$AE$24:$AE$32,0)))*C141</f>
        <v>0</v>
      </c>
      <c r="Y135" s="189">
        <f>(INDEX(($EL$112:$FI$115,$EL$118:$FI$121,$FL$112:$GI$115,$FL$118:$GI$121,$GS$112:$HP$116,$GS$119:$HP$123,$HT$112:$IQ$116,$HT$119:$IQ$123,$HT$126:$IQ$130),MATCH($L$143,$EK$112:$EK$115,0),MATCH(A141,$EL$111:$FI$111,0),MATCH($G$131,$AE$24:$AE$32,0)))*C141</f>
        <v>0</v>
      </c>
      <c r="Z135" s="189">
        <f>(INDEX(($EL$112:$FI$115,$EL$118:$FI$121,$FL$112:$GI$115,$FL$118:$GI$121,$GS$112:$HP$116,$GS$119:$HP$123,$HT$112:$IQ$116,$HT$119:$IQ$123,$HT$126:$IQ$130),MATCH($L$144,$EK$112:$EK$115,0),MATCH(A141,$EL$111:$FI$111,0),MATCH($G$131,$AE$24:$AE$32,0)))*C141</f>
        <v>0</v>
      </c>
      <c r="AA135" s="21">
        <f t="shared" si="182"/>
        <v>0</v>
      </c>
      <c r="AB135" s="21">
        <f t="shared" si="183"/>
        <v>0</v>
      </c>
      <c r="AC135" s="21"/>
      <c r="AD135" s="21"/>
      <c r="AE135" s="21"/>
      <c r="AF135" s="21"/>
      <c r="AG135" s="21"/>
      <c r="AH135" s="21"/>
      <c r="AI135" s="21"/>
      <c r="AJ135" s="21"/>
      <c r="AK135" s="21"/>
      <c r="AL135" s="21"/>
      <c r="AM135" s="21"/>
      <c r="AN135" s="21"/>
      <c r="AO135" s="21">
        <f t="shared" si="184"/>
        <v>1</v>
      </c>
      <c r="AP135" s="21" t="s">
        <v>111</v>
      </c>
      <c r="AQ135" s="21" t="s">
        <v>151</v>
      </c>
      <c r="AR135" s="180" t="s">
        <v>151</v>
      </c>
      <c r="AS135" s="180" t="s">
        <v>151</v>
      </c>
      <c r="AT135" s="180" t="s">
        <v>151</v>
      </c>
      <c r="AU135" s="21"/>
      <c r="AV135" s="21"/>
      <c r="AW135" s="21"/>
      <c r="AX135" s="21"/>
      <c r="AY135" s="21"/>
      <c r="AZ135" s="21"/>
      <c r="BA135" s="21"/>
      <c r="BB135" s="21"/>
      <c r="BC135" s="21"/>
      <c r="BD135" s="21"/>
      <c r="BE135" s="21"/>
      <c r="BF135" s="21"/>
      <c r="BG135" s="21"/>
      <c r="BH135" s="21"/>
      <c r="BI135" s="21"/>
      <c r="BJ135" s="21"/>
      <c r="BK135" s="21"/>
      <c r="BL135" s="21"/>
      <c r="BM135" s="21"/>
      <c r="BN135" s="21"/>
      <c r="BO135" s="21"/>
      <c r="BP135" s="21"/>
      <c r="BQ135" s="21"/>
      <c r="BR135" s="21"/>
      <c r="BS135" s="21"/>
      <c r="BT135" s="21"/>
      <c r="BU135" s="21"/>
      <c r="BV135" s="21"/>
      <c r="BW135" s="21"/>
      <c r="BX135" s="21"/>
      <c r="BY135" s="21"/>
      <c r="BZ135" s="21"/>
      <c r="CA135" s="21"/>
      <c r="CB135" s="21"/>
      <c r="CC135" s="21"/>
      <c r="CD135" s="21"/>
      <c r="CE135" s="21"/>
      <c r="CF135" s="21"/>
      <c r="CG135" s="21"/>
      <c r="CH135" s="21"/>
      <c r="CI135" s="21"/>
      <c r="CJ135" s="21"/>
      <c r="CK135" s="21"/>
      <c r="CL135" s="21"/>
      <c r="CM135" s="21"/>
      <c r="CN135" s="21"/>
      <c r="CO135" s="21"/>
      <c r="CP135" s="21"/>
      <c r="CQ135" s="21"/>
      <c r="CR135" s="21"/>
      <c r="CS135" s="21"/>
      <c r="CT135" s="21"/>
      <c r="CU135" s="21"/>
      <c r="CV135" s="21"/>
      <c r="CW135" s="21"/>
      <c r="CX135" s="21"/>
      <c r="CY135" s="21"/>
      <c r="CZ135" s="21"/>
      <c r="DA135" s="21"/>
      <c r="DB135" s="21"/>
      <c r="DC135" s="21"/>
      <c r="DD135" s="21"/>
      <c r="DE135" s="21"/>
      <c r="DF135" s="21"/>
      <c r="DG135" s="21"/>
      <c r="DH135" s="21"/>
      <c r="DI135" s="21"/>
      <c r="DJ135" s="21"/>
      <c r="DK135" s="21"/>
      <c r="DL135" s="21"/>
      <c r="DM135" s="21"/>
      <c r="DN135" s="21"/>
      <c r="DO135" s="21"/>
      <c r="DP135" s="21"/>
      <c r="DQ135" s="87"/>
      <c r="DR135" s="87"/>
      <c r="DS135" s="87"/>
      <c r="DT135" s="21"/>
      <c r="DU135" s="21"/>
      <c r="DV135" s="21"/>
      <c r="DW135" s="21"/>
      <c r="DX135" s="21"/>
      <c r="DY135" s="21"/>
      <c r="DZ135" s="21"/>
      <c r="EA135" s="21"/>
      <c r="EB135" s="21"/>
      <c r="EC135" s="21"/>
      <c r="ED135" s="21"/>
      <c r="EE135" s="21"/>
      <c r="EF135" s="21"/>
      <c r="EG135" s="21"/>
      <c r="EH135" s="21"/>
      <c r="EI135" s="196"/>
      <c r="EJ135" s="21"/>
      <c r="EK135" s="21"/>
      <c r="EL135" s="21"/>
      <c r="EM135" s="21"/>
      <c r="EN135" s="21"/>
      <c r="EO135" s="21"/>
      <c r="EP135" s="21"/>
      <c r="EQ135" s="21"/>
      <c r="ER135" s="21"/>
      <c r="ES135" s="21"/>
      <c r="ET135" s="21"/>
      <c r="EU135" s="21"/>
      <c r="EV135" s="21"/>
      <c r="EW135" s="21"/>
      <c r="EX135" s="21"/>
      <c r="EY135" s="21"/>
      <c r="EZ135" s="21"/>
      <c r="FA135" s="21"/>
      <c r="FB135" s="21"/>
      <c r="FC135" s="21"/>
      <c r="FD135" s="21"/>
      <c r="FE135" s="21"/>
      <c r="FF135" s="21"/>
      <c r="FG135" s="21"/>
      <c r="FH135" s="21"/>
      <c r="FI135" s="21"/>
      <c r="FJ135" s="21"/>
      <c r="FK135" s="21"/>
      <c r="FL135" s="21"/>
      <c r="FM135" s="21"/>
      <c r="FN135" s="21"/>
      <c r="FO135" s="21"/>
      <c r="FP135" s="21"/>
      <c r="FQ135" s="21"/>
      <c r="FR135" s="21"/>
      <c r="FS135" s="21"/>
      <c r="FT135" s="21"/>
      <c r="FU135" s="21"/>
      <c r="FV135" s="21"/>
      <c r="FW135" s="21"/>
      <c r="FX135" s="21"/>
      <c r="FY135" s="21"/>
      <c r="FZ135" s="21"/>
      <c r="GA135" s="21"/>
      <c r="GB135" s="21"/>
      <c r="GC135" s="21"/>
      <c r="GD135" s="21"/>
      <c r="GE135" s="21"/>
      <c r="GF135" s="21"/>
      <c r="GG135" s="21"/>
      <c r="GH135" s="21"/>
      <c r="GI135" s="21"/>
      <c r="GJ135" s="21"/>
      <c r="GK135" s="21"/>
      <c r="GL135" s="197"/>
      <c r="GM135" s="21"/>
      <c r="GN135" s="21"/>
      <c r="GO135" s="21"/>
      <c r="GP135" s="21"/>
      <c r="GQ135" s="21"/>
      <c r="GR135" s="21"/>
      <c r="GS135" s="21"/>
      <c r="GT135" s="21"/>
      <c r="GU135" s="21"/>
      <c r="GV135" s="21"/>
      <c r="GW135" s="21"/>
      <c r="GX135" s="21"/>
      <c r="GY135" s="21"/>
      <c r="GZ135" s="21"/>
      <c r="HA135" s="21"/>
      <c r="HB135" s="21"/>
      <c r="HC135" s="21"/>
      <c r="HD135" s="21"/>
      <c r="HE135" s="21"/>
      <c r="HF135" s="21"/>
      <c r="HG135" s="21"/>
      <c r="HH135" s="21"/>
    </row>
    <row r="136" spans="1:252" x14ac:dyDescent="0.25">
      <c r="A136" s="8"/>
      <c r="B136" s="5" t="s">
        <v>116</v>
      </c>
      <c r="C136" s="8"/>
      <c r="D136" s="6" t="s">
        <v>515</v>
      </c>
      <c r="E136" s="8">
        <v>0</v>
      </c>
      <c r="F136" s="5"/>
      <c r="G136" s="5"/>
      <c r="H136" s="5"/>
      <c r="I136" s="5"/>
      <c r="J136" s="5" t="s">
        <v>412</v>
      </c>
      <c r="K136" s="9"/>
      <c r="L136" s="92" t="str">
        <f>IF(L135="CWT70H50/2NMC","LCT70H50MC",IF(L135="CWT70H50/2,4NMC","LCT70H50MC","-------"))</f>
        <v>LCT70H50MC</v>
      </c>
      <c r="M136" s="11">
        <f>INDEX(cennik!$C$2:$L$529,MATCH($L136,cennik!$B$2:$B$522,0),MATCH(M$2,cennik!$C$1:$L$1,0))</f>
        <v>6620015</v>
      </c>
      <c r="N136" s="11" t="str">
        <f>INDEX(cennik!$C$2:$L$529,MATCH($L136,cennik!$B$2:$B$522,0),MATCH(N$2,cennik!$C$1:$L$1,0))</f>
        <v>szt.</v>
      </c>
      <c r="O136" s="24">
        <f>O135</f>
        <v>0</v>
      </c>
      <c r="P136" s="34">
        <f>INDEX(cennik!$C$2:$L$529,MATCH($L136,cennik!$B$2:$B$522,0),MATCH(P$2,cennik!$C$1:$L$1,0))</f>
        <v>14.6</v>
      </c>
      <c r="Q136" s="34">
        <f t="shared" si="190"/>
        <v>0</v>
      </c>
      <c r="R136" s="35">
        <f t="shared" si="188"/>
        <v>0</v>
      </c>
      <c r="S136" s="34">
        <f t="shared" si="187"/>
        <v>14.6</v>
      </c>
      <c r="T136" s="34">
        <f t="shared" si="189"/>
        <v>0</v>
      </c>
      <c r="U136" s="34">
        <f>INDEX(cennik!$C$2:$L$529,MATCH($L136,cennik!$B$2:$B$522,0),MATCH(U$2,cennik!$C$1:$L$1,0))*O136</f>
        <v>0</v>
      </c>
      <c r="V136" s="21"/>
      <c r="W136" s="189">
        <f>(INDEX(($EL$112:$FI$115,$EL$118:$FI$121,$FL$112:$GI$115,$FL$118:$GI$121,$GS$112:$HP$116,$GS$119:$HP$123,$HT$112:$IQ$116,$HT$119:$IQ$123,$HT$126:$IQ$130),MATCH($L$145,$EK$112:$EK$115,0),MATCH(A142,$EL$111:$FI$111,0),MATCH($G$131,$AE$24:$AE$32,0)))*C142</f>
        <v>0</v>
      </c>
      <c r="X136" s="189">
        <f>(INDEX(($EL$112:$FI$115,$EL$118:$FI$121,$FL$112:$GI$115,$FL$118:$GI$121,$GS$112:$HP$116,$GS$119:$HP$123,$HT$112:$IQ$116,$HT$119:$IQ$123,$HT$126:$IQ$130),MATCH($L$142,$EK$112:$EK$115,0),MATCH(A142,$EL$111:$FI$111,0),MATCH($G$131,$AE$24:$AE$32,0)))*C142</f>
        <v>0</v>
      </c>
      <c r="Y136" s="189">
        <f>(INDEX(($EL$112:$FI$115,$EL$118:$FI$121,$FL$112:$GI$115,$FL$118:$GI$121,$GS$112:$HP$116,$GS$119:$HP$123,$HT$112:$IQ$116,$HT$119:$IQ$123,$HT$126:$IQ$130),MATCH($L$143,$EK$112:$EK$115,0),MATCH(A142,$EL$111:$FI$111,0),MATCH($G$131,$AE$24:$AE$32,0)))*C142</f>
        <v>0</v>
      </c>
      <c r="Z136" s="189">
        <f>(INDEX(($EL$112:$FI$115,$EL$118:$FI$121,$FL$112:$GI$115,$FL$118:$GI$121,$GS$112:$HP$116,$GS$119:$HP$123,$HT$112:$IQ$116,$HT$119:$IQ$123,$HT$126:$IQ$130),MATCH($L$144,$EK$112:$EK$115,0),MATCH(A142,$EL$111:$FI$111,0),MATCH($G$131,$AE$24:$AE$32,0)))*C142</f>
        <v>0</v>
      </c>
      <c r="AA136" s="21">
        <f t="shared" si="182"/>
        <v>0</v>
      </c>
      <c r="AB136" s="21">
        <f t="shared" si="183"/>
        <v>0</v>
      </c>
      <c r="AC136" s="21"/>
      <c r="AD136" s="21"/>
      <c r="AE136" s="21"/>
      <c r="AF136" s="21"/>
      <c r="AG136" s="21"/>
      <c r="AH136" s="21"/>
      <c r="AI136" s="21"/>
      <c r="AJ136" s="21"/>
      <c r="AK136" s="21"/>
      <c r="AL136" s="21"/>
      <c r="AM136" s="21"/>
      <c r="AN136" s="21"/>
      <c r="AO136" s="21">
        <f t="shared" si="184"/>
        <v>1</v>
      </c>
      <c r="AP136" s="21" t="s">
        <v>112</v>
      </c>
      <c r="AQ136" s="21" t="s">
        <v>151</v>
      </c>
      <c r="AR136" s="21" t="s">
        <v>151</v>
      </c>
      <c r="AS136" s="21" t="s">
        <v>151</v>
      </c>
      <c r="AT136" s="21" t="s">
        <v>151</v>
      </c>
      <c r="AU136" s="21"/>
      <c r="AV136" s="21"/>
      <c r="AW136" s="21"/>
      <c r="AX136" s="21"/>
      <c r="AY136" s="21"/>
      <c r="AZ136" s="21"/>
      <c r="BA136" s="21"/>
      <c r="BB136" s="21"/>
      <c r="BC136" s="21"/>
      <c r="BD136" s="21"/>
      <c r="BE136" s="21"/>
      <c r="BF136" s="21"/>
      <c r="BG136" s="21"/>
      <c r="BH136" s="21"/>
      <c r="BI136" s="21"/>
      <c r="BJ136" s="21"/>
      <c r="BK136" s="21"/>
      <c r="BL136" s="21"/>
      <c r="BM136" s="21"/>
      <c r="BN136" s="21"/>
      <c r="BO136" s="21"/>
      <c r="BP136" s="21"/>
      <c r="BQ136" s="21"/>
      <c r="BR136" s="21"/>
      <c r="BS136" s="21"/>
      <c r="BT136" s="21"/>
      <c r="BU136" s="21"/>
      <c r="BV136" s="21"/>
      <c r="BW136" s="21"/>
      <c r="BX136" s="21"/>
      <c r="BY136" s="21"/>
      <c r="BZ136" s="21"/>
      <c r="CA136" s="21"/>
      <c r="CB136" s="21"/>
      <c r="CC136" s="21"/>
      <c r="CD136" s="21"/>
      <c r="CE136" s="21"/>
      <c r="CF136" s="21"/>
      <c r="CG136" s="21"/>
      <c r="CH136" s="21"/>
      <c r="CI136" s="21"/>
      <c r="CJ136" s="21"/>
      <c r="CK136" s="21"/>
      <c r="CL136" s="21"/>
      <c r="CM136" s="21"/>
      <c r="CN136" s="21"/>
      <c r="CO136" s="21"/>
      <c r="CP136" s="21"/>
      <c r="CQ136" s="21"/>
      <c r="CR136" s="21"/>
      <c r="CS136" s="21"/>
      <c r="CT136" s="21"/>
      <c r="CU136" s="21"/>
      <c r="CV136" s="21"/>
      <c r="CW136" s="21"/>
      <c r="CX136" s="21"/>
      <c r="CY136" s="21"/>
      <c r="CZ136" s="21"/>
      <c r="DA136" s="21"/>
      <c r="DB136" s="21"/>
      <c r="DC136" s="21"/>
      <c r="DD136" s="21"/>
      <c r="DE136" s="21"/>
      <c r="DF136" s="21"/>
      <c r="DG136" s="21"/>
      <c r="DH136" s="21"/>
      <c r="DI136" s="21"/>
      <c r="DJ136" s="21"/>
      <c r="DK136" s="21"/>
      <c r="DL136" s="21"/>
      <c r="DM136" s="21"/>
      <c r="DN136" s="21"/>
      <c r="DO136" s="21"/>
      <c r="DP136" s="21"/>
      <c r="DQ136" s="87"/>
      <c r="DR136" s="87"/>
      <c r="DS136" s="87"/>
      <c r="DT136" s="21"/>
      <c r="DU136" s="21"/>
      <c r="DV136" s="21"/>
      <c r="DW136" s="21"/>
      <c r="DX136" s="21"/>
      <c r="DY136" s="21"/>
      <c r="DZ136" s="21"/>
      <c r="EA136" s="21"/>
      <c r="EB136" s="21"/>
      <c r="EC136" s="21"/>
      <c r="ED136" s="21"/>
      <c r="EE136" s="21"/>
      <c r="EF136" s="21"/>
      <c r="EG136" s="21"/>
      <c r="EH136" s="21"/>
      <c r="EI136" s="196"/>
      <c r="EJ136" s="21" t="s">
        <v>768</v>
      </c>
      <c r="EK136" s="21"/>
      <c r="EL136" s="21"/>
      <c r="EM136" s="21"/>
      <c r="EN136" s="21"/>
      <c r="EO136" s="21"/>
      <c r="EP136" s="21"/>
      <c r="EQ136" s="21"/>
      <c r="ER136" s="21"/>
      <c r="ES136" s="21"/>
      <c r="ET136" s="21"/>
      <c r="EU136" s="21"/>
      <c r="EV136" s="21"/>
      <c r="EW136" s="21"/>
      <c r="EX136" s="21"/>
      <c r="EY136" s="21"/>
      <c r="EZ136" s="21"/>
      <c r="FA136" s="21"/>
      <c r="FB136" s="21"/>
      <c r="FC136" s="21"/>
      <c r="FD136" s="21"/>
      <c r="FE136" s="21"/>
      <c r="FF136" s="21"/>
      <c r="FG136" s="21"/>
      <c r="FH136" s="21"/>
      <c r="FI136" s="21"/>
      <c r="FJ136" s="21"/>
      <c r="FK136" s="21"/>
      <c r="FL136" s="21"/>
      <c r="FM136" s="21"/>
      <c r="FN136" s="21"/>
      <c r="FO136" s="21"/>
      <c r="FP136" s="21"/>
      <c r="FQ136" s="21"/>
      <c r="FR136" s="21"/>
      <c r="FS136" s="21"/>
      <c r="FT136" s="21"/>
      <c r="FU136" s="21"/>
      <c r="FV136" s="21"/>
      <c r="FW136" s="21"/>
      <c r="FX136" s="21"/>
      <c r="FY136" s="21"/>
      <c r="FZ136" s="21"/>
      <c r="GA136" s="21"/>
      <c r="GB136" s="21"/>
      <c r="GC136" s="21"/>
      <c r="GD136" s="21"/>
      <c r="GE136" s="21"/>
      <c r="GF136" s="21"/>
      <c r="GG136" s="21"/>
      <c r="GH136" s="21"/>
      <c r="GI136" s="21"/>
      <c r="GJ136" s="21"/>
      <c r="GK136" s="21"/>
      <c r="GL136" s="197"/>
      <c r="GM136" s="21"/>
      <c r="GN136" s="21"/>
      <c r="GO136" s="21"/>
      <c r="GP136" s="21"/>
      <c r="GQ136" s="21"/>
      <c r="GR136" s="21"/>
      <c r="GS136" s="21"/>
      <c r="GT136" s="21"/>
      <c r="GU136" s="21"/>
      <c r="GV136" s="21"/>
      <c r="GW136" s="21"/>
      <c r="GX136" s="21"/>
      <c r="GY136" s="21"/>
      <c r="GZ136" s="21"/>
      <c r="HA136" s="21"/>
      <c r="HB136" s="21"/>
      <c r="HC136" s="21"/>
      <c r="HD136" s="21"/>
      <c r="HE136" s="21"/>
      <c r="HF136" s="21"/>
      <c r="HG136" s="21"/>
      <c r="HH136" s="21"/>
    </row>
    <row r="137" spans="1:252" x14ac:dyDescent="0.25">
      <c r="A137" s="8"/>
      <c r="B137" s="5" t="s">
        <v>116</v>
      </c>
      <c r="C137" s="8"/>
      <c r="D137" s="6" t="s">
        <v>511</v>
      </c>
      <c r="E137" s="4"/>
      <c r="F137" s="6"/>
      <c r="G137" s="6"/>
      <c r="H137" s="6"/>
      <c r="I137" s="6"/>
      <c r="J137" s="1"/>
      <c r="K137" s="9"/>
      <c r="L137" s="6" t="str">
        <f>IF(E131=AE33,"BDFCH120/4,4NMC",IF(E131=AE34,"BDFCH120/4,4NMC",IF(E131=AE35,"BDFCH120/4,8NMC",IF(E131=AE36,"BDFCH120/4,8NMC",IF(E131=AE37,"BDFCH120/4,8NMC",IF(E131=AE38,"BDFCH120/5,4NMC",IF(E131=AE39,"BDFCH120/5,4NMC",IF(E131=AE40,"BDFCH120/5,4NMC",IF(E131=AE41,"BDFCH120/5,4NMC",IF(E131=AE42,"BDFTH120/6NMC",IF(E131=AE43,"BDFTH120/6NMC",IF(E131=AE44,"BDFTH120/6NMC",IF(E131=AE45,"BDFTH120/6NMC",IF(E131=AE46,"BDFTH120/6,4NMC",0))))))))))))))</f>
        <v>BDFCH120/5,4NMC</v>
      </c>
      <c r="M137" s="11">
        <f>INDEX(cennik!$C$2:$L$529,MATCH($L137,cennik!$B$2:$B$522,0),MATCH(M$2,cennik!$C$1:$L$1,0))</f>
        <v>863354</v>
      </c>
      <c r="N137" s="11" t="str">
        <f>INDEX(cennik!$C$2:$L$529,MATCH($L137,cennik!$B$2:$B$522,0),MATCH(N$2,cennik!$C$1:$L$1,0))</f>
        <v>szt.</v>
      </c>
      <c r="O137" s="11">
        <f>O133</f>
        <v>0</v>
      </c>
      <c r="P137" s="34">
        <f>INDEX(cennik!$C$2:$L$529,MATCH($L137,cennik!$B$2:$B$522,0),MATCH(P$2,cennik!$C$1:$L$1,0))</f>
        <v>222.13</v>
      </c>
      <c r="Q137" s="34">
        <f t="shared" si="190"/>
        <v>0</v>
      </c>
      <c r="R137" s="35">
        <f t="shared" si="188"/>
        <v>0</v>
      </c>
      <c r="S137" s="34">
        <f t="shared" si="187"/>
        <v>222.13</v>
      </c>
      <c r="T137" s="34">
        <f t="shared" si="189"/>
        <v>0</v>
      </c>
      <c r="U137" s="34">
        <f>INDEX(cennik!$C$2:$L$529,MATCH($L137,cennik!$B$2:$B$522,0),MATCH(U$2,cennik!$C$1:$L$1,0))*O137</f>
        <v>0</v>
      </c>
      <c r="V137" s="27"/>
      <c r="W137" s="189">
        <f>(INDEX(($EL$112:$FI$115,$EL$118:$FI$121,$FL$112:$GI$115,$FL$118:$GI$121,$GS$112:$HP$116,$GS$119:$HP$123,$HT$112:$IQ$116,$HT$119:$IQ$123,$HT$126:$IQ$130),MATCH($L$145,$EK$112:$EK$115,0),MATCH(A143,$EL$111:$FI$111,0),MATCH($G$131,$AE$24:$AE$32,0)))*C143</f>
        <v>0</v>
      </c>
      <c r="X137" s="189">
        <f>(INDEX(($EL$112:$FI$115,$EL$118:$FI$121,$FL$112:$GI$115,$FL$118:$GI$121,$GS$112:$HP$116,$GS$119:$HP$123,$HT$112:$IQ$116,$HT$119:$IQ$123,$HT$126:$IQ$130),MATCH($L$142,$EK$112:$EK$115,0),MATCH(A143,$EL$111:$FI$111,0),MATCH($G$131,$AE$24:$AE$32,0)))*C143</f>
        <v>0</v>
      </c>
      <c r="Y137" s="189">
        <f>(INDEX(($EL$112:$FI$115,$EL$118:$FI$121,$FL$112:$GI$115,$FL$118:$GI$121,$GS$112:$HP$116,$GS$119:$HP$123,$HT$112:$IQ$116,$HT$119:$IQ$123,$HT$126:$IQ$130),MATCH($L$143,$EK$112:$EK$115,0),MATCH(A143,$EL$111:$FI$111,0),MATCH($G$131,$AE$24:$AE$32,0)))*C143</f>
        <v>0</v>
      </c>
      <c r="Z137" s="189">
        <f>(INDEX(($EL$112:$FI$115,$EL$118:$FI$121,$FL$112:$GI$115,$FL$118:$GI$121,$GS$112:$HP$116,$GS$119:$HP$123,$HT$112:$IQ$116,$HT$119:$IQ$123,$HT$126:$IQ$130),MATCH($L$144,$EK$112:$EK$115,0),MATCH(A143,$EL$111:$FI$111,0),MATCH($G$131,$AE$24:$AE$32,0)))*C143</f>
        <v>0</v>
      </c>
      <c r="AA137" s="21">
        <f t="shared" si="182"/>
        <v>0</v>
      </c>
      <c r="AB137" s="21">
        <f t="shared" si="183"/>
        <v>0</v>
      </c>
      <c r="AC137" s="21"/>
      <c r="AD137" s="21"/>
      <c r="AE137" s="21"/>
      <c r="AF137" s="21"/>
      <c r="AG137" s="21"/>
      <c r="AH137" s="21" t="s">
        <v>159</v>
      </c>
      <c r="AI137" s="21"/>
      <c r="AJ137" s="21"/>
      <c r="AK137" s="21"/>
      <c r="AL137" s="21"/>
      <c r="AM137" s="21"/>
      <c r="AO137" s="21">
        <f t="shared" si="184"/>
        <v>1</v>
      </c>
      <c r="AP137" s="21" t="s">
        <v>132</v>
      </c>
      <c r="AQ137" s="21" t="s">
        <v>151</v>
      </c>
      <c r="AR137" s="180" t="s">
        <v>151</v>
      </c>
      <c r="AS137" s="180" t="s">
        <v>151</v>
      </c>
      <c r="AT137" s="180" t="s">
        <v>151</v>
      </c>
      <c r="AU137" s="21"/>
      <c r="AV137" s="21"/>
      <c r="AW137" s="21"/>
      <c r="AX137" s="21"/>
      <c r="AY137" s="21"/>
      <c r="AZ137" s="21"/>
      <c r="BA137" s="21"/>
      <c r="BB137" s="21"/>
      <c r="BC137" s="21"/>
      <c r="BD137" s="21"/>
      <c r="BE137" s="21"/>
      <c r="BF137" s="21"/>
      <c r="BG137" s="21"/>
      <c r="BH137" s="21"/>
      <c r="BI137" s="21"/>
      <c r="BJ137" s="21"/>
      <c r="BK137" s="21"/>
      <c r="BL137" s="21"/>
      <c r="BM137" s="21"/>
      <c r="BN137" s="21"/>
      <c r="BO137" s="21"/>
      <c r="BP137" s="21"/>
      <c r="BQ137" s="21"/>
      <c r="BR137" s="21"/>
      <c r="BS137" s="21"/>
      <c r="BT137" s="21"/>
      <c r="BU137" s="21"/>
      <c r="BV137" s="21"/>
      <c r="BW137" s="21"/>
      <c r="BX137" s="21"/>
      <c r="BY137" s="21"/>
      <c r="BZ137" s="21"/>
      <c r="CA137" s="21"/>
      <c r="CB137" s="21"/>
      <c r="CC137" s="21"/>
      <c r="CD137" s="21"/>
      <c r="CE137" s="21"/>
      <c r="CF137" s="21"/>
      <c r="CG137" s="21"/>
      <c r="CH137" s="21"/>
      <c r="CI137" s="21"/>
      <c r="CJ137" s="21"/>
      <c r="CK137" s="21"/>
      <c r="CL137" s="21"/>
      <c r="CM137" s="21"/>
      <c r="CN137" s="21"/>
      <c r="CO137" s="21"/>
      <c r="CP137" s="21"/>
      <c r="CQ137" s="21"/>
      <c r="CR137" s="21"/>
      <c r="CS137" s="21"/>
      <c r="CT137" s="21"/>
      <c r="CU137" s="21"/>
      <c r="CV137" s="21"/>
      <c r="CW137" s="21"/>
      <c r="CX137" s="21"/>
      <c r="CY137" s="21"/>
      <c r="CZ137" s="21"/>
      <c r="DA137" s="21"/>
      <c r="DB137" s="21"/>
      <c r="DC137" s="21"/>
      <c r="DD137" s="21"/>
      <c r="DE137" s="21"/>
      <c r="DF137" s="21"/>
      <c r="DG137" s="21"/>
      <c r="DH137" s="21"/>
      <c r="DI137" s="21"/>
      <c r="DJ137" s="21"/>
      <c r="DK137" s="21"/>
      <c r="DL137" s="21"/>
      <c r="DM137" s="21"/>
      <c r="DN137" s="21"/>
      <c r="DO137" s="21"/>
      <c r="DP137" s="21"/>
      <c r="DQ137" s="87"/>
      <c r="DR137" s="87">
        <v>0</v>
      </c>
      <c r="DS137" s="87"/>
      <c r="DT137" s="21"/>
      <c r="DU137" s="21"/>
      <c r="DV137" s="21"/>
      <c r="DW137" s="21"/>
      <c r="DX137" s="21"/>
      <c r="DY137" s="21"/>
      <c r="DZ137" s="21"/>
      <c r="EA137" s="21"/>
      <c r="EB137" s="21"/>
      <c r="EC137" s="21"/>
      <c r="ED137" s="21"/>
      <c r="EE137" s="21"/>
      <c r="EF137" s="21"/>
      <c r="EG137" s="21"/>
      <c r="EH137" s="21"/>
      <c r="EI137" s="196"/>
      <c r="EJ137" s="21"/>
      <c r="EK137" s="21"/>
      <c r="EL137" s="21"/>
      <c r="EM137" s="21"/>
      <c r="EN137" s="21"/>
      <c r="EO137" s="21"/>
      <c r="EP137" s="21"/>
      <c r="EQ137" s="21"/>
      <c r="ER137" s="21"/>
      <c r="ES137" s="21"/>
      <c r="ET137" s="21"/>
      <c r="EU137" s="21"/>
      <c r="EV137" s="21"/>
      <c r="EW137" s="21"/>
      <c r="EX137" s="21"/>
      <c r="EY137" s="21"/>
      <c r="EZ137" s="21"/>
      <c r="FA137" s="21"/>
      <c r="FB137" s="21"/>
      <c r="FC137" s="21"/>
      <c r="FD137" s="21"/>
      <c r="FE137" s="21"/>
      <c r="FF137" s="21"/>
      <c r="FG137" s="21"/>
      <c r="FH137" s="21"/>
      <c r="FI137" s="21"/>
      <c r="FJ137" s="21"/>
      <c r="FK137" s="21"/>
      <c r="FL137" s="21"/>
      <c r="FM137" s="21"/>
      <c r="FN137" s="21"/>
      <c r="FO137" s="21"/>
      <c r="FP137" s="21"/>
      <c r="FQ137" s="21"/>
      <c r="FR137" s="21"/>
      <c r="FS137" s="21"/>
      <c r="FT137" s="21"/>
      <c r="FU137" s="21"/>
      <c r="FV137" s="21"/>
      <c r="FW137" s="21"/>
      <c r="FX137" s="21"/>
      <c r="FY137" s="21"/>
      <c r="FZ137" s="21"/>
      <c r="GA137" s="21"/>
      <c r="GB137" s="21"/>
      <c r="GC137" s="21"/>
      <c r="GD137" s="21"/>
      <c r="GE137" s="21"/>
      <c r="GF137" s="21"/>
      <c r="GG137" s="21"/>
      <c r="GH137" s="21"/>
      <c r="GI137" s="21"/>
      <c r="GJ137" s="21"/>
      <c r="GK137" s="21"/>
      <c r="GL137" s="197"/>
      <c r="GM137" s="21"/>
      <c r="GN137" s="21"/>
      <c r="GO137" s="21"/>
      <c r="GP137" s="21"/>
      <c r="GQ137" s="21"/>
      <c r="GR137" s="21"/>
      <c r="GS137" s="21"/>
      <c r="GT137" s="21"/>
      <c r="GU137" s="21"/>
      <c r="GV137" s="21"/>
      <c r="GW137" s="21"/>
      <c r="GX137" s="21"/>
      <c r="GY137" s="21"/>
      <c r="GZ137" s="21"/>
      <c r="HA137" s="21"/>
      <c r="HB137" s="21"/>
      <c r="HC137" s="21"/>
      <c r="HD137" s="21"/>
      <c r="HE137" s="21"/>
      <c r="HF137" s="21"/>
      <c r="HG137" s="21"/>
      <c r="HH137" s="21"/>
    </row>
    <row r="138" spans="1:252" x14ac:dyDescent="0.25">
      <c r="A138" s="8"/>
      <c r="B138" s="5" t="s">
        <v>116</v>
      </c>
      <c r="C138" s="8"/>
      <c r="D138" s="6" t="s">
        <v>787</v>
      </c>
      <c r="E138" s="8">
        <v>1</v>
      </c>
      <c r="F138" s="39" t="s">
        <v>789</v>
      </c>
      <c r="G138" s="9"/>
      <c r="H138" s="9"/>
      <c r="I138" s="9"/>
      <c r="J138" s="9"/>
      <c r="K138" s="9"/>
      <c r="L138" s="6" t="str">
        <f>IF(L137="BDFCH120/4,4NMC","CMP41H41/1,7MC",IF(L137="BDFCH120/4,8NMC","CMP41H41/2,2MC",IF(L137="BDFCH120/5,4NMC","CMP41H41/2,2MC",0)))</f>
        <v>CMP41H41/2,2MC</v>
      </c>
      <c r="M138" s="11">
        <f>INDEX(cennik!$C$2:$L$529,MATCH($L138,cennik!$B$2:$B$522,0),MATCH(M$2,cennik!$C$1:$L$1,0))</f>
        <v>851122</v>
      </c>
      <c r="N138" s="11" t="str">
        <f>INDEX(cennik!$C$2:$L$529,MATCH($L138,cennik!$B$2:$B$522,0),MATCH(N$2,cennik!$C$1:$L$1,0))</f>
        <v>szt.</v>
      </c>
      <c r="O138" s="11">
        <f>O133</f>
        <v>0</v>
      </c>
      <c r="P138" s="34">
        <f>INDEX(cennik!$C$2:$L$529,MATCH($L138,cennik!$B$2:$B$522,0),MATCH(P$2,cennik!$C$1:$L$1,0))</f>
        <v>46.2</v>
      </c>
      <c r="Q138" s="34">
        <f t="shared" si="190"/>
        <v>0</v>
      </c>
      <c r="R138" s="35">
        <f t="shared" si="188"/>
        <v>0</v>
      </c>
      <c r="S138" s="34">
        <f t="shared" si="187"/>
        <v>46.2</v>
      </c>
      <c r="T138" s="34">
        <f t="shared" si="189"/>
        <v>0</v>
      </c>
      <c r="U138" s="34">
        <f>INDEX(cennik!$C$2:$L$529,MATCH($L138,cennik!$B$2:$B$522,0),MATCH(U$2,cennik!$C$1:$L$1,0))*O138</f>
        <v>0</v>
      </c>
      <c r="V138" s="27"/>
      <c r="W138" s="189">
        <f>(INDEX(($EL$112:$FI$115,$EL$118:$FI$121,$FL$112:$GI$115,$FL$118:$GI$121,$GS$112:$HP$116,$GS$119:$HP$123,$HT$112:$IQ$116,$HT$119:$IQ$123,$HT$126:$IQ$130),MATCH($L$145,$EK$112:$EK$115,0),MATCH(A144,$EL$111:$FI$111,0),MATCH($G$131,$AE$24:$AE$32,0)))*C144</f>
        <v>0</v>
      </c>
      <c r="X138" s="189">
        <f>(INDEX(($EL$112:$FI$115,$EL$118:$FI$121,$FL$112:$GI$115,$FL$118:$GI$121,$GS$112:$HP$116,$GS$119:$HP$123,$HT$112:$IQ$116,$HT$119:$IQ$123,$HT$126:$IQ$130),MATCH($L$142,$EK$112:$EK$115,0),MATCH(A144,$EL$111:$FI$111,0),MATCH($G$131,$AE$24:$AE$32,0)))*C144</f>
        <v>0</v>
      </c>
      <c r="Y138" s="189">
        <f>(INDEX(($EL$112:$FI$115,$EL$118:$FI$121,$FL$112:$GI$115,$FL$118:$GI$121,$GS$112:$HP$116,$GS$119:$HP$123,$HT$112:$IQ$116,$HT$119:$IQ$123,$HT$126:$IQ$130),MATCH($L$143,$EK$112:$EK$115,0),MATCH(A144,$EL$111:$FI$111,0),MATCH($G$131,$AE$24:$AE$32,0)))*C144</f>
        <v>0</v>
      </c>
      <c r="Z138" s="189">
        <f>(INDEX(($EL$112:$FI$115,$EL$118:$FI$121,$FL$112:$GI$115,$FL$118:$GI$121,$GS$112:$HP$116,$GS$119:$HP$123,$HT$112:$IQ$116,$HT$119:$IQ$123,$HT$126:$IQ$130),MATCH($L$144,$EK$112:$EK$115,0),MATCH(A144,$EL$111:$FI$111,0),MATCH($G$131,$AE$24:$AE$32,0)))*C144</f>
        <v>0</v>
      </c>
      <c r="AA138" s="21"/>
      <c r="AB138" s="21"/>
      <c r="AC138" s="21"/>
      <c r="AD138" s="21"/>
      <c r="AE138" s="21"/>
      <c r="AF138" s="21"/>
      <c r="AG138" s="21"/>
      <c r="AH138" s="21" t="s">
        <v>152</v>
      </c>
      <c r="AI138" s="21"/>
      <c r="AJ138" s="21"/>
      <c r="AK138" s="21"/>
      <c r="AL138" s="21"/>
      <c r="AM138" s="21"/>
      <c r="AP138" s="21" t="s">
        <v>470</v>
      </c>
      <c r="AQ138" s="21" t="s">
        <v>151</v>
      </c>
      <c r="AR138" s="180" t="s">
        <v>151</v>
      </c>
      <c r="AS138" s="180" t="s">
        <v>151</v>
      </c>
      <c r="AT138" s="180" t="s">
        <v>151</v>
      </c>
      <c r="AU138" s="21"/>
      <c r="AV138" s="21"/>
      <c r="AW138" s="21"/>
      <c r="AX138" s="21"/>
      <c r="AY138" s="21"/>
      <c r="AZ138" s="21"/>
      <c r="BA138" s="21"/>
      <c r="BB138" s="21"/>
      <c r="BC138" s="21"/>
      <c r="BD138" s="21"/>
      <c r="BE138" s="21"/>
      <c r="BF138" s="21"/>
      <c r="BG138" s="21"/>
      <c r="BH138" s="21" t="s">
        <v>114</v>
      </c>
      <c r="BI138" s="21">
        <v>0</v>
      </c>
      <c r="BJ138" s="21">
        <v>6</v>
      </c>
      <c r="BK138" s="21">
        <v>8</v>
      </c>
      <c r="BL138" s="21">
        <v>10</v>
      </c>
      <c r="BM138" s="21">
        <v>12</v>
      </c>
      <c r="BN138" s="21">
        <v>14</v>
      </c>
      <c r="BO138" s="21">
        <v>16</v>
      </c>
      <c r="BP138" s="21">
        <v>18</v>
      </c>
      <c r="BQ138" s="21">
        <v>20</v>
      </c>
      <c r="BR138" s="21">
        <v>22</v>
      </c>
      <c r="BS138" s="21">
        <v>24</v>
      </c>
      <c r="BT138" s="21">
        <v>26</v>
      </c>
      <c r="BU138" s="21">
        <v>28</v>
      </c>
      <c r="BV138" s="21">
        <v>30</v>
      </c>
      <c r="BW138" s="21">
        <v>32</v>
      </c>
      <c r="BX138" s="21">
        <v>34</v>
      </c>
      <c r="BY138" s="21">
        <v>36</v>
      </c>
      <c r="BZ138" s="21">
        <v>38</v>
      </c>
      <c r="CA138" s="21">
        <v>40</v>
      </c>
      <c r="CB138" s="21">
        <v>42</v>
      </c>
      <c r="CC138" s="21">
        <v>44</v>
      </c>
      <c r="CD138" s="21">
        <v>46</v>
      </c>
      <c r="CE138" s="21">
        <v>48</v>
      </c>
      <c r="CF138" s="21">
        <v>50</v>
      </c>
      <c r="CG138" s="21"/>
      <c r="CH138" s="21"/>
      <c r="CI138" s="21"/>
      <c r="CJ138" s="21"/>
      <c r="CK138" s="21"/>
      <c r="CL138" s="21"/>
      <c r="CM138" s="21"/>
      <c r="CN138" s="21" t="s">
        <v>474</v>
      </c>
      <c r="CO138" s="21">
        <v>0</v>
      </c>
      <c r="CP138" s="21">
        <v>6</v>
      </c>
      <c r="CQ138" s="21">
        <v>8</v>
      </c>
      <c r="CR138" s="21">
        <v>10</v>
      </c>
      <c r="CS138" s="21">
        <v>12</v>
      </c>
      <c r="CT138" s="21">
        <v>14</v>
      </c>
      <c r="CU138" s="21">
        <v>16</v>
      </c>
      <c r="CV138" s="21">
        <v>18</v>
      </c>
      <c r="CW138" s="21">
        <v>20</v>
      </c>
      <c r="CX138" s="21">
        <v>22</v>
      </c>
      <c r="CY138" s="21">
        <v>24</v>
      </c>
      <c r="CZ138" s="21">
        <v>26</v>
      </c>
      <c r="DA138" s="21">
        <v>28</v>
      </c>
      <c r="DB138" s="21">
        <v>30</v>
      </c>
      <c r="DC138" s="21">
        <v>32</v>
      </c>
      <c r="DD138" s="21">
        <v>34</v>
      </c>
      <c r="DE138" s="21">
        <v>36</v>
      </c>
      <c r="DF138" s="21">
        <v>38</v>
      </c>
      <c r="DG138" s="21">
        <v>40</v>
      </c>
      <c r="DH138" s="21">
        <v>42</v>
      </c>
      <c r="DI138" s="21">
        <v>44</v>
      </c>
      <c r="DJ138" s="21">
        <v>46</v>
      </c>
      <c r="DK138" s="21">
        <v>48</v>
      </c>
      <c r="DL138" s="21">
        <v>50</v>
      </c>
      <c r="DM138" s="21"/>
      <c r="DN138" s="21"/>
      <c r="DO138" s="21"/>
      <c r="DP138" s="21"/>
      <c r="DQ138" s="87"/>
      <c r="DR138" s="87">
        <v>6</v>
      </c>
      <c r="DS138" s="87"/>
      <c r="DT138" s="21"/>
      <c r="DU138" s="21"/>
      <c r="DV138" s="21"/>
      <c r="DW138" s="21"/>
      <c r="DX138" s="21"/>
      <c r="DY138" s="21"/>
      <c r="DZ138" s="21"/>
      <c r="EA138" s="21"/>
      <c r="EB138" s="21"/>
      <c r="EC138" s="21"/>
      <c r="ED138" s="21"/>
      <c r="EE138" s="21"/>
      <c r="EF138" s="21"/>
      <c r="EG138" s="21"/>
      <c r="EH138" s="21"/>
      <c r="EI138" s="196"/>
      <c r="EJ138" s="21"/>
      <c r="EK138" s="21" t="s">
        <v>114</v>
      </c>
      <c r="EL138" s="21">
        <v>0</v>
      </c>
      <c r="EM138" s="21">
        <v>6</v>
      </c>
      <c r="EN138" s="21">
        <v>8</v>
      </c>
      <c r="EO138" s="21">
        <v>10</v>
      </c>
      <c r="EP138" s="21">
        <v>12</v>
      </c>
      <c r="EQ138" s="21">
        <v>14</v>
      </c>
      <c r="ER138" s="21">
        <v>16</v>
      </c>
      <c r="ES138" s="21">
        <v>18</v>
      </c>
      <c r="ET138" s="21">
        <v>20</v>
      </c>
      <c r="EU138" s="21">
        <v>22</v>
      </c>
      <c r="EV138" s="21">
        <v>24</v>
      </c>
      <c r="EW138" s="21">
        <v>26</v>
      </c>
      <c r="EX138" s="21">
        <v>28</v>
      </c>
      <c r="EY138" s="21">
        <v>30</v>
      </c>
      <c r="EZ138" s="21">
        <v>32</v>
      </c>
      <c r="FA138" s="21">
        <v>34</v>
      </c>
      <c r="FB138" s="21">
        <v>36</v>
      </c>
      <c r="FC138" s="21">
        <v>38</v>
      </c>
      <c r="FD138" s="21">
        <v>40</v>
      </c>
      <c r="FE138" s="21">
        <v>42</v>
      </c>
      <c r="FF138" s="21">
        <v>44</v>
      </c>
      <c r="FG138" s="21">
        <v>46</v>
      </c>
      <c r="FH138" s="21">
        <v>48</v>
      </c>
      <c r="FI138" s="21">
        <v>50</v>
      </c>
      <c r="FJ138" s="21"/>
      <c r="FK138" s="21" t="s">
        <v>474</v>
      </c>
      <c r="FL138" s="21">
        <v>0</v>
      </c>
      <c r="FM138" s="21">
        <v>6</v>
      </c>
      <c r="FN138" s="21">
        <v>8</v>
      </c>
      <c r="FO138" s="21">
        <v>10</v>
      </c>
      <c r="FP138" s="21">
        <v>12</v>
      </c>
      <c r="FQ138" s="21">
        <v>14</v>
      </c>
      <c r="FR138" s="21">
        <v>16</v>
      </c>
      <c r="FS138" s="21">
        <v>18</v>
      </c>
      <c r="FT138" s="21">
        <v>20</v>
      </c>
      <c r="FU138" s="21">
        <v>22</v>
      </c>
      <c r="FV138" s="21">
        <v>24</v>
      </c>
      <c r="FW138" s="21">
        <v>26</v>
      </c>
      <c r="FX138" s="21">
        <v>28</v>
      </c>
      <c r="FY138" s="21">
        <v>30</v>
      </c>
      <c r="FZ138" s="21">
        <v>32</v>
      </c>
      <c r="GA138" s="21">
        <v>34</v>
      </c>
      <c r="GB138" s="21">
        <v>36</v>
      </c>
      <c r="GC138" s="21">
        <v>38</v>
      </c>
      <c r="GD138" s="21">
        <v>40</v>
      </c>
      <c r="GE138" s="21">
        <v>42</v>
      </c>
      <c r="GF138" s="21">
        <v>44</v>
      </c>
      <c r="GG138" s="21">
        <v>46</v>
      </c>
      <c r="GH138" s="21">
        <v>48</v>
      </c>
      <c r="GI138" s="21">
        <v>50</v>
      </c>
      <c r="GJ138" s="21"/>
      <c r="GK138" s="21"/>
      <c r="GL138" s="197"/>
      <c r="GM138" s="21"/>
      <c r="GN138" s="21"/>
      <c r="GO138" s="21"/>
      <c r="GP138" s="21"/>
      <c r="GQ138" s="21"/>
      <c r="GR138" s="21"/>
      <c r="GS138" s="21"/>
      <c r="GT138" s="21"/>
      <c r="GU138" s="21"/>
      <c r="GV138" s="21"/>
      <c r="GW138" s="21"/>
      <c r="GX138" s="21"/>
      <c r="GY138" s="21"/>
      <c r="GZ138" s="21"/>
      <c r="HA138" s="21"/>
      <c r="HB138" s="21"/>
      <c r="HC138" s="21"/>
      <c r="HD138" s="21"/>
      <c r="HE138" s="21"/>
      <c r="HF138" s="21"/>
      <c r="HG138" s="21"/>
      <c r="HH138" s="21"/>
    </row>
    <row r="139" spans="1:252" x14ac:dyDescent="0.25">
      <c r="A139" s="8"/>
      <c r="B139" s="5" t="s">
        <v>116</v>
      </c>
      <c r="C139" s="8"/>
      <c r="D139" s="6" t="s">
        <v>788</v>
      </c>
      <c r="E139" s="8" t="s">
        <v>1157</v>
      </c>
      <c r="F139" s="39" t="s">
        <v>790</v>
      </c>
      <c r="G139" s="9"/>
      <c r="H139" s="9"/>
      <c r="I139" s="9"/>
      <c r="J139" s="9"/>
      <c r="K139" s="9"/>
      <c r="L139" s="6" t="str">
        <f>IF(L137="BDFCH120/4,4NMC","-------",IF(L137="BDFCH120/4,8NMC","-------",IF(L137="BDFCH120/5,4NMC","CMP41H41/1,2MC",0)))</f>
        <v>CMP41H41/1,2MC</v>
      </c>
      <c r="M139" s="11">
        <f>INDEX(cennik!$C$2:$L$529,MATCH($L139,cennik!$B$2:$B$522,0),MATCH(M$2,cennik!$C$1:$L$1,0))</f>
        <v>856211</v>
      </c>
      <c r="N139" s="11" t="str">
        <f>INDEX(cennik!$C$2:$L$529,MATCH($L139,cennik!$B$2:$B$522,0),MATCH(N$2,cennik!$C$1:$L$1,0))</f>
        <v>szt.</v>
      </c>
      <c r="O139" s="11">
        <f>IF(L139="-------",0,O138)</f>
        <v>0</v>
      </c>
      <c r="P139" s="34">
        <f>INDEX(cennik!$C$2:$L$529,MATCH($L139,cennik!$B$2:$B$522,0),MATCH(P$2,cennik!$C$1:$L$1,0))</f>
        <v>25.2</v>
      </c>
      <c r="Q139" s="34">
        <f t="shared" si="190"/>
        <v>0</v>
      </c>
      <c r="R139" s="35">
        <f t="shared" si="188"/>
        <v>0</v>
      </c>
      <c r="S139" s="34">
        <f t="shared" si="187"/>
        <v>25.2</v>
      </c>
      <c r="T139" s="34">
        <f t="shared" si="189"/>
        <v>0</v>
      </c>
      <c r="U139" s="34">
        <f>INDEX(cennik!$C$2:$L$529,MATCH($L139,cennik!$B$2:$B$522,0),MATCH(U$2,cennik!$C$1:$L$1,0))*O139</f>
        <v>0</v>
      </c>
      <c r="V139" s="25"/>
      <c r="W139" s="189">
        <f>(INDEX(($EL$112:$FI$115,$EL$118:$FI$121,$FL$112:$GI$115,$FL$118:$GI$121,$GS$112:$HP$116,$GS$119:$HP$123,$HT$112:$IQ$116,$HT$119:$IQ$123,$HT$126:$IQ$130),MATCH($L$145,$EK$112:$EK$115,0),MATCH(A145,$EL$111:$FI$111,0),MATCH($G$131,$AE$24:$AE$32,0)))*C145</f>
        <v>0</v>
      </c>
      <c r="X139" s="189">
        <f>(INDEX(($EL$112:$FI$115,$EL$118:$FI$121,$FL$112:$GI$115,$FL$118:$GI$121,$GS$112:$HP$116,$GS$119:$HP$123,$HT$112:$IQ$116,$HT$119:$IQ$123,$HT$126:$IQ$130),MATCH($L$142,$EK$112:$EK$115,0),MATCH(A145,$EL$111:$FI$111,0),MATCH($G$131,$AE$24:$AE$32,0)))*C145</f>
        <v>0</v>
      </c>
      <c r="Y139" s="189">
        <f>(INDEX(($EL$112:$FI$115,$EL$118:$FI$121,$FL$112:$GI$115,$FL$118:$GI$121,$GS$112:$HP$116,$GS$119:$HP$123,$HT$112:$IQ$116,$HT$119:$IQ$123,$HT$126:$IQ$130),MATCH($L$143,$EK$112:$EK$115,0),MATCH(A145,$EL$111:$FI$111,0),MATCH($G$131,$AE$24:$AE$32,0)))*C145</f>
        <v>0</v>
      </c>
      <c r="Z139" s="189">
        <f>(INDEX(($EL$112:$FI$115,$EL$118:$FI$121,$FL$112:$GI$115,$FL$118:$GI$121,$GS$112:$HP$116,$GS$119:$HP$123,$HT$112:$IQ$116,$HT$119:$IQ$123,$HT$126:$IQ$130),MATCH($L$144,$EK$112:$EK$115,0),MATCH(A145,$EL$111:$FI$111,0),MATCH($G$131,$AE$24:$AE$32,0)))*C145</f>
        <v>0</v>
      </c>
      <c r="AA139" s="21"/>
      <c r="AB139" s="21"/>
      <c r="AC139" s="21"/>
      <c r="AD139" s="21"/>
      <c r="AE139" s="21"/>
      <c r="AF139" s="21"/>
      <c r="AG139" s="21"/>
      <c r="AH139" s="21">
        <v>50</v>
      </c>
      <c r="AI139" s="21">
        <v>1150</v>
      </c>
      <c r="AJ139" s="21"/>
      <c r="AK139" s="21"/>
      <c r="AL139" s="21"/>
      <c r="AM139" s="21"/>
      <c r="AP139" s="21" t="s">
        <v>472</v>
      </c>
      <c r="AQ139" s="21" t="s">
        <v>151</v>
      </c>
      <c r="AR139" s="180" t="s">
        <v>151</v>
      </c>
      <c r="AS139" s="180" t="s">
        <v>151</v>
      </c>
      <c r="AT139" s="180" t="s">
        <v>151</v>
      </c>
      <c r="AU139" s="21"/>
      <c r="AV139" s="21"/>
      <c r="AW139" s="21"/>
      <c r="AX139" s="21"/>
      <c r="AY139" s="21"/>
      <c r="AZ139" s="21"/>
      <c r="BA139" s="21"/>
      <c r="BB139" s="21"/>
      <c r="BC139" s="21"/>
      <c r="BD139" s="21"/>
      <c r="BE139" s="21"/>
      <c r="BF139" s="21"/>
      <c r="BG139" s="21"/>
      <c r="BH139" s="21" t="s">
        <v>217</v>
      </c>
      <c r="BI139" s="21">
        <v>0</v>
      </c>
      <c r="BJ139" s="21">
        <v>0</v>
      </c>
      <c r="BK139" s="21">
        <v>0</v>
      </c>
      <c r="BL139" s="21">
        <v>4</v>
      </c>
      <c r="BM139" s="21">
        <v>4</v>
      </c>
      <c r="BN139" s="21">
        <v>0</v>
      </c>
      <c r="BO139" s="21">
        <v>4</v>
      </c>
      <c r="BP139" s="21">
        <v>4</v>
      </c>
      <c r="BQ139" s="21">
        <v>4</v>
      </c>
      <c r="BR139" s="21">
        <v>0</v>
      </c>
      <c r="BS139" s="21">
        <v>8</v>
      </c>
      <c r="BT139" s="21">
        <v>4</v>
      </c>
      <c r="BU139" s="21">
        <v>4</v>
      </c>
      <c r="BV139" s="21">
        <v>4</v>
      </c>
      <c r="BW139" s="21">
        <v>4</v>
      </c>
      <c r="BX139" s="21">
        <v>4</v>
      </c>
      <c r="BY139" s="21">
        <v>4</v>
      </c>
      <c r="BZ139" s="21">
        <v>8</v>
      </c>
      <c r="CA139" s="21">
        <v>8</v>
      </c>
      <c r="CB139" s="21">
        <v>12</v>
      </c>
      <c r="CC139" s="21">
        <v>12</v>
      </c>
      <c r="CD139" s="21">
        <v>12</v>
      </c>
      <c r="CE139" s="21">
        <v>12</v>
      </c>
      <c r="CF139" s="21">
        <v>16</v>
      </c>
      <c r="CG139" s="21"/>
      <c r="CH139" s="21"/>
      <c r="CI139" s="21"/>
      <c r="CJ139" s="21"/>
      <c r="CK139" s="21"/>
      <c r="CL139" s="21"/>
      <c r="CM139" s="21"/>
      <c r="CN139" s="21" t="s">
        <v>217</v>
      </c>
      <c r="CO139" s="21">
        <v>0</v>
      </c>
      <c r="CP139" s="21">
        <v>0</v>
      </c>
      <c r="CQ139" s="21">
        <v>4</v>
      </c>
      <c r="CR139" s="21">
        <v>4</v>
      </c>
      <c r="CS139" s="21">
        <v>0</v>
      </c>
      <c r="CT139" s="21">
        <v>0</v>
      </c>
      <c r="CU139" s="21">
        <v>4</v>
      </c>
      <c r="CV139" s="21">
        <v>4</v>
      </c>
      <c r="CW139" s="21">
        <v>0</v>
      </c>
      <c r="CX139" s="21">
        <v>8</v>
      </c>
      <c r="CY139" s="21">
        <v>4</v>
      </c>
      <c r="CZ139" s="21">
        <v>4</v>
      </c>
      <c r="DA139" s="21">
        <v>8</v>
      </c>
      <c r="DB139" s="21">
        <v>8</v>
      </c>
      <c r="DC139" s="21">
        <v>4</v>
      </c>
      <c r="DD139" s="21">
        <v>12</v>
      </c>
      <c r="DE139" s="21">
        <v>8</v>
      </c>
      <c r="DF139" s="21">
        <v>8</v>
      </c>
      <c r="DG139" s="21">
        <v>12</v>
      </c>
      <c r="DH139" s="21">
        <v>12</v>
      </c>
      <c r="DI139" s="21">
        <v>8</v>
      </c>
      <c r="DJ139" s="21">
        <v>16</v>
      </c>
      <c r="DK139" s="21">
        <v>12</v>
      </c>
      <c r="DL139" s="21">
        <v>12</v>
      </c>
      <c r="DM139" s="21"/>
      <c r="DN139" s="21"/>
      <c r="DO139" s="21"/>
      <c r="DP139" s="21"/>
      <c r="DQ139" s="87">
        <v>8</v>
      </c>
      <c r="DR139" s="87">
        <v>8</v>
      </c>
      <c r="DS139" s="87"/>
      <c r="DT139" s="21"/>
      <c r="DU139" s="21"/>
      <c r="DV139" s="21"/>
      <c r="DW139" s="21"/>
      <c r="DX139" s="21"/>
      <c r="DY139" s="21"/>
      <c r="DZ139" s="21"/>
      <c r="EA139" s="21"/>
      <c r="EB139" s="21"/>
      <c r="EC139" s="21"/>
      <c r="ED139" s="21"/>
      <c r="EE139" s="21"/>
      <c r="EF139" s="21"/>
      <c r="EG139" s="21"/>
      <c r="EH139" s="21"/>
      <c r="EI139" s="196"/>
      <c r="EJ139" s="21"/>
      <c r="EK139" s="21" t="s">
        <v>586</v>
      </c>
      <c r="EL139" s="21">
        <v>0</v>
      </c>
      <c r="EM139" s="180">
        <v>0</v>
      </c>
      <c r="EN139" s="180">
        <v>0</v>
      </c>
      <c r="EO139" s="180">
        <v>4</v>
      </c>
      <c r="EP139" s="180">
        <v>0</v>
      </c>
      <c r="EQ139" s="180">
        <v>0</v>
      </c>
      <c r="ER139" s="180">
        <v>0</v>
      </c>
      <c r="ES139" s="180">
        <v>0</v>
      </c>
      <c r="ET139" s="180">
        <v>0</v>
      </c>
      <c r="EU139" s="180">
        <v>0</v>
      </c>
      <c r="EV139" s="180">
        <v>0</v>
      </c>
      <c r="EW139" s="180">
        <v>0</v>
      </c>
      <c r="EX139" s="180">
        <v>0</v>
      </c>
      <c r="EY139" s="180">
        <v>0</v>
      </c>
      <c r="EZ139" s="180">
        <v>0</v>
      </c>
      <c r="FA139" s="180">
        <v>0</v>
      </c>
      <c r="FB139" s="180">
        <v>0</v>
      </c>
      <c r="FC139" s="180">
        <v>0</v>
      </c>
      <c r="FD139" s="180">
        <v>0</v>
      </c>
      <c r="FE139" s="180">
        <v>0</v>
      </c>
      <c r="FF139" s="180">
        <v>0</v>
      </c>
      <c r="FG139" s="180">
        <v>0</v>
      </c>
      <c r="FH139" s="180">
        <v>0</v>
      </c>
      <c r="FI139" s="180">
        <v>0</v>
      </c>
      <c r="FK139" s="21" t="s">
        <v>586</v>
      </c>
      <c r="FL139" s="21">
        <v>0</v>
      </c>
      <c r="FM139" s="180">
        <v>0</v>
      </c>
      <c r="FN139" s="180">
        <v>4</v>
      </c>
      <c r="FO139" s="180">
        <v>4</v>
      </c>
      <c r="FP139" s="180">
        <v>0</v>
      </c>
      <c r="FQ139" s="180">
        <v>0</v>
      </c>
      <c r="FR139" s="180">
        <v>0</v>
      </c>
      <c r="FS139" s="180">
        <v>0</v>
      </c>
      <c r="FT139" s="180">
        <v>0</v>
      </c>
      <c r="FU139" s="180">
        <v>0</v>
      </c>
      <c r="FV139" s="180">
        <v>0</v>
      </c>
      <c r="FW139" s="180">
        <v>0</v>
      </c>
      <c r="FX139" s="180">
        <v>0</v>
      </c>
      <c r="FY139" s="180">
        <v>0</v>
      </c>
      <c r="FZ139" s="180">
        <v>0</v>
      </c>
      <c r="GA139" s="180">
        <v>0</v>
      </c>
      <c r="GB139" s="180">
        <v>0</v>
      </c>
      <c r="GC139" s="180">
        <v>0</v>
      </c>
      <c r="GD139" s="180">
        <v>0</v>
      </c>
      <c r="GE139" s="180">
        <v>0</v>
      </c>
      <c r="GF139" s="180">
        <v>0</v>
      </c>
      <c r="GG139" s="180">
        <v>0</v>
      </c>
      <c r="GH139" s="180">
        <v>0</v>
      </c>
      <c r="GI139" s="180">
        <v>0</v>
      </c>
      <c r="GJ139" s="21"/>
      <c r="GK139" s="21"/>
      <c r="GL139" s="197"/>
      <c r="GM139" s="21"/>
      <c r="GN139" s="21"/>
      <c r="GO139" s="21"/>
      <c r="GP139" s="21"/>
      <c r="GQ139" s="21"/>
      <c r="GR139" s="21"/>
      <c r="GS139" s="21"/>
      <c r="GT139" s="21"/>
      <c r="GU139" s="21"/>
      <c r="GV139" s="21"/>
      <c r="GW139" s="21"/>
      <c r="GX139" s="21"/>
      <c r="GY139" s="21"/>
      <c r="GZ139" s="21"/>
      <c r="HA139" s="21"/>
      <c r="HB139" s="21"/>
      <c r="HC139" s="21"/>
      <c r="HD139" s="21"/>
      <c r="HE139" s="21"/>
      <c r="HF139" s="21"/>
      <c r="HG139" s="21"/>
      <c r="HH139" s="21"/>
    </row>
    <row r="140" spans="1:252" x14ac:dyDescent="0.25">
      <c r="A140" s="8"/>
      <c r="B140" s="5" t="s">
        <v>116</v>
      </c>
      <c r="C140" s="8"/>
      <c r="D140" s="6" t="s">
        <v>718</v>
      </c>
      <c r="E140" s="32">
        <f>INDEX((AJ132:AN134),MATCH(E138,AI132:AI134,0),MATCH(E139,AJ131:AN131,0))</f>
        <v>2900</v>
      </c>
      <c r="F140" s="9"/>
      <c r="G140" s="9"/>
      <c r="H140" s="9"/>
      <c r="I140" s="9"/>
      <c r="J140" s="29" t="s">
        <v>119</v>
      </c>
      <c r="K140" s="9"/>
      <c r="L140" s="6" t="str">
        <f>IF(E140=$AJ$132,"CMP41H41/3,7MC",IF(E140=$AL$132,"CMP41H41/3,7MC",IF(E140=$AL$134,"CMP41H41/3,5MC",IF(E140=$AN$134,"CMP41H41/3MC","-------"))))</f>
        <v>CMP41H41/3,7MC</v>
      </c>
      <c r="M140" s="11">
        <f>INDEX(cennik!$C$2:$L$529,MATCH($L140,cennik!$B$2:$B$522,0),MATCH(M$2,cennik!$C$1:$L$1,0))</f>
        <v>852137</v>
      </c>
      <c r="N140" s="11" t="str">
        <f>INDEX(cennik!$C$2:$L$529,MATCH($L140,cennik!$B$2:$B$522,0),MATCH(N$2,cennik!$C$1:$L$1,0))</f>
        <v>szt.</v>
      </c>
      <c r="O140" s="10">
        <f>SUM(AA122:AA137)</f>
        <v>0</v>
      </c>
      <c r="P140" s="34">
        <f>INDEX(cennik!$C$2:$L$529,MATCH($L140,cennik!$B$2:$B$522,0),MATCH(P$2,cennik!$C$1:$L$1,0))</f>
        <v>77.7</v>
      </c>
      <c r="Q140" s="34">
        <f>O140*P140</f>
        <v>0</v>
      </c>
      <c r="R140" s="35">
        <f t="shared" si="188"/>
        <v>0</v>
      </c>
      <c r="S140" s="34">
        <f t="shared" si="187"/>
        <v>77.7</v>
      </c>
      <c r="T140" s="34">
        <f>O140*S140</f>
        <v>0</v>
      </c>
      <c r="U140" s="34">
        <f>INDEX(cennik!$C$2:$L$529,MATCH($L140,cennik!$B$2:$B$522,0),MATCH(U$2,cennik!$C$1:$L$1,0))*O140</f>
        <v>0</v>
      </c>
      <c r="V140" s="25"/>
      <c r="AC140" s="21"/>
      <c r="AD140" s="21"/>
      <c r="AE140" s="21"/>
      <c r="AF140" s="21"/>
      <c r="AG140" s="21"/>
      <c r="AH140" s="21">
        <f>((AH139/2)*AI139)+(((AH139/2)-1)*20)+100</f>
        <v>29330</v>
      </c>
      <c r="AI140" s="21" t="s">
        <v>158</v>
      </c>
      <c r="AJ140" s="21" t="s">
        <v>156</v>
      </c>
      <c r="AK140" s="21" t="s">
        <v>155</v>
      </c>
      <c r="AL140" s="21"/>
      <c r="AM140" s="21" t="s">
        <v>157</v>
      </c>
      <c r="AP140" s="21" t="s">
        <v>471</v>
      </c>
      <c r="AQ140" s="21" t="s">
        <v>592</v>
      </c>
      <c r="AR140" s="180" t="s">
        <v>151</v>
      </c>
      <c r="AS140" s="180" t="s">
        <v>151</v>
      </c>
      <c r="AT140" s="180" t="s">
        <v>151</v>
      </c>
      <c r="AU140" s="21"/>
      <c r="AV140" s="21"/>
      <c r="AW140" s="21"/>
      <c r="AX140" s="21"/>
      <c r="AY140" s="21"/>
      <c r="AZ140" s="21"/>
      <c r="BA140" s="21"/>
      <c r="BB140" s="21"/>
      <c r="BC140" s="21"/>
      <c r="BD140" s="21"/>
      <c r="BE140" s="21"/>
      <c r="BF140" s="21"/>
      <c r="BG140" s="21"/>
      <c r="BH140" s="21" t="s">
        <v>216</v>
      </c>
      <c r="BI140" s="21">
        <v>0</v>
      </c>
      <c r="BJ140" s="21">
        <v>0</v>
      </c>
      <c r="BK140" s="21">
        <v>4</v>
      </c>
      <c r="BL140" s="21">
        <v>0</v>
      </c>
      <c r="BM140" s="21">
        <v>0</v>
      </c>
      <c r="BN140" s="21">
        <v>4</v>
      </c>
      <c r="BO140" s="21">
        <v>0</v>
      </c>
      <c r="BP140" s="21">
        <v>0</v>
      </c>
      <c r="BQ140" s="21">
        <v>4</v>
      </c>
      <c r="BR140" s="21">
        <v>8</v>
      </c>
      <c r="BS140" s="21">
        <v>0</v>
      </c>
      <c r="BT140" s="21">
        <v>8</v>
      </c>
      <c r="BU140" s="21">
        <v>8</v>
      </c>
      <c r="BV140" s="21">
        <v>8</v>
      </c>
      <c r="BW140" s="21">
        <v>8</v>
      </c>
      <c r="BX140" s="21">
        <v>8</v>
      </c>
      <c r="BY140" s="21">
        <v>8</v>
      </c>
      <c r="BZ140" s="21">
        <v>8</v>
      </c>
      <c r="CA140" s="21">
        <v>8</v>
      </c>
      <c r="CB140" s="21">
        <v>4</v>
      </c>
      <c r="CC140" s="21">
        <v>4</v>
      </c>
      <c r="CD140" s="21">
        <v>4</v>
      </c>
      <c r="CE140" s="21">
        <v>4</v>
      </c>
      <c r="CF140" s="21">
        <v>0</v>
      </c>
      <c r="CG140" s="21"/>
      <c r="CH140" s="21"/>
      <c r="CI140" s="21"/>
      <c r="CJ140" s="21"/>
      <c r="CK140" s="21"/>
      <c r="CL140" s="21"/>
      <c r="CM140" s="21"/>
      <c r="CN140" s="21" t="s">
        <v>216</v>
      </c>
      <c r="CO140" s="21">
        <v>0</v>
      </c>
      <c r="CP140" s="21">
        <v>4</v>
      </c>
      <c r="CQ140" s="21">
        <v>0</v>
      </c>
      <c r="CR140" s="21">
        <v>0</v>
      </c>
      <c r="CS140" s="21">
        <v>4</v>
      </c>
      <c r="CT140" s="21">
        <v>8</v>
      </c>
      <c r="CU140" s="21">
        <v>0</v>
      </c>
      <c r="CV140" s="21">
        <v>4</v>
      </c>
      <c r="CW140" s="21">
        <v>8</v>
      </c>
      <c r="CX140" s="21">
        <v>0</v>
      </c>
      <c r="CY140" s="21">
        <v>4</v>
      </c>
      <c r="CZ140" s="21">
        <v>8</v>
      </c>
      <c r="DA140" s="21">
        <v>0</v>
      </c>
      <c r="DB140" s="21">
        <v>4</v>
      </c>
      <c r="DC140" s="21">
        <v>8</v>
      </c>
      <c r="DD140" s="21">
        <v>0</v>
      </c>
      <c r="DE140" s="21">
        <v>4</v>
      </c>
      <c r="DF140" s="21">
        <v>8</v>
      </c>
      <c r="DG140" s="21">
        <v>0</v>
      </c>
      <c r="DH140" s="21">
        <v>4</v>
      </c>
      <c r="DI140" s="21">
        <v>8</v>
      </c>
      <c r="DJ140" s="21">
        <v>0</v>
      </c>
      <c r="DK140" s="21">
        <v>4</v>
      </c>
      <c r="DL140" s="21">
        <v>8</v>
      </c>
      <c r="DM140" s="21"/>
      <c r="DN140" s="21"/>
      <c r="DO140" s="21"/>
      <c r="DP140" s="21"/>
      <c r="DQ140" s="87">
        <v>10</v>
      </c>
      <c r="DR140" s="87">
        <v>10</v>
      </c>
      <c r="DS140" s="87"/>
      <c r="DT140" s="21"/>
      <c r="DU140" s="21"/>
      <c r="DV140" s="21"/>
      <c r="DW140" s="21"/>
      <c r="DX140" s="21"/>
      <c r="DY140" s="21"/>
      <c r="DZ140" s="21"/>
      <c r="EA140" s="21"/>
      <c r="EB140" s="21"/>
      <c r="EC140" s="21"/>
      <c r="ED140" s="21"/>
      <c r="EE140" s="21"/>
      <c r="EF140" s="21"/>
      <c r="EG140" s="21"/>
      <c r="EH140" s="21"/>
      <c r="EI140" s="196"/>
      <c r="EK140" s="21" t="s">
        <v>522</v>
      </c>
      <c r="EL140" s="21">
        <v>0</v>
      </c>
      <c r="EM140" s="21">
        <f t="shared" ref="EM140:FI140" si="191">BJ140</f>
        <v>0</v>
      </c>
      <c r="EN140" s="21">
        <f t="shared" si="191"/>
        <v>4</v>
      </c>
      <c r="EO140" s="21">
        <f t="shared" si="191"/>
        <v>0</v>
      </c>
      <c r="EP140" s="21">
        <f t="shared" si="191"/>
        <v>0</v>
      </c>
      <c r="EQ140" s="21">
        <f t="shared" si="191"/>
        <v>4</v>
      </c>
      <c r="ER140" s="21">
        <f t="shared" si="191"/>
        <v>0</v>
      </c>
      <c r="ES140" s="21">
        <f t="shared" si="191"/>
        <v>0</v>
      </c>
      <c r="ET140" s="21">
        <f t="shared" si="191"/>
        <v>4</v>
      </c>
      <c r="EU140" s="21">
        <f t="shared" si="191"/>
        <v>8</v>
      </c>
      <c r="EV140" s="21">
        <f t="shared" si="191"/>
        <v>0</v>
      </c>
      <c r="EW140" s="21">
        <f t="shared" si="191"/>
        <v>8</v>
      </c>
      <c r="EX140" s="21">
        <f t="shared" si="191"/>
        <v>8</v>
      </c>
      <c r="EY140" s="21">
        <f t="shared" si="191"/>
        <v>8</v>
      </c>
      <c r="EZ140" s="21">
        <f t="shared" si="191"/>
        <v>8</v>
      </c>
      <c r="FA140" s="21">
        <f t="shared" si="191"/>
        <v>8</v>
      </c>
      <c r="FB140" s="21">
        <f t="shared" si="191"/>
        <v>8</v>
      </c>
      <c r="FC140" s="21">
        <f t="shared" si="191"/>
        <v>8</v>
      </c>
      <c r="FD140" s="21">
        <f t="shared" si="191"/>
        <v>8</v>
      </c>
      <c r="FE140" s="21">
        <f t="shared" si="191"/>
        <v>4</v>
      </c>
      <c r="FF140" s="21">
        <f t="shared" si="191"/>
        <v>4</v>
      </c>
      <c r="FG140" s="21">
        <f t="shared" si="191"/>
        <v>4</v>
      </c>
      <c r="FH140" s="21">
        <f t="shared" si="191"/>
        <v>4</v>
      </c>
      <c r="FI140" s="21">
        <f t="shared" si="191"/>
        <v>0</v>
      </c>
      <c r="FJ140" s="21"/>
      <c r="FK140" s="21" t="s">
        <v>522</v>
      </c>
      <c r="FL140" s="21">
        <v>0</v>
      </c>
      <c r="FM140" s="21">
        <f>CP140</f>
        <v>4</v>
      </c>
      <c r="FN140" s="21">
        <v>0</v>
      </c>
      <c r="FO140" s="21">
        <v>0</v>
      </c>
      <c r="FP140" s="21">
        <f t="shared" ref="FP140:GI140" si="192">CS140</f>
        <v>4</v>
      </c>
      <c r="FQ140" s="21">
        <f t="shared" si="192"/>
        <v>8</v>
      </c>
      <c r="FR140" s="21">
        <f t="shared" si="192"/>
        <v>0</v>
      </c>
      <c r="FS140" s="21">
        <f t="shared" si="192"/>
        <v>4</v>
      </c>
      <c r="FT140" s="21">
        <f t="shared" si="192"/>
        <v>8</v>
      </c>
      <c r="FU140" s="21">
        <f t="shared" si="192"/>
        <v>0</v>
      </c>
      <c r="FV140" s="21">
        <f t="shared" si="192"/>
        <v>4</v>
      </c>
      <c r="FW140" s="21">
        <f t="shared" si="192"/>
        <v>8</v>
      </c>
      <c r="FX140" s="21">
        <f t="shared" si="192"/>
        <v>0</v>
      </c>
      <c r="FY140" s="21">
        <f t="shared" si="192"/>
        <v>4</v>
      </c>
      <c r="FZ140" s="21">
        <f t="shared" si="192"/>
        <v>8</v>
      </c>
      <c r="GA140" s="21">
        <f t="shared" si="192"/>
        <v>0</v>
      </c>
      <c r="GB140" s="21">
        <f t="shared" si="192"/>
        <v>4</v>
      </c>
      <c r="GC140" s="21">
        <f t="shared" si="192"/>
        <v>8</v>
      </c>
      <c r="GD140" s="21">
        <f t="shared" si="192"/>
        <v>0</v>
      </c>
      <c r="GE140" s="21">
        <f t="shared" si="192"/>
        <v>4</v>
      </c>
      <c r="GF140" s="21">
        <f t="shared" si="192"/>
        <v>8</v>
      </c>
      <c r="GG140" s="21">
        <f t="shared" si="192"/>
        <v>0</v>
      </c>
      <c r="GH140" s="21">
        <f t="shared" si="192"/>
        <v>4</v>
      </c>
      <c r="GI140" s="21">
        <f t="shared" si="192"/>
        <v>8</v>
      </c>
      <c r="GJ140" s="21"/>
      <c r="GK140" s="21"/>
      <c r="GL140" s="197"/>
      <c r="GM140" s="21"/>
      <c r="GN140" s="21"/>
      <c r="GO140" s="21"/>
      <c r="GP140" s="21"/>
      <c r="GQ140" s="21"/>
      <c r="GR140" s="21"/>
      <c r="GS140" s="21"/>
      <c r="GT140" s="21"/>
      <c r="GU140" s="21"/>
      <c r="GV140" s="21"/>
      <c r="GW140" s="21"/>
      <c r="GX140" s="21"/>
      <c r="GY140" s="21"/>
      <c r="GZ140" s="21"/>
      <c r="HA140" s="21"/>
      <c r="HB140" s="21"/>
      <c r="HC140" s="21"/>
      <c r="HD140" s="21"/>
      <c r="HE140" s="21"/>
      <c r="HF140" s="21"/>
      <c r="HG140" s="21"/>
      <c r="HH140" s="21"/>
    </row>
    <row r="141" spans="1:252" x14ac:dyDescent="0.25">
      <c r="A141" s="8"/>
      <c r="B141" s="5" t="s">
        <v>116</v>
      </c>
      <c r="C141" s="8"/>
      <c r="D141" s="6" t="str">
        <f>IF(E133=$AC$8,"długość śruby GSW","")</f>
        <v/>
      </c>
      <c r="E141" s="38">
        <v>1600</v>
      </c>
      <c r="F141" s="9"/>
      <c r="G141" s="9"/>
      <c r="H141" s="9"/>
      <c r="I141" s="9"/>
      <c r="J141" s="29" t="str">
        <f>IF(E133=$AC$8,"[mm]","")</f>
        <v/>
      </c>
      <c r="K141" s="9"/>
      <c r="L141" s="6" t="s">
        <v>1111</v>
      </c>
      <c r="M141" s="11">
        <f>INDEX(cennik!$C$2:$L$529,MATCH($L141,cennik!$B$2:$B$522,0),MATCH(M$2,cennik!$C$1:$L$1,0))</f>
        <v>850252</v>
      </c>
      <c r="N141" s="11" t="str">
        <f>INDEX(cennik!$C$2:$L$529,MATCH($L141,cennik!$B$2:$B$522,0),MATCH(N$2,cennik!$C$1:$L$1,0))</f>
        <v>szt.</v>
      </c>
      <c r="O141" s="11">
        <f>O133+O139</f>
        <v>0</v>
      </c>
      <c r="P141" s="34">
        <f>INDEX(cennik!$C$2:$L$529,MATCH($L141,cennik!$B$2:$B$522,0),MATCH(P$2,cennik!$C$1:$L$1,0))</f>
        <v>6.06</v>
      </c>
      <c r="Q141" s="34">
        <f>O141*P141</f>
        <v>0</v>
      </c>
      <c r="R141" s="35">
        <f t="shared" si="188"/>
        <v>0</v>
      </c>
      <c r="S141" s="34">
        <f t="shared" si="187"/>
        <v>6.06</v>
      </c>
      <c r="T141" s="34">
        <f>O141*S141</f>
        <v>0</v>
      </c>
      <c r="U141" s="34">
        <f>INDEX(cennik!$C$2:$L$529,MATCH($L141,cennik!$B$2:$B$522,0),MATCH(U$2,cennik!$C$1:$L$1,0))*O141</f>
        <v>0</v>
      </c>
      <c r="V141" s="25"/>
      <c r="AC141" s="21"/>
      <c r="AD141" s="21"/>
      <c r="AE141" s="21"/>
      <c r="AF141" s="21"/>
      <c r="AG141" s="21" t="s">
        <v>217</v>
      </c>
      <c r="AH141" s="21">
        <v>6600</v>
      </c>
      <c r="AI141" s="21">
        <v>4</v>
      </c>
      <c r="AJ141" s="21">
        <f>AH141*AI141</f>
        <v>26400</v>
      </c>
      <c r="AK141" s="21">
        <v>191.1</v>
      </c>
      <c r="AL141" s="21">
        <f>AI141*AK141</f>
        <v>764.4</v>
      </c>
      <c r="AM141" s="21">
        <f>AI141*4</f>
        <v>16</v>
      </c>
      <c r="AP141" s="21" t="s">
        <v>473</v>
      </c>
      <c r="AQ141" s="21" t="s">
        <v>592</v>
      </c>
      <c r="AR141" s="180" t="s">
        <v>151</v>
      </c>
      <c r="AS141" s="180" t="s">
        <v>151</v>
      </c>
      <c r="AT141" s="180" t="s">
        <v>151</v>
      </c>
      <c r="AU141" s="21"/>
      <c r="AV141" s="21"/>
      <c r="AW141" s="21"/>
      <c r="AX141" s="21"/>
      <c r="AY141" s="21"/>
      <c r="AZ141" s="21"/>
      <c r="BA141" s="21"/>
      <c r="BB141" s="21"/>
      <c r="BC141" s="21"/>
      <c r="BD141" s="21"/>
      <c r="BE141" s="21"/>
      <c r="BF141" s="21"/>
      <c r="BG141" s="21"/>
      <c r="BH141" s="21" t="s">
        <v>17</v>
      </c>
      <c r="BI141" s="21">
        <v>0</v>
      </c>
      <c r="BJ141" s="21">
        <v>4</v>
      </c>
      <c r="BK141" s="21">
        <v>0</v>
      </c>
      <c r="BL141" s="21">
        <v>0</v>
      </c>
      <c r="BM141" s="21">
        <v>0</v>
      </c>
      <c r="BN141" s="21">
        <v>4</v>
      </c>
      <c r="BO141" s="21">
        <v>4</v>
      </c>
      <c r="BP141" s="21">
        <v>4</v>
      </c>
      <c r="BQ141" s="21">
        <v>0</v>
      </c>
      <c r="BR141" s="21">
        <v>4</v>
      </c>
      <c r="BS141" s="21">
        <v>0</v>
      </c>
      <c r="BT141" s="21">
        <v>0</v>
      </c>
      <c r="BU141" s="21">
        <v>0</v>
      </c>
      <c r="BV141" s="21">
        <v>0</v>
      </c>
      <c r="BW141" s="21">
        <v>4</v>
      </c>
      <c r="BX141" s="21">
        <v>4</v>
      </c>
      <c r="BY141" s="21">
        <v>4</v>
      </c>
      <c r="BZ141" s="21">
        <v>0</v>
      </c>
      <c r="CA141" s="21">
        <v>0</v>
      </c>
      <c r="CB141" s="21">
        <v>0</v>
      </c>
      <c r="CC141" s="21">
        <v>0</v>
      </c>
      <c r="CD141" s="21">
        <v>0</v>
      </c>
      <c r="CE141" s="21">
        <v>4</v>
      </c>
      <c r="CF141" s="21">
        <v>0</v>
      </c>
      <c r="CG141" s="21"/>
      <c r="CH141" s="21"/>
      <c r="CI141" s="21"/>
      <c r="CJ141" s="21"/>
      <c r="CK141" s="21"/>
      <c r="CL141" s="21"/>
      <c r="CM141" s="21"/>
      <c r="CN141" s="21" t="s">
        <v>17</v>
      </c>
      <c r="CO141" s="21">
        <v>0</v>
      </c>
      <c r="CP141" s="21">
        <v>0</v>
      </c>
      <c r="CQ141" s="21">
        <v>0</v>
      </c>
      <c r="CR141" s="21">
        <v>0</v>
      </c>
      <c r="CS141" s="21">
        <v>4</v>
      </c>
      <c r="CT141" s="21">
        <v>0</v>
      </c>
      <c r="CU141" s="21">
        <v>4</v>
      </c>
      <c r="CV141" s="21">
        <v>0</v>
      </c>
      <c r="CW141" s="21">
        <v>4</v>
      </c>
      <c r="CX141" s="21">
        <v>0</v>
      </c>
      <c r="CY141" s="21">
        <v>4</v>
      </c>
      <c r="CZ141" s="21">
        <v>0</v>
      </c>
      <c r="DA141" s="21">
        <v>4</v>
      </c>
      <c r="DB141" s="21">
        <v>0</v>
      </c>
      <c r="DC141" s="21">
        <v>4</v>
      </c>
      <c r="DD141" s="21">
        <v>0</v>
      </c>
      <c r="DE141" s="21">
        <v>4</v>
      </c>
      <c r="DF141" s="21">
        <v>0</v>
      </c>
      <c r="DG141" s="21">
        <v>4</v>
      </c>
      <c r="DH141" s="21">
        <v>0</v>
      </c>
      <c r="DI141" s="21">
        <v>4</v>
      </c>
      <c r="DJ141" s="21">
        <v>0</v>
      </c>
      <c r="DK141" s="21">
        <v>4</v>
      </c>
      <c r="DL141" s="21">
        <v>0</v>
      </c>
      <c r="DM141" s="21"/>
      <c r="DN141" s="21"/>
      <c r="DO141" s="21"/>
      <c r="DP141" s="21"/>
      <c r="DQ141" s="87">
        <v>12</v>
      </c>
      <c r="DR141" s="87">
        <v>12</v>
      </c>
      <c r="DS141" s="87"/>
      <c r="DT141" s="21"/>
      <c r="DU141" s="21"/>
      <c r="DV141" s="21"/>
      <c r="DW141" s="21"/>
      <c r="DX141" s="21"/>
      <c r="DY141" s="21"/>
      <c r="DZ141" s="21"/>
      <c r="EA141" s="21"/>
      <c r="EB141" s="21"/>
      <c r="EC141" s="21"/>
      <c r="ED141" s="21"/>
      <c r="EE141" s="21"/>
      <c r="EF141" s="21"/>
      <c r="EG141" s="21"/>
      <c r="EH141" s="21"/>
      <c r="EI141" s="196"/>
      <c r="EK141" s="21" t="s">
        <v>523</v>
      </c>
      <c r="EL141" s="21">
        <v>0</v>
      </c>
      <c r="EM141" s="21">
        <f>BJ141+(BJ139*2)</f>
        <v>4</v>
      </c>
      <c r="EN141" s="21">
        <f>BK141+(BK139*2)</f>
        <v>0</v>
      </c>
      <c r="EO141" s="21">
        <v>0</v>
      </c>
      <c r="EP141" s="21">
        <f t="shared" ref="EP141:FI141" si="193">BM141+(BM139*2)</f>
        <v>8</v>
      </c>
      <c r="EQ141" s="21">
        <f t="shared" si="193"/>
        <v>4</v>
      </c>
      <c r="ER141" s="21">
        <f t="shared" si="193"/>
        <v>12</v>
      </c>
      <c r="ES141" s="21">
        <f t="shared" si="193"/>
        <v>12</v>
      </c>
      <c r="ET141" s="21">
        <f t="shared" si="193"/>
        <v>8</v>
      </c>
      <c r="EU141" s="21">
        <f t="shared" si="193"/>
        <v>4</v>
      </c>
      <c r="EV141" s="21">
        <f t="shared" si="193"/>
        <v>16</v>
      </c>
      <c r="EW141" s="21">
        <f t="shared" si="193"/>
        <v>8</v>
      </c>
      <c r="EX141" s="21">
        <f t="shared" si="193"/>
        <v>8</v>
      </c>
      <c r="EY141" s="21">
        <f t="shared" si="193"/>
        <v>8</v>
      </c>
      <c r="EZ141" s="21">
        <f t="shared" si="193"/>
        <v>12</v>
      </c>
      <c r="FA141" s="21">
        <f t="shared" si="193"/>
        <v>12</v>
      </c>
      <c r="FB141" s="21">
        <f t="shared" si="193"/>
        <v>12</v>
      </c>
      <c r="FC141" s="21">
        <f t="shared" si="193"/>
        <v>16</v>
      </c>
      <c r="FD141" s="21">
        <f t="shared" si="193"/>
        <v>16</v>
      </c>
      <c r="FE141" s="21">
        <f t="shared" si="193"/>
        <v>24</v>
      </c>
      <c r="FF141" s="21">
        <f t="shared" si="193"/>
        <v>24</v>
      </c>
      <c r="FG141" s="21">
        <f t="shared" si="193"/>
        <v>24</v>
      </c>
      <c r="FH141" s="21">
        <f t="shared" si="193"/>
        <v>28</v>
      </c>
      <c r="FI141" s="21">
        <f t="shared" si="193"/>
        <v>32</v>
      </c>
      <c r="FJ141" s="21"/>
      <c r="FK141" s="21" t="s">
        <v>523</v>
      </c>
      <c r="FL141" s="21">
        <v>0</v>
      </c>
      <c r="FM141" s="21">
        <f>CP141+(CP139*2)</f>
        <v>0</v>
      </c>
      <c r="FN141" s="21">
        <v>0</v>
      </c>
      <c r="FO141" s="21">
        <v>0</v>
      </c>
      <c r="FP141" s="21">
        <f t="shared" ref="FP141:GI141" si="194">CS141+(CS139*2)</f>
        <v>4</v>
      </c>
      <c r="FQ141" s="21">
        <f t="shared" si="194"/>
        <v>0</v>
      </c>
      <c r="FR141" s="21">
        <f t="shared" si="194"/>
        <v>12</v>
      </c>
      <c r="FS141" s="21">
        <f t="shared" si="194"/>
        <v>8</v>
      </c>
      <c r="FT141" s="21">
        <f t="shared" si="194"/>
        <v>4</v>
      </c>
      <c r="FU141" s="21">
        <f t="shared" si="194"/>
        <v>16</v>
      </c>
      <c r="FV141" s="21">
        <f t="shared" si="194"/>
        <v>12</v>
      </c>
      <c r="FW141" s="21">
        <f t="shared" si="194"/>
        <v>8</v>
      </c>
      <c r="FX141" s="21">
        <f t="shared" si="194"/>
        <v>20</v>
      </c>
      <c r="FY141" s="21">
        <f t="shared" si="194"/>
        <v>16</v>
      </c>
      <c r="FZ141" s="21">
        <f t="shared" si="194"/>
        <v>12</v>
      </c>
      <c r="GA141" s="21">
        <f t="shared" si="194"/>
        <v>24</v>
      </c>
      <c r="GB141" s="21">
        <f t="shared" si="194"/>
        <v>20</v>
      </c>
      <c r="GC141" s="21">
        <f t="shared" si="194"/>
        <v>16</v>
      </c>
      <c r="GD141" s="21">
        <f t="shared" si="194"/>
        <v>28</v>
      </c>
      <c r="GE141" s="21">
        <f t="shared" si="194"/>
        <v>24</v>
      </c>
      <c r="GF141" s="21">
        <f t="shared" si="194"/>
        <v>20</v>
      </c>
      <c r="GG141" s="21">
        <f t="shared" si="194"/>
        <v>32</v>
      </c>
      <c r="GH141" s="21">
        <f t="shared" si="194"/>
        <v>28</v>
      </c>
      <c r="GI141" s="21">
        <f t="shared" si="194"/>
        <v>24</v>
      </c>
      <c r="GJ141" s="21"/>
      <c r="GK141" s="21"/>
      <c r="GL141" s="197"/>
      <c r="GM141" s="21"/>
      <c r="GN141" s="21"/>
      <c r="GO141" s="21"/>
      <c r="GP141" s="21"/>
      <c r="GQ141" s="21"/>
      <c r="GR141" s="21"/>
      <c r="GS141" s="21"/>
      <c r="GT141" s="21"/>
      <c r="GU141" s="21"/>
      <c r="GV141" s="21"/>
      <c r="GW141" s="21"/>
      <c r="GX141" s="21"/>
      <c r="GY141" s="21"/>
      <c r="GZ141" s="21"/>
      <c r="HA141" s="21"/>
      <c r="HB141" s="21"/>
      <c r="HC141" s="21"/>
      <c r="HD141" s="21"/>
      <c r="HE141" s="21"/>
      <c r="HF141" s="21"/>
      <c r="HG141" s="21"/>
      <c r="HH141" s="21"/>
    </row>
    <row r="142" spans="1:252" x14ac:dyDescent="0.25">
      <c r="A142" s="8"/>
      <c r="B142" s="5" t="s">
        <v>116</v>
      </c>
      <c r="C142" s="8"/>
      <c r="D142" s="40" t="s">
        <v>795</v>
      </c>
      <c r="E142" s="9"/>
      <c r="F142" s="9"/>
      <c r="G142" s="9"/>
      <c r="H142" s="9"/>
      <c r="I142" s="9"/>
      <c r="J142" s="9"/>
      <c r="K142" s="9"/>
      <c r="L142" s="6" t="s">
        <v>586</v>
      </c>
      <c r="M142" s="11">
        <f>INDEX(cennik!$C$2:$L$529,MATCH($L142,cennik!$B$2:$B$522,0),MATCH(M$2,cennik!$C$1:$L$1,0))</f>
        <v>867566</v>
      </c>
      <c r="N142" s="11" t="str">
        <f>INDEX(cennik!$C$2:$L$529,MATCH($L142,cennik!$B$2:$B$522,0),MATCH(N$2,cennik!$C$1:$L$1,0))</f>
        <v>szt.</v>
      </c>
      <c r="O142" s="11">
        <f>SUM(X124:X139)</f>
        <v>0</v>
      </c>
      <c r="P142" s="34">
        <f>INDEX(cennik!$C$2:$L$529,MATCH($L142,cennik!$B$2:$B$522,0),MATCH(P$2,cennik!$C$1:$L$1,0))</f>
        <v>265.20999999999998</v>
      </c>
      <c r="Q142" s="34">
        <f t="shared" ref="Q142:Q156" si="195">O142*P142</f>
        <v>0</v>
      </c>
      <c r="R142" s="35">
        <f t="shared" si="188"/>
        <v>0</v>
      </c>
      <c r="S142" s="34">
        <f t="shared" si="187"/>
        <v>265.20999999999998</v>
      </c>
      <c r="T142" s="34">
        <f t="shared" ref="T142:T156" si="196">O142*S142</f>
        <v>0</v>
      </c>
      <c r="U142" s="34">
        <f>INDEX(cennik!$C$2:$L$529,MATCH($L142,cennik!$B$2:$B$522,0),MATCH(U$2,cennik!$C$1:$L$1,0))*O142</f>
        <v>0</v>
      </c>
      <c r="V142" s="25"/>
      <c r="W142" s="21"/>
      <c r="X142" s="21"/>
      <c r="Y142" s="21"/>
      <c r="Z142" s="21"/>
      <c r="AA142" s="21"/>
      <c r="AB142" s="21"/>
      <c r="AC142" s="21"/>
      <c r="AD142" s="21"/>
      <c r="AE142" s="21"/>
      <c r="AF142" s="21"/>
      <c r="AG142" s="21" t="s">
        <v>216</v>
      </c>
      <c r="AH142" s="21">
        <v>4400</v>
      </c>
      <c r="AI142" s="21">
        <v>0</v>
      </c>
      <c r="AJ142" s="21">
        <f>AH142*AI142</f>
        <v>0</v>
      </c>
      <c r="AK142" s="21">
        <v>127.4</v>
      </c>
      <c r="AL142" s="21">
        <f>AI142*AK142</f>
        <v>0</v>
      </c>
      <c r="AM142" s="21">
        <f>AI142*4</f>
        <v>0</v>
      </c>
      <c r="AP142" s="21" t="s">
        <v>113</v>
      </c>
      <c r="AQ142" s="21" t="s">
        <v>592</v>
      </c>
      <c r="AR142" s="21" t="s">
        <v>151</v>
      </c>
      <c r="AS142" s="21" t="s">
        <v>151</v>
      </c>
      <c r="AT142" s="21" t="s">
        <v>151</v>
      </c>
      <c r="AU142" s="21"/>
      <c r="AV142" s="21"/>
      <c r="AW142" s="21"/>
      <c r="AX142" s="21"/>
      <c r="AY142" s="21"/>
      <c r="AZ142" s="21"/>
      <c r="BA142" s="21"/>
      <c r="BB142" s="21"/>
      <c r="BC142" s="21"/>
      <c r="BD142" s="21"/>
      <c r="BE142" s="21"/>
      <c r="BF142" s="21"/>
      <c r="BG142" s="21"/>
      <c r="BH142" s="21" t="s">
        <v>18</v>
      </c>
      <c r="BI142" s="21">
        <v>0</v>
      </c>
      <c r="BJ142" s="21">
        <v>0</v>
      </c>
      <c r="BK142" s="21">
        <v>0</v>
      </c>
      <c r="BL142" s="21">
        <v>0</v>
      </c>
      <c r="BM142" s="21">
        <v>0</v>
      </c>
      <c r="BN142" s="21">
        <v>4</v>
      </c>
      <c r="BO142" s="21">
        <v>4</v>
      </c>
      <c r="BP142" s="21">
        <v>4</v>
      </c>
      <c r="BQ142" s="21">
        <v>4</v>
      </c>
      <c r="BR142" s="21">
        <v>8</v>
      </c>
      <c r="BS142" s="21">
        <v>4</v>
      </c>
      <c r="BT142" s="21">
        <v>8</v>
      </c>
      <c r="BU142" s="21">
        <v>8</v>
      </c>
      <c r="BV142" s="21">
        <v>8</v>
      </c>
      <c r="BW142" s="21">
        <v>12</v>
      </c>
      <c r="BX142" s="21">
        <v>12</v>
      </c>
      <c r="BY142" s="21">
        <v>12</v>
      </c>
      <c r="BZ142" s="21">
        <v>12</v>
      </c>
      <c r="CA142" s="21">
        <v>12</v>
      </c>
      <c r="CB142" s="21">
        <v>12</v>
      </c>
      <c r="CC142" s="21">
        <v>12</v>
      </c>
      <c r="CD142" s="21">
        <v>12</v>
      </c>
      <c r="CE142" s="21">
        <v>16</v>
      </c>
      <c r="CF142" s="21">
        <v>12</v>
      </c>
      <c r="CG142" s="21"/>
      <c r="CH142" s="21"/>
      <c r="CI142" s="21"/>
      <c r="CJ142" s="21"/>
      <c r="CK142" s="21"/>
      <c r="CL142" s="21"/>
      <c r="CM142" s="21"/>
      <c r="CN142" s="21" t="s">
        <v>18</v>
      </c>
      <c r="CO142" s="21">
        <v>0</v>
      </c>
      <c r="CP142" s="21">
        <v>0</v>
      </c>
      <c r="CQ142" s="21">
        <v>0</v>
      </c>
      <c r="CR142" s="21">
        <v>0</v>
      </c>
      <c r="CS142" s="21">
        <v>4</v>
      </c>
      <c r="CT142" s="21">
        <v>4</v>
      </c>
      <c r="CU142" s="21">
        <v>4</v>
      </c>
      <c r="CV142" s="21">
        <v>4</v>
      </c>
      <c r="CW142" s="21">
        <v>8</v>
      </c>
      <c r="CX142" s="21">
        <v>4</v>
      </c>
      <c r="CY142" s="21">
        <v>8</v>
      </c>
      <c r="CZ142" s="21">
        <v>8</v>
      </c>
      <c r="DA142" s="21">
        <v>8</v>
      </c>
      <c r="DB142" s="21">
        <v>8</v>
      </c>
      <c r="DC142" s="21">
        <v>12</v>
      </c>
      <c r="DD142" s="21">
        <v>8</v>
      </c>
      <c r="DE142" s="21">
        <v>12</v>
      </c>
      <c r="DF142" s="21">
        <v>12</v>
      </c>
      <c r="DG142" s="21">
        <v>12</v>
      </c>
      <c r="DH142" s="21">
        <v>12</v>
      </c>
      <c r="DI142" s="21">
        <v>16</v>
      </c>
      <c r="DJ142" s="21">
        <v>12</v>
      </c>
      <c r="DK142" s="21">
        <v>16</v>
      </c>
      <c r="DL142" s="21">
        <v>16</v>
      </c>
      <c r="DM142" s="21"/>
      <c r="DN142" s="21"/>
      <c r="DO142" s="21"/>
      <c r="DP142" s="21"/>
      <c r="DQ142" s="87">
        <v>14</v>
      </c>
      <c r="DR142" s="87">
        <v>14</v>
      </c>
      <c r="DS142" s="87"/>
      <c r="DT142" s="21"/>
      <c r="DU142" s="21"/>
      <c r="DV142" s="21"/>
      <c r="DW142" s="21"/>
      <c r="DX142" s="21"/>
      <c r="DY142" s="21"/>
      <c r="DZ142" s="21"/>
      <c r="EA142" s="21"/>
      <c r="EB142" s="21"/>
      <c r="EC142" s="21"/>
      <c r="ED142" s="21"/>
      <c r="EE142" s="21"/>
      <c r="EF142" s="21"/>
      <c r="EG142" s="21"/>
      <c r="EH142" s="21"/>
      <c r="EI142" s="196"/>
      <c r="EK142" s="20" t="s">
        <v>779</v>
      </c>
      <c r="EL142" s="21">
        <v>0</v>
      </c>
      <c r="EM142" s="21">
        <f>((SUM(EM140:EM141)/4)-1)*4</f>
        <v>0</v>
      </c>
      <c r="EN142" s="21">
        <f>((SUM(EN140:EN141)/4)-1)*4</f>
        <v>0</v>
      </c>
      <c r="EO142" s="21">
        <v>0</v>
      </c>
      <c r="EP142" s="21">
        <f t="shared" ref="EP142:EX142" si="197">((SUM(EP140:EP141)/4)-1)*4</f>
        <v>4</v>
      </c>
      <c r="EQ142" s="21">
        <f t="shared" si="197"/>
        <v>4</v>
      </c>
      <c r="ER142" s="21">
        <f t="shared" si="197"/>
        <v>8</v>
      </c>
      <c r="ES142" s="21">
        <f t="shared" si="197"/>
        <v>8</v>
      </c>
      <c r="ET142" s="21">
        <f t="shared" si="197"/>
        <v>8</v>
      </c>
      <c r="EU142" s="21">
        <f t="shared" si="197"/>
        <v>8</v>
      </c>
      <c r="EV142" s="21">
        <f t="shared" si="197"/>
        <v>12</v>
      </c>
      <c r="EW142" s="21">
        <f t="shared" si="197"/>
        <v>12</v>
      </c>
      <c r="EX142" s="21">
        <f t="shared" si="197"/>
        <v>12</v>
      </c>
      <c r="EY142" s="21">
        <f>((SUM(EY140:EY141)/4)-1)*4</f>
        <v>12</v>
      </c>
      <c r="EZ142" s="21">
        <f t="shared" ref="EZ142:FI142" si="198">((SUM(EZ140:EZ141)/4)-1)*4</f>
        <v>16</v>
      </c>
      <c r="FA142" s="21">
        <f t="shared" si="198"/>
        <v>16</v>
      </c>
      <c r="FB142" s="21">
        <f t="shared" si="198"/>
        <v>16</v>
      </c>
      <c r="FC142" s="21">
        <f t="shared" si="198"/>
        <v>20</v>
      </c>
      <c r="FD142" s="21">
        <f t="shared" si="198"/>
        <v>20</v>
      </c>
      <c r="FE142" s="21">
        <f t="shared" si="198"/>
        <v>24</v>
      </c>
      <c r="FF142" s="21">
        <f t="shared" si="198"/>
        <v>24</v>
      </c>
      <c r="FG142" s="21">
        <f t="shared" si="198"/>
        <v>24</v>
      </c>
      <c r="FH142" s="21">
        <f t="shared" si="198"/>
        <v>28</v>
      </c>
      <c r="FI142" s="21">
        <f t="shared" si="198"/>
        <v>28</v>
      </c>
      <c r="FJ142" s="21"/>
      <c r="FK142" s="20" t="s">
        <v>779</v>
      </c>
      <c r="FL142" s="21">
        <v>0</v>
      </c>
      <c r="FM142" s="21">
        <f>((SUM(FM140:FM141)/4)-1)*4</f>
        <v>0</v>
      </c>
      <c r="FN142" s="21">
        <v>0</v>
      </c>
      <c r="FO142" s="21">
        <v>0</v>
      </c>
      <c r="FP142" s="21">
        <f t="shared" ref="FP142:GI142" si="199">((SUM(FP140:FP141)/4)-1)*4</f>
        <v>4</v>
      </c>
      <c r="FQ142" s="21">
        <f t="shared" si="199"/>
        <v>4</v>
      </c>
      <c r="FR142" s="21">
        <f t="shared" si="199"/>
        <v>8</v>
      </c>
      <c r="FS142" s="21">
        <f t="shared" si="199"/>
        <v>8</v>
      </c>
      <c r="FT142" s="21">
        <f t="shared" si="199"/>
        <v>8</v>
      </c>
      <c r="FU142" s="21">
        <f t="shared" si="199"/>
        <v>12</v>
      </c>
      <c r="FV142" s="21">
        <f t="shared" si="199"/>
        <v>12</v>
      </c>
      <c r="FW142" s="21">
        <f t="shared" si="199"/>
        <v>12</v>
      </c>
      <c r="FX142" s="21">
        <f t="shared" si="199"/>
        <v>16</v>
      </c>
      <c r="FY142" s="21">
        <f t="shared" si="199"/>
        <v>16</v>
      </c>
      <c r="FZ142" s="21">
        <f t="shared" si="199"/>
        <v>16</v>
      </c>
      <c r="GA142" s="21">
        <f t="shared" si="199"/>
        <v>20</v>
      </c>
      <c r="GB142" s="21">
        <f t="shared" si="199"/>
        <v>20</v>
      </c>
      <c r="GC142" s="21">
        <f t="shared" si="199"/>
        <v>20</v>
      </c>
      <c r="GD142" s="21">
        <f t="shared" si="199"/>
        <v>24</v>
      </c>
      <c r="GE142" s="21">
        <f t="shared" si="199"/>
        <v>24</v>
      </c>
      <c r="GF142" s="21">
        <f t="shared" si="199"/>
        <v>24</v>
      </c>
      <c r="GG142" s="21">
        <f t="shared" si="199"/>
        <v>28</v>
      </c>
      <c r="GH142" s="21">
        <f t="shared" si="199"/>
        <v>28</v>
      </c>
      <c r="GI142" s="21">
        <f t="shared" si="199"/>
        <v>28</v>
      </c>
      <c r="GJ142" s="21"/>
      <c r="GK142" s="21"/>
      <c r="GL142" s="197"/>
      <c r="GM142" s="21"/>
      <c r="GN142" s="21"/>
      <c r="GO142" s="21"/>
      <c r="GP142" s="21"/>
      <c r="GQ142" s="21"/>
      <c r="GR142" s="21"/>
      <c r="GS142" s="21"/>
      <c r="GT142" s="21"/>
      <c r="GU142" s="21"/>
      <c r="GV142" s="21"/>
      <c r="GW142" s="21"/>
      <c r="GX142" s="21"/>
      <c r="GY142" s="21"/>
      <c r="GZ142" s="21"/>
      <c r="HA142" s="21"/>
      <c r="HB142" s="21"/>
      <c r="HC142" s="21"/>
      <c r="HD142" s="21"/>
      <c r="HE142" s="21"/>
      <c r="HF142" s="21"/>
      <c r="HG142" s="21"/>
      <c r="HH142" s="21"/>
    </row>
    <row r="143" spans="1:252" x14ac:dyDescent="0.25">
      <c r="A143" s="8"/>
      <c r="B143" s="5" t="s">
        <v>116</v>
      </c>
      <c r="C143" s="8"/>
      <c r="D143" s="40" t="s">
        <v>796</v>
      </c>
      <c r="E143" s="9"/>
      <c r="F143" s="9"/>
      <c r="G143" s="9"/>
      <c r="H143" s="9"/>
      <c r="I143" s="9"/>
      <c r="J143" s="9"/>
      <c r="K143" s="9"/>
      <c r="L143" s="6" t="s">
        <v>522</v>
      </c>
      <c r="M143" s="11">
        <f>INDEX(cennik!$C$2:$L$529,MATCH($L143,cennik!$B$2:$B$522,0),MATCH(M$2,cennik!$C$1:$L$1,0))</f>
        <v>867644</v>
      </c>
      <c r="N143" s="11" t="str">
        <f>INDEX(cennik!$C$2:$L$529,MATCH($L143,cennik!$B$2:$B$522,0),MATCH(N$2,cennik!$C$1:$L$1,0))</f>
        <v>szt.</v>
      </c>
      <c r="O143" s="11">
        <f>SUM(Y124:Y139)</f>
        <v>0</v>
      </c>
      <c r="P143" s="34">
        <f>INDEX(cennik!$C$2:$L$529,MATCH($L143,cennik!$B$2:$B$522,0),MATCH(P$2,cennik!$C$1:$L$1,0))</f>
        <v>176.8</v>
      </c>
      <c r="Q143" s="34">
        <f t="shared" si="195"/>
        <v>0</v>
      </c>
      <c r="R143" s="35">
        <f t="shared" si="188"/>
        <v>0</v>
      </c>
      <c r="S143" s="34">
        <f t="shared" si="187"/>
        <v>176.8</v>
      </c>
      <c r="T143" s="34">
        <f t="shared" si="196"/>
        <v>0</v>
      </c>
      <c r="U143" s="34">
        <f>INDEX(cennik!$C$2:$L$529,MATCH($L143,cennik!$B$2:$B$522,0),MATCH(U$2,cennik!$C$1:$L$1,0))*O143</f>
        <v>0</v>
      </c>
      <c r="V143" s="25"/>
      <c r="AC143" s="21"/>
      <c r="AD143" s="21"/>
      <c r="AE143" s="21"/>
      <c r="AF143" s="21"/>
      <c r="AG143" s="21" t="s">
        <v>17</v>
      </c>
      <c r="AH143" s="21">
        <v>3300</v>
      </c>
      <c r="AI143" s="21">
        <v>1</v>
      </c>
      <c r="AJ143" s="21">
        <f>AH143*AI143</f>
        <v>3300</v>
      </c>
      <c r="AK143" s="21">
        <v>95.55</v>
      </c>
      <c r="AL143" s="21">
        <f>AI143*AK143</f>
        <v>95.55</v>
      </c>
      <c r="AM143" s="21">
        <f>AI143*4</f>
        <v>4</v>
      </c>
      <c r="AP143" s="21" t="s">
        <v>137</v>
      </c>
      <c r="AQ143" s="21" t="s">
        <v>592</v>
      </c>
      <c r="AR143" s="21" t="s">
        <v>151</v>
      </c>
      <c r="AS143" s="21" t="s">
        <v>151</v>
      </c>
      <c r="AT143" s="21" t="s">
        <v>151</v>
      </c>
      <c r="AU143" s="21"/>
      <c r="AV143" s="21"/>
      <c r="AW143" s="21"/>
      <c r="AX143" s="21"/>
      <c r="AY143" s="21"/>
      <c r="AZ143" s="21"/>
      <c r="BA143" s="21"/>
      <c r="BB143" s="21"/>
      <c r="BC143" s="21"/>
      <c r="BD143" s="21"/>
      <c r="BE143" s="21"/>
      <c r="BF143" s="21"/>
      <c r="BG143" s="21"/>
      <c r="BH143" s="21"/>
      <c r="BI143" s="21"/>
      <c r="BJ143" s="21"/>
      <c r="BK143" s="21"/>
      <c r="BL143" s="21"/>
      <c r="BM143" s="21"/>
      <c r="BN143" s="21"/>
      <c r="BO143" s="21"/>
      <c r="BP143" s="21"/>
      <c r="BQ143" s="21"/>
      <c r="BR143" s="21"/>
      <c r="BS143" s="21"/>
      <c r="BT143" s="21"/>
      <c r="BU143" s="21"/>
      <c r="BV143" s="21"/>
      <c r="BW143" s="21"/>
      <c r="BX143" s="21"/>
      <c r="BY143" s="21"/>
      <c r="BZ143" s="21"/>
      <c r="CA143" s="21"/>
      <c r="CB143" s="21"/>
      <c r="CC143" s="21"/>
      <c r="CD143" s="21"/>
      <c r="CE143" s="21"/>
      <c r="CF143" s="21"/>
      <c r="CG143" s="21"/>
      <c r="CH143" s="21"/>
      <c r="CI143" s="21"/>
      <c r="CJ143" s="21"/>
      <c r="CK143" s="21"/>
      <c r="CL143" s="21"/>
      <c r="CM143" s="21"/>
      <c r="CN143" s="21"/>
      <c r="CO143" s="21"/>
      <c r="CP143" s="21"/>
      <c r="CQ143" s="21"/>
      <c r="CR143" s="21"/>
      <c r="CS143" s="21"/>
      <c r="CT143" s="21"/>
      <c r="CU143" s="21"/>
      <c r="CV143" s="21"/>
      <c r="CW143" s="21"/>
      <c r="CX143" s="21"/>
      <c r="CY143" s="21"/>
      <c r="CZ143" s="21"/>
      <c r="DA143" s="21"/>
      <c r="DB143" s="21"/>
      <c r="DC143" s="21"/>
      <c r="DD143" s="21"/>
      <c r="DE143" s="21"/>
      <c r="DF143" s="21"/>
      <c r="DG143" s="21"/>
      <c r="DH143" s="21"/>
      <c r="DI143" s="21"/>
      <c r="DJ143" s="21"/>
      <c r="DK143" s="21"/>
      <c r="DL143" s="21"/>
      <c r="DM143" s="21"/>
      <c r="DN143" s="21"/>
      <c r="DO143" s="21"/>
      <c r="DP143" s="21"/>
      <c r="DQ143" s="87"/>
      <c r="DR143" s="87">
        <v>16</v>
      </c>
      <c r="DS143" s="87"/>
      <c r="DT143" s="21"/>
      <c r="DU143" s="21"/>
      <c r="DV143" s="21"/>
      <c r="DW143" s="21"/>
      <c r="DX143" s="21"/>
      <c r="DY143" s="21"/>
      <c r="DZ143" s="21"/>
      <c r="EA143" s="21"/>
      <c r="EB143" s="21"/>
      <c r="EC143" s="21"/>
      <c r="ED143" s="21"/>
      <c r="EE143" s="21"/>
      <c r="EF143" s="21"/>
      <c r="EG143" s="21"/>
      <c r="EH143" s="21"/>
      <c r="EI143" s="196"/>
      <c r="EK143" s="21"/>
      <c r="EL143" s="21"/>
      <c r="EM143" s="21"/>
      <c r="EN143" s="21"/>
      <c r="EO143" s="21"/>
      <c r="EP143" s="21"/>
      <c r="EQ143" s="21"/>
      <c r="ER143" s="21"/>
      <c r="ES143" s="21"/>
      <c r="ET143" s="21"/>
      <c r="EU143" s="21"/>
      <c r="EV143" s="21"/>
      <c r="EW143" s="21"/>
      <c r="EX143" s="21"/>
      <c r="EY143" s="21"/>
      <c r="EZ143" s="21"/>
      <c r="FA143" s="21"/>
      <c r="FB143" s="21"/>
      <c r="FC143" s="21"/>
      <c r="FD143" s="21"/>
      <c r="FE143" s="21"/>
      <c r="FF143" s="21"/>
      <c r="FG143" s="21"/>
      <c r="FH143" s="21"/>
      <c r="FI143" s="21"/>
      <c r="FJ143" s="21"/>
      <c r="FK143" s="21"/>
      <c r="FL143" s="21"/>
      <c r="FM143" s="21"/>
      <c r="FN143" s="21"/>
      <c r="FO143" s="21"/>
      <c r="FP143" s="21"/>
      <c r="FQ143" s="21"/>
      <c r="FR143" s="21"/>
      <c r="FS143" s="21"/>
      <c r="FT143" s="21"/>
      <c r="FU143" s="21"/>
      <c r="FV143" s="21"/>
      <c r="FW143" s="21"/>
      <c r="FX143" s="21"/>
      <c r="FY143" s="21"/>
      <c r="FZ143" s="21"/>
      <c r="GA143" s="21"/>
      <c r="GB143" s="21"/>
      <c r="GC143" s="21"/>
      <c r="GD143" s="21"/>
      <c r="GE143" s="21"/>
      <c r="GF143" s="21"/>
      <c r="GG143" s="21"/>
      <c r="GH143" s="21"/>
      <c r="GI143" s="21"/>
      <c r="GJ143" s="21"/>
      <c r="GK143" s="21"/>
      <c r="GL143" s="197"/>
      <c r="GM143" s="21"/>
      <c r="GN143" s="21"/>
      <c r="GO143" s="21"/>
      <c r="GP143" s="21"/>
      <c r="GQ143" s="21"/>
      <c r="GR143" s="21"/>
      <c r="GS143" s="21"/>
      <c r="GT143" s="21"/>
      <c r="GU143" s="21"/>
      <c r="GV143" s="21"/>
      <c r="GW143" s="21"/>
      <c r="GX143" s="21"/>
      <c r="GY143" s="21"/>
      <c r="GZ143" s="21"/>
      <c r="HA143" s="21"/>
      <c r="HB143" s="21"/>
      <c r="HC143" s="21"/>
      <c r="HD143" s="21"/>
      <c r="HE143" s="21"/>
      <c r="HF143" s="21"/>
      <c r="HG143" s="21"/>
      <c r="HH143" s="21"/>
    </row>
    <row r="144" spans="1:252" x14ac:dyDescent="0.25">
      <c r="A144" s="8"/>
      <c r="B144" s="5" t="s">
        <v>116</v>
      </c>
      <c r="C144" s="8"/>
      <c r="D144" s="40" t="s">
        <v>797</v>
      </c>
      <c r="E144" s="9"/>
      <c r="F144" s="9"/>
      <c r="G144" s="9"/>
      <c r="H144" s="9"/>
      <c r="I144" s="9"/>
      <c r="J144" s="9"/>
      <c r="K144" s="9"/>
      <c r="L144" s="6" t="s">
        <v>523</v>
      </c>
      <c r="M144" s="11">
        <f>INDEX(cennik!$C$2:$L$529,MATCH($L144,cennik!$B$2:$B$522,0),MATCH(M$2,cennik!$C$1:$L$1,0))</f>
        <v>867633</v>
      </c>
      <c r="N144" s="11" t="str">
        <f>INDEX(cennik!$C$2:$L$529,MATCH($L144,cennik!$B$2:$B$522,0),MATCH(N$2,cennik!$C$1:$L$1,0))</f>
        <v>szt.</v>
      </c>
      <c r="O144" s="11">
        <f>SUM(Z124:Z139)</f>
        <v>0</v>
      </c>
      <c r="P144" s="34">
        <f>INDEX(cennik!$C$2:$L$529,MATCH($L144,cennik!$B$2:$B$522,0),MATCH(P$2,cennik!$C$1:$L$1,0))</f>
        <v>132.6</v>
      </c>
      <c r="Q144" s="34">
        <f t="shared" si="195"/>
        <v>0</v>
      </c>
      <c r="R144" s="35">
        <f t="shared" si="188"/>
        <v>0</v>
      </c>
      <c r="S144" s="34">
        <f t="shared" si="187"/>
        <v>132.6</v>
      </c>
      <c r="T144" s="34">
        <f t="shared" si="196"/>
        <v>0</v>
      </c>
      <c r="U144" s="34">
        <f>INDEX(cennik!$C$2:$L$529,MATCH($L144,cennik!$B$2:$B$522,0),MATCH(U$2,cennik!$C$1:$L$1,0))*O144</f>
        <v>0</v>
      </c>
      <c r="V144" s="25"/>
      <c r="AC144" s="21"/>
      <c r="AD144" s="21"/>
      <c r="AE144" s="21"/>
      <c r="AF144" s="21"/>
      <c r="AG144" s="21"/>
      <c r="AH144" s="21" t="s">
        <v>317</v>
      </c>
      <c r="AI144" s="21">
        <f>IF(SUM(AI141:AI143)=0,0,IF(SUM(AI141:AI143)=1,0,IF(SUM(AI141:AI143)&gt;1,(SUM(AI141:AI143)-1),0)))</f>
        <v>4</v>
      </c>
      <c r="AJ144" s="21"/>
      <c r="AK144" s="21">
        <v>7.1</v>
      </c>
      <c r="AL144" s="21">
        <f>AI144*AK144</f>
        <v>28.4</v>
      </c>
      <c r="AM144" s="21">
        <f>AI144*4</f>
        <v>16</v>
      </c>
      <c r="AQ144" s="21"/>
      <c r="AR144" s="21"/>
      <c r="AS144" s="21"/>
      <c r="AT144" s="21"/>
      <c r="AU144" s="21"/>
      <c r="AV144" s="21"/>
      <c r="AW144" s="21"/>
      <c r="AX144" s="21"/>
      <c r="AY144" s="21"/>
      <c r="AZ144" s="21"/>
      <c r="BA144" s="21"/>
      <c r="BB144" s="21"/>
      <c r="BC144" s="21"/>
      <c r="BD144" s="21"/>
      <c r="BE144" s="21"/>
      <c r="BF144" s="21"/>
      <c r="BG144" s="21"/>
      <c r="BH144" s="21" t="s">
        <v>115</v>
      </c>
      <c r="BI144" s="21">
        <v>0</v>
      </c>
      <c r="BJ144" s="21">
        <v>6</v>
      </c>
      <c r="BK144" s="21">
        <v>8</v>
      </c>
      <c r="BL144" s="21">
        <v>10</v>
      </c>
      <c r="BM144" s="21">
        <v>12</v>
      </c>
      <c r="BN144" s="21">
        <v>14</v>
      </c>
      <c r="BO144" s="21">
        <v>16</v>
      </c>
      <c r="BP144" s="21">
        <v>18</v>
      </c>
      <c r="BQ144" s="21">
        <v>20</v>
      </c>
      <c r="BR144" s="21">
        <v>22</v>
      </c>
      <c r="BS144" s="21">
        <v>24</v>
      </c>
      <c r="BT144" s="21">
        <v>26</v>
      </c>
      <c r="BU144" s="21">
        <v>28</v>
      </c>
      <c r="BV144" s="21">
        <v>30</v>
      </c>
      <c r="BW144" s="21">
        <v>32</v>
      </c>
      <c r="BX144" s="21">
        <v>34</v>
      </c>
      <c r="BY144" s="21">
        <v>36</v>
      </c>
      <c r="BZ144" s="21">
        <v>38</v>
      </c>
      <c r="CA144" s="21">
        <v>40</v>
      </c>
      <c r="CB144" s="21">
        <v>42</v>
      </c>
      <c r="CC144" s="21">
        <v>44</v>
      </c>
      <c r="CD144" s="21">
        <v>46</v>
      </c>
      <c r="CE144" s="21">
        <v>48</v>
      </c>
      <c r="CF144" s="21">
        <v>50</v>
      </c>
      <c r="CG144" s="21"/>
      <c r="CH144" s="21"/>
      <c r="CI144" s="21"/>
      <c r="CJ144" s="21"/>
      <c r="CK144" s="21"/>
      <c r="CL144" s="21"/>
      <c r="CM144" s="21"/>
      <c r="CN144" s="21" t="s">
        <v>480</v>
      </c>
      <c r="CO144" s="21">
        <v>0</v>
      </c>
      <c r="CP144" s="21">
        <v>6</v>
      </c>
      <c r="CQ144" s="21">
        <v>8</v>
      </c>
      <c r="CR144" s="21">
        <v>10</v>
      </c>
      <c r="CS144" s="21">
        <v>12</v>
      </c>
      <c r="CT144" s="21">
        <v>14</v>
      </c>
      <c r="CU144" s="21">
        <v>16</v>
      </c>
      <c r="CV144" s="21">
        <v>18</v>
      </c>
      <c r="CW144" s="21">
        <v>20</v>
      </c>
      <c r="CX144" s="21">
        <v>22</v>
      </c>
      <c r="CY144" s="21">
        <v>24</v>
      </c>
      <c r="CZ144" s="21">
        <v>26</v>
      </c>
      <c r="DA144" s="21">
        <v>28</v>
      </c>
      <c r="DB144" s="21">
        <v>30</v>
      </c>
      <c r="DC144" s="21">
        <v>32</v>
      </c>
      <c r="DD144" s="21">
        <v>34</v>
      </c>
      <c r="DE144" s="21">
        <v>36</v>
      </c>
      <c r="DF144" s="21">
        <v>38</v>
      </c>
      <c r="DG144" s="21">
        <v>40</v>
      </c>
      <c r="DH144" s="21">
        <v>42</v>
      </c>
      <c r="DI144" s="21">
        <v>44</v>
      </c>
      <c r="DJ144" s="21">
        <v>46</v>
      </c>
      <c r="DK144" s="21">
        <v>48</v>
      </c>
      <c r="DL144" s="21">
        <v>50</v>
      </c>
      <c r="DM144" s="21"/>
      <c r="DN144" s="21"/>
      <c r="DO144" s="21"/>
      <c r="DP144" s="21"/>
      <c r="DQ144" s="87">
        <v>18</v>
      </c>
      <c r="DR144" s="87">
        <v>18</v>
      </c>
      <c r="DS144" s="87"/>
      <c r="DT144" s="21"/>
      <c r="DU144" s="21"/>
      <c r="DV144" s="21"/>
      <c r="DW144" s="21"/>
      <c r="DX144" s="21"/>
      <c r="DY144" s="21"/>
      <c r="DZ144" s="21"/>
      <c r="EA144" s="21"/>
      <c r="EB144" s="21"/>
      <c r="EC144" s="21"/>
      <c r="ED144" s="21"/>
      <c r="EE144" s="21"/>
      <c r="EF144" s="21"/>
      <c r="EG144" s="21"/>
      <c r="EH144" s="21"/>
      <c r="EI144" s="196"/>
      <c r="FL144" s="21"/>
      <c r="GJ144" s="21"/>
      <c r="GK144" s="21"/>
      <c r="GL144" s="197"/>
      <c r="GM144" s="21"/>
      <c r="GN144" s="21"/>
      <c r="GO144" s="21"/>
      <c r="GP144" s="21"/>
      <c r="GQ144" s="21"/>
      <c r="GR144" s="21"/>
      <c r="GS144" s="21"/>
      <c r="GT144" s="21"/>
      <c r="GU144" s="21"/>
      <c r="GV144" s="21"/>
      <c r="GW144" s="21"/>
      <c r="GX144" s="21"/>
      <c r="GY144" s="21"/>
      <c r="GZ144" s="21"/>
      <c r="HA144" s="21"/>
      <c r="HB144" s="21"/>
      <c r="HC144" s="21"/>
      <c r="HD144" s="21"/>
      <c r="HE144" s="21"/>
      <c r="HF144" s="21"/>
      <c r="HG144" s="21"/>
      <c r="HH144" s="21"/>
    </row>
    <row r="145" spans="1:216" x14ac:dyDescent="0.25">
      <c r="A145" s="8"/>
      <c r="B145" s="5" t="s">
        <v>116</v>
      </c>
      <c r="C145" s="8"/>
      <c r="D145" s="40" t="s">
        <v>798</v>
      </c>
      <c r="E145" s="9"/>
      <c r="F145" s="9"/>
      <c r="G145" s="9"/>
      <c r="H145" s="9"/>
      <c r="I145" s="9"/>
      <c r="J145" s="9"/>
      <c r="K145" s="9"/>
      <c r="L145" s="6" t="s">
        <v>779</v>
      </c>
      <c r="M145" s="11">
        <f>INDEX(cennik!$C$2:$L$529,MATCH($L145,cennik!$B$2:$B$522,0),MATCH(M$2,cennik!$C$1:$L$1,0))</f>
        <v>856105</v>
      </c>
      <c r="N145" s="11" t="str">
        <f>INDEX(cennik!$C$2:$L$529,MATCH($L145,cennik!$B$2:$B$522,0),MATCH(N$2,cennik!$C$1:$L$1,0))</f>
        <v>szt.</v>
      </c>
      <c r="O145" s="11">
        <f>SUM(W124:W139)</f>
        <v>0</v>
      </c>
      <c r="P145" s="34">
        <f>INDEX(cennik!$C$2:$L$529,MATCH($L145,cennik!$B$2:$B$522,0),MATCH(P$2,cennik!$C$1:$L$1,0))</f>
        <v>21.81</v>
      </c>
      <c r="Q145" s="34">
        <f t="shared" si="195"/>
        <v>0</v>
      </c>
      <c r="R145" s="35">
        <f t="shared" si="188"/>
        <v>0</v>
      </c>
      <c r="S145" s="34">
        <f t="shared" si="187"/>
        <v>21.81</v>
      </c>
      <c r="T145" s="34">
        <f t="shared" si="196"/>
        <v>0</v>
      </c>
      <c r="U145" s="34">
        <f>INDEX(cennik!$C$2:$L$529,MATCH($L145,cennik!$B$2:$B$522,0),MATCH(U$2,cennik!$C$1:$L$1,0))*O145</f>
        <v>0</v>
      </c>
      <c r="V145" s="25"/>
      <c r="AC145" s="21"/>
      <c r="AD145" s="21"/>
      <c r="AE145" s="21"/>
      <c r="AF145" s="21"/>
      <c r="AG145" s="21"/>
      <c r="AH145" s="21"/>
      <c r="AI145" s="21"/>
      <c r="AJ145" s="21">
        <f>SUM(AJ141:AJ143)</f>
        <v>29700</v>
      </c>
      <c r="AK145" s="21"/>
      <c r="AL145" s="21">
        <f>SUM(AL141:AL144)</f>
        <v>888.34999999999991</v>
      </c>
      <c r="AM145" s="21"/>
      <c r="AQ145" s="21"/>
      <c r="AR145" s="21"/>
      <c r="AS145" s="21"/>
      <c r="AT145" s="21"/>
      <c r="AU145" s="21"/>
      <c r="AV145" s="21"/>
      <c r="AW145" s="21"/>
      <c r="AX145" s="21"/>
      <c r="AY145" s="21"/>
      <c r="AZ145" s="21"/>
      <c r="BA145" s="21"/>
      <c r="BB145" s="21"/>
      <c r="BC145" s="21"/>
      <c r="BD145" s="21"/>
      <c r="BE145" s="21"/>
      <c r="BF145" s="21"/>
      <c r="BG145" s="21"/>
      <c r="BH145" s="21" t="s">
        <v>217</v>
      </c>
      <c r="BI145" s="21">
        <v>0</v>
      </c>
      <c r="BJ145" s="21">
        <v>0</v>
      </c>
      <c r="BK145" s="21">
        <v>0</v>
      </c>
      <c r="BL145" s="21">
        <v>4</v>
      </c>
      <c r="BM145" s="21">
        <v>4</v>
      </c>
      <c r="BN145" s="21">
        <v>0</v>
      </c>
      <c r="BO145" s="21">
        <v>4</v>
      </c>
      <c r="BP145" s="21">
        <v>4</v>
      </c>
      <c r="BQ145" s="21">
        <v>4</v>
      </c>
      <c r="BR145" s="21">
        <v>0</v>
      </c>
      <c r="BS145" s="21">
        <v>8</v>
      </c>
      <c r="BT145" s="21">
        <v>4</v>
      </c>
      <c r="BU145" s="21">
        <v>4</v>
      </c>
      <c r="BV145" s="21">
        <v>8</v>
      </c>
      <c r="BW145" s="21">
        <v>4</v>
      </c>
      <c r="BX145" s="21">
        <v>4</v>
      </c>
      <c r="BY145" s="21">
        <v>12</v>
      </c>
      <c r="BZ145" s="21">
        <v>8</v>
      </c>
      <c r="CA145" s="21">
        <v>8</v>
      </c>
      <c r="CB145" s="21">
        <v>12</v>
      </c>
      <c r="CC145" s="21">
        <v>12</v>
      </c>
      <c r="CD145" s="21">
        <v>8</v>
      </c>
      <c r="CE145" s="21">
        <v>12</v>
      </c>
      <c r="CF145" s="21">
        <v>12</v>
      </c>
      <c r="CG145" s="21"/>
      <c r="CH145" s="21"/>
      <c r="CI145" s="21"/>
      <c r="CJ145" s="21"/>
      <c r="CK145" s="21"/>
      <c r="CL145" s="21"/>
      <c r="CM145" s="21"/>
      <c r="CN145" s="21" t="s">
        <v>217</v>
      </c>
      <c r="CO145" s="21">
        <v>0</v>
      </c>
      <c r="CP145" s="21">
        <v>0</v>
      </c>
      <c r="CQ145" s="21">
        <v>4</v>
      </c>
      <c r="CR145" s="21">
        <v>4</v>
      </c>
      <c r="CS145" s="21">
        <v>0</v>
      </c>
      <c r="CT145" s="21">
        <v>0</v>
      </c>
      <c r="CU145" s="21">
        <v>4</v>
      </c>
      <c r="CV145" s="21">
        <v>4</v>
      </c>
      <c r="CW145" s="21">
        <v>0</v>
      </c>
      <c r="CX145" s="21">
        <v>8</v>
      </c>
      <c r="CY145" s="21">
        <v>4</v>
      </c>
      <c r="CZ145" s="21">
        <v>4</v>
      </c>
      <c r="DA145" s="21">
        <v>8</v>
      </c>
      <c r="DB145" s="21">
        <v>4</v>
      </c>
      <c r="DC145" s="21">
        <v>12</v>
      </c>
      <c r="DD145" s="21">
        <v>8</v>
      </c>
      <c r="DE145" s="21">
        <v>8</v>
      </c>
      <c r="DF145" s="21">
        <v>12</v>
      </c>
      <c r="DG145" s="21">
        <v>12</v>
      </c>
      <c r="DH145" s="21">
        <v>8</v>
      </c>
      <c r="DI145" s="21">
        <v>16</v>
      </c>
      <c r="DJ145" s="21">
        <v>12</v>
      </c>
      <c r="DK145" s="21">
        <v>12</v>
      </c>
      <c r="DL145" s="21">
        <v>16</v>
      </c>
      <c r="DM145" s="21"/>
      <c r="DN145" s="21"/>
      <c r="DO145" s="21"/>
      <c r="DP145" s="21"/>
      <c r="DQ145" s="87">
        <v>20</v>
      </c>
      <c r="DR145" s="87">
        <v>20</v>
      </c>
      <c r="DS145" s="87"/>
      <c r="DT145" s="21"/>
      <c r="DU145" s="21"/>
      <c r="DV145" s="21"/>
      <c r="DW145" s="21"/>
      <c r="DX145" s="21"/>
      <c r="DY145" s="21"/>
      <c r="DZ145" s="21"/>
      <c r="EA145" s="21"/>
      <c r="EB145" s="21"/>
      <c r="EC145" s="21"/>
      <c r="ED145" s="21"/>
      <c r="EE145" s="21"/>
      <c r="EF145" s="21"/>
      <c r="EG145" s="21"/>
      <c r="EH145" s="21"/>
      <c r="EI145" s="196"/>
      <c r="EK145" s="21" t="s">
        <v>115</v>
      </c>
      <c r="EL145" s="21">
        <v>0</v>
      </c>
      <c r="EM145" s="21">
        <v>6</v>
      </c>
      <c r="EN145" s="21">
        <v>8</v>
      </c>
      <c r="EO145" s="21">
        <v>10</v>
      </c>
      <c r="EP145" s="21">
        <v>12</v>
      </c>
      <c r="EQ145" s="21">
        <v>14</v>
      </c>
      <c r="ER145" s="21">
        <v>16</v>
      </c>
      <c r="ES145" s="21">
        <v>18</v>
      </c>
      <c r="ET145" s="21">
        <v>20</v>
      </c>
      <c r="EU145" s="21">
        <v>22</v>
      </c>
      <c r="EV145" s="21">
        <v>24</v>
      </c>
      <c r="EW145" s="21">
        <v>26</v>
      </c>
      <c r="EX145" s="21">
        <v>28</v>
      </c>
      <c r="EY145" s="21">
        <v>30</v>
      </c>
      <c r="EZ145" s="21">
        <v>32</v>
      </c>
      <c r="FA145" s="21">
        <v>34</v>
      </c>
      <c r="FB145" s="21">
        <v>36</v>
      </c>
      <c r="FC145" s="21">
        <v>38</v>
      </c>
      <c r="FD145" s="21">
        <v>40</v>
      </c>
      <c r="FE145" s="21">
        <v>42</v>
      </c>
      <c r="FF145" s="21">
        <v>44</v>
      </c>
      <c r="FG145" s="21">
        <v>46</v>
      </c>
      <c r="FH145" s="21">
        <v>48</v>
      </c>
      <c r="FI145" s="21">
        <v>50</v>
      </c>
      <c r="FJ145" s="21"/>
      <c r="FK145" s="21" t="s">
        <v>480</v>
      </c>
      <c r="FL145" s="21">
        <v>0</v>
      </c>
      <c r="FM145" s="21">
        <v>6</v>
      </c>
      <c r="FN145" s="21">
        <v>8</v>
      </c>
      <c r="FO145" s="21">
        <v>10</v>
      </c>
      <c r="FP145" s="21">
        <v>12</v>
      </c>
      <c r="FQ145" s="21">
        <v>14</v>
      </c>
      <c r="FR145" s="21">
        <v>16</v>
      </c>
      <c r="FS145" s="21">
        <v>18</v>
      </c>
      <c r="FT145" s="21">
        <v>20</v>
      </c>
      <c r="FU145" s="21">
        <v>22</v>
      </c>
      <c r="FV145" s="21">
        <v>24</v>
      </c>
      <c r="FW145" s="21">
        <v>26</v>
      </c>
      <c r="FX145" s="21">
        <v>28</v>
      </c>
      <c r="FY145" s="21">
        <v>30</v>
      </c>
      <c r="FZ145" s="21">
        <v>32</v>
      </c>
      <c r="GA145" s="21">
        <v>34</v>
      </c>
      <c r="GB145" s="21">
        <v>36</v>
      </c>
      <c r="GC145" s="21">
        <v>38</v>
      </c>
      <c r="GD145" s="21">
        <v>40</v>
      </c>
      <c r="GE145" s="21">
        <v>42</v>
      </c>
      <c r="GF145" s="21">
        <v>44</v>
      </c>
      <c r="GG145" s="21">
        <v>46</v>
      </c>
      <c r="GH145" s="21">
        <v>48</v>
      </c>
      <c r="GI145" s="21">
        <v>50</v>
      </c>
      <c r="GJ145" s="21"/>
      <c r="GK145" s="21"/>
      <c r="GL145" s="197"/>
      <c r="GM145" s="21"/>
      <c r="GN145" s="21"/>
      <c r="GO145" s="21"/>
      <c r="GP145" s="21"/>
      <c r="GQ145" s="21"/>
      <c r="GR145" s="21"/>
      <c r="GS145" s="21"/>
      <c r="GT145" s="21"/>
      <c r="GU145" s="21"/>
      <c r="GV145" s="21"/>
      <c r="GW145" s="21"/>
      <c r="GX145" s="21"/>
      <c r="GY145" s="21"/>
      <c r="GZ145" s="21"/>
      <c r="HA145" s="21"/>
      <c r="HB145" s="21"/>
      <c r="HC145" s="21"/>
      <c r="HD145" s="21"/>
      <c r="HE145" s="21"/>
      <c r="HF145" s="21"/>
      <c r="HG145" s="21"/>
      <c r="HH145" s="21"/>
    </row>
    <row r="146" spans="1:216" x14ac:dyDescent="0.25">
      <c r="A146" s="9"/>
      <c r="B146" s="6"/>
      <c r="C146" s="9"/>
      <c r="D146" s="9"/>
      <c r="E146" s="9"/>
      <c r="F146" s="9"/>
      <c r="G146" s="9"/>
      <c r="H146" s="9"/>
      <c r="I146" s="9"/>
      <c r="J146" s="9"/>
      <c r="K146" s="9"/>
      <c r="L146" s="6" t="str">
        <f>INDEX(($AH$3:$AI$12),MATCH(I131,$AG$3:$AG$12,0),MATCH(E132,$AH$2:$AI$2,0))</f>
        <v>BUF40</v>
      </c>
      <c r="M146" s="11">
        <f>INDEX(cennik!$C$2:$L$529,MATCH($L146,cennik!$B$2:$B$522,0),MATCH(M$2,cennik!$C$1:$L$1,0))</f>
        <v>897340</v>
      </c>
      <c r="N146" s="11" t="str">
        <f>INDEX(cennik!$C$2:$L$529,MATCH($L146,cennik!$B$2:$B$522,0),MATCH(N$2,cennik!$C$1:$L$1,0))</f>
        <v>szt.</v>
      </c>
      <c r="O146" s="11">
        <f>SUM((C130*12),(C131*12),(C132*12),(C133*12),(C134*12),(C135*12),(C136*12),(C137*12),(C138*12),(C139*12),(C140*12),(C141*12),(C142*12),(C143*12),(C144*12),(C145*12))</f>
        <v>0</v>
      </c>
      <c r="P146" s="34">
        <f>INDEX(cennik!$C$2:$L$529,MATCH($L146,cennik!$B$2:$B$522,0),MATCH(P$2,cennik!$C$1:$L$1,0))</f>
        <v>1.92</v>
      </c>
      <c r="Q146" s="34">
        <f t="shared" si="195"/>
        <v>0</v>
      </c>
      <c r="R146" s="35">
        <f t="shared" si="188"/>
        <v>0</v>
      </c>
      <c r="S146" s="34">
        <f t="shared" si="187"/>
        <v>1.92</v>
      </c>
      <c r="T146" s="34">
        <f t="shared" si="196"/>
        <v>0</v>
      </c>
      <c r="U146" s="34">
        <f>INDEX(cennik!$C$2:$L$529,MATCH($L146,cennik!$B$2:$B$522,0),MATCH(U$2,cennik!$C$1:$L$1,0))*O146</f>
        <v>0</v>
      </c>
      <c r="V146" s="25"/>
      <c r="AC146" s="21"/>
      <c r="AD146" s="21"/>
      <c r="AE146" s="21"/>
      <c r="AF146" s="21"/>
      <c r="AG146" s="21"/>
      <c r="AH146" s="21">
        <f>(AB152-1)*3000</f>
        <v>-3000</v>
      </c>
      <c r="AI146" s="21"/>
      <c r="AJ146" s="21"/>
      <c r="AK146" s="21"/>
      <c r="AL146" s="21"/>
      <c r="AM146" s="21"/>
      <c r="AQ146" s="21"/>
      <c r="AR146" s="21"/>
      <c r="AS146" s="21"/>
      <c r="AT146" s="21"/>
      <c r="AU146" s="21"/>
      <c r="AV146" s="21"/>
      <c r="AW146" s="21"/>
      <c r="AX146" s="21"/>
      <c r="AY146" s="21"/>
      <c r="AZ146" s="21"/>
      <c r="BA146" s="21"/>
      <c r="BB146" s="21"/>
      <c r="BC146" s="21"/>
      <c r="BD146" s="21"/>
      <c r="BE146" s="21"/>
      <c r="BF146" s="21"/>
      <c r="BG146" s="21"/>
      <c r="BH146" s="21" t="s">
        <v>216</v>
      </c>
      <c r="BI146" s="21">
        <v>0</v>
      </c>
      <c r="BJ146" s="21">
        <v>0</v>
      </c>
      <c r="BK146" s="21">
        <v>4</v>
      </c>
      <c r="BL146" s="21">
        <v>0</v>
      </c>
      <c r="BM146" s="21">
        <v>0</v>
      </c>
      <c r="BN146" s="21">
        <v>4</v>
      </c>
      <c r="BO146" s="21">
        <v>0</v>
      </c>
      <c r="BP146" s="21">
        <v>0</v>
      </c>
      <c r="BQ146" s="21">
        <v>4</v>
      </c>
      <c r="BR146" s="21">
        <v>8</v>
      </c>
      <c r="BS146" s="21">
        <v>0</v>
      </c>
      <c r="BT146" s="21">
        <v>8</v>
      </c>
      <c r="BU146" s="21">
        <v>8</v>
      </c>
      <c r="BV146" s="21">
        <v>0</v>
      </c>
      <c r="BW146" s="21">
        <v>8</v>
      </c>
      <c r="BX146" s="21">
        <v>8</v>
      </c>
      <c r="BY146" s="21">
        <v>0</v>
      </c>
      <c r="BZ146" s="21">
        <v>8</v>
      </c>
      <c r="CA146" s="21">
        <v>8</v>
      </c>
      <c r="CB146" s="21">
        <v>4</v>
      </c>
      <c r="CC146" s="21">
        <v>4</v>
      </c>
      <c r="CD146" s="21">
        <v>8</v>
      </c>
      <c r="CE146" s="21">
        <v>4</v>
      </c>
      <c r="CF146" s="21">
        <v>4</v>
      </c>
      <c r="CG146" s="21"/>
      <c r="CH146" s="21"/>
      <c r="CI146" s="21"/>
      <c r="CJ146" s="21"/>
      <c r="CK146" s="21"/>
      <c r="CL146" s="21"/>
      <c r="CM146" s="21"/>
      <c r="CN146" s="21" t="s">
        <v>216</v>
      </c>
      <c r="CO146" s="21">
        <v>0</v>
      </c>
      <c r="CP146" s="21">
        <v>4</v>
      </c>
      <c r="CQ146" s="21">
        <v>0</v>
      </c>
      <c r="CR146" s="21">
        <v>0</v>
      </c>
      <c r="CS146" s="21">
        <v>4</v>
      </c>
      <c r="CT146" s="21">
        <v>8</v>
      </c>
      <c r="CU146" s="21">
        <v>0</v>
      </c>
      <c r="CV146" s="21">
        <v>4</v>
      </c>
      <c r="CW146" s="21">
        <v>8</v>
      </c>
      <c r="CX146" s="21">
        <v>0</v>
      </c>
      <c r="CY146" s="21">
        <v>4</v>
      </c>
      <c r="CZ146" s="21">
        <v>8</v>
      </c>
      <c r="DA146" s="21">
        <v>0</v>
      </c>
      <c r="DB146" s="21">
        <v>8</v>
      </c>
      <c r="DC146" s="21">
        <v>0</v>
      </c>
      <c r="DD146" s="21">
        <v>4</v>
      </c>
      <c r="DE146" s="21">
        <v>8</v>
      </c>
      <c r="DF146" s="21">
        <v>0</v>
      </c>
      <c r="DG146" s="21">
        <v>4</v>
      </c>
      <c r="DH146" s="21">
        <v>8</v>
      </c>
      <c r="DI146" s="21">
        <v>0</v>
      </c>
      <c r="DJ146" s="21">
        <v>4</v>
      </c>
      <c r="DK146" s="21">
        <v>8</v>
      </c>
      <c r="DL146" s="21">
        <v>0</v>
      </c>
      <c r="DM146" s="21"/>
      <c r="DN146" s="21"/>
      <c r="DO146" s="21"/>
      <c r="DP146" s="21"/>
      <c r="DQ146" s="87">
        <v>22</v>
      </c>
      <c r="DR146" s="87">
        <v>22</v>
      </c>
      <c r="DS146" s="87"/>
      <c r="DT146" s="21"/>
      <c r="DU146" s="21"/>
      <c r="DV146" s="21"/>
      <c r="DW146" s="21"/>
      <c r="DX146" s="21"/>
      <c r="DY146" s="21"/>
      <c r="DZ146" s="21"/>
      <c r="EA146" s="21"/>
      <c r="EB146" s="21"/>
      <c r="EC146" s="21"/>
      <c r="ED146" s="21"/>
      <c r="EE146" s="21"/>
      <c r="EF146" s="21"/>
      <c r="EG146" s="21"/>
      <c r="EH146" s="21"/>
      <c r="EI146" s="196"/>
      <c r="EK146" s="21" t="s">
        <v>586</v>
      </c>
      <c r="EL146" s="21">
        <v>0</v>
      </c>
      <c r="EM146" s="21">
        <v>0</v>
      </c>
      <c r="EN146" s="21">
        <v>0</v>
      </c>
      <c r="EO146" s="21">
        <v>4</v>
      </c>
      <c r="EP146" s="21">
        <v>0</v>
      </c>
      <c r="EQ146" s="21">
        <v>0</v>
      </c>
      <c r="ER146" s="21">
        <v>0</v>
      </c>
      <c r="ES146" s="21">
        <v>0</v>
      </c>
      <c r="ET146" s="21">
        <v>0</v>
      </c>
      <c r="EU146" s="21">
        <v>0</v>
      </c>
      <c r="EV146" s="21">
        <v>0</v>
      </c>
      <c r="EW146" s="21">
        <v>0</v>
      </c>
      <c r="EX146" s="21">
        <v>0</v>
      </c>
      <c r="EY146" s="21">
        <v>0</v>
      </c>
      <c r="EZ146" s="21">
        <v>0</v>
      </c>
      <c r="FA146" s="21">
        <v>0</v>
      </c>
      <c r="FB146" s="21">
        <v>0</v>
      </c>
      <c r="FC146" s="21">
        <v>0</v>
      </c>
      <c r="FD146" s="21">
        <v>0</v>
      </c>
      <c r="FE146" s="21">
        <v>0</v>
      </c>
      <c r="FF146" s="21">
        <v>0</v>
      </c>
      <c r="FG146" s="21">
        <v>0</v>
      </c>
      <c r="FH146" s="21">
        <v>0</v>
      </c>
      <c r="FI146" s="21">
        <v>0</v>
      </c>
      <c r="FK146" s="21" t="s">
        <v>586</v>
      </c>
      <c r="FL146" s="21">
        <v>0</v>
      </c>
      <c r="FM146" s="21">
        <v>0</v>
      </c>
      <c r="FN146" s="21">
        <v>4</v>
      </c>
      <c r="FO146" s="21">
        <v>4</v>
      </c>
      <c r="FP146" s="21">
        <v>0</v>
      </c>
      <c r="FQ146" s="21">
        <v>0</v>
      </c>
      <c r="FR146" s="21">
        <v>0</v>
      </c>
      <c r="FS146" s="21">
        <v>0</v>
      </c>
      <c r="FT146" s="21">
        <v>0</v>
      </c>
      <c r="FU146" s="21">
        <v>0</v>
      </c>
      <c r="FV146" s="21">
        <v>0</v>
      </c>
      <c r="FW146" s="21">
        <v>0</v>
      </c>
      <c r="FX146" s="21">
        <v>0</v>
      </c>
      <c r="FY146" s="21">
        <v>0</v>
      </c>
      <c r="FZ146" s="21">
        <v>0</v>
      </c>
      <c r="GA146" s="21">
        <v>0</v>
      </c>
      <c r="GB146" s="21">
        <v>0</v>
      </c>
      <c r="GC146" s="21">
        <v>0</v>
      </c>
      <c r="GD146" s="21">
        <v>0</v>
      </c>
      <c r="GE146" s="21">
        <v>0</v>
      </c>
      <c r="GF146" s="21">
        <v>0</v>
      </c>
      <c r="GG146" s="21">
        <v>0</v>
      </c>
      <c r="GH146" s="21">
        <v>0</v>
      </c>
      <c r="GI146" s="21">
        <v>0</v>
      </c>
      <c r="GJ146" s="21"/>
      <c r="GK146" s="21"/>
      <c r="GL146" s="197"/>
      <c r="GM146" s="21"/>
      <c r="GN146" s="21"/>
      <c r="GO146" s="21"/>
      <c r="GP146" s="21"/>
      <c r="GQ146" s="21"/>
      <c r="GR146" s="21"/>
      <c r="GS146" s="21"/>
      <c r="GT146" s="21"/>
      <c r="GU146" s="21"/>
      <c r="GV146" s="21"/>
      <c r="GW146" s="21"/>
      <c r="GX146" s="21"/>
      <c r="GY146" s="21"/>
      <c r="GZ146" s="21"/>
      <c r="HA146" s="21"/>
      <c r="HB146" s="21"/>
      <c r="HC146" s="21"/>
      <c r="HD146" s="21"/>
      <c r="HE146" s="21"/>
      <c r="HF146" s="21"/>
      <c r="HG146" s="21"/>
      <c r="HH146" s="21"/>
    </row>
    <row r="147" spans="1:216" x14ac:dyDescent="0.25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6" t="str">
        <f>INDEX(($AH$13:$AI$13),1,MATCH(E132,$AH$2:$AI$2,0))</f>
        <v>PUF</v>
      </c>
      <c r="M147" s="11">
        <f>INDEX(cennik!$C$2:$L$529,MATCH($L147,cennik!$B$2:$B$522,0),MATCH(M$2,cennik!$C$1:$L$1,0))</f>
        <v>897300</v>
      </c>
      <c r="N147" s="11" t="str">
        <f>INDEX(cennik!$C$2:$L$529,MATCH($L147,cennik!$B$2:$B$522,0),MATCH(N$2,cennik!$C$1:$L$1,0))</f>
        <v>szt.</v>
      </c>
      <c r="O147" s="11">
        <f>SUM((((A130/3)-1)*6)*C130,(((A131/3)-1)*6)*C131,(((A132/3)-1)*6)*C132,(((A133/3)-1)*6)*C133,(((A134/3)-1)*6)*C134,(((A135/3)-1)*6)*C135,(((A136/3)-1)*6)*C136,(((A137/3)-1)*6)*C137,(((A138/3)-1)*6)*C138,(((A139/3)-1)*6)*C139,(((A140/3)-1)*6)*C140,(((A141/3)-1)*6)*C141,(((A142/3)-1)*6)*C142,(((A143/3)-1)*6)*C143,(((A144/3)-1)*6)*C144,(((A145/3)-1)*6)*C145)</f>
        <v>0</v>
      </c>
      <c r="P147" s="34">
        <f>INDEX(cennik!$C$2:$L$529,MATCH($L147,cennik!$B$2:$B$522,0),MATCH(P$2,cennik!$C$1:$L$1,0))</f>
        <v>2.06</v>
      </c>
      <c r="Q147" s="34">
        <f t="shared" si="195"/>
        <v>0</v>
      </c>
      <c r="R147" s="35">
        <f t="shared" si="188"/>
        <v>0</v>
      </c>
      <c r="S147" s="34">
        <f t="shared" si="187"/>
        <v>2.06</v>
      </c>
      <c r="T147" s="34">
        <f t="shared" si="196"/>
        <v>0</v>
      </c>
      <c r="U147" s="34">
        <f>INDEX(cennik!$C$2:$L$529,MATCH($L147,cennik!$B$2:$B$522,0),MATCH(U$2,cennik!$C$1:$L$1,0))*O147</f>
        <v>0</v>
      </c>
      <c r="V147" s="25"/>
      <c r="AC147" s="21"/>
      <c r="AD147" s="21"/>
      <c r="AE147" s="21"/>
      <c r="AF147" s="21"/>
      <c r="AG147" s="21"/>
      <c r="AH147" s="21"/>
      <c r="AI147" s="21"/>
      <c r="AJ147" s="21"/>
      <c r="AK147" s="21"/>
      <c r="AL147" s="21"/>
      <c r="AM147" s="21"/>
      <c r="AQ147" s="21"/>
      <c r="AR147" s="21"/>
      <c r="AS147" s="21"/>
      <c r="AT147" s="21"/>
      <c r="AU147" s="21"/>
      <c r="AV147" s="21"/>
      <c r="AW147" s="21"/>
      <c r="AX147" s="21"/>
      <c r="AY147" s="21"/>
      <c r="AZ147" s="21"/>
      <c r="BA147" s="21"/>
      <c r="BB147" s="21"/>
      <c r="BC147" s="21"/>
      <c r="BD147" s="21"/>
      <c r="BE147" s="21"/>
      <c r="BF147" s="21"/>
      <c r="BG147" s="21"/>
      <c r="BH147" s="21" t="s">
        <v>17</v>
      </c>
      <c r="BI147" s="21">
        <v>0</v>
      </c>
      <c r="BJ147" s="21">
        <v>4</v>
      </c>
      <c r="BK147" s="21">
        <v>0</v>
      </c>
      <c r="BL147" s="21">
        <v>0</v>
      </c>
      <c r="BM147" s="21">
        <v>0</v>
      </c>
      <c r="BN147" s="21">
        <v>4</v>
      </c>
      <c r="BO147" s="21">
        <v>4</v>
      </c>
      <c r="BP147" s="21">
        <v>4</v>
      </c>
      <c r="BQ147" s="21">
        <v>0</v>
      </c>
      <c r="BR147" s="21">
        <v>4</v>
      </c>
      <c r="BS147" s="21">
        <v>0</v>
      </c>
      <c r="BT147" s="21">
        <v>0</v>
      </c>
      <c r="BU147" s="21">
        <v>0</v>
      </c>
      <c r="BV147" s="21">
        <v>4</v>
      </c>
      <c r="BW147" s="21">
        <v>4</v>
      </c>
      <c r="BX147" s="21">
        <v>4</v>
      </c>
      <c r="BY147" s="21">
        <v>0</v>
      </c>
      <c r="BZ147" s="21">
        <v>0</v>
      </c>
      <c r="CA147" s="21">
        <v>0</v>
      </c>
      <c r="CB147" s="21">
        <v>0</v>
      </c>
      <c r="CC147" s="21">
        <v>0</v>
      </c>
      <c r="CD147" s="21">
        <v>4</v>
      </c>
      <c r="CE147" s="21">
        <v>4</v>
      </c>
      <c r="CF147" s="21">
        <v>4</v>
      </c>
      <c r="CG147" s="21"/>
      <c r="CH147" s="21"/>
      <c r="CI147" s="21"/>
      <c r="CJ147" s="21"/>
      <c r="CK147" s="21"/>
      <c r="CL147" s="21"/>
      <c r="CM147" s="21"/>
      <c r="CN147" s="21" t="s">
        <v>17</v>
      </c>
      <c r="CO147" s="21">
        <v>0</v>
      </c>
      <c r="CP147" s="21">
        <v>0</v>
      </c>
      <c r="CQ147" s="21">
        <v>0</v>
      </c>
      <c r="CR147" s="21">
        <v>0</v>
      </c>
      <c r="CS147" s="21">
        <v>4</v>
      </c>
      <c r="CT147" s="21">
        <v>0</v>
      </c>
      <c r="CU147" s="21">
        <v>4</v>
      </c>
      <c r="CV147" s="21">
        <v>0</v>
      </c>
      <c r="CW147" s="21">
        <v>4</v>
      </c>
      <c r="CX147" s="21">
        <v>0</v>
      </c>
      <c r="CY147" s="21">
        <v>4</v>
      </c>
      <c r="CZ147" s="21">
        <v>0</v>
      </c>
      <c r="DA147" s="21">
        <v>4</v>
      </c>
      <c r="DB147" s="21">
        <v>4</v>
      </c>
      <c r="DC147" s="21">
        <v>0</v>
      </c>
      <c r="DD147" s="21">
        <v>4</v>
      </c>
      <c r="DE147" s="21">
        <v>0</v>
      </c>
      <c r="DF147" s="21">
        <v>4</v>
      </c>
      <c r="DG147" s="21">
        <v>0</v>
      </c>
      <c r="DH147" s="21">
        <v>4</v>
      </c>
      <c r="DI147" s="21">
        <v>0</v>
      </c>
      <c r="DJ147" s="21">
        <v>4</v>
      </c>
      <c r="DK147" s="21">
        <v>0</v>
      </c>
      <c r="DL147" s="21">
        <v>4</v>
      </c>
      <c r="DM147" s="21"/>
      <c r="DN147" s="21"/>
      <c r="DO147" s="21"/>
      <c r="DP147" s="21"/>
      <c r="DQ147" s="87">
        <v>24</v>
      </c>
      <c r="DR147" s="87">
        <v>24</v>
      </c>
      <c r="DS147" s="87"/>
      <c r="DT147" s="21"/>
      <c r="DU147" s="21"/>
      <c r="DV147" s="21"/>
      <c r="DW147" s="21"/>
      <c r="DX147" s="21"/>
      <c r="DY147" s="21"/>
      <c r="DZ147" s="21"/>
      <c r="EA147" s="21"/>
      <c r="EB147" s="21"/>
      <c r="EC147" s="21"/>
      <c r="ED147" s="21"/>
      <c r="EE147" s="21"/>
      <c r="EF147" s="21"/>
      <c r="EG147" s="21"/>
      <c r="EH147" s="21"/>
      <c r="EI147" s="196"/>
      <c r="EK147" s="21" t="s">
        <v>522</v>
      </c>
      <c r="EL147" s="21">
        <v>0</v>
      </c>
      <c r="EM147" s="21">
        <f>BJ146</f>
        <v>0</v>
      </c>
      <c r="EN147" s="21">
        <f>BK146</f>
        <v>4</v>
      </c>
      <c r="EO147" s="21">
        <v>0</v>
      </c>
      <c r="EP147" s="21">
        <f t="shared" ref="EP147:FI147" si="200">BM146</f>
        <v>0</v>
      </c>
      <c r="EQ147" s="21">
        <f t="shared" si="200"/>
        <v>4</v>
      </c>
      <c r="ER147" s="21">
        <f t="shared" si="200"/>
        <v>0</v>
      </c>
      <c r="ES147" s="21">
        <f t="shared" si="200"/>
        <v>0</v>
      </c>
      <c r="ET147" s="21">
        <f t="shared" si="200"/>
        <v>4</v>
      </c>
      <c r="EU147" s="21">
        <f t="shared" si="200"/>
        <v>8</v>
      </c>
      <c r="EV147" s="21">
        <f t="shared" si="200"/>
        <v>0</v>
      </c>
      <c r="EW147" s="21">
        <f t="shared" si="200"/>
        <v>8</v>
      </c>
      <c r="EX147" s="21">
        <f t="shared" si="200"/>
        <v>8</v>
      </c>
      <c r="EY147" s="21">
        <f t="shared" si="200"/>
        <v>0</v>
      </c>
      <c r="EZ147" s="21">
        <f t="shared" si="200"/>
        <v>8</v>
      </c>
      <c r="FA147" s="21">
        <f t="shared" si="200"/>
        <v>8</v>
      </c>
      <c r="FB147" s="21">
        <f t="shared" si="200"/>
        <v>0</v>
      </c>
      <c r="FC147" s="21">
        <f t="shared" si="200"/>
        <v>8</v>
      </c>
      <c r="FD147" s="21">
        <f t="shared" si="200"/>
        <v>8</v>
      </c>
      <c r="FE147" s="21">
        <f t="shared" si="200"/>
        <v>4</v>
      </c>
      <c r="FF147" s="21">
        <f t="shared" si="200"/>
        <v>4</v>
      </c>
      <c r="FG147" s="21">
        <f t="shared" si="200"/>
        <v>8</v>
      </c>
      <c r="FH147" s="21">
        <f t="shared" si="200"/>
        <v>4</v>
      </c>
      <c r="FI147" s="21">
        <f t="shared" si="200"/>
        <v>4</v>
      </c>
      <c r="FJ147" s="21"/>
      <c r="FK147" s="21" t="s">
        <v>522</v>
      </c>
      <c r="FL147" s="21">
        <v>0</v>
      </c>
      <c r="FM147" s="21">
        <f>CP146</f>
        <v>4</v>
      </c>
      <c r="FN147" s="21">
        <v>0</v>
      </c>
      <c r="FO147" s="21">
        <v>0</v>
      </c>
      <c r="FP147" s="21">
        <f t="shared" ref="FP147:GI147" si="201">CS146</f>
        <v>4</v>
      </c>
      <c r="FQ147" s="21">
        <f t="shared" si="201"/>
        <v>8</v>
      </c>
      <c r="FR147" s="21">
        <f t="shared" si="201"/>
        <v>0</v>
      </c>
      <c r="FS147" s="21">
        <f t="shared" si="201"/>
        <v>4</v>
      </c>
      <c r="FT147" s="21">
        <f t="shared" si="201"/>
        <v>8</v>
      </c>
      <c r="FU147" s="21">
        <f t="shared" si="201"/>
        <v>0</v>
      </c>
      <c r="FV147" s="21">
        <f t="shared" si="201"/>
        <v>4</v>
      </c>
      <c r="FW147" s="21">
        <f t="shared" si="201"/>
        <v>8</v>
      </c>
      <c r="FX147" s="21">
        <f t="shared" si="201"/>
        <v>0</v>
      </c>
      <c r="FY147" s="21">
        <f t="shared" si="201"/>
        <v>8</v>
      </c>
      <c r="FZ147" s="21">
        <f t="shared" si="201"/>
        <v>0</v>
      </c>
      <c r="GA147" s="21">
        <f t="shared" si="201"/>
        <v>4</v>
      </c>
      <c r="GB147" s="21">
        <f t="shared" si="201"/>
        <v>8</v>
      </c>
      <c r="GC147" s="21">
        <f t="shared" si="201"/>
        <v>0</v>
      </c>
      <c r="GD147" s="21">
        <f t="shared" si="201"/>
        <v>4</v>
      </c>
      <c r="GE147" s="21">
        <f t="shared" si="201"/>
        <v>8</v>
      </c>
      <c r="GF147" s="21">
        <f t="shared" si="201"/>
        <v>0</v>
      </c>
      <c r="GG147" s="21">
        <f t="shared" si="201"/>
        <v>4</v>
      </c>
      <c r="GH147" s="21">
        <f t="shared" si="201"/>
        <v>8</v>
      </c>
      <c r="GI147" s="21">
        <f t="shared" si="201"/>
        <v>0</v>
      </c>
      <c r="GJ147" s="21"/>
      <c r="GK147" s="21"/>
      <c r="GL147" s="197"/>
      <c r="GM147" s="21"/>
      <c r="GN147" s="21"/>
      <c r="GO147" s="21"/>
      <c r="GP147" s="21"/>
      <c r="GQ147" s="21"/>
      <c r="GR147" s="21"/>
      <c r="GS147" s="21"/>
      <c r="GT147" s="21"/>
      <c r="GU147" s="21"/>
      <c r="GV147" s="21"/>
      <c r="GW147" s="21"/>
      <c r="GX147" s="21"/>
      <c r="GY147" s="21"/>
      <c r="GZ147" s="21"/>
      <c r="HA147" s="21"/>
      <c r="HB147" s="21"/>
      <c r="HC147" s="21"/>
      <c r="HD147" s="21"/>
      <c r="HE147" s="21"/>
      <c r="HF147" s="21"/>
      <c r="HG147" s="21"/>
      <c r="HH147" s="21"/>
    </row>
    <row r="148" spans="1:216" x14ac:dyDescent="0.25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6" t="str">
        <f>INDEX(($AJ$3:$AJ$12),MATCH(I131,$AG$3:$AG$12,0),1)</f>
        <v>SAM8X35E</v>
      </c>
      <c r="M148" s="11">
        <f>INDEX(cennik!$C$2:$L$529,MATCH($L148,cennik!$B$2:$B$522,0),MATCH(M$2,cennik!$C$1:$L$1,0))</f>
        <v>898535</v>
      </c>
      <c r="N148" s="11" t="str">
        <f>INDEX(cennik!$C$2:$L$529,MATCH($L148,cennik!$B$2:$B$522,0),MATCH(N$2,cennik!$C$1:$L$1,0))</f>
        <v>szt.</v>
      </c>
      <c r="O148" s="11">
        <f>IF(L148="-------",0,SUM(O146:O147))</f>
        <v>0</v>
      </c>
      <c r="P148" s="34">
        <f>INDEX(cennik!$C$2:$L$529,MATCH($L148,cennik!$B$2:$B$522,0),MATCH(P$2,cennik!$C$1:$L$1,0))</f>
        <v>0.61</v>
      </c>
      <c r="Q148" s="34">
        <f t="shared" si="195"/>
        <v>0</v>
      </c>
      <c r="R148" s="35">
        <f t="shared" si="188"/>
        <v>0</v>
      </c>
      <c r="S148" s="34">
        <f t="shared" si="187"/>
        <v>0.61</v>
      </c>
      <c r="T148" s="34">
        <f t="shared" si="196"/>
        <v>0</v>
      </c>
      <c r="U148" s="34">
        <f>INDEX(cennik!$C$2:$L$529,MATCH($L148,cennik!$B$2:$B$522,0),MATCH(U$2,cennik!$C$1:$L$1,0))*O148</f>
        <v>0</v>
      </c>
      <c r="V148" s="25"/>
      <c r="AC148" s="21"/>
      <c r="AD148" s="21"/>
      <c r="AE148" s="21"/>
      <c r="AF148" s="21"/>
      <c r="AG148" s="21"/>
      <c r="AH148" s="21"/>
      <c r="AI148" s="21"/>
      <c r="AJ148" s="21"/>
      <c r="AK148" s="21"/>
      <c r="AL148" s="21"/>
      <c r="AM148" s="21"/>
      <c r="AQ148" s="21"/>
      <c r="AR148" s="21"/>
      <c r="AS148" s="21"/>
      <c r="AT148" s="21"/>
      <c r="AU148" s="21"/>
      <c r="AV148" s="21"/>
      <c r="AW148" s="21"/>
      <c r="AX148" s="21"/>
      <c r="AY148" s="21"/>
      <c r="AZ148" s="21"/>
      <c r="BA148" s="21"/>
      <c r="BB148" s="21"/>
      <c r="BC148" s="21"/>
      <c r="BD148" s="21"/>
      <c r="BE148" s="21"/>
      <c r="BF148" s="21"/>
      <c r="BG148" s="21"/>
      <c r="BH148" s="21" t="s">
        <v>18</v>
      </c>
      <c r="BI148" s="21">
        <v>0</v>
      </c>
      <c r="BJ148" s="21">
        <v>0</v>
      </c>
      <c r="BK148" s="21">
        <v>0</v>
      </c>
      <c r="BL148" s="21">
        <v>0</v>
      </c>
      <c r="BM148" s="21">
        <v>0</v>
      </c>
      <c r="BN148" s="21">
        <v>4</v>
      </c>
      <c r="BO148" s="21">
        <v>4</v>
      </c>
      <c r="BP148" s="21">
        <v>4</v>
      </c>
      <c r="BQ148" s="21">
        <v>4</v>
      </c>
      <c r="BR148" s="21">
        <v>8</v>
      </c>
      <c r="BS148" s="21">
        <v>4</v>
      </c>
      <c r="BT148" s="21">
        <v>8</v>
      </c>
      <c r="BU148" s="21">
        <v>8</v>
      </c>
      <c r="BV148" s="21">
        <v>8</v>
      </c>
      <c r="BW148" s="21">
        <v>12</v>
      </c>
      <c r="BX148" s="21">
        <v>12</v>
      </c>
      <c r="BY148" s="21">
        <v>8</v>
      </c>
      <c r="BZ148" s="21">
        <v>12</v>
      </c>
      <c r="CA148" s="21">
        <v>12</v>
      </c>
      <c r="CB148" s="21">
        <v>12</v>
      </c>
      <c r="CC148" s="21">
        <v>12</v>
      </c>
      <c r="CD148" s="21">
        <v>16</v>
      </c>
      <c r="CE148" s="21">
        <v>16</v>
      </c>
      <c r="CF148" s="21">
        <v>16</v>
      </c>
      <c r="CG148" s="21"/>
      <c r="CH148" s="21"/>
      <c r="CI148" s="21"/>
      <c r="CJ148" s="21"/>
      <c r="CK148" s="21"/>
      <c r="CL148" s="21"/>
      <c r="CM148" s="21"/>
      <c r="CN148" s="21" t="s">
        <v>18</v>
      </c>
      <c r="CO148" s="21">
        <v>0</v>
      </c>
      <c r="CP148" s="21">
        <v>0</v>
      </c>
      <c r="CQ148" s="21">
        <v>0</v>
      </c>
      <c r="CR148" s="21">
        <v>0</v>
      </c>
      <c r="CS148" s="21">
        <v>4</v>
      </c>
      <c r="CT148" s="21">
        <v>4</v>
      </c>
      <c r="CU148" s="21">
        <v>4</v>
      </c>
      <c r="CV148" s="21">
        <v>4</v>
      </c>
      <c r="CW148" s="21">
        <v>8</v>
      </c>
      <c r="CX148" s="21">
        <v>4</v>
      </c>
      <c r="CY148" s="21">
        <v>8</v>
      </c>
      <c r="CZ148" s="21">
        <v>8</v>
      </c>
      <c r="DA148" s="21">
        <v>8</v>
      </c>
      <c r="DB148" s="21">
        <v>12</v>
      </c>
      <c r="DC148" s="21">
        <v>8</v>
      </c>
      <c r="DD148" s="21">
        <v>12</v>
      </c>
      <c r="DE148" s="21">
        <v>12</v>
      </c>
      <c r="DF148" s="21">
        <v>12</v>
      </c>
      <c r="DG148" s="21">
        <v>12</v>
      </c>
      <c r="DH148" s="21">
        <v>16</v>
      </c>
      <c r="DI148" s="21">
        <v>12</v>
      </c>
      <c r="DJ148" s="21">
        <v>16</v>
      </c>
      <c r="DK148" s="21">
        <v>16</v>
      </c>
      <c r="DL148" s="21">
        <v>16</v>
      </c>
      <c r="DM148" s="21"/>
      <c r="DN148" s="21"/>
      <c r="DO148" s="21"/>
      <c r="DP148" s="21"/>
      <c r="DQ148" s="87">
        <v>26</v>
      </c>
      <c r="DR148" s="87">
        <v>26</v>
      </c>
      <c r="DS148" s="87"/>
      <c r="DT148" s="21"/>
      <c r="DU148" s="21"/>
      <c r="DV148" s="21"/>
      <c r="DW148" s="21"/>
      <c r="DX148" s="21"/>
      <c r="DY148" s="21"/>
      <c r="DZ148" s="21"/>
      <c r="EA148" s="21"/>
      <c r="EB148" s="21"/>
      <c r="EC148" s="21"/>
      <c r="ED148" s="21"/>
      <c r="EE148" s="21"/>
      <c r="EF148" s="21"/>
      <c r="EG148" s="21"/>
      <c r="EH148" s="21"/>
      <c r="EI148" s="196"/>
      <c r="EJ148" s="21"/>
      <c r="EK148" s="21" t="s">
        <v>523</v>
      </c>
      <c r="EL148" s="21">
        <v>0</v>
      </c>
      <c r="EM148" s="21">
        <f>BJ147+(BJ145*2)</f>
        <v>4</v>
      </c>
      <c r="EN148" s="21">
        <f>BK147+(BK145*2)</f>
        <v>0</v>
      </c>
      <c r="EO148" s="21">
        <v>0</v>
      </c>
      <c r="EP148" s="21">
        <f t="shared" ref="EP148:FI148" si="202">BM147+(BM145*2)</f>
        <v>8</v>
      </c>
      <c r="EQ148" s="21">
        <f t="shared" si="202"/>
        <v>4</v>
      </c>
      <c r="ER148" s="21">
        <f t="shared" si="202"/>
        <v>12</v>
      </c>
      <c r="ES148" s="21">
        <f t="shared" si="202"/>
        <v>12</v>
      </c>
      <c r="ET148" s="21">
        <f t="shared" si="202"/>
        <v>8</v>
      </c>
      <c r="EU148" s="21">
        <f t="shared" si="202"/>
        <v>4</v>
      </c>
      <c r="EV148" s="21">
        <f t="shared" si="202"/>
        <v>16</v>
      </c>
      <c r="EW148" s="21">
        <f t="shared" si="202"/>
        <v>8</v>
      </c>
      <c r="EX148" s="21">
        <f t="shared" si="202"/>
        <v>8</v>
      </c>
      <c r="EY148" s="21">
        <f t="shared" si="202"/>
        <v>20</v>
      </c>
      <c r="EZ148" s="21">
        <f t="shared" si="202"/>
        <v>12</v>
      </c>
      <c r="FA148" s="21">
        <f t="shared" si="202"/>
        <v>12</v>
      </c>
      <c r="FB148" s="21">
        <f t="shared" si="202"/>
        <v>24</v>
      </c>
      <c r="FC148" s="21">
        <f t="shared" si="202"/>
        <v>16</v>
      </c>
      <c r="FD148" s="21">
        <f t="shared" si="202"/>
        <v>16</v>
      </c>
      <c r="FE148" s="21">
        <f t="shared" si="202"/>
        <v>24</v>
      </c>
      <c r="FF148" s="21">
        <f t="shared" si="202"/>
        <v>24</v>
      </c>
      <c r="FG148" s="21">
        <f t="shared" si="202"/>
        <v>20</v>
      </c>
      <c r="FH148" s="21">
        <f t="shared" si="202"/>
        <v>28</v>
      </c>
      <c r="FI148" s="21">
        <f t="shared" si="202"/>
        <v>28</v>
      </c>
      <c r="FJ148" s="21"/>
      <c r="FK148" s="21" t="s">
        <v>523</v>
      </c>
      <c r="FL148" s="21">
        <v>0</v>
      </c>
      <c r="FM148" s="21">
        <f>CP147+(CP145*2)</f>
        <v>0</v>
      </c>
      <c r="FN148" s="21">
        <v>0</v>
      </c>
      <c r="FO148" s="21">
        <v>0</v>
      </c>
      <c r="FP148" s="21">
        <f t="shared" ref="FP148:GI148" si="203">CS147+(CS145*2)</f>
        <v>4</v>
      </c>
      <c r="FQ148" s="21">
        <f t="shared" si="203"/>
        <v>0</v>
      </c>
      <c r="FR148" s="21">
        <f t="shared" si="203"/>
        <v>12</v>
      </c>
      <c r="FS148" s="21">
        <f t="shared" si="203"/>
        <v>8</v>
      </c>
      <c r="FT148" s="21">
        <f t="shared" si="203"/>
        <v>4</v>
      </c>
      <c r="FU148" s="21">
        <f t="shared" si="203"/>
        <v>16</v>
      </c>
      <c r="FV148" s="21">
        <f t="shared" si="203"/>
        <v>12</v>
      </c>
      <c r="FW148" s="21">
        <f t="shared" si="203"/>
        <v>8</v>
      </c>
      <c r="FX148" s="21">
        <f t="shared" si="203"/>
        <v>20</v>
      </c>
      <c r="FY148" s="21">
        <f t="shared" si="203"/>
        <v>12</v>
      </c>
      <c r="FZ148" s="21">
        <f t="shared" si="203"/>
        <v>24</v>
      </c>
      <c r="GA148" s="21">
        <f t="shared" si="203"/>
        <v>20</v>
      </c>
      <c r="GB148" s="21">
        <f t="shared" si="203"/>
        <v>16</v>
      </c>
      <c r="GC148" s="21">
        <f t="shared" si="203"/>
        <v>28</v>
      </c>
      <c r="GD148" s="21">
        <f t="shared" si="203"/>
        <v>24</v>
      </c>
      <c r="GE148" s="21">
        <f t="shared" si="203"/>
        <v>20</v>
      </c>
      <c r="GF148" s="21">
        <f t="shared" si="203"/>
        <v>32</v>
      </c>
      <c r="GG148" s="21">
        <f t="shared" si="203"/>
        <v>28</v>
      </c>
      <c r="GH148" s="21">
        <f t="shared" si="203"/>
        <v>24</v>
      </c>
      <c r="GI148" s="21">
        <f t="shared" si="203"/>
        <v>36</v>
      </c>
      <c r="GJ148" s="21"/>
      <c r="GK148" s="21"/>
      <c r="GL148" s="197"/>
      <c r="GM148" s="21"/>
      <c r="GN148" s="21"/>
      <c r="GO148" s="21"/>
      <c r="GP148" s="21"/>
      <c r="GQ148" s="21"/>
      <c r="GR148" s="21"/>
      <c r="GS148" s="21"/>
      <c r="GT148" s="21"/>
      <c r="GU148" s="21"/>
      <c r="GV148" s="21"/>
      <c r="GW148" s="21"/>
      <c r="GX148" s="21"/>
      <c r="GY148" s="21"/>
      <c r="GZ148" s="21"/>
      <c r="HA148" s="21"/>
      <c r="HB148" s="21"/>
      <c r="HC148" s="21"/>
      <c r="HD148" s="21"/>
      <c r="HE148" s="21"/>
      <c r="HF148" s="21"/>
      <c r="HG148" s="21"/>
      <c r="HH148" s="21"/>
    </row>
    <row r="149" spans="1:216" x14ac:dyDescent="0.25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6" t="s">
        <v>1019</v>
      </c>
      <c r="M149" s="11">
        <f>INDEX(cennik!$C$2:$L$529,MATCH($L149,cennik!$B$2:$B$522,0),MATCH(M$2,cennik!$C$1:$L$1,0))</f>
        <v>166794</v>
      </c>
      <c r="N149" s="11" t="str">
        <f>INDEX(cennik!$C$2:$L$529,MATCH($L149,cennik!$B$2:$B$522,0),MATCH(N$2,cennik!$C$1:$L$1,0))</f>
        <v>100 szt.</v>
      </c>
      <c r="O149" s="11">
        <f>ROUNDUP(O148/100,0)</f>
        <v>0</v>
      </c>
      <c r="P149" s="34">
        <f>INDEX(cennik!$C$2:$L$529,MATCH($L149,cennik!$B$2:$B$522,0),MATCH(P$2,cennik!$C$1:$L$1,0))</f>
        <v>3.95</v>
      </c>
      <c r="Q149" s="34">
        <f t="shared" si="195"/>
        <v>0</v>
      </c>
      <c r="R149" s="35">
        <f t="shared" si="188"/>
        <v>0</v>
      </c>
      <c r="S149" s="34">
        <f t="shared" si="187"/>
        <v>3.95</v>
      </c>
      <c r="T149" s="34">
        <f t="shared" si="196"/>
        <v>0</v>
      </c>
      <c r="U149" s="34">
        <f>INDEX(cennik!$C$2:$L$529,MATCH($L149,cennik!$B$2:$B$522,0),MATCH(U$2,cennik!$C$1:$L$1,0))*O149</f>
        <v>0</v>
      </c>
      <c r="V149" s="25"/>
      <c r="AC149" s="21"/>
      <c r="AD149" s="21"/>
      <c r="AE149" s="21"/>
      <c r="AF149" s="21"/>
      <c r="AG149" s="21"/>
      <c r="AH149" s="21"/>
      <c r="AI149" s="21"/>
      <c r="AJ149" s="21"/>
      <c r="AK149" s="21"/>
      <c r="AL149" s="21"/>
      <c r="AM149" s="21"/>
      <c r="AQ149" s="21"/>
      <c r="AR149" s="21"/>
      <c r="AS149" s="21"/>
      <c r="AT149" s="21"/>
      <c r="AU149" s="21"/>
      <c r="AV149" s="21"/>
      <c r="AW149" s="21"/>
      <c r="AX149" s="21"/>
      <c r="AY149" s="21"/>
      <c r="AZ149" s="21"/>
      <c r="BA149" s="21"/>
      <c r="BB149" s="21"/>
      <c r="BC149" s="21"/>
      <c r="BD149" s="21"/>
      <c r="BE149" s="21"/>
      <c r="BF149" s="21"/>
      <c r="BG149" s="21"/>
      <c r="BH149" s="21"/>
      <c r="BI149" s="21"/>
      <c r="BJ149" s="21"/>
      <c r="BK149" s="21"/>
      <c r="BL149" s="21"/>
      <c r="BM149" s="21"/>
      <c r="BN149" s="21"/>
      <c r="BO149" s="21"/>
      <c r="BP149" s="21"/>
      <c r="BQ149" s="21"/>
      <c r="BR149" s="21"/>
      <c r="BS149" s="21"/>
      <c r="BT149" s="21"/>
      <c r="BU149" s="21"/>
      <c r="BV149" s="21"/>
      <c r="BW149" s="21"/>
      <c r="BX149" s="21"/>
      <c r="BY149" s="21"/>
      <c r="BZ149" s="21"/>
      <c r="CA149" s="21"/>
      <c r="CB149" s="21"/>
      <c r="CC149" s="21"/>
      <c r="CD149" s="21"/>
      <c r="CE149" s="21"/>
      <c r="CF149" s="21"/>
      <c r="CG149" s="21"/>
      <c r="CH149" s="21"/>
      <c r="CI149" s="21"/>
      <c r="CJ149" s="21"/>
      <c r="CK149" s="21"/>
      <c r="CL149" s="21"/>
      <c r="CM149" s="21"/>
      <c r="CN149" s="21"/>
      <c r="CO149" s="21"/>
      <c r="CP149" s="21"/>
      <c r="CQ149" s="21"/>
      <c r="CR149" s="21"/>
      <c r="CS149" s="21"/>
      <c r="CT149" s="21"/>
      <c r="CU149" s="21"/>
      <c r="CV149" s="21"/>
      <c r="CW149" s="21"/>
      <c r="CX149" s="21"/>
      <c r="CY149" s="21"/>
      <c r="CZ149" s="21"/>
      <c r="DA149" s="21"/>
      <c r="DB149" s="21"/>
      <c r="DC149" s="21"/>
      <c r="DD149" s="21"/>
      <c r="DE149" s="21"/>
      <c r="DF149" s="21"/>
      <c r="DG149" s="21"/>
      <c r="DH149" s="21"/>
      <c r="DI149" s="21"/>
      <c r="DJ149" s="21"/>
      <c r="DK149" s="21"/>
      <c r="DL149" s="21"/>
      <c r="DM149" s="21"/>
      <c r="DN149" s="21"/>
      <c r="DO149" s="21"/>
      <c r="DP149" s="21"/>
      <c r="DQ149" s="87"/>
      <c r="DR149" s="87">
        <v>28</v>
      </c>
      <c r="DS149" s="87"/>
      <c r="DT149" s="21"/>
      <c r="DU149" s="21"/>
      <c r="DV149" s="21"/>
      <c r="DW149" s="21"/>
      <c r="DX149" s="21"/>
      <c r="DY149" s="21"/>
      <c r="DZ149" s="21"/>
      <c r="EA149" s="21"/>
      <c r="EB149" s="21"/>
      <c r="EC149" s="21"/>
      <c r="ED149" s="21"/>
      <c r="EE149" s="21"/>
      <c r="EF149" s="21"/>
      <c r="EG149" s="21"/>
      <c r="EH149" s="21"/>
      <c r="EI149" s="196"/>
      <c r="EJ149" s="21"/>
      <c r="EK149" s="20" t="s">
        <v>779</v>
      </c>
      <c r="EL149" s="21">
        <v>0</v>
      </c>
      <c r="EM149" s="21">
        <f>((SUM(EM147:EM148)/4)-1)*4</f>
        <v>0</v>
      </c>
      <c r="EN149" s="21">
        <f>((SUM(EN147:EN148)/4)-1)*4</f>
        <v>0</v>
      </c>
      <c r="EO149" s="21">
        <v>0</v>
      </c>
      <c r="EP149" s="21">
        <f t="shared" ref="EP149:EX149" si="204">((SUM(EP147:EP148)/4)-1)*4</f>
        <v>4</v>
      </c>
      <c r="EQ149" s="21">
        <f t="shared" si="204"/>
        <v>4</v>
      </c>
      <c r="ER149" s="21">
        <f t="shared" si="204"/>
        <v>8</v>
      </c>
      <c r="ES149" s="21">
        <f t="shared" si="204"/>
        <v>8</v>
      </c>
      <c r="ET149" s="21">
        <f t="shared" si="204"/>
        <v>8</v>
      </c>
      <c r="EU149" s="21">
        <f t="shared" si="204"/>
        <v>8</v>
      </c>
      <c r="EV149" s="21">
        <f t="shared" si="204"/>
        <v>12</v>
      </c>
      <c r="EW149" s="21">
        <f t="shared" si="204"/>
        <v>12</v>
      </c>
      <c r="EX149" s="21">
        <f t="shared" si="204"/>
        <v>12</v>
      </c>
      <c r="EY149" s="21">
        <f>((SUM(EY147:EY148)/4)-1)*4</f>
        <v>16</v>
      </c>
      <c r="EZ149" s="21">
        <f>((SUM(EZ147:EZ148)/4)-1)*4</f>
        <v>16</v>
      </c>
      <c r="FA149" s="21">
        <f t="shared" ref="FA149:FI149" si="205">((SUM(FA147:FA148)/4)-1)*4</f>
        <v>16</v>
      </c>
      <c r="FB149" s="21">
        <f t="shared" si="205"/>
        <v>20</v>
      </c>
      <c r="FC149" s="21">
        <f t="shared" si="205"/>
        <v>20</v>
      </c>
      <c r="FD149" s="21">
        <f t="shared" si="205"/>
        <v>20</v>
      </c>
      <c r="FE149" s="21">
        <f t="shared" si="205"/>
        <v>24</v>
      </c>
      <c r="FF149" s="21">
        <f t="shared" si="205"/>
        <v>24</v>
      </c>
      <c r="FG149" s="21">
        <f t="shared" si="205"/>
        <v>24</v>
      </c>
      <c r="FH149" s="21">
        <f t="shared" si="205"/>
        <v>28</v>
      </c>
      <c r="FI149" s="21">
        <f t="shared" si="205"/>
        <v>28</v>
      </c>
      <c r="FJ149" s="21"/>
      <c r="FK149" s="20" t="s">
        <v>779</v>
      </c>
      <c r="FL149" s="21">
        <v>0</v>
      </c>
      <c r="FM149" s="21">
        <f>((SUM(FM147:FM148)/4)-1)*4</f>
        <v>0</v>
      </c>
      <c r="FN149" s="21">
        <v>0</v>
      </c>
      <c r="FO149" s="21">
        <v>0</v>
      </c>
      <c r="FP149" s="21">
        <f t="shared" ref="FP149:FX149" si="206">((SUM(FP147:FP148)/4)-1)*4</f>
        <v>4</v>
      </c>
      <c r="FQ149" s="21">
        <f t="shared" si="206"/>
        <v>4</v>
      </c>
      <c r="FR149" s="21">
        <f t="shared" si="206"/>
        <v>8</v>
      </c>
      <c r="FS149" s="21">
        <f t="shared" si="206"/>
        <v>8</v>
      </c>
      <c r="FT149" s="21">
        <f t="shared" si="206"/>
        <v>8</v>
      </c>
      <c r="FU149" s="21">
        <f t="shared" si="206"/>
        <v>12</v>
      </c>
      <c r="FV149" s="21">
        <f t="shared" si="206"/>
        <v>12</v>
      </c>
      <c r="FW149" s="21">
        <f t="shared" si="206"/>
        <v>12</v>
      </c>
      <c r="FX149" s="21">
        <f t="shared" si="206"/>
        <v>16</v>
      </c>
      <c r="FY149" s="21">
        <f>((SUM(FY147:FY148)/4)-1)*4</f>
        <v>16</v>
      </c>
      <c r="FZ149" s="21">
        <f t="shared" ref="FZ149:GI149" si="207">((SUM(FZ147:FZ148)/4)-1)*4</f>
        <v>20</v>
      </c>
      <c r="GA149" s="21">
        <f t="shared" si="207"/>
        <v>20</v>
      </c>
      <c r="GB149" s="21">
        <f t="shared" si="207"/>
        <v>20</v>
      </c>
      <c r="GC149" s="21">
        <f t="shared" si="207"/>
        <v>24</v>
      </c>
      <c r="GD149" s="21">
        <f t="shared" si="207"/>
        <v>24</v>
      </c>
      <c r="GE149" s="21">
        <f t="shared" si="207"/>
        <v>24</v>
      </c>
      <c r="GF149" s="21">
        <f t="shared" si="207"/>
        <v>28</v>
      </c>
      <c r="GG149" s="21">
        <f t="shared" si="207"/>
        <v>28</v>
      </c>
      <c r="GH149" s="21">
        <f t="shared" si="207"/>
        <v>28</v>
      </c>
      <c r="GI149" s="21">
        <f t="shared" si="207"/>
        <v>32</v>
      </c>
      <c r="GJ149" s="21"/>
      <c r="GK149" s="21"/>
      <c r="GL149" s="197"/>
      <c r="GM149" s="21"/>
      <c r="GN149" s="21"/>
      <c r="GO149" s="21"/>
      <c r="GP149" s="21"/>
      <c r="GQ149" s="21"/>
      <c r="GR149" s="21"/>
      <c r="GS149" s="21"/>
      <c r="GT149" s="21"/>
      <c r="GU149" s="21"/>
      <c r="GV149" s="21"/>
      <c r="GW149" s="21"/>
      <c r="GX149" s="21"/>
      <c r="GY149" s="21"/>
      <c r="GZ149" s="21"/>
      <c r="HA149" s="21"/>
      <c r="HB149" s="21"/>
      <c r="HC149" s="21"/>
      <c r="HD149" s="21"/>
      <c r="HE149" s="21"/>
      <c r="HF149" s="21"/>
      <c r="HG149" s="21"/>
      <c r="HH149" s="21"/>
    </row>
    <row r="150" spans="1:216" x14ac:dyDescent="0.25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6" t="s">
        <v>525</v>
      </c>
      <c r="M150" s="11">
        <f>INDEX(cennik!$C$2:$L$529,MATCH($L150,cennik!$B$2:$B$522,0),MATCH(M$2,cennik!$C$1:$L$1,0))</f>
        <v>660245</v>
      </c>
      <c r="N150" s="11" t="str">
        <f>INDEX(cennik!$C$2:$L$529,MATCH($L150,cennik!$B$2:$B$522,0),MATCH(N$2,cennik!$C$1:$L$1,0))</f>
        <v>szt.</v>
      </c>
      <c r="O150" s="11">
        <f>O148</f>
        <v>0</v>
      </c>
      <c r="P150" s="34">
        <f>INDEX(cennik!$C$2:$L$529,MATCH($L150,cennik!$B$2:$B$522,0),MATCH(P$2,cennik!$C$1:$L$1,0))</f>
        <v>1.56</v>
      </c>
      <c r="Q150" s="34">
        <f t="shared" si="195"/>
        <v>0</v>
      </c>
      <c r="R150" s="35">
        <f t="shared" si="188"/>
        <v>0</v>
      </c>
      <c r="S150" s="34">
        <f t="shared" si="187"/>
        <v>1.56</v>
      </c>
      <c r="T150" s="34">
        <f t="shared" si="196"/>
        <v>0</v>
      </c>
      <c r="U150" s="34">
        <f>INDEX(cennik!$C$2:$L$529,MATCH($L150,cennik!$B$2:$B$522,0),MATCH(U$2,cennik!$C$1:$L$1,0))*O150</f>
        <v>0</v>
      </c>
      <c r="V150" s="25"/>
      <c r="AC150" s="21"/>
      <c r="AD150" s="21"/>
      <c r="AE150" s="21"/>
      <c r="AF150" s="21"/>
      <c r="AG150" s="21"/>
      <c r="AH150" s="21"/>
      <c r="AI150" s="21"/>
      <c r="AJ150" s="21"/>
      <c r="AK150" s="21"/>
      <c r="AL150" s="21"/>
      <c r="AM150" s="21"/>
      <c r="AN150" s="21"/>
      <c r="AO150" s="21"/>
      <c r="AP150" s="21" t="s">
        <v>438</v>
      </c>
      <c r="AQ150" s="21"/>
      <c r="AR150" s="21"/>
      <c r="AS150" s="21"/>
      <c r="AT150" s="21"/>
      <c r="AU150" s="21"/>
      <c r="AV150" s="21"/>
      <c r="AW150" s="21"/>
      <c r="AX150" s="21"/>
      <c r="AY150" s="21"/>
      <c r="AZ150" s="21"/>
      <c r="BA150" s="21"/>
      <c r="BB150" s="21"/>
      <c r="BC150" s="21"/>
      <c r="BD150" s="21"/>
      <c r="BE150" s="21"/>
      <c r="BF150" s="21"/>
      <c r="BG150" s="21"/>
      <c r="BH150" s="21"/>
      <c r="BI150" s="21"/>
      <c r="BJ150" s="21"/>
      <c r="BK150" s="21"/>
      <c r="BL150" s="21"/>
      <c r="BM150" s="21"/>
      <c r="BN150" s="21"/>
      <c r="BO150" s="21"/>
      <c r="BP150" s="21"/>
      <c r="BQ150" s="21"/>
      <c r="BR150" s="21"/>
      <c r="BS150" s="21"/>
      <c r="BT150" s="21"/>
      <c r="BU150" s="21"/>
      <c r="BV150" s="21"/>
      <c r="BW150" s="21"/>
      <c r="BX150" s="21"/>
      <c r="BY150" s="21"/>
      <c r="BZ150" s="21"/>
      <c r="CA150" s="21"/>
      <c r="CB150" s="21"/>
      <c r="CC150" s="21"/>
      <c r="CD150" s="21"/>
      <c r="CE150" s="21"/>
      <c r="CF150" s="21"/>
      <c r="CG150" s="21"/>
      <c r="CH150" s="21"/>
      <c r="CI150" s="21"/>
      <c r="CJ150" s="21"/>
      <c r="CK150" s="21"/>
      <c r="CL150" s="21"/>
      <c r="CM150" s="21"/>
      <c r="CN150" s="21"/>
      <c r="CO150" s="21"/>
      <c r="CP150" s="21"/>
      <c r="CQ150" s="21"/>
      <c r="CR150" s="21"/>
      <c r="CS150" s="21"/>
      <c r="CT150" s="21"/>
      <c r="CU150" s="21"/>
      <c r="CV150" s="21"/>
      <c r="CW150" s="21"/>
      <c r="CX150" s="21"/>
      <c r="CY150" s="21"/>
      <c r="CZ150" s="21"/>
      <c r="DA150" s="21"/>
      <c r="DB150" s="21"/>
      <c r="DC150" s="21"/>
      <c r="DD150" s="21"/>
      <c r="DE150" s="21"/>
      <c r="DF150" s="21"/>
      <c r="DG150" s="21"/>
      <c r="DH150" s="21"/>
      <c r="DI150" s="21"/>
      <c r="DJ150" s="21"/>
      <c r="DK150" s="21"/>
      <c r="DL150" s="21"/>
      <c r="DM150" s="21"/>
      <c r="DN150" s="21"/>
      <c r="DO150" s="21"/>
      <c r="DP150" s="21"/>
      <c r="DQ150" s="87"/>
      <c r="DR150" s="87">
        <v>30</v>
      </c>
      <c r="DS150" s="87"/>
      <c r="DT150" s="21"/>
      <c r="DU150" s="21"/>
      <c r="DV150" s="21"/>
      <c r="DW150" s="21"/>
      <c r="DX150" s="21"/>
      <c r="DY150" s="21"/>
      <c r="DZ150" s="21"/>
      <c r="EA150" s="21"/>
      <c r="EB150" s="21"/>
      <c r="EC150" s="21"/>
      <c r="ED150" s="21"/>
      <c r="EE150" s="21"/>
      <c r="EF150" s="21"/>
      <c r="EG150" s="21"/>
      <c r="EH150" s="21"/>
      <c r="EI150" s="196"/>
      <c r="EJ150" s="21"/>
      <c r="EK150" s="21"/>
      <c r="EL150" s="21"/>
      <c r="EM150" s="21"/>
      <c r="EN150" s="21"/>
      <c r="EO150" s="21"/>
      <c r="EP150" s="21"/>
      <c r="EQ150" s="21"/>
      <c r="ER150" s="21"/>
      <c r="ES150" s="21"/>
      <c r="ET150" s="21"/>
      <c r="EU150" s="21"/>
      <c r="EV150" s="21"/>
      <c r="EW150" s="21"/>
      <c r="EX150" s="21"/>
      <c r="EY150" s="21"/>
      <c r="EZ150" s="21"/>
      <c r="FA150" s="21"/>
      <c r="FB150" s="21"/>
      <c r="FC150" s="21"/>
      <c r="FD150" s="21"/>
      <c r="FE150" s="21"/>
      <c r="FF150" s="21"/>
      <c r="FG150" s="21"/>
      <c r="FH150" s="21"/>
      <c r="FI150" s="21"/>
      <c r="FJ150" s="21"/>
      <c r="FK150" s="21"/>
      <c r="FL150" s="21"/>
      <c r="FM150" s="21"/>
      <c r="FN150" s="21"/>
      <c r="FO150" s="21"/>
      <c r="FP150" s="21"/>
      <c r="FQ150" s="21"/>
      <c r="FR150" s="21"/>
      <c r="FS150" s="21"/>
      <c r="FT150" s="21"/>
      <c r="FU150" s="21"/>
      <c r="FV150" s="21"/>
      <c r="FW150" s="21"/>
      <c r="FX150" s="21"/>
      <c r="FY150" s="21"/>
      <c r="FZ150" s="21"/>
      <c r="GA150" s="21"/>
      <c r="GB150" s="21"/>
      <c r="GC150" s="21"/>
      <c r="GD150" s="21"/>
      <c r="GE150" s="21"/>
      <c r="GF150" s="21"/>
      <c r="GG150" s="21"/>
      <c r="GH150" s="21"/>
      <c r="GI150" s="21"/>
      <c r="GJ150" s="21"/>
      <c r="GK150" s="21"/>
      <c r="GL150" s="197"/>
      <c r="GM150" s="21"/>
      <c r="GN150" s="21"/>
      <c r="GO150" s="21"/>
      <c r="GP150" s="21"/>
      <c r="GQ150" s="21"/>
      <c r="GR150" s="21"/>
      <c r="GS150" s="21"/>
      <c r="GT150" s="21"/>
      <c r="GU150" s="21"/>
      <c r="GV150" s="21"/>
      <c r="GW150" s="21"/>
      <c r="GX150" s="21"/>
      <c r="GY150" s="21"/>
      <c r="GZ150" s="21"/>
      <c r="HA150" s="21"/>
      <c r="HB150" s="21"/>
      <c r="HC150" s="21"/>
      <c r="HD150" s="21"/>
      <c r="HE150" s="21"/>
      <c r="HF150" s="21"/>
      <c r="HG150" s="21"/>
      <c r="HH150" s="21"/>
    </row>
    <row r="151" spans="1:216" ht="15.75" thickBot="1" x14ac:dyDescent="0.3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6" t="s">
        <v>799</v>
      </c>
      <c r="M151" s="11">
        <f>INDEX(cennik!$C$2:$L$529,MATCH($L151,cennik!$B$2:$B$522,0),MATCH(M$2,cennik!$C$1:$L$1,0))</f>
        <v>6510443</v>
      </c>
      <c r="N151" s="11" t="str">
        <f>INDEX(cennik!$C$2:$L$529,MATCH($L151,cennik!$B$2:$B$522,0),MATCH(N$2,cennik!$C$1:$L$1,0))</f>
        <v>100 szt.</v>
      </c>
      <c r="O151" s="11">
        <f>O152</f>
        <v>0</v>
      </c>
      <c r="P151" s="34">
        <f>INDEX(cennik!$C$2:$L$529,MATCH($L151,cennik!$B$2:$B$522,0),MATCH(P$2,cennik!$C$1:$L$1,0))</f>
        <v>43.51</v>
      </c>
      <c r="Q151" s="34">
        <f t="shared" si="195"/>
        <v>0</v>
      </c>
      <c r="R151" s="35">
        <f t="shared" si="188"/>
        <v>0</v>
      </c>
      <c r="S151" s="34">
        <f t="shared" si="187"/>
        <v>43.51</v>
      </c>
      <c r="T151" s="34">
        <f t="shared" si="196"/>
        <v>0</v>
      </c>
      <c r="U151" s="34">
        <f>INDEX(cennik!$C$2:$L$529,MATCH($L151,cennik!$B$2:$B$522,0),MATCH(U$2,cennik!$C$1:$L$1,0))*O151</f>
        <v>0</v>
      </c>
      <c r="V151" s="25"/>
      <c r="W151" s="27"/>
      <c r="X151" s="27"/>
      <c r="Y151" s="27"/>
      <c r="Z151" s="27"/>
      <c r="AA151" s="186" t="s">
        <v>311</v>
      </c>
      <c r="AB151" s="192" t="s">
        <v>320</v>
      </c>
      <c r="AC151" s="21"/>
      <c r="AD151" s="21"/>
      <c r="AE151" s="21"/>
      <c r="AF151" s="21"/>
      <c r="AG151" s="21"/>
      <c r="AH151" s="21"/>
      <c r="AI151" s="21"/>
      <c r="AJ151" s="21"/>
      <c r="AK151" s="21"/>
      <c r="AL151" s="21"/>
      <c r="AM151" s="21"/>
      <c r="AN151" s="21"/>
      <c r="AO151" s="192" t="s">
        <v>320</v>
      </c>
      <c r="AP151" s="21" t="s">
        <v>717</v>
      </c>
      <c r="AQ151" s="21" t="s">
        <v>1157</v>
      </c>
      <c r="AR151" s="21">
        <v>2</v>
      </c>
      <c r="AS151" s="21" t="s">
        <v>1022</v>
      </c>
      <c r="AT151" s="21">
        <v>4</v>
      </c>
      <c r="AU151" s="21">
        <v>5</v>
      </c>
      <c r="AV151" s="21"/>
      <c r="AW151" s="21"/>
      <c r="AX151" s="21"/>
      <c r="AY151" s="21"/>
      <c r="AZ151" s="21"/>
      <c r="BA151" s="21"/>
      <c r="BB151" s="21"/>
      <c r="BC151" s="21"/>
      <c r="BD151" s="21"/>
      <c r="BE151" s="21"/>
      <c r="BF151" s="21"/>
      <c r="BG151" s="21"/>
      <c r="BH151" s="21"/>
      <c r="BI151" s="21"/>
      <c r="BJ151" s="21"/>
      <c r="BK151" s="21"/>
      <c r="BL151" s="21"/>
      <c r="BM151" s="21"/>
      <c r="BN151" s="21"/>
      <c r="BO151" s="21"/>
      <c r="BP151" s="21"/>
      <c r="BQ151" s="21"/>
      <c r="BR151" s="21"/>
      <c r="BS151" s="21"/>
      <c r="BT151" s="21"/>
      <c r="BU151" s="21"/>
      <c r="BV151" s="21"/>
      <c r="BW151" s="21"/>
      <c r="BX151" s="21"/>
      <c r="BY151" s="21"/>
      <c r="BZ151" s="21"/>
      <c r="CA151" s="21"/>
      <c r="CB151" s="21"/>
      <c r="CC151" s="21"/>
      <c r="CD151" s="21"/>
      <c r="CE151" s="21"/>
      <c r="CF151" s="21"/>
      <c r="CG151" s="21"/>
      <c r="CH151" s="21"/>
      <c r="CI151" s="21"/>
      <c r="CJ151" s="21"/>
      <c r="CK151" s="21"/>
      <c r="CL151" s="21"/>
      <c r="CM151" s="21"/>
      <c r="CN151" s="21"/>
      <c r="CO151" s="21"/>
      <c r="CP151" s="21"/>
      <c r="CQ151" s="21"/>
      <c r="CR151" s="21"/>
      <c r="CS151" s="21"/>
      <c r="CT151" s="21"/>
      <c r="CU151" s="21"/>
      <c r="CV151" s="21"/>
      <c r="CW151" s="21"/>
      <c r="CX151" s="21"/>
      <c r="CY151" s="21"/>
      <c r="CZ151" s="21"/>
      <c r="DA151" s="21"/>
      <c r="DB151" s="21"/>
      <c r="DC151" s="21"/>
      <c r="DD151" s="21"/>
      <c r="DE151" s="21"/>
      <c r="DF151" s="21"/>
      <c r="DG151" s="21"/>
      <c r="DH151" s="21"/>
      <c r="DI151" s="21"/>
      <c r="DJ151" s="21"/>
      <c r="DK151" s="21"/>
      <c r="DL151" s="21"/>
      <c r="DM151" s="21"/>
      <c r="DN151" s="21"/>
      <c r="DO151" s="21"/>
      <c r="DP151" s="21"/>
      <c r="DQ151" s="87"/>
      <c r="DR151" s="87">
        <v>32</v>
      </c>
      <c r="DS151" s="87"/>
      <c r="DT151" s="21"/>
      <c r="DU151" s="21"/>
      <c r="DV151" s="21"/>
      <c r="DW151" s="21"/>
      <c r="DX151" s="21"/>
      <c r="DY151" s="21"/>
      <c r="DZ151" s="21"/>
      <c r="EA151" s="21"/>
      <c r="EB151" s="21"/>
      <c r="EC151" s="21"/>
      <c r="ED151" s="21"/>
      <c r="EE151" s="21"/>
      <c r="EF151" s="21"/>
      <c r="EG151" s="21"/>
      <c r="EH151" s="21"/>
      <c r="EI151" s="203"/>
      <c r="EJ151" s="204"/>
      <c r="EK151" s="204"/>
      <c r="EL151" s="204"/>
      <c r="EM151" s="204"/>
      <c r="EN151" s="204"/>
      <c r="EO151" s="204"/>
      <c r="EP151" s="204"/>
      <c r="EQ151" s="204"/>
      <c r="ER151" s="204"/>
      <c r="ES151" s="204"/>
      <c r="ET151" s="204"/>
      <c r="EU151" s="204"/>
      <c r="EV151" s="204"/>
      <c r="EW151" s="204"/>
      <c r="EX151" s="204"/>
      <c r="EY151" s="204"/>
      <c r="EZ151" s="204"/>
      <c r="FA151" s="204"/>
      <c r="FB151" s="204"/>
      <c r="FC151" s="204"/>
      <c r="FD151" s="204"/>
      <c r="FE151" s="204"/>
      <c r="FF151" s="204"/>
      <c r="FG151" s="204"/>
      <c r="FH151" s="204"/>
      <c r="FI151" s="204"/>
      <c r="FJ151" s="204"/>
      <c r="FK151" s="204"/>
      <c r="FL151" s="204"/>
      <c r="FM151" s="204"/>
      <c r="FN151" s="204"/>
      <c r="FO151" s="204"/>
      <c r="FP151" s="204"/>
      <c r="FQ151" s="204"/>
      <c r="FR151" s="204"/>
      <c r="FS151" s="204"/>
      <c r="FT151" s="204"/>
      <c r="FU151" s="204"/>
      <c r="FV151" s="204"/>
      <c r="FW151" s="204"/>
      <c r="FX151" s="204"/>
      <c r="FY151" s="204"/>
      <c r="FZ151" s="204"/>
      <c r="GA151" s="204"/>
      <c r="GB151" s="204"/>
      <c r="GC151" s="204"/>
      <c r="GD151" s="204"/>
      <c r="GE151" s="204"/>
      <c r="GF151" s="204"/>
      <c r="GG151" s="204"/>
      <c r="GH151" s="204"/>
      <c r="GI151" s="204"/>
      <c r="GJ151" s="204"/>
      <c r="GK151" s="204"/>
      <c r="GL151" s="205"/>
      <c r="GM151" s="21"/>
      <c r="GN151" s="21"/>
      <c r="GO151" s="21"/>
      <c r="GP151" s="21"/>
      <c r="GQ151" s="21"/>
      <c r="GR151" s="21"/>
      <c r="GS151" s="21"/>
      <c r="GT151" s="21"/>
      <c r="GU151" s="21"/>
      <c r="GV151" s="21"/>
      <c r="GW151" s="21"/>
      <c r="GX151" s="21"/>
      <c r="GY151" s="21"/>
      <c r="GZ151" s="21"/>
      <c r="HA151" s="21"/>
      <c r="HB151" s="21"/>
      <c r="HC151" s="21"/>
      <c r="HD151" s="21"/>
      <c r="HE151" s="21"/>
      <c r="HF151" s="21"/>
      <c r="HG151" s="21"/>
      <c r="HH151" s="21"/>
    </row>
    <row r="152" spans="1:216" x14ac:dyDescent="0.25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6" t="s">
        <v>350</v>
      </c>
      <c r="M152" s="11">
        <f>INDEX(cennik!$C$2:$L$529,MATCH($L152,cennik!$B$2:$B$522,0),MATCH(M$2,cennik!$C$1:$L$1,0))</f>
        <v>651643</v>
      </c>
      <c r="N152" s="11" t="str">
        <f>INDEX(cennik!$C$2:$L$529,MATCH($L152,cennik!$B$2:$B$522,0),MATCH(N$2,cennik!$C$1:$L$1,0))</f>
        <v>100 szt.</v>
      </c>
      <c r="O152" s="11">
        <f>ROUNDUP(((O133*13)+(O140*2)+(O158*2)+(O145*8)+E136+(O132*6)+(O159*2)+(O139*3))/100,0)</f>
        <v>0</v>
      </c>
      <c r="P152" s="34">
        <f>INDEX(cennik!$C$2:$L$529,MATCH($L152,cennik!$B$2:$B$522,0),MATCH(P$2,cennik!$C$1:$L$1,0))</f>
        <v>144.19</v>
      </c>
      <c r="Q152" s="34">
        <f t="shared" si="195"/>
        <v>0</v>
      </c>
      <c r="R152" s="35">
        <f t="shared" si="188"/>
        <v>0</v>
      </c>
      <c r="S152" s="34">
        <f t="shared" si="187"/>
        <v>144.19</v>
      </c>
      <c r="T152" s="34">
        <f t="shared" si="196"/>
        <v>0</v>
      </c>
      <c r="U152" s="34">
        <f>INDEX(cennik!$C$2:$L$529,MATCH($L152,cennik!$B$2:$B$522,0),MATCH(U$2,cennik!$C$1:$L$1,0))*O152</f>
        <v>0</v>
      </c>
      <c r="V152" s="25"/>
      <c r="W152" s="27"/>
      <c r="X152" s="27"/>
      <c r="Y152" s="27"/>
      <c r="Z152" s="27"/>
      <c r="AA152" s="21">
        <f>(VLOOKUP(AO152,$AI$152:$AK$156,3,1))*C162</f>
        <v>0</v>
      </c>
      <c r="AB152" s="21">
        <f t="shared" ref="AB152:AB167" si="208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*C162</f>
        <v>0</v>
      </c>
      <c r="AC152" s="21"/>
      <c r="AD152" s="21"/>
      <c r="AE152" s="21"/>
      <c r="AF152" s="21"/>
      <c r="AG152" s="21"/>
      <c r="AH152" s="21"/>
      <c r="AI152" s="199">
        <v>0</v>
      </c>
      <c r="AJ152" s="199">
        <v>0</v>
      </c>
      <c r="AK152" s="189">
        <v>0</v>
      </c>
      <c r="AL152" s="21"/>
      <c r="AM152" s="21"/>
      <c r="AN152" s="21"/>
      <c r="AO152" s="21">
        <f t="shared" ref="AO152:AO167" si="209">(IF(((INT((((A162/2)*(IF($G$163=$AE$24,$AF$24,IF($G$163=$AE$25,$AF$25,IF($G$163=$AE$26,$AF$26,IF($G$163=$AE$27,$AF$27,0))))))+(((A162/2)-1)*20))/$E$173))*$E$173)+1000&gt;=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+1,IF(((INT((((A162/2)*(IF($G$163=$AE$24,$AF$24,IF($G$163=$AE$25,$AF$25,IF($G$163=$AE$26,$AF$26,IF($G$163=$AE$27,$AF$27,0))))))+(((A162/2)-1)*20))/$E$173))*$E$173)+1000&lt;((A162/2)*(IF($G$163=$AE$24,$AF$24,IF($G$163=$AE$25,$AF$25,IF($G$163=$AE$26,$AF$26,IF($G$163=$AE$27,$AF$27,0))))))+(((A162/2)-1)*20),(INT((((A162/2)*(IF($G$163=$AE$24,$AF$24,IF($G$163=$AE$25,$AF$25,IF($G$163=$AE$26,$AF$26,IF($G$163=$AE$27,$AF$27,0))))))+(((A162/2)-1)*20))/$E$173))+2,0)))</f>
        <v>1</v>
      </c>
      <c r="AP152" s="21">
        <v>1</v>
      </c>
      <c r="AQ152" s="21">
        <v>2000</v>
      </c>
      <c r="AR152" s="21">
        <v>2000</v>
      </c>
      <c r="AS152" s="21">
        <v>2000</v>
      </c>
      <c r="AT152" s="21">
        <v>2000</v>
      </c>
      <c r="AU152" s="21" t="s">
        <v>719</v>
      </c>
      <c r="AV152" s="21"/>
      <c r="AW152" s="21"/>
      <c r="AX152" s="21"/>
      <c r="AY152" s="21"/>
      <c r="AZ152" s="21"/>
      <c r="BA152" s="21"/>
      <c r="BB152" s="21"/>
      <c r="BC152" s="21"/>
      <c r="BD152" s="21"/>
      <c r="BE152" s="21"/>
      <c r="BF152" s="21"/>
      <c r="BG152" s="21"/>
      <c r="BH152" s="21"/>
      <c r="BI152" s="21"/>
      <c r="BJ152" s="21"/>
      <c r="BK152" s="21"/>
      <c r="BL152" s="21"/>
      <c r="BM152" s="21"/>
      <c r="BN152" s="21"/>
      <c r="BO152" s="21"/>
      <c r="BP152" s="21"/>
      <c r="BQ152" s="21"/>
      <c r="BR152" s="21"/>
      <c r="BS152" s="21"/>
      <c r="BT152" s="21"/>
      <c r="BU152" s="21"/>
      <c r="BV152" s="21"/>
      <c r="BW152" s="21"/>
      <c r="BX152" s="21"/>
      <c r="BY152" s="21"/>
      <c r="BZ152" s="21"/>
      <c r="CA152" s="21"/>
      <c r="CB152" s="21"/>
      <c r="CC152" s="21"/>
      <c r="CD152" s="21"/>
      <c r="CE152" s="21"/>
      <c r="CF152" s="21"/>
      <c r="CG152" s="21"/>
      <c r="CH152" s="21"/>
      <c r="CI152" s="21"/>
      <c r="CJ152" s="21"/>
      <c r="CK152" s="21"/>
      <c r="CL152" s="21"/>
      <c r="CM152" s="21"/>
      <c r="CN152" s="21"/>
      <c r="CO152" s="21"/>
      <c r="CP152" s="21"/>
      <c r="CQ152" s="21"/>
      <c r="CR152" s="21"/>
      <c r="CS152" s="21"/>
      <c r="CT152" s="21"/>
      <c r="CU152" s="21"/>
      <c r="CV152" s="21"/>
      <c r="CW152" s="21"/>
      <c r="CX152" s="21"/>
      <c r="CY152" s="21"/>
      <c r="CZ152" s="21"/>
      <c r="DA152" s="21"/>
      <c r="DB152" s="21"/>
      <c r="DC152" s="21"/>
      <c r="DD152" s="21"/>
      <c r="DE152" s="21"/>
      <c r="DF152" s="21"/>
      <c r="DG152" s="21"/>
      <c r="DH152" s="21"/>
      <c r="DI152" s="21"/>
      <c r="DJ152" s="21"/>
      <c r="DK152" s="21"/>
      <c r="DL152" s="21"/>
      <c r="DM152" s="21"/>
      <c r="DN152" s="21"/>
      <c r="DO152" s="21"/>
      <c r="DP152" s="21"/>
      <c r="DQ152" s="87"/>
      <c r="DR152" s="87">
        <v>34</v>
      </c>
      <c r="DS152" s="87"/>
      <c r="DT152" s="21"/>
      <c r="DU152" s="21"/>
      <c r="DV152" s="21"/>
      <c r="DW152" s="21"/>
      <c r="DX152" s="21"/>
      <c r="DY152" s="21"/>
      <c r="DZ152" s="21"/>
      <c r="EA152" s="21"/>
      <c r="EB152" s="21"/>
      <c r="EC152" s="21"/>
      <c r="ED152" s="21"/>
      <c r="EE152" s="21"/>
      <c r="EF152" s="21"/>
      <c r="EG152" s="21"/>
      <c r="EH152" s="21"/>
      <c r="EI152" s="21"/>
      <c r="EJ152" s="21"/>
      <c r="EK152" s="21"/>
      <c r="EL152" s="21"/>
      <c r="EM152" s="21"/>
      <c r="EN152" s="21"/>
      <c r="EO152" s="21"/>
      <c r="EP152" s="21"/>
      <c r="EQ152" s="21"/>
      <c r="ER152" s="21"/>
      <c r="ES152" s="21"/>
      <c r="ET152" s="21"/>
      <c r="EU152" s="21"/>
      <c r="EV152" s="21"/>
      <c r="EW152" s="21"/>
      <c r="EX152" s="21"/>
      <c r="EY152" s="21"/>
      <c r="EZ152" s="21"/>
      <c r="FA152" s="21"/>
      <c r="FB152" s="21"/>
      <c r="FC152" s="21"/>
      <c r="FD152" s="21"/>
      <c r="FE152" s="21"/>
      <c r="FF152" s="21"/>
      <c r="FG152" s="21"/>
      <c r="FH152" s="21"/>
      <c r="FI152" s="21"/>
      <c r="FJ152" s="21"/>
      <c r="FK152" s="21"/>
      <c r="FL152" s="21"/>
      <c r="FM152" s="21"/>
      <c r="FN152" s="21"/>
      <c r="FO152" s="21"/>
      <c r="FP152" s="21"/>
      <c r="FQ152" s="21"/>
      <c r="FR152" s="21"/>
      <c r="FS152" s="21"/>
      <c r="FT152" s="21"/>
      <c r="FU152" s="21"/>
      <c r="FV152" s="21"/>
      <c r="FW152" s="21"/>
      <c r="FX152" s="21"/>
      <c r="FY152" s="21"/>
      <c r="FZ152" s="21"/>
      <c r="GA152" s="21"/>
      <c r="GB152" s="21"/>
      <c r="GC152" s="21"/>
      <c r="GD152" s="21"/>
      <c r="GE152" s="21"/>
      <c r="GF152" s="21"/>
      <c r="GG152" s="21"/>
      <c r="GH152" s="21"/>
      <c r="GI152" s="21"/>
      <c r="GJ152" s="21"/>
      <c r="GK152" s="21"/>
      <c r="GL152" s="21"/>
      <c r="GM152" s="21"/>
      <c r="GN152" s="21"/>
      <c r="GO152" s="21"/>
      <c r="GP152" s="21"/>
      <c r="GQ152" s="21"/>
      <c r="GR152" s="21"/>
      <c r="GS152" s="21"/>
      <c r="GT152" s="21"/>
      <c r="GU152" s="21"/>
      <c r="GV152" s="21"/>
      <c r="GW152" s="21"/>
      <c r="GX152" s="21"/>
      <c r="GY152" s="21"/>
      <c r="GZ152" s="21"/>
      <c r="HA152" s="21"/>
      <c r="HB152" s="21"/>
      <c r="HC152" s="21"/>
      <c r="HD152" s="21"/>
      <c r="HE152" s="21"/>
      <c r="HF152" s="21"/>
      <c r="HG152" s="21"/>
      <c r="HH152" s="21"/>
    </row>
    <row r="153" spans="1:216" x14ac:dyDescent="0.25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6" t="s">
        <v>128</v>
      </c>
      <c r="M153" s="11">
        <f>INDEX(cennik!$C$2:$L$529,MATCH($L153,cennik!$B$2:$B$522,0),MATCH(M$2,cennik!$C$1:$L$1,0))</f>
        <v>897303</v>
      </c>
      <c r="N153" s="11" t="str">
        <f>INDEX(cennik!$C$2:$L$529,MATCH($L153,cennik!$B$2:$B$522,0),MATCH(N$2,cennik!$C$1:$L$1,0))</f>
        <v>szt.</v>
      </c>
      <c r="O153" s="11">
        <f>SUM((IF(MOD((A130/3),2)=0,(A130/3)/2,IF(MOD((A130/3),2)=1,FLOOR((A130/3)/2,1)+1,0))*C130*3),(IF(MOD((A131/3),2)=0,(A131/3)/2,IF(MOD((A131/3),2)=1,FLOOR((A131/3)/2,1)+1,0))*C131*3),(IF(MOD((A132/3),2)=0,(A132/3)/2,IF(MOD((A132/3),2)=1,FLOOR((A132/3)/2,1)+1,0))*C132*3),(IF(MOD((A133/3),2)=0,(A133/3)/2,IF(MOD((A133/3),2)=1,FLOOR((A133/3)/2,1)+1,0))*C133*3),(IF(MOD((A134/3),2)=0,(A134/3)/2,IF(MOD((A134/3),2)=1,FLOOR((A134/3)/2,1)+1,0))*C134*3),(IF(MOD((A135/3),2)=0,(A135/3)/2,IF(MOD((A135/3),2)=1,FLOOR((A135/3)/2,1)+1,0))*C135*3),(IF(MOD((A136/3),2)=0,(A136/3)/2,IF(MOD((A136/3),2)=1,FLOOR((A136/3)/2,1)+1,0))*C136*3),(IF(MOD((A137/3),2)=0,(A137/3)/2,IF(MOD((A137/3),2)=1,FLOOR((A137/3)/2,1)+1,0))*C137*3),(IF(MOD((A138/3),2)=0,(A138/3)/2,IF(MOD((A138/3),2)=1,FLOOR((A138/3)/2,1)+1,0))*C138*3),(IF(MOD((A139/3),2)=0,(A139/3)/2,IF(MOD((A139/3),2)=1,FLOOR((A139/3)/2,1)+1,0))*C139*3),(IF(MOD((A140/3),2)=0,(A140/3)/2,IF(MOD((A140/3),2)=1,FLOOR((A140/3)/2,1)+1,0))*C140*3),(IF(MOD((A141/3),2)=0,(A141/3)/2,IF(MOD((A141/3),2)=1,FLOOR((A141/3)/2,1)+1,0))*C141*3),(IF(MOD((A142/3),2)=0,(A142/3)/2,IF(MOD((A142/3),2)=1,FLOOR((A142/3)/2,1)+1,0))*C142*3),(IF(MOD((A143/3),2)=0,(A143/3)/2,IF(MOD((A143/3),2)=1,FLOOR((A143/3)/2,1)+1,0))*C143*3),(IF(MOD((A144/3),2)=0,(A144/3)/2,IF(MOD((A144/3),2)=1,FLOOR((A144/3)/2,1)+1,0))*C144*3),(IF(MOD((A145/3),2)=0,(A145/3)/2,IF(MOD((A145/3),2)=1,FLOOR((A145/3)/2,1)+1,0))*C145*3))</f>
        <v>0</v>
      </c>
      <c r="P153" s="34">
        <f>INDEX(cennik!$C$2:$L$529,MATCH($L153,cennik!$B$2:$B$522,0),MATCH(P$2,cennik!$C$1:$L$1,0))</f>
        <v>2.4</v>
      </c>
      <c r="Q153" s="34">
        <f t="shared" si="195"/>
        <v>0</v>
      </c>
      <c r="R153" s="35">
        <f t="shared" si="188"/>
        <v>0</v>
      </c>
      <c r="S153" s="34">
        <f t="shared" si="187"/>
        <v>2.4</v>
      </c>
      <c r="T153" s="34">
        <f t="shared" si="196"/>
        <v>0</v>
      </c>
      <c r="U153" s="34">
        <f>INDEX(cennik!$C$2:$L$529,MATCH($L153,cennik!$B$2:$B$522,0),MATCH(U$2,cennik!$C$1:$L$1,0))*O153</f>
        <v>0</v>
      </c>
      <c r="V153" s="25"/>
      <c r="W153" s="20" t="s">
        <v>18</v>
      </c>
      <c r="X153" s="21" t="s">
        <v>217</v>
      </c>
      <c r="Y153" s="21" t="s">
        <v>216</v>
      </c>
      <c r="Z153" s="21" t="s">
        <v>17</v>
      </c>
      <c r="AA153" s="21">
        <f>(VLOOKUP(AO153,$AI$152:$AK$156,3,1))*C163</f>
        <v>0</v>
      </c>
      <c r="AB153" s="21">
        <f t="shared" si="208"/>
        <v>0</v>
      </c>
      <c r="AC153" s="21"/>
      <c r="AD153" s="21"/>
      <c r="AE153" s="21"/>
      <c r="AF153" s="21"/>
      <c r="AG153" s="21"/>
      <c r="AH153" s="21"/>
      <c r="AI153" s="199">
        <v>1</v>
      </c>
      <c r="AJ153" s="199">
        <v>1</v>
      </c>
      <c r="AK153" s="189">
        <v>1</v>
      </c>
      <c r="AL153" s="21"/>
      <c r="AM153" s="21"/>
      <c r="AN153" s="21"/>
      <c r="AO153" s="21">
        <f t="shared" si="209"/>
        <v>1</v>
      </c>
      <c r="AP153" s="21">
        <v>2</v>
      </c>
      <c r="AQ153" s="21" t="s">
        <v>719</v>
      </c>
      <c r="AR153" s="21">
        <v>1000</v>
      </c>
      <c r="AS153" s="21">
        <v>1000</v>
      </c>
      <c r="AT153" s="21" t="s">
        <v>719</v>
      </c>
      <c r="AU153" s="21" t="s">
        <v>719</v>
      </c>
      <c r="AV153" s="21"/>
      <c r="AW153" s="21"/>
      <c r="AX153" s="21"/>
      <c r="AY153" s="21"/>
      <c r="AZ153" s="21"/>
      <c r="BA153" s="21"/>
      <c r="BB153" s="21"/>
      <c r="BC153" s="21"/>
      <c r="BD153" s="21"/>
      <c r="BE153" s="21"/>
      <c r="BF153" s="21"/>
      <c r="BG153" s="21"/>
      <c r="BH153" s="21"/>
      <c r="BI153" s="21"/>
      <c r="BJ153" s="21"/>
      <c r="BK153" s="21"/>
      <c r="BL153" s="21"/>
      <c r="BM153" s="21"/>
      <c r="BN153" s="21"/>
      <c r="BO153" s="21"/>
      <c r="BP153" s="21"/>
      <c r="BQ153" s="21"/>
      <c r="BR153" s="21"/>
      <c r="BS153" s="21"/>
      <c r="BT153" s="21"/>
      <c r="BU153" s="21"/>
      <c r="BV153" s="21"/>
      <c r="BW153" s="21"/>
      <c r="BX153" s="21"/>
      <c r="BY153" s="21"/>
      <c r="BZ153" s="21"/>
      <c r="CA153" s="21"/>
      <c r="CB153" s="21"/>
      <c r="CC153" s="21"/>
      <c r="CD153" s="21"/>
      <c r="CE153" s="21"/>
      <c r="CF153" s="21"/>
      <c r="CG153" s="21"/>
      <c r="CH153" s="21"/>
      <c r="CI153" s="21"/>
      <c r="CJ153" s="21"/>
      <c r="CK153" s="21"/>
      <c r="CL153" s="21"/>
      <c r="CM153" s="21"/>
      <c r="CN153" s="21"/>
      <c r="CO153" s="21"/>
      <c r="CP153" s="21"/>
      <c r="CQ153" s="21"/>
      <c r="CR153" s="21"/>
      <c r="CS153" s="21"/>
      <c r="CT153" s="21"/>
      <c r="CU153" s="21"/>
      <c r="CV153" s="21"/>
      <c r="CW153" s="21"/>
      <c r="CX153" s="21"/>
      <c r="CY153" s="21"/>
      <c r="CZ153" s="21"/>
      <c r="DA153" s="21"/>
      <c r="DB153" s="21"/>
      <c r="DC153" s="21"/>
      <c r="DD153" s="21"/>
      <c r="DE153" s="21"/>
      <c r="DF153" s="21"/>
      <c r="DG153" s="21"/>
      <c r="DH153" s="21"/>
      <c r="DI153" s="21"/>
      <c r="DJ153" s="21"/>
      <c r="DK153" s="21"/>
      <c r="DL153" s="21"/>
      <c r="DM153" s="21"/>
      <c r="DN153" s="21"/>
      <c r="DO153" s="21"/>
      <c r="DP153" s="21"/>
      <c r="DQ153" s="87"/>
      <c r="DR153" s="87">
        <v>36</v>
      </c>
      <c r="DS153" s="87"/>
      <c r="DT153" s="21"/>
      <c r="DU153" s="21"/>
      <c r="DV153" s="21"/>
      <c r="DW153" s="21"/>
      <c r="DX153" s="21"/>
      <c r="DY153" s="21"/>
      <c r="DZ153" s="21"/>
      <c r="EA153" s="21"/>
      <c r="EB153" s="21"/>
      <c r="EC153" s="21"/>
      <c r="ED153" s="21"/>
      <c r="EE153" s="21"/>
      <c r="EF153" s="21"/>
      <c r="EG153" s="21"/>
      <c r="EH153" s="21"/>
      <c r="EI153" s="21"/>
      <c r="EJ153" s="21"/>
      <c r="EK153" s="21"/>
      <c r="EL153" s="21"/>
      <c r="EM153" s="21"/>
      <c r="EN153" s="21"/>
      <c r="EO153" s="21"/>
      <c r="EP153" s="21"/>
      <c r="EQ153" s="21"/>
      <c r="ER153" s="21"/>
      <c r="ES153" s="21"/>
      <c r="ET153" s="21"/>
      <c r="EU153" s="21"/>
      <c r="EV153" s="21"/>
      <c r="EW153" s="21"/>
      <c r="EX153" s="21"/>
      <c r="EY153" s="21"/>
      <c r="EZ153" s="21"/>
      <c r="FA153" s="21"/>
      <c r="FB153" s="21"/>
      <c r="FC153" s="21"/>
      <c r="FD153" s="21"/>
      <c r="FE153" s="21"/>
      <c r="FF153" s="21"/>
      <c r="FG153" s="21"/>
      <c r="FH153" s="21"/>
      <c r="FI153" s="21"/>
      <c r="FJ153" s="21"/>
      <c r="FK153" s="21"/>
      <c r="FL153" s="21"/>
      <c r="FM153" s="21"/>
      <c r="FN153" s="21"/>
      <c r="FO153" s="21"/>
      <c r="FP153" s="21"/>
      <c r="FQ153" s="21"/>
      <c r="FR153" s="21"/>
      <c r="FS153" s="21"/>
      <c r="FT153" s="21"/>
      <c r="FU153" s="21"/>
      <c r="FV153" s="21"/>
      <c r="FW153" s="21"/>
      <c r="FX153" s="21"/>
      <c r="FY153" s="21"/>
      <c r="FZ153" s="21"/>
      <c r="GA153" s="21"/>
      <c r="GB153" s="21"/>
      <c r="GC153" s="21"/>
      <c r="GD153" s="21"/>
      <c r="GE153" s="21"/>
      <c r="GF153" s="21"/>
      <c r="GG153" s="21"/>
      <c r="GH153" s="21"/>
      <c r="GI153" s="21"/>
      <c r="GJ153" s="21"/>
      <c r="GK153" s="21"/>
      <c r="GL153" s="21"/>
      <c r="GM153" s="21"/>
      <c r="GN153" s="21"/>
      <c r="GO153" s="21"/>
      <c r="GP153" s="21"/>
      <c r="GQ153" s="21"/>
      <c r="GR153" s="21"/>
      <c r="GS153" s="21"/>
      <c r="GT153" s="21"/>
      <c r="GU153" s="21"/>
      <c r="GV153" s="21"/>
      <c r="GW153" s="21"/>
      <c r="GX153" s="21"/>
      <c r="GY153" s="21"/>
      <c r="GZ153" s="21"/>
      <c r="HA153" s="21"/>
      <c r="HB153" s="21"/>
      <c r="HC153" s="21"/>
      <c r="HD153" s="21"/>
      <c r="HE153" s="21"/>
      <c r="HF153" s="21"/>
      <c r="HG153" s="21"/>
      <c r="HH153" s="21"/>
    </row>
    <row r="154" spans="1:216" x14ac:dyDescent="0.25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6" t="s">
        <v>527</v>
      </c>
      <c r="M154" s="11">
        <f>INDEX(cennik!$C$2:$L$529,MATCH($L154,cennik!$B$2:$B$522,0),MATCH(M$2,cennik!$C$1:$L$1,0))</f>
        <v>897311</v>
      </c>
      <c r="N154" s="11" t="str">
        <f>INDEX(cennik!$C$2:$L$529,MATCH($L154,cennik!$B$2:$B$522,0),MATCH(N$2,cennik!$C$1:$L$1,0))</f>
        <v>szt.</v>
      </c>
      <c r="O154" s="11">
        <f>SUM(((INT(((A130/3)+1)/3))*6*C130),((INT(((A131/3)+1)/3))*6*C131),((INT(((A132/3)+1)/3))*6*C132),((INT(((A133/3)+1)/3))*6*C133),((INT(((A134/3)+1)/3))*6*C134),((INT(((A135/3)+1)/3))*6*C135),((INT(((A136/3)+1)/3))*6*C136),((INT(((A137/3)+1)/3))*6*C137),((INT(((A138/3)+1)/3))*6*C138),((INT(((A139/3)+1)/3))*6*C139),((INT(((A140/3)+1)/3))*6*C140),((INT(((A141/3)+1)/3))*6*C141),((INT(((A142/3)+1)/3))*6*C142),((INT(((A143/3)+1)/3))*6*C143),((INT(((A144/3)+1)/3))*6*C144),((INT(((A145/3)+1)/3))*6*C145))</f>
        <v>0</v>
      </c>
      <c r="P154" s="34">
        <f>INDEX(cennik!$C$2:$L$529,MATCH($L154,cennik!$B$2:$B$522,0),MATCH(P$2,cennik!$C$1:$L$1,0))</f>
        <v>5.49</v>
      </c>
      <c r="Q154" s="34">
        <f t="shared" si="195"/>
        <v>0</v>
      </c>
      <c r="R154" s="35">
        <f t="shared" si="188"/>
        <v>0</v>
      </c>
      <c r="S154" s="34">
        <f t="shared" si="187"/>
        <v>5.49</v>
      </c>
      <c r="T154" s="34">
        <f t="shared" si="196"/>
        <v>0</v>
      </c>
      <c r="U154" s="34">
        <f>INDEX(cennik!$C$2:$L$529,MATCH($L154,cennik!$B$2:$B$522,0),MATCH(U$2,cennik!$C$1:$L$1,0))*O154</f>
        <v>0</v>
      </c>
      <c r="V154" s="25"/>
      <c r="W154" s="189">
        <f>(INDEX(($EL$139:$FI$142,$EL$146:$FI$149,$FL$139:$GI$142,$FL$146:$GI$149),MATCH($L$175,$EK$139:$EK$142,0),MATCH(A162,$EL$138:$FI$138,0),MATCH($G$163,$AE$24:$AE$27,0)))*C162</f>
        <v>0</v>
      </c>
      <c r="X154" s="189">
        <f>(INDEX(($EL$139:$FI$142,$EL$146:$FI$149,$FL$139:$GI$142,$FL$146:$GI$149),MATCH($L$172,$EK$139:$EK$142,0),MATCH(A162,$EL$138:$FI$138,0),MATCH($G$163,$AE$24:$AE$27,0)))*C162</f>
        <v>0</v>
      </c>
      <c r="Y154" s="189">
        <f>(INDEX(($EL$139:$FI$142,$EL$146:$FI$149,$FL$139:$GI$142,$FL$146:$GI$149),MATCH($L$173,$EK$139:$EK$142,0),MATCH(A162,$EL$138:$FI$138,0),MATCH($G$163,$AE$24:$AE$27,0)))*C162</f>
        <v>0</v>
      </c>
      <c r="Z154" s="189">
        <f>(INDEX(($EL$139:$FI$142,$EL$146:$FI$149,$FL$139:$GI$142,$FL$146:$GI$149),MATCH($L$174,$EK$139:$EK$142,0),MATCH(A162,$EL$138:$FI$138,0),MATCH($G$163,$AE$24:$AE$27,0)))*C162</f>
        <v>0</v>
      </c>
      <c r="AA154" s="21">
        <f t="shared" ref="AA154:AA167" si="210">(VLOOKUP(AO154,$AI$152:$AK$156,3,1))*C164</f>
        <v>0</v>
      </c>
      <c r="AB154" s="21">
        <f t="shared" si="208"/>
        <v>0</v>
      </c>
      <c r="AC154" s="21"/>
      <c r="AD154" s="21"/>
      <c r="AE154" s="21"/>
      <c r="AF154" s="21"/>
      <c r="AG154" s="21"/>
      <c r="AH154" s="21"/>
      <c r="AI154" s="200">
        <v>2</v>
      </c>
      <c r="AJ154" s="200" t="s">
        <v>721</v>
      </c>
      <c r="AK154" s="200">
        <v>6</v>
      </c>
      <c r="AL154" s="21"/>
      <c r="AM154" s="21"/>
      <c r="AN154" s="21"/>
      <c r="AO154" s="21">
        <f t="shared" si="209"/>
        <v>1</v>
      </c>
      <c r="AP154" s="21" t="s">
        <v>725</v>
      </c>
      <c r="AQ154" s="21">
        <v>1000</v>
      </c>
      <c r="AR154" s="21" t="s">
        <v>719</v>
      </c>
      <c r="AS154" s="21">
        <v>1000</v>
      </c>
      <c r="AT154" s="21" t="s">
        <v>719</v>
      </c>
      <c r="AU154" s="21" t="s">
        <v>741</v>
      </c>
      <c r="AV154" s="21"/>
      <c r="AW154" s="21"/>
      <c r="AX154" s="21"/>
      <c r="AY154" s="21"/>
      <c r="AZ154" s="21"/>
      <c r="BA154" s="21"/>
      <c r="BB154" s="21"/>
      <c r="BC154" s="21"/>
      <c r="BD154" s="21"/>
      <c r="BE154" s="21"/>
      <c r="BF154" s="21"/>
      <c r="BG154" s="21"/>
      <c r="BH154" s="21"/>
      <c r="BI154" s="21"/>
      <c r="BJ154" s="21"/>
      <c r="BK154" s="21"/>
      <c r="BL154" s="21"/>
      <c r="BM154" s="21"/>
      <c r="BN154" s="21"/>
      <c r="BO154" s="21"/>
      <c r="BP154" s="21"/>
      <c r="BQ154" s="21"/>
      <c r="BR154" s="21"/>
      <c r="BS154" s="21"/>
      <c r="BT154" s="21"/>
      <c r="BU154" s="21"/>
      <c r="BV154" s="21"/>
      <c r="BW154" s="21"/>
      <c r="BX154" s="21"/>
      <c r="BY154" s="21"/>
      <c r="BZ154" s="21"/>
      <c r="CA154" s="21"/>
      <c r="CB154" s="21"/>
      <c r="CC154" s="21"/>
      <c r="CD154" s="21"/>
      <c r="CE154" s="21"/>
      <c r="CF154" s="21"/>
      <c r="CG154" s="21"/>
      <c r="CH154" s="21"/>
      <c r="CI154" s="21"/>
      <c r="CJ154" s="21"/>
      <c r="CK154" s="21"/>
      <c r="CL154" s="21"/>
      <c r="CM154" s="21"/>
      <c r="CN154" s="21"/>
      <c r="CO154" s="21"/>
      <c r="CP154" s="21"/>
      <c r="CQ154" s="21"/>
      <c r="CR154" s="21"/>
      <c r="CS154" s="21"/>
      <c r="CT154" s="21"/>
      <c r="CU154" s="21"/>
      <c r="CV154" s="21"/>
      <c r="CW154" s="21"/>
      <c r="CX154" s="21"/>
      <c r="CY154" s="21"/>
      <c r="CZ154" s="21"/>
      <c r="DA154" s="21"/>
      <c r="DB154" s="21"/>
      <c r="DC154" s="21"/>
      <c r="DD154" s="21"/>
      <c r="DE154" s="21"/>
      <c r="DF154" s="21"/>
      <c r="DG154" s="21"/>
      <c r="DH154" s="21"/>
      <c r="DI154" s="21"/>
      <c r="DJ154" s="21"/>
      <c r="DK154" s="21"/>
      <c r="DL154" s="21"/>
      <c r="DM154" s="21"/>
      <c r="DN154" s="21"/>
      <c r="DO154" s="21"/>
      <c r="DP154" s="21"/>
      <c r="DQ154" s="87"/>
      <c r="DR154" s="87">
        <v>38</v>
      </c>
      <c r="DS154" s="87"/>
      <c r="DT154" s="21"/>
      <c r="DU154" s="21"/>
      <c r="DV154" s="21"/>
      <c r="DW154" s="21"/>
      <c r="DX154" s="21"/>
      <c r="DY154" s="21"/>
      <c r="DZ154" s="21"/>
      <c r="EA154" s="21"/>
      <c r="EB154" s="21"/>
      <c r="EC154" s="21"/>
      <c r="ED154" s="21"/>
      <c r="EE154" s="21"/>
      <c r="EF154" s="21"/>
      <c r="EG154" s="21"/>
      <c r="EH154" s="21"/>
      <c r="EI154" s="21"/>
      <c r="EJ154" s="21"/>
      <c r="EK154" s="21"/>
      <c r="EL154" s="21"/>
      <c r="EM154" s="21"/>
      <c r="EN154" s="21"/>
      <c r="EO154" s="21"/>
      <c r="EP154" s="21"/>
      <c r="EQ154" s="21"/>
      <c r="ER154" s="21"/>
      <c r="ES154" s="21"/>
      <c r="ET154" s="21"/>
      <c r="EU154" s="21"/>
      <c r="EV154" s="21"/>
      <c r="EW154" s="21"/>
      <c r="EX154" s="21"/>
      <c r="EY154" s="21"/>
      <c r="EZ154" s="21"/>
      <c r="FA154" s="21"/>
      <c r="FB154" s="21"/>
      <c r="FC154" s="21"/>
      <c r="FD154" s="21"/>
      <c r="FE154" s="21"/>
      <c r="FF154" s="21"/>
      <c r="FG154" s="21"/>
      <c r="FH154" s="21"/>
      <c r="FI154" s="21"/>
      <c r="FJ154" s="21"/>
      <c r="FK154" s="21"/>
      <c r="FL154" s="21"/>
      <c r="FM154" s="21"/>
      <c r="FN154" s="21"/>
      <c r="FO154" s="21"/>
      <c r="FP154" s="21"/>
      <c r="FQ154" s="21"/>
      <c r="FR154" s="21"/>
      <c r="FS154" s="21"/>
      <c r="FT154" s="21"/>
      <c r="FU154" s="21"/>
      <c r="FV154" s="21"/>
      <c r="FW154" s="21"/>
      <c r="FX154" s="21"/>
      <c r="FY154" s="21"/>
      <c r="FZ154" s="21"/>
      <c r="GA154" s="21"/>
      <c r="GB154" s="21"/>
      <c r="GC154" s="21"/>
      <c r="GD154" s="21"/>
      <c r="GE154" s="21"/>
      <c r="GF154" s="21"/>
      <c r="GG154" s="21"/>
      <c r="GH154" s="21"/>
      <c r="GI154" s="21"/>
      <c r="GJ154" s="21"/>
      <c r="GK154" s="21"/>
      <c r="GL154" s="21"/>
      <c r="GM154" s="21"/>
      <c r="GN154" s="21"/>
      <c r="GO154" s="21"/>
      <c r="GP154" s="21"/>
      <c r="GQ154" s="21"/>
      <c r="GR154" s="21"/>
      <c r="GS154" s="21"/>
      <c r="GT154" s="21"/>
      <c r="GU154" s="21"/>
      <c r="GV154" s="21"/>
      <c r="GW154" s="21"/>
      <c r="GX154" s="21"/>
      <c r="GY154" s="21"/>
      <c r="GZ154" s="21"/>
      <c r="HA154" s="21"/>
      <c r="HB154" s="21"/>
      <c r="HC154" s="21"/>
      <c r="HD154" s="21"/>
      <c r="HE154" s="21"/>
      <c r="HF154" s="21"/>
      <c r="HG154" s="21"/>
      <c r="HH154" s="21"/>
    </row>
    <row r="155" spans="1:216" x14ac:dyDescent="0.25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6" t="s">
        <v>319</v>
      </c>
      <c r="M155" s="11">
        <f>INDEX(cennik!$C$2:$L$529,MATCH($L155,cennik!$B$2:$B$522,0),MATCH(M$2,cennik!$C$1:$L$1,0))</f>
        <v>890111</v>
      </c>
      <c r="N155" s="11" t="str">
        <f>INDEX(cennik!$C$2:$L$529,MATCH($L155,cennik!$B$2:$B$522,0),MATCH(N$2,cennik!$C$1:$L$1,0))</f>
        <v>100 szt.</v>
      </c>
      <c r="O155" s="11">
        <f>ROUNDUP((O131*4)/100,0)</f>
        <v>0</v>
      </c>
      <c r="P155" s="34">
        <f>INDEX(cennik!$C$2:$L$529,MATCH($L155,cennik!$B$2:$B$522,0),MATCH(P$2,cennik!$C$1:$L$1,0))</f>
        <v>174.59</v>
      </c>
      <c r="Q155" s="34">
        <f t="shared" si="195"/>
        <v>0</v>
      </c>
      <c r="R155" s="35">
        <f t="shared" si="188"/>
        <v>0</v>
      </c>
      <c r="S155" s="34">
        <f t="shared" si="187"/>
        <v>174.59</v>
      </c>
      <c r="T155" s="34">
        <f t="shared" si="196"/>
        <v>0</v>
      </c>
      <c r="U155" s="34">
        <f>INDEX(cennik!$C$2:$L$529,MATCH($L155,cennik!$B$2:$B$522,0),MATCH(U$2,cennik!$C$1:$L$1,0))*O155</f>
        <v>0</v>
      </c>
      <c r="V155" s="25"/>
      <c r="W155" s="189">
        <f>(INDEX(($EL$139:$FI$142,$EL$146:$FI$149,$FL$139:$GI$142,$FL$146:$GI$149),MATCH($L$175,$EK$139:$EK$142,0),MATCH(A163,$EL$138:$FI$138,0),MATCH($G$163,$AE$24:$AE$27,0)))*C163</f>
        <v>0</v>
      </c>
      <c r="X155" s="189">
        <f>(INDEX(($EL$139:$FI$142,$EL$146:$FI$149,$FL$139:$GI$142,$FL$146:$GI$149),MATCH($L$172,$EK$139:$EK$142,0),MATCH(A163,$EL$138:$FI$138,0),MATCH($G$163,$AE$24:$AE$27,0)))*C163</f>
        <v>0</v>
      </c>
      <c r="Y155" s="189">
        <f>(INDEX(($EL$139:$FI$142,$EL$146:$FI$149,$FL$139:$GI$142,$FL$146:$GI$149),MATCH($L$173,$EK$139:$EK$142,0),MATCH(A163,$EL$138:$FI$138,0),MATCH($G$163,$AE$24:$AE$27,0)))*C163</f>
        <v>0</v>
      </c>
      <c r="Z155" s="189">
        <f>(INDEX(($EL$139:$FI$142,$EL$146:$FI$149,$FL$139:$GI$142,$FL$146:$GI$149),MATCH($L$174,$EK$139:$EK$142,0),MATCH(A163,$EL$138:$FI$138,0),MATCH($G$163,$AE$24:$AE$27,0)))*C163</f>
        <v>0</v>
      </c>
      <c r="AA155" s="21">
        <f t="shared" si="210"/>
        <v>0</v>
      </c>
      <c r="AB155" s="21">
        <f t="shared" si="208"/>
        <v>0</v>
      </c>
      <c r="AC155" s="21"/>
      <c r="AD155" s="21"/>
      <c r="AE155" s="21"/>
      <c r="AF155" s="21"/>
      <c r="AG155" s="21"/>
      <c r="AH155" s="21"/>
      <c r="AI155" s="200">
        <v>9</v>
      </c>
      <c r="AJ155" s="200" t="s">
        <v>720</v>
      </c>
      <c r="AK155" s="189">
        <v>9</v>
      </c>
      <c r="AL155" s="21"/>
      <c r="AM155" s="21"/>
      <c r="AN155" s="21"/>
      <c r="AO155" s="21">
        <f t="shared" si="209"/>
        <v>1</v>
      </c>
      <c r="AP155" s="21"/>
      <c r="AQ155" s="21"/>
      <c r="AR155" s="21"/>
      <c r="AS155" s="21"/>
      <c r="AT155" s="21"/>
      <c r="AU155" s="21"/>
      <c r="AV155" s="21"/>
      <c r="AW155" s="21"/>
      <c r="AX155" s="21"/>
      <c r="AY155" s="21"/>
      <c r="AZ155" s="21"/>
      <c r="BA155" s="21"/>
      <c r="BB155" s="21"/>
      <c r="BC155" s="21"/>
      <c r="BD155" s="21"/>
      <c r="BE155" s="21"/>
      <c r="BF155" s="21"/>
      <c r="BG155" s="21"/>
      <c r="BH155" s="21"/>
      <c r="BI155" s="21"/>
      <c r="BJ155" s="21"/>
      <c r="BK155" s="21"/>
      <c r="BL155" s="21"/>
      <c r="BM155" s="21"/>
      <c r="BN155" s="21"/>
      <c r="BO155" s="21"/>
      <c r="BP155" s="21"/>
      <c r="BQ155" s="21"/>
      <c r="BR155" s="21"/>
      <c r="BS155" s="21"/>
      <c r="BT155" s="21"/>
      <c r="BU155" s="21"/>
      <c r="BV155" s="21"/>
      <c r="BW155" s="21"/>
      <c r="BX155" s="21"/>
      <c r="BY155" s="21"/>
      <c r="BZ155" s="21"/>
      <c r="CA155" s="21"/>
      <c r="CB155" s="21"/>
      <c r="CC155" s="21"/>
      <c r="CD155" s="21"/>
      <c r="CE155" s="21"/>
      <c r="CF155" s="21"/>
      <c r="CG155" s="21"/>
      <c r="CH155" s="21"/>
      <c r="CI155" s="21"/>
      <c r="CJ155" s="21"/>
      <c r="CK155" s="21"/>
      <c r="CL155" s="21"/>
      <c r="CM155" s="21"/>
      <c r="CN155" s="21"/>
      <c r="CO155" s="21"/>
      <c r="CP155" s="21"/>
      <c r="CQ155" s="21"/>
      <c r="CR155" s="21"/>
      <c r="CS155" s="21"/>
      <c r="CT155" s="21"/>
      <c r="CU155" s="21"/>
      <c r="CV155" s="21"/>
      <c r="CW155" s="21"/>
      <c r="CX155" s="21"/>
      <c r="CY155" s="21"/>
      <c r="CZ155" s="21"/>
      <c r="DA155" s="21"/>
      <c r="DB155" s="21"/>
      <c r="DC155" s="21"/>
      <c r="DD155" s="21"/>
      <c r="DE155" s="21"/>
      <c r="DF155" s="21"/>
      <c r="DG155" s="21"/>
      <c r="DH155" s="21"/>
      <c r="DI155" s="21"/>
      <c r="DJ155" s="21"/>
      <c r="DK155" s="21"/>
      <c r="DL155" s="21"/>
      <c r="DM155" s="21"/>
      <c r="DN155" s="21"/>
      <c r="DO155" s="21"/>
      <c r="DP155" s="21"/>
      <c r="DQ155" s="87"/>
      <c r="DR155" s="87">
        <v>40</v>
      </c>
      <c r="DS155" s="87"/>
      <c r="DT155" s="21"/>
      <c r="DU155" s="21"/>
      <c r="DV155" s="21"/>
      <c r="DW155" s="21"/>
      <c r="DX155" s="21"/>
      <c r="DY155" s="21"/>
      <c r="DZ155" s="21"/>
      <c r="EA155" s="21"/>
      <c r="EB155" s="21"/>
      <c r="EC155" s="21"/>
      <c r="ED155" s="21"/>
      <c r="EE155" s="21"/>
      <c r="EF155" s="21"/>
      <c r="EG155" s="21"/>
      <c r="EH155" s="21"/>
      <c r="EI155" s="21"/>
      <c r="EJ155" s="21"/>
      <c r="EK155" s="21"/>
      <c r="EL155" s="21"/>
      <c r="EM155" s="21"/>
      <c r="EN155" s="21"/>
      <c r="EO155" s="21"/>
      <c r="EP155" s="21"/>
      <c r="EQ155" s="21"/>
      <c r="ER155" s="21"/>
      <c r="ES155" s="21"/>
      <c r="ET155" s="21"/>
      <c r="EU155" s="21"/>
      <c r="EV155" s="21"/>
      <c r="EW155" s="21"/>
      <c r="EX155" s="21"/>
      <c r="EY155" s="21"/>
      <c r="EZ155" s="21"/>
      <c r="FA155" s="21"/>
      <c r="FB155" s="21"/>
      <c r="FC155" s="21"/>
      <c r="FD155" s="21"/>
      <c r="FE155" s="21"/>
      <c r="FF155" s="21"/>
      <c r="FG155" s="21"/>
      <c r="FH155" s="21"/>
      <c r="FI155" s="21"/>
      <c r="FJ155" s="21"/>
      <c r="FK155" s="21"/>
      <c r="FL155" s="21"/>
      <c r="FM155" s="21"/>
      <c r="FN155" s="21"/>
      <c r="FO155" s="21"/>
      <c r="FP155" s="21"/>
      <c r="FQ155" s="21"/>
      <c r="FR155" s="21"/>
      <c r="FS155" s="21"/>
      <c r="FT155" s="21"/>
      <c r="FU155" s="21"/>
      <c r="FV155" s="21"/>
      <c r="FW155" s="21"/>
      <c r="FX155" s="21"/>
      <c r="FY155" s="21"/>
      <c r="FZ155" s="21"/>
      <c r="GA155" s="21"/>
      <c r="GB155" s="21"/>
      <c r="GC155" s="21"/>
      <c r="GD155" s="21"/>
      <c r="GE155" s="21"/>
      <c r="GF155" s="21"/>
      <c r="GG155" s="21"/>
      <c r="GH155" s="21"/>
      <c r="GI155" s="21"/>
      <c r="GJ155" s="21"/>
      <c r="GK155" s="21"/>
      <c r="GL155" s="21"/>
      <c r="GM155" s="21"/>
      <c r="GN155" s="21"/>
      <c r="GO155" s="21"/>
      <c r="GP155" s="21"/>
      <c r="GQ155" s="21"/>
      <c r="GR155" s="21"/>
      <c r="GS155" s="21"/>
      <c r="GT155" s="21"/>
      <c r="GU155" s="21"/>
      <c r="GV155" s="21"/>
      <c r="GW155" s="21"/>
      <c r="GX155" s="21"/>
      <c r="GY155" s="21"/>
      <c r="GZ155" s="21"/>
      <c r="HA155" s="21"/>
      <c r="HB155" s="21"/>
      <c r="HC155" s="21"/>
      <c r="HD155" s="21"/>
      <c r="HE155" s="21"/>
      <c r="HF155" s="21"/>
      <c r="HG155" s="21"/>
      <c r="HH155" s="21"/>
    </row>
    <row r="156" spans="1:216" x14ac:dyDescent="0.25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6" t="s">
        <v>722</v>
      </c>
      <c r="M156" s="11">
        <f>INDEX(cennik!$C$2:$L$529,MATCH($L156,cennik!$B$2:$B$522,0),MATCH(M$2,cennik!$C$1:$L$1,0))</f>
        <v>890504</v>
      </c>
      <c r="N156" s="11" t="str">
        <f>INDEX(cennik!$C$2:$L$529,MATCH($L156,cennik!$B$2:$B$522,0),MATCH(N$2,cennik!$C$1:$L$1,0))</f>
        <v>szt.</v>
      </c>
      <c r="O156" s="11">
        <f>SUM(C130:C145)*12</f>
        <v>0</v>
      </c>
      <c r="P156" s="34">
        <f>INDEX(cennik!$C$2:$L$529,MATCH($L156,cennik!$B$2:$B$522,0),MATCH(P$2,cennik!$C$1:$L$1,0))</f>
        <v>4.58</v>
      </c>
      <c r="Q156" s="34">
        <f t="shared" si="195"/>
        <v>0</v>
      </c>
      <c r="R156" s="35">
        <f t="shared" si="188"/>
        <v>0</v>
      </c>
      <c r="S156" s="34">
        <f t="shared" si="187"/>
        <v>4.58</v>
      </c>
      <c r="T156" s="34">
        <f t="shared" si="196"/>
        <v>0</v>
      </c>
      <c r="U156" s="34">
        <f>INDEX(cennik!$C$2:$L$529,MATCH($L156,cennik!$B$2:$B$522,0),MATCH(U$2,cennik!$C$1:$L$1,0))*O156</f>
        <v>0</v>
      </c>
      <c r="V156" s="25"/>
      <c r="W156" s="189">
        <f>(INDEX(($EL$139:$FI$142,$EL$146:$FI$149,$FL$139:$GI$142,$FL$146:$GI$149),MATCH($L$175,$EK$139:$EK$142,0),MATCH(A164,$EL$138:$FI$138,0),MATCH($G$163,$AE$24:$AE$27,0)))*C164</f>
        <v>0</v>
      </c>
      <c r="X156" s="189">
        <f>(INDEX(($EL$139:$FI$142,$EL$146:$FI$149,$FL$139:$GI$142,$FL$146:$GI$149),MATCH($L$172,$EK$139:$EK$142,0),MATCH(A164,$EL$138:$FI$138,0),MATCH($G$163,$AE$24:$AE$27,0)))*C164</f>
        <v>0</v>
      </c>
      <c r="Y156" s="189">
        <f>(INDEX(($EL$139:$FI$142,$EL$146:$FI$149,$FL$139:$GI$142,$FL$146:$GI$149),MATCH($L$173,$EK$139:$EK$142,0),MATCH(A164,$EL$138:$FI$138,0),MATCH($G$163,$AE$24:$AE$27,0)))*C164</f>
        <v>0</v>
      </c>
      <c r="Z156" s="189">
        <f>(INDEX(($EL$139:$FI$142,$EL$146:$FI$149,$FL$139:$GI$142,$FL$146:$GI$149),MATCH($L$174,$EK$139:$EK$142,0),MATCH(A164,$EL$138:$FI$138,0),MATCH($G$163,$AE$24:$AE$27,0)))*C164</f>
        <v>0</v>
      </c>
      <c r="AA156" s="21">
        <f t="shared" si="210"/>
        <v>0</v>
      </c>
      <c r="AB156" s="21">
        <f t="shared" si="208"/>
        <v>0</v>
      </c>
      <c r="AC156" s="21"/>
      <c r="AD156" s="21"/>
      <c r="AE156" s="21"/>
      <c r="AF156" s="21"/>
      <c r="AG156" s="21"/>
      <c r="AH156" s="21"/>
      <c r="AI156" s="199">
        <v>13</v>
      </c>
      <c r="AJ156" s="199" t="s">
        <v>696</v>
      </c>
      <c r="AK156" s="189">
        <v>12</v>
      </c>
      <c r="AL156" s="21"/>
      <c r="AM156" s="21"/>
      <c r="AN156" s="21"/>
      <c r="AO156" s="21">
        <f t="shared" si="209"/>
        <v>1</v>
      </c>
      <c r="AQ156" s="21" t="s">
        <v>314</v>
      </c>
      <c r="AR156" s="21" t="s">
        <v>312</v>
      </c>
      <c r="AS156" s="21" t="s">
        <v>309</v>
      </c>
      <c r="AT156" s="21" t="s">
        <v>313</v>
      </c>
      <c r="AU156" s="21"/>
      <c r="AV156" s="21"/>
      <c r="AW156" s="21"/>
      <c r="AX156" s="21"/>
      <c r="AY156" s="21"/>
      <c r="AZ156" s="21"/>
      <c r="BA156" s="21"/>
      <c r="BB156" s="21"/>
      <c r="BC156" s="21"/>
      <c r="BD156" s="21"/>
      <c r="BE156" s="21"/>
      <c r="BF156" s="21"/>
      <c r="BG156" s="21"/>
      <c r="BH156" s="21"/>
      <c r="BI156" s="21"/>
      <c r="BJ156" s="21"/>
      <c r="BK156" s="21"/>
      <c r="BL156" s="21"/>
      <c r="BM156" s="21"/>
      <c r="BN156" s="21"/>
      <c r="BO156" s="21"/>
      <c r="BP156" s="21"/>
      <c r="BQ156" s="21"/>
      <c r="BR156" s="21"/>
      <c r="BS156" s="21"/>
      <c r="BT156" s="21"/>
      <c r="BU156" s="21"/>
      <c r="BV156" s="21"/>
      <c r="BW156" s="21"/>
      <c r="BX156" s="21"/>
      <c r="BY156" s="21"/>
      <c r="BZ156" s="21"/>
      <c r="CA156" s="21"/>
      <c r="CB156" s="21"/>
      <c r="CC156" s="21"/>
      <c r="CD156" s="21"/>
      <c r="CE156" s="21"/>
      <c r="CF156" s="21"/>
      <c r="CG156" s="21"/>
      <c r="CH156" s="21"/>
      <c r="CI156" s="21"/>
      <c r="CJ156" s="21"/>
      <c r="CK156" s="21"/>
      <c r="CL156" s="21"/>
      <c r="CM156" s="21"/>
      <c r="CN156" s="21"/>
      <c r="CO156" s="21"/>
      <c r="CP156" s="21"/>
      <c r="CQ156" s="21"/>
      <c r="CR156" s="21"/>
      <c r="CS156" s="21"/>
      <c r="CT156" s="21"/>
      <c r="CU156" s="21"/>
      <c r="CV156" s="21"/>
      <c r="CW156" s="21"/>
      <c r="CX156" s="21"/>
      <c r="CY156" s="21"/>
      <c r="CZ156" s="21"/>
      <c r="DA156" s="21"/>
      <c r="DB156" s="21"/>
      <c r="DC156" s="21"/>
      <c r="DD156" s="21"/>
      <c r="DE156" s="21"/>
      <c r="DF156" s="21"/>
      <c r="DG156" s="21"/>
      <c r="DH156" s="21"/>
      <c r="DI156" s="21"/>
      <c r="DJ156" s="21"/>
      <c r="DK156" s="21"/>
      <c r="DL156" s="21"/>
      <c r="DM156" s="21"/>
      <c r="DN156" s="21"/>
      <c r="DO156" s="21"/>
      <c r="DP156" s="21"/>
      <c r="DQ156" s="87"/>
      <c r="DR156" s="87">
        <v>42</v>
      </c>
      <c r="DS156" s="87"/>
      <c r="DT156" s="21"/>
      <c r="DU156" s="21"/>
      <c r="DV156" s="21"/>
      <c r="DW156" s="21"/>
      <c r="DX156" s="21"/>
      <c r="DY156" s="21"/>
      <c r="DZ156" s="21"/>
      <c r="EA156" s="21"/>
      <c r="EB156" s="21"/>
      <c r="EC156" s="21"/>
      <c r="ED156" s="21"/>
      <c r="EE156" s="21"/>
      <c r="EF156" s="21"/>
      <c r="EG156" s="21"/>
      <c r="EH156" s="21"/>
      <c r="EI156" s="21"/>
      <c r="EJ156" s="21"/>
      <c r="EK156" s="21"/>
      <c r="EL156" s="21"/>
      <c r="EM156" s="21"/>
      <c r="EN156" s="21"/>
      <c r="EO156" s="21"/>
      <c r="EP156" s="21"/>
      <c r="EQ156" s="21"/>
      <c r="ER156" s="21"/>
      <c r="ES156" s="21"/>
      <c r="ET156" s="21"/>
      <c r="EU156" s="21"/>
      <c r="EV156" s="21"/>
      <c r="EW156" s="21"/>
      <c r="EX156" s="21"/>
      <c r="EY156" s="21"/>
      <c r="EZ156" s="21"/>
      <c r="FA156" s="21"/>
      <c r="FB156" s="21"/>
      <c r="FC156" s="21"/>
      <c r="FD156" s="21"/>
      <c r="FE156" s="21"/>
      <c r="FF156" s="21"/>
      <c r="FG156" s="21"/>
      <c r="FH156" s="21"/>
      <c r="FI156" s="21"/>
      <c r="FJ156" s="21"/>
      <c r="FK156" s="21"/>
      <c r="FL156" s="21"/>
      <c r="FM156" s="21"/>
      <c r="FN156" s="21"/>
      <c r="FO156" s="21"/>
      <c r="FP156" s="21"/>
      <c r="FQ156" s="21"/>
      <c r="FR156" s="21"/>
      <c r="FS156" s="21"/>
      <c r="FT156" s="21"/>
      <c r="FU156" s="21"/>
      <c r="FV156" s="21"/>
      <c r="FW156" s="21"/>
      <c r="FX156" s="21"/>
      <c r="FY156" s="21"/>
      <c r="FZ156" s="21"/>
      <c r="GA156" s="21"/>
      <c r="GB156" s="21"/>
      <c r="GC156" s="21"/>
      <c r="GD156" s="21"/>
      <c r="GE156" s="21"/>
      <c r="GF156" s="21"/>
      <c r="GG156" s="21"/>
      <c r="GH156" s="21"/>
      <c r="GI156" s="21"/>
      <c r="GJ156" s="21"/>
      <c r="GK156" s="21"/>
      <c r="GL156" s="21"/>
      <c r="GM156" s="21"/>
      <c r="GN156" s="21"/>
      <c r="GO156" s="21"/>
      <c r="GP156" s="21"/>
      <c r="GQ156" s="21"/>
      <c r="GR156" s="21"/>
      <c r="GS156" s="21"/>
      <c r="GT156" s="21"/>
      <c r="GU156" s="21"/>
      <c r="GV156" s="21"/>
      <c r="GW156" s="21"/>
      <c r="GX156" s="21"/>
      <c r="GY156" s="21"/>
      <c r="GZ156" s="21"/>
      <c r="HA156" s="21"/>
      <c r="HB156" s="21"/>
      <c r="HC156" s="21"/>
      <c r="HD156" s="21"/>
      <c r="HE156" s="21"/>
      <c r="HF156" s="21"/>
      <c r="HG156" s="21"/>
      <c r="HH156" s="21"/>
    </row>
    <row r="157" spans="1:216" x14ac:dyDescent="0.25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6" t="s">
        <v>316</v>
      </c>
      <c r="M157" s="11"/>
      <c r="N157" s="11"/>
      <c r="O157" s="11"/>
      <c r="P157" s="34"/>
      <c r="Q157" s="34"/>
      <c r="R157" s="35"/>
      <c r="S157" s="34"/>
      <c r="T157" s="34"/>
      <c r="U157" s="34"/>
      <c r="V157" s="25"/>
      <c r="W157" s="189">
        <f>(INDEX(($EL$139:$FI$142,$EL$146:$FI$149,$FL$139:$GI$142,$FL$146:$GI$149),MATCH($L$175,$EK$139:$EK$142,0),MATCH(A165,$EL$138:$FI$138,0),MATCH($G$163,$AE$24:$AE$27,0)))*C165</f>
        <v>0</v>
      </c>
      <c r="X157" s="189">
        <f>(INDEX(($EL$139:$FI$142,$EL$146:$FI$149,$FL$139:$GI$142,$FL$146:$GI$149),MATCH($L$172,$EK$139:$EK$142,0),MATCH(A165,$EL$138:$FI$138,0),MATCH($G$163,$AE$24:$AE$27,0)))*C165</f>
        <v>0</v>
      </c>
      <c r="Y157" s="189">
        <f>(INDEX(($EL$139:$FI$142,$EL$146:$FI$149,$FL$139:$GI$142,$FL$146:$GI$149),MATCH($L$173,$EK$139:$EK$142,0),MATCH(A165,$EL$138:$FI$138,0),MATCH($G$163,$AE$24:$AE$27,0)))*C165</f>
        <v>0</v>
      </c>
      <c r="Z157" s="189">
        <f>(INDEX(($EL$139:$FI$142,$EL$146:$FI$149,$FL$139:$GI$142,$FL$146:$GI$149),MATCH($L$174,$EK$139:$EK$142,0),MATCH(A165,$EL$138:$FI$138,0),MATCH($G$163,$AE$24:$AE$27,0)))*C165</f>
        <v>0</v>
      </c>
      <c r="AA157" s="21">
        <f t="shared" si="210"/>
        <v>0</v>
      </c>
      <c r="AB157" s="21">
        <f t="shared" si="208"/>
        <v>0</v>
      </c>
      <c r="AC157" s="21"/>
      <c r="AD157" s="21"/>
      <c r="AE157" s="21"/>
      <c r="AF157" s="21"/>
      <c r="AG157" s="21"/>
      <c r="AH157" s="21"/>
      <c r="AI157" s="21"/>
      <c r="AJ157" s="21"/>
      <c r="AK157" s="21"/>
      <c r="AL157" s="21"/>
      <c r="AM157" s="21"/>
      <c r="AN157" s="21"/>
      <c r="AO157" s="21">
        <f t="shared" si="209"/>
        <v>1</v>
      </c>
      <c r="AP157" s="21">
        <v>25</v>
      </c>
      <c r="AQ157" s="21" t="s">
        <v>742</v>
      </c>
      <c r="AR157" s="21" t="s">
        <v>744</v>
      </c>
      <c r="AS157" s="21" t="s">
        <v>746</v>
      </c>
      <c r="AT157" s="21" t="s">
        <v>748</v>
      </c>
      <c r="AU157" s="21"/>
      <c r="AV157" s="21"/>
      <c r="AW157" s="21"/>
      <c r="AX157" s="21"/>
      <c r="AY157" s="21"/>
      <c r="AZ157" s="21"/>
      <c r="BA157" s="21"/>
      <c r="BB157" s="21"/>
      <c r="BC157" s="21"/>
      <c r="BD157" s="21"/>
      <c r="BE157" s="21"/>
      <c r="BF157" s="21"/>
      <c r="BG157" s="21"/>
      <c r="BH157" s="21"/>
      <c r="BI157" s="21"/>
      <c r="BJ157" s="21"/>
      <c r="BK157" s="21"/>
      <c r="BL157" s="21"/>
      <c r="BM157" s="21"/>
      <c r="BN157" s="21"/>
      <c r="BO157" s="21"/>
      <c r="BP157" s="21"/>
      <c r="BQ157" s="21"/>
      <c r="BR157" s="21"/>
      <c r="BS157" s="21"/>
      <c r="BT157" s="21"/>
      <c r="BU157" s="21"/>
      <c r="BV157" s="21"/>
      <c r="BW157" s="21"/>
      <c r="BX157" s="21"/>
      <c r="BY157" s="21"/>
      <c r="BZ157" s="21"/>
      <c r="CA157" s="21"/>
      <c r="CB157" s="21"/>
      <c r="CC157" s="21"/>
      <c r="CD157" s="21"/>
      <c r="CE157" s="21"/>
      <c r="CF157" s="21"/>
      <c r="CG157" s="21"/>
      <c r="CH157" s="21"/>
      <c r="CI157" s="21"/>
      <c r="CJ157" s="21"/>
      <c r="CK157" s="21"/>
      <c r="CL157" s="21"/>
      <c r="CM157" s="21"/>
      <c r="CN157" s="21"/>
      <c r="CO157" s="21"/>
      <c r="CP157" s="21"/>
      <c r="CQ157" s="21"/>
      <c r="CR157" s="21"/>
      <c r="CS157" s="21"/>
      <c r="CT157" s="21"/>
      <c r="CU157" s="21"/>
      <c r="CV157" s="21"/>
      <c r="CW157" s="21"/>
      <c r="CX157" s="21"/>
      <c r="CY157" s="21"/>
      <c r="CZ157" s="21"/>
      <c r="DA157" s="21"/>
      <c r="DB157" s="21"/>
      <c r="DC157" s="21"/>
      <c r="DD157" s="21"/>
      <c r="DE157" s="21"/>
      <c r="DF157" s="21"/>
      <c r="DG157" s="21"/>
      <c r="DH157" s="21"/>
      <c r="DI157" s="21"/>
      <c r="DJ157" s="21"/>
      <c r="DK157" s="21"/>
      <c r="DL157" s="21"/>
      <c r="DM157" s="21"/>
      <c r="DN157" s="21"/>
      <c r="DO157" s="21"/>
      <c r="DP157" s="21"/>
      <c r="DQ157" s="87"/>
      <c r="DR157" s="87">
        <v>44</v>
      </c>
      <c r="DS157" s="87"/>
      <c r="DT157" s="21"/>
      <c r="DU157" s="21"/>
      <c r="DV157" s="21"/>
      <c r="DW157" s="21"/>
      <c r="DX157" s="21"/>
      <c r="DY157" s="21"/>
      <c r="DZ157" s="21"/>
      <c r="EA157" s="21"/>
      <c r="EB157" s="21"/>
      <c r="EC157" s="21"/>
      <c r="ED157" s="21"/>
      <c r="EE157" s="21"/>
      <c r="EF157" s="21"/>
      <c r="EG157" s="21"/>
      <c r="EH157" s="21"/>
      <c r="EI157" s="21"/>
      <c r="EJ157" s="21"/>
      <c r="EK157" s="21"/>
      <c r="EL157" s="21"/>
      <c r="EM157" s="21"/>
      <c r="EN157" s="21"/>
      <c r="EO157" s="21"/>
      <c r="EP157" s="21"/>
      <c r="EQ157" s="21"/>
      <c r="ER157" s="21"/>
      <c r="ES157" s="21"/>
      <c r="ET157" s="21"/>
      <c r="EU157" s="21"/>
      <c r="EV157" s="21"/>
      <c r="EW157" s="21"/>
      <c r="EX157" s="21"/>
      <c r="EY157" s="21"/>
      <c r="EZ157" s="21"/>
      <c r="FA157" s="21"/>
      <c r="FB157" s="21"/>
      <c r="FC157" s="21"/>
      <c r="FD157" s="21"/>
      <c r="FE157" s="21"/>
      <c r="FF157" s="21"/>
      <c r="FG157" s="21"/>
      <c r="FH157" s="21"/>
      <c r="FI157" s="21"/>
      <c r="FJ157" s="21"/>
      <c r="FK157" s="21"/>
      <c r="FL157" s="21"/>
      <c r="FM157" s="21"/>
      <c r="FN157" s="21"/>
      <c r="FO157" s="21"/>
      <c r="FP157" s="21"/>
      <c r="FQ157" s="21"/>
      <c r="FR157" s="21"/>
      <c r="FS157" s="21"/>
      <c r="FT157" s="21"/>
      <c r="FU157" s="21"/>
      <c r="FV157" s="21"/>
      <c r="FW157" s="21"/>
      <c r="FX157" s="21"/>
      <c r="FY157" s="21"/>
      <c r="FZ157" s="21"/>
      <c r="GA157" s="21"/>
      <c r="GB157" s="21"/>
      <c r="GC157" s="21"/>
      <c r="GD157" s="21"/>
      <c r="GE157" s="21"/>
      <c r="GF157" s="21"/>
      <c r="GG157" s="21"/>
      <c r="GH157" s="21"/>
      <c r="GI157" s="21"/>
      <c r="GJ157" s="21"/>
      <c r="GK157" s="21"/>
      <c r="GL157" s="21"/>
      <c r="GM157" s="21"/>
      <c r="GN157" s="21"/>
      <c r="GO157" s="21"/>
      <c r="GP157" s="21"/>
      <c r="GQ157" s="21"/>
      <c r="GR157" s="21"/>
      <c r="GS157" s="21"/>
      <c r="GT157" s="21"/>
      <c r="GU157" s="21"/>
      <c r="GV157" s="21"/>
      <c r="GW157" s="21"/>
      <c r="GX157" s="21"/>
      <c r="GY157" s="21"/>
      <c r="GZ157" s="21"/>
      <c r="HA157" s="21"/>
      <c r="HB157" s="21"/>
      <c r="HC157" s="21"/>
      <c r="HD157" s="21"/>
      <c r="HE157" s="21"/>
      <c r="HF157" s="21"/>
      <c r="HG157" s="21"/>
      <c r="HH157" s="21"/>
    </row>
    <row r="158" spans="1:216" x14ac:dyDescent="0.25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6" t="str">
        <f>IF(E140=AJ132,"CWT70H50/3,2NMC",IF(E140=AL132,"CWT70H50/3NMC",IF(E140=AK133,"CWT70H50/2,4NMC",IF(E140=AN134,"CWT70H50/2NMC","-------"))))</f>
        <v>CWT70H50/3,2NMC</v>
      </c>
      <c r="M158" s="11">
        <f>INDEX(cennik!$C$2:$L$529,MATCH($L158,cennik!$B$2:$B$522,0),MATCH(M$2,cennik!$C$1:$L$1,0))</f>
        <v>867832</v>
      </c>
      <c r="N158" s="11" t="str">
        <f>INDEX(cennik!$C$2:$L$529,MATCH($L158,cennik!$B$2:$B$522,0),MATCH(N$2,cennik!$C$1:$L$1,0))</f>
        <v>szt.</v>
      </c>
      <c r="O158" s="11">
        <f>E134*2</f>
        <v>0</v>
      </c>
      <c r="P158" s="34">
        <f>INDEX(cennik!$C$2:$L$529,MATCH($L158,cennik!$B$2:$B$522,0),MATCH(P$2,cennik!$C$1:$L$1,0))</f>
        <v>161.94999999999999</v>
      </c>
      <c r="Q158" s="34">
        <f>O158*P158</f>
        <v>0</v>
      </c>
      <c r="R158" s="35">
        <f>$E$135</f>
        <v>0</v>
      </c>
      <c r="S158" s="34">
        <f>P158*((100-$E$135)/100)</f>
        <v>161.94999999999999</v>
      </c>
      <c r="T158" s="34">
        <f>O158*S158</f>
        <v>0</v>
      </c>
      <c r="U158" s="34">
        <f>INDEX(cennik!$C$2:$L$529,MATCH($L158,cennik!$B$2:$B$522,0),MATCH(U$2,cennik!$C$1:$L$1,0))*O158</f>
        <v>0</v>
      </c>
      <c r="V158" s="25"/>
      <c r="W158" s="189">
        <f>(INDEX(($EL$139:$FI$142,$EL$146:$FI$149,$FL$139:$GI$142,$FL$146:$GI$149),MATCH($L$175,$EK$139:$EK$142,0),MATCH(A166,$EL$138:$FI$138,0),MATCH($G$163,$AE$24:$AE$27,0)))*C166</f>
        <v>0</v>
      </c>
      <c r="X158" s="189">
        <f>(INDEX(($EL$139:$FI$142,$EL$146:$FI$149,$FL$139:$GI$142,$FL$146:$GI$149),MATCH($L$172,$EK$139:$EK$142,0),MATCH(A166,$EL$138:$FI$138,0),MATCH($G$163,$AE$24:$AE$27,0)))*C166</f>
        <v>0</v>
      </c>
      <c r="Y158" s="189">
        <f>(INDEX(($EL$139:$FI$142,$EL$146:$FI$149,$FL$139:$GI$142,$FL$146:$GI$149),MATCH($L$173,$EK$139:$EK$142,0),MATCH(A166,$EL$138:$FI$138,0),MATCH($G$163,$AE$24:$AE$27,0)))*C166</f>
        <v>0</v>
      </c>
      <c r="Z158" s="189">
        <f>(INDEX(($EL$139:$FI$142,$EL$146:$FI$149,$FL$139:$GI$142,$FL$146:$GI$149),MATCH($L$174,$EK$139:$EK$142,0),MATCH(A166,$EL$138:$FI$138,0),MATCH($G$163,$AE$24:$AE$27,0)))*C166</f>
        <v>0</v>
      </c>
      <c r="AA158" s="21">
        <f t="shared" si="210"/>
        <v>0</v>
      </c>
      <c r="AB158" s="21">
        <f t="shared" si="208"/>
        <v>0</v>
      </c>
      <c r="AC158" s="21"/>
      <c r="AD158" s="21"/>
      <c r="AE158" s="21"/>
      <c r="AF158" s="21"/>
      <c r="AG158" s="21"/>
      <c r="AH158" s="21"/>
      <c r="AI158" s="21"/>
      <c r="AJ158" s="21"/>
      <c r="AK158" s="21"/>
      <c r="AL158" s="21"/>
      <c r="AM158" s="21"/>
      <c r="AN158" s="21"/>
      <c r="AO158" s="21">
        <f t="shared" si="209"/>
        <v>1</v>
      </c>
      <c r="AP158" s="21">
        <v>30</v>
      </c>
      <c r="AQ158" s="21" t="s">
        <v>743</v>
      </c>
      <c r="AR158" s="21" t="s">
        <v>745</v>
      </c>
      <c r="AS158" s="21" t="s">
        <v>747</v>
      </c>
      <c r="AT158" s="21" t="s">
        <v>749</v>
      </c>
      <c r="AU158" s="21"/>
      <c r="AV158" s="21"/>
      <c r="AW158" s="21"/>
      <c r="AX158" s="21"/>
      <c r="AY158" s="21"/>
      <c r="AZ158" s="21"/>
      <c r="BA158" s="21"/>
      <c r="BB158" s="21"/>
      <c r="BC158" s="21"/>
      <c r="BD158" s="21"/>
      <c r="BE158" s="21"/>
      <c r="BF158" s="21"/>
      <c r="BG158" s="21"/>
      <c r="BH158" s="21"/>
      <c r="BI158" s="21"/>
      <c r="BJ158" s="21"/>
      <c r="BK158" s="21"/>
      <c r="BL158" s="21"/>
      <c r="BM158" s="21"/>
      <c r="BN158" s="21"/>
      <c r="BO158" s="21"/>
      <c r="BP158" s="21"/>
      <c r="BQ158" s="21"/>
      <c r="BR158" s="21"/>
      <c r="BS158" s="21"/>
      <c r="BT158" s="21"/>
      <c r="BU158" s="21"/>
      <c r="BV158" s="21"/>
      <c r="BW158" s="21"/>
      <c r="BX158" s="21"/>
      <c r="BY158" s="21"/>
      <c r="BZ158" s="21"/>
      <c r="CA158" s="21"/>
      <c r="CB158" s="21"/>
      <c r="CC158" s="21"/>
      <c r="CD158" s="21"/>
      <c r="CE158" s="21"/>
      <c r="CF158" s="21"/>
      <c r="CG158" s="21"/>
      <c r="CH158" s="21"/>
      <c r="CI158" s="21"/>
      <c r="CJ158" s="21"/>
      <c r="CK158" s="21"/>
      <c r="CL158" s="21"/>
      <c r="CM158" s="21"/>
      <c r="CN158" s="21"/>
      <c r="CO158" s="21"/>
      <c r="CP158" s="21"/>
      <c r="CQ158" s="21"/>
      <c r="CR158" s="21"/>
      <c r="CS158" s="21"/>
      <c r="CT158" s="21"/>
      <c r="CU158" s="21"/>
      <c r="CV158" s="21"/>
      <c r="CW158" s="21"/>
      <c r="CX158" s="21"/>
      <c r="CY158" s="21"/>
      <c r="CZ158" s="21"/>
      <c r="DA158" s="21"/>
      <c r="DB158" s="21"/>
      <c r="DC158" s="21"/>
      <c r="DD158" s="21"/>
      <c r="DE158" s="21"/>
      <c r="DF158" s="21"/>
      <c r="DG158" s="21"/>
      <c r="DH158" s="21"/>
      <c r="DI158" s="21"/>
      <c r="DJ158" s="21"/>
      <c r="DK158" s="21"/>
      <c r="DL158" s="21"/>
      <c r="DM158" s="21"/>
      <c r="DN158" s="21"/>
      <c r="DO158" s="21"/>
      <c r="DP158" s="21"/>
      <c r="DQ158" s="87"/>
      <c r="DR158" s="87">
        <v>46</v>
      </c>
      <c r="DS158" s="87"/>
      <c r="DT158" s="21"/>
      <c r="DU158" s="21"/>
      <c r="DV158" s="21"/>
      <c r="DW158" s="21"/>
      <c r="DX158" s="21"/>
      <c r="DY158" s="21"/>
      <c r="DZ158" s="21"/>
      <c r="EA158" s="21"/>
      <c r="EB158" s="21"/>
      <c r="EC158" s="21"/>
      <c r="ED158" s="21"/>
      <c r="EE158" s="21"/>
      <c r="EF158" s="21"/>
      <c r="EG158" s="21"/>
      <c r="EH158" s="21"/>
      <c r="EI158" s="21"/>
      <c r="EJ158" s="21"/>
      <c r="EK158" s="21"/>
      <c r="EL158" s="21"/>
      <c r="EM158" s="21"/>
      <c r="EN158" s="21"/>
      <c r="EO158" s="21"/>
      <c r="EP158" s="21"/>
      <c r="EQ158" s="21"/>
      <c r="ER158" s="21"/>
      <c r="ES158" s="21"/>
      <c r="ET158" s="21"/>
      <c r="EU158" s="21"/>
      <c r="EV158" s="21"/>
      <c r="EW158" s="21"/>
      <c r="EX158" s="21"/>
      <c r="EY158" s="21"/>
      <c r="EZ158" s="21"/>
      <c r="FA158" s="21"/>
      <c r="FB158" s="21"/>
      <c r="FC158" s="21"/>
      <c r="FD158" s="21"/>
      <c r="FE158" s="21"/>
      <c r="FF158" s="21"/>
      <c r="FG158" s="21"/>
      <c r="FH158" s="21"/>
      <c r="FI158" s="21"/>
      <c r="FJ158" s="21"/>
      <c r="FK158" s="21"/>
      <c r="FL158" s="21"/>
      <c r="FM158" s="21"/>
      <c r="FN158" s="21"/>
      <c r="FO158" s="21"/>
      <c r="FP158" s="21"/>
      <c r="FQ158" s="21"/>
      <c r="FR158" s="21"/>
      <c r="FS158" s="21"/>
      <c r="FT158" s="21"/>
      <c r="FU158" s="21"/>
      <c r="FV158" s="21"/>
      <c r="FW158" s="21"/>
      <c r="FX158" s="21"/>
      <c r="FY158" s="21"/>
      <c r="FZ158" s="21"/>
      <c r="GA158" s="21"/>
      <c r="GB158" s="21"/>
      <c r="GC158" s="21"/>
      <c r="GD158" s="21"/>
      <c r="GE158" s="21"/>
      <c r="GF158" s="21"/>
      <c r="GG158" s="21"/>
      <c r="GH158" s="21"/>
      <c r="GI158" s="21"/>
      <c r="GJ158" s="21"/>
      <c r="GK158" s="21"/>
      <c r="GL158" s="21"/>
      <c r="GM158" s="21"/>
      <c r="GN158" s="21"/>
      <c r="GO158" s="21"/>
      <c r="GP158" s="21"/>
      <c r="GQ158" s="21"/>
      <c r="GR158" s="21"/>
      <c r="GS158" s="21"/>
      <c r="GT158" s="21"/>
      <c r="GU158" s="21"/>
      <c r="GV158" s="21"/>
      <c r="GW158" s="21"/>
      <c r="GX158" s="21"/>
      <c r="GY158" s="21"/>
      <c r="GZ158" s="21"/>
      <c r="HA158" s="21"/>
      <c r="HB158" s="21"/>
      <c r="HC158" s="21"/>
      <c r="HD158" s="21"/>
      <c r="HE158" s="21"/>
      <c r="HF158" s="21"/>
      <c r="HG158" s="21"/>
      <c r="HH158" s="21"/>
    </row>
    <row r="159" spans="1:216" x14ac:dyDescent="0.25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6" t="s">
        <v>591</v>
      </c>
      <c r="M159" s="11">
        <f>INDEX(cennik!$C$2:$L$529,MATCH($L159,cennik!$B$2:$B$522,0),MATCH(M$2,cennik!$C$1:$L$1,0))</f>
        <v>867810</v>
      </c>
      <c r="N159" s="11" t="str">
        <f>INDEX(cennik!$C$2:$L$529,MATCH($L159,cennik!$B$2:$B$522,0),MATCH(N$2,cennik!$C$1:$L$1,0))</f>
        <v>szt.</v>
      </c>
      <c r="O159" s="11">
        <f>E134*4</f>
        <v>0</v>
      </c>
      <c r="P159" s="34">
        <f>INDEX(cennik!$C$2:$L$529,MATCH($L159,cennik!$B$2:$B$522,0),MATCH(P$2,cennik!$C$1:$L$1,0))</f>
        <v>50.61</v>
      </c>
      <c r="Q159" s="34">
        <f>O159*P159</f>
        <v>0</v>
      </c>
      <c r="R159" s="35">
        <f>$E$135</f>
        <v>0</v>
      </c>
      <c r="S159" s="34">
        <f>P159*((100-$E$135)/100)</f>
        <v>50.61</v>
      </c>
      <c r="T159" s="34">
        <f>O159*S159</f>
        <v>0</v>
      </c>
      <c r="U159" s="34">
        <f>INDEX(cennik!$C$2:$L$529,MATCH($L159,cennik!$B$2:$B$522,0),MATCH(U$2,cennik!$C$1:$L$1,0))*O159</f>
        <v>0</v>
      </c>
      <c r="V159" s="25"/>
      <c r="W159" s="189">
        <f>(INDEX(($EL$139:$FI$142,$EL$146:$FI$149,$FL$139:$GI$142,$FL$146:$GI$149),MATCH($L$175,$EK$139:$EK$142,0),MATCH(A167,$EL$138:$FI$138,0),MATCH($G$163,$AE$24:$AE$27,0)))*C167</f>
        <v>0</v>
      </c>
      <c r="X159" s="189">
        <f>(INDEX(($EL$139:$FI$142,$EL$146:$FI$149,$FL$139:$GI$142,$FL$146:$GI$149),MATCH($L$172,$EK$139:$EK$142,0),MATCH(A167,$EL$138:$FI$138,0),MATCH($G$163,$AE$24:$AE$27,0)))*C167</f>
        <v>0</v>
      </c>
      <c r="Y159" s="189">
        <f>(INDEX(($EL$139:$FI$142,$EL$146:$FI$149,$FL$139:$GI$142,$FL$146:$GI$149),MATCH($L$173,$EK$139:$EK$142,0),MATCH(A167,$EL$138:$FI$138,0),MATCH($G$163,$AE$24:$AE$27,0)))*C167</f>
        <v>0</v>
      </c>
      <c r="Z159" s="189">
        <f>(INDEX(($EL$139:$FI$142,$EL$146:$FI$149,$FL$139:$GI$142,$FL$146:$GI$149),MATCH($L$174,$EK$139:$EK$142,0),MATCH(A167,$EL$138:$FI$138,0),MATCH($G$163,$AE$24:$AE$27,0)))*C167</f>
        <v>0</v>
      </c>
      <c r="AA159" s="21">
        <f t="shared" si="210"/>
        <v>0</v>
      </c>
      <c r="AB159" s="21">
        <f t="shared" si="208"/>
        <v>0</v>
      </c>
      <c r="AC159" s="21"/>
      <c r="AD159" s="21"/>
      <c r="AE159" s="21"/>
      <c r="AF159" s="21"/>
      <c r="AG159" s="21"/>
      <c r="AH159" s="21"/>
      <c r="AI159" s="21"/>
      <c r="AJ159" s="21"/>
      <c r="AK159" s="21"/>
      <c r="AL159" s="21"/>
      <c r="AM159" s="21"/>
      <c r="AN159" s="21"/>
      <c r="AO159" s="21">
        <f t="shared" si="209"/>
        <v>1</v>
      </c>
      <c r="AP159" s="21"/>
      <c r="AQ159" s="21"/>
      <c r="AR159" s="21"/>
      <c r="AS159" s="21"/>
      <c r="AT159" s="21"/>
      <c r="AU159" s="21"/>
      <c r="AV159" s="21"/>
      <c r="AW159" s="21"/>
      <c r="AX159" s="21"/>
      <c r="AY159" s="21"/>
      <c r="AZ159" s="21"/>
      <c r="BA159" s="21"/>
      <c r="BB159" s="21"/>
      <c r="BC159" s="21"/>
      <c r="BD159" s="21"/>
      <c r="BE159" s="21"/>
      <c r="BF159" s="21"/>
      <c r="BG159" s="21"/>
      <c r="BH159" s="21"/>
      <c r="BI159" s="21"/>
      <c r="BJ159" s="21"/>
      <c r="BK159" s="21"/>
      <c r="BL159" s="21"/>
      <c r="BM159" s="21"/>
      <c r="BN159" s="21"/>
      <c r="BO159" s="21"/>
      <c r="BP159" s="21"/>
      <c r="BQ159" s="21"/>
      <c r="BR159" s="21"/>
      <c r="BS159" s="21"/>
      <c r="BT159" s="21"/>
      <c r="BU159" s="21"/>
      <c r="BV159" s="21"/>
      <c r="BW159" s="21"/>
      <c r="BX159" s="21"/>
      <c r="BY159" s="21"/>
      <c r="BZ159" s="21"/>
      <c r="CA159" s="21"/>
      <c r="CB159" s="21"/>
      <c r="CC159" s="21"/>
      <c r="CD159" s="21"/>
      <c r="CE159" s="21"/>
      <c r="CF159" s="21"/>
      <c r="CG159" s="21"/>
      <c r="CH159" s="21"/>
      <c r="CI159" s="21"/>
      <c r="CJ159" s="21"/>
      <c r="CK159" s="21"/>
      <c r="CL159" s="21"/>
      <c r="CM159" s="21"/>
      <c r="CN159" s="21"/>
      <c r="CO159" s="21"/>
      <c r="CP159" s="21"/>
      <c r="CQ159" s="21"/>
      <c r="CR159" s="21"/>
      <c r="CS159" s="21"/>
      <c r="CT159" s="21"/>
      <c r="CU159" s="21"/>
      <c r="CV159" s="21"/>
      <c r="CW159" s="21"/>
      <c r="CX159" s="21"/>
      <c r="CY159" s="21"/>
      <c r="CZ159" s="21"/>
      <c r="DA159" s="21"/>
      <c r="DB159" s="21"/>
      <c r="DC159" s="21"/>
      <c r="DD159" s="21"/>
      <c r="DE159" s="21"/>
      <c r="DF159" s="21"/>
      <c r="DG159" s="21"/>
      <c r="DH159" s="21"/>
      <c r="DI159" s="21"/>
      <c r="DJ159" s="21"/>
      <c r="DK159" s="21"/>
      <c r="DL159" s="21"/>
      <c r="DM159" s="21"/>
      <c r="DN159" s="21"/>
      <c r="DO159" s="21"/>
      <c r="DP159" s="21"/>
      <c r="DQ159" s="87"/>
      <c r="DR159" s="87">
        <v>48</v>
      </c>
      <c r="DS159" s="87"/>
      <c r="DT159" s="21"/>
      <c r="DU159" s="21"/>
      <c r="DV159" s="21"/>
      <c r="DW159" s="21"/>
      <c r="DX159" s="21"/>
      <c r="DY159" s="21"/>
      <c r="DZ159" s="21"/>
      <c r="EA159" s="21"/>
      <c r="EB159" s="21"/>
      <c r="EC159" s="21"/>
      <c r="ED159" s="21"/>
      <c r="EE159" s="21"/>
      <c r="EF159" s="21"/>
      <c r="EG159" s="21"/>
      <c r="EH159" s="21"/>
      <c r="EI159" s="21"/>
      <c r="EJ159" s="21"/>
      <c r="EK159" s="21"/>
      <c r="EL159" s="21"/>
      <c r="EM159" s="21"/>
      <c r="EN159" s="21"/>
      <c r="EO159" s="21"/>
      <c r="EP159" s="21"/>
      <c r="EQ159" s="21"/>
      <c r="ER159" s="21"/>
      <c r="ES159" s="21"/>
      <c r="ET159" s="21"/>
      <c r="EU159" s="21"/>
      <c r="EV159" s="21"/>
      <c r="EW159" s="21"/>
      <c r="EX159" s="21"/>
      <c r="EY159" s="21"/>
      <c r="EZ159" s="21"/>
      <c r="FA159" s="21"/>
      <c r="FB159" s="21"/>
      <c r="FC159" s="21"/>
      <c r="FD159" s="21"/>
      <c r="FE159" s="21"/>
      <c r="FF159" s="21"/>
      <c r="FG159" s="21"/>
      <c r="FH159" s="21"/>
      <c r="FI159" s="21"/>
      <c r="FJ159" s="21"/>
      <c r="FK159" s="21"/>
      <c r="FL159" s="21"/>
      <c r="FM159" s="21"/>
      <c r="FN159" s="21"/>
      <c r="FO159" s="21"/>
      <c r="FP159" s="21"/>
      <c r="FQ159" s="21"/>
      <c r="FR159" s="21"/>
      <c r="FS159" s="21"/>
      <c r="FT159" s="21"/>
      <c r="FU159" s="21"/>
      <c r="FV159" s="21"/>
      <c r="FW159" s="21"/>
      <c r="FX159" s="21"/>
      <c r="FY159" s="21"/>
      <c r="FZ159" s="21"/>
      <c r="GA159" s="21"/>
      <c r="GB159" s="21"/>
      <c r="GC159" s="21"/>
      <c r="GD159" s="21"/>
      <c r="GE159" s="21"/>
      <c r="GF159" s="21"/>
      <c r="GG159" s="21"/>
      <c r="GH159" s="21"/>
      <c r="GI159" s="21"/>
      <c r="GJ159" s="21"/>
      <c r="GK159" s="21"/>
      <c r="GL159" s="21"/>
      <c r="GM159" s="21"/>
      <c r="GN159" s="21"/>
      <c r="GO159" s="21"/>
      <c r="GP159" s="21"/>
      <c r="GQ159" s="21"/>
      <c r="GR159" s="21"/>
      <c r="GS159" s="21"/>
      <c r="GT159" s="21"/>
      <c r="GU159" s="21"/>
      <c r="GV159" s="21"/>
      <c r="GW159" s="21"/>
      <c r="GX159" s="21"/>
      <c r="GY159" s="21"/>
      <c r="GZ159" s="21"/>
      <c r="HA159" s="21"/>
      <c r="HB159" s="21"/>
      <c r="HC159" s="21"/>
      <c r="HD159" s="21"/>
      <c r="HE159" s="21"/>
      <c r="HF159" s="21"/>
      <c r="HG159" s="21"/>
      <c r="HH159" s="21"/>
    </row>
    <row r="160" spans="1:216" x14ac:dyDescent="0.25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24"/>
      <c r="N160" s="24"/>
      <c r="O160" s="24"/>
      <c r="P160" s="24"/>
      <c r="Q160" s="24"/>
      <c r="R160" s="24"/>
      <c r="S160" s="24"/>
      <c r="T160" s="34">
        <f>SUM(T131:T159)</f>
        <v>0</v>
      </c>
      <c r="U160" s="34">
        <f>SUM(U131:U159)</f>
        <v>0</v>
      </c>
      <c r="V160" s="25"/>
      <c r="W160" s="189">
        <f>(INDEX(($EL$139:$FI$142,$EL$146:$FI$149,$FL$139:$GI$142,$FL$146:$GI$149),MATCH($L$175,$EK$139:$EK$142,0),MATCH(A168,$EL$138:$FI$138,0),MATCH($G$163,$AE$24:$AE$27,0)))*C168</f>
        <v>0</v>
      </c>
      <c r="X160" s="189">
        <f>(INDEX(($EL$139:$FI$142,$EL$146:$FI$149,$FL$139:$GI$142,$FL$146:$GI$149),MATCH($L$172,$EK$139:$EK$142,0),MATCH(A168,$EL$138:$FI$138,0),MATCH($G$163,$AE$24:$AE$27,0)))*C168</f>
        <v>0</v>
      </c>
      <c r="Y160" s="189">
        <f>(INDEX(($EL$139:$FI$142,$EL$146:$FI$149,$FL$139:$GI$142,$FL$146:$GI$149),MATCH($L$173,$EK$139:$EK$142,0),MATCH(A168,$EL$138:$FI$138,0),MATCH($G$163,$AE$24:$AE$27,0)))*C168</f>
        <v>0</v>
      </c>
      <c r="Z160" s="189">
        <f>(INDEX(($EL$139:$FI$142,$EL$146:$FI$149,$FL$139:$GI$142,$FL$146:$GI$149),MATCH($L$174,$EK$139:$EK$142,0),MATCH(A168,$EL$138:$FI$138,0),MATCH($G$163,$AE$24:$AE$27,0)))*C168</f>
        <v>0</v>
      </c>
      <c r="AA160" s="21">
        <f t="shared" si="210"/>
        <v>0</v>
      </c>
      <c r="AB160" s="21">
        <f t="shared" si="208"/>
        <v>0</v>
      </c>
      <c r="AC160" s="21"/>
      <c r="AD160" s="21"/>
      <c r="AE160" s="21"/>
      <c r="AF160" s="21"/>
      <c r="AG160" s="21"/>
      <c r="AH160" s="21"/>
      <c r="AI160" s="21"/>
      <c r="AJ160" s="21"/>
      <c r="AK160" s="21"/>
      <c r="AL160" s="21"/>
      <c r="AM160" s="21"/>
      <c r="AN160" s="21"/>
      <c r="AO160" s="21">
        <f t="shared" si="209"/>
        <v>1</v>
      </c>
      <c r="AP160" s="21"/>
      <c r="AQ160" s="21"/>
      <c r="AR160" s="21"/>
      <c r="AS160" s="21"/>
      <c r="AT160" s="21"/>
      <c r="AU160" s="21"/>
      <c r="AV160" s="21"/>
      <c r="AW160" s="21"/>
      <c r="AX160" s="21"/>
      <c r="AY160" s="21"/>
      <c r="AZ160" s="21"/>
      <c r="BA160" s="21"/>
      <c r="BB160" s="21"/>
      <c r="BC160" s="21"/>
      <c r="BD160" s="21"/>
      <c r="BE160" s="21"/>
      <c r="BF160" s="21"/>
      <c r="BG160" s="21"/>
      <c r="BH160" s="21"/>
      <c r="BI160" s="21"/>
      <c r="BJ160" s="21"/>
      <c r="BK160" s="21"/>
      <c r="BL160" s="21"/>
      <c r="BM160" s="21"/>
      <c r="BN160" s="21"/>
      <c r="BO160" s="21"/>
      <c r="BP160" s="21"/>
      <c r="BQ160" s="21"/>
      <c r="BR160" s="21"/>
      <c r="BS160" s="21"/>
      <c r="BT160" s="21"/>
      <c r="BU160" s="21"/>
      <c r="BV160" s="21"/>
      <c r="BW160" s="21"/>
      <c r="BX160" s="21"/>
      <c r="BY160" s="21"/>
      <c r="BZ160" s="21"/>
      <c r="CA160" s="21"/>
      <c r="CB160" s="21"/>
      <c r="CC160" s="21"/>
      <c r="CD160" s="21"/>
      <c r="CE160" s="21"/>
      <c r="CF160" s="21"/>
      <c r="CG160" s="21"/>
      <c r="CH160" s="21"/>
      <c r="CI160" s="21"/>
      <c r="CJ160" s="21"/>
      <c r="CK160" s="21"/>
      <c r="CL160" s="21"/>
      <c r="CM160" s="21"/>
      <c r="CN160" s="21"/>
      <c r="CO160" s="21"/>
      <c r="CP160" s="21"/>
      <c r="CQ160" s="21"/>
      <c r="CR160" s="21"/>
      <c r="CS160" s="21"/>
      <c r="CT160" s="21"/>
      <c r="CU160" s="21"/>
      <c r="CV160" s="21"/>
      <c r="CW160" s="21"/>
      <c r="CX160" s="21"/>
      <c r="CY160" s="21"/>
      <c r="CZ160" s="21"/>
      <c r="DA160" s="21"/>
      <c r="DB160" s="21"/>
      <c r="DC160" s="21"/>
      <c r="DD160" s="21"/>
      <c r="DE160" s="21"/>
      <c r="DF160" s="21"/>
      <c r="DG160" s="21"/>
      <c r="DH160" s="21"/>
      <c r="DI160" s="21"/>
      <c r="DJ160" s="21"/>
      <c r="DK160" s="21"/>
      <c r="DL160" s="21"/>
      <c r="DM160" s="21"/>
      <c r="DN160" s="21"/>
      <c r="DO160" s="21"/>
      <c r="DP160" s="21"/>
      <c r="DQ160" s="87"/>
      <c r="DR160" s="87">
        <v>50</v>
      </c>
      <c r="DS160" s="87"/>
      <c r="DT160" s="21"/>
      <c r="DU160" s="21"/>
      <c r="DV160" s="21"/>
      <c r="DW160" s="21"/>
      <c r="DX160" s="21"/>
      <c r="DY160" s="21"/>
      <c r="DZ160" s="21"/>
      <c r="EA160" s="21"/>
      <c r="EB160" s="21"/>
      <c r="EC160" s="21"/>
      <c r="ED160" s="21"/>
      <c r="EE160" s="21"/>
      <c r="EF160" s="21"/>
      <c r="EG160" s="21"/>
      <c r="EH160" s="21"/>
      <c r="EI160" s="21"/>
      <c r="EJ160" s="21"/>
      <c r="EK160" s="21"/>
      <c r="EL160" s="21"/>
      <c r="EM160" s="21"/>
      <c r="EN160" s="21"/>
      <c r="EO160" s="21"/>
      <c r="EP160" s="21"/>
      <c r="EQ160" s="21"/>
      <c r="ER160" s="21"/>
      <c r="ES160" s="21"/>
      <c r="ET160" s="21"/>
      <c r="EU160" s="21"/>
      <c r="EV160" s="21"/>
      <c r="EW160" s="21"/>
      <c r="EX160" s="21"/>
      <c r="EY160" s="21"/>
      <c r="EZ160" s="21"/>
      <c r="FA160" s="21"/>
      <c r="FB160" s="21"/>
      <c r="FC160" s="21"/>
      <c r="FD160" s="21"/>
      <c r="FE160" s="21"/>
      <c r="FF160" s="21"/>
      <c r="FG160" s="21"/>
      <c r="FH160" s="21"/>
      <c r="FI160" s="21"/>
      <c r="FJ160" s="21"/>
      <c r="FK160" s="21"/>
      <c r="FL160" s="21"/>
      <c r="FM160" s="21"/>
      <c r="FN160" s="21"/>
      <c r="FO160" s="21"/>
      <c r="FP160" s="21"/>
      <c r="FQ160" s="21"/>
      <c r="FR160" s="21"/>
      <c r="FS160" s="21"/>
      <c r="FT160" s="21"/>
      <c r="FU160" s="21"/>
      <c r="FV160" s="21"/>
      <c r="FW160" s="21"/>
      <c r="FX160" s="21"/>
      <c r="FY160" s="21"/>
      <c r="FZ160" s="21"/>
      <c r="GA160" s="21"/>
      <c r="GB160" s="21"/>
      <c r="GC160" s="21"/>
      <c r="GD160" s="21"/>
      <c r="GE160" s="21"/>
      <c r="GF160" s="21"/>
      <c r="GG160" s="21"/>
      <c r="GH160" s="21"/>
      <c r="GI160" s="21"/>
      <c r="GJ160" s="21"/>
      <c r="GK160" s="21"/>
      <c r="GL160" s="21"/>
      <c r="GM160" s="21"/>
      <c r="GN160" s="21"/>
      <c r="GO160" s="21"/>
      <c r="GP160" s="21"/>
      <c r="GQ160" s="21"/>
      <c r="GR160" s="21"/>
      <c r="GS160" s="21"/>
      <c r="GT160" s="21"/>
      <c r="GU160" s="21"/>
      <c r="GV160" s="21"/>
      <c r="GW160" s="21"/>
      <c r="GX160" s="21"/>
      <c r="GY160" s="21"/>
      <c r="GZ160" s="21"/>
      <c r="HA160" s="21"/>
      <c r="HB160" s="21"/>
      <c r="HC160" s="21"/>
      <c r="HD160" s="21"/>
      <c r="HE160" s="21"/>
      <c r="HF160" s="21"/>
      <c r="HG160" s="21"/>
      <c r="HH160" s="21"/>
    </row>
    <row r="161" spans="1:216" ht="51.75" x14ac:dyDescent="0.25">
      <c r="A161" s="3" t="s">
        <v>443</v>
      </c>
      <c r="B161" s="3"/>
      <c r="C161" s="3" t="s">
        <v>444</v>
      </c>
      <c r="D161" s="9"/>
      <c r="E161" s="9"/>
      <c r="F161" s="9"/>
      <c r="G161" s="9"/>
      <c r="H161" s="9"/>
      <c r="I161" s="9"/>
      <c r="J161" s="9"/>
      <c r="K161" s="9"/>
      <c r="L161" s="360" t="str">
        <f>IF(E165="wbijana","KONSTRUKCJA W-V2G1-25°/30°",IF(E165="betonowana","KONSTRUKCJA W-V2B1-25°/30°",IF(E165="kotwiona","KONSTRUKCJA W-V2K1-25°/30°",IF(E165="wkręcana","KONSTRUKCJA W-V2S1-25°/30°"))))</f>
        <v>KONSTRUKCJA W-V2G1-25°/30°</v>
      </c>
      <c r="M161" s="360"/>
      <c r="N161" s="360"/>
      <c r="O161" s="360"/>
      <c r="P161" s="360"/>
      <c r="Q161" s="360"/>
      <c r="R161" s="360"/>
      <c r="S161" s="360"/>
      <c r="T161" s="360"/>
      <c r="U161" s="360"/>
      <c r="V161" s="25"/>
      <c r="W161" s="189">
        <f>(INDEX(($EL$139:$FI$142,$EL$146:$FI$149,$FL$139:$GI$142,$FL$146:$GI$149),MATCH($L$175,$EK$139:$EK$142,0),MATCH(A169,$EL$138:$FI$138,0),MATCH($G$163,$AE$24:$AE$27,0)))*C169</f>
        <v>0</v>
      </c>
      <c r="X161" s="189">
        <f>(INDEX(($EL$139:$FI$142,$EL$146:$FI$149,$FL$139:$GI$142,$FL$146:$GI$149),MATCH($L$172,$EK$139:$EK$142,0),MATCH(A169,$EL$138:$FI$138,0),MATCH($G$163,$AE$24:$AE$27,0)))*C169</f>
        <v>0</v>
      </c>
      <c r="Y161" s="189">
        <f>(INDEX(($EL$139:$FI$142,$EL$146:$FI$149,$FL$139:$GI$142,$FL$146:$GI$149),MATCH($L$173,$EK$139:$EK$142,0),MATCH(A169,$EL$138:$FI$138,0),MATCH($G$163,$AE$24:$AE$27,0)))*C169</f>
        <v>0</v>
      </c>
      <c r="Z161" s="189">
        <f>(INDEX(($EL$139:$FI$142,$EL$146:$FI$149,$FL$139:$GI$142,$FL$146:$GI$149),MATCH($L$174,$EK$139:$EK$142,0),MATCH(A169,$EL$138:$FI$138,0),MATCH($G$163,$AE$24:$AE$27,0)))*C169</f>
        <v>0</v>
      </c>
      <c r="AA161" s="21">
        <f t="shared" si="210"/>
        <v>0</v>
      </c>
      <c r="AB161" s="21">
        <f t="shared" si="208"/>
        <v>0</v>
      </c>
      <c r="AC161" s="21"/>
      <c r="AD161" s="21"/>
      <c r="AE161" s="21"/>
      <c r="AF161" s="21"/>
      <c r="AG161" s="21"/>
      <c r="AH161" s="21"/>
      <c r="AI161" s="21"/>
      <c r="AJ161" s="21"/>
      <c r="AK161" s="21"/>
      <c r="AL161" s="21"/>
      <c r="AM161" s="21"/>
      <c r="AN161" s="21"/>
      <c r="AO161" s="21">
        <f t="shared" si="209"/>
        <v>1</v>
      </c>
      <c r="AP161" s="21"/>
      <c r="AQ161" s="21"/>
      <c r="AR161" s="21"/>
      <c r="AS161" s="21"/>
      <c r="AT161" s="21"/>
      <c r="AU161" s="21"/>
      <c r="AV161" s="21"/>
      <c r="AW161" s="21"/>
      <c r="AX161" s="21"/>
      <c r="AY161" s="21"/>
      <c r="AZ161" s="21"/>
      <c r="BA161" s="21"/>
      <c r="BB161" s="21"/>
      <c r="BC161" s="21"/>
      <c r="BD161" s="21"/>
      <c r="BE161" s="21"/>
      <c r="BF161" s="21"/>
      <c r="BG161" s="21"/>
      <c r="BH161" s="21"/>
      <c r="BI161" s="21"/>
      <c r="BJ161" s="21"/>
      <c r="BK161" s="21"/>
      <c r="BL161" s="21"/>
      <c r="BM161" s="21"/>
      <c r="BN161" s="21"/>
      <c r="BO161" s="21"/>
      <c r="BP161" s="21"/>
      <c r="BQ161" s="21"/>
      <c r="BR161" s="21"/>
      <c r="BS161" s="21"/>
      <c r="BT161" s="21"/>
      <c r="BU161" s="21"/>
      <c r="BV161" s="21"/>
      <c r="BW161" s="21"/>
      <c r="BX161" s="21"/>
      <c r="BY161" s="21"/>
      <c r="BZ161" s="21"/>
      <c r="CA161" s="21"/>
      <c r="CB161" s="21"/>
      <c r="CC161" s="21"/>
      <c r="CD161" s="21"/>
      <c r="CE161" s="21"/>
      <c r="CF161" s="21"/>
      <c r="CG161" s="21"/>
      <c r="CH161" s="21"/>
      <c r="CI161" s="21"/>
      <c r="CJ161" s="21"/>
      <c r="CK161" s="21"/>
      <c r="CL161" s="21"/>
      <c r="CM161" s="21"/>
      <c r="CN161" s="21"/>
      <c r="CO161" s="21"/>
      <c r="CP161" s="21"/>
      <c r="CQ161" s="21"/>
      <c r="CR161" s="21"/>
      <c r="CS161" s="21"/>
      <c r="CT161" s="21"/>
      <c r="CU161" s="21"/>
      <c r="CV161" s="21"/>
      <c r="CW161" s="21"/>
      <c r="CX161" s="21"/>
      <c r="CY161" s="21"/>
      <c r="CZ161" s="21"/>
      <c r="DA161" s="21"/>
      <c r="DB161" s="21"/>
      <c r="DC161" s="21"/>
      <c r="DD161" s="21"/>
      <c r="DE161" s="21"/>
      <c r="DF161" s="21"/>
      <c r="DG161" s="21"/>
      <c r="DH161" s="21"/>
      <c r="DI161" s="21"/>
      <c r="DJ161" s="21"/>
      <c r="DK161" s="21"/>
      <c r="DL161" s="21"/>
      <c r="DM161" s="21"/>
      <c r="DN161" s="21"/>
      <c r="DO161" s="21"/>
      <c r="DP161" s="21"/>
      <c r="DQ161" s="87"/>
      <c r="DR161" s="87"/>
      <c r="DS161" s="87"/>
      <c r="DT161" s="21"/>
      <c r="DU161" s="21"/>
      <c r="DV161" s="21"/>
      <c r="DW161" s="21"/>
      <c r="DX161" s="21"/>
      <c r="DY161" s="21"/>
      <c r="DZ161" s="21"/>
      <c r="EA161" s="21"/>
      <c r="EB161" s="21"/>
      <c r="EC161" s="21"/>
      <c r="ED161" s="21"/>
      <c r="EE161" s="21"/>
      <c r="EF161" s="21"/>
      <c r="EG161" s="21"/>
      <c r="EH161" s="21"/>
      <c r="EI161" s="21"/>
      <c r="EJ161" s="21"/>
      <c r="EK161" s="21"/>
      <c r="EL161" s="21"/>
      <c r="EM161" s="21"/>
      <c r="EN161" s="21"/>
      <c r="EO161" s="21"/>
      <c r="EP161" s="21"/>
      <c r="EQ161" s="21"/>
      <c r="ER161" s="21"/>
      <c r="ES161" s="21"/>
      <c r="ET161" s="21"/>
      <c r="EU161" s="21"/>
      <c r="EV161" s="21"/>
      <c r="EW161" s="21"/>
      <c r="EX161" s="21"/>
      <c r="EY161" s="21"/>
      <c r="EZ161" s="21"/>
      <c r="FA161" s="21"/>
      <c r="FB161" s="21"/>
      <c r="FC161" s="21"/>
      <c r="FD161" s="21"/>
      <c r="FE161" s="21"/>
      <c r="FF161" s="21"/>
      <c r="FG161" s="21"/>
      <c r="FH161" s="21"/>
      <c r="FI161" s="21"/>
      <c r="FJ161" s="21"/>
      <c r="FK161" s="21"/>
      <c r="FL161" s="21"/>
      <c r="FM161" s="21"/>
      <c r="FN161" s="21"/>
      <c r="FO161" s="21"/>
      <c r="FP161" s="21"/>
      <c r="FQ161" s="21"/>
      <c r="FR161" s="21"/>
      <c r="FS161" s="21"/>
      <c r="FT161" s="21"/>
      <c r="FU161" s="21"/>
      <c r="FV161" s="21"/>
      <c r="FW161" s="21"/>
      <c r="FX161" s="21"/>
      <c r="FY161" s="21"/>
      <c r="FZ161" s="21"/>
      <c r="GA161" s="21"/>
      <c r="GB161" s="21"/>
      <c r="GC161" s="21"/>
      <c r="GD161" s="21"/>
      <c r="GE161" s="21"/>
      <c r="GF161" s="21"/>
      <c r="GG161" s="21"/>
      <c r="GH161" s="21"/>
      <c r="GI161" s="21"/>
      <c r="GJ161" s="21"/>
      <c r="GK161" s="21"/>
      <c r="GL161" s="21"/>
      <c r="GM161" s="21"/>
      <c r="GN161" s="21"/>
      <c r="GO161" s="21"/>
      <c r="GP161" s="21"/>
      <c r="GQ161" s="21"/>
      <c r="GR161" s="21"/>
      <c r="GS161" s="21"/>
      <c r="GT161" s="21"/>
      <c r="GU161" s="21"/>
      <c r="GV161" s="21"/>
      <c r="GW161" s="21"/>
      <c r="GX161" s="21"/>
      <c r="GY161" s="21"/>
      <c r="GZ161" s="21"/>
      <c r="HA161" s="21"/>
      <c r="HB161" s="21"/>
      <c r="HC161" s="21"/>
      <c r="HD161" s="21"/>
      <c r="HE161" s="21"/>
      <c r="HF161" s="21"/>
      <c r="HG161" s="21"/>
      <c r="HH161" s="21"/>
    </row>
    <row r="162" spans="1:216" x14ac:dyDescent="0.25">
      <c r="A162" s="8"/>
      <c r="B162" s="5" t="s">
        <v>116</v>
      </c>
      <c r="C162" s="8"/>
      <c r="D162" s="9"/>
      <c r="E162" s="1"/>
      <c r="F162" s="9"/>
      <c r="G162" s="9"/>
      <c r="H162" s="9"/>
      <c r="I162" s="9"/>
      <c r="J162" s="9"/>
      <c r="K162" s="9"/>
      <c r="L162" s="5" t="s">
        <v>103</v>
      </c>
      <c r="M162" s="5" t="s">
        <v>104</v>
      </c>
      <c r="N162" s="5" t="s">
        <v>107</v>
      </c>
      <c r="O162" s="5" t="s">
        <v>290</v>
      </c>
      <c r="P162" s="5" t="s">
        <v>446</v>
      </c>
      <c r="Q162" s="5" t="s">
        <v>448</v>
      </c>
      <c r="R162" s="5" t="s">
        <v>409</v>
      </c>
      <c r="S162" s="5" t="s">
        <v>447</v>
      </c>
      <c r="T162" s="5" t="s">
        <v>449</v>
      </c>
      <c r="U162" s="5" t="s">
        <v>106</v>
      </c>
      <c r="V162" s="21"/>
      <c r="W162" s="189">
        <f>(INDEX(($EL$139:$FI$142,$EL$146:$FI$149,$FL$139:$GI$142,$FL$146:$GI$149),MATCH($L$175,$EK$139:$EK$142,0),MATCH(A170,$EL$138:$FI$138,0),MATCH($G$163,$AE$24:$AE$27,0)))*C170</f>
        <v>0</v>
      </c>
      <c r="X162" s="189">
        <f>(INDEX(($EL$139:$FI$142,$EL$146:$FI$149,$FL$139:$GI$142,$FL$146:$GI$149),MATCH($L$172,$EK$139:$EK$142,0),MATCH(A170,$EL$138:$FI$138,0),MATCH($G$163,$AE$24:$AE$27,0)))*C170</f>
        <v>0</v>
      </c>
      <c r="Y162" s="189">
        <f>(INDEX(($EL$139:$FI$142,$EL$146:$FI$149,$FL$139:$GI$142,$FL$146:$GI$149),MATCH($L$173,$EK$139:$EK$142,0),MATCH(A170,$EL$138:$FI$138,0),MATCH($G$163,$AE$24:$AE$27,0)))*C170</f>
        <v>0</v>
      </c>
      <c r="Z162" s="189">
        <f>(INDEX(($EL$139:$FI$142,$EL$146:$FI$149,$FL$139:$GI$142,$FL$146:$GI$149),MATCH($L$174,$EK$139:$EK$142,0),MATCH(A170,$EL$138:$FI$138,0),MATCH($G$163,$AE$24:$AE$27,0)))*C170</f>
        <v>0</v>
      </c>
      <c r="AA162" s="21">
        <f t="shared" si="210"/>
        <v>0</v>
      </c>
      <c r="AB162" s="21">
        <f t="shared" si="208"/>
        <v>0</v>
      </c>
      <c r="AC162" s="21"/>
      <c r="AD162" s="21"/>
      <c r="AE162" s="21"/>
      <c r="AF162" s="21"/>
      <c r="AG162" s="21"/>
      <c r="AH162" s="21"/>
      <c r="AI162" s="21"/>
      <c r="AJ162" s="21"/>
      <c r="AK162" s="21"/>
      <c r="AL162" s="21"/>
      <c r="AM162" s="21"/>
      <c r="AN162" s="21"/>
      <c r="AO162" s="21">
        <f t="shared" si="209"/>
        <v>1</v>
      </c>
      <c r="AP162" s="21"/>
      <c r="AQ162" s="21"/>
      <c r="AR162" s="21"/>
      <c r="AS162" s="21"/>
      <c r="AT162" s="21"/>
      <c r="AU162" s="21"/>
      <c r="AV162" s="21"/>
      <c r="AW162" s="21"/>
      <c r="AX162" s="21"/>
      <c r="AY162" s="21"/>
      <c r="AZ162" s="21"/>
      <c r="BA162" s="21"/>
      <c r="BB162" s="21"/>
      <c r="BC162" s="21"/>
      <c r="BD162" s="21"/>
      <c r="BE162" s="21"/>
      <c r="BF162" s="21"/>
      <c r="BG162" s="21"/>
      <c r="BH162" s="21"/>
      <c r="BI162" s="21"/>
      <c r="BJ162" s="21"/>
      <c r="BK162" s="21"/>
      <c r="BL162" s="21"/>
      <c r="BM162" s="21"/>
      <c r="BN162" s="21"/>
      <c r="BO162" s="21"/>
      <c r="BP162" s="21"/>
      <c r="BQ162" s="21"/>
      <c r="BR162" s="21"/>
      <c r="BS162" s="21"/>
      <c r="BT162" s="21"/>
      <c r="BU162" s="21"/>
      <c r="BV162" s="21"/>
      <c r="BW162" s="21"/>
      <c r="BX162" s="21"/>
      <c r="BY162" s="21"/>
      <c r="BZ162" s="21"/>
      <c r="CA162" s="21"/>
      <c r="CB162" s="21"/>
      <c r="CC162" s="21"/>
      <c r="CD162" s="21"/>
      <c r="CE162" s="21"/>
      <c r="CF162" s="21"/>
      <c r="CG162" s="21"/>
      <c r="CH162" s="21"/>
      <c r="CI162" s="21"/>
      <c r="CJ162" s="21"/>
      <c r="CK162" s="21"/>
      <c r="CL162" s="21"/>
      <c r="CM162" s="21"/>
      <c r="CN162" s="21"/>
      <c r="CO162" s="21"/>
      <c r="CP162" s="21"/>
      <c r="CQ162" s="21"/>
      <c r="CR162" s="21"/>
      <c r="CS162" s="21"/>
      <c r="CT162" s="21"/>
      <c r="CU162" s="21"/>
      <c r="CV162" s="21"/>
      <c r="CW162" s="21"/>
      <c r="CX162" s="21"/>
      <c r="CY162" s="21"/>
      <c r="CZ162" s="21"/>
      <c r="DA162" s="21"/>
      <c r="DB162" s="21"/>
      <c r="DC162" s="21"/>
      <c r="DD162" s="21"/>
      <c r="DE162" s="21"/>
      <c r="DF162" s="21"/>
      <c r="DG162" s="21"/>
      <c r="DH162" s="21"/>
      <c r="DI162" s="21"/>
      <c r="DJ162" s="21"/>
      <c r="DK162" s="21"/>
      <c r="DL162" s="21"/>
      <c r="DM162" s="21"/>
      <c r="DN162" s="21"/>
      <c r="DO162" s="21"/>
      <c r="DP162" s="21"/>
      <c r="DQ162" s="87"/>
      <c r="DR162" s="87"/>
      <c r="DS162" s="87"/>
      <c r="DT162" s="21"/>
      <c r="DU162" s="21"/>
      <c r="DV162" s="21"/>
      <c r="DW162" s="21"/>
      <c r="DX162" s="21"/>
      <c r="DY162" s="21"/>
      <c r="DZ162" s="21"/>
      <c r="EA162" s="21"/>
      <c r="EB162" s="21"/>
      <c r="EC162" s="21"/>
      <c r="ED162" s="21"/>
      <c r="EE162" s="21"/>
      <c r="EF162" s="21"/>
      <c r="EG162" s="21"/>
      <c r="EH162" s="21"/>
      <c r="EI162" s="21"/>
      <c r="EJ162" s="21"/>
      <c r="EK162" s="21"/>
      <c r="EL162" s="21"/>
      <c r="EM162" s="21"/>
      <c r="EN162" s="21"/>
      <c r="EO162" s="21"/>
      <c r="EP162" s="21"/>
      <c r="EQ162" s="21"/>
      <c r="ER162" s="21"/>
      <c r="ES162" s="21"/>
      <c r="ET162" s="21"/>
      <c r="EU162" s="21"/>
      <c r="EV162" s="21"/>
      <c r="EW162" s="21"/>
      <c r="EX162" s="21"/>
      <c r="EY162" s="21"/>
      <c r="EZ162" s="21"/>
      <c r="FA162" s="21"/>
      <c r="FB162" s="21"/>
      <c r="FC162" s="21"/>
      <c r="FD162" s="21"/>
      <c r="FE162" s="21"/>
      <c r="FF162" s="21"/>
      <c r="FG162" s="21"/>
      <c r="FH162" s="21"/>
      <c r="FI162" s="21"/>
      <c r="FJ162" s="21"/>
      <c r="FK162" s="21"/>
      <c r="FL162" s="21"/>
      <c r="FM162" s="21"/>
      <c r="FN162" s="21"/>
      <c r="FO162" s="21"/>
      <c r="FP162" s="21"/>
      <c r="FQ162" s="21"/>
      <c r="FR162" s="21"/>
      <c r="FS162" s="21"/>
      <c r="FT162" s="21"/>
      <c r="FU162" s="21"/>
      <c r="FV162" s="21"/>
      <c r="FW162" s="21"/>
      <c r="FX162" s="21"/>
      <c r="FY162" s="21"/>
      <c r="FZ162" s="21"/>
      <c r="GA162" s="21"/>
      <c r="GB162" s="21"/>
      <c r="GC162" s="21"/>
      <c r="GD162" s="21"/>
      <c r="GE162" s="21"/>
      <c r="GF162" s="21"/>
      <c r="GG162" s="21"/>
      <c r="GH162" s="21"/>
      <c r="GI162" s="21"/>
      <c r="GJ162" s="21"/>
      <c r="GK162" s="21"/>
      <c r="GL162" s="21"/>
      <c r="GM162" s="21"/>
      <c r="GN162" s="21"/>
      <c r="GO162" s="21"/>
      <c r="GP162" s="21"/>
      <c r="GQ162" s="21"/>
      <c r="GR162" s="21"/>
      <c r="GS162" s="21"/>
      <c r="GT162" s="21"/>
      <c r="GU162" s="21"/>
      <c r="GV162" s="21"/>
      <c r="GW162" s="21"/>
      <c r="GX162" s="21"/>
      <c r="GY162" s="21"/>
      <c r="GZ162" s="21"/>
      <c r="HA162" s="21"/>
      <c r="HB162" s="21"/>
      <c r="HC162" s="21"/>
      <c r="HD162" s="21"/>
      <c r="HE162" s="21"/>
      <c r="HF162" s="21"/>
      <c r="HG162" s="21"/>
      <c r="HH162" s="21"/>
    </row>
    <row r="163" spans="1:216" x14ac:dyDescent="0.25">
      <c r="A163" s="8"/>
      <c r="B163" s="5" t="s">
        <v>116</v>
      </c>
      <c r="C163" s="8"/>
      <c r="D163" s="6" t="s">
        <v>118</v>
      </c>
      <c r="E163" s="8" t="s">
        <v>132</v>
      </c>
      <c r="F163" s="5" t="s">
        <v>116</v>
      </c>
      <c r="G163" s="8" t="s">
        <v>115</v>
      </c>
      <c r="H163" s="5" t="s">
        <v>116</v>
      </c>
      <c r="I163" s="8">
        <v>35</v>
      </c>
      <c r="J163" s="5" t="s">
        <v>119</v>
      </c>
      <c r="K163" s="9"/>
      <c r="L163" s="7" t="str">
        <f>IF(E165=$AC$5,"-------",IF(E165=$AC$6,"-------",IF(E165=$AC$7,"-------",IF(E165=$AC$8,IF(E174=$DS$10,"GSW76X1600N",IF(E174=$DS$11,"GSW76X2200N","")),0))))</f>
        <v>-------</v>
      </c>
      <c r="M163" s="11" t="str">
        <f>INDEX(cennik!$C$2:$L$529,MATCH($L163,cennik!$B$2:$B$522,0),MATCH(M$2,cennik!$C$1:$L$1,0))</f>
        <v>-------</v>
      </c>
      <c r="N163" s="11">
        <f>INDEX(cennik!$C$2:$L$529,MATCH($L163,cennik!$B$2:$B$522,0),MATCH(N$2,cennik!$C$1:$L$1,0))</f>
        <v>0</v>
      </c>
      <c r="O163" s="11">
        <f>IF(L163="-------",0,O165)</f>
        <v>0</v>
      </c>
      <c r="P163" s="34">
        <f>INDEX(cennik!$C$2:$L$529,MATCH($L163,cennik!$B$2:$B$522,0),MATCH(P$2,cennik!$C$1:$L$1,0))</f>
        <v>0</v>
      </c>
      <c r="Q163" s="34">
        <f>O163*P163</f>
        <v>0</v>
      </c>
      <c r="R163" s="35">
        <f t="shared" ref="R163:R186" si="211">$E$167</f>
        <v>0</v>
      </c>
      <c r="S163" s="34">
        <f t="shared" ref="S163:S186" si="212">P163*((100-$E$167)/100)</f>
        <v>0</v>
      </c>
      <c r="T163" s="34">
        <f>O163*S163</f>
        <v>0</v>
      </c>
      <c r="U163" s="34">
        <f>INDEX(cennik!$C$2:$L$529,MATCH($L163,cennik!$B$2:$B$522,0),MATCH(U$2,cennik!$C$1:$L$1,0))*O163</f>
        <v>0</v>
      </c>
      <c r="V163" s="21"/>
      <c r="W163" s="189">
        <f>(INDEX(($EL$139:$FI$142,$EL$146:$FI$149,$FL$139:$GI$142,$FL$146:$GI$149),MATCH($L$175,$EK$139:$EK$142,0),MATCH(A171,$EL$138:$FI$138,0),MATCH($G$163,$AE$24:$AE$27,0)))*C171</f>
        <v>0</v>
      </c>
      <c r="X163" s="189">
        <f>(INDEX(($EL$139:$FI$142,$EL$146:$FI$149,$FL$139:$GI$142,$FL$146:$GI$149),MATCH($L$172,$EK$139:$EK$142,0),MATCH(A171,$EL$138:$FI$138,0),MATCH($G$163,$AE$24:$AE$27,0)))*C171</f>
        <v>0</v>
      </c>
      <c r="Y163" s="189">
        <f>(INDEX(($EL$139:$FI$142,$EL$146:$FI$149,$FL$139:$GI$142,$FL$146:$GI$149),MATCH($L$173,$EK$139:$EK$142,0),MATCH(A171,$EL$138:$FI$138,0),MATCH($G$163,$AE$24:$AE$27,0)))*C171</f>
        <v>0</v>
      </c>
      <c r="Z163" s="189">
        <f>(INDEX(($EL$139:$FI$142,$EL$146:$FI$149,$FL$139:$GI$142,$FL$146:$GI$149),MATCH($L$174,$EK$139:$EK$142,0),MATCH(A171,$EL$138:$FI$138,0),MATCH($G$163,$AE$24:$AE$27,0)))*C171</f>
        <v>0</v>
      </c>
      <c r="AA163" s="21">
        <f t="shared" si="210"/>
        <v>0</v>
      </c>
      <c r="AB163" s="21">
        <f t="shared" si="208"/>
        <v>0</v>
      </c>
      <c r="AC163" s="21"/>
      <c r="AD163" s="21"/>
      <c r="AE163" s="21"/>
      <c r="AF163" s="21"/>
      <c r="AG163" s="21"/>
      <c r="AH163" s="21"/>
      <c r="AI163" s="21"/>
      <c r="AJ163" s="21"/>
      <c r="AK163" s="21"/>
      <c r="AL163" s="21"/>
      <c r="AM163" s="21"/>
      <c r="AN163" s="21"/>
      <c r="AO163" s="21">
        <f t="shared" si="209"/>
        <v>1</v>
      </c>
      <c r="AP163" s="21"/>
      <c r="AQ163" s="21"/>
      <c r="AR163" s="21"/>
      <c r="AS163" s="21"/>
      <c r="AT163" s="21"/>
      <c r="AU163" s="21"/>
      <c r="AV163" s="21"/>
      <c r="AW163" s="21"/>
      <c r="AX163" s="21"/>
      <c r="AY163" s="21"/>
      <c r="AZ163" s="21"/>
      <c r="BA163" s="21"/>
      <c r="BB163" s="21"/>
      <c r="BC163" s="21"/>
      <c r="BD163" s="21"/>
      <c r="BE163" s="21"/>
      <c r="BF163" s="21"/>
      <c r="BG163" s="21"/>
      <c r="BH163" s="21"/>
      <c r="BI163" s="21"/>
      <c r="BJ163" s="21"/>
      <c r="BK163" s="21"/>
      <c r="BL163" s="21"/>
      <c r="BM163" s="21"/>
      <c r="BN163" s="21"/>
      <c r="BO163" s="21"/>
      <c r="BP163" s="21"/>
      <c r="BQ163" s="21"/>
      <c r="BR163" s="21"/>
      <c r="BS163" s="21"/>
      <c r="BT163" s="21"/>
      <c r="BU163" s="21"/>
      <c r="BV163" s="21"/>
      <c r="BW163" s="21"/>
      <c r="BX163" s="21"/>
      <c r="BY163" s="21"/>
      <c r="BZ163" s="21"/>
      <c r="CA163" s="21"/>
      <c r="CB163" s="21"/>
      <c r="CC163" s="21"/>
      <c r="CD163" s="21"/>
      <c r="CE163" s="21"/>
      <c r="CF163" s="21"/>
      <c r="CG163" s="21"/>
      <c r="CH163" s="21"/>
      <c r="CI163" s="21"/>
      <c r="CJ163" s="21"/>
      <c r="CK163" s="21"/>
      <c r="CL163" s="21"/>
      <c r="CM163" s="21"/>
      <c r="CN163" s="21"/>
      <c r="CO163" s="21"/>
      <c r="CP163" s="21"/>
      <c r="CQ163" s="21"/>
      <c r="CR163" s="21"/>
      <c r="CS163" s="21"/>
      <c r="CT163" s="21"/>
      <c r="CU163" s="21"/>
      <c r="CV163" s="21"/>
      <c r="CW163" s="21"/>
      <c r="CX163" s="21"/>
      <c r="CY163" s="21"/>
      <c r="CZ163" s="21"/>
      <c r="DA163" s="21"/>
      <c r="DB163" s="21"/>
      <c r="DC163" s="21"/>
      <c r="DD163" s="21"/>
      <c r="DE163" s="21"/>
      <c r="DF163" s="21"/>
      <c r="DG163" s="21"/>
      <c r="DH163" s="21"/>
      <c r="DI163" s="21"/>
      <c r="DJ163" s="21"/>
      <c r="DK163" s="21"/>
      <c r="DL163" s="21"/>
      <c r="DM163" s="21"/>
      <c r="DN163" s="21"/>
      <c r="DO163" s="21"/>
      <c r="DP163" s="21"/>
      <c r="DQ163" s="87"/>
      <c r="DR163" s="87"/>
      <c r="DS163" s="87"/>
      <c r="DT163" s="21"/>
      <c r="DU163" s="21"/>
      <c r="DV163" s="21"/>
      <c r="DW163" s="21"/>
      <c r="DX163" s="21"/>
      <c r="DY163" s="21"/>
      <c r="DZ163" s="21"/>
      <c r="EA163" s="21"/>
      <c r="EB163" s="21"/>
      <c r="EC163" s="21"/>
      <c r="ED163" s="21"/>
      <c r="EE163" s="21"/>
      <c r="EF163" s="21"/>
      <c r="EG163" s="21"/>
      <c r="EH163" s="21"/>
      <c r="EI163" s="21"/>
      <c r="EJ163" s="21"/>
      <c r="EK163" s="21"/>
      <c r="EL163" s="21"/>
      <c r="EM163" s="21"/>
      <c r="EN163" s="21"/>
      <c r="EO163" s="21"/>
      <c r="EP163" s="21"/>
      <c r="EQ163" s="21"/>
      <c r="ER163" s="21"/>
      <c r="ES163" s="21"/>
      <c r="ET163" s="21"/>
      <c r="EU163" s="21"/>
      <c r="EV163" s="21"/>
      <c r="EW163" s="21"/>
      <c r="EX163" s="21"/>
      <c r="EY163" s="21"/>
      <c r="EZ163" s="21"/>
      <c r="FA163" s="21"/>
      <c r="FB163" s="21"/>
      <c r="FC163" s="21"/>
      <c r="FD163" s="21"/>
      <c r="FE163" s="21"/>
      <c r="FF163" s="21"/>
      <c r="FG163" s="21"/>
      <c r="FH163" s="21"/>
      <c r="FI163" s="21"/>
      <c r="FJ163" s="21"/>
      <c r="FK163" s="21"/>
      <c r="FL163" s="21"/>
      <c r="FM163" s="21"/>
      <c r="FN163" s="21"/>
      <c r="FO163" s="21"/>
      <c r="FP163" s="21"/>
      <c r="FQ163" s="21"/>
      <c r="FR163" s="21"/>
      <c r="FS163" s="21"/>
      <c r="FT163" s="21"/>
      <c r="FU163" s="21"/>
      <c r="FV163" s="21"/>
      <c r="FW163" s="21"/>
      <c r="FX163" s="21"/>
      <c r="FY163" s="21"/>
      <c r="FZ163" s="21"/>
      <c r="GA163" s="21"/>
      <c r="GB163" s="21"/>
      <c r="GC163" s="21"/>
      <c r="GD163" s="21"/>
      <c r="GE163" s="21"/>
      <c r="GF163" s="21"/>
      <c r="GG163" s="21"/>
      <c r="GH163" s="21"/>
      <c r="GI163" s="21"/>
      <c r="GJ163" s="21"/>
      <c r="GK163" s="21"/>
      <c r="GL163" s="21"/>
      <c r="GM163" s="21"/>
      <c r="GN163" s="21"/>
      <c r="GO163" s="21"/>
      <c r="GP163" s="21"/>
      <c r="GQ163" s="21"/>
      <c r="GR163" s="21"/>
      <c r="GS163" s="21"/>
      <c r="GT163" s="21"/>
      <c r="GU163" s="21"/>
      <c r="GV163" s="21"/>
      <c r="GW163" s="21"/>
      <c r="GX163" s="21"/>
      <c r="GY163" s="21"/>
      <c r="GZ163" s="21"/>
      <c r="HA163" s="21"/>
      <c r="HB163" s="21"/>
      <c r="HC163" s="21"/>
      <c r="HD163" s="21"/>
      <c r="HE163" s="21"/>
      <c r="HF163" s="21"/>
      <c r="HG163" s="21"/>
      <c r="HH163" s="21"/>
    </row>
    <row r="164" spans="1:216" x14ac:dyDescent="0.25">
      <c r="A164" s="8"/>
      <c r="B164" s="5" t="s">
        <v>116</v>
      </c>
      <c r="C164" s="8"/>
      <c r="D164" s="6" t="s">
        <v>124</v>
      </c>
      <c r="E164" s="8" t="s">
        <v>144</v>
      </c>
      <c r="F164" s="5"/>
      <c r="G164" s="5"/>
      <c r="H164" s="5"/>
      <c r="I164" s="5"/>
      <c r="J164" s="5"/>
      <c r="K164" s="9"/>
      <c r="L164" s="7" t="str">
        <f>IF(E165=$AC$5,"-------",IF(E165=$AC$6,"-------",IF(E165=$AC$7,"PCB100",IF(E165=$AC$8,"PCS100",0))))</f>
        <v>-------</v>
      </c>
      <c r="M164" s="11" t="str">
        <f>INDEX(cennik!$C$2:$L$529,MATCH($L164,cennik!$B$2:$B$522,0),MATCH(M$2,cennik!$C$1:$L$1,0))</f>
        <v>-------</v>
      </c>
      <c r="N164" s="11">
        <f>INDEX(cennik!$C$2:$L$529,MATCH($L164,cennik!$B$2:$B$522,0),MATCH(N$2,cennik!$C$1:$L$1,0))</f>
        <v>0</v>
      </c>
      <c r="O164" s="11">
        <f>IF(E165=AC7,SUM(O165),IF(E165=AC8,SUM(O165),IF(E165=AC5,0,IF(E165=AC6,0,0))))</f>
        <v>0</v>
      </c>
      <c r="P164" s="34">
        <f>INDEX(cennik!$C$2:$L$529,MATCH($L164,cennik!$B$2:$B$522,0),MATCH(P$2,cennik!$C$1:$L$1,0))</f>
        <v>0</v>
      </c>
      <c r="Q164" s="34">
        <f>O164*P164</f>
        <v>0</v>
      </c>
      <c r="R164" s="35">
        <f t="shared" si="211"/>
        <v>0</v>
      </c>
      <c r="S164" s="34">
        <f t="shared" si="212"/>
        <v>0</v>
      </c>
      <c r="T164" s="34">
        <f>O164*S164</f>
        <v>0</v>
      </c>
      <c r="U164" s="34">
        <f>INDEX(cennik!$C$2:$L$529,MATCH($L164,cennik!$B$2:$B$522,0),MATCH(U$2,cennik!$C$1:$L$1,0))*O164</f>
        <v>0</v>
      </c>
      <c r="V164" s="21"/>
      <c r="W164" s="189">
        <f>(INDEX(($EL$139:$FI$142,$EL$146:$FI$149,$FL$139:$GI$142,$FL$146:$GI$149),MATCH($L$175,$EK$139:$EK$142,0),MATCH(A172,$EL$138:$FI$138,0),MATCH($G$163,$AE$24:$AE$27,0)))*C172</f>
        <v>0</v>
      </c>
      <c r="X164" s="189">
        <f>(INDEX(($EL$139:$FI$142,$EL$146:$FI$149,$FL$139:$GI$142,$FL$146:$GI$149),MATCH($L$172,$EK$139:$EK$142,0),MATCH(A172,$EL$138:$FI$138,0),MATCH($G$163,$AE$24:$AE$27,0)))*C172</f>
        <v>0</v>
      </c>
      <c r="Y164" s="189">
        <f>(INDEX(($EL$139:$FI$142,$EL$146:$FI$149,$FL$139:$GI$142,$FL$146:$GI$149),MATCH($L$173,$EK$139:$EK$142,0),MATCH(A172,$EL$138:$FI$138,0),MATCH($G$163,$AE$24:$AE$27,0)))*C172</f>
        <v>0</v>
      </c>
      <c r="Z164" s="189">
        <f>(INDEX(($EL$139:$FI$142,$EL$146:$FI$149,$FL$139:$GI$142,$FL$146:$GI$149),MATCH($L$174,$EK$139:$EK$142,0),MATCH(A172,$EL$138:$FI$138,0),MATCH($G$163,$AE$24:$AE$27,0)))*C172</f>
        <v>0</v>
      </c>
      <c r="AA164" s="21">
        <f t="shared" si="210"/>
        <v>0</v>
      </c>
      <c r="AB164" s="21">
        <f t="shared" si="208"/>
        <v>0</v>
      </c>
      <c r="AC164" s="21"/>
      <c r="AD164" s="21"/>
      <c r="AE164" s="21"/>
      <c r="AF164" s="21"/>
      <c r="AG164" s="21"/>
      <c r="AH164" s="21"/>
      <c r="AI164" s="21"/>
      <c r="AJ164" s="21"/>
      <c r="AK164" s="21"/>
      <c r="AL164" s="21"/>
      <c r="AM164" s="21"/>
      <c r="AN164" s="21"/>
      <c r="AO164" s="21">
        <f t="shared" si="209"/>
        <v>1</v>
      </c>
      <c r="AP164" s="21"/>
      <c r="AQ164" s="21"/>
      <c r="AR164" s="21"/>
      <c r="AS164" s="21"/>
      <c r="AT164" s="21"/>
      <c r="AU164" s="21"/>
      <c r="AV164" s="21"/>
      <c r="AW164" s="21"/>
      <c r="AX164" s="21"/>
      <c r="AY164" s="21"/>
      <c r="AZ164" s="21"/>
      <c r="BA164" s="21"/>
      <c r="BB164" s="21"/>
      <c r="BC164" s="21"/>
      <c r="BD164" s="21"/>
      <c r="BE164" s="21"/>
      <c r="BF164" s="21"/>
      <c r="BG164" s="21"/>
      <c r="BH164" s="21"/>
      <c r="BI164" s="21"/>
      <c r="BJ164" s="21"/>
      <c r="BK164" s="21"/>
      <c r="BL164" s="21"/>
      <c r="BM164" s="21"/>
      <c r="BN164" s="21"/>
      <c r="BO164" s="21"/>
      <c r="BP164" s="21"/>
      <c r="BQ164" s="21"/>
      <c r="BR164" s="21"/>
      <c r="BS164" s="21"/>
      <c r="BT164" s="21"/>
      <c r="BU164" s="21"/>
      <c r="BV164" s="21"/>
      <c r="BW164" s="21"/>
      <c r="BX164" s="21"/>
      <c r="BY164" s="21"/>
      <c r="BZ164" s="21"/>
      <c r="CA164" s="21"/>
      <c r="CB164" s="21"/>
      <c r="CC164" s="21"/>
      <c r="CD164" s="21"/>
      <c r="CE164" s="21"/>
      <c r="CF164" s="21"/>
      <c r="CG164" s="21"/>
      <c r="CH164" s="21"/>
      <c r="CI164" s="21"/>
      <c r="CJ164" s="21"/>
      <c r="CK164" s="21"/>
      <c r="CL164" s="21"/>
      <c r="CM164" s="21"/>
      <c r="CN164" s="21"/>
      <c r="CO164" s="21"/>
      <c r="CP164" s="21"/>
      <c r="CQ164" s="21"/>
      <c r="CR164" s="21"/>
      <c r="CS164" s="21"/>
      <c r="CT164" s="21"/>
      <c r="CU164" s="21"/>
      <c r="CV164" s="21"/>
      <c r="CW164" s="21"/>
      <c r="CX164" s="21"/>
      <c r="CY164" s="21"/>
      <c r="CZ164" s="21"/>
      <c r="DA164" s="21"/>
      <c r="DB164" s="21"/>
      <c r="DC164" s="21"/>
      <c r="DD164" s="21"/>
      <c r="DE164" s="21"/>
      <c r="DF164" s="21"/>
      <c r="DG164" s="21"/>
      <c r="DH164" s="21"/>
      <c r="DI164" s="21"/>
      <c r="DJ164" s="21"/>
      <c r="DK164" s="21"/>
      <c r="DL164" s="21"/>
      <c r="DM164" s="21"/>
      <c r="DN164" s="21"/>
      <c r="DO164" s="21"/>
      <c r="DP164" s="21"/>
      <c r="DQ164" s="87"/>
      <c r="DR164" s="87"/>
      <c r="DS164" s="87"/>
      <c r="DT164" s="21"/>
      <c r="DU164" s="21"/>
      <c r="DV164" s="21"/>
      <c r="DW164" s="21"/>
      <c r="DX164" s="21"/>
      <c r="DY164" s="21"/>
      <c r="DZ164" s="21"/>
      <c r="EA164" s="21"/>
      <c r="EB164" s="21"/>
      <c r="EC164" s="21"/>
      <c r="ED164" s="21"/>
      <c r="EE164" s="21"/>
      <c r="EF164" s="21"/>
      <c r="EG164" s="21"/>
      <c r="EH164" s="21"/>
      <c r="EI164" s="21"/>
      <c r="EJ164" s="21"/>
      <c r="EK164" s="21"/>
      <c r="EL164" s="21"/>
      <c r="EM164" s="21"/>
      <c r="EN164" s="21"/>
      <c r="EO164" s="21"/>
      <c r="EP164" s="21"/>
      <c r="EQ164" s="21"/>
      <c r="ER164" s="21"/>
      <c r="ES164" s="21"/>
      <c r="ET164" s="21"/>
      <c r="EU164" s="21"/>
      <c r="EV164" s="21"/>
      <c r="EW164" s="21"/>
      <c r="EX164" s="21"/>
      <c r="EY164" s="21"/>
      <c r="EZ164" s="21"/>
      <c r="FA164" s="21"/>
      <c r="FB164" s="21"/>
      <c r="FC164" s="21"/>
      <c r="FD164" s="21"/>
      <c r="FE164" s="21"/>
      <c r="FF164" s="21"/>
      <c r="FG164" s="21"/>
      <c r="FH164" s="21"/>
      <c r="FI164" s="21"/>
      <c r="FJ164" s="21"/>
      <c r="FK164" s="21"/>
      <c r="FL164" s="21"/>
      <c r="FM164" s="21"/>
      <c r="FN164" s="21"/>
      <c r="FO164" s="21"/>
      <c r="FP164" s="21"/>
      <c r="FQ164" s="21"/>
      <c r="FR164" s="21"/>
      <c r="FS164" s="21"/>
      <c r="FT164" s="21"/>
      <c r="FU164" s="21"/>
      <c r="FV164" s="21"/>
      <c r="FW164" s="21"/>
      <c r="FX164" s="21"/>
      <c r="FY164" s="21"/>
      <c r="FZ164" s="21"/>
      <c r="GA164" s="21"/>
      <c r="GB164" s="21"/>
      <c r="GC164" s="21"/>
      <c r="GD164" s="21"/>
      <c r="GE164" s="21"/>
      <c r="GF164" s="21"/>
      <c r="GG164" s="21"/>
      <c r="GH164" s="21"/>
      <c r="GI164" s="21"/>
      <c r="GJ164" s="21"/>
      <c r="GK164" s="21"/>
      <c r="GL164" s="21"/>
      <c r="GM164" s="21"/>
      <c r="GN164" s="21"/>
      <c r="GO164" s="21"/>
      <c r="GP164" s="21"/>
      <c r="GQ164" s="21"/>
      <c r="GR164" s="21"/>
      <c r="GS164" s="21"/>
      <c r="GT164" s="21"/>
      <c r="GU164" s="21"/>
      <c r="GV164" s="21"/>
      <c r="GW164" s="21"/>
      <c r="GX164" s="21"/>
      <c r="GY164" s="21"/>
      <c r="GZ164" s="21"/>
      <c r="HA164" s="21"/>
      <c r="HB164" s="21"/>
      <c r="HC164" s="21"/>
      <c r="HD164" s="21"/>
      <c r="HE164" s="21"/>
      <c r="HF164" s="21"/>
      <c r="HG164" s="21"/>
      <c r="HH164" s="21"/>
    </row>
    <row r="165" spans="1:216" x14ac:dyDescent="0.25">
      <c r="A165" s="8"/>
      <c r="B165" s="5" t="s">
        <v>116</v>
      </c>
      <c r="C165" s="8"/>
      <c r="D165" s="6" t="s">
        <v>307</v>
      </c>
      <c r="E165" s="8" t="s">
        <v>314</v>
      </c>
      <c r="F165" s="5"/>
      <c r="G165" s="5"/>
      <c r="H165" s="5"/>
      <c r="I165" s="5"/>
      <c r="J165" s="5"/>
      <c r="K165" s="9"/>
      <c r="L165" s="6" t="str">
        <f>IF(E165=$AC$5,"CWE100H50/3,6MC",IF(E165=$AC$6,"CWE100H50/3,2MC",IF(E165=$AC$7,"CWE100H50/1,5MC",IF(E165=$AC$8,"CWE100H50/1,5MC",0))))</f>
        <v>CWE100H50/3,6MC</v>
      </c>
      <c r="M165" s="11">
        <f>INDEX(cennik!$C$2:$L$529,MATCH($L165,cennik!$B$2:$B$522,0),MATCH(M$2,cennik!$C$1:$L$1,0))</f>
        <v>855136</v>
      </c>
      <c r="N165" s="11" t="str">
        <f>INDEX(cennik!$C$2:$L$529,MATCH($L165,cennik!$B$2:$B$522,0),MATCH(N$2,cennik!$C$1:$L$1,0))</f>
        <v>szt.</v>
      </c>
      <c r="O165" s="11">
        <f>SUM(AB152:AB167)</f>
        <v>0</v>
      </c>
      <c r="P165" s="34">
        <f>INDEX(cennik!$C$2:$L$529,MATCH($L165,cennik!$B$2:$B$522,0),MATCH(P$2,cennik!$C$1:$L$1,0))</f>
        <v>282.94</v>
      </c>
      <c r="Q165" s="34">
        <f>O165*P165</f>
        <v>0</v>
      </c>
      <c r="R165" s="35">
        <f t="shared" si="211"/>
        <v>0</v>
      </c>
      <c r="S165" s="34">
        <f t="shared" si="212"/>
        <v>282.94</v>
      </c>
      <c r="T165" s="34">
        <f t="shared" ref="T165:T186" si="213">O165*S165</f>
        <v>0</v>
      </c>
      <c r="U165" s="34">
        <f>INDEX(cennik!$C$2:$L$529,MATCH($L165,cennik!$B$2:$B$522,0),MATCH(U$2,cennik!$C$1:$L$1,0))*O165</f>
        <v>0</v>
      </c>
      <c r="V165" s="27"/>
      <c r="W165" s="189">
        <f>(INDEX(($EL$139:$FI$142,$EL$146:$FI$149,$FL$139:$GI$142,$FL$146:$GI$149),MATCH($L$175,$EK$139:$EK$142,0),MATCH(A173,$EL$138:$FI$138,0),MATCH($G$163,$AE$24:$AE$27,0)))*C173</f>
        <v>0</v>
      </c>
      <c r="X165" s="189">
        <f>(INDEX(($EL$139:$FI$142,$EL$146:$FI$149,$FL$139:$GI$142,$FL$146:$GI$149),MATCH($L$172,$EK$139:$EK$142,0),MATCH(A173,$EL$138:$FI$138,0),MATCH($G$163,$AE$24:$AE$27,0)))*C173</f>
        <v>0</v>
      </c>
      <c r="Y165" s="189">
        <f>(INDEX(($EL$139:$FI$142,$EL$146:$FI$149,$FL$139:$GI$142,$FL$146:$GI$149),MATCH($L$173,$EK$139:$EK$142,0),MATCH(A173,$EL$138:$FI$138,0),MATCH($G$163,$AE$24:$AE$27,0)))*C173</f>
        <v>0</v>
      </c>
      <c r="Z165" s="189">
        <f>(INDEX(($EL$139:$FI$142,$EL$146:$FI$149,$FL$139:$GI$142,$FL$146:$GI$149),MATCH($L$174,$EK$139:$EK$142,0),MATCH(A173,$EL$138:$FI$138,0),MATCH($G$163,$AE$24:$AE$27,0)))*C173</f>
        <v>0</v>
      </c>
      <c r="AA165" s="21">
        <f t="shared" si="210"/>
        <v>0</v>
      </c>
      <c r="AB165" s="21">
        <f t="shared" si="208"/>
        <v>0</v>
      </c>
      <c r="AC165" s="21"/>
      <c r="AD165" s="21"/>
      <c r="AE165" s="21"/>
      <c r="AF165" s="21"/>
      <c r="AG165" s="21"/>
      <c r="AH165" s="21"/>
      <c r="AI165" s="21"/>
      <c r="AJ165" s="21"/>
      <c r="AK165" s="21"/>
      <c r="AL165" s="21"/>
      <c r="AM165" s="21"/>
      <c r="AN165" s="21"/>
      <c r="AO165" s="21">
        <f t="shared" si="209"/>
        <v>1</v>
      </c>
      <c r="AP165" s="21"/>
      <c r="AQ165" s="21"/>
      <c r="AR165" s="21"/>
      <c r="AS165" s="21"/>
      <c r="AT165" s="21"/>
      <c r="AU165" s="21"/>
      <c r="AV165" s="21"/>
      <c r="AW165" s="21"/>
      <c r="AX165" s="21"/>
      <c r="AY165" s="21"/>
      <c r="AZ165" s="21"/>
      <c r="BA165" s="21"/>
      <c r="BB165" s="21"/>
      <c r="BC165" s="21"/>
      <c r="BD165" s="21"/>
      <c r="BE165" s="21"/>
      <c r="BF165" s="21"/>
      <c r="BG165" s="21"/>
      <c r="BH165" s="21"/>
      <c r="BI165" s="21"/>
      <c r="BJ165" s="21"/>
      <c r="BK165" s="21"/>
      <c r="BL165" s="21"/>
      <c r="BM165" s="21"/>
      <c r="BN165" s="21"/>
      <c r="BO165" s="21"/>
      <c r="BP165" s="21"/>
      <c r="BQ165" s="21"/>
      <c r="BR165" s="21"/>
      <c r="BS165" s="21"/>
      <c r="BT165" s="21"/>
      <c r="BU165" s="21"/>
      <c r="BV165" s="21"/>
      <c r="BW165" s="21"/>
      <c r="BX165" s="21"/>
      <c r="BY165" s="21"/>
      <c r="BZ165" s="21"/>
      <c r="CA165" s="21"/>
      <c r="CB165" s="21"/>
      <c r="CC165" s="21"/>
      <c r="CD165" s="21"/>
      <c r="CE165" s="21"/>
      <c r="CF165" s="21"/>
      <c r="CG165" s="21"/>
      <c r="CH165" s="21"/>
      <c r="CI165" s="21"/>
      <c r="CJ165" s="21"/>
      <c r="CK165" s="21"/>
      <c r="CL165" s="21"/>
      <c r="CM165" s="21"/>
      <c r="CN165" s="21"/>
      <c r="CO165" s="21"/>
      <c r="CP165" s="21"/>
      <c r="CQ165" s="21"/>
      <c r="CR165" s="21"/>
      <c r="CS165" s="21"/>
      <c r="CT165" s="21"/>
      <c r="CU165" s="21"/>
      <c r="CV165" s="21"/>
      <c r="CW165" s="21"/>
      <c r="CX165" s="21"/>
      <c r="CY165" s="21"/>
      <c r="CZ165" s="21"/>
      <c r="DA165" s="21"/>
      <c r="DB165" s="21"/>
      <c r="DC165" s="21"/>
      <c r="DD165" s="21"/>
      <c r="DE165" s="21"/>
      <c r="DF165" s="21"/>
      <c r="DG165" s="21"/>
      <c r="DH165" s="21"/>
      <c r="DI165" s="21"/>
      <c r="DJ165" s="21"/>
      <c r="DK165" s="21"/>
      <c r="DL165" s="21"/>
      <c r="DM165" s="21"/>
      <c r="DN165" s="21"/>
      <c r="DO165" s="21"/>
      <c r="DP165" s="21"/>
      <c r="DQ165" s="87"/>
      <c r="DR165" s="87">
        <v>0</v>
      </c>
      <c r="DS165" s="87"/>
      <c r="DT165" s="21"/>
      <c r="DU165" s="21"/>
      <c r="DV165" s="21"/>
      <c r="DW165" s="21"/>
      <c r="DX165" s="21"/>
      <c r="DY165" s="21"/>
      <c r="DZ165" s="21"/>
      <c r="EA165" s="21"/>
      <c r="EB165" s="21"/>
      <c r="EC165" s="21"/>
      <c r="ED165" s="21"/>
      <c r="EE165" s="21"/>
      <c r="EF165" s="21"/>
      <c r="EG165" s="21"/>
      <c r="EH165" s="21"/>
      <c r="EI165" s="21"/>
      <c r="EJ165" s="21"/>
      <c r="EK165" s="21"/>
      <c r="EL165" s="21"/>
      <c r="EM165" s="21"/>
      <c r="EN165" s="21"/>
      <c r="EO165" s="21"/>
      <c r="EP165" s="21"/>
      <c r="EQ165" s="21"/>
      <c r="ER165" s="21"/>
      <c r="ES165" s="21"/>
      <c r="ET165" s="21"/>
      <c r="EU165" s="21"/>
      <c r="EV165" s="21"/>
      <c r="EW165" s="21"/>
      <c r="EX165" s="21"/>
      <c r="EY165" s="21"/>
      <c r="EZ165" s="21"/>
      <c r="FA165" s="21"/>
      <c r="FB165" s="21"/>
      <c r="FC165" s="21"/>
      <c r="FD165" s="21"/>
      <c r="FE165" s="21"/>
      <c r="FF165" s="21"/>
      <c r="FG165" s="21"/>
      <c r="FH165" s="21"/>
      <c r="FI165" s="21"/>
      <c r="FJ165" s="21"/>
      <c r="FK165" s="21"/>
      <c r="FL165" s="21"/>
      <c r="FM165" s="21"/>
      <c r="FN165" s="21"/>
      <c r="FO165" s="21"/>
      <c r="FP165" s="21"/>
      <c r="FQ165" s="21"/>
      <c r="FR165" s="21"/>
      <c r="FS165" s="21"/>
      <c r="FT165" s="21"/>
      <c r="FU165" s="21"/>
      <c r="FV165" s="21"/>
      <c r="FW165" s="21"/>
      <c r="FX165" s="21"/>
      <c r="FY165" s="21"/>
      <c r="FZ165" s="21"/>
      <c r="GA165" s="21"/>
      <c r="GB165" s="21"/>
      <c r="GC165" s="21"/>
      <c r="GD165" s="21"/>
      <c r="GE165" s="21"/>
      <c r="GF165" s="21"/>
      <c r="GG165" s="21"/>
      <c r="GH165" s="21"/>
      <c r="GI165" s="21"/>
      <c r="GJ165" s="21"/>
      <c r="GK165" s="21"/>
      <c r="GL165" s="21"/>
      <c r="GM165" s="21"/>
      <c r="GN165" s="21"/>
      <c r="GO165" s="21"/>
      <c r="GP165" s="21"/>
      <c r="GQ165" s="21"/>
      <c r="GR165" s="21"/>
      <c r="GS165" s="21"/>
      <c r="GT165" s="21"/>
      <c r="GU165" s="21"/>
      <c r="GV165" s="21"/>
      <c r="GW165" s="21"/>
      <c r="GX165" s="21"/>
      <c r="GY165" s="21"/>
      <c r="GZ165" s="21"/>
      <c r="HA165" s="21"/>
      <c r="HB165" s="21"/>
      <c r="HC165" s="21"/>
      <c r="HD165" s="21"/>
      <c r="HE165" s="21"/>
      <c r="HF165" s="21"/>
      <c r="HG165" s="21"/>
      <c r="HH165" s="21"/>
    </row>
    <row r="166" spans="1:216" x14ac:dyDescent="0.25">
      <c r="A166" s="8"/>
      <c r="B166" s="5" t="s">
        <v>116</v>
      </c>
      <c r="C166" s="8"/>
      <c r="D166" s="6" t="s">
        <v>315</v>
      </c>
      <c r="E166" s="8">
        <v>0</v>
      </c>
      <c r="F166" s="5"/>
      <c r="G166" s="5"/>
      <c r="H166" s="5"/>
      <c r="I166" s="5"/>
      <c r="J166" s="5" t="s">
        <v>412</v>
      </c>
      <c r="K166" s="9"/>
      <c r="L166" s="6" t="str">
        <f>IF(E163=AE33,"BDFCH100/2,75NMC",IF(E163=AE34,"BDFCH100/2,75NMC",IF(E163=AE35,"BDFCH100/2,75NMC",IF(E163=AE40,"BDFCH120/3,2NMC",IF(E163=AE41,"BDFCH120/3,2NMC",IF(E163=AE42,"BDFCH120/3,2NMC",0))))))</f>
        <v>BDFCH100/2,75NMC</v>
      </c>
      <c r="M166" s="11">
        <f>INDEX(cennik!$C$2:$L$529,MATCH($L166,cennik!$B$2:$B$522,0),MATCH(M$2,cennik!$C$1:$L$1,0))</f>
        <v>863725</v>
      </c>
      <c r="N166" s="11" t="str">
        <f>INDEX(cennik!$C$2:$L$529,MATCH($L166,cennik!$B$2:$B$522,0),MATCH(N$2,cennik!$C$1:$L$1,0))</f>
        <v>szt.</v>
      </c>
      <c r="O166" s="11">
        <f>O165</f>
        <v>0</v>
      </c>
      <c r="P166" s="34">
        <f>INDEX(cennik!$C$2:$L$529,MATCH($L166,cennik!$B$2:$B$522,0),MATCH(P$2,cennik!$C$1:$L$1,0))</f>
        <v>89.66</v>
      </c>
      <c r="Q166" s="34">
        <f t="shared" ref="Q166:Q186" si="214">O166*P166</f>
        <v>0</v>
      </c>
      <c r="R166" s="35">
        <f t="shared" si="211"/>
        <v>0</v>
      </c>
      <c r="S166" s="34">
        <f t="shared" si="212"/>
        <v>89.66</v>
      </c>
      <c r="T166" s="34">
        <f t="shared" si="213"/>
        <v>0</v>
      </c>
      <c r="U166" s="34">
        <f>INDEX(cennik!$C$2:$L$529,MATCH($L166,cennik!$B$2:$B$522,0),MATCH(U$2,cennik!$C$1:$L$1,0))*O166</f>
        <v>0</v>
      </c>
      <c r="V166" s="27"/>
      <c r="W166" s="189">
        <f>(INDEX(($EL$139:$FI$142,$EL$146:$FI$149,$FL$139:$GI$142,$FL$146:$GI$149),MATCH($L$175,$EK$139:$EK$142,0),MATCH(A174,$EL$138:$FI$138,0),MATCH($G$163,$AE$24:$AE$27,0)))*C174</f>
        <v>0</v>
      </c>
      <c r="X166" s="189">
        <f>(INDEX(($EL$139:$FI$142,$EL$146:$FI$149,$FL$139:$GI$142,$FL$146:$GI$149),MATCH($L$172,$EK$139:$EK$142,0),MATCH(A174,$EL$138:$FI$138,0),MATCH($G$163,$AE$24:$AE$27,0)))*C174</f>
        <v>0</v>
      </c>
      <c r="Y166" s="189">
        <f>(INDEX(($EL$139:$FI$142,$EL$146:$FI$149,$FL$139:$GI$142,$FL$146:$GI$149),MATCH($L$173,$EK$139:$EK$142,0),MATCH(A174,$EL$138:$FI$138,0),MATCH($G$163,$AE$24:$AE$27,0)))*C174</f>
        <v>0</v>
      </c>
      <c r="Z166" s="189">
        <f>(INDEX(($EL$139:$FI$142,$EL$146:$FI$149,$FL$139:$GI$142,$FL$146:$GI$149),MATCH($L$174,$EK$139:$EK$142,0),MATCH(A174,$EL$138:$FI$138,0),MATCH($G$163,$AE$24:$AE$27,0)))*C174</f>
        <v>0</v>
      </c>
      <c r="AA166" s="21">
        <f t="shared" si="210"/>
        <v>0</v>
      </c>
      <c r="AB166" s="21">
        <f t="shared" si="208"/>
        <v>0</v>
      </c>
      <c r="AC166" s="21"/>
      <c r="AD166" s="21"/>
      <c r="AE166" s="21"/>
      <c r="AF166" s="21"/>
      <c r="AG166" s="21"/>
      <c r="AH166" s="21"/>
      <c r="AI166" s="21"/>
      <c r="AJ166" s="21"/>
      <c r="AK166" s="21"/>
      <c r="AL166" s="21"/>
      <c r="AM166" s="21"/>
      <c r="AN166" s="21"/>
      <c r="AO166" s="21">
        <f t="shared" si="209"/>
        <v>1</v>
      </c>
      <c r="AP166" s="21"/>
      <c r="AQ166" s="21"/>
      <c r="AR166" s="21"/>
      <c r="AS166" s="21"/>
      <c r="AT166" s="21"/>
      <c r="AU166" s="21"/>
      <c r="AV166" s="21"/>
      <c r="AW166" s="21"/>
      <c r="AX166" s="21"/>
      <c r="AY166" s="21"/>
      <c r="AZ166" s="21"/>
      <c r="BA166" s="21"/>
      <c r="BB166" s="21"/>
      <c r="BC166" s="21"/>
      <c r="BD166" s="21"/>
      <c r="BE166" s="21"/>
      <c r="BF166" s="21"/>
      <c r="BG166" s="21"/>
      <c r="BH166" s="21" t="s">
        <v>111</v>
      </c>
      <c r="BI166" s="21">
        <v>0</v>
      </c>
      <c r="BJ166" s="21">
        <v>6</v>
      </c>
      <c r="BK166" s="21">
        <v>9</v>
      </c>
      <c r="BL166" s="21">
        <v>12</v>
      </c>
      <c r="BM166" s="21">
        <v>15</v>
      </c>
      <c r="BN166" s="21">
        <v>18</v>
      </c>
      <c r="BO166" s="21">
        <v>21</v>
      </c>
      <c r="BP166" s="21">
        <v>24</v>
      </c>
      <c r="BQ166" s="21">
        <v>27</v>
      </c>
      <c r="BR166" s="21">
        <v>30</v>
      </c>
      <c r="BS166" s="21">
        <v>33</v>
      </c>
      <c r="BT166" s="21">
        <v>36</v>
      </c>
      <c r="BU166" s="21">
        <v>39</v>
      </c>
      <c r="BV166" s="21"/>
      <c r="BW166" s="21" t="s">
        <v>470</v>
      </c>
      <c r="BX166" s="21">
        <v>0</v>
      </c>
      <c r="BY166" s="21">
        <v>6</v>
      </c>
      <c r="BZ166" s="21">
        <v>9</v>
      </c>
      <c r="CA166" s="21">
        <v>12</v>
      </c>
      <c r="CB166" s="21">
        <v>15</v>
      </c>
      <c r="CC166" s="21">
        <v>18</v>
      </c>
      <c r="CD166" s="21">
        <v>21</v>
      </c>
      <c r="CE166" s="21">
        <v>24</v>
      </c>
      <c r="CF166" s="21">
        <v>27</v>
      </c>
      <c r="CG166" s="21">
        <v>30</v>
      </c>
      <c r="CH166" s="21">
        <v>33</v>
      </c>
      <c r="CI166" s="21">
        <v>36</v>
      </c>
      <c r="CJ166" s="21">
        <v>39</v>
      </c>
      <c r="CK166" s="21"/>
      <c r="CL166" s="21"/>
      <c r="CM166" s="21"/>
      <c r="CN166" s="21" t="s">
        <v>473</v>
      </c>
      <c r="CO166" s="21">
        <v>0</v>
      </c>
      <c r="CP166" s="21">
        <v>6</v>
      </c>
      <c r="CQ166" s="21">
        <v>9</v>
      </c>
      <c r="CR166" s="21">
        <v>12</v>
      </c>
      <c r="CS166" s="21">
        <v>15</v>
      </c>
      <c r="CT166" s="21">
        <v>18</v>
      </c>
      <c r="CU166" s="21">
        <v>21</v>
      </c>
      <c r="CV166" s="21">
        <v>24</v>
      </c>
      <c r="CW166" s="21">
        <v>27</v>
      </c>
      <c r="CX166" s="21">
        <v>30</v>
      </c>
      <c r="CY166" s="21">
        <v>33</v>
      </c>
      <c r="CZ166" s="21">
        <v>36</v>
      </c>
      <c r="DA166" s="21">
        <v>39</v>
      </c>
      <c r="DB166" s="21"/>
      <c r="DC166" s="21" t="s">
        <v>138</v>
      </c>
      <c r="DD166" s="21">
        <v>0</v>
      </c>
      <c r="DE166" s="21">
        <v>6</v>
      </c>
      <c r="DF166" s="21">
        <v>9</v>
      </c>
      <c r="DG166" s="21">
        <v>12</v>
      </c>
      <c r="DH166" s="21">
        <v>15</v>
      </c>
      <c r="DI166" s="21">
        <v>18</v>
      </c>
      <c r="DJ166" s="21">
        <v>21</v>
      </c>
      <c r="DK166" s="21">
        <v>24</v>
      </c>
      <c r="DL166" s="21">
        <v>27</v>
      </c>
      <c r="DM166" s="21">
        <v>30</v>
      </c>
      <c r="DN166" s="21">
        <v>33</v>
      </c>
      <c r="DO166" s="21">
        <v>36</v>
      </c>
      <c r="DP166" s="21">
        <v>39</v>
      </c>
      <c r="DQ166" s="87"/>
      <c r="DR166" s="87">
        <v>6</v>
      </c>
      <c r="DS166" s="87"/>
      <c r="DT166" s="21" t="s">
        <v>508</v>
      </c>
      <c r="DU166" s="21">
        <v>0</v>
      </c>
      <c r="DV166" s="21">
        <v>8</v>
      </c>
      <c r="DW166" s="21">
        <v>12</v>
      </c>
      <c r="DX166" s="21">
        <v>16</v>
      </c>
      <c r="DY166" s="21">
        <v>20</v>
      </c>
      <c r="DZ166" s="21">
        <v>24</v>
      </c>
      <c r="EA166" s="21">
        <v>28</v>
      </c>
      <c r="EB166" s="21">
        <v>32</v>
      </c>
      <c r="EC166" s="21">
        <v>36</v>
      </c>
      <c r="ED166" s="21">
        <v>40</v>
      </c>
      <c r="EE166" s="21">
        <v>44</v>
      </c>
      <c r="EF166" s="21">
        <v>48</v>
      </c>
      <c r="EG166" s="21">
        <v>52</v>
      </c>
      <c r="EH166" s="21"/>
      <c r="EI166" s="21"/>
      <c r="EJ166" s="21"/>
      <c r="EK166" s="21" t="s">
        <v>111</v>
      </c>
      <c r="EL166" s="21">
        <v>0</v>
      </c>
      <c r="EM166" s="21">
        <v>6</v>
      </c>
      <c r="EN166" s="21">
        <v>9</v>
      </c>
      <c r="EO166" s="21">
        <v>12</v>
      </c>
      <c r="EP166" s="21">
        <v>15</v>
      </c>
      <c r="EQ166" s="21">
        <v>18</v>
      </c>
      <c r="ER166" s="21">
        <v>21</v>
      </c>
      <c r="ES166" s="21">
        <v>24</v>
      </c>
      <c r="ET166" s="21">
        <v>27</v>
      </c>
      <c r="EU166" s="21">
        <v>30</v>
      </c>
      <c r="EV166" s="21">
        <v>33</v>
      </c>
      <c r="EW166" s="21">
        <v>36</v>
      </c>
      <c r="EX166" s="21">
        <v>39</v>
      </c>
      <c r="EY166" s="21"/>
      <c r="EZ166" s="21" t="s">
        <v>470</v>
      </c>
      <c r="FA166" s="21">
        <v>0</v>
      </c>
      <c r="FB166" s="21">
        <v>6</v>
      </c>
      <c r="FC166" s="21">
        <v>9</v>
      </c>
      <c r="FD166" s="21">
        <v>12</v>
      </c>
      <c r="FE166" s="21">
        <v>15</v>
      </c>
      <c r="FF166" s="21">
        <v>18</v>
      </c>
      <c r="FG166" s="21">
        <v>21</v>
      </c>
      <c r="FH166" s="21">
        <v>24</v>
      </c>
      <c r="FI166" s="21">
        <v>27</v>
      </c>
      <c r="FJ166" s="21">
        <v>30</v>
      </c>
      <c r="FK166" s="21">
        <v>33</v>
      </c>
      <c r="FL166" s="21">
        <v>36</v>
      </c>
      <c r="FM166" s="21">
        <v>39</v>
      </c>
      <c r="FN166" s="21"/>
      <c r="FO166" s="21" t="s">
        <v>473</v>
      </c>
      <c r="FP166" s="21">
        <v>0</v>
      </c>
      <c r="FQ166" s="21">
        <v>6</v>
      </c>
      <c r="FR166" s="21">
        <v>9</v>
      </c>
      <c r="FS166" s="21">
        <v>12</v>
      </c>
      <c r="FT166" s="21">
        <v>15</v>
      </c>
      <c r="FU166" s="21">
        <v>18</v>
      </c>
      <c r="FV166" s="21">
        <v>21</v>
      </c>
      <c r="FW166" s="21">
        <v>24</v>
      </c>
      <c r="FX166" s="21">
        <v>27</v>
      </c>
      <c r="FY166" s="21">
        <v>30</v>
      </c>
      <c r="FZ166" s="21">
        <v>33</v>
      </c>
      <c r="GA166" s="21">
        <v>36</v>
      </c>
      <c r="GB166" s="21">
        <v>39</v>
      </c>
      <c r="GC166" s="21"/>
      <c r="GD166" s="21" t="s">
        <v>138</v>
      </c>
      <c r="GE166" s="21">
        <v>0</v>
      </c>
      <c r="GF166" s="21">
        <v>6</v>
      </c>
      <c r="GG166" s="21">
        <v>9</v>
      </c>
      <c r="GH166" s="21">
        <v>12</v>
      </c>
      <c r="GI166" s="21">
        <v>15</v>
      </c>
      <c r="GJ166" s="21">
        <v>18</v>
      </c>
      <c r="GK166" s="21">
        <v>21</v>
      </c>
      <c r="GL166" s="21">
        <v>24</v>
      </c>
      <c r="GM166" s="21">
        <v>27</v>
      </c>
      <c r="GN166" s="21">
        <v>30</v>
      </c>
      <c r="GO166" s="21">
        <v>33</v>
      </c>
      <c r="GP166" s="21">
        <v>36</v>
      </c>
      <c r="GQ166" s="21">
        <v>39</v>
      </c>
      <c r="GR166" s="21"/>
      <c r="GS166" s="21" t="s">
        <v>508</v>
      </c>
      <c r="GT166" s="21">
        <v>0</v>
      </c>
      <c r="GU166" s="21">
        <v>6</v>
      </c>
      <c r="GV166" s="21">
        <v>9</v>
      </c>
      <c r="GW166" s="21">
        <v>12</v>
      </c>
      <c r="GX166" s="21">
        <v>15</v>
      </c>
      <c r="GY166" s="21">
        <v>18</v>
      </c>
      <c r="GZ166" s="21">
        <v>21</v>
      </c>
      <c r="HA166" s="21">
        <v>24</v>
      </c>
      <c r="HB166" s="21">
        <v>27</v>
      </c>
      <c r="HC166" s="21">
        <v>30</v>
      </c>
      <c r="HD166" s="21">
        <v>33</v>
      </c>
      <c r="HE166" s="21">
        <v>36</v>
      </c>
      <c r="HF166" s="21">
        <v>39</v>
      </c>
      <c r="HG166" s="21"/>
      <c r="HH166" s="21"/>
    </row>
    <row r="167" spans="1:216" x14ac:dyDescent="0.25">
      <c r="A167" s="8"/>
      <c r="B167" s="5" t="s">
        <v>116</v>
      </c>
      <c r="C167" s="8"/>
      <c r="D167" s="6" t="s">
        <v>162</v>
      </c>
      <c r="E167" s="8">
        <v>0</v>
      </c>
      <c r="F167" s="5"/>
      <c r="G167" s="5"/>
      <c r="H167" s="5"/>
      <c r="I167" s="5"/>
      <c r="J167" s="5" t="s">
        <v>163</v>
      </c>
      <c r="K167" s="9"/>
      <c r="L167" s="6" t="s">
        <v>9</v>
      </c>
      <c r="M167" s="11">
        <f>INDEX(cennik!$C$2:$L$529,MATCH($L167,cennik!$B$2:$B$522,0),MATCH(M$2,cennik!$C$1:$L$1,0))</f>
        <v>856211</v>
      </c>
      <c r="N167" s="11" t="str">
        <f>INDEX(cennik!$C$2:$L$529,MATCH($L167,cennik!$B$2:$B$522,0),MATCH(N$2,cennik!$C$1:$L$1,0))</f>
        <v>szt.</v>
      </c>
      <c r="O167" s="11">
        <f>O165</f>
        <v>0</v>
      </c>
      <c r="P167" s="34">
        <f>INDEX(cennik!$C$2:$L$529,MATCH($L167,cennik!$B$2:$B$522,0),MATCH(P$2,cennik!$C$1:$L$1,0))</f>
        <v>25.2</v>
      </c>
      <c r="Q167" s="34">
        <f t="shared" si="214"/>
        <v>0</v>
      </c>
      <c r="R167" s="35">
        <f t="shared" si="211"/>
        <v>0</v>
      </c>
      <c r="S167" s="34">
        <f t="shared" si="212"/>
        <v>25.2</v>
      </c>
      <c r="T167" s="34">
        <f>O167*S167</f>
        <v>0</v>
      </c>
      <c r="U167" s="34">
        <f>INDEX(cennik!$C$2:$L$529,MATCH($L167,cennik!$B$2:$B$522,0),MATCH(U$2,cennik!$C$1:$L$1,0))*O167</f>
        <v>0</v>
      </c>
      <c r="V167" s="25"/>
      <c r="W167" s="189">
        <f>(INDEX(($EL$139:$FI$142,$EL$146:$FI$149,$FL$139:$GI$142,$FL$146:$GI$149),MATCH($L$175,$EK$139:$EK$142,0),MATCH(A175,$EL$138:$FI$138,0),MATCH($G$163,$AE$24:$AE$27,0)))*C175</f>
        <v>0</v>
      </c>
      <c r="X167" s="189">
        <f>(INDEX(($EL$139:$FI$142,$EL$146:$FI$149,$FL$139:$GI$142,$FL$146:$GI$149),MATCH($L$172,$EK$139:$EK$142,0),MATCH(A175,$EL$138:$FI$138,0),MATCH($G$163,$AE$24:$AE$27,0)))*C175</f>
        <v>0</v>
      </c>
      <c r="Y167" s="189">
        <f>(INDEX(($EL$139:$FI$142,$EL$146:$FI$149,$FL$139:$GI$142,$FL$146:$GI$149),MATCH($L$173,$EK$139:$EK$142,0),MATCH(A175,$EL$138:$FI$138,0),MATCH($G$163,$AE$24:$AE$27,0)))*C175</f>
        <v>0</v>
      </c>
      <c r="Z167" s="189">
        <f>(INDEX(($EL$139:$FI$142,$EL$146:$FI$149,$FL$139:$GI$142,$FL$146:$GI$149),MATCH($L$174,$EK$139:$EK$142,0),MATCH(A175,$EL$138:$FI$138,0),MATCH($G$163,$AE$24:$AE$27,0)))*C175</f>
        <v>0</v>
      </c>
      <c r="AA167" s="21">
        <f t="shared" si="210"/>
        <v>0</v>
      </c>
      <c r="AB167" s="21">
        <f t="shared" si="208"/>
        <v>0</v>
      </c>
      <c r="AC167" s="21"/>
      <c r="AD167" s="21"/>
      <c r="AE167" s="21"/>
      <c r="AF167" s="21"/>
      <c r="AG167" s="21"/>
      <c r="AH167" s="21"/>
      <c r="AI167" s="21"/>
      <c r="AJ167" s="21"/>
      <c r="AK167" s="21"/>
      <c r="AL167" s="21"/>
      <c r="AM167" s="21"/>
      <c r="AN167" s="21"/>
      <c r="AO167" s="21">
        <f t="shared" si="209"/>
        <v>1</v>
      </c>
      <c r="AP167" s="21"/>
      <c r="AQ167" s="21"/>
      <c r="AR167" s="21"/>
      <c r="AS167" s="21"/>
      <c r="AT167" s="21"/>
      <c r="AU167" s="21"/>
      <c r="AV167" s="21"/>
      <c r="AW167" s="21"/>
      <c r="AX167" s="21"/>
      <c r="AY167" s="21"/>
      <c r="AZ167" s="21"/>
      <c r="BA167" s="21"/>
      <c r="BB167" s="21"/>
      <c r="BC167" s="21"/>
      <c r="BD167" s="21"/>
      <c r="BE167" s="21"/>
      <c r="BF167" s="21"/>
      <c r="BG167" s="21"/>
      <c r="BH167" s="21" t="s">
        <v>217</v>
      </c>
      <c r="BI167" s="21">
        <f>BI3/5*4</f>
        <v>0</v>
      </c>
      <c r="BJ167" s="21">
        <f>BJ3/5*4</f>
        <v>0</v>
      </c>
      <c r="BK167" s="21">
        <f t="shared" ref="BK167:BU167" si="215">BK3/5*4</f>
        <v>0</v>
      </c>
      <c r="BL167" s="21">
        <f>BL3/5*4</f>
        <v>4</v>
      </c>
      <c r="BM167" s="21">
        <v>0</v>
      </c>
      <c r="BN167" s="21">
        <f t="shared" si="215"/>
        <v>4</v>
      </c>
      <c r="BO167" s="21">
        <v>8</v>
      </c>
      <c r="BP167" s="21">
        <v>8</v>
      </c>
      <c r="BQ167" s="21">
        <v>8</v>
      </c>
      <c r="BR167" s="21">
        <f t="shared" si="215"/>
        <v>8</v>
      </c>
      <c r="BS167" s="21">
        <f t="shared" si="215"/>
        <v>4</v>
      </c>
      <c r="BT167" s="21">
        <v>12</v>
      </c>
      <c r="BU167" s="21">
        <f t="shared" si="215"/>
        <v>8</v>
      </c>
      <c r="BV167" s="21"/>
      <c r="BW167" s="21" t="s">
        <v>217</v>
      </c>
      <c r="BX167" s="21">
        <v>0</v>
      </c>
      <c r="BY167" s="21">
        <f t="shared" ref="BY167:CI170" si="216">BY3/5*4</f>
        <v>0</v>
      </c>
      <c r="BZ167" s="21">
        <f t="shared" si="216"/>
        <v>4</v>
      </c>
      <c r="CA167" s="21">
        <f t="shared" si="216"/>
        <v>4</v>
      </c>
      <c r="CB167" s="21">
        <v>4</v>
      </c>
      <c r="CC167" s="21">
        <f t="shared" si="216"/>
        <v>4</v>
      </c>
      <c r="CD167" s="21">
        <v>8</v>
      </c>
      <c r="CE167" s="21">
        <v>4</v>
      </c>
      <c r="CF167" s="21">
        <f t="shared" si="216"/>
        <v>8</v>
      </c>
      <c r="CG167" s="21">
        <v>4</v>
      </c>
      <c r="CH167" s="21">
        <v>12</v>
      </c>
      <c r="CI167" s="21">
        <f t="shared" si="216"/>
        <v>8</v>
      </c>
      <c r="CJ167" s="21">
        <v>12</v>
      </c>
      <c r="CK167" s="21"/>
      <c r="CL167" s="21"/>
      <c r="CM167" s="21"/>
      <c r="CN167" s="21" t="s">
        <v>217</v>
      </c>
      <c r="CO167" s="21">
        <v>0</v>
      </c>
      <c r="CP167" s="21">
        <f t="shared" ref="CP167:CY170" si="217">CP3/5*4</f>
        <v>0</v>
      </c>
      <c r="CQ167" s="21">
        <f t="shared" si="217"/>
        <v>4</v>
      </c>
      <c r="CR167" s="21">
        <f t="shared" si="217"/>
        <v>0</v>
      </c>
      <c r="CS167" s="21">
        <f t="shared" si="217"/>
        <v>4</v>
      </c>
      <c r="CT167" s="21">
        <v>8</v>
      </c>
      <c r="CU167" s="21">
        <v>8</v>
      </c>
      <c r="CV167" s="21">
        <v>8</v>
      </c>
      <c r="CW167" s="21">
        <f t="shared" si="217"/>
        <v>8</v>
      </c>
      <c r="CX167" s="21">
        <f t="shared" si="217"/>
        <v>12</v>
      </c>
      <c r="CY167" s="21">
        <f t="shared" si="217"/>
        <v>8</v>
      </c>
      <c r="CZ167" s="21">
        <v>12</v>
      </c>
      <c r="DA167" s="21">
        <v>8</v>
      </c>
      <c r="DB167" s="21"/>
      <c r="DC167" s="21" t="s">
        <v>217</v>
      </c>
      <c r="DD167" s="21">
        <f t="shared" ref="DD167:DO170" si="218">DD3/5*4</f>
        <v>0</v>
      </c>
      <c r="DE167" s="21">
        <f t="shared" si="218"/>
        <v>0</v>
      </c>
      <c r="DF167" s="21">
        <f t="shared" si="218"/>
        <v>4</v>
      </c>
      <c r="DG167" s="21">
        <f t="shared" si="218"/>
        <v>0</v>
      </c>
      <c r="DH167" s="21">
        <f t="shared" si="218"/>
        <v>4</v>
      </c>
      <c r="DI167" s="21">
        <v>8</v>
      </c>
      <c r="DJ167" s="21">
        <v>8</v>
      </c>
      <c r="DK167" s="21">
        <f t="shared" si="218"/>
        <v>8</v>
      </c>
      <c r="DL167" s="21">
        <f t="shared" si="218"/>
        <v>4</v>
      </c>
      <c r="DM167" s="21">
        <v>8</v>
      </c>
      <c r="DN167" s="21">
        <f t="shared" si="218"/>
        <v>12</v>
      </c>
      <c r="DO167" s="21">
        <f t="shared" si="218"/>
        <v>8</v>
      </c>
      <c r="DP167" s="21">
        <v>12</v>
      </c>
      <c r="DQ167" s="87"/>
      <c r="DR167" s="87">
        <v>9</v>
      </c>
      <c r="DS167" s="87"/>
      <c r="DT167" s="21" t="s">
        <v>217</v>
      </c>
      <c r="DU167" s="21">
        <v>0</v>
      </c>
      <c r="DV167" s="21">
        <f t="shared" ref="DV167:EG170" si="219">DV3/5*4</f>
        <v>0</v>
      </c>
      <c r="DW167" s="21">
        <f t="shared" si="219"/>
        <v>4</v>
      </c>
      <c r="DX167" s="21">
        <f t="shared" si="219"/>
        <v>0</v>
      </c>
      <c r="DY167" s="21">
        <f t="shared" si="219"/>
        <v>0</v>
      </c>
      <c r="DZ167" s="21">
        <f t="shared" si="219"/>
        <v>8</v>
      </c>
      <c r="EA167" s="21">
        <f t="shared" si="219"/>
        <v>4</v>
      </c>
      <c r="EB167" s="21">
        <f t="shared" si="219"/>
        <v>8</v>
      </c>
      <c r="EC167" s="21">
        <f t="shared" si="219"/>
        <v>8</v>
      </c>
      <c r="ED167" s="21">
        <f t="shared" si="219"/>
        <v>12</v>
      </c>
      <c r="EE167" s="21">
        <f t="shared" si="219"/>
        <v>8</v>
      </c>
      <c r="EF167" s="21">
        <f t="shared" si="219"/>
        <v>12</v>
      </c>
      <c r="EG167" s="21">
        <f t="shared" si="219"/>
        <v>16</v>
      </c>
      <c r="EH167" s="21"/>
      <c r="EI167" s="21"/>
      <c r="EJ167" s="21"/>
      <c r="EK167" s="21" t="s">
        <v>522</v>
      </c>
      <c r="EL167" s="21">
        <v>0</v>
      </c>
      <c r="EM167" s="21">
        <f t="shared" ref="EM167:EX169" si="220">EM4/5*4</f>
        <v>0</v>
      </c>
      <c r="EN167" s="21">
        <f t="shared" si="220"/>
        <v>4</v>
      </c>
      <c r="EO167" s="21">
        <f t="shared" si="220"/>
        <v>0</v>
      </c>
      <c r="EP167" s="21">
        <f t="shared" si="220"/>
        <v>8</v>
      </c>
      <c r="EQ167" s="21">
        <f t="shared" si="220"/>
        <v>0</v>
      </c>
      <c r="ER167" s="21">
        <f t="shared" si="220"/>
        <v>8</v>
      </c>
      <c r="ES167" s="21">
        <f t="shared" si="220"/>
        <v>0</v>
      </c>
      <c r="ET167" s="21">
        <f t="shared" si="220"/>
        <v>8</v>
      </c>
      <c r="EU167" s="21">
        <f t="shared" si="220"/>
        <v>0</v>
      </c>
      <c r="EV167" s="21">
        <f t="shared" si="220"/>
        <v>8</v>
      </c>
      <c r="EW167" s="21">
        <f t="shared" si="220"/>
        <v>4</v>
      </c>
      <c r="EX167" s="21">
        <f t="shared" si="220"/>
        <v>8</v>
      </c>
      <c r="EY167" s="21"/>
      <c r="EZ167" s="21" t="s">
        <v>522</v>
      </c>
      <c r="FA167" s="21">
        <v>0</v>
      </c>
      <c r="FB167" s="21">
        <f t="shared" ref="FB167:FM169" si="221">FB4/5*4</f>
        <v>0</v>
      </c>
      <c r="FC167" s="21">
        <f t="shared" si="221"/>
        <v>0</v>
      </c>
      <c r="FD167" s="21">
        <f t="shared" si="221"/>
        <v>0</v>
      </c>
      <c r="FE167" s="21">
        <f t="shared" si="221"/>
        <v>8</v>
      </c>
      <c r="FF167" s="21">
        <f t="shared" si="221"/>
        <v>4</v>
      </c>
      <c r="FG167" s="21">
        <f t="shared" si="221"/>
        <v>8</v>
      </c>
      <c r="FH167" s="21">
        <f t="shared" si="221"/>
        <v>8</v>
      </c>
      <c r="FI167" s="21">
        <f t="shared" si="221"/>
        <v>0</v>
      </c>
      <c r="FJ167" s="21">
        <f t="shared" si="221"/>
        <v>4</v>
      </c>
      <c r="FK167" s="21">
        <f t="shared" si="221"/>
        <v>4</v>
      </c>
      <c r="FL167" s="21">
        <f t="shared" si="221"/>
        <v>8</v>
      </c>
      <c r="FM167" s="21">
        <f t="shared" si="221"/>
        <v>4</v>
      </c>
      <c r="FN167" s="21"/>
      <c r="FO167" s="21" t="s">
        <v>522</v>
      </c>
      <c r="FP167" s="21">
        <v>0</v>
      </c>
      <c r="FQ167" s="21">
        <f t="shared" ref="FQ167:GB169" si="222">FQ4/5*4</f>
        <v>0</v>
      </c>
      <c r="FR167" s="21">
        <f t="shared" si="222"/>
        <v>0</v>
      </c>
      <c r="FS167" s="21">
        <f t="shared" si="222"/>
        <v>4</v>
      </c>
      <c r="FT167" s="21">
        <f t="shared" si="222"/>
        <v>0</v>
      </c>
      <c r="FU167" s="21">
        <f t="shared" si="222"/>
        <v>8</v>
      </c>
      <c r="FV167" s="21">
        <f t="shared" si="222"/>
        <v>0</v>
      </c>
      <c r="FW167" s="21">
        <f t="shared" si="222"/>
        <v>8</v>
      </c>
      <c r="FX167" s="21">
        <f t="shared" si="222"/>
        <v>4</v>
      </c>
      <c r="FY167" s="21">
        <f t="shared" si="222"/>
        <v>0</v>
      </c>
      <c r="FZ167" s="21">
        <f t="shared" si="222"/>
        <v>8</v>
      </c>
      <c r="GA167" s="21">
        <f t="shared" si="222"/>
        <v>4</v>
      </c>
      <c r="GB167" s="21">
        <f t="shared" si="222"/>
        <v>0</v>
      </c>
      <c r="GC167" s="21"/>
      <c r="GD167" s="21" t="s">
        <v>522</v>
      </c>
      <c r="GE167" s="21">
        <v>0</v>
      </c>
      <c r="GF167" s="21">
        <f t="shared" ref="GF167:GQ169" si="223">GF4/5*4</f>
        <v>4</v>
      </c>
      <c r="GG167" s="21">
        <f t="shared" si="223"/>
        <v>0</v>
      </c>
      <c r="GH167" s="21">
        <f t="shared" si="223"/>
        <v>8</v>
      </c>
      <c r="GI167" s="21">
        <f t="shared" si="223"/>
        <v>0</v>
      </c>
      <c r="GJ167" s="21">
        <f t="shared" si="223"/>
        <v>8</v>
      </c>
      <c r="GK167" s="21">
        <f t="shared" si="223"/>
        <v>8</v>
      </c>
      <c r="GL167" s="21">
        <f t="shared" si="223"/>
        <v>4</v>
      </c>
      <c r="GM167" s="21">
        <f t="shared" si="223"/>
        <v>8</v>
      </c>
      <c r="GN167" s="21">
        <f t="shared" si="223"/>
        <v>4</v>
      </c>
      <c r="GO167" s="21">
        <f t="shared" si="223"/>
        <v>4</v>
      </c>
      <c r="GP167" s="21">
        <f t="shared" si="223"/>
        <v>8</v>
      </c>
      <c r="GQ167" s="21">
        <f t="shared" si="223"/>
        <v>4</v>
      </c>
      <c r="GR167" s="21"/>
      <c r="GS167" s="21" t="s">
        <v>522</v>
      </c>
      <c r="GT167" s="21">
        <v>0</v>
      </c>
      <c r="GU167" s="21">
        <f t="shared" ref="GU167:HF169" si="224">GU4/5*4</f>
        <v>4</v>
      </c>
      <c r="GV167" s="21">
        <f t="shared" si="224"/>
        <v>0</v>
      </c>
      <c r="GW167" s="21">
        <f t="shared" si="224"/>
        <v>8</v>
      </c>
      <c r="GX167" s="21">
        <f t="shared" si="224"/>
        <v>8</v>
      </c>
      <c r="GY167" s="21">
        <f t="shared" si="224"/>
        <v>0</v>
      </c>
      <c r="GZ167" s="21">
        <f t="shared" si="224"/>
        <v>8</v>
      </c>
      <c r="HA167" s="21">
        <f t="shared" si="224"/>
        <v>4</v>
      </c>
      <c r="HB167" s="21">
        <f t="shared" si="224"/>
        <v>4</v>
      </c>
      <c r="HC167" s="21">
        <f t="shared" si="224"/>
        <v>4</v>
      </c>
      <c r="HD167" s="21">
        <f t="shared" si="224"/>
        <v>8</v>
      </c>
      <c r="HE167" s="21">
        <f t="shared" si="224"/>
        <v>4</v>
      </c>
      <c r="HF167" s="21">
        <f t="shared" si="224"/>
        <v>0</v>
      </c>
      <c r="HG167" s="21"/>
      <c r="HH167" s="21"/>
    </row>
    <row r="168" spans="1:216" x14ac:dyDescent="0.25">
      <c r="A168" s="8"/>
      <c r="B168" s="5" t="s">
        <v>116</v>
      </c>
      <c r="C168" s="8"/>
      <c r="D168" s="6" t="s">
        <v>515</v>
      </c>
      <c r="E168" s="8">
        <v>0</v>
      </c>
      <c r="F168" s="5"/>
      <c r="G168" s="5"/>
      <c r="H168" s="5"/>
      <c r="I168" s="5"/>
      <c r="J168" s="5" t="s">
        <v>412</v>
      </c>
      <c r="K168" s="9"/>
      <c r="L168" s="6" t="s">
        <v>208</v>
      </c>
      <c r="M168" s="11">
        <f>INDEX(cennik!$C$2:$L$529,MATCH($L168,cennik!$B$2:$B$522,0),MATCH(M$2,cennik!$C$1:$L$1,0))</f>
        <v>851117</v>
      </c>
      <c r="N168" s="11" t="str">
        <f>INDEX(cennik!$C$2:$L$529,MATCH($L168,cennik!$B$2:$B$522,0),MATCH(N$2,cennik!$C$1:$L$1,0))</f>
        <v>szt.</v>
      </c>
      <c r="O168" s="11">
        <f>O165</f>
        <v>0</v>
      </c>
      <c r="P168" s="34">
        <f>INDEX(cennik!$C$2:$L$529,MATCH($L168,cennik!$B$2:$B$522,0),MATCH(P$2,cennik!$C$1:$L$1,0))</f>
        <v>35.700000000000003</v>
      </c>
      <c r="Q168" s="34">
        <f t="shared" si="214"/>
        <v>0</v>
      </c>
      <c r="R168" s="35">
        <f t="shared" si="211"/>
        <v>0</v>
      </c>
      <c r="S168" s="34">
        <f t="shared" si="212"/>
        <v>35.700000000000003</v>
      </c>
      <c r="T168" s="34">
        <f t="shared" si="213"/>
        <v>0</v>
      </c>
      <c r="U168" s="34">
        <f>INDEX(cennik!$C$2:$L$529,MATCH($L168,cennik!$B$2:$B$522,0),MATCH(U$2,cennik!$C$1:$L$1,0))*O168</f>
        <v>0</v>
      </c>
      <c r="V168" s="25"/>
      <c r="W168" s="189">
        <f>(INDEX(($EL$139:$FI$142,$EL$146:$FI$149,$FL$139:$GI$142,$FL$146:$GI$149),MATCH($L$175,$EK$139:$EK$142,0),MATCH(A176,$EL$138:$FI$138,0),MATCH($G$163,$AE$24:$AE$27,0)))*C176</f>
        <v>0</v>
      </c>
      <c r="X168" s="189">
        <f>(INDEX(($EL$139:$FI$142,$EL$146:$FI$149,$FL$139:$GI$142,$FL$146:$GI$149),MATCH($L$172,$EK$139:$EK$142,0),MATCH(A176,$EL$138:$FI$138,0),MATCH($G$163,$AE$24:$AE$27,0)))*C176</f>
        <v>0</v>
      </c>
      <c r="Y168" s="189">
        <f>(INDEX(($EL$139:$FI$142,$EL$146:$FI$149,$FL$139:$GI$142,$FL$146:$GI$149),MATCH($L$173,$EK$139:$EK$142,0),MATCH(A176,$EL$138:$FI$138,0),MATCH($G$163,$AE$24:$AE$27,0)))*C176</f>
        <v>0</v>
      </c>
      <c r="Z168" s="189">
        <f>(INDEX(($EL$139:$FI$142,$EL$146:$FI$149,$FL$139:$GI$142,$FL$146:$GI$149),MATCH($L$174,$EK$139:$EK$142,0),MATCH(A176,$EL$138:$FI$138,0),MATCH($G$163,$AE$24:$AE$27,0)))*C176</f>
        <v>0</v>
      </c>
      <c r="AA168" s="21"/>
      <c r="AB168" s="21"/>
      <c r="AC168" s="21"/>
      <c r="AD168" s="21"/>
      <c r="AE168" s="21"/>
      <c r="AF168" s="21"/>
      <c r="AG168" s="21"/>
      <c r="AH168" s="21"/>
      <c r="AI168" s="21"/>
      <c r="AJ168" s="21"/>
      <c r="AK168" s="21"/>
      <c r="AL168" s="21"/>
      <c r="AM168" s="21"/>
      <c r="AN168" s="21"/>
      <c r="AO168" s="21"/>
      <c r="AP168" s="21"/>
      <c r="AQ168" s="21"/>
      <c r="AR168" s="21"/>
      <c r="AS168" s="21"/>
      <c r="AT168" s="21"/>
      <c r="AU168" s="21"/>
      <c r="AV168" s="21"/>
      <c r="AW168" s="21"/>
      <c r="AX168" s="21"/>
      <c r="AY168" s="21"/>
      <c r="AZ168" s="21"/>
      <c r="BA168" s="21"/>
      <c r="BB168" s="21"/>
      <c r="BC168" s="21"/>
      <c r="BD168" s="21"/>
      <c r="BE168" s="21"/>
      <c r="BF168" s="21"/>
      <c r="BG168" s="21"/>
      <c r="BH168" s="21" t="s">
        <v>216</v>
      </c>
      <c r="BI168" s="21">
        <f t="shared" ref="BI168:BU170" si="225">BI4/5*4</f>
        <v>0</v>
      </c>
      <c r="BJ168" s="21">
        <f>BJ4/5*4</f>
        <v>0</v>
      </c>
      <c r="BK168" s="21">
        <f t="shared" si="225"/>
        <v>4</v>
      </c>
      <c r="BL168" s="21">
        <f t="shared" si="225"/>
        <v>0</v>
      </c>
      <c r="BM168" s="21">
        <v>4</v>
      </c>
      <c r="BN168" s="21">
        <f t="shared" si="225"/>
        <v>0</v>
      </c>
      <c r="BO168" s="21">
        <v>0</v>
      </c>
      <c r="BP168" s="21">
        <v>0</v>
      </c>
      <c r="BQ168" s="21">
        <v>0</v>
      </c>
      <c r="BR168" s="21">
        <f t="shared" si="225"/>
        <v>0</v>
      </c>
      <c r="BS168" s="21">
        <f t="shared" si="225"/>
        <v>8</v>
      </c>
      <c r="BT168" s="21">
        <v>0</v>
      </c>
      <c r="BU168" s="21">
        <f t="shared" si="225"/>
        <v>8</v>
      </c>
      <c r="BV168" s="21"/>
      <c r="BW168" s="21" t="s">
        <v>216</v>
      </c>
      <c r="BX168" s="21">
        <v>0</v>
      </c>
      <c r="BY168" s="21">
        <f t="shared" si="216"/>
        <v>0</v>
      </c>
      <c r="BZ168" s="21">
        <f t="shared" si="216"/>
        <v>0</v>
      </c>
      <c r="CA168" s="21">
        <f t="shared" si="216"/>
        <v>0</v>
      </c>
      <c r="CB168" s="21">
        <v>0</v>
      </c>
      <c r="CC168" s="21">
        <f t="shared" si="216"/>
        <v>4</v>
      </c>
      <c r="CD168" s="21">
        <v>0</v>
      </c>
      <c r="CE168" s="21">
        <v>4</v>
      </c>
      <c r="CF168" s="21">
        <f t="shared" si="216"/>
        <v>0</v>
      </c>
      <c r="CG168" s="21">
        <v>8</v>
      </c>
      <c r="CH168" s="21">
        <v>0</v>
      </c>
      <c r="CI168" s="21">
        <f t="shared" si="216"/>
        <v>8</v>
      </c>
      <c r="CJ168" s="21">
        <v>0</v>
      </c>
      <c r="CK168" s="21"/>
      <c r="CL168" s="21"/>
      <c r="CM168" s="21"/>
      <c r="CN168" s="21" t="s">
        <v>216</v>
      </c>
      <c r="CO168" s="21">
        <v>0</v>
      </c>
      <c r="CP168" s="21">
        <f t="shared" si="217"/>
        <v>0</v>
      </c>
      <c r="CQ168" s="21">
        <f t="shared" si="217"/>
        <v>0</v>
      </c>
      <c r="CR168" s="21">
        <f t="shared" si="217"/>
        <v>4</v>
      </c>
      <c r="CS168" s="21">
        <f t="shared" si="217"/>
        <v>0</v>
      </c>
      <c r="CT168" s="21">
        <v>0</v>
      </c>
      <c r="CU168" s="21">
        <v>0</v>
      </c>
      <c r="CV168" s="21">
        <v>0</v>
      </c>
      <c r="CW168" s="21">
        <f t="shared" si="217"/>
        <v>4</v>
      </c>
      <c r="CX168" s="21">
        <f t="shared" si="217"/>
        <v>0</v>
      </c>
      <c r="CY168" s="21">
        <f t="shared" si="217"/>
        <v>8</v>
      </c>
      <c r="CZ168" s="21">
        <v>0</v>
      </c>
      <c r="DA168" s="21">
        <v>8</v>
      </c>
      <c r="DB168" s="21"/>
      <c r="DC168" s="21" t="s">
        <v>216</v>
      </c>
      <c r="DD168" s="21">
        <f t="shared" si="218"/>
        <v>0</v>
      </c>
      <c r="DE168" s="21">
        <f t="shared" si="218"/>
        <v>4</v>
      </c>
      <c r="DF168" s="21">
        <f t="shared" si="218"/>
        <v>0</v>
      </c>
      <c r="DG168" s="21">
        <f t="shared" si="218"/>
        <v>8</v>
      </c>
      <c r="DH168" s="21">
        <f t="shared" si="218"/>
        <v>0</v>
      </c>
      <c r="DI168" s="21">
        <v>0</v>
      </c>
      <c r="DJ168" s="21">
        <v>0</v>
      </c>
      <c r="DK168" s="21">
        <f t="shared" si="218"/>
        <v>4</v>
      </c>
      <c r="DL168" s="21">
        <f t="shared" si="218"/>
        <v>8</v>
      </c>
      <c r="DM168" s="21">
        <v>8</v>
      </c>
      <c r="DN168" s="21">
        <f t="shared" si="218"/>
        <v>4</v>
      </c>
      <c r="DO168" s="21">
        <f t="shared" si="218"/>
        <v>8</v>
      </c>
      <c r="DP168" s="21">
        <v>8</v>
      </c>
      <c r="DQ168" s="87"/>
      <c r="DR168" s="87">
        <v>12</v>
      </c>
      <c r="DS168" s="87"/>
      <c r="DT168" s="21" t="s">
        <v>216</v>
      </c>
      <c r="DU168" s="21">
        <v>0</v>
      </c>
      <c r="DV168" s="21">
        <f t="shared" si="219"/>
        <v>4</v>
      </c>
      <c r="DW168" s="21">
        <f t="shared" si="219"/>
        <v>0</v>
      </c>
      <c r="DX168" s="21">
        <f t="shared" si="219"/>
        <v>8</v>
      </c>
      <c r="DY168" s="21">
        <f t="shared" si="219"/>
        <v>8</v>
      </c>
      <c r="DZ168" s="21">
        <f t="shared" si="219"/>
        <v>0</v>
      </c>
      <c r="EA168" s="21">
        <f t="shared" si="219"/>
        <v>8</v>
      </c>
      <c r="EB168" s="21">
        <f t="shared" si="219"/>
        <v>4</v>
      </c>
      <c r="EC168" s="21">
        <f t="shared" si="219"/>
        <v>4</v>
      </c>
      <c r="ED168" s="21">
        <f t="shared" si="219"/>
        <v>4</v>
      </c>
      <c r="EE168" s="21">
        <f t="shared" si="219"/>
        <v>8</v>
      </c>
      <c r="EF168" s="21">
        <f t="shared" si="219"/>
        <v>4</v>
      </c>
      <c r="EG168" s="21">
        <f t="shared" si="219"/>
        <v>0</v>
      </c>
      <c r="EH168" s="21"/>
      <c r="EI168" s="21"/>
      <c r="EJ168" s="21"/>
      <c r="EK168" s="21" t="s">
        <v>523</v>
      </c>
      <c r="EL168" s="21">
        <v>0</v>
      </c>
      <c r="EM168" s="21">
        <f t="shared" si="220"/>
        <v>4</v>
      </c>
      <c r="EN168" s="21">
        <f t="shared" si="220"/>
        <v>0</v>
      </c>
      <c r="EO168" s="21">
        <f t="shared" si="220"/>
        <v>0</v>
      </c>
      <c r="EP168" s="21">
        <f t="shared" si="220"/>
        <v>0</v>
      </c>
      <c r="EQ168" s="21">
        <f t="shared" si="220"/>
        <v>12</v>
      </c>
      <c r="ER168" s="21">
        <f t="shared" si="220"/>
        <v>4</v>
      </c>
      <c r="ES168" s="21">
        <f t="shared" si="220"/>
        <v>16</v>
      </c>
      <c r="ET168" s="21">
        <f t="shared" si="220"/>
        <v>8</v>
      </c>
      <c r="EU168" s="21">
        <f t="shared" si="220"/>
        <v>20</v>
      </c>
      <c r="EV168" s="21">
        <f t="shared" si="220"/>
        <v>12</v>
      </c>
      <c r="EW168" s="21">
        <f t="shared" si="220"/>
        <v>20</v>
      </c>
      <c r="EX168" s="21">
        <f t="shared" si="220"/>
        <v>16</v>
      </c>
      <c r="EY168" s="21"/>
      <c r="EZ168" s="21" t="s">
        <v>523</v>
      </c>
      <c r="FA168" s="21">
        <v>0</v>
      </c>
      <c r="FB168" s="21">
        <f t="shared" si="221"/>
        <v>4</v>
      </c>
      <c r="FC168" s="21">
        <f t="shared" si="221"/>
        <v>0</v>
      </c>
      <c r="FD168" s="21">
        <f t="shared" si="221"/>
        <v>0</v>
      </c>
      <c r="FE168" s="21">
        <f t="shared" si="221"/>
        <v>0</v>
      </c>
      <c r="FF168" s="21">
        <f t="shared" si="221"/>
        <v>8</v>
      </c>
      <c r="FG168" s="21">
        <f t="shared" si="221"/>
        <v>4</v>
      </c>
      <c r="FH168" s="21">
        <f t="shared" si="221"/>
        <v>8</v>
      </c>
      <c r="FI168" s="21">
        <f t="shared" si="221"/>
        <v>20</v>
      </c>
      <c r="FJ168" s="21">
        <f t="shared" si="221"/>
        <v>16</v>
      </c>
      <c r="FK168" s="21">
        <f t="shared" si="221"/>
        <v>20</v>
      </c>
      <c r="FL168" s="21">
        <f t="shared" si="221"/>
        <v>16</v>
      </c>
      <c r="FM168" s="21">
        <f t="shared" si="221"/>
        <v>24</v>
      </c>
      <c r="FN168" s="21"/>
      <c r="FO168" s="21" t="s">
        <v>523</v>
      </c>
      <c r="FP168" s="21">
        <v>0</v>
      </c>
      <c r="FQ168" s="21">
        <f t="shared" si="222"/>
        <v>4</v>
      </c>
      <c r="FR168" s="21">
        <f t="shared" si="222"/>
        <v>0</v>
      </c>
      <c r="FS168" s="21">
        <f t="shared" si="222"/>
        <v>4</v>
      </c>
      <c r="FT168" s="21">
        <f t="shared" si="222"/>
        <v>12</v>
      </c>
      <c r="FU168" s="21">
        <f t="shared" si="222"/>
        <v>4</v>
      </c>
      <c r="FV168" s="21">
        <f t="shared" si="222"/>
        <v>16</v>
      </c>
      <c r="FW168" s="21">
        <f t="shared" si="222"/>
        <v>8</v>
      </c>
      <c r="FX168" s="21">
        <f t="shared" si="222"/>
        <v>16</v>
      </c>
      <c r="FY168" s="21">
        <f t="shared" si="222"/>
        <v>24</v>
      </c>
      <c r="FZ168" s="21">
        <f t="shared" si="222"/>
        <v>16</v>
      </c>
      <c r="GA168" s="21">
        <f t="shared" si="222"/>
        <v>24</v>
      </c>
      <c r="GB168" s="21">
        <f t="shared" si="222"/>
        <v>32</v>
      </c>
      <c r="GC168" s="21"/>
      <c r="GD168" s="21" t="s">
        <v>523</v>
      </c>
      <c r="GE168" s="21">
        <v>0</v>
      </c>
      <c r="GF168" s="21">
        <f t="shared" si="223"/>
        <v>0</v>
      </c>
      <c r="GG168" s="21">
        <f t="shared" si="223"/>
        <v>0</v>
      </c>
      <c r="GH168" s="21">
        <f t="shared" si="223"/>
        <v>0</v>
      </c>
      <c r="GI168" s="21">
        <f t="shared" si="223"/>
        <v>12</v>
      </c>
      <c r="GJ168" s="21">
        <f t="shared" si="223"/>
        <v>4</v>
      </c>
      <c r="GK168" s="21">
        <f t="shared" si="223"/>
        <v>8</v>
      </c>
      <c r="GL168" s="21">
        <f t="shared" si="223"/>
        <v>16</v>
      </c>
      <c r="GM168" s="21">
        <f t="shared" si="223"/>
        <v>12</v>
      </c>
      <c r="GN168" s="21">
        <f t="shared" si="223"/>
        <v>20</v>
      </c>
      <c r="GO168" s="21">
        <f t="shared" si="223"/>
        <v>24</v>
      </c>
      <c r="GP168" s="21">
        <f t="shared" si="223"/>
        <v>20</v>
      </c>
      <c r="GQ168" s="21">
        <f t="shared" si="223"/>
        <v>28</v>
      </c>
      <c r="GR168" s="21"/>
      <c r="GS168" s="21" t="s">
        <v>523</v>
      </c>
      <c r="GT168" s="21">
        <v>0</v>
      </c>
      <c r="GU168" s="21">
        <f t="shared" si="224"/>
        <v>0</v>
      </c>
      <c r="GV168" s="21">
        <f t="shared" si="224"/>
        <v>0</v>
      </c>
      <c r="GW168" s="21">
        <f t="shared" si="224"/>
        <v>0</v>
      </c>
      <c r="GX168" s="21">
        <f t="shared" si="224"/>
        <v>4</v>
      </c>
      <c r="GY168" s="21">
        <f t="shared" si="224"/>
        <v>16</v>
      </c>
      <c r="GZ168" s="21">
        <f t="shared" si="224"/>
        <v>8</v>
      </c>
      <c r="HA168" s="21">
        <f t="shared" si="224"/>
        <v>16</v>
      </c>
      <c r="HB168" s="21">
        <f t="shared" si="224"/>
        <v>20</v>
      </c>
      <c r="HC168" s="21">
        <f t="shared" si="224"/>
        <v>24</v>
      </c>
      <c r="HD168" s="21">
        <f t="shared" si="224"/>
        <v>20</v>
      </c>
      <c r="HE168" s="21">
        <f t="shared" si="224"/>
        <v>28</v>
      </c>
      <c r="HF168" s="21">
        <f t="shared" si="224"/>
        <v>36</v>
      </c>
      <c r="HG168" s="21"/>
      <c r="HH168" s="21"/>
    </row>
    <row r="169" spans="1:216" x14ac:dyDescent="0.25">
      <c r="A169" s="8"/>
      <c r="B169" s="5" t="s">
        <v>116</v>
      </c>
      <c r="C169" s="8"/>
      <c r="D169" s="6" t="s">
        <v>511</v>
      </c>
      <c r="E169" s="4"/>
      <c r="F169" s="6"/>
      <c r="G169" s="6"/>
      <c r="H169" s="6"/>
      <c r="I169" s="6"/>
      <c r="J169" s="1"/>
      <c r="K169" s="9"/>
      <c r="L169" s="6" t="str">
        <f>IF(E173=1000,"CMP41H41/1,7MC",IF(E173=2000,"CMP41H41/3MC","-------"))</f>
        <v>CMP41H41/3MC</v>
      </c>
      <c r="M169" s="11">
        <f>INDEX(cennik!$C$2:$L$529,MATCH($L169,cennik!$B$2:$B$522,0),MATCH(M$2,cennik!$C$1:$L$1,0))</f>
        <v>6441305</v>
      </c>
      <c r="N169" s="11" t="str">
        <f>INDEX(cennik!$C$2:$L$529,MATCH($L169,cennik!$B$2:$B$522,0),MATCH(N$2,cennik!$C$1:$L$1,0))</f>
        <v>szt.</v>
      </c>
      <c r="O169" s="11">
        <f>SUM(AA152:AA167)</f>
        <v>0</v>
      </c>
      <c r="P169" s="34">
        <f>INDEX(cennik!$C$2:$L$529,MATCH($L169,cennik!$B$2:$B$522,0),MATCH(P$2,cennik!$C$1:$L$1,0))</f>
        <v>69.55</v>
      </c>
      <c r="Q169" s="34">
        <f t="shared" si="214"/>
        <v>0</v>
      </c>
      <c r="R169" s="35">
        <f t="shared" si="211"/>
        <v>0</v>
      </c>
      <c r="S169" s="34">
        <f t="shared" si="212"/>
        <v>69.55</v>
      </c>
      <c r="T169" s="34">
        <f t="shared" si="213"/>
        <v>0</v>
      </c>
      <c r="U169" s="34">
        <f>INDEX(cennik!$C$2:$L$529,MATCH($L169,cennik!$B$2:$B$522,0),MATCH(U$2,cennik!$C$1:$L$1,0))*O169</f>
        <v>0</v>
      </c>
      <c r="V169" s="25"/>
      <c r="W169" s="189">
        <f>(INDEX(($EL$139:$FI$142,$EL$146:$FI$149,$FL$139:$GI$142,$FL$146:$GI$149),MATCH($L$175,$EK$139:$EK$142,0),MATCH(A177,$EL$138:$FI$138,0),MATCH($G$163,$AE$24:$AE$27,0)))*C177</f>
        <v>0</v>
      </c>
      <c r="X169" s="189">
        <f>(INDEX(($EL$139:$FI$142,$EL$146:$FI$149,$FL$139:$GI$142,$FL$146:$GI$149),MATCH($L$172,$EK$139:$EK$142,0),MATCH(A177,$EL$138:$FI$138,0),MATCH($G$163,$AE$24:$AE$27,0)))*C177</f>
        <v>0</v>
      </c>
      <c r="Y169" s="189">
        <f>(INDEX(($EL$139:$FI$142,$EL$146:$FI$149,$FL$139:$GI$142,$FL$146:$GI$149),MATCH($L$173,$EK$139:$EK$142,0),MATCH(A177,$EL$138:$FI$138,0),MATCH($G$163,$AE$24:$AE$27,0)))*C177</f>
        <v>0</v>
      </c>
      <c r="Z169" s="189">
        <f>(INDEX(($EL$139:$FI$142,$EL$146:$FI$149,$FL$139:$GI$142,$FL$146:$GI$149),MATCH($L$174,$EK$139:$EK$142,0),MATCH(A177,$EL$138:$FI$138,0),MATCH($G$163,$AE$24:$AE$27,0)))*C177</f>
        <v>0</v>
      </c>
      <c r="AA169" s="21"/>
      <c r="AB169" s="21"/>
      <c r="AC169" s="21"/>
      <c r="AD169" s="21"/>
      <c r="AE169" s="21"/>
      <c r="AF169" s="21"/>
      <c r="AG169" s="21"/>
      <c r="AH169" s="21" t="s">
        <v>152</v>
      </c>
      <c r="AI169" s="21" t="s">
        <v>153</v>
      </c>
      <c r="AJ169" s="21"/>
      <c r="AK169" s="21"/>
      <c r="AL169" s="21"/>
      <c r="AM169" s="21"/>
      <c r="AN169" s="21"/>
      <c r="AO169" s="21"/>
      <c r="AP169" s="21"/>
      <c r="AQ169" s="21"/>
      <c r="AR169" s="21"/>
      <c r="AS169" s="21"/>
      <c r="AT169" s="21"/>
      <c r="AU169" s="21"/>
      <c r="AV169" s="21"/>
      <c r="AW169" s="21"/>
      <c r="AX169" s="21"/>
      <c r="AY169" s="21"/>
      <c r="AZ169" s="21"/>
      <c r="BA169" s="21"/>
      <c r="BB169" s="21"/>
      <c r="BC169" s="21"/>
      <c r="BD169" s="21"/>
      <c r="BE169" s="21"/>
      <c r="BF169" s="21"/>
      <c r="BG169" s="21"/>
      <c r="BH169" s="21" t="s">
        <v>17</v>
      </c>
      <c r="BI169" s="21">
        <f t="shared" si="225"/>
        <v>0</v>
      </c>
      <c r="BJ169" s="21">
        <f t="shared" si="225"/>
        <v>4</v>
      </c>
      <c r="BK169" s="21">
        <f t="shared" si="225"/>
        <v>0</v>
      </c>
      <c r="BL169" s="21">
        <f t="shared" si="225"/>
        <v>0</v>
      </c>
      <c r="BM169" s="21">
        <v>4</v>
      </c>
      <c r="BN169" s="21">
        <f t="shared" si="225"/>
        <v>4</v>
      </c>
      <c r="BO169" s="21">
        <v>0</v>
      </c>
      <c r="BP169" s="21">
        <v>0</v>
      </c>
      <c r="BQ169" s="21">
        <v>4</v>
      </c>
      <c r="BR169" s="21">
        <f t="shared" si="225"/>
        <v>4</v>
      </c>
      <c r="BS169" s="21">
        <f t="shared" si="225"/>
        <v>4</v>
      </c>
      <c r="BT169" s="21">
        <v>0</v>
      </c>
      <c r="BU169" s="21">
        <f t="shared" si="225"/>
        <v>0</v>
      </c>
      <c r="BV169" s="21"/>
      <c r="BW169" s="21" t="s">
        <v>17</v>
      </c>
      <c r="BX169" s="21">
        <v>0</v>
      </c>
      <c r="BY169" s="21">
        <f t="shared" si="216"/>
        <v>4</v>
      </c>
      <c r="BZ169" s="21">
        <f t="shared" si="216"/>
        <v>0</v>
      </c>
      <c r="CA169" s="21">
        <f t="shared" si="216"/>
        <v>0</v>
      </c>
      <c r="CB169" s="21">
        <v>4</v>
      </c>
      <c r="CC169" s="21">
        <f t="shared" si="216"/>
        <v>0</v>
      </c>
      <c r="CD169" s="21">
        <v>0</v>
      </c>
      <c r="CE169" s="21">
        <v>4</v>
      </c>
      <c r="CF169" s="21">
        <f t="shared" si="216"/>
        <v>4</v>
      </c>
      <c r="CG169" s="21">
        <v>4</v>
      </c>
      <c r="CH169" s="21">
        <v>0</v>
      </c>
      <c r="CI169" s="21">
        <f t="shared" si="216"/>
        <v>0</v>
      </c>
      <c r="CJ169" s="21">
        <v>4</v>
      </c>
      <c r="CK169" s="21"/>
      <c r="CL169" s="21"/>
      <c r="CM169" s="21"/>
      <c r="CN169" s="21" t="s">
        <v>17</v>
      </c>
      <c r="CO169" s="21">
        <v>0</v>
      </c>
      <c r="CP169" s="21">
        <f t="shared" si="217"/>
        <v>4</v>
      </c>
      <c r="CQ169" s="21">
        <f t="shared" si="217"/>
        <v>0</v>
      </c>
      <c r="CR169" s="21">
        <f t="shared" si="217"/>
        <v>4</v>
      </c>
      <c r="CS169" s="21">
        <f t="shared" si="217"/>
        <v>4</v>
      </c>
      <c r="CT169" s="21">
        <v>0</v>
      </c>
      <c r="CU169" s="21">
        <v>0</v>
      </c>
      <c r="CV169" s="21">
        <v>4</v>
      </c>
      <c r="CW169" s="21">
        <f t="shared" si="217"/>
        <v>0</v>
      </c>
      <c r="CX169" s="21">
        <f t="shared" si="217"/>
        <v>0</v>
      </c>
      <c r="CY169" s="21">
        <f t="shared" si="217"/>
        <v>0</v>
      </c>
      <c r="CZ169" s="21">
        <v>4</v>
      </c>
      <c r="DA169" s="21">
        <v>4</v>
      </c>
      <c r="DB169" s="21"/>
      <c r="DC169" s="21" t="s">
        <v>17</v>
      </c>
      <c r="DD169" s="21">
        <f t="shared" si="218"/>
        <v>0</v>
      </c>
      <c r="DE169" s="21">
        <f t="shared" si="218"/>
        <v>0</v>
      </c>
      <c r="DF169" s="21">
        <f t="shared" si="218"/>
        <v>0</v>
      </c>
      <c r="DG169" s="21">
        <f t="shared" si="218"/>
        <v>0</v>
      </c>
      <c r="DH169" s="21">
        <f t="shared" si="218"/>
        <v>4</v>
      </c>
      <c r="DI169" s="21">
        <v>0</v>
      </c>
      <c r="DJ169" s="21">
        <v>4</v>
      </c>
      <c r="DK169" s="21">
        <f t="shared" si="218"/>
        <v>0</v>
      </c>
      <c r="DL169" s="21">
        <f t="shared" si="218"/>
        <v>4</v>
      </c>
      <c r="DM169" s="21">
        <v>0</v>
      </c>
      <c r="DN169" s="21">
        <f t="shared" si="218"/>
        <v>0</v>
      </c>
      <c r="DO169" s="21">
        <f t="shared" si="218"/>
        <v>4</v>
      </c>
      <c r="DP169" s="21">
        <v>0</v>
      </c>
      <c r="DQ169" s="87"/>
      <c r="DR169" s="87">
        <v>15</v>
      </c>
      <c r="DS169" s="87"/>
      <c r="DT169" s="21" t="s">
        <v>17</v>
      </c>
      <c r="DU169" s="21">
        <v>0</v>
      </c>
      <c r="DV169" s="21">
        <f t="shared" si="219"/>
        <v>0</v>
      </c>
      <c r="DW169" s="21">
        <f t="shared" si="219"/>
        <v>0</v>
      </c>
      <c r="DX169" s="21">
        <f t="shared" si="219"/>
        <v>0</v>
      </c>
      <c r="DY169" s="21">
        <f t="shared" si="219"/>
        <v>4</v>
      </c>
      <c r="DZ169" s="21">
        <f t="shared" si="219"/>
        <v>0</v>
      </c>
      <c r="EA169" s="21">
        <f t="shared" si="219"/>
        <v>0</v>
      </c>
      <c r="EB169" s="21">
        <f t="shared" si="219"/>
        <v>0</v>
      </c>
      <c r="EC169" s="21">
        <f t="shared" si="219"/>
        <v>4</v>
      </c>
      <c r="ED169" s="21">
        <f t="shared" si="219"/>
        <v>0</v>
      </c>
      <c r="EE169" s="21">
        <f t="shared" si="219"/>
        <v>4</v>
      </c>
      <c r="EF169" s="21">
        <f t="shared" si="219"/>
        <v>4</v>
      </c>
      <c r="EG169" s="21">
        <f t="shared" si="219"/>
        <v>4</v>
      </c>
      <c r="EH169" s="21"/>
      <c r="EI169" s="21"/>
      <c r="EJ169" s="21"/>
      <c r="EK169" s="21" t="s">
        <v>524</v>
      </c>
      <c r="EL169" s="21">
        <v>0</v>
      </c>
      <c r="EM169" s="21">
        <f t="shared" si="220"/>
        <v>0</v>
      </c>
      <c r="EN169" s="21">
        <f t="shared" si="220"/>
        <v>0</v>
      </c>
      <c r="EO169" s="21">
        <f t="shared" si="220"/>
        <v>0</v>
      </c>
      <c r="EP169" s="21">
        <f t="shared" si="220"/>
        <v>4</v>
      </c>
      <c r="EQ169" s="21">
        <f t="shared" si="220"/>
        <v>8</v>
      </c>
      <c r="ER169" s="21">
        <f t="shared" si="220"/>
        <v>8</v>
      </c>
      <c r="ES169" s="21">
        <f t="shared" si="220"/>
        <v>12</v>
      </c>
      <c r="ET169" s="21">
        <f t="shared" si="220"/>
        <v>12</v>
      </c>
      <c r="EU169" s="21">
        <f t="shared" si="220"/>
        <v>16</v>
      </c>
      <c r="EV169" s="21">
        <f t="shared" si="220"/>
        <v>16</v>
      </c>
      <c r="EW169" s="21">
        <f t="shared" si="220"/>
        <v>20</v>
      </c>
      <c r="EX169" s="21">
        <f t="shared" si="220"/>
        <v>20</v>
      </c>
      <c r="EY169" s="21"/>
      <c r="EZ169" s="21" t="s">
        <v>524</v>
      </c>
      <c r="FA169" s="21">
        <v>0</v>
      </c>
      <c r="FB169" s="21">
        <f t="shared" si="221"/>
        <v>0</v>
      </c>
      <c r="FC169" s="21">
        <f t="shared" si="221"/>
        <v>0</v>
      </c>
      <c r="FD169" s="21">
        <f t="shared" si="221"/>
        <v>0</v>
      </c>
      <c r="FE169" s="21">
        <f t="shared" si="221"/>
        <v>4</v>
      </c>
      <c r="FF169" s="21">
        <f t="shared" si="221"/>
        <v>8</v>
      </c>
      <c r="FG169" s="21">
        <f t="shared" si="221"/>
        <v>8</v>
      </c>
      <c r="FH169" s="21">
        <f t="shared" si="221"/>
        <v>12</v>
      </c>
      <c r="FI169" s="21">
        <f t="shared" si="221"/>
        <v>16</v>
      </c>
      <c r="FJ169" s="21">
        <f t="shared" si="221"/>
        <v>16</v>
      </c>
      <c r="FK169" s="21">
        <f t="shared" si="221"/>
        <v>20</v>
      </c>
      <c r="FL169" s="21">
        <f t="shared" si="221"/>
        <v>20</v>
      </c>
      <c r="FM169" s="21">
        <f t="shared" si="221"/>
        <v>24</v>
      </c>
      <c r="FN169" s="21"/>
      <c r="FO169" s="21" t="s">
        <v>524</v>
      </c>
      <c r="FP169" s="21">
        <v>0</v>
      </c>
      <c r="FQ169" s="21">
        <f t="shared" si="222"/>
        <v>0</v>
      </c>
      <c r="FR169" s="21">
        <f t="shared" si="222"/>
        <v>0</v>
      </c>
      <c r="FS169" s="21">
        <f t="shared" si="222"/>
        <v>4</v>
      </c>
      <c r="FT169" s="21">
        <f t="shared" si="222"/>
        <v>8</v>
      </c>
      <c r="FU169" s="21">
        <f t="shared" si="222"/>
        <v>8</v>
      </c>
      <c r="FV169" s="21">
        <f t="shared" si="222"/>
        <v>12</v>
      </c>
      <c r="FW169" s="21">
        <f t="shared" si="222"/>
        <v>12</v>
      </c>
      <c r="FX169" s="21">
        <f t="shared" si="222"/>
        <v>16</v>
      </c>
      <c r="FY169" s="21">
        <f t="shared" si="222"/>
        <v>20</v>
      </c>
      <c r="FZ169" s="21">
        <f t="shared" si="222"/>
        <v>20</v>
      </c>
      <c r="GA169" s="21">
        <f t="shared" si="222"/>
        <v>24</v>
      </c>
      <c r="GB169" s="21">
        <f t="shared" si="222"/>
        <v>28</v>
      </c>
      <c r="GC169" s="21"/>
      <c r="GD169" s="21" t="s">
        <v>524</v>
      </c>
      <c r="GE169" s="21">
        <v>0</v>
      </c>
      <c r="GF169" s="21">
        <f t="shared" si="223"/>
        <v>0</v>
      </c>
      <c r="GG169" s="21">
        <f t="shared" si="223"/>
        <v>0</v>
      </c>
      <c r="GH169" s="21">
        <f t="shared" si="223"/>
        <v>4</v>
      </c>
      <c r="GI169" s="21">
        <f t="shared" si="223"/>
        <v>8</v>
      </c>
      <c r="GJ169" s="21">
        <f t="shared" si="223"/>
        <v>8</v>
      </c>
      <c r="GK169" s="21">
        <f t="shared" si="223"/>
        <v>12</v>
      </c>
      <c r="GL169" s="21">
        <f t="shared" si="223"/>
        <v>16</v>
      </c>
      <c r="GM169" s="21">
        <f t="shared" si="223"/>
        <v>16</v>
      </c>
      <c r="GN169" s="21">
        <f t="shared" si="223"/>
        <v>20</v>
      </c>
      <c r="GO169" s="21">
        <f t="shared" si="223"/>
        <v>24</v>
      </c>
      <c r="GP169" s="21">
        <f t="shared" si="223"/>
        <v>24</v>
      </c>
      <c r="GQ169" s="21">
        <f t="shared" si="223"/>
        <v>28</v>
      </c>
      <c r="GR169" s="21"/>
      <c r="GS169" s="21" t="s">
        <v>524</v>
      </c>
      <c r="GT169" s="21">
        <v>0</v>
      </c>
      <c r="GU169" s="21">
        <f t="shared" si="224"/>
        <v>0</v>
      </c>
      <c r="GV169" s="21">
        <f t="shared" si="224"/>
        <v>0</v>
      </c>
      <c r="GW169" s="21">
        <f t="shared" si="224"/>
        <v>4</v>
      </c>
      <c r="GX169" s="21">
        <f t="shared" si="224"/>
        <v>8</v>
      </c>
      <c r="GY169" s="21">
        <f t="shared" si="224"/>
        <v>12</v>
      </c>
      <c r="GZ169" s="21">
        <f t="shared" si="224"/>
        <v>12</v>
      </c>
      <c r="HA169" s="21">
        <f t="shared" si="224"/>
        <v>16</v>
      </c>
      <c r="HB169" s="21">
        <f t="shared" si="224"/>
        <v>20</v>
      </c>
      <c r="HC169" s="21">
        <f t="shared" si="224"/>
        <v>24</v>
      </c>
      <c r="HD169" s="21">
        <f t="shared" si="224"/>
        <v>24</v>
      </c>
      <c r="HE169" s="21">
        <f t="shared" si="224"/>
        <v>28</v>
      </c>
      <c r="HF169" s="21">
        <f t="shared" si="224"/>
        <v>32</v>
      </c>
      <c r="HG169" s="21"/>
      <c r="HH169" s="21"/>
    </row>
    <row r="170" spans="1:216" x14ac:dyDescent="0.25">
      <c r="A170" s="8"/>
      <c r="B170" s="5" t="s">
        <v>116</v>
      </c>
      <c r="C170" s="8"/>
      <c r="D170" s="6" t="s">
        <v>310</v>
      </c>
      <c r="E170" s="8">
        <v>30</v>
      </c>
      <c r="F170" s="9"/>
      <c r="G170" s="9"/>
      <c r="H170" s="9"/>
      <c r="I170" s="9"/>
      <c r="J170" s="9"/>
      <c r="K170" s="9"/>
      <c r="L170" s="6" t="s">
        <v>1113</v>
      </c>
      <c r="M170" s="11">
        <f>INDEX(cennik!$C$2:$L$529,MATCH($L170,cennik!$B$2:$B$522,0),MATCH(M$2,cennik!$C$1:$L$1,0))</f>
        <v>850154</v>
      </c>
      <c r="N170" s="11" t="str">
        <f>INDEX(cennik!$C$2:$L$529,MATCH($L170,cennik!$B$2:$B$522,0),MATCH(N$2,cennik!$C$1:$L$1,0))</f>
        <v>szt.</v>
      </c>
      <c r="O170" s="11">
        <f>O165</f>
        <v>0</v>
      </c>
      <c r="P170" s="34">
        <f>INDEX(cennik!$C$2:$L$529,MATCH($L170,cennik!$B$2:$B$522,0),MATCH(P$2,cennik!$C$1:$L$1,0))</f>
        <v>14.98</v>
      </c>
      <c r="Q170" s="34">
        <f t="shared" si="214"/>
        <v>0</v>
      </c>
      <c r="R170" s="35">
        <f t="shared" si="211"/>
        <v>0</v>
      </c>
      <c r="S170" s="34">
        <f t="shared" si="212"/>
        <v>14.98</v>
      </c>
      <c r="T170" s="34">
        <f t="shared" si="213"/>
        <v>0</v>
      </c>
      <c r="U170" s="34">
        <f>INDEX(cennik!$C$2:$L$529,MATCH($L170,cennik!$B$2:$B$522,0),MATCH(U$2,cennik!$C$1:$L$1,0))*O170</f>
        <v>0</v>
      </c>
      <c r="V170" s="25"/>
      <c r="W170" s="21"/>
      <c r="X170" s="21"/>
      <c r="Y170" s="21"/>
      <c r="Z170" s="21"/>
      <c r="AA170" s="21"/>
      <c r="AB170" s="21"/>
      <c r="AC170" s="21"/>
      <c r="AD170" s="21"/>
      <c r="AE170" s="21"/>
      <c r="AF170" s="21"/>
      <c r="AG170" s="21"/>
      <c r="AH170" s="21">
        <v>39</v>
      </c>
      <c r="AI170" s="21">
        <v>2200</v>
      </c>
      <c r="AJ170" s="21"/>
      <c r="AK170" s="21"/>
      <c r="AL170" s="21"/>
      <c r="AM170" s="21"/>
      <c r="AN170" s="21"/>
      <c r="AO170" s="21"/>
      <c r="AP170" s="21"/>
      <c r="AQ170" s="21"/>
      <c r="AR170" s="21"/>
      <c r="AS170" s="21"/>
      <c r="AT170" s="21"/>
      <c r="AU170" s="21"/>
      <c r="AV170" s="21"/>
      <c r="AW170" s="21"/>
      <c r="AX170" s="21"/>
      <c r="AY170" s="21"/>
      <c r="AZ170" s="21"/>
      <c r="BA170" s="21"/>
      <c r="BB170" s="21"/>
      <c r="BC170" s="21"/>
      <c r="BD170" s="21"/>
      <c r="BE170" s="21"/>
      <c r="BF170" s="21"/>
      <c r="BG170" s="21"/>
      <c r="BH170" s="20" t="s">
        <v>18</v>
      </c>
      <c r="BI170" s="21">
        <f t="shared" si="225"/>
        <v>0</v>
      </c>
      <c r="BJ170" s="21">
        <f t="shared" si="225"/>
        <v>0</v>
      </c>
      <c r="BK170" s="21">
        <f t="shared" si="225"/>
        <v>0</v>
      </c>
      <c r="BL170" s="21">
        <f t="shared" si="225"/>
        <v>0</v>
      </c>
      <c r="BM170" s="21">
        <v>4</v>
      </c>
      <c r="BN170" s="21">
        <f t="shared" si="225"/>
        <v>4</v>
      </c>
      <c r="BO170" s="21">
        <v>4</v>
      </c>
      <c r="BP170" s="21">
        <v>4</v>
      </c>
      <c r="BQ170" s="21">
        <v>8</v>
      </c>
      <c r="BR170" s="21">
        <f t="shared" si="225"/>
        <v>8</v>
      </c>
      <c r="BS170" s="21">
        <f t="shared" si="225"/>
        <v>12</v>
      </c>
      <c r="BT170" s="21">
        <v>8</v>
      </c>
      <c r="BU170" s="21">
        <f t="shared" si="225"/>
        <v>12</v>
      </c>
      <c r="BV170" s="21"/>
      <c r="BW170" s="21" t="s">
        <v>18</v>
      </c>
      <c r="BX170" s="21">
        <v>0</v>
      </c>
      <c r="BY170" s="21">
        <f t="shared" si="216"/>
        <v>0</v>
      </c>
      <c r="BZ170" s="21">
        <f t="shared" si="216"/>
        <v>0</v>
      </c>
      <c r="CA170" s="21">
        <f t="shared" si="216"/>
        <v>0</v>
      </c>
      <c r="CB170" s="21">
        <v>4</v>
      </c>
      <c r="CC170" s="21">
        <f t="shared" si="216"/>
        <v>4</v>
      </c>
      <c r="CD170" s="21">
        <v>4</v>
      </c>
      <c r="CE170" s="21">
        <v>8</v>
      </c>
      <c r="CF170" s="21">
        <f t="shared" si="216"/>
        <v>8</v>
      </c>
      <c r="CG170" s="21">
        <v>12</v>
      </c>
      <c r="CH170" s="21">
        <v>8</v>
      </c>
      <c r="CI170" s="21">
        <f t="shared" si="216"/>
        <v>12</v>
      </c>
      <c r="CJ170" s="21">
        <v>12</v>
      </c>
      <c r="CK170" s="21"/>
      <c r="CL170" s="21"/>
      <c r="CM170" s="21"/>
      <c r="CN170" s="21" t="s">
        <v>18</v>
      </c>
      <c r="CO170" s="21">
        <v>0</v>
      </c>
      <c r="CP170" s="21">
        <f t="shared" si="217"/>
        <v>0</v>
      </c>
      <c r="CQ170" s="21">
        <f t="shared" si="217"/>
        <v>0</v>
      </c>
      <c r="CR170" s="21">
        <f t="shared" si="217"/>
        <v>4</v>
      </c>
      <c r="CS170" s="21">
        <f t="shared" si="217"/>
        <v>4</v>
      </c>
      <c r="CT170" s="21">
        <v>4</v>
      </c>
      <c r="CU170" s="21">
        <v>4</v>
      </c>
      <c r="CV170" s="21">
        <v>8</v>
      </c>
      <c r="CW170" s="21">
        <f t="shared" si="217"/>
        <v>8</v>
      </c>
      <c r="CX170" s="21">
        <f t="shared" si="217"/>
        <v>8</v>
      </c>
      <c r="CY170" s="21">
        <f t="shared" si="217"/>
        <v>12</v>
      </c>
      <c r="CZ170" s="21">
        <v>12</v>
      </c>
      <c r="DA170" s="21">
        <v>16</v>
      </c>
      <c r="DB170" s="21"/>
      <c r="DC170" s="20" t="s">
        <v>18</v>
      </c>
      <c r="DD170" s="21">
        <f t="shared" si="218"/>
        <v>0</v>
      </c>
      <c r="DE170" s="21">
        <f t="shared" si="218"/>
        <v>0</v>
      </c>
      <c r="DF170" s="21">
        <f t="shared" si="218"/>
        <v>0</v>
      </c>
      <c r="DG170" s="21">
        <f t="shared" si="218"/>
        <v>4</v>
      </c>
      <c r="DH170" s="21">
        <f t="shared" si="218"/>
        <v>4</v>
      </c>
      <c r="DI170" s="21">
        <v>4</v>
      </c>
      <c r="DJ170" s="21">
        <v>8</v>
      </c>
      <c r="DK170" s="21">
        <f t="shared" si="218"/>
        <v>8</v>
      </c>
      <c r="DL170" s="21">
        <f t="shared" si="218"/>
        <v>12</v>
      </c>
      <c r="DM170" s="21">
        <v>12</v>
      </c>
      <c r="DN170" s="21">
        <f t="shared" si="218"/>
        <v>12</v>
      </c>
      <c r="DO170" s="21">
        <f t="shared" si="218"/>
        <v>16</v>
      </c>
      <c r="DP170" s="21">
        <v>16</v>
      </c>
      <c r="DQ170" s="87"/>
      <c r="DR170" s="87">
        <v>18</v>
      </c>
      <c r="DS170" s="87"/>
      <c r="DT170" s="20" t="s">
        <v>18</v>
      </c>
      <c r="DU170" s="20">
        <v>0</v>
      </c>
      <c r="DV170" s="21">
        <f t="shared" si="219"/>
        <v>0</v>
      </c>
      <c r="DW170" s="21">
        <f t="shared" si="219"/>
        <v>0</v>
      </c>
      <c r="DX170" s="21">
        <f t="shared" si="219"/>
        <v>4</v>
      </c>
      <c r="DY170" s="21">
        <f t="shared" si="219"/>
        <v>8</v>
      </c>
      <c r="DZ170" s="21">
        <f t="shared" si="219"/>
        <v>4</v>
      </c>
      <c r="EA170" s="21">
        <f t="shared" si="219"/>
        <v>8</v>
      </c>
      <c r="EB170" s="21">
        <f t="shared" si="219"/>
        <v>8</v>
      </c>
      <c r="EC170" s="21">
        <f t="shared" si="219"/>
        <v>12</v>
      </c>
      <c r="ED170" s="21">
        <f t="shared" si="219"/>
        <v>12</v>
      </c>
      <c r="EE170" s="21">
        <f t="shared" si="219"/>
        <v>16</v>
      </c>
      <c r="EF170" s="21">
        <f t="shared" si="219"/>
        <v>16</v>
      </c>
      <c r="EG170" s="21">
        <f t="shared" si="219"/>
        <v>16</v>
      </c>
      <c r="EH170" s="21"/>
      <c r="EI170" s="21"/>
      <c r="EJ170" s="21"/>
      <c r="EK170" s="21"/>
      <c r="EL170" s="21"/>
      <c r="EM170" s="21"/>
      <c r="EN170" s="21"/>
      <c r="EO170" s="21"/>
      <c r="EP170" s="21"/>
      <c r="EQ170" s="21"/>
      <c r="ER170" s="21"/>
      <c r="ES170" s="21"/>
      <c r="ET170" s="21"/>
      <c r="EU170" s="21"/>
      <c r="EV170" s="21"/>
      <c r="EW170" s="21"/>
      <c r="EX170" s="21"/>
      <c r="EY170" s="21"/>
      <c r="EZ170" s="21"/>
      <c r="FA170" s="21"/>
      <c r="FB170" s="21"/>
      <c r="FC170" s="21"/>
      <c r="FD170" s="21"/>
      <c r="FE170" s="21"/>
      <c r="FF170" s="21"/>
      <c r="FG170" s="21"/>
      <c r="FH170" s="21"/>
      <c r="FI170" s="21"/>
      <c r="FJ170" s="21"/>
      <c r="FK170" s="21"/>
      <c r="FL170" s="21"/>
      <c r="FM170" s="21"/>
      <c r="FN170" s="21"/>
      <c r="FO170" s="21"/>
      <c r="FP170" s="21"/>
      <c r="FQ170" s="21"/>
      <c r="FR170" s="21"/>
      <c r="FS170" s="21"/>
      <c r="FT170" s="21"/>
      <c r="FU170" s="21"/>
      <c r="FV170" s="21"/>
      <c r="FW170" s="21"/>
      <c r="FX170" s="21"/>
      <c r="FY170" s="21"/>
      <c r="FZ170" s="21"/>
      <c r="GA170" s="21"/>
      <c r="GB170" s="21"/>
      <c r="GC170" s="21"/>
      <c r="GD170" s="21"/>
      <c r="GE170" s="21"/>
      <c r="GF170" s="21"/>
      <c r="GG170" s="21"/>
      <c r="GH170" s="21"/>
      <c r="GI170" s="21"/>
      <c r="GJ170" s="21"/>
      <c r="GK170" s="21"/>
      <c r="GL170" s="21"/>
      <c r="GM170" s="21"/>
      <c r="GN170" s="21"/>
      <c r="GO170" s="21"/>
      <c r="GP170" s="21"/>
      <c r="GQ170" s="21"/>
      <c r="GR170" s="21"/>
      <c r="GS170" s="21"/>
      <c r="GT170" s="21"/>
      <c r="GU170" s="21"/>
      <c r="GV170" s="21"/>
      <c r="GW170" s="21"/>
      <c r="GX170" s="21"/>
      <c r="GY170" s="21"/>
      <c r="GZ170" s="21"/>
      <c r="HA170" s="21"/>
      <c r="HB170" s="21"/>
      <c r="HC170" s="21"/>
      <c r="HD170" s="21"/>
      <c r="HE170" s="21"/>
      <c r="HF170" s="21"/>
      <c r="HG170" s="21"/>
      <c r="HH170" s="21"/>
    </row>
    <row r="171" spans="1:216" x14ac:dyDescent="0.25">
      <c r="A171" s="8"/>
      <c r="B171" s="5" t="s">
        <v>116</v>
      </c>
      <c r="C171" s="8"/>
      <c r="D171" s="6" t="s">
        <v>787</v>
      </c>
      <c r="E171" s="8">
        <v>1</v>
      </c>
      <c r="F171" s="39" t="s">
        <v>789</v>
      </c>
      <c r="G171" s="9"/>
      <c r="H171" s="9"/>
      <c r="I171" s="9"/>
      <c r="J171" s="9"/>
      <c r="K171" s="9"/>
      <c r="L171" s="6" t="s">
        <v>445</v>
      </c>
      <c r="M171" s="11">
        <f>INDEX(cennik!$C$2:$L$529,MATCH($L171,cennik!$B$2:$B$522,0),MATCH(M$2,cennik!$C$1:$L$1,0))</f>
        <v>858022</v>
      </c>
      <c r="N171" s="11" t="str">
        <f>INDEX(cennik!$C$2:$L$529,MATCH($L171,cennik!$B$2:$B$522,0),MATCH(N$2,cennik!$C$1:$L$1,0))</f>
        <v>szt.</v>
      </c>
      <c r="O171" s="11">
        <f>0</f>
        <v>0</v>
      </c>
      <c r="P171" s="34">
        <f>INDEX(cennik!$C$2:$L$529,MATCH($L171,cennik!$B$2:$B$522,0),MATCH(P$2,cennik!$C$1:$L$1,0))</f>
        <v>4.5</v>
      </c>
      <c r="Q171" s="34">
        <f t="shared" si="214"/>
        <v>0</v>
      </c>
      <c r="R171" s="35">
        <f t="shared" si="211"/>
        <v>0</v>
      </c>
      <c r="S171" s="34">
        <f t="shared" si="212"/>
        <v>4.5</v>
      </c>
      <c r="T171" s="34">
        <f t="shared" si="213"/>
        <v>0</v>
      </c>
      <c r="U171" s="34">
        <f>INDEX(cennik!$C$2:$L$529,MATCH($L171,cennik!$B$2:$B$522,0),MATCH(U$2,cennik!$C$1:$L$1,0))*O171</f>
        <v>0</v>
      </c>
      <c r="V171" s="25"/>
      <c r="AC171" s="21"/>
      <c r="AD171" s="21"/>
      <c r="AE171" s="21"/>
      <c r="AF171" s="21"/>
      <c r="AG171" s="21"/>
      <c r="AH171" s="21">
        <f>((AH170/3)*AI170)+(((AH170/3)-1)*20)-700</f>
        <v>28140</v>
      </c>
      <c r="AI171" s="21" t="s">
        <v>158</v>
      </c>
      <c r="AJ171" s="21" t="s">
        <v>156</v>
      </c>
      <c r="AK171" s="21" t="s">
        <v>155</v>
      </c>
      <c r="AL171" s="21"/>
      <c r="AM171" s="21" t="s">
        <v>157</v>
      </c>
      <c r="AN171" s="21"/>
      <c r="AO171" s="21"/>
      <c r="AP171" s="21"/>
      <c r="AQ171" s="21"/>
      <c r="AR171" s="21"/>
      <c r="AS171" s="21"/>
      <c r="AT171" s="21"/>
      <c r="AU171" s="21"/>
      <c r="AV171" s="21"/>
      <c r="AW171" s="21"/>
      <c r="AX171" s="21"/>
      <c r="AY171" s="21"/>
      <c r="AZ171" s="21"/>
      <c r="BA171" s="21"/>
      <c r="BB171" s="21"/>
      <c r="BC171" s="21"/>
      <c r="BD171" s="21"/>
      <c r="BE171" s="21"/>
      <c r="BF171" s="21"/>
      <c r="BG171" s="21"/>
      <c r="BH171" s="21"/>
      <c r="BI171" s="21"/>
      <c r="BJ171" s="21"/>
      <c r="BK171" s="21"/>
      <c r="BL171" s="21"/>
      <c r="BM171" s="21"/>
      <c r="BN171" s="21"/>
      <c r="BO171" s="21"/>
      <c r="BP171" s="21"/>
      <c r="BQ171" s="21"/>
      <c r="BR171" s="21"/>
      <c r="BS171" s="21"/>
      <c r="BT171" s="21"/>
      <c r="BU171" s="21"/>
      <c r="BV171" s="21"/>
      <c r="BW171" s="21"/>
      <c r="BX171" s="21"/>
      <c r="BY171" s="21"/>
      <c r="BZ171" s="21"/>
      <c r="CA171" s="21"/>
      <c r="CB171" s="21"/>
      <c r="CC171" s="21"/>
      <c r="CD171" s="21"/>
      <c r="CE171" s="21"/>
      <c r="CF171" s="21"/>
      <c r="CG171" s="21"/>
      <c r="CH171" s="21"/>
      <c r="CI171" s="21"/>
      <c r="CJ171" s="21"/>
      <c r="CK171" s="21"/>
      <c r="CL171" s="21"/>
      <c r="CM171" s="21"/>
      <c r="CN171" s="21"/>
      <c r="CO171" s="21"/>
      <c r="CP171" s="21"/>
      <c r="CQ171" s="21"/>
      <c r="CR171" s="21"/>
      <c r="CS171" s="21"/>
      <c r="CT171" s="21"/>
      <c r="CU171" s="21"/>
      <c r="CV171" s="21"/>
      <c r="CW171" s="21"/>
      <c r="CX171" s="21"/>
      <c r="CY171" s="21"/>
      <c r="CZ171" s="21"/>
      <c r="DA171" s="21"/>
      <c r="DB171" s="21"/>
      <c r="DC171" s="21"/>
      <c r="DD171" s="21"/>
      <c r="DE171" s="21"/>
      <c r="DF171" s="21"/>
      <c r="DG171" s="21"/>
      <c r="DH171" s="21"/>
      <c r="DI171" s="21"/>
      <c r="DJ171" s="21"/>
      <c r="DK171" s="21"/>
      <c r="DL171" s="21"/>
      <c r="DM171" s="21"/>
      <c r="DN171" s="21"/>
      <c r="DO171" s="21"/>
      <c r="DP171" s="21"/>
      <c r="DQ171" s="87"/>
      <c r="DR171" s="87">
        <v>21</v>
      </c>
      <c r="DS171" s="87"/>
      <c r="DT171" s="21"/>
      <c r="DU171" s="21"/>
      <c r="DV171" s="21"/>
      <c r="DW171" s="21"/>
      <c r="DX171" s="21"/>
      <c r="DY171" s="21"/>
      <c r="DZ171" s="21"/>
      <c r="EA171" s="21"/>
      <c r="EB171" s="21"/>
      <c r="EC171" s="21"/>
      <c r="ED171" s="21"/>
      <c r="EE171" s="21"/>
      <c r="EF171" s="21"/>
      <c r="EG171" s="21"/>
      <c r="EH171" s="21"/>
      <c r="EI171" s="21"/>
      <c r="EJ171" s="21"/>
      <c r="EK171" s="21" t="s">
        <v>112</v>
      </c>
      <c r="EL171" s="21">
        <v>0</v>
      </c>
      <c r="EM171" s="21">
        <v>6</v>
      </c>
      <c r="EN171" s="21">
        <v>9</v>
      </c>
      <c r="EO171" s="21">
        <v>12</v>
      </c>
      <c r="EP171" s="21">
        <v>15</v>
      </c>
      <c r="EQ171" s="21">
        <v>18</v>
      </c>
      <c r="ER171" s="21">
        <v>21</v>
      </c>
      <c r="ES171" s="21">
        <v>24</v>
      </c>
      <c r="ET171" s="21">
        <v>27</v>
      </c>
      <c r="EU171" s="21">
        <v>30</v>
      </c>
      <c r="EV171" s="21">
        <v>33</v>
      </c>
      <c r="EW171" s="21">
        <v>36</v>
      </c>
      <c r="EX171" s="21">
        <v>39</v>
      </c>
      <c r="EY171" s="21"/>
      <c r="EZ171" s="21" t="s">
        <v>472</v>
      </c>
      <c r="FA171" s="21">
        <v>0</v>
      </c>
      <c r="FB171" s="21">
        <v>6</v>
      </c>
      <c r="FC171" s="21">
        <v>9</v>
      </c>
      <c r="FD171" s="21">
        <v>12</v>
      </c>
      <c r="FE171" s="21">
        <v>15</v>
      </c>
      <c r="FF171" s="21">
        <v>18</v>
      </c>
      <c r="FG171" s="21">
        <v>21</v>
      </c>
      <c r="FH171" s="21">
        <v>24</v>
      </c>
      <c r="FI171" s="21">
        <v>27</v>
      </c>
      <c r="FJ171" s="21">
        <v>30</v>
      </c>
      <c r="FK171" s="21">
        <v>33</v>
      </c>
      <c r="FL171" s="21">
        <v>36</v>
      </c>
      <c r="FM171" s="21">
        <v>39</v>
      </c>
      <c r="FN171" s="21"/>
      <c r="FO171" s="21" t="s">
        <v>113</v>
      </c>
      <c r="FP171" s="21">
        <v>0</v>
      </c>
      <c r="FQ171" s="21">
        <v>6</v>
      </c>
      <c r="FR171" s="21">
        <v>9</v>
      </c>
      <c r="FS171" s="21">
        <v>12</v>
      </c>
      <c r="FT171" s="21">
        <v>15</v>
      </c>
      <c r="FU171" s="21">
        <v>18</v>
      </c>
      <c r="FV171" s="21">
        <v>21</v>
      </c>
      <c r="FW171" s="21">
        <v>24</v>
      </c>
      <c r="FX171" s="21">
        <v>27</v>
      </c>
      <c r="FY171" s="21">
        <v>30</v>
      </c>
      <c r="FZ171" s="21">
        <v>33</v>
      </c>
      <c r="GA171" s="21">
        <v>36</v>
      </c>
      <c r="GB171" s="21">
        <v>39</v>
      </c>
      <c r="GC171" s="21"/>
      <c r="GD171" s="21" t="s">
        <v>478</v>
      </c>
      <c r="GE171" s="21">
        <v>0</v>
      </c>
      <c r="GF171" s="21">
        <v>6</v>
      </c>
      <c r="GG171" s="21">
        <v>9</v>
      </c>
      <c r="GH171" s="21">
        <v>12</v>
      </c>
      <c r="GI171" s="21">
        <v>15</v>
      </c>
      <c r="GJ171" s="21">
        <v>18</v>
      </c>
      <c r="GK171" s="21">
        <v>21</v>
      </c>
      <c r="GL171" s="21">
        <v>24</v>
      </c>
      <c r="GM171" s="21">
        <v>27</v>
      </c>
      <c r="GN171" s="21">
        <v>30</v>
      </c>
      <c r="GO171" s="21">
        <v>33</v>
      </c>
      <c r="GP171" s="21">
        <v>36</v>
      </c>
      <c r="GQ171" s="21">
        <v>39</v>
      </c>
      <c r="GR171" s="21"/>
      <c r="GS171" s="21" t="s">
        <v>507</v>
      </c>
      <c r="GT171" s="21">
        <v>0</v>
      </c>
      <c r="GU171" s="21">
        <v>6</v>
      </c>
      <c r="GV171" s="21">
        <v>9</v>
      </c>
      <c r="GW171" s="21">
        <v>12</v>
      </c>
      <c r="GX171" s="21">
        <v>15</v>
      </c>
      <c r="GY171" s="21">
        <v>18</v>
      </c>
      <c r="GZ171" s="21">
        <v>21</v>
      </c>
      <c r="HA171" s="21">
        <v>24</v>
      </c>
      <c r="HB171" s="21">
        <v>27</v>
      </c>
      <c r="HC171" s="21">
        <v>30</v>
      </c>
      <c r="HD171" s="21">
        <v>33</v>
      </c>
      <c r="HE171" s="21">
        <v>36</v>
      </c>
      <c r="HF171" s="21">
        <v>39</v>
      </c>
      <c r="HG171" s="21"/>
      <c r="HH171" s="21"/>
    </row>
    <row r="172" spans="1:216" x14ac:dyDescent="0.25">
      <c r="A172" s="8"/>
      <c r="B172" s="5" t="s">
        <v>116</v>
      </c>
      <c r="C172" s="8"/>
      <c r="D172" s="6" t="s">
        <v>788</v>
      </c>
      <c r="E172" s="8" t="s">
        <v>1157</v>
      </c>
      <c r="F172" s="39" t="s">
        <v>790</v>
      </c>
      <c r="G172" s="9"/>
      <c r="H172" s="9"/>
      <c r="I172" s="9"/>
      <c r="J172" s="9"/>
      <c r="K172" s="9"/>
      <c r="L172" s="6" t="s">
        <v>586</v>
      </c>
      <c r="M172" s="11">
        <f>INDEX(cennik!$C$2:$L$529,MATCH($L172,cennik!$B$2:$B$522,0),MATCH(M$2,cennik!$C$1:$L$1,0))</f>
        <v>867566</v>
      </c>
      <c r="N172" s="11" t="str">
        <f>INDEX(cennik!$C$2:$L$529,MATCH($L172,cennik!$B$2:$B$522,0),MATCH(N$2,cennik!$C$1:$L$1,0))</f>
        <v>szt.</v>
      </c>
      <c r="O172" s="11">
        <f>SUM(X154:X169)</f>
        <v>0</v>
      </c>
      <c r="P172" s="34">
        <f>INDEX(cennik!$C$2:$L$529,MATCH($L172,cennik!$B$2:$B$522,0),MATCH(P$2,cennik!$C$1:$L$1,0))</f>
        <v>265.20999999999998</v>
      </c>
      <c r="Q172" s="34">
        <f t="shared" si="214"/>
        <v>0</v>
      </c>
      <c r="R172" s="35">
        <f t="shared" si="211"/>
        <v>0</v>
      </c>
      <c r="S172" s="34">
        <f t="shared" si="212"/>
        <v>265.20999999999998</v>
      </c>
      <c r="T172" s="34">
        <f t="shared" si="213"/>
        <v>0</v>
      </c>
      <c r="U172" s="34">
        <f>INDEX(cennik!$C$2:$L$529,MATCH($L172,cennik!$B$2:$B$522,0),MATCH(U$2,cennik!$C$1:$L$1,0))*O172</f>
        <v>0</v>
      </c>
      <c r="V172" s="25"/>
      <c r="AC172" s="21"/>
      <c r="AD172" s="21"/>
      <c r="AE172" s="21"/>
      <c r="AF172" s="21"/>
      <c r="AG172" s="21" t="s">
        <v>217</v>
      </c>
      <c r="AH172" s="21">
        <v>6600</v>
      </c>
      <c r="AI172" s="21">
        <v>3</v>
      </c>
      <c r="AJ172" s="21">
        <f>AH172*AI172</f>
        <v>19800</v>
      </c>
      <c r="AK172" s="21">
        <v>191.1</v>
      </c>
      <c r="AL172" s="21">
        <f>AI172*AK172</f>
        <v>573.29999999999995</v>
      </c>
      <c r="AM172" s="21">
        <f>AI172*4</f>
        <v>12</v>
      </c>
      <c r="AN172" s="21"/>
      <c r="AO172" s="21"/>
      <c r="AP172" s="21"/>
      <c r="AQ172" s="21"/>
      <c r="AR172" s="21"/>
      <c r="AS172" s="21"/>
      <c r="AT172" s="21"/>
      <c r="AU172" s="21"/>
      <c r="AV172" s="21"/>
      <c r="AW172" s="21"/>
      <c r="AX172" s="21"/>
      <c r="AY172" s="21"/>
      <c r="AZ172" s="21"/>
      <c r="BA172" s="21"/>
      <c r="BB172" s="21"/>
      <c r="BC172" s="21"/>
      <c r="BD172" s="21"/>
      <c r="BE172" s="21"/>
      <c r="BF172" s="21"/>
      <c r="BG172" s="21"/>
      <c r="BH172" s="21" t="s">
        <v>112</v>
      </c>
      <c r="BI172" s="21">
        <v>0</v>
      </c>
      <c r="BJ172" s="21">
        <v>6</v>
      </c>
      <c r="BK172" s="21">
        <v>9</v>
      </c>
      <c r="BL172" s="21">
        <v>12</v>
      </c>
      <c r="BM172" s="21">
        <v>15</v>
      </c>
      <c r="BN172" s="21">
        <v>18</v>
      </c>
      <c r="BO172" s="21">
        <v>21</v>
      </c>
      <c r="BP172" s="21">
        <v>24</v>
      </c>
      <c r="BQ172" s="21">
        <v>27</v>
      </c>
      <c r="BR172" s="21">
        <v>30</v>
      </c>
      <c r="BS172" s="21">
        <v>33</v>
      </c>
      <c r="BT172" s="21">
        <v>36</v>
      </c>
      <c r="BU172" s="21">
        <v>39</v>
      </c>
      <c r="BV172" s="21"/>
      <c r="BW172" s="21" t="s">
        <v>472</v>
      </c>
      <c r="BX172" s="21">
        <v>0</v>
      </c>
      <c r="BY172" s="21">
        <v>6</v>
      </c>
      <c r="BZ172" s="21">
        <v>9</v>
      </c>
      <c r="CA172" s="21">
        <v>12</v>
      </c>
      <c r="CB172" s="21">
        <v>15</v>
      </c>
      <c r="CC172" s="21">
        <v>18</v>
      </c>
      <c r="CD172" s="21">
        <v>21</v>
      </c>
      <c r="CE172" s="21">
        <v>24</v>
      </c>
      <c r="CF172" s="21">
        <v>27</v>
      </c>
      <c r="CG172" s="21">
        <v>30</v>
      </c>
      <c r="CH172" s="21">
        <v>33</v>
      </c>
      <c r="CI172" s="21">
        <v>36</v>
      </c>
      <c r="CJ172" s="21">
        <v>39</v>
      </c>
      <c r="CK172" s="21"/>
      <c r="CL172" s="21"/>
      <c r="CM172" s="21"/>
      <c r="CN172" s="21" t="s">
        <v>113</v>
      </c>
      <c r="CO172" s="21">
        <v>0</v>
      </c>
      <c r="CP172" s="21">
        <v>6</v>
      </c>
      <c r="CQ172" s="21">
        <v>9</v>
      </c>
      <c r="CR172" s="21">
        <v>12</v>
      </c>
      <c r="CS172" s="21">
        <v>15</v>
      </c>
      <c r="CT172" s="21">
        <v>18</v>
      </c>
      <c r="CU172" s="21">
        <v>21</v>
      </c>
      <c r="CV172" s="21">
        <v>24</v>
      </c>
      <c r="CW172" s="21">
        <v>27</v>
      </c>
      <c r="CX172" s="21">
        <v>30</v>
      </c>
      <c r="CY172" s="21">
        <v>33</v>
      </c>
      <c r="CZ172" s="21">
        <v>36</v>
      </c>
      <c r="DA172" s="21">
        <v>39</v>
      </c>
      <c r="DB172" s="21"/>
      <c r="DC172" s="21" t="s">
        <v>478</v>
      </c>
      <c r="DD172" s="21">
        <v>0</v>
      </c>
      <c r="DE172" s="21">
        <v>6</v>
      </c>
      <c r="DF172" s="21">
        <v>9</v>
      </c>
      <c r="DG172" s="21">
        <v>12</v>
      </c>
      <c r="DH172" s="21">
        <v>15</v>
      </c>
      <c r="DI172" s="21">
        <v>18</v>
      </c>
      <c r="DJ172" s="21">
        <v>21</v>
      </c>
      <c r="DK172" s="21">
        <v>24</v>
      </c>
      <c r="DL172" s="21">
        <v>27</v>
      </c>
      <c r="DM172" s="21">
        <v>30</v>
      </c>
      <c r="DN172" s="21">
        <v>33</v>
      </c>
      <c r="DO172" s="21">
        <v>36</v>
      </c>
      <c r="DP172" s="21">
        <v>39</v>
      </c>
      <c r="DQ172" s="87"/>
      <c r="DR172" s="87">
        <v>24</v>
      </c>
      <c r="DS172" s="87"/>
      <c r="DT172" s="21" t="s">
        <v>507</v>
      </c>
      <c r="DU172" s="21">
        <v>0</v>
      </c>
      <c r="DV172" s="21">
        <v>8</v>
      </c>
      <c r="DW172" s="21">
        <v>12</v>
      </c>
      <c r="DX172" s="21">
        <v>16</v>
      </c>
      <c r="DY172" s="21">
        <v>20</v>
      </c>
      <c r="DZ172" s="21">
        <v>24</v>
      </c>
      <c r="EA172" s="21">
        <v>28</v>
      </c>
      <c r="EB172" s="21">
        <v>32</v>
      </c>
      <c r="EC172" s="21">
        <v>36</v>
      </c>
      <c r="ED172" s="21">
        <v>40</v>
      </c>
      <c r="EE172" s="21">
        <v>44</v>
      </c>
      <c r="EF172" s="21">
        <v>48</v>
      </c>
      <c r="EG172" s="21">
        <v>52</v>
      </c>
      <c r="EH172" s="21"/>
      <c r="EI172" s="21"/>
      <c r="EJ172" s="21"/>
      <c r="EK172" s="21" t="s">
        <v>522</v>
      </c>
      <c r="EL172" s="21">
        <v>0</v>
      </c>
      <c r="EM172" s="21">
        <f t="shared" ref="EM172:EX174" si="226">EM10/5*4</f>
        <v>0</v>
      </c>
      <c r="EN172" s="21">
        <f t="shared" si="226"/>
        <v>0</v>
      </c>
      <c r="EO172" s="21">
        <f t="shared" si="226"/>
        <v>0</v>
      </c>
      <c r="EP172" s="21">
        <f t="shared" si="226"/>
        <v>8</v>
      </c>
      <c r="EQ172" s="21">
        <f t="shared" si="226"/>
        <v>0</v>
      </c>
      <c r="ER172" s="21">
        <f t="shared" si="226"/>
        <v>8</v>
      </c>
      <c r="ES172" s="21">
        <f t="shared" si="226"/>
        <v>0</v>
      </c>
      <c r="ET172" s="21">
        <f t="shared" si="226"/>
        <v>8</v>
      </c>
      <c r="EU172" s="21">
        <f t="shared" si="226"/>
        <v>0</v>
      </c>
      <c r="EV172" s="21">
        <f t="shared" si="226"/>
        <v>8</v>
      </c>
      <c r="EW172" s="21">
        <f t="shared" si="226"/>
        <v>4</v>
      </c>
      <c r="EX172" s="21">
        <f t="shared" si="226"/>
        <v>8</v>
      </c>
      <c r="EY172" s="21"/>
      <c r="EZ172" s="21" t="s">
        <v>522</v>
      </c>
      <c r="FA172" s="21">
        <v>0</v>
      </c>
      <c r="FB172" s="21">
        <f t="shared" ref="FB172:FM174" si="227">FB10/5*4</f>
        <v>0</v>
      </c>
      <c r="FC172" s="21">
        <f t="shared" si="227"/>
        <v>0</v>
      </c>
      <c r="FD172" s="21">
        <f t="shared" si="227"/>
        <v>4</v>
      </c>
      <c r="FE172" s="21">
        <f t="shared" si="227"/>
        <v>8</v>
      </c>
      <c r="FF172" s="21">
        <f t="shared" si="227"/>
        <v>8</v>
      </c>
      <c r="FG172" s="21">
        <f t="shared" si="227"/>
        <v>0</v>
      </c>
      <c r="FH172" s="21">
        <f t="shared" si="227"/>
        <v>8</v>
      </c>
      <c r="FI172" s="21">
        <f t="shared" si="227"/>
        <v>4</v>
      </c>
      <c r="FJ172" s="21">
        <f t="shared" si="227"/>
        <v>8</v>
      </c>
      <c r="FK172" s="21">
        <f t="shared" si="227"/>
        <v>4</v>
      </c>
      <c r="FL172" s="21">
        <f t="shared" si="227"/>
        <v>8</v>
      </c>
      <c r="FM172" s="21">
        <f t="shared" si="227"/>
        <v>4</v>
      </c>
      <c r="FN172" s="21"/>
      <c r="FO172" s="21" t="s">
        <v>522</v>
      </c>
      <c r="FP172" s="21">
        <v>0</v>
      </c>
      <c r="FQ172" s="21">
        <f t="shared" ref="FQ172:GB174" si="228">FQ10/5*4</f>
        <v>4</v>
      </c>
      <c r="FR172" s="21">
        <f t="shared" si="228"/>
        <v>0</v>
      </c>
      <c r="FS172" s="21">
        <f t="shared" si="228"/>
        <v>4</v>
      </c>
      <c r="FT172" s="21">
        <f t="shared" si="228"/>
        <v>0</v>
      </c>
      <c r="FU172" s="21">
        <f t="shared" si="228"/>
        <v>8</v>
      </c>
      <c r="FV172" s="21">
        <f t="shared" si="228"/>
        <v>8</v>
      </c>
      <c r="FW172" s="21">
        <f t="shared" si="228"/>
        <v>0</v>
      </c>
      <c r="FX172" s="21">
        <f t="shared" si="228"/>
        <v>4</v>
      </c>
      <c r="FY172" s="21">
        <f t="shared" si="228"/>
        <v>4</v>
      </c>
      <c r="FZ172" s="21">
        <f t="shared" si="228"/>
        <v>8</v>
      </c>
      <c r="GA172" s="21">
        <f t="shared" si="228"/>
        <v>4</v>
      </c>
      <c r="GB172" s="21">
        <f t="shared" si="228"/>
        <v>0</v>
      </c>
      <c r="GC172" s="21"/>
      <c r="GD172" s="21" t="s">
        <v>522</v>
      </c>
      <c r="GE172" s="21">
        <v>0</v>
      </c>
      <c r="GF172" s="21">
        <f t="shared" ref="GF172:GQ174" si="229">GF10/5*4</f>
        <v>4</v>
      </c>
      <c r="GG172" s="21">
        <f t="shared" si="229"/>
        <v>0</v>
      </c>
      <c r="GH172" s="21">
        <f t="shared" si="229"/>
        <v>8</v>
      </c>
      <c r="GI172" s="21">
        <f t="shared" si="229"/>
        <v>4</v>
      </c>
      <c r="GJ172" s="21">
        <f t="shared" si="229"/>
        <v>0</v>
      </c>
      <c r="GK172" s="21">
        <f t="shared" si="229"/>
        <v>8</v>
      </c>
      <c r="GL172" s="21">
        <f t="shared" si="229"/>
        <v>4</v>
      </c>
      <c r="GM172" s="21">
        <f t="shared" si="229"/>
        <v>0</v>
      </c>
      <c r="GN172" s="21">
        <f t="shared" si="229"/>
        <v>8</v>
      </c>
      <c r="GO172" s="21">
        <f t="shared" si="229"/>
        <v>4</v>
      </c>
      <c r="GP172" s="21">
        <f t="shared" si="229"/>
        <v>0</v>
      </c>
      <c r="GQ172" s="21">
        <f t="shared" si="229"/>
        <v>4</v>
      </c>
      <c r="GR172" s="21"/>
      <c r="GS172" s="21" t="s">
        <v>522</v>
      </c>
      <c r="GT172" s="21">
        <v>0</v>
      </c>
      <c r="GU172" s="21">
        <f t="shared" ref="GU172:HF174" si="230">GU10/5*4</f>
        <v>4</v>
      </c>
      <c r="GV172" s="21">
        <f t="shared" si="230"/>
        <v>0</v>
      </c>
      <c r="GW172" s="21">
        <f t="shared" si="230"/>
        <v>8</v>
      </c>
      <c r="GX172" s="21">
        <f t="shared" si="230"/>
        <v>8</v>
      </c>
      <c r="GY172" s="21">
        <f t="shared" si="230"/>
        <v>0</v>
      </c>
      <c r="GZ172" s="21">
        <f t="shared" si="230"/>
        <v>0</v>
      </c>
      <c r="HA172" s="21">
        <f t="shared" si="230"/>
        <v>8</v>
      </c>
      <c r="HB172" s="21">
        <f t="shared" si="230"/>
        <v>4</v>
      </c>
      <c r="HC172" s="21">
        <f t="shared" si="230"/>
        <v>4</v>
      </c>
      <c r="HD172" s="21">
        <f t="shared" si="230"/>
        <v>8</v>
      </c>
      <c r="HE172" s="21">
        <f t="shared" si="230"/>
        <v>4</v>
      </c>
      <c r="HF172" s="21">
        <f t="shared" si="230"/>
        <v>0</v>
      </c>
      <c r="HG172" s="21"/>
      <c r="HH172" s="21"/>
    </row>
    <row r="173" spans="1:216" x14ac:dyDescent="0.25">
      <c r="A173" s="8"/>
      <c r="B173" s="5" t="s">
        <v>116</v>
      </c>
      <c r="C173" s="8"/>
      <c r="D173" s="6" t="s">
        <v>718</v>
      </c>
      <c r="E173" s="32">
        <f>INDEX((AQ152:AU154),MATCH(E171,AP152:AP154,0),MATCH(E172,AQ151:AU151,0))</f>
        <v>2000</v>
      </c>
      <c r="F173" s="9"/>
      <c r="G173" s="9"/>
      <c r="H173" s="9"/>
      <c r="I173" s="9"/>
      <c r="J173" s="29" t="s">
        <v>119</v>
      </c>
      <c r="K173" s="9"/>
      <c r="L173" s="6" t="s">
        <v>522</v>
      </c>
      <c r="M173" s="11">
        <f>INDEX(cennik!$C$2:$L$529,MATCH($L173,cennik!$B$2:$B$522,0),MATCH(M$2,cennik!$C$1:$L$1,0))</f>
        <v>867644</v>
      </c>
      <c r="N173" s="11" t="str">
        <f>INDEX(cennik!$C$2:$L$529,MATCH($L173,cennik!$B$2:$B$522,0),MATCH(N$2,cennik!$C$1:$L$1,0))</f>
        <v>szt.</v>
      </c>
      <c r="O173" s="11">
        <f>SUM(Y154:Y169)</f>
        <v>0</v>
      </c>
      <c r="P173" s="34">
        <f>INDEX(cennik!$C$2:$L$529,MATCH($L173,cennik!$B$2:$B$522,0),MATCH(P$2,cennik!$C$1:$L$1,0))</f>
        <v>176.8</v>
      </c>
      <c r="Q173" s="34">
        <f t="shared" si="214"/>
        <v>0</v>
      </c>
      <c r="R173" s="35">
        <f t="shared" si="211"/>
        <v>0</v>
      </c>
      <c r="S173" s="34">
        <f t="shared" si="212"/>
        <v>176.8</v>
      </c>
      <c r="T173" s="34">
        <f t="shared" si="213"/>
        <v>0</v>
      </c>
      <c r="U173" s="34">
        <f>INDEX(cennik!$C$2:$L$529,MATCH($L173,cennik!$B$2:$B$522,0),MATCH(U$2,cennik!$C$1:$L$1,0))*O173</f>
        <v>0</v>
      </c>
      <c r="V173" s="25"/>
      <c r="AC173" s="21"/>
      <c r="AD173" s="21"/>
      <c r="AE173" s="21"/>
      <c r="AF173" s="21"/>
      <c r="AG173" s="21" t="s">
        <v>216</v>
      </c>
      <c r="AH173" s="21">
        <v>4400</v>
      </c>
      <c r="AI173" s="21">
        <v>2</v>
      </c>
      <c r="AJ173" s="21">
        <f>AH173*AI173</f>
        <v>8800</v>
      </c>
      <c r="AK173" s="21">
        <v>127.4</v>
      </c>
      <c r="AL173" s="21">
        <f>AI173*AK173</f>
        <v>254.8</v>
      </c>
      <c r="AM173" s="21">
        <f>AI173*4</f>
        <v>8</v>
      </c>
      <c r="AN173" s="21"/>
      <c r="AO173" s="21"/>
      <c r="AP173" s="21"/>
      <c r="AQ173" s="21"/>
      <c r="AR173" s="21"/>
      <c r="AS173" s="21"/>
      <c r="AT173" s="21"/>
      <c r="AU173" s="21"/>
      <c r="AV173" s="21"/>
      <c r="AW173" s="21"/>
      <c r="AX173" s="21"/>
      <c r="AY173" s="21"/>
      <c r="AZ173" s="21"/>
      <c r="BA173" s="21"/>
      <c r="BB173" s="21"/>
      <c r="BC173" s="21"/>
      <c r="BD173" s="21"/>
      <c r="BE173" s="21"/>
      <c r="BF173" s="21"/>
      <c r="BG173" s="21"/>
      <c r="BH173" s="21" t="s">
        <v>217</v>
      </c>
      <c r="BI173" s="21">
        <f>BI9/5*4</f>
        <v>0</v>
      </c>
      <c r="BJ173" s="21">
        <f t="shared" ref="BJ173:BU173" si="231">BJ9/5*4</f>
        <v>0</v>
      </c>
      <c r="BK173" s="21">
        <f t="shared" si="231"/>
        <v>4</v>
      </c>
      <c r="BL173" s="21">
        <f t="shared" si="231"/>
        <v>4</v>
      </c>
      <c r="BM173" s="21">
        <v>4</v>
      </c>
      <c r="BN173" s="21">
        <f t="shared" si="231"/>
        <v>4</v>
      </c>
      <c r="BO173" s="21">
        <v>8</v>
      </c>
      <c r="BP173" s="21">
        <v>4</v>
      </c>
      <c r="BQ173" s="21">
        <v>8</v>
      </c>
      <c r="BR173" s="21">
        <f t="shared" si="231"/>
        <v>8</v>
      </c>
      <c r="BS173" s="21">
        <f t="shared" si="231"/>
        <v>4</v>
      </c>
      <c r="BT173" s="21">
        <f t="shared" si="231"/>
        <v>8</v>
      </c>
      <c r="BU173" s="21">
        <f t="shared" si="231"/>
        <v>8</v>
      </c>
      <c r="BV173" s="21"/>
      <c r="BW173" s="21" t="s">
        <v>217</v>
      </c>
      <c r="BX173" s="21">
        <v>0</v>
      </c>
      <c r="BY173" s="21">
        <f t="shared" ref="BY173:CI176" si="232">BY9/5*4</f>
        <v>0</v>
      </c>
      <c r="BZ173" s="21">
        <f t="shared" si="232"/>
        <v>4</v>
      </c>
      <c r="CA173" s="21">
        <f t="shared" si="232"/>
        <v>0</v>
      </c>
      <c r="CB173" s="21">
        <v>4</v>
      </c>
      <c r="CC173" s="21">
        <v>4</v>
      </c>
      <c r="CD173" s="21">
        <f t="shared" si="232"/>
        <v>8</v>
      </c>
      <c r="CE173" s="21">
        <v>8</v>
      </c>
      <c r="CF173" s="21">
        <v>8</v>
      </c>
      <c r="CG173" s="21">
        <f t="shared" si="232"/>
        <v>4</v>
      </c>
      <c r="CH173" s="21">
        <f t="shared" si="232"/>
        <v>8</v>
      </c>
      <c r="CI173" s="21">
        <f t="shared" si="232"/>
        <v>8</v>
      </c>
      <c r="CJ173" s="21">
        <v>8</v>
      </c>
      <c r="CK173" s="21"/>
      <c r="CL173" s="21"/>
      <c r="CM173" s="21"/>
      <c r="CN173" s="21" t="s">
        <v>217</v>
      </c>
      <c r="CO173" s="21">
        <f t="shared" ref="CO173:CY176" si="233">CO9/5*4</f>
        <v>0</v>
      </c>
      <c r="CP173" s="21">
        <f t="shared" si="233"/>
        <v>0</v>
      </c>
      <c r="CQ173" s="21">
        <f t="shared" si="233"/>
        <v>4</v>
      </c>
      <c r="CR173" s="21">
        <f t="shared" si="233"/>
        <v>0</v>
      </c>
      <c r="CS173" s="21">
        <f t="shared" si="233"/>
        <v>4</v>
      </c>
      <c r="CT173" s="21">
        <v>8</v>
      </c>
      <c r="CU173" s="21">
        <f t="shared" si="233"/>
        <v>4</v>
      </c>
      <c r="CV173" s="21">
        <f t="shared" si="233"/>
        <v>8</v>
      </c>
      <c r="CW173" s="21">
        <v>4</v>
      </c>
      <c r="CX173" s="21">
        <f t="shared" si="233"/>
        <v>8</v>
      </c>
      <c r="CY173" s="21">
        <f t="shared" si="233"/>
        <v>8</v>
      </c>
      <c r="CZ173" s="21">
        <v>8</v>
      </c>
      <c r="DA173" s="21">
        <v>16</v>
      </c>
      <c r="DB173" s="21"/>
      <c r="DC173" s="21" t="s">
        <v>217</v>
      </c>
      <c r="DD173" s="21">
        <v>0</v>
      </c>
      <c r="DE173" s="21">
        <f>DE9/5*4</f>
        <v>0</v>
      </c>
      <c r="DF173" s="21">
        <f t="shared" ref="DF173:DO173" si="234">DF9/5*4</f>
        <v>4</v>
      </c>
      <c r="DG173" s="21">
        <v>4</v>
      </c>
      <c r="DH173" s="21">
        <f t="shared" si="234"/>
        <v>4</v>
      </c>
      <c r="DI173" s="21">
        <f t="shared" si="234"/>
        <v>8</v>
      </c>
      <c r="DJ173" s="21">
        <v>8</v>
      </c>
      <c r="DK173" s="21">
        <f t="shared" si="234"/>
        <v>8</v>
      </c>
      <c r="DL173" s="21">
        <f t="shared" si="234"/>
        <v>12</v>
      </c>
      <c r="DM173" s="21">
        <f t="shared" si="234"/>
        <v>8</v>
      </c>
      <c r="DN173" s="21">
        <f t="shared" si="234"/>
        <v>12</v>
      </c>
      <c r="DO173" s="21">
        <f t="shared" si="234"/>
        <v>16</v>
      </c>
      <c r="DP173" s="21">
        <v>12</v>
      </c>
      <c r="DQ173" s="87"/>
      <c r="DR173" s="87">
        <v>27</v>
      </c>
      <c r="DS173" s="87"/>
      <c r="DT173" s="21" t="s">
        <v>217</v>
      </c>
      <c r="DU173" s="21">
        <v>0</v>
      </c>
      <c r="DV173" s="21">
        <f>DV9/5*4</f>
        <v>0</v>
      </c>
      <c r="DW173" s="21">
        <f t="shared" ref="DW173:EG173" si="235">DW9/5*4</f>
        <v>4</v>
      </c>
      <c r="DX173" s="21">
        <f t="shared" si="235"/>
        <v>0</v>
      </c>
      <c r="DY173" s="21">
        <f t="shared" si="235"/>
        <v>0</v>
      </c>
      <c r="DZ173" s="21">
        <f t="shared" si="235"/>
        <v>8</v>
      </c>
      <c r="EA173" s="21">
        <f t="shared" si="235"/>
        <v>8</v>
      </c>
      <c r="EB173" s="21">
        <f t="shared" si="235"/>
        <v>4</v>
      </c>
      <c r="EC173" s="21">
        <f t="shared" si="235"/>
        <v>8</v>
      </c>
      <c r="ED173" s="21">
        <f t="shared" si="235"/>
        <v>12</v>
      </c>
      <c r="EE173" s="21">
        <f t="shared" si="235"/>
        <v>8</v>
      </c>
      <c r="EF173" s="21">
        <f t="shared" si="235"/>
        <v>12</v>
      </c>
      <c r="EG173" s="21">
        <f t="shared" si="235"/>
        <v>16</v>
      </c>
      <c r="EH173" s="21"/>
      <c r="EI173" s="21"/>
      <c r="EJ173" s="21"/>
      <c r="EK173" s="21" t="s">
        <v>523</v>
      </c>
      <c r="EL173" s="21">
        <v>0</v>
      </c>
      <c r="EM173" s="21">
        <f t="shared" si="226"/>
        <v>4</v>
      </c>
      <c r="EN173" s="21">
        <f t="shared" si="226"/>
        <v>0</v>
      </c>
      <c r="EO173" s="21">
        <f t="shared" si="226"/>
        <v>0</v>
      </c>
      <c r="EP173" s="21">
        <f t="shared" si="226"/>
        <v>0</v>
      </c>
      <c r="EQ173" s="21">
        <f t="shared" si="226"/>
        <v>12</v>
      </c>
      <c r="ER173" s="21">
        <f t="shared" si="226"/>
        <v>4</v>
      </c>
      <c r="ES173" s="21">
        <f t="shared" si="226"/>
        <v>16</v>
      </c>
      <c r="ET173" s="21">
        <f t="shared" si="226"/>
        <v>8</v>
      </c>
      <c r="EU173" s="21">
        <f t="shared" si="226"/>
        <v>20</v>
      </c>
      <c r="EV173" s="21">
        <f t="shared" si="226"/>
        <v>12</v>
      </c>
      <c r="EW173" s="21">
        <f t="shared" si="226"/>
        <v>20</v>
      </c>
      <c r="EX173" s="21">
        <f t="shared" si="226"/>
        <v>16</v>
      </c>
      <c r="EY173" s="21"/>
      <c r="EZ173" s="21" t="s">
        <v>523</v>
      </c>
      <c r="FA173" s="21">
        <v>0</v>
      </c>
      <c r="FB173" s="21">
        <f t="shared" si="227"/>
        <v>4</v>
      </c>
      <c r="FC173" s="21">
        <f t="shared" si="227"/>
        <v>0</v>
      </c>
      <c r="FD173" s="21">
        <f t="shared" si="227"/>
        <v>4</v>
      </c>
      <c r="FE173" s="21">
        <f t="shared" si="227"/>
        <v>0</v>
      </c>
      <c r="FF173" s="21">
        <f t="shared" si="227"/>
        <v>4</v>
      </c>
      <c r="FG173" s="21">
        <f t="shared" si="227"/>
        <v>16</v>
      </c>
      <c r="FH173" s="21">
        <f t="shared" si="227"/>
        <v>8</v>
      </c>
      <c r="FI173" s="21">
        <f t="shared" si="227"/>
        <v>16</v>
      </c>
      <c r="FJ173" s="21">
        <f t="shared" si="227"/>
        <v>12</v>
      </c>
      <c r="FK173" s="21">
        <f t="shared" si="227"/>
        <v>20</v>
      </c>
      <c r="FL173" s="21">
        <f t="shared" si="227"/>
        <v>16</v>
      </c>
      <c r="FM173" s="21">
        <f t="shared" si="227"/>
        <v>24</v>
      </c>
      <c r="FN173" s="21"/>
      <c r="FO173" s="21" t="s">
        <v>523</v>
      </c>
      <c r="FP173" s="21">
        <v>0</v>
      </c>
      <c r="FQ173" s="21">
        <f t="shared" si="228"/>
        <v>0</v>
      </c>
      <c r="FR173" s="21">
        <f t="shared" si="228"/>
        <v>0</v>
      </c>
      <c r="FS173" s="21">
        <f t="shared" si="228"/>
        <v>4</v>
      </c>
      <c r="FT173" s="21">
        <f t="shared" si="228"/>
        <v>12</v>
      </c>
      <c r="FU173" s="21">
        <f t="shared" si="228"/>
        <v>4</v>
      </c>
      <c r="FV173" s="21">
        <f t="shared" si="228"/>
        <v>8</v>
      </c>
      <c r="FW173" s="21">
        <f t="shared" si="228"/>
        <v>20</v>
      </c>
      <c r="FX173" s="21">
        <f t="shared" si="228"/>
        <v>16</v>
      </c>
      <c r="FY173" s="21">
        <f t="shared" si="228"/>
        <v>20</v>
      </c>
      <c r="FZ173" s="21">
        <f t="shared" si="228"/>
        <v>16</v>
      </c>
      <c r="GA173" s="21">
        <f t="shared" si="228"/>
        <v>24</v>
      </c>
      <c r="GB173" s="21">
        <f t="shared" si="228"/>
        <v>32</v>
      </c>
      <c r="GC173" s="21"/>
      <c r="GD173" s="21" t="s">
        <v>523</v>
      </c>
      <c r="GE173" s="21">
        <v>0</v>
      </c>
      <c r="GF173" s="21">
        <f t="shared" si="229"/>
        <v>0</v>
      </c>
      <c r="GG173" s="21">
        <f t="shared" si="229"/>
        <v>0</v>
      </c>
      <c r="GH173" s="21">
        <f t="shared" si="229"/>
        <v>0</v>
      </c>
      <c r="GI173" s="21">
        <f t="shared" si="229"/>
        <v>8</v>
      </c>
      <c r="GJ173" s="21">
        <f t="shared" si="229"/>
        <v>16</v>
      </c>
      <c r="GK173" s="21">
        <f t="shared" si="229"/>
        <v>8</v>
      </c>
      <c r="GL173" s="21">
        <f t="shared" si="229"/>
        <v>16</v>
      </c>
      <c r="GM173" s="21">
        <f t="shared" si="229"/>
        <v>24</v>
      </c>
      <c r="GN173" s="21">
        <f t="shared" si="229"/>
        <v>16</v>
      </c>
      <c r="GO173" s="21">
        <f t="shared" si="229"/>
        <v>24</v>
      </c>
      <c r="GP173" s="21">
        <f t="shared" si="229"/>
        <v>32</v>
      </c>
      <c r="GQ173" s="21">
        <f t="shared" si="229"/>
        <v>28</v>
      </c>
      <c r="GR173" s="21"/>
      <c r="GS173" s="21" t="s">
        <v>523</v>
      </c>
      <c r="GT173" s="21">
        <v>0</v>
      </c>
      <c r="GU173" s="21">
        <f t="shared" si="230"/>
        <v>0</v>
      </c>
      <c r="GV173" s="21">
        <f t="shared" si="230"/>
        <v>0</v>
      </c>
      <c r="GW173" s="21">
        <f t="shared" si="230"/>
        <v>0</v>
      </c>
      <c r="GX173" s="21">
        <f t="shared" si="230"/>
        <v>4</v>
      </c>
      <c r="GY173" s="21">
        <f t="shared" si="230"/>
        <v>16</v>
      </c>
      <c r="GZ173" s="21">
        <f t="shared" si="230"/>
        <v>20</v>
      </c>
      <c r="HA173" s="21">
        <f t="shared" si="230"/>
        <v>12</v>
      </c>
      <c r="HB173" s="21">
        <f t="shared" si="230"/>
        <v>20</v>
      </c>
      <c r="HC173" s="21">
        <f t="shared" si="230"/>
        <v>24</v>
      </c>
      <c r="HD173" s="21">
        <f t="shared" si="230"/>
        <v>20</v>
      </c>
      <c r="HE173" s="21">
        <f t="shared" si="230"/>
        <v>28</v>
      </c>
      <c r="HF173" s="21">
        <f t="shared" si="230"/>
        <v>36</v>
      </c>
      <c r="HG173" s="21"/>
      <c r="HH173" s="21"/>
    </row>
    <row r="174" spans="1:216" x14ac:dyDescent="0.25">
      <c r="A174" s="8"/>
      <c r="B174" s="5" t="s">
        <v>116</v>
      </c>
      <c r="C174" s="8"/>
      <c r="D174" s="6" t="str">
        <f>IF(E165=$AC$8,"długość śruby GSW","")</f>
        <v/>
      </c>
      <c r="E174" s="38">
        <v>2200</v>
      </c>
      <c r="F174" s="9"/>
      <c r="G174" s="9"/>
      <c r="H174" s="9"/>
      <c r="I174" s="9"/>
      <c r="J174" s="29" t="str">
        <f>IF(E165=$AC$8,"[mm]","")</f>
        <v/>
      </c>
      <c r="K174" s="9"/>
      <c r="L174" s="6" t="s">
        <v>523</v>
      </c>
      <c r="M174" s="11">
        <f>INDEX(cennik!$C$2:$L$529,MATCH($L174,cennik!$B$2:$B$522,0),MATCH(M$2,cennik!$C$1:$L$1,0))</f>
        <v>867633</v>
      </c>
      <c r="N174" s="11" t="str">
        <f>INDEX(cennik!$C$2:$L$529,MATCH($L174,cennik!$B$2:$B$522,0),MATCH(N$2,cennik!$C$1:$L$1,0))</f>
        <v>szt.</v>
      </c>
      <c r="O174" s="11">
        <f>SUM(Z154:Z169)</f>
        <v>0</v>
      </c>
      <c r="P174" s="34">
        <f>INDEX(cennik!$C$2:$L$529,MATCH($L174,cennik!$B$2:$B$522,0),MATCH(P$2,cennik!$C$1:$L$1,0))</f>
        <v>132.6</v>
      </c>
      <c r="Q174" s="34">
        <f t="shared" si="214"/>
        <v>0</v>
      </c>
      <c r="R174" s="35">
        <f t="shared" si="211"/>
        <v>0</v>
      </c>
      <c r="S174" s="34">
        <f t="shared" si="212"/>
        <v>132.6</v>
      </c>
      <c r="T174" s="34">
        <f t="shared" si="213"/>
        <v>0</v>
      </c>
      <c r="U174" s="34">
        <f>INDEX(cennik!$C$2:$L$529,MATCH($L174,cennik!$B$2:$B$522,0),MATCH(U$2,cennik!$C$1:$L$1,0))*O174</f>
        <v>0</v>
      </c>
      <c r="V174" s="25"/>
      <c r="AC174" s="21"/>
      <c r="AD174" s="21"/>
      <c r="AE174" s="21"/>
      <c r="AF174" s="21"/>
      <c r="AG174" s="21" t="s">
        <v>17</v>
      </c>
      <c r="AH174" s="21">
        <v>3300</v>
      </c>
      <c r="AI174" s="21">
        <v>0</v>
      </c>
      <c r="AJ174" s="21">
        <f>AH174*AI174</f>
        <v>0</v>
      </c>
      <c r="AK174" s="21">
        <v>95.55</v>
      </c>
      <c r="AL174" s="21">
        <f>AI174*AK174</f>
        <v>0</v>
      </c>
      <c r="AM174" s="21">
        <f>AI174*4</f>
        <v>0</v>
      </c>
      <c r="AN174" s="21"/>
      <c r="AO174" s="21"/>
      <c r="AP174" s="21"/>
      <c r="AQ174" s="21"/>
      <c r="AR174" s="21"/>
      <c r="AS174" s="21"/>
      <c r="AT174" s="21"/>
      <c r="AU174" s="21"/>
      <c r="AV174" s="21"/>
      <c r="AW174" s="21"/>
      <c r="AX174" s="21"/>
      <c r="AY174" s="21"/>
      <c r="AZ174" s="21"/>
      <c r="BA174" s="21"/>
      <c r="BB174" s="21"/>
      <c r="BC174" s="21"/>
      <c r="BD174" s="21"/>
      <c r="BE174" s="21"/>
      <c r="BF174" s="21"/>
      <c r="BG174" s="21"/>
      <c r="BH174" s="21" t="s">
        <v>216</v>
      </c>
      <c r="BI174" s="21">
        <f t="shared" ref="BI174:BU176" si="236">BI10/5*4</f>
        <v>0</v>
      </c>
      <c r="BJ174" s="21">
        <f t="shared" si="236"/>
        <v>0</v>
      </c>
      <c r="BK174" s="21">
        <f t="shared" si="236"/>
        <v>0</v>
      </c>
      <c r="BL174" s="21">
        <f t="shared" si="236"/>
        <v>0</v>
      </c>
      <c r="BM174" s="21">
        <v>0</v>
      </c>
      <c r="BN174" s="21">
        <f t="shared" si="236"/>
        <v>0</v>
      </c>
      <c r="BO174" s="21">
        <v>0</v>
      </c>
      <c r="BP174" s="21">
        <v>4</v>
      </c>
      <c r="BQ174" s="21">
        <v>0</v>
      </c>
      <c r="BR174" s="21">
        <f t="shared" si="236"/>
        <v>0</v>
      </c>
      <c r="BS174" s="21">
        <f t="shared" si="236"/>
        <v>8</v>
      </c>
      <c r="BT174" s="21">
        <f t="shared" si="236"/>
        <v>4</v>
      </c>
      <c r="BU174" s="21">
        <f t="shared" si="236"/>
        <v>8</v>
      </c>
      <c r="BV174" s="21"/>
      <c r="BW174" s="21" t="s">
        <v>216</v>
      </c>
      <c r="BX174" s="21">
        <v>0</v>
      </c>
      <c r="BY174" s="21">
        <f t="shared" si="232"/>
        <v>0</v>
      </c>
      <c r="BZ174" s="21">
        <f t="shared" si="232"/>
        <v>0</v>
      </c>
      <c r="CA174" s="21">
        <f t="shared" si="232"/>
        <v>4</v>
      </c>
      <c r="CB174" s="21">
        <v>0</v>
      </c>
      <c r="CC174" s="21">
        <v>4</v>
      </c>
      <c r="CD174" s="21">
        <f t="shared" si="232"/>
        <v>0</v>
      </c>
      <c r="CE174" s="21">
        <v>0</v>
      </c>
      <c r="CF174" s="21">
        <v>0</v>
      </c>
      <c r="CG174" s="21">
        <f t="shared" si="232"/>
        <v>8</v>
      </c>
      <c r="CH174" s="21">
        <f t="shared" si="232"/>
        <v>4</v>
      </c>
      <c r="CI174" s="21">
        <f t="shared" si="232"/>
        <v>8</v>
      </c>
      <c r="CJ174" s="21">
        <v>8</v>
      </c>
      <c r="CK174" s="21"/>
      <c r="CL174" s="21"/>
      <c r="CM174" s="21"/>
      <c r="CN174" s="21" t="s">
        <v>216</v>
      </c>
      <c r="CO174" s="21">
        <f t="shared" si="233"/>
        <v>0</v>
      </c>
      <c r="CP174" s="21">
        <f t="shared" si="233"/>
        <v>4</v>
      </c>
      <c r="CQ174" s="21">
        <f t="shared" si="233"/>
        <v>0</v>
      </c>
      <c r="CR174" s="21">
        <f t="shared" si="233"/>
        <v>4</v>
      </c>
      <c r="CS174" s="21">
        <f t="shared" si="233"/>
        <v>0</v>
      </c>
      <c r="CT174" s="21">
        <v>0</v>
      </c>
      <c r="CU174" s="21">
        <f t="shared" si="233"/>
        <v>8</v>
      </c>
      <c r="CV174" s="21">
        <f t="shared" si="233"/>
        <v>0</v>
      </c>
      <c r="CW174" s="21">
        <v>8</v>
      </c>
      <c r="CX174" s="21">
        <f t="shared" si="233"/>
        <v>4</v>
      </c>
      <c r="CY174" s="21">
        <f t="shared" si="233"/>
        <v>8</v>
      </c>
      <c r="CZ174" s="21">
        <v>8</v>
      </c>
      <c r="DA174" s="21">
        <v>0</v>
      </c>
      <c r="DB174" s="21"/>
      <c r="DC174" s="21" t="s">
        <v>216</v>
      </c>
      <c r="DD174" s="21">
        <v>0</v>
      </c>
      <c r="DE174" s="21">
        <f t="shared" ref="DE174:DO176" si="237">DE10/5*4</f>
        <v>4</v>
      </c>
      <c r="DF174" s="21">
        <f t="shared" si="237"/>
        <v>0</v>
      </c>
      <c r="DG174" s="21">
        <v>0</v>
      </c>
      <c r="DH174" s="21">
        <f t="shared" si="237"/>
        <v>4</v>
      </c>
      <c r="DI174" s="21">
        <f t="shared" si="237"/>
        <v>0</v>
      </c>
      <c r="DJ174" s="21">
        <v>0</v>
      </c>
      <c r="DK174" s="21">
        <f t="shared" si="237"/>
        <v>4</v>
      </c>
      <c r="DL174" s="21">
        <f t="shared" si="237"/>
        <v>0</v>
      </c>
      <c r="DM174" s="21">
        <f t="shared" si="237"/>
        <v>8</v>
      </c>
      <c r="DN174" s="21">
        <f t="shared" si="237"/>
        <v>4</v>
      </c>
      <c r="DO174" s="21">
        <f t="shared" si="237"/>
        <v>0</v>
      </c>
      <c r="DP174" s="21">
        <v>8</v>
      </c>
      <c r="DQ174" s="87"/>
      <c r="DR174" s="87">
        <v>30</v>
      </c>
      <c r="DS174" s="87"/>
      <c r="DT174" s="21" t="s">
        <v>216</v>
      </c>
      <c r="DU174" s="21">
        <v>0</v>
      </c>
      <c r="DV174" s="21">
        <f t="shared" ref="DV174:EG176" si="238">DV10/5*4</f>
        <v>4</v>
      </c>
      <c r="DW174" s="21">
        <f t="shared" si="238"/>
        <v>0</v>
      </c>
      <c r="DX174" s="21">
        <f t="shared" si="238"/>
        <v>8</v>
      </c>
      <c r="DY174" s="21">
        <f t="shared" si="238"/>
        <v>8</v>
      </c>
      <c r="DZ174" s="21">
        <f t="shared" si="238"/>
        <v>0</v>
      </c>
      <c r="EA174" s="21">
        <f t="shared" si="238"/>
        <v>0</v>
      </c>
      <c r="EB174" s="21">
        <f t="shared" si="238"/>
        <v>8</v>
      </c>
      <c r="EC174" s="21">
        <f t="shared" si="238"/>
        <v>4</v>
      </c>
      <c r="ED174" s="21">
        <f t="shared" si="238"/>
        <v>4</v>
      </c>
      <c r="EE174" s="21">
        <f t="shared" si="238"/>
        <v>8</v>
      </c>
      <c r="EF174" s="21">
        <f t="shared" si="238"/>
        <v>4</v>
      </c>
      <c r="EG174" s="21">
        <f t="shared" si="238"/>
        <v>0</v>
      </c>
      <c r="EH174" s="21"/>
      <c r="EI174" s="21"/>
      <c r="EJ174" s="21"/>
      <c r="EK174" s="21" t="s">
        <v>524</v>
      </c>
      <c r="EL174" s="21">
        <v>0</v>
      </c>
      <c r="EM174" s="21">
        <f t="shared" si="226"/>
        <v>0</v>
      </c>
      <c r="EN174" s="21">
        <f t="shared" si="226"/>
        <v>0</v>
      </c>
      <c r="EO174" s="21">
        <f t="shared" si="226"/>
        <v>0</v>
      </c>
      <c r="EP174" s="21">
        <f t="shared" si="226"/>
        <v>4</v>
      </c>
      <c r="EQ174" s="21">
        <f t="shared" si="226"/>
        <v>8</v>
      </c>
      <c r="ER174" s="21">
        <f t="shared" si="226"/>
        <v>8</v>
      </c>
      <c r="ES174" s="21">
        <f t="shared" si="226"/>
        <v>12</v>
      </c>
      <c r="ET174" s="21">
        <f t="shared" si="226"/>
        <v>12</v>
      </c>
      <c r="EU174" s="21">
        <f t="shared" si="226"/>
        <v>16</v>
      </c>
      <c r="EV174" s="21">
        <f t="shared" si="226"/>
        <v>16</v>
      </c>
      <c r="EW174" s="21">
        <f t="shared" si="226"/>
        <v>20</v>
      </c>
      <c r="EX174" s="21">
        <f t="shared" si="226"/>
        <v>20</v>
      </c>
      <c r="EY174" s="21"/>
      <c r="EZ174" s="21" t="s">
        <v>524</v>
      </c>
      <c r="FA174" s="21">
        <v>0</v>
      </c>
      <c r="FB174" s="21">
        <f t="shared" si="227"/>
        <v>0</v>
      </c>
      <c r="FC174" s="21">
        <f t="shared" si="227"/>
        <v>0</v>
      </c>
      <c r="FD174" s="21">
        <f t="shared" si="227"/>
        <v>4</v>
      </c>
      <c r="FE174" s="21">
        <f t="shared" si="227"/>
        <v>4</v>
      </c>
      <c r="FF174" s="21">
        <f t="shared" si="227"/>
        <v>8</v>
      </c>
      <c r="FG174" s="21">
        <f t="shared" si="227"/>
        <v>12</v>
      </c>
      <c r="FH174" s="21">
        <f t="shared" si="227"/>
        <v>12</v>
      </c>
      <c r="FI174" s="21">
        <f t="shared" si="227"/>
        <v>16</v>
      </c>
      <c r="FJ174" s="21">
        <f t="shared" si="227"/>
        <v>16</v>
      </c>
      <c r="FK174" s="21">
        <f t="shared" si="227"/>
        <v>20</v>
      </c>
      <c r="FL174" s="21">
        <f t="shared" si="227"/>
        <v>20</v>
      </c>
      <c r="FM174" s="21">
        <f t="shared" si="227"/>
        <v>24</v>
      </c>
      <c r="FN174" s="21"/>
      <c r="FO174" s="21" t="s">
        <v>524</v>
      </c>
      <c r="FP174" s="21">
        <v>0</v>
      </c>
      <c r="FQ174" s="21">
        <f t="shared" si="228"/>
        <v>0</v>
      </c>
      <c r="FR174" s="21">
        <f t="shared" si="228"/>
        <v>0</v>
      </c>
      <c r="FS174" s="21">
        <f t="shared" si="228"/>
        <v>4</v>
      </c>
      <c r="FT174" s="21">
        <f t="shared" si="228"/>
        <v>8</v>
      </c>
      <c r="FU174" s="21">
        <f t="shared" si="228"/>
        <v>8</v>
      </c>
      <c r="FV174" s="21">
        <f t="shared" si="228"/>
        <v>12</v>
      </c>
      <c r="FW174" s="21">
        <f t="shared" si="228"/>
        <v>16</v>
      </c>
      <c r="FX174" s="21">
        <f t="shared" si="228"/>
        <v>16</v>
      </c>
      <c r="FY174" s="21">
        <f t="shared" si="228"/>
        <v>20</v>
      </c>
      <c r="FZ174" s="21">
        <f t="shared" si="228"/>
        <v>20</v>
      </c>
      <c r="GA174" s="21">
        <f t="shared" si="228"/>
        <v>24</v>
      </c>
      <c r="GB174" s="21">
        <f t="shared" si="228"/>
        <v>28</v>
      </c>
      <c r="GC174" s="21"/>
      <c r="GD174" s="21" t="s">
        <v>524</v>
      </c>
      <c r="GE174" s="21">
        <v>0</v>
      </c>
      <c r="GF174" s="21">
        <f t="shared" si="229"/>
        <v>0</v>
      </c>
      <c r="GG174" s="21">
        <f t="shared" si="229"/>
        <v>0</v>
      </c>
      <c r="GH174" s="21">
        <f t="shared" si="229"/>
        <v>4</v>
      </c>
      <c r="GI174" s="21">
        <f t="shared" si="229"/>
        <v>8</v>
      </c>
      <c r="GJ174" s="21">
        <f t="shared" si="229"/>
        <v>12</v>
      </c>
      <c r="GK174" s="21">
        <f t="shared" si="229"/>
        <v>12</v>
      </c>
      <c r="GL174" s="21">
        <f t="shared" si="229"/>
        <v>16</v>
      </c>
      <c r="GM174" s="21">
        <f t="shared" si="229"/>
        <v>20</v>
      </c>
      <c r="GN174" s="21">
        <f t="shared" si="229"/>
        <v>20</v>
      </c>
      <c r="GO174" s="21">
        <f t="shared" si="229"/>
        <v>24</v>
      </c>
      <c r="GP174" s="21">
        <f t="shared" si="229"/>
        <v>28</v>
      </c>
      <c r="GQ174" s="21">
        <f t="shared" si="229"/>
        <v>28</v>
      </c>
      <c r="GR174" s="21"/>
      <c r="GS174" s="21" t="s">
        <v>524</v>
      </c>
      <c r="GT174" s="21">
        <v>0</v>
      </c>
      <c r="GU174" s="21">
        <f t="shared" si="230"/>
        <v>0</v>
      </c>
      <c r="GV174" s="21">
        <f t="shared" si="230"/>
        <v>0</v>
      </c>
      <c r="GW174" s="21">
        <f t="shared" si="230"/>
        <v>4</v>
      </c>
      <c r="GX174" s="21">
        <f t="shared" si="230"/>
        <v>8</v>
      </c>
      <c r="GY174" s="21">
        <f t="shared" si="230"/>
        <v>12</v>
      </c>
      <c r="GZ174" s="21">
        <f t="shared" si="230"/>
        <v>16</v>
      </c>
      <c r="HA174" s="21">
        <f t="shared" si="230"/>
        <v>16</v>
      </c>
      <c r="HB174" s="21">
        <f t="shared" si="230"/>
        <v>20</v>
      </c>
      <c r="HC174" s="21">
        <f t="shared" si="230"/>
        <v>24</v>
      </c>
      <c r="HD174" s="21">
        <f t="shared" si="230"/>
        <v>24</v>
      </c>
      <c r="HE174" s="21">
        <f t="shared" si="230"/>
        <v>28</v>
      </c>
      <c r="HF174" s="21">
        <f t="shared" si="230"/>
        <v>32</v>
      </c>
      <c r="HG174" s="21"/>
      <c r="HH174" s="21"/>
    </row>
    <row r="175" spans="1:216" x14ac:dyDescent="0.25">
      <c r="A175" s="8"/>
      <c r="B175" s="5" t="s">
        <v>116</v>
      </c>
      <c r="C175" s="8"/>
      <c r="D175" s="40" t="s">
        <v>795</v>
      </c>
      <c r="F175" s="9"/>
      <c r="G175" s="9"/>
      <c r="H175" s="9"/>
      <c r="I175" s="9"/>
      <c r="J175" s="9"/>
      <c r="K175" s="9"/>
      <c r="L175" s="6" t="s">
        <v>779</v>
      </c>
      <c r="M175" s="11">
        <f>INDEX(cennik!$C$2:$L$529,MATCH($L175,cennik!$B$2:$B$522,0),MATCH(M$2,cennik!$C$1:$L$1,0))</f>
        <v>856105</v>
      </c>
      <c r="N175" s="11" t="str">
        <f>INDEX(cennik!$C$2:$L$529,MATCH($L175,cennik!$B$2:$B$522,0),MATCH(N$2,cennik!$C$1:$L$1,0))</f>
        <v>szt.</v>
      </c>
      <c r="O175" s="11">
        <f>SUM(W154:W169)</f>
        <v>0</v>
      </c>
      <c r="P175" s="34">
        <f>INDEX(cennik!$C$2:$L$529,MATCH($L175,cennik!$B$2:$B$522,0),MATCH(P$2,cennik!$C$1:$L$1,0))</f>
        <v>21.81</v>
      </c>
      <c r="Q175" s="34">
        <f t="shared" si="214"/>
        <v>0</v>
      </c>
      <c r="R175" s="35">
        <f t="shared" si="211"/>
        <v>0</v>
      </c>
      <c r="S175" s="34">
        <f t="shared" si="212"/>
        <v>21.81</v>
      </c>
      <c r="T175" s="34">
        <f t="shared" si="213"/>
        <v>0</v>
      </c>
      <c r="U175" s="34">
        <f>INDEX(cennik!$C$2:$L$529,MATCH($L175,cennik!$B$2:$B$522,0),MATCH(U$2,cennik!$C$1:$L$1,0))*O175</f>
        <v>0</v>
      </c>
      <c r="V175" s="25"/>
      <c r="AC175" s="21"/>
      <c r="AD175" s="21"/>
      <c r="AE175" s="21"/>
      <c r="AF175" s="21"/>
      <c r="AG175" s="21"/>
      <c r="AH175" s="21" t="s">
        <v>317</v>
      </c>
      <c r="AI175" s="21">
        <f>IF(SUM(AI172:AI174)=0,0,IF(SUM(AI172:AI174)=1,0,IF(SUM(AI172:AI174)&gt;1,(SUM(AI172:AI174)-1),0)))</f>
        <v>4</v>
      </c>
      <c r="AJ175" s="21"/>
      <c r="AK175" s="21">
        <v>7.1</v>
      </c>
      <c r="AL175" s="21">
        <f>AI175*AK175</f>
        <v>28.4</v>
      </c>
      <c r="AM175" s="21">
        <f>AI175*4</f>
        <v>16</v>
      </c>
      <c r="AN175" s="21"/>
      <c r="AO175" s="21"/>
      <c r="AP175" s="21"/>
      <c r="AQ175" s="21"/>
      <c r="AR175" s="21"/>
      <c r="AS175" s="21"/>
      <c r="AT175" s="21"/>
      <c r="AU175" s="21"/>
      <c r="AV175" s="21"/>
      <c r="AW175" s="21"/>
      <c r="AX175" s="21"/>
      <c r="AY175" s="21"/>
      <c r="AZ175" s="21"/>
      <c r="BA175" s="21"/>
      <c r="BB175" s="21"/>
      <c r="BC175" s="21"/>
      <c r="BD175" s="21"/>
      <c r="BE175" s="21"/>
      <c r="BF175" s="21"/>
      <c r="BG175" s="21"/>
      <c r="BH175" s="21" t="s">
        <v>17</v>
      </c>
      <c r="BI175" s="21">
        <f t="shared" si="236"/>
        <v>0</v>
      </c>
      <c r="BJ175" s="21">
        <f t="shared" si="236"/>
        <v>4</v>
      </c>
      <c r="BK175" s="21">
        <f t="shared" si="236"/>
        <v>0</v>
      </c>
      <c r="BL175" s="21">
        <f t="shared" si="236"/>
        <v>0</v>
      </c>
      <c r="BM175" s="21">
        <v>4</v>
      </c>
      <c r="BN175" s="21">
        <f t="shared" si="236"/>
        <v>4</v>
      </c>
      <c r="BO175" s="21">
        <v>0</v>
      </c>
      <c r="BP175" s="21">
        <v>4</v>
      </c>
      <c r="BQ175" s="21">
        <v>4</v>
      </c>
      <c r="BR175" s="21">
        <f t="shared" si="236"/>
        <v>4</v>
      </c>
      <c r="BS175" s="21">
        <f t="shared" si="236"/>
        <v>4</v>
      </c>
      <c r="BT175" s="21">
        <f t="shared" si="236"/>
        <v>4</v>
      </c>
      <c r="BU175" s="21">
        <f t="shared" si="236"/>
        <v>0</v>
      </c>
      <c r="BV175" s="21"/>
      <c r="BW175" s="21" t="s">
        <v>17</v>
      </c>
      <c r="BX175" s="21">
        <v>0</v>
      </c>
      <c r="BY175" s="21">
        <f t="shared" si="232"/>
        <v>4</v>
      </c>
      <c r="BZ175" s="21">
        <f t="shared" si="232"/>
        <v>0</v>
      </c>
      <c r="CA175" s="21">
        <f t="shared" si="232"/>
        <v>4</v>
      </c>
      <c r="CB175" s="21">
        <v>4</v>
      </c>
      <c r="CC175" s="21">
        <v>0</v>
      </c>
      <c r="CD175" s="21">
        <f t="shared" si="232"/>
        <v>0</v>
      </c>
      <c r="CE175" s="21">
        <v>4</v>
      </c>
      <c r="CF175" s="21">
        <v>4</v>
      </c>
      <c r="CG175" s="21">
        <f t="shared" si="232"/>
        <v>4</v>
      </c>
      <c r="CH175" s="21">
        <f t="shared" si="232"/>
        <v>4</v>
      </c>
      <c r="CI175" s="21">
        <f t="shared" si="232"/>
        <v>0</v>
      </c>
      <c r="CJ175" s="21">
        <v>4</v>
      </c>
      <c r="CK175" s="21"/>
      <c r="CL175" s="21"/>
      <c r="CM175" s="21"/>
      <c r="CN175" s="21" t="s">
        <v>17</v>
      </c>
      <c r="CO175" s="21">
        <f t="shared" si="233"/>
        <v>0</v>
      </c>
      <c r="CP175" s="21">
        <f t="shared" si="233"/>
        <v>0</v>
      </c>
      <c r="CQ175" s="21">
        <f t="shared" si="233"/>
        <v>0</v>
      </c>
      <c r="CR175" s="21">
        <f t="shared" si="233"/>
        <v>4</v>
      </c>
      <c r="CS175" s="21">
        <f t="shared" si="233"/>
        <v>4</v>
      </c>
      <c r="CT175" s="21">
        <v>0</v>
      </c>
      <c r="CU175" s="21">
        <f t="shared" si="233"/>
        <v>0</v>
      </c>
      <c r="CV175" s="21">
        <f t="shared" si="233"/>
        <v>4</v>
      </c>
      <c r="CW175" s="21">
        <v>4</v>
      </c>
      <c r="CX175" s="21">
        <f t="shared" si="233"/>
        <v>4</v>
      </c>
      <c r="CY175" s="21">
        <f t="shared" si="233"/>
        <v>0</v>
      </c>
      <c r="CZ175" s="21">
        <v>4</v>
      </c>
      <c r="DA175" s="21">
        <v>0</v>
      </c>
      <c r="DB175" s="21"/>
      <c r="DC175" s="21" t="s">
        <v>17</v>
      </c>
      <c r="DD175" s="21">
        <v>0</v>
      </c>
      <c r="DE175" s="21">
        <f t="shared" si="237"/>
        <v>0</v>
      </c>
      <c r="DF175" s="21">
        <f t="shared" si="237"/>
        <v>0</v>
      </c>
      <c r="DG175" s="21">
        <v>4</v>
      </c>
      <c r="DH175" s="21">
        <f t="shared" si="237"/>
        <v>0</v>
      </c>
      <c r="DI175" s="21">
        <f t="shared" si="237"/>
        <v>0</v>
      </c>
      <c r="DJ175" s="21">
        <v>4</v>
      </c>
      <c r="DK175" s="21">
        <f t="shared" si="237"/>
        <v>0</v>
      </c>
      <c r="DL175" s="21">
        <f t="shared" si="237"/>
        <v>0</v>
      </c>
      <c r="DM175" s="21">
        <f t="shared" si="237"/>
        <v>0</v>
      </c>
      <c r="DN175" s="21">
        <f t="shared" si="237"/>
        <v>0</v>
      </c>
      <c r="DO175" s="21">
        <f t="shared" si="237"/>
        <v>0</v>
      </c>
      <c r="DP175" s="21">
        <v>0</v>
      </c>
      <c r="DQ175" s="87"/>
      <c r="DR175" s="87">
        <v>33</v>
      </c>
      <c r="DS175" s="87"/>
      <c r="DT175" s="21" t="s">
        <v>17</v>
      </c>
      <c r="DU175" s="21">
        <v>0</v>
      </c>
      <c r="DV175" s="21">
        <f t="shared" si="238"/>
        <v>0</v>
      </c>
      <c r="DW175" s="21">
        <f t="shared" si="238"/>
        <v>0</v>
      </c>
      <c r="DX175" s="21">
        <f t="shared" si="238"/>
        <v>0</v>
      </c>
      <c r="DY175" s="21">
        <f t="shared" si="238"/>
        <v>4</v>
      </c>
      <c r="DZ175" s="21">
        <f t="shared" si="238"/>
        <v>0</v>
      </c>
      <c r="EA175" s="21">
        <f t="shared" si="238"/>
        <v>4</v>
      </c>
      <c r="EB175" s="21">
        <f t="shared" si="238"/>
        <v>4</v>
      </c>
      <c r="EC175" s="21">
        <f t="shared" si="238"/>
        <v>4</v>
      </c>
      <c r="ED175" s="21">
        <f t="shared" si="238"/>
        <v>0</v>
      </c>
      <c r="EE175" s="21">
        <f t="shared" si="238"/>
        <v>4</v>
      </c>
      <c r="EF175" s="21">
        <f t="shared" si="238"/>
        <v>4</v>
      </c>
      <c r="EG175" s="21">
        <f t="shared" si="238"/>
        <v>4</v>
      </c>
      <c r="EH175" s="21"/>
      <c r="EI175" s="21"/>
      <c r="EJ175" s="21"/>
      <c r="EK175" s="21"/>
      <c r="EL175" s="21"/>
      <c r="EM175" s="21"/>
      <c r="EN175" s="21"/>
      <c r="EO175" s="21"/>
      <c r="EP175" s="21"/>
      <c r="EQ175" s="21"/>
      <c r="ER175" s="21"/>
      <c r="ES175" s="21"/>
      <c r="ET175" s="21"/>
      <c r="EU175" s="21"/>
      <c r="EV175" s="21"/>
      <c r="EW175" s="21"/>
      <c r="EX175" s="21"/>
      <c r="EY175" s="21"/>
      <c r="EZ175" s="21"/>
      <c r="FA175" s="21"/>
      <c r="FB175" s="21"/>
      <c r="FC175" s="21"/>
      <c r="FD175" s="21"/>
      <c r="FE175" s="21"/>
      <c r="FF175" s="21"/>
      <c r="FG175" s="21"/>
      <c r="FH175" s="21"/>
      <c r="FI175" s="21"/>
      <c r="FJ175" s="21"/>
      <c r="FK175" s="21"/>
      <c r="FL175" s="21"/>
      <c r="FM175" s="21"/>
      <c r="FN175" s="21"/>
      <c r="FO175" s="21"/>
      <c r="FP175" s="21"/>
      <c r="FQ175" s="21"/>
      <c r="FR175" s="21"/>
      <c r="FS175" s="21"/>
      <c r="FT175" s="21"/>
      <c r="FU175" s="21"/>
      <c r="FV175" s="21"/>
      <c r="FW175" s="21"/>
      <c r="FX175" s="21"/>
      <c r="FY175" s="21"/>
      <c r="FZ175" s="21"/>
      <c r="GA175" s="21"/>
      <c r="GB175" s="21"/>
      <c r="GC175" s="21"/>
      <c r="GD175" s="21"/>
      <c r="GE175" s="21"/>
      <c r="GF175" s="21"/>
      <c r="GG175" s="21"/>
      <c r="GH175" s="21"/>
      <c r="GI175" s="21"/>
      <c r="GJ175" s="21"/>
      <c r="GK175" s="21"/>
      <c r="GL175" s="21"/>
      <c r="GM175" s="21"/>
      <c r="GN175" s="21"/>
      <c r="GO175" s="21"/>
      <c r="GP175" s="21"/>
      <c r="GQ175" s="21"/>
      <c r="GR175" s="21"/>
      <c r="GS175" s="21"/>
      <c r="GT175" s="21"/>
      <c r="GU175" s="21"/>
      <c r="GV175" s="21"/>
      <c r="GW175" s="21"/>
      <c r="GX175" s="21"/>
      <c r="GY175" s="21"/>
      <c r="GZ175" s="21"/>
      <c r="HA175" s="21"/>
      <c r="HB175" s="21"/>
      <c r="HC175" s="21"/>
      <c r="HD175" s="21"/>
      <c r="HE175" s="21"/>
      <c r="HF175" s="21"/>
      <c r="HG175" s="21"/>
      <c r="HH175" s="21"/>
    </row>
    <row r="176" spans="1:216" x14ac:dyDescent="0.25">
      <c r="A176" s="8"/>
      <c r="B176" s="5" t="s">
        <v>116</v>
      </c>
      <c r="C176" s="8"/>
      <c r="D176" s="40" t="s">
        <v>796</v>
      </c>
      <c r="E176" s="9"/>
      <c r="F176" s="9"/>
      <c r="G176" s="9"/>
      <c r="H176" s="9"/>
      <c r="I176" s="9"/>
      <c r="J176" s="9"/>
      <c r="K176" s="9"/>
      <c r="L176" s="6" t="str">
        <f>INDEX(($AH$3:$AI$12),MATCH(I163,$AG$3:$AG$12,0),MATCH(E164,$AH$2:$AI$2,0))</f>
        <v>BUF35L</v>
      </c>
      <c r="M176" s="11">
        <f>INDEX(cennik!$C$2:$L$529,MATCH($L176,cennik!$B$2:$B$522,0),MATCH(M$2,cennik!$C$1:$L$1,0))</f>
        <v>827335</v>
      </c>
      <c r="N176" s="11" t="str">
        <f>INDEX(cennik!$C$2:$L$529,MATCH($L176,cennik!$B$2:$B$522,0),MATCH(N$2,cennik!$C$1:$L$1,0))</f>
        <v>szt.</v>
      </c>
      <c r="O176" s="11">
        <f>SUM((C162*8),(C163*8),(C164*8),(C165*8),(C166*8),(C167*8),(C168*8),(C169*8),(C170*8),(C171*8),(C172*8),(C173*8),(C174*8),(C175*8),(C176*8),(C177*8))</f>
        <v>0</v>
      </c>
      <c r="P176" s="34">
        <f>INDEX(cennik!$C$2:$L$529,MATCH($L176,cennik!$B$2:$B$522,0),MATCH(P$2,cennik!$C$1:$L$1,0))</f>
        <v>3.58</v>
      </c>
      <c r="Q176" s="34">
        <f t="shared" si="214"/>
        <v>0</v>
      </c>
      <c r="R176" s="35">
        <f t="shared" si="211"/>
        <v>0</v>
      </c>
      <c r="S176" s="34">
        <f t="shared" si="212"/>
        <v>3.58</v>
      </c>
      <c r="T176" s="34">
        <f t="shared" si="213"/>
        <v>0</v>
      </c>
      <c r="U176" s="34">
        <f>INDEX(cennik!$C$2:$L$529,MATCH($L176,cennik!$B$2:$B$522,0),MATCH(U$2,cennik!$C$1:$L$1,0))*O176</f>
        <v>0</v>
      </c>
      <c r="V176" s="25"/>
      <c r="AC176" s="21"/>
      <c r="AD176" s="21"/>
      <c r="AE176" s="21"/>
      <c r="AF176" s="21"/>
      <c r="AG176" s="21"/>
      <c r="AH176" s="21"/>
      <c r="AI176" s="21"/>
      <c r="AJ176" s="21">
        <f>SUM(AJ172:AJ174)</f>
        <v>28600</v>
      </c>
      <c r="AK176" s="21"/>
      <c r="AL176" s="21">
        <f>SUM(AL172:AL175)</f>
        <v>856.49999999999989</v>
      </c>
      <c r="AM176" s="21"/>
      <c r="AN176" s="21"/>
      <c r="AO176" s="21"/>
      <c r="AP176" s="21"/>
      <c r="AQ176" s="21"/>
      <c r="AR176" s="27" t="s">
        <v>940</v>
      </c>
      <c r="AS176" s="25"/>
      <c r="AT176" s="25"/>
      <c r="AU176" s="25"/>
      <c r="AV176" s="21"/>
      <c r="AX176" s="188"/>
      <c r="AY176" s="21"/>
      <c r="AZ176" s="21"/>
      <c r="BA176" s="21"/>
      <c r="BH176" s="20" t="s">
        <v>18</v>
      </c>
      <c r="BI176" s="21">
        <f t="shared" si="236"/>
        <v>0</v>
      </c>
      <c r="BJ176" s="21">
        <f t="shared" si="236"/>
        <v>0</v>
      </c>
      <c r="BK176" s="21">
        <f t="shared" si="236"/>
        <v>0</v>
      </c>
      <c r="BL176" s="21">
        <f t="shared" si="236"/>
        <v>0</v>
      </c>
      <c r="BM176" s="21">
        <v>4</v>
      </c>
      <c r="BN176" s="21">
        <f t="shared" si="236"/>
        <v>4</v>
      </c>
      <c r="BO176" s="21">
        <v>4</v>
      </c>
      <c r="BP176" s="21">
        <v>8</v>
      </c>
      <c r="BQ176" s="21">
        <v>8</v>
      </c>
      <c r="BR176" s="21">
        <f t="shared" si="236"/>
        <v>8</v>
      </c>
      <c r="BS176" s="21">
        <f t="shared" si="236"/>
        <v>12</v>
      </c>
      <c r="BT176" s="21">
        <f t="shared" si="236"/>
        <v>12</v>
      </c>
      <c r="BU176" s="21">
        <f t="shared" si="236"/>
        <v>12</v>
      </c>
      <c r="BV176" s="21"/>
      <c r="BW176" s="21" t="s">
        <v>18</v>
      </c>
      <c r="BX176" s="21">
        <v>0</v>
      </c>
      <c r="BY176" s="21">
        <f t="shared" si="232"/>
        <v>0</v>
      </c>
      <c r="BZ176" s="21">
        <f t="shared" si="232"/>
        <v>0</v>
      </c>
      <c r="CA176" s="21">
        <f t="shared" si="232"/>
        <v>4</v>
      </c>
      <c r="CB176" s="21">
        <v>4</v>
      </c>
      <c r="CC176" s="21">
        <v>4</v>
      </c>
      <c r="CD176" s="21">
        <f t="shared" si="232"/>
        <v>4</v>
      </c>
      <c r="CE176" s="21">
        <v>8</v>
      </c>
      <c r="CF176" s="21">
        <v>8</v>
      </c>
      <c r="CG176" s="21">
        <f t="shared" si="232"/>
        <v>12</v>
      </c>
      <c r="CH176" s="21">
        <f t="shared" si="232"/>
        <v>12</v>
      </c>
      <c r="CI176" s="21">
        <f t="shared" si="232"/>
        <v>12</v>
      </c>
      <c r="CJ176" s="21">
        <v>16</v>
      </c>
      <c r="CK176" s="21"/>
      <c r="CL176" s="21"/>
      <c r="CM176" s="21"/>
      <c r="CN176" s="20" t="s">
        <v>18</v>
      </c>
      <c r="CO176" s="21">
        <f t="shared" si="233"/>
        <v>0</v>
      </c>
      <c r="CP176" s="21">
        <f t="shared" si="233"/>
        <v>0</v>
      </c>
      <c r="CQ176" s="21">
        <f t="shared" si="233"/>
        <v>0</v>
      </c>
      <c r="CR176" s="21">
        <f t="shared" si="233"/>
        <v>4</v>
      </c>
      <c r="CS176" s="21">
        <f t="shared" si="233"/>
        <v>4</v>
      </c>
      <c r="CT176" s="21">
        <v>4</v>
      </c>
      <c r="CU176" s="21">
        <f t="shared" si="233"/>
        <v>8</v>
      </c>
      <c r="CV176" s="21">
        <f t="shared" si="233"/>
        <v>8</v>
      </c>
      <c r="CW176" s="21">
        <v>12</v>
      </c>
      <c r="CX176" s="21">
        <f t="shared" si="233"/>
        <v>12</v>
      </c>
      <c r="CY176" s="21">
        <f t="shared" si="233"/>
        <v>12</v>
      </c>
      <c r="CZ176" s="21">
        <v>16</v>
      </c>
      <c r="DA176" s="21">
        <v>12</v>
      </c>
      <c r="DB176" s="21"/>
      <c r="DC176" s="21" t="s">
        <v>18</v>
      </c>
      <c r="DD176" s="21">
        <v>0</v>
      </c>
      <c r="DE176" s="21">
        <f t="shared" si="237"/>
        <v>0</v>
      </c>
      <c r="DF176" s="21">
        <f t="shared" si="237"/>
        <v>0</v>
      </c>
      <c r="DG176" s="21">
        <v>4</v>
      </c>
      <c r="DH176" s="21">
        <f t="shared" si="237"/>
        <v>4</v>
      </c>
      <c r="DI176" s="21">
        <f t="shared" si="237"/>
        <v>4</v>
      </c>
      <c r="DJ176" s="21">
        <v>8</v>
      </c>
      <c r="DK176" s="21">
        <f t="shared" si="237"/>
        <v>8</v>
      </c>
      <c r="DL176" s="21">
        <f t="shared" si="237"/>
        <v>8</v>
      </c>
      <c r="DM176" s="21">
        <f t="shared" si="237"/>
        <v>12</v>
      </c>
      <c r="DN176" s="21">
        <f t="shared" si="237"/>
        <v>12</v>
      </c>
      <c r="DO176" s="21">
        <f t="shared" si="237"/>
        <v>12</v>
      </c>
      <c r="DP176" s="21">
        <v>16</v>
      </c>
      <c r="DQ176" s="87"/>
      <c r="DR176" s="87">
        <v>36</v>
      </c>
      <c r="DS176" s="87"/>
      <c r="DT176" s="20" t="s">
        <v>18</v>
      </c>
      <c r="DU176" s="20">
        <v>0</v>
      </c>
      <c r="DV176" s="21">
        <f t="shared" si="238"/>
        <v>0</v>
      </c>
      <c r="DW176" s="21">
        <f t="shared" si="238"/>
        <v>0</v>
      </c>
      <c r="DX176" s="21">
        <f t="shared" si="238"/>
        <v>4</v>
      </c>
      <c r="DY176" s="21">
        <f t="shared" si="238"/>
        <v>8</v>
      </c>
      <c r="DZ176" s="21">
        <f t="shared" si="238"/>
        <v>4</v>
      </c>
      <c r="EA176" s="21">
        <f t="shared" si="238"/>
        <v>8</v>
      </c>
      <c r="EB176" s="21">
        <f t="shared" si="238"/>
        <v>12</v>
      </c>
      <c r="EC176" s="21">
        <f t="shared" si="238"/>
        <v>12</v>
      </c>
      <c r="ED176" s="21">
        <f t="shared" si="238"/>
        <v>12</v>
      </c>
      <c r="EE176" s="21">
        <f t="shared" si="238"/>
        <v>16</v>
      </c>
      <c r="EF176" s="21">
        <f t="shared" si="238"/>
        <v>16</v>
      </c>
      <c r="EG176" s="21">
        <f t="shared" si="238"/>
        <v>16</v>
      </c>
      <c r="EH176" s="21"/>
      <c r="EI176" s="21"/>
      <c r="EJ176" s="21"/>
      <c r="EK176" s="21" t="s">
        <v>132</v>
      </c>
      <c r="EL176" s="21">
        <v>0</v>
      </c>
      <c r="EM176" s="21">
        <v>6</v>
      </c>
      <c r="EN176" s="21">
        <v>9</v>
      </c>
      <c r="EO176" s="21">
        <v>12</v>
      </c>
      <c r="EP176" s="21">
        <v>15</v>
      </c>
      <c r="EQ176" s="21">
        <v>18</v>
      </c>
      <c r="ER176" s="21">
        <v>21</v>
      </c>
      <c r="ES176" s="21">
        <v>24</v>
      </c>
      <c r="ET176" s="21">
        <v>27</v>
      </c>
      <c r="EU176" s="21">
        <v>30</v>
      </c>
      <c r="EV176" s="21">
        <v>33</v>
      </c>
      <c r="EW176" s="21">
        <v>36</v>
      </c>
      <c r="EX176" s="21">
        <v>39</v>
      </c>
      <c r="EY176" s="21"/>
      <c r="EZ176" s="21" t="s">
        <v>471</v>
      </c>
      <c r="FA176" s="21">
        <v>0</v>
      </c>
      <c r="FB176" s="21">
        <v>6</v>
      </c>
      <c r="FC176" s="21">
        <v>9</v>
      </c>
      <c r="FD176" s="21">
        <v>12</v>
      </c>
      <c r="FE176" s="21">
        <v>15</v>
      </c>
      <c r="FF176" s="21">
        <v>18</v>
      </c>
      <c r="FG176" s="21">
        <v>21</v>
      </c>
      <c r="FH176" s="21">
        <v>24</v>
      </c>
      <c r="FI176" s="21">
        <v>27</v>
      </c>
      <c r="FJ176" s="21">
        <v>30</v>
      </c>
      <c r="FK176" s="21">
        <v>33</v>
      </c>
      <c r="FL176" s="21">
        <v>36</v>
      </c>
      <c r="FM176" s="21">
        <v>39</v>
      </c>
      <c r="FN176" s="21"/>
      <c r="FO176" s="21" t="s">
        <v>137</v>
      </c>
      <c r="FP176" s="21">
        <v>0</v>
      </c>
      <c r="FQ176" s="21">
        <v>6</v>
      </c>
      <c r="FR176" s="21">
        <v>9</v>
      </c>
      <c r="FS176" s="21">
        <v>12</v>
      </c>
      <c r="FT176" s="21">
        <v>15</v>
      </c>
      <c r="FU176" s="21">
        <v>18</v>
      </c>
      <c r="FV176" s="21">
        <v>21</v>
      </c>
      <c r="FW176" s="21">
        <v>24</v>
      </c>
      <c r="FX176" s="21">
        <v>27</v>
      </c>
      <c r="FY176" s="21">
        <v>30</v>
      </c>
      <c r="FZ176" s="21">
        <v>33</v>
      </c>
      <c r="GA176" s="21">
        <v>36</v>
      </c>
      <c r="GB176" s="21">
        <v>39</v>
      </c>
      <c r="GC176" s="21"/>
      <c r="GD176" s="21" t="s">
        <v>479</v>
      </c>
      <c r="GE176" s="21">
        <v>0</v>
      </c>
      <c r="GF176" s="21">
        <v>6</v>
      </c>
      <c r="GG176" s="21">
        <v>9</v>
      </c>
      <c r="GH176" s="21">
        <v>12</v>
      </c>
      <c r="GI176" s="21">
        <v>15</v>
      </c>
      <c r="GJ176" s="21">
        <v>18</v>
      </c>
      <c r="GK176" s="21">
        <v>21</v>
      </c>
      <c r="GL176" s="21">
        <v>24</v>
      </c>
      <c r="GM176" s="21">
        <v>27</v>
      </c>
      <c r="GN176" s="21">
        <v>30</v>
      </c>
      <c r="GO176" s="21">
        <v>33</v>
      </c>
      <c r="GP176" s="21">
        <v>36</v>
      </c>
      <c r="GQ176" s="21">
        <v>39</v>
      </c>
      <c r="GR176" s="21"/>
      <c r="GS176" s="21"/>
      <c r="GT176" s="21"/>
      <c r="GU176" s="21"/>
      <c r="GV176" s="21"/>
      <c r="GW176" s="21"/>
      <c r="GX176" s="21"/>
      <c r="GY176" s="21"/>
      <c r="GZ176" s="21"/>
      <c r="HA176" s="21"/>
      <c r="HB176" s="21"/>
      <c r="HC176" s="21"/>
      <c r="HD176" s="21"/>
      <c r="HE176" s="21"/>
      <c r="HF176" s="21"/>
      <c r="HG176" s="21"/>
      <c r="HH176" s="21"/>
    </row>
    <row r="177" spans="1:254" x14ac:dyDescent="0.25">
      <c r="A177" s="8"/>
      <c r="B177" s="5" t="s">
        <v>116</v>
      </c>
      <c r="C177" s="8"/>
      <c r="D177" s="40" t="s">
        <v>797</v>
      </c>
      <c r="E177" s="9"/>
      <c r="F177" s="9"/>
      <c r="G177" s="9"/>
      <c r="H177" s="9"/>
      <c r="I177" s="9"/>
      <c r="J177" s="9"/>
      <c r="K177" s="9"/>
      <c r="L177" s="6" t="str">
        <f>INDEX(($AH$13:$AI$13),1,MATCH(E164,$AH$2:$AI$2,0))</f>
        <v>PUFL</v>
      </c>
      <c r="M177" s="11">
        <f>INDEX(cennik!$C$2:$L$529,MATCH($L177,cennik!$B$2:$B$522,0),MATCH(M$2,cennik!$C$1:$L$1,0))</f>
        <v>897302</v>
      </c>
      <c r="N177" s="11" t="str">
        <f>INDEX(cennik!$C$2:$L$529,MATCH($L177,cennik!$B$2:$B$522,0),MATCH(N$2,cennik!$C$1:$L$1,0))</f>
        <v>szt.</v>
      </c>
      <c r="O177" s="11">
        <f>SUM((((A162/2)-1)*4)*C162,(((A163/2)-1)*4)*C163,(((A164/2)-1)*4)*C164,(((A165/2)-1)*4)*C165,(((A166/2)-1)*4)*C166,(((A167/2)-1)*4)*C167,(((A168/2)-1)*4)*C168,(((A169/2)-1)*4)*C169,(((A170/2)-1)*4)*C170,(((A171/2)-1)*4)*C171,(((A172/2)-1)*4)*C172,(((A173/2)-1)*4)*C173,(((A174/2)-1)*4)*C174,(((A175/2)-1)*4)*C175,(((A176/2)-1)*4)*C176,(((A177/2)-1)*4)*C177)</f>
        <v>0</v>
      </c>
      <c r="P177" s="34">
        <f>INDEX(cennik!$C$2:$L$529,MATCH($L177,cennik!$B$2:$B$522,0),MATCH(P$2,cennik!$C$1:$L$1,0))</f>
        <v>4.3099999999999996</v>
      </c>
      <c r="Q177" s="34">
        <f t="shared" si="214"/>
        <v>0</v>
      </c>
      <c r="R177" s="35">
        <f t="shared" si="211"/>
        <v>0</v>
      </c>
      <c r="S177" s="34">
        <f t="shared" si="212"/>
        <v>4.3099999999999996</v>
      </c>
      <c r="T177" s="34">
        <f t="shared" si="213"/>
        <v>0</v>
      </c>
      <c r="U177" s="34">
        <f>INDEX(cennik!$C$2:$L$529,MATCH($L177,cennik!$B$2:$B$522,0),MATCH(U$2,cennik!$C$1:$L$1,0))*O177</f>
        <v>0</v>
      </c>
      <c r="V177" s="25"/>
      <c r="AC177" s="21"/>
      <c r="AD177" s="21"/>
      <c r="AE177" s="21"/>
      <c r="AF177" s="21"/>
      <c r="AG177" s="21"/>
      <c r="AH177" s="21">
        <f>(AB180-1)*3100</f>
        <v>-3100</v>
      </c>
      <c r="AI177" s="21"/>
      <c r="AJ177" s="21"/>
      <c r="AK177" s="21"/>
      <c r="AL177" s="21"/>
      <c r="AM177" s="21"/>
      <c r="AN177" s="21"/>
      <c r="AO177" s="21"/>
      <c r="AP177" s="21"/>
      <c r="AQ177" s="21"/>
      <c r="AR177" s="25">
        <v>25</v>
      </c>
      <c r="AS177" s="25" t="s">
        <v>314</v>
      </c>
      <c r="AT177" s="25" t="s">
        <v>312</v>
      </c>
      <c r="AU177" s="25" t="s">
        <v>309</v>
      </c>
      <c r="AV177" s="21" t="s">
        <v>313</v>
      </c>
      <c r="AX177" s="188"/>
      <c r="AY177" s="27"/>
      <c r="AZ177" s="27"/>
      <c r="BA177" s="21"/>
      <c r="BH177" s="21"/>
      <c r="BI177" s="21"/>
      <c r="BJ177" s="21"/>
      <c r="BK177" s="21"/>
      <c r="BL177" s="21"/>
      <c r="BM177" s="21"/>
      <c r="BN177" s="21"/>
      <c r="BO177" s="21"/>
      <c r="BP177" s="21"/>
      <c r="BQ177" s="21"/>
      <c r="BR177" s="21"/>
      <c r="BS177" s="21"/>
      <c r="BT177" s="21"/>
      <c r="BU177" s="21"/>
      <c r="BV177" s="21"/>
      <c r="BW177" s="21"/>
      <c r="BX177" s="21"/>
      <c r="BY177" s="21"/>
      <c r="BZ177" s="21"/>
      <c r="CA177" s="21"/>
      <c r="CB177" s="21"/>
      <c r="CC177" s="21"/>
      <c r="CD177" s="21"/>
      <c r="CE177" s="21"/>
      <c r="CF177" s="21"/>
      <c r="CG177" s="21"/>
      <c r="CH177" s="21"/>
      <c r="CI177" s="21"/>
      <c r="CJ177" s="21"/>
      <c r="CK177" s="21"/>
      <c r="CL177" s="21"/>
      <c r="CM177" s="21"/>
      <c r="CN177" s="21"/>
      <c r="CO177" s="21"/>
      <c r="CP177" s="21"/>
      <c r="CQ177" s="21"/>
      <c r="CR177" s="21"/>
      <c r="CS177" s="21"/>
      <c r="CT177" s="21"/>
      <c r="CU177" s="21"/>
      <c r="CV177" s="21"/>
      <c r="CW177" s="21"/>
      <c r="CX177" s="21"/>
      <c r="CY177" s="21"/>
      <c r="CZ177" s="21"/>
      <c r="DA177" s="21"/>
      <c r="DB177" s="21"/>
      <c r="DC177" s="21"/>
      <c r="DD177" s="21"/>
      <c r="DE177" s="21"/>
      <c r="DF177" s="21"/>
      <c r="DG177" s="21"/>
      <c r="DH177" s="21"/>
      <c r="DI177" s="21"/>
      <c r="DJ177" s="21"/>
      <c r="DK177" s="21"/>
      <c r="DL177" s="21"/>
      <c r="DM177" s="21"/>
      <c r="DN177" s="21"/>
      <c r="DO177" s="21"/>
      <c r="DP177" s="21"/>
      <c r="DQ177" s="87"/>
      <c r="DR177" s="87">
        <v>39</v>
      </c>
      <c r="DS177" s="87"/>
      <c r="DT177" s="21"/>
      <c r="DU177" s="21"/>
      <c r="DV177" s="21"/>
      <c r="DW177" s="21"/>
      <c r="DX177" s="21"/>
      <c r="DY177" s="21"/>
      <c r="DZ177" s="21"/>
      <c r="EA177" s="21"/>
      <c r="EB177" s="21"/>
      <c r="EC177" s="21"/>
      <c r="ED177" s="21"/>
      <c r="EE177" s="21"/>
      <c r="EF177" s="21"/>
      <c r="EG177" s="21"/>
      <c r="EH177" s="21"/>
      <c r="EI177" s="21"/>
      <c r="EJ177" s="21"/>
      <c r="EK177" s="21" t="s">
        <v>522</v>
      </c>
      <c r="EL177" s="21">
        <v>0</v>
      </c>
      <c r="EM177" s="21">
        <f t="shared" ref="EM177:EX179" si="239">EM16/5*4</f>
        <v>0</v>
      </c>
      <c r="EN177" s="21">
        <f t="shared" si="239"/>
        <v>0</v>
      </c>
      <c r="EO177" s="21">
        <f t="shared" si="239"/>
        <v>0</v>
      </c>
      <c r="EP177" s="21">
        <f t="shared" si="239"/>
        <v>8</v>
      </c>
      <c r="EQ177" s="21">
        <f t="shared" si="239"/>
        <v>0</v>
      </c>
      <c r="ER177" s="21">
        <f t="shared" si="239"/>
        <v>8</v>
      </c>
      <c r="ES177" s="21">
        <f t="shared" si="239"/>
        <v>8</v>
      </c>
      <c r="ET177" s="21">
        <f t="shared" si="239"/>
        <v>8</v>
      </c>
      <c r="EU177" s="21">
        <f t="shared" si="239"/>
        <v>4</v>
      </c>
      <c r="EV177" s="21">
        <f t="shared" si="239"/>
        <v>0</v>
      </c>
      <c r="EW177" s="21">
        <f t="shared" si="239"/>
        <v>4</v>
      </c>
      <c r="EX177" s="21">
        <f t="shared" si="239"/>
        <v>4</v>
      </c>
      <c r="EY177" s="21"/>
      <c r="EZ177" s="21" t="s">
        <v>522</v>
      </c>
      <c r="FA177" s="21">
        <v>0</v>
      </c>
      <c r="FB177" s="21">
        <f t="shared" ref="FB177:FM179" si="240">FB16/5*4</f>
        <v>0</v>
      </c>
      <c r="FC177" s="21">
        <f t="shared" si="240"/>
        <v>0</v>
      </c>
      <c r="FD177" s="21">
        <f t="shared" si="240"/>
        <v>4</v>
      </c>
      <c r="FE177" s="21">
        <f t="shared" si="240"/>
        <v>0</v>
      </c>
      <c r="FF177" s="21">
        <f t="shared" si="240"/>
        <v>8</v>
      </c>
      <c r="FG177" s="21">
        <f t="shared" si="240"/>
        <v>0</v>
      </c>
      <c r="FH177" s="21">
        <f t="shared" si="240"/>
        <v>8</v>
      </c>
      <c r="FI177" s="21">
        <f t="shared" si="240"/>
        <v>4</v>
      </c>
      <c r="FJ177" s="21">
        <f t="shared" si="240"/>
        <v>8</v>
      </c>
      <c r="FK177" s="21">
        <f t="shared" si="240"/>
        <v>4</v>
      </c>
      <c r="FL177" s="21">
        <f t="shared" si="240"/>
        <v>4</v>
      </c>
      <c r="FM177" s="21">
        <f t="shared" si="240"/>
        <v>8</v>
      </c>
      <c r="FN177" s="21"/>
      <c r="FO177" s="21" t="s">
        <v>522</v>
      </c>
      <c r="FP177" s="21">
        <v>0</v>
      </c>
      <c r="FQ177" s="21">
        <f t="shared" ref="FQ177:GB179" si="241">FQ16/5*4</f>
        <v>4</v>
      </c>
      <c r="FR177" s="21">
        <f t="shared" si="241"/>
        <v>0</v>
      </c>
      <c r="FS177" s="21">
        <f t="shared" si="241"/>
        <v>8</v>
      </c>
      <c r="FT177" s="21">
        <f t="shared" si="241"/>
        <v>0</v>
      </c>
      <c r="FU177" s="21">
        <f t="shared" si="241"/>
        <v>8</v>
      </c>
      <c r="FV177" s="21">
        <f t="shared" si="241"/>
        <v>8</v>
      </c>
      <c r="FW177" s="21">
        <f t="shared" si="241"/>
        <v>0</v>
      </c>
      <c r="FX177" s="21">
        <f t="shared" si="241"/>
        <v>8</v>
      </c>
      <c r="FY177" s="21">
        <f t="shared" si="241"/>
        <v>4</v>
      </c>
      <c r="FZ177" s="21">
        <f t="shared" si="241"/>
        <v>0</v>
      </c>
      <c r="GA177" s="21">
        <f t="shared" si="241"/>
        <v>4</v>
      </c>
      <c r="GB177" s="21">
        <f t="shared" si="241"/>
        <v>0</v>
      </c>
      <c r="GC177" s="21"/>
      <c r="GD177" s="21" t="s">
        <v>522</v>
      </c>
      <c r="GE177" s="21">
        <v>0</v>
      </c>
      <c r="GF177" s="21">
        <f t="shared" ref="GF177:GQ179" si="242">GF16/5*4</f>
        <v>4</v>
      </c>
      <c r="GG177" s="21">
        <f t="shared" si="242"/>
        <v>0</v>
      </c>
      <c r="GH177" s="21">
        <f t="shared" si="242"/>
        <v>8</v>
      </c>
      <c r="GI177" s="21">
        <f t="shared" si="242"/>
        <v>8</v>
      </c>
      <c r="GJ177" s="21">
        <f t="shared" si="242"/>
        <v>0</v>
      </c>
      <c r="GK177" s="21">
        <f t="shared" si="242"/>
        <v>8</v>
      </c>
      <c r="GL177" s="21">
        <f t="shared" si="242"/>
        <v>4</v>
      </c>
      <c r="GM177" s="21">
        <f t="shared" si="242"/>
        <v>4</v>
      </c>
      <c r="GN177" s="21">
        <f t="shared" si="242"/>
        <v>8</v>
      </c>
      <c r="GO177" s="21">
        <f t="shared" si="242"/>
        <v>4</v>
      </c>
      <c r="GP177" s="21">
        <f t="shared" si="242"/>
        <v>0</v>
      </c>
      <c r="GQ177" s="21">
        <f t="shared" si="242"/>
        <v>0</v>
      </c>
      <c r="GR177" s="21"/>
      <c r="GS177" s="21"/>
      <c r="GT177" s="21"/>
      <c r="GU177" s="21"/>
      <c r="GV177" s="21"/>
      <c r="GW177" s="21"/>
      <c r="GX177" s="21"/>
      <c r="GY177" s="21"/>
      <c r="GZ177" s="21"/>
      <c r="HA177" s="21"/>
      <c r="HB177" s="21"/>
      <c r="HC177" s="21"/>
      <c r="HD177" s="21"/>
      <c r="HE177" s="21"/>
      <c r="HF177" s="21"/>
      <c r="HG177" s="21"/>
      <c r="HH177" s="21"/>
    </row>
    <row r="178" spans="1:254" x14ac:dyDescent="0.25">
      <c r="A178" s="9"/>
      <c r="B178" s="6"/>
      <c r="C178" s="9"/>
      <c r="D178" s="40" t="s">
        <v>798</v>
      </c>
      <c r="E178" s="9"/>
      <c r="F178" s="9"/>
      <c r="G178" s="9"/>
      <c r="H178" s="9"/>
      <c r="I178" s="9"/>
      <c r="J178" s="9"/>
      <c r="K178" s="9"/>
      <c r="L178" s="6" t="str">
        <f>INDEX(($AJ$3:$AJ$12),MATCH(I163,$AG$3:$AG$12,0),1)</f>
        <v>SAM8X30E</v>
      </c>
      <c r="M178" s="11">
        <f>INDEX(cennik!$C$2:$L$529,MATCH($L178,cennik!$B$2:$B$522,0),MATCH(M$2,cennik!$C$1:$L$1,0))</f>
        <v>898530</v>
      </c>
      <c r="N178" s="11" t="str">
        <f>INDEX(cennik!$C$2:$L$529,MATCH($L178,cennik!$B$2:$B$522,0),MATCH(N$2,cennik!$C$1:$L$1,0))</f>
        <v>szt.</v>
      </c>
      <c r="O178" s="11">
        <f>SUM(O176:O177)</f>
        <v>0</v>
      </c>
      <c r="P178" s="34">
        <f>INDEX(cennik!$C$2:$L$529,MATCH($L178,cennik!$B$2:$B$522,0),MATCH(P$2,cennik!$C$1:$L$1,0))</f>
        <v>0.5</v>
      </c>
      <c r="Q178" s="34">
        <f t="shared" si="214"/>
        <v>0</v>
      </c>
      <c r="R178" s="35">
        <f t="shared" si="211"/>
        <v>0</v>
      </c>
      <c r="S178" s="34">
        <f t="shared" si="212"/>
        <v>0.5</v>
      </c>
      <c r="T178" s="34">
        <f t="shared" si="213"/>
        <v>0</v>
      </c>
      <c r="U178" s="34">
        <f>INDEX(cennik!$C$2:$L$529,MATCH($L178,cennik!$B$2:$B$522,0),MATCH(U$2,cennik!$C$1:$L$1,0))*O178</f>
        <v>0</v>
      </c>
      <c r="V178" s="25"/>
      <c r="AC178" s="21"/>
      <c r="AD178" s="21"/>
      <c r="AE178" s="21"/>
      <c r="AF178" s="21"/>
      <c r="AG178" s="21"/>
      <c r="AH178" s="21"/>
      <c r="AI178" s="21"/>
      <c r="AJ178" s="21"/>
      <c r="AK178" s="21"/>
      <c r="AL178" s="21"/>
      <c r="AM178" s="21"/>
      <c r="AN178" s="21"/>
      <c r="AO178" s="21"/>
      <c r="AP178" s="21"/>
      <c r="AQ178" s="21"/>
      <c r="AR178" s="25" t="s">
        <v>114</v>
      </c>
      <c r="AS178" s="25" t="s">
        <v>596</v>
      </c>
      <c r="AT178" s="25" t="s">
        <v>595</v>
      </c>
      <c r="AU178" s="25" t="s">
        <v>593</v>
      </c>
      <c r="AV178" s="21" t="s">
        <v>593</v>
      </c>
      <c r="AX178" s="188"/>
      <c r="AY178" s="188"/>
      <c r="AZ178" s="188"/>
      <c r="BA178" s="21"/>
      <c r="BH178" s="21" t="s">
        <v>132</v>
      </c>
      <c r="BI178" s="21">
        <v>0</v>
      </c>
      <c r="BJ178" s="21">
        <v>6</v>
      </c>
      <c r="BK178" s="21">
        <v>9</v>
      </c>
      <c r="BL178" s="21">
        <v>12</v>
      </c>
      <c r="BM178" s="21">
        <v>15</v>
      </c>
      <c r="BN178" s="21">
        <v>18</v>
      </c>
      <c r="BO178" s="21">
        <v>21</v>
      </c>
      <c r="BP178" s="21">
        <v>24</v>
      </c>
      <c r="BQ178" s="21">
        <v>27</v>
      </c>
      <c r="BR178" s="21">
        <v>30</v>
      </c>
      <c r="BS178" s="21">
        <v>33</v>
      </c>
      <c r="BT178" s="21">
        <v>36</v>
      </c>
      <c r="BU178" s="21">
        <v>39</v>
      </c>
      <c r="BV178" s="21"/>
      <c r="BW178" s="21" t="s">
        <v>471</v>
      </c>
      <c r="BX178" s="21">
        <v>0</v>
      </c>
      <c r="BY178" s="21">
        <v>6</v>
      </c>
      <c r="BZ178" s="21">
        <v>9</v>
      </c>
      <c r="CA178" s="21">
        <v>12</v>
      </c>
      <c r="CB178" s="21">
        <v>15</v>
      </c>
      <c r="CC178" s="21">
        <v>18</v>
      </c>
      <c r="CD178" s="21">
        <v>21</v>
      </c>
      <c r="CE178" s="21">
        <v>24</v>
      </c>
      <c r="CF178" s="21">
        <v>27</v>
      </c>
      <c r="CG178" s="21">
        <v>30</v>
      </c>
      <c r="CH178" s="21">
        <v>33</v>
      </c>
      <c r="CI178" s="21">
        <v>36</v>
      </c>
      <c r="CJ178" s="21">
        <v>39</v>
      </c>
      <c r="CK178" s="21"/>
      <c r="CL178" s="21"/>
      <c r="CM178" s="21"/>
      <c r="CN178" s="21" t="s">
        <v>137</v>
      </c>
      <c r="CO178" s="21">
        <v>0</v>
      </c>
      <c r="CP178" s="21">
        <v>6</v>
      </c>
      <c r="CQ178" s="21">
        <v>9</v>
      </c>
      <c r="CR178" s="21">
        <v>12</v>
      </c>
      <c r="CS178" s="21">
        <v>15</v>
      </c>
      <c r="CT178" s="21">
        <v>18</v>
      </c>
      <c r="CU178" s="21">
        <v>21</v>
      </c>
      <c r="CV178" s="21">
        <v>24</v>
      </c>
      <c r="CW178" s="21">
        <v>27</v>
      </c>
      <c r="CX178" s="21">
        <v>30</v>
      </c>
      <c r="CY178" s="21">
        <v>33</v>
      </c>
      <c r="CZ178" s="21">
        <v>36</v>
      </c>
      <c r="DA178" s="21">
        <v>39</v>
      </c>
      <c r="DB178" s="21"/>
      <c r="DC178" s="21" t="s">
        <v>479</v>
      </c>
      <c r="DD178" s="21">
        <v>0</v>
      </c>
      <c r="DE178" s="21">
        <v>6</v>
      </c>
      <c r="DF178" s="21">
        <v>9</v>
      </c>
      <c r="DG178" s="21">
        <v>12</v>
      </c>
      <c r="DH178" s="21">
        <v>15</v>
      </c>
      <c r="DI178" s="21">
        <v>18</v>
      </c>
      <c r="DJ178" s="21">
        <v>21</v>
      </c>
      <c r="DK178" s="21">
        <v>24</v>
      </c>
      <c r="DL178" s="21">
        <v>27</v>
      </c>
      <c r="DM178" s="21">
        <v>30</v>
      </c>
      <c r="DN178" s="21">
        <v>33</v>
      </c>
      <c r="DO178" s="21">
        <v>36</v>
      </c>
      <c r="DP178" s="21">
        <v>39</v>
      </c>
      <c r="DQ178" s="87"/>
      <c r="DR178" s="87"/>
      <c r="DS178" s="87"/>
      <c r="DT178" s="21"/>
      <c r="DU178" s="21"/>
      <c r="DV178" s="21"/>
      <c r="DW178" s="21"/>
      <c r="DX178" s="21"/>
      <c r="DY178" s="21"/>
      <c r="DZ178" s="21"/>
      <c r="EA178" s="21"/>
      <c r="EB178" s="21"/>
      <c r="EC178" s="21"/>
      <c r="ED178" s="21"/>
      <c r="EE178" s="21"/>
      <c r="EF178" s="21"/>
      <c r="EG178" s="21"/>
      <c r="EH178" s="21"/>
      <c r="EI178" s="21"/>
      <c r="EJ178" s="21"/>
      <c r="EK178" s="21" t="s">
        <v>523</v>
      </c>
      <c r="EL178" s="21">
        <v>0</v>
      </c>
      <c r="EM178" s="21">
        <f t="shared" si="239"/>
        <v>4</v>
      </c>
      <c r="EN178" s="21">
        <f t="shared" si="239"/>
        <v>0</v>
      </c>
      <c r="EO178" s="21">
        <f t="shared" si="239"/>
        <v>0</v>
      </c>
      <c r="EP178" s="21">
        <f t="shared" si="239"/>
        <v>0</v>
      </c>
      <c r="EQ178" s="21">
        <f t="shared" si="239"/>
        <v>12</v>
      </c>
      <c r="ER178" s="21">
        <f t="shared" si="239"/>
        <v>4</v>
      </c>
      <c r="ES178" s="21">
        <f t="shared" si="239"/>
        <v>8</v>
      </c>
      <c r="ET178" s="21">
        <f t="shared" si="239"/>
        <v>8</v>
      </c>
      <c r="EU178" s="21">
        <f t="shared" si="239"/>
        <v>16</v>
      </c>
      <c r="EV178" s="21">
        <f t="shared" si="239"/>
        <v>24</v>
      </c>
      <c r="EW178" s="21">
        <f t="shared" si="239"/>
        <v>20</v>
      </c>
      <c r="EX178" s="21">
        <f t="shared" si="239"/>
        <v>24</v>
      </c>
      <c r="EY178" s="21"/>
      <c r="EZ178" s="21" t="s">
        <v>523</v>
      </c>
      <c r="FA178" s="21">
        <v>0</v>
      </c>
      <c r="FB178" s="21">
        <f t="shared" si="240"/>
        <v>4</v>
      </c>
      <c r="FC178" s="21">
        <f t="shared" si="240"/>
        <v>0</v>
      </c>
      <c r="FD178" s="21">
        <f t="shared" si="240"/>
        <v>4</v>
      </c>
      <c r="FE178" s="21">
        <f t="shared" si="240"/>
        <v>12</v>
      </c>
      <c r="FF178" s="21">
        <f t="shared" si="240"/>
        <v>4</v>
      </c>
      <c r="FG178" s="21">
        <f t="shared" si="240"/>
        <v>16</v>
      </c>
      <c r="FH178" s="21">
        <f t="shared" si="240"/>
        <v>8</v>
      </c>
      <c r="FI178" s="21">
        <f t="shared" si="240"/>
        <v>16</v>
      </c>
      <c r="FJ178" s="21">
        <f t="shared" si="240"/>
        <v>12</v>
      </c>
      <c r="FK178" s="21">
        <f t="shared" si="240"/>
        <v>20</v>
      </c>
      <c r="FL178" s="21">
        <f t="shared" si="240"/>
        <v>24</v>
      </c>
      <c r="FM178" s="21">
        <f t="shared" si="240"/>
        <v>20</v>
      </c>
      <c r="FN178" s="21"/>
      <c r="FO178" s="21" t="s">
        <v>523</v>
      </c>
      <c r="FP178" s="21">
        <v>0</v>
      </c>
      <c r="FQ178" s="21">
        <f t="shared" si="241"/>
        <v>0</v>
      </c>
      <c r="FR178" s="21">
        <f t="shared" si="241"/>
        <v>0</v>
      </c>
      <c r="FS178" s="21">
        <f t="shared" si="241"/>
        <v>0</v>
      </c>
      <c r="FT178" s="21">
        <f t="shared" si="241"/>
        <v>12</v>
      </c>
      <c r="FU178" s="21">
        <f t="shared" si="241"/>
        <v>4</v>
      </c>
      <c r="FV178" s="21">
        <f t="shared" si="241"/>
        <v>8</v>
      </c>
      <c r="FW178" s="21">
        <f t="shared" si="241"/>
        <v>20</v>
      </c>
      <c r="FX178" s="21">
        <f t="shared" si="241"/>
        <v>12</v>
      </c>
      <c r="FY178" s="21">
        <f t="shared" si="241"/>
        <v>20</v>
      </c>
      <c r="FZ178" s="21">
        <f t="shared" si="241"/>
        <v>28</v>
      </c>
      <c r="GA178" s="21">
        <f t="shared" si="241"/>
        <v>24</v>
      </c>
      <c r="GB178" s="21">
        <f t="shared" si="241"/>
        <v>32</v>
      </c>
      <c r="GC178" s="21"/>
      <c r="GD178" s="21" t="s">
        <v>523</v>
      </c>
      <c r="GE178" s="21">
        <v>0</v>
      </c>
      <c r="GF178" s="21">
        <f t="shared" si="242"/>
        <v>0</v>
      </c>
      <c r="GG178" s="21">
        <f t="shared" si="242"/>
        <v>0</v>
      </c>
      <c r="GH178" s="21">
        <f t="shared" si="242"/>
        <v>0</v>
      </c>
      <c r="GI178" s="21">
        <f t="shared" si="242"/>
        <v>4</v>
      </c>
      <c r="GJ178" s="21">
        <f t="shared" si="242"/>
        <v>16</v>
      </c>
      <c r="GK178" s="21">
        <f t="shared" si="242"/>
        <v>8</v>
      </c>
      <c r="GL178" s="21">
        <f t="shared" si="242"/>
        <v>16</v>
      </c>
      <c r="GM178" s="21">
        <f t="shared" si="242"/>
        <v>20</v>
      </c>
      <c r="GN178" s="21">
        <f t="shared" si="242"/>
        <v>16</v>
      </c>
      <c r="GO178" s="21">
        <f t="shared" si="242"/>
        <v>24</v>
      </c>
      <c r="GP178" s="21">
        <f t="shared" si="242"/>
        <v>32</v>
      </c>
      <c r="GQ178" s="21">
        <f t="shared" si="242"/>
        <v>36</v>
      </c>
      <c r="GR178" s="21"/>
      <c r="GS178" s="21"/>
      <c r="GT178" s="21"/>
      <c r="GU178" s="21"/>
      <c r="GV178" s="21"/>
      <c r="GW178" s="21"/>
      <c r="GX178" s="21"/>
      <c r="GY178" s="21"/>
      <c r="GZ178" s="21"/>
      <c r="HA178" s="21"/>
      <c r="HB178" s="21"/>
      <c r="HC178" s="21"/>
      <c r="HD178" s="21"/>
      <c r="HE178" s="21"/>
      <c r="HF178" s="21"/>
      <c r="HG178" s="21"/>
      <c r="HH178" s="21"/>
    </row>
    <row r="179" spans="1:254" x14ac:dyDescent="0.25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6" t="s">
        <v>1019</v>
      </c>
      <c r="M179" s="11">
        <f>INDEX(cennik!$C$2:$L$529,MATCH($L179,cennik!$B$2:$B$522,0),MATCH(M$2,cennik!$C$1:$L$1,0))</f>
        <v>166794</v>
      </c>
      <c r="N179" s="11" t="str">
        <f>INDEX(cennik!$C$2:$L$529,MATCH($L179,cennik!$B$2:$B$522,0),MATCH(N$2,cennik!$C$1:$L$1,0))</f>
        <v>100 szt.</v>
      </c>
      <c r="O179" s="11">
        <f>ROUNDUP(O178/100,0)</f>
        <v>0</v>
      </c>
      <c r="P179" s="34">
        <f>INDEX(cennik!$C$2:$L$529,MATCH($L179,cennik!$B$2:$B$522,0),MATCH(P$2,cennik!$C$1:$L$1,0))</f>
        <v>3.95</v>
      </c>
      <c r="Q179" s="34">
        <f t="shared" si="214"/>
        <v>0</v>
      </c>
      <c r="R179" s="35">
        <f t="shared" si="211"/>
        <v>0</v>
      </c>
      <c r="S179" s="34">
        <f t="shared" si="212"/>
        <v>3.95</v>
      </c>
      <c r="T179" s="34">
        <f t="shared" si="213"/>
        <v>0</v>
      </c>
      <c r="U179" s="34">
        <f>INDEX(cennik!$C$2:$L$529,MATCH($L179,cennik!$B$2:$B$522,0),MATCH(U$2,cennik!$C$1:$L$1,0))*O179</f>
        <v>0</v>
      </c>
      <c r="V179" s="25"/>
      <c r="W179" s="27"/>
      <c r="X179" s="27"/>
      <c r="Y179" s="27"/>
      <c r="Z179" s="27"/>
      <c r="AA179" s="186" t="s">
        <v>311</v>
      </c>
      <c r="AB179" s="192" t="s">
        <v>318</v>
      </c>
      <c r="AC179" s="21"/>
      <c r="AD179" s="21"/>
      <c r="AE179" s="21"/>
      <c r="AF179" s="21"/>
      <c r="AG179" s="21"/>
      <c r="AH179" s="21"/>
      <c r="AI179" s="21"/>
      <c r="AJ179" s="21"/>
      <c r="AK179" s="21"/>
      <c r="AL179" s="21"/>
      <c r="AM179" s="21"/>
      <c r="AN179" s="21"/>
      <c r="AO179" s="21"/>
      <c r="AP179" s="21"/>
      <c r="AQ179" s="21"/>
      <c r="AR179" s="25" t="s">
        <v>115</v>
      </c>
      <c r="AS179" s="25" t="s">
        <v>596</v>
      </c>
      <c r="AT179" s="25" t="s">
        <v>595</v>
      </c>
      <c r="AU179" s="25" t="s">
        <v>593</v>
      </c>
      <c r="AV179" s="21" t="s">
        <v>594</v>
      </c>
      <c r="AX179" s="188"/>
      <c r="AY179" s="188"/>
      <c r="AZ179" s="188"/>
      <c r="BA179" s="21"/>
      <c r="BH179" s="21" t="s">
        <v>217</v>
      </c>
      <c r="BI179" s="21">
        <f>BI15/5*4</f>
        <v>0</v>
      </c>
      <c r="BJ179" s="21">
        <f t="shared" ref="BJ179:BS179" si="243">BJ15/5*4</f>
        <v>0</v>
      </c>
      <c r="BK179" s="21">
        <f t="shared" si="243"/>
        <v>4</v>
      </c>
      <c r="BL179" s="21">
        <f t="shared" si="243"/>
        <v>4</v>
      </c>
      <c r="BM179" s="21">
        <f t="shared" si="243"/>
        <v>0</v>
      </c>
      <c r="BN179" s="21">
        <f t="shared" si="243"/>
        <v>4</v>
      </c>
      <c r="BO179" s="21">
        <v>8</v>
      </c>
      <c r="BP179" s="21">
        <v>4</v>
      </c>
      <c r="BQ179" s="21">
        <v>8</v>
      </c>
      <c r="BR179" s="21">
        <f t="shared" si="243"/>
        <v>8</v>
      </c>
      <c r="BS179" s="21">
        <f t="shared" si="243"/>
        <v>12</v>
      </c>
      <c r="BT179" s="21">
        <v>8</v>
      </c>
      <c r="BU179" s="21">
        <v>12</v>
      </c>
      <c r="BV179" s="21"/>
      <c r="BW179" s="21" t="s">
        <v>217</v>
      </c>
      <c r="BX179" s="21">
        <v>0</v>
      </c>
      <c r="BY179" s="21">
        <f t="shared" ref="BY179:CJ182" si="244">BY15/5*4</f>
        <v>0</v>
      </c>
      <c r="BZ179" s="21">
        <f t="shared" si="244"/>
        <v>4</v>
      </c>
      <c r="CA179" s="21">
        <f t="shared" si="244"/>
        <v>0</v>
      </c>
      <c r="CB179" s="21">
        <f t="shared" si="244"/>
        <v>4</v>
      </c>
      <c r="CC179" s="21">
        <v>4</v>
      </c>
      <c r="CD179" s="21">
        <f t="shared" si="244"/>
        <v>8</v>
      </c>
      <c r="CE179" s="21">
        <v>8</v>
      </c>
      <c r="CF179" s="21">
        <f t="shared" si="244"/>
        <v>8</v>
      </c>
      <c r="CG179" s="21">
        <f t="shared" si="244"/>
        <v>4</v>
      </c>
      <c r="CH179" s="21">
        <v>8</v>
      </c>
      <c r="CI179" s="21">
        <v>12</v>
      </c>
      <c r="CJ179" s="21">
        <f t="shared" si="244"/>
        <v>8</v>
      </c>
      <c r="CK179" s="21"/>
      <c r="CL179" s="21"/>
      <c r="CM179" s="21"/>
      <c r="CN179" s="21" t="s">
        <v>217</v>
      </c>
      <c r="CO179" s="21">
        <f t="shared" ref="CO179:DA182" si="245">CO15/5*4</f>
        <v>0</v>
      </c>
      <c r="CP179" s="21">
        <f t="shared" si="245"/>
        <v>0</v>
      </c>
      <c r="CQ179" s="21">
        <f t="shared" si="245"/>
        <v>4</v>
      </c>
      <c r="CR179" s="21">
        <f t="shared" si="245"/>
        <v>0</v>
      </c>
      <c r="CS179" s="21">
        <f t="shared" si="245"/>
        <v>4</v>
      </c>
      <c r="CT179" s="21">
        <v>8</v>
      </c>
      <c r="CU179" s="21">
        <f t="shared" si="245"/>
        <v>4</v>
      </c>
      <c r="CV179" s="21">
        <f t="shared" si="245"/>
        <v>8</v>
      </c>
      <c r="CW179" s="21">
        <f t="shared" si="245"/>
        <v>4</v>
      </c>
      <c r="CX179" s="21">
        <f t="shared" si="245"/>
        <v>8</v>
      </c>
      <c r="CY179" s="21">
        <f t="shared" si="245"/>
        <v>12</v>
      </c>
      <c r="CZ179" s="21">
        <v>8</v>
      </c>
      <c r="DA179" s="21">
        <f t="shared" si="245"/>
        <v>16</v>
      </c>
      <c r="DB179" s="21"/>
      <c r="DC179" s="21" t="s">
        <v>217</v>
      </c>
      <c r="DD179" s="21">
        <v>0</v>
      </c>
      <c r="DE179" s="21">
        <f>DE15/5*4</f>
        <v>0</v>
      </c>
      <c r="DF179" s="21">
        <f t="shared" ref="DF179:DP179" si="246">DF15/5*4</f>
        <v>4</v>
      </c>
      <c r="DG179" s="21">
        <v>4</v>
      </c>
      <c r="DH179" s="21">
        <f t="shared" si="246"/>
        <v>0</v>
      </c>
      <c r="DI179" s="21">
        <f t="shared" si="246"/>
        <v>8</v>
      </c>
      <c r="DJ179" s="21">
        <v>8</v>
      </c>
      <c r="DK179" s="21">
        <f t="shared" si="246"/>
        <v>8</v>
      </c>
      <c r="DL179" s="21">
        <f t="shared" si="246"/>
        <v>8</v>
      </c>
      <c r="DM179" s="21">
        <f t="shared" si="246"/>
        <v>8</v>
      </c>
      <c r="DN179" s="21">
        <v>8</v>
      </c>
      <c r="DO179" s="21">
        <f t="shared" si="246"/>
        <v>16</v>
      </c>
      <c r="DP179" s="21">
        <f t="shared" si="246"/>
        <v>16</v>
      </c>
      <c r="DQ179" s="87"/>
      <c r="DR179" s="87"/>
      <c r="DS179" s="87"/>
      <c r="DT179" s="21"/>
      <c r="DU179" s="21"/>
      <c r="DV179" s="21"/>
      <c r="DW179" s="21"/>
      <c r="DX179" s="21"/>
      <c r="DY179" s="21"/>
      <c r="DZ179" s="21"/>
      <c r="EA179" s="21"/>
      <c r="EB179" s="21"/>
      <c r="EC179" s="21"/>
      <c r="ED179" s="21"/>
      <c r="EE179" s="21"/>
      <c r="EF179" s="21"/>
      <c r="EG179" s="21"/>
      <c r="EH179" s="21"/>
      <c r="EI179" s="21"/>
      <c r="EJ179" s="21"/>
      <c r="EK179" s="21" t="s">
        <v>524</v>
      </c>
      <c r="EL179" s="21">
        <v>0</v>
      </c>
      <c r="EM179" s="21">
        <f t="shared" si="239"/>
        <v>0</v>
      </c>
      <c r="EN179" s="21">
        <f t="shared" si="239"/>
        <v>0</v>
      </c>
      <c r="EO179" s="21">
        <f t="shared" si="239"/>
        <v>0</v>
      </c>
      <c r="EP179" s="21">
        <f t="shared" si="239"/>
        <v>4</v>
      </c>
      <c r="EQ179" s="21">
        <f t="shared" si="239"/>
        <v>8</v>
      </c>
      <c r="ER179" s="21">
        <f t="shared" si="239"/>
        <v>8</v>
      </c>
      <c r="ES179" s="21">
        <f t="shared" si="239"/>
        <v>12</v>
      </c>
      <c r="ET179" s="21">
        <f t="shared" si="239"/>
        <v>12</v>
      </c>
      <c r="EU179" s="21">
        <f t="shared" si="239"/>
        <v>16</v>
      </c>
      <c r="EV179" s="21">
        <f t="shared" si="239"/>
        <v>20</v>
      </c>
      <c r="EW179" s="21">
        <f t="shared" si="239"/>
        <v>20</v>
      </c>
      <c r="EX179" s="21">
        <f t="shared" si="239"/>
        <v>24</v>
      </c>
      <c r="EY179" s="21"/>
      <c r="EZ179" s="21" t="s">
        <v>524</v>
      </c>
      <c r="FA179" s="21">
        <v>0</v>
      </c>
      <c r="FB179" s="21">
        <f t="shared" si="240"/>
        <v>0</v>
      </c>
      <c r="FC179" s="21">
        <f t="shared" si="240"/>
        <v>0</v>
      </c>
      <c r="FD179" s="21">
        <f t="shared" si="240"/>
        <v>4</v>
      </c>
      <c r="FE179" s="21">
        <f t="shared" si="240"/>
        <v>8</v>
      </c>
      <c r="FF179" s="21">
        <f t="shared" si="240"/>
        <v>8</v>
      </c>
      <c r="FG179" s="21">
        <f t="shared" si="240"/>
        <v>12</v>
      </c>
      <c r="FH179" s="21">
        <f t="shared" si="240"/>
        <v>12</v>
      </c>
      <c r="FI179" s="21">
        <f t="shared" si="240"/>
        <v>16</v>
      </c>
      <c r="FJ179" s="21">
        <f t="shared" si="240"/>
        <v>16</v>
      </c>
      <c r="FK179" s="21">
        <f t="shared" si="240"/>
        <v>20</v>
      </c>
      <c r="FL179" s="21">
        <f t="shared" si="240"/>
        <v>24</v>
      </c>
      <c r="FM179" s="21">
        <f t="shared" si="240"/>
        <v>24</v>
      </c>
      <c r="FN179" s="21"/>
      <c r="FO179" s="21" t="s">
        <v>524</v>
      </c>
      <c r="FP179" s="21">
        <v>0</v>
      </c>
      <c r="FQ179" s="21">
        <f t="shared" si="241"/>
        <v>0</v>
      </c>
      <c r="FR179" s="21">
        <f t="shared" si="241"/>
        <v>0</v>
      </c>
      <c r="FS179" s="21">
        <f t="shared" si="241"/>
        <v>4</v>
      </c>
      <c r="FT179" s="21">
        <f t="shared" si="241"/>
        <v>8</v>
      </c>
      <c r="FU179" s="21">
        <f t="shared" si="241"/>
        <v>8</v>
      </c>
      <c r="FV179" s="21">
        <f t="shared" si="241"/>
        <v>12</v>
      </c>
      <c r="FW179" s="21">
        <f t="shared" si="241"/>
        <v>16</v>
      </c>
      <c r="FX179" s="21">
        <f t="shared" si="241"/>
        <v>16</v>
      </c>
      <c r="FY179" s="21">
        <f t="shared" si="241"/>
        <v>20</v>
      </c>
      <c r="FZ179" s="21">
        <f t="shared" si="241"/>
        <v>24</v>
      </c>
      <c r="GA179" s="21">
        <f t="shared" si="241"/>
        <v>24</v>
      </c>
      <c r="GB179" s="21">
        <f t="shared" si="241"/>
        <v>28</v>
      </c>
      <c r="GC179" s="21"/>
      <c r="GD179" s="21" t="s">
        <v>524</v>
      </c>
      <c r="GE179" s="21">
        <v>0</v>
      </c>
      <c r="GF179" s="21">
        <f t="shared" si="242"/>
        <v>0</v>
      </c>
      <c r="GG179" s="21">
        <f t="shared" si="242"/>
        <v>0</v>
      </c>
      <c r="GH179" s="21">
        <f t="shared" si="242"/>
        <v>4</v>
      </c>
      <c r="GI179" s="21">
        <f t="shared" si="242"/>
        <v>8</v>
      </c>
      <c r="GJ179" s="21">
        <f t="shared" si="242"/>
        <v>12</v>
      </c>
      <c r="GK179" s="21">
        <f t="shared" si="242"/>
        <v>12</v>
      </c>
      <c r="GL179" s="21">
        <f t="shared" si="242"/>
        <v>16</v>
      </c>
      <c r="GM179" s="21">
        <f t="shared" si="242"/>
        <v>20</v>
      </c>
      <c r="GN179" s="21">
        <f t="shared" si="242"/>
        <v>20</v>
      </c>
      <c r="GO179" s="21">
        <f t="shared" si="242"/>
        <v>24</v>
      </c>
      <c r="GP179" s="21">
        <f t="shared" si="242"/>
        <v>28</v>
      </c>
      <c r="GQ179" s="21">
        <f t="shared" si="242"/>
        <v>32</v>
      </c>
      <c r="GR179" s="21"/>
      <c r="GS179" s="21"/>
      <c r="GT179" s="21"/>
      <c r="GU179" s="21"/>
      <c r="GV179" s="21"/>
      <c r="GW179" s="21"/>
      <c r="GX179" s="21"/>
      <c r="GY179" s="21"/>
      <c r="GZ179" s="21"/>
      <c r="HA179" s="21"/>
      <c r="HB179" s="21"/>
      <c r="HC179" s="21"/>
      <c r="HD179" s="21"/>
      <c r="HE179" s="21"/>
      <c r="HF179" s="21"/>
      <c r="HG179" s="21"/>
      <c r="HH179" s="21"/>
    </row>
    <row r="180" spans="1:254" x14ac:dyDescent="0.25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6" t="s">
        <v>525</v>
      </c>
      <c r="M180" s="11">
        <f>INDEX(cennik!$C$2:$L$529,MATCH($L180,cennik!$B$2:$B$522,0),MATCH(M$2,cennik!$C$1:$L$1,0))</f>
        <v>660245</v>
      </c>
      <c r="N180" s="11" t="str">
        <f>INDEX(cennik!$C$2:$L$529,MATCH($L180,cennik!$B$2:$B$522,0),MATCH(N$2,cennik!$C$1:$L$1,0))</f>
        <v>szt.</v>
      </c>
      <c r="O180" s="11">
        <f>SUM(O176:O177)</f>
        <v>0</v>
      </c>
      <c r="P180" s="34">
        <f>INDEX(cennik!$C$2:$L$529,MATCH($L180,cennik!$B$2:$B$522,0),MATCH(P$2,cennik!$C$1:$L$1,0))</f>
        <v>1.56</v>
      </c>
      <c r="Q180" s="34">
        <f t="shared" si="214"/>
        <v>0</v>
      </c>
      <c r="R180" s="35">
        <f t="shared" si="211"/>
        <v>0</v>
      </c>
      <c r="S180" s="34">
        <f t="shared" si="212"/>
        <v>1.56</v>
      </c>
      <c r="T180" s="34">
        <f t="shared" si="213"/>
        <v>0</v>
      </c>
      <c r="U180" s="34">
        <f>INDEX(cennik!$C$2:$L$529,MATCH($L180,cennik!$B$2:$B$522,0),MATCH(U$2,cennik!$C$1:$L$1,0))*O180</f>
        <v>0</v>
      </c>
      <c r="V180" s="25"/>
      <c r="W180" s="27"/>
      <c r="X180" s="27"/>
      <c r="Y180" s="27"/>
      <c r="Z180" s="27"/>
      <c r="AA180" s="21">
        <f t="shared" ref="AA180:AA195" si="247">(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5,1,IF(AND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5,(IF(((INT((((A192/3)*(INDEX($AF$33:$AF$46,MATCH($E$193,$AE$33:$AE$46),1,1)))+(((A192/3)-1)*20))/2900)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lt;=9),2,IF((IF(((INT((((A192/3)*(INDEX($AF$33:$AF$46,MATCH($E$193,$AE$33:$AE$46),1,1)))+(((A192/3)-1)*20))/3100))*3100)+2300&gt;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&gt;9,3,0))))*C192</f>
        <v>0</v>
      </c>
      <c r="AB180" s="21">
        <f t="shared" ref="AB180:AB195" si="248">(IF(((INT((((A192/3)*(INDEX($AF$33:$AF$46,MATCH($E$193,$AE$33:$AE$46),1,1)))+(((A192/3)-1)*20))/3100))*3100)+2300&gt;=((A192/3)*(INDEX($AF$33:$AF$46,MATCH($E$193,$AE$33:$AE$46),1,1)))+(((A192/3)-1)*20),(INT((((A192/3)*(INDEX($AF$33:$AF$46,MATCH($E$193,$AE$33:$AE$46),1,1)))+(((A192/3)-1)*20))/3100))+1,IF(((INT((((A192/3)*(INDEX($AF$33:$AF$46,MATCH($E$193,$AE$33:$AE$46),1,1)))+(((A192/3)-1)*20))/3100))*3100)+2300&lt;((A192/3)*(INDEX($AF$33:$AF$46,MATCH($E$193,$AE$33:$AE$46),1,1)))+(((A192/3)-1)*20),(INT((((A192/3)*(INDEX($AF$33:$AF$46,MATCH($E$193,$AE$33:$AE$46),1,1)))+(((A192/3)-1)*20))/3100))+2,0)))*C192</f>
        <v>0</v>
      </c>
      <c r="AC180" s="21"/>
      <c r="AD180" s="21"/>
      <c r="AE180" s="21"/>
      <c r="AF180" s="21"/>
      <c r="AG180" s="21"/>
      <c r="AH180" s="21"/>
      <c r="AI180" s="21"/>
      <c r="AJ180" s="21"/>
      <c r="AK180" s="21"/>
      <c r="AL180" s="21"/>
      <c r="AM180" s="21"/>
      <c r="AN180" s="21"/>
      <c r="AO180" s="21"/>
      <c r="AP180" s="21"/>
      <c r="AQ180" s="21"/>
      <c r="AR180" s="25" t="s">
        <v>474</v>
      </c>
      <c r="AS180" s="21" t="s">
        <v>596</v>
      </c>
      <c r="AT180" s="25" t="s">
        <v>595</v>
      </c>
      <c r="AU180" s="25" t="s">
        <v>593</v>
      </c>
      <c r="AV180" s="21" t="s">
        <v>594</v>
      </c>
      <c r="AX180" s="188"/>
      <c r="AY180" s="199"/>
      <c r="AZ180" s="199"/>
      <c r="BA180" s="189"/>
      <c r="BH180" s="21" t="s">
        <v>216</v>
      </c>
      <c r="BI180" s="21">
        <f t="shared" ref="BI180:BS182" si="249">BI16/5*4</f>
        <v>0</v>
      </c>
      <c r="BJ180" s="21">
        <f t="shared" si="249"/>
        <v>0</v>
      </c>
      <c r="BK180" s="21">
        <f t="shared" si="249"/>
        <v>0</v>
      </c>
      <c r="BL180" s="21">
        <f t="shared" si="249"/>
        <v>0</v>
      </c>
      <c r="BM180" s="21">
        <f t="shared" si="249"/>
        <v>8</v>
      </c>
      <c r="BN180" s="21">
        <f t="shared" si="249"/>
        <v>0</v>
      </c>
      <c r="BO180" s="21">
        <v>0</v>
      </c>
      <c r="BP180" s="21">
        <v>4</v>
      </c>
      <c r="BQ180" s="21">
        <v>0</v>
      </c>
      <c r="BR180" s="21">
        <f t="shared" si="249"/>
        <v>4</v>
      </c>
      <c r="BS180" s="21">
        <f t="shared" si="249"/>
        <v>0</v>
      </c>
      <c r="BT180" s="21">
        <v>8</v>
      </c>
      <c r="BU180" s="21">
        <v>0</v>
      </c>
      <c r="BV180" s="21"/>
      <c r="BW180" s="21" t="s">
        <v>216</v>
      </c>
      <c r="BX180" s="21">
        <v>0</v>
      </c>
      <c r="BY180" s="21">
        <f t="shared" si="244"/>
        <v>0</v>
      </c>
      <c r="BZ180" s="21">
        <f t="shared" si="244"/>
        <v>0</v>
      </c>
      <c r="CA180" s="21">
        <f t="shared" si="244"/>
        <v>4</v>
      </c>
      <c r="CB180" s="21">
        <f t="shared" si="244"/>
        <v>0</v>
      </c>
      <c r="CC180" s="21">
        <v>4</v>
      </c>
      <c r="CD180" s="21">
        <f t="shared" si="244"/>
        <v>0</v>
      </c>
      <c r="CE180" s="21">
        <v>0</v>
      </c>
      <c r="CF180" s="21">
        <f t="shared" si="244"/>
        <v>4</v>
      </c>
      <c r="CG180" s="21">
        <f t="shared" si="244"/>
        <v>8</v>
      </c>
      <c r="CH180" s="21">
        <v>8</v>
      </c>
      <c r="CI180" s="21">
        <v>0</v>
      </c>
      <c r="CJ180" s="21">
        <f t="shared" si="244"/>
        <v>8</v>
      </c>
      <c r="CK180" s="21"/>
      <c r="CL180" s="21"/>
      <c r="CM180" s="21"/>
      <c r="CN180" s="21" t="s">
        <v>216</v>
      </c>
      <c r="CO180" s="21">
        <f t="shared" si="245"/>
        <v>0</v>
      </c>
      <c r="CP180" s="21">
        <f t="shared" si="245"/>
        <v>4</v>
      </c>
      <c r="CQ180" s="21">
        <f t="shared" si="245"/>
        <v>0</v>
      </c>
      <c r="CR180" s="21">
        <f t="shared" si="245"/>
        <v>8</v>
      </c>
      <c r="CS180" s="21">
        <f t="shared" si="245"/>
        <v>0</v>
      </c>
      <c r="CT180" s="21">
        <v>0</v>
      </c>
      <c r="CU180" s="21">
        <f t="shared" si="245"/>
        <v>8</v>
      </c>
      <c r="CV180" s="21">
        <f t="shared" si="245"/>
        <v>0</v>
      </c>
      <c r="CW180" s="21">
        <f t="shared" si="245"/>
        <v>8</v>
      </c>
      <c r="CX180" s="21">
        <f t="shared" si="245"/>
        <v>4</v>
      </c>
      <c r="CY180" s="21">
        <f t="shared" si="245"/>
        <v>0</v>
      </c>
      <c r="CZ180" s="21">
        <v>8</v>
      </c>
      <c r="DA180" s="21">
        <f t="shared" si="245"/>
        <v>0</v>
      </c>
      <c r="DB180" s="21"/>
      <c r="DC180" s="21" t="s">
        <v>216</v>
      </c>
      <c r="DD180" s="21">
        <v>0</v>
      </c>
      <c r="DE180" s="21">
        <f t="shared" ref="DE180:DP182" si="250">DE16/5*4</f>
        <v>4</v>
      </c>
      <c r="DF180" s="21">
        <f t="shared" si="250"/>
        <v>0</v>
      </c>
      <c r="DG180" s="21">
        <v>0</v>
      </c>
      <c r="DH180" s="21">
        <f t="shared" si="250"/>
        <v>8</v>
      </c>
      <c r="DI180" s="21">
        <f t="shared" si="250"/>
        <v>0</v>
      </c>
      <c r="DJ180" s="21">
        <v>0</v>
      </c>
      <c r="DK180" s="21">
        <f t="shared" si="250"/>
        <v>4</v>
      </c>
      <c r="DL180" s="21">
        <f t="shared" si="250"/>
        <v>4</v>
      </c>
      <c r="DM180" s="21">
        <f t="shared" si="250"/>
        <v>8</v>
      </c>
      <c r="DN180" s="21">
        <v>8</v>
      </c>
      <c r="DO180" s="21">
        <f t="shared" si="250"/>
        <v>0</v>
      </c>
      <c r="DP180" s="21">
        <f t="shared" si="250"/>
        <v>0</v>
      </c>
      <c r="DQ180" s="87"/>
      <c r="DR180" s="87"/>
      <c r="DS180" s="87"/>
      <c r="DT180" s="21"/>
      <c r="DU180" s="21"/>
      <c r="DV180" s="21"/>
      <c r="DW180" s="21"/>
      <c r="DX180" s="21"/>
      <c r="DY180" s="21"/>
      <c r="DZ180" s="21"/>
      <c r="EA180" s="21"/>
      <c r="EB180" s="21"/>
      <c r="EC180" s="21"/>
      <c r="ED180" s="21"/>
      <c r="EE180" s="21"/>
      <c r="EF180" s="21"/>
      <c r="EG180" s="21"/>
      <c r="EH180" s="21"/>
      <c r="EI180" s="21"/>
      <c r="EJ180" s="21"/>
      <c r="EK180" s="21"/>
      <c r="EL180" s="21"/>
      <c r="EM180" s="21"/>
      <c r="EN180" s="21"/>
      <c r="EO180" s="21"/>
      <c r="EP180" s="21"/>
      <c r="EQ180" s="21"/>
      <c r="ER180" s="21"/>
      <c r="ES180" s="21"/>
      <c r="ET180" s="21"/>
      <c r="EU180" s="21"/>
      <c r="EV180" s="21"/>
      <c r="EW180" s="21"/>
      <c r="EX180" s="21"/>
      <c r="EY180" s="21"/>
      <c r="EZ180" s="21"/>
      <c r="FA180" s="21"/>
      <c r="FB180" s="21"/>
      <c r="FC180" s="21"/>
      <c r="FD180" s="21"/>
      <c r="FE180" s="21"/>
      <c r="FF180" s="21"/>
      <c r="FG180" s="21"/>
      <c r="FH180" s="21"/>
      <c r="FI180" s="21"/>
      <c r="FJ180" s="21"/>
      <c r="FK180" s="21"/>
      <c r="FL180" s="21"/>
      <c r="FM180" s="21"/>
      <c r="FN180" s="21"/>
      <c r="FO180" s="21"/>
      <c r="FP180" s="21"/>
      <c r="FQ180" s="21"/>
      <c r="FR180" s="21"/>
      <c r="FS180" s="21"/>
      <c r="FT180" s="21"/>
      <c r="FU180" s="21"/>
      <c r="FV180" s="21"/>
      <c r="FW180" s="21"/>
      <c r="FX180" s="21"/>
      <c r="FY180" s="21"/>
      <c r="FZ180" s="21"/>
      <c r="GA180" s="21"/>
      <c r="GB180" s="21"/>
      <c r="GC180" s="21"/>
      <c r="GD180" s="21"/>
      <c r="GE180" s="21"/>
      <c r="GF180" s="21"/>
      <c r="GG180" s="21"/>
      <c r="GH180" s="21"/>
      <c r="GI180" s="21"/>
      <c r="GJ180" s="21"/>
      <c r="GK180" s="21"/>
      <c r="GL180" s="21"/>
      <c r="GM180" s="21"/>
      <c r="GN180" s="21"/>
      <c r="GO180" s="21"/>
      <c r="GP180" s="21"/>
      <c r="GQ180" s="21"/>
      <c r="GR180" s="21"/>
      <c r="GS180" s="21"/>
      <c r="GT180" s="21"/>
      <c r="GU180" s="21"/>
      <c r="GV180" s="21"/>
      <c r="GW180" s="21"/>
      <c r="GX180" s="21"/>
      <c r="GY180" s="21"/>
      <c r="GZ180" s="21"/>
      <c r="HA180" s="21"/>
      <c r="HB180" s="21"/>
      <c r="HC180" s="21"/>
      <c r="HD180" s="21"/>
      <c r="HE180" s="21"/>
      <c r="HF180" s="21"/>
      <c r="HG180" s="21"/>
      <c r="HH180" s="21"/>
    </row>
    <row r="181" spans="1:254" x14ac:dyDescent="0.25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6" t="s">
        <v>799</v>
      </c>
      <c r="M181" s="11">
        <f>INDEX(cennik!$C$2:$L$529,MATCH($L181,cennik!$B$2:$B$522,0),MATCH(M$2,cennik!$C$1:$L$1,0))</f>
        <v>6510443</v>
      </c>
      <c r="N181" s="11" t="str">
        <f>INDEX(cennik!$C$2:$L$529,MATCH($L181,cennik!$B$2:$B$522,0),MATCH(N$2,cennik!$C$1:$L$1,0))</f>
        <v>100 szt.</v>
      </c>
      <c r="O181" s="11">
        <f>O182</f>
        <v>0</v>
      </c>
      <c r="P181" s="34">
        <f>INDEX(cennik!$C$2:$L$529,MATCH($L181,cennik!$B$2:$B$522,0),MATCH(P$2,cennik!$C$1:$L$1,0))</f>
        <v>43.51</v>
      </c>
      <c r="Q181" s="34">
        <f t="shared" si="214"/>
        <v>0</v>
      </c>
      <c r="R181" s="35">
        <f t="shared" si="211"/>
        <v>0</v>
      </c>
      <c r="S181" s="34">
        <f t="shared" si="212"/>
        <v>43.51</v>
      </c>
      <c r="T181" s="34">
        <f t="shared" si="213"/>
        <v>0</v>
      </c>
      <c r="U181" s="34">
        <f>INDEX(cennik!$C$2:$L$529,MATCH($L181,cennik!$B$2:$B$522,0),MATCH(U$2,cennik!$C$1:$L$1,0))*O181</f>
        <v>0</v>
      </c>
      <c r="V181" s="25"/>
      <c r="W181" s="20" t="s">
        <v>18</v>
      </c>
      <c r="X181" s="21" t="s">
        <v>217</v>
      </c>
      <c r="Y181" s="21" t="s">
        <v>216</v>
      </c>
      <c r="Z181" s="21" t="s">
        <v>17</v>
      </c>
      <c r="AA181" s="21">
        <f t="shared" si="247"/>
        <v>0</v>
      </c>
      <c r="AB181" s="21">
        <f t="shared" si="248"/>
        <v>0</v>
      </c>
      <c r="AC181" s="21"/>
      <c r="AD181" s="21"/>
      <c r="AE181" s="21"/>
      <c r="AF181" s="21"/>
      <c r="AG181" s="21"/>
      <c r="AH181" s="21"/>
      <c r="AI181" s="21"/>
      <c r="AJ181" s="21"/>
      <c r="AK181" s="21"/>
      <c r="AL181" s="21"/>
      <c r="AM181" s="21"/>
      <c r="AN181" s="21"/>
      <c r="AO181" s="21"/>
      <c r="AP181" s="21"/>
      <c r="AQ181" s="21"/>
      <c r="AR181" s="25" t="s">
        <v>480</v>
      </c>
      <c r="AS181" s="25" t="s">
        <v>596</v>
      </c>
      <c r="AT181" s="25" t="s">
        <v>596</v>
      </c>
      <c r="AU181" s="25" t="s">
        <v>594</v>
      </c>
      <c r="AV181" s="21" t="s">
        <v>594</v>
      </c>
      <c r="AX181" s="188"/>
      <c r="AY181" s="199"/>
      <c r="AZ181" s="199"/>
      <c r="BA181" s="189"/>
      <c r="BH181" s="21" t="s">
        <v>17</v>
      </c>
      <c r="BI181" s="21">
        <f t="shared" si="249"/>
        <v>0</v>
      </c>
      <c r="BJ181" s="21">
        <f t="shared" si="249"/>
        <v>4</v>
      </c>
      <c r="BK181" s="21">
        <f t="shared" si="249"/>
        <v>0</v>
      </c>
      <c r="BL181" s="21">
        <f t="shared" si="249"/>
        <v>0</v>
      </c>
      <c r="BM181" s="21">
        <f t="shared" si="249"/>
        <v>0</v>
      </c>
      <c r="BN181" s="21">
        <f t="shared" si="249"/>
        <v>4</v>
      </c>
      <c r="BO181" s="21">
        <v>0</v>
      </c>
      <c r="BP181" s="21">
        <v>4</v>
      </c>
      <c r="BQ181" s="21">
        <v>4</v>
      </c>
      <c r="BR181" s="21">
        <f t="shared" si="249"/>
        <v>0</v>
      </c>
      <c r="BS181" s="21">
        <f t="shared" si="249"/>
        <v>0</v>
      </c>
      <c r="BT181" s="21">
        <v>0</v>
      </c>
      <c r="BU181" s="21">
        <v>4</v>
      </c>
      <c r="BV181" s="21"/>
      <c r="BW181" s="21" t="s">
        <v>17</v>
      </c>
      <c r="BX181" s="21">
        <v>0</v>
      </c>
      <c r="BY181" s="21">
        <f t="shared" si="244"/>
        <v>4</v>
      </c>
      <c r="BZ181" s="21">
        <f t="shared" si="244"/>
        <v>0</v>
      </c>
      <c r="CA181" s="21">
        <f t="shared" si="244"/>
        <v>4</v>
      </c>
      <c r="CB181" s="21">
        <f t="shared" si="244"/>
        <v>4</v>
      </c>
      <c r="CC181" s="21">
        <v>0</v>
      </c>
      <c r="CD181" s="21">
        <f t="shared" si="244"/>
        <v>0</v>
      </c>
      <c r="CE181" s="21">
        <v>4</v>
      </c>
      <c r="CF181" s="21">
        <f t="shared" si="244"/>
        <v>0</v>
      </c>
      <c r="CG181" s="21">
        <f t="shared" si="244"/>
        <v>4</v>
      </c>
      <c r="CH181" s="21">
        <v>0</v>
      </c>
      <c r="CI181" s="21">
        <v>4</v>
      </c>
      <c r="CJ181" s="21">
        <f t="shared" si="244"/>
        <v>4</v>
      </c>
      <c r="CK181" s="21"/>
      <c r="CL181" s="21"/>
      <c r="CM181" s="21"/>
      <c r="CN181" s="21" t="s">
        <v>17</v>
      </c>
      <c r="CO181" s="21">
        <f t="shared" si="245"/>
        <v>0</v>
      </c>
      <c r="CP181" s="21">
        <f t="shared" si="245"/>
        <v>0</v>
      </c>
      <c r="CQ181" s="21">
        <f t="shared" si="245"/>
        <v>0</v>
      </c>
      <c r="CR181" s="21">
        <f t="shared" si="245"/>
        <v>0</v>
      </c>
      <c r="CS181" s="21">
        <f t="shared" si="245"/>
        <v>4</v>
      </c>
      <c r="CT181" s="21">
        <v>0</v>
      </c>
      <c r="CU181" s="21">
        <f t="shared" si="245"/>
        <v>0</v>
      </c>
      <c r="CV181" s="21">
        <f t="shared" si="245"/>
        <v>4</v>
      </c>
      <c r="CW181" s="21">
        <f t="shared" si="245"/>
        <v>4</v>
      </c>
      <c r="CX181" s="21">
        <f t="shared" si="245"/>
        <v>4</v>
      </c>
      <c r="CY181" s="21">
        <f t="shared" si="245"/>
        <v>4</v>
      </c>
      <c r="CZ181" s="21">
        <v>4</v>
      </c>
      <c r="DA181" s="21">
        <f t="shared" si="245"/>
        <v>0</v>
      </c>
      <c r="DB181" s="21"/>
      <c r="DC181" s="21" t="s">
        <v>17</v>
      </c>
      <c r="DD181" s="21">
        <v>0</v>
      </c>
      <c r="DE181" s="21">
        <f t="shared" si="250"/>
        <v>0</v>
      </c>
      <c r="DF181" s="21">
        <f t="shared" si="250"/>
        <v>0</v>
      </c>
      <c r="DG181" s="21">
        <v>4</v>
      </c>
      <c r="DH181" s="21">
        <f t="shared" si="250"/>
        <v>4</v>
      </c>
      <c r="DI181" s="21">
        <f t="shared" si="250"/>
        <v>0</v>
      </c>
      <c r="DJ181" s="21">
        <v>4</v>
      </c>
      <c r="DK181" s="21">
        <f t="shared" si="250"/>
        <v>0</v>
      </c>
      <c r="DL181" s="21">
        <f t="shared" si="250"/>
        <v>4</v>
      </c>
      <c r="DM181" s="21">
        <f t="shared" si="250"/>
        <v>0</v>
      </c>
      <c r="DN181" s="21">
        <v>4</v>
      </c>
      <c r="DO181" s="21">
        <f t="shared" si="250"/>
        <v>0</v>
      </c>
      <c r="DP181" s="21">
        <f t="shared" si="250"/>
        <v>4</v>
      </c>
      <c r="DQ181" s="87"/>
      <c r="DR181" s="87"/>
      <c r="DS181" s="87"/>
      <c r="DT181" s="21"/>
      <c r="DU181" s="21"/>
      <c r="DV181" s="21"/>
      <c r="DW181" s="21"/>
      <c r="DX181" s="21"/>
      <c r="DY181" s="21"/>
      <c r="DZ181" s="21"/>
      <c r="EA181" s="21"/>
      <c r="EB181" s="21"/>
      <c r="EC181" s="21"/>
      <c r="ED181" s="21"/>
      <c r="EE181" s="21"/>
      <c r="EF181" s="21"/>
      <c r="EG181" s="21"/>
      <c r="EH181" s="21"/>
      <c r="EI181" s="21"/>
      <c r="EJ181" s="21"/>
      <c r="EK181" s="21"/>
      <c r="EL181" s="21"/>
      <c r="EM181" s="21"/>
      <c r="EN181" s="21"/>
      <c r="EO181" s="21"/>
      <c r="EP181" s="21"/>
      <c r="EQ181" s="21"/>
      <c r="ER181" s="21"/>
      <c r="ES181" s="21"/>
      <c r="ET181" s="21"/>
      <c r="EU181" s="21"/>
      <c r="EV181" s="21"/>
      <c r="EW181" s="21"/>
      <c r="EX181" s="21"/>
      <c r="EY181" s="21"/>
      <c r="EZ181" s="21"/>
      <c r="FA181" s="21"/>
      <c r="FB181" s="21"/>
      <c r="FC181" s="21"/>
      <c r="FD181" s="21"/>
      <c r="FE181" s="21"/>
      <c r="FF181" s="21"/>
      <c r="FG181" s="21"/>
      <c r="FH181" s="21"/>
      <c r="FI181" s="21"/>
      <c r="FJ181" s="21"/>
      <c r="FK181" s="21"/>
      <c r="FL181" s="21"/>
      <c r="FM181" s="21"/>
      <c r="FN181" s="21"/>
      <c r="FO181" s="21"/>
      <c r="FP181" s="21"/>
      <c r="FQ181" s="21"/>
      <c r="FR181" s="21"/>
      <c r="FS181" s="21"/>
      <c r="FT181" s="21"/>
      <c r="FU181" s="21"/>
      <c r="FV181" s="21"/>
      <c r="FW181" s="21"/>
      <c r="FX181" s="21"/>
      <c r="FY181" s="21"/>
      <c r="FZ181" s="21"/>
      <c r="GA181" s="21"/>
      <c r="GB181" s="21"/>
      <c r="GC181" s="21"/>
      <c r="GD181" s="21"/>
      <c r="GE181" s="21"/>
      <c r="GF181" s="21"/>
      <c r="GG181" s="21"/>
      <c r="GH181" s="21"/>
      <c r="GI181" s="21"/>
      <c r="GJ181" s="21"/>
      <c r="GK181" s="21"/>
      <c r="GL181" s="21"/>
      <c r="GM181" s="21"/>
      <c r="GN181" s="21"/>
      <c r="GO181" s="21"/>
      <c r="GP181" s="21"/>
      <c r="GQ181" s="21"/>
      <c r="GR181" s="21"/>
      <c r="GS181" s="21"/>
      <c r="GT181" s="21"/>
      <c r="GU181" s="21"/>
      <c r="GV181" s="21"/>
      <c r="GW181" s="21"/>
      <c r="GX181" s="21"/>
      <c r="GY181" s="21"/>
      <c r="GZ181" s="21"/>
      <c r="HA181" s="21"/>
      <c r="HB181" s="21"/>
      <c r="HC181" s="21"/>
      <c r="HD181" s="21"/>
      <c r="HE181" s="21"/>
      <c r="HF181" s="21"/>
      <c r="HG181" s="21"/>
      <c r="HH181" s="21"/>
    </row>
    <row r="182" spans="1:254" ht="15.75" thickBot="1" x14ac:dyDescent="0.3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6" t="s">
        <v>350</v>
      </c>
      <c r="M182" s="11">
        <f>INDEX(cennik!$C$2:$L$529,MATCH($L182,cennik!$B$2:$B$522,0),MATCH(M$2,cennik!$C$1:$L$1,0))</f>
        <v>651643</v>
      </c>
      <c r="N182" s="11" t="str">
        <f>INDEX(cennik!$C$2:$L$529,MATCH($L182,cennik!$B$2:$B$522,0),MATCH(N$2,cennik!$C$1:$L$1,0))</f>
        <v>100 szt.</v>
      </c>
      <c r="O182" s="11">
        <f>ROUNDUP(((O165*12)+(O169*2)+(O164*9)+(O175*8)+(O171*2)+(O188*2)+(O189*2))/100,0)</f>
        <v>0</v>
      </c>
      <c r="P182" s="34">
        <f>INDEX(cennik!$C$2:$L$529,MATCH($L182,cennik!$B$2:$B$522,0),MATCH(P$2,cennik!$C$1:$L$1,0))</f>
        <v>144.19</v>
      </c>
      <c r="Q182" s="34">
        <f t="shared" si="214"/>
        <v>0</v>
      </c>
      <c r="R182" s="35">
        <f t="shared" si="211"/>
        <v>0</v>
      </c>
      <c r="S182" s="34">
        <f t="shared" si="212"/>
        <v>144.19</v>
      </c>
      <c r="T182" s="34">
        <f t="shared" si="213"/>
        <v>0</v>
      </c>
      <c r="U182" s="34">
        <f>INDEX(cennik!$C$2:$L$529,MATCH($L182,cennik!$B$2:$B$522,0),MATCH(U$2,cennik!$C$1:$L$1,0))*O182</f>
        <v>0</v>
      </c>
      <c r="V182" s="25"/>
      <c r="W182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192,$EL$166:$EX$166,0),MATCH($E$193,$AE$33:$AE$46,0)))*C192</f>
        <v>0</v>
      </c>
      <c r="X182" s="21">
        <v>0</v>
      </c>
      <c r="Y182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192,$EL$166:$EX$166,0),MATCH($E$193,$AE$33:$AE$46,0)))*C192</f>
        <v>0</v>
      </c>
      <c r="Z182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192,$EL$166:$EX$166,0),MATCH($E$193,$AE$33:$AE$46,0)))*C192</f>
        <v>0</v>
      </c>
      <c r="AA182" s="21">
        <f t="shared" si="247"/>
        <v>0</v>
      </c>
      <c r="AB182" s="21">
        <f t="shared" si="248"/>
        <v>0</v>
      </c>
      <c r="AC182" s="21"/>
      <c r="AD182" s="21"/>
      <c r="AE182" s="21"/>
      <c r="AF182" s="21"/>
      <c r="AG182" s="21"/>
      <c r="AH182" s="21"/>
      <c r="AI182" s="21"/>
      <c r="AJ182" s="21"/>
      <c r="AK182" s="21"/>
      <c r="AL182" s="21"/>
      <c r="AM182" s="21"/>
      <c r="AN182" s="21"/>
      <c r="AO182" s="21"/>
      <c r="AP182" s="21"/>
      <c r="AQ182" s="21"/>
      <c r="AR182" s="25" t="s">
        <v>713</v>
      </c>
      <c r="AS182" s="25" t="s">
        <v>596</v>
      </c>
      <c r="AT182" s="25" t="s">
        <v>596</v>
      </c>
      <c r="AU182" s="21" t="s">
        <v>594</v>
      </c>
      <c r="AV182" s="21" t="s">
        <v>594</v>
      </c>
      <c r="AX182" s="188"/>
      <c r="AY182" s="200"/>
      <c r="AZ182" s="200"/>
      <c r="BA182" s="200"/>
      <c r="BH182" s="20" t="s">
        <v>18</v>
      </c>
      <c r="BI182" s="21">
        <f t="shared" si="249"/>
        <v>0</v>
      </c>
      <c r="BJ182" s="21">
        <f t="shared" si="249"/>
        <v>0</v>
      </c>
      <c r="BK182" s="21">
        <f t="shared" si="249"/>
        <v>0</v>
      </c>
      <c r="BL182" s="21">
        <f t="shared" si="249"/>
        <v>0</v>
      </c>
      <c r="BM182" s="21">
        <f t="shared" si="249"/>
        <v>4</v>
      </c>
      <c r="BN182" s="21">
        <f t="shared" si="249"/>
        <v>4</v>
      </c>
      <c r="BO182" s="21">
        <v>4</v>
      </c>
      <c r="BP182" s="21">
        <v>8</v>
      </c>
      <c r="BQ182" s="21">
        <v>8</v>
      </c>
      <c r="BR182" s="21">
        <f t="shared" si="249"/>
        <v>8</v>
      </c>
      <c r="BS182" s="21">
        <f t="shared" si="249"/>
        <v>8</v>
      </c>
      <c r="BT182" s="21">
        <v>12</v>
      </c>
      <c r="BU182" s="21">
        <v>12</v>
      </c>
      <c r="BV182" s="21"/>
      <c r="BW182" s="21" t="s">
        <v>18</v>
      </c>
      <c r="BX182" s="21">
        <v>0</v>
      </c>
      <c r="BY182" s="21">
        <f t="shared" si="244"/>
        <v>0</v>
      </c>
      <c r="BZ182" s="21">
        <f t="shared" si="244"/>
        <v>0</v>
      </c>
      <c r="CA182" s="21">
        <f t="shared" si="244"/>
        <v>4</v>
      </c>
      <c r="CB182" s="21">
        <f t="shared" si="244"/>
        <v>4</v>
      </c>
      <c r="CC182" s="21">
        <v>4</v>
      </c>
      <c r="CD182" s="21">
        <f t="shared" si="244"/>
        <v>4</v>
      </c>
      <c r="CE182" s="21">
        <v>8</v>
      </c>
      <c r="CF182" s="21">
        <f t="shared" si="244"/>
        <v>8</v>
      </c>
      <c r="CG182" s="21">
        <f t="shared" si="244"/>
        <v>12</v>
      </c>
      <c r="CH182" s="21">
        <v>12</v>
      </c>
      <c r="CI182" s="21">
        <v>12</v>
      </c>
      <c r="CJ182" s="21">
        <f t="shared" si="244"/>
        <v>16</v>
      </c>
      <c r="CK182" s="21"/>
      <c r="CL182" s="21"/>
      <c r="CM182" s="21"/>
      <c r="CN182" s="20" t="s">
        <v>18</v>
      </c>
      <c r="CO182" s="21">
        <f t="shared" si="245"/>
        <v>0</v>
      </c>
      <c r="CP182" s="21">
        <f t="shared" si="245"/>
        <v>0</v>
      </c>
      <c r="CQ182" s="21">
        <f t="shared" si="245"/>
        <v>0</v>
      </c>
      <c r="CR182" s="21">
        <f t="shared" si="245"/>
        <v>4</v>
      </c>
      <c r="CS182" s="21">
        <f t="shared" si="245"/>
        <v>4</v>
      </c>
      <c r="CT182" s="21">
        <v>4</v>
      </c>
      <c r="CU182" s="21">
        <f t="shared" si="245"/>
        <v>8</v>
      </c>
      <c r="CV182" s="21">
        <f t="shared" si="245"/>
        <v>8</v>
      </c>
      <c r="CW182" s="21">
        <f t="shared" si="245"/>
        <v>12</v>
      </c>
      <c r="CX182" s="21">
        <f t="shared" si="245"/>
        <v>12</v>
      </c>
      <c r="CY182" s="21">
        <f t="shared" si="245"/>
        <v>12</v>
      </c>
      <c r="CZ182" s="21">
        <v>16</v>
      </c>
      <c r="DA182" s="21">
        <f t="shared" si="245"/>
        <v>12</v>
      </c>
      <c r="DB182" s="21"/>
      <c r="DC182" s="21" t="s">
        <v>18</v>
      </c>
      <c r="DD182" s="21">
        <v>0</v>
      </c>
      <c r="DE182" s="21">
        <f t="shared" si="250"/>
        <v>0</v>
      </c>
      <c r="DF182" s="21">
        <f t="shared" si="250"/>
        <v>0</v>
      </c>
      <c r="DG182" s="21">
        <v>4</v>
      </c>
      <c r="DH182" s="21">
        <f t="shared" si="250"/>
        <v>8</v>
      </c>
      <c r="DI182" s="21">
        <f t="shared" si="250"/>
        <v>4</v>
      </c>
      <c r="DJ182" s="21">
        <v>8</v>
      </c>
      <c r="DK182" s="21">
        <f t="shared" si="250"/>
        <v>8</v>
      </c>
      <c r="DL182" s="21">
        <f t="shared" si="250"/>
        <v>12</v>
      </c>
      <c r="DM182" s="21">
        <f t="shared" si="250"/>
        <v>12</v>
      </c>
      <c r="DN182" s="21">
        <v>16</v>
      </c>
      <c r="DO182" s="21">
        <f t="shared" si="250"/>
        <v>12</v>
      </c>
      <c r="DP182" s="21">
        <f t="shared" si="250"/>
        <v>16</v>
      </c>
      <c r="DQ182" s="87"/>
      <c r="DR182" s="87"/>
      <c r="DS182" s="87"/>
      <c r="DT182" s="21"/>
      <c r="DU182" s="21"/>
      <c r="DV182" s="21"/>
      <c r="DW182" s="21"/>
      <c r="DX182" s="21"/>
      <c r="DY182" s="21"/>
      <c r="DZ182" s="21"/>
      <c r="EA182" s="21"/>
      <c r="EB182" s="21"/>
      <c r="EC182" s="21"/>
      <c r="ED182" s="21"/>
      <c r="EE182" s="21"/>
      <c r="EF182" s="21"/>
      <c r="EG182" s="21"/>
      <c r="EH182" s="21"/>
      <c r="EI182" s="21"/>
      <c r="EJ182" s="21"/>
      <c r="EK182" s="21"/>
      <c r="EL182" s="21"/>
      <c r="EM182" s="21"/>
      <c r="EN182" s="21"/>
      <c r="EO182" s="21"/>
      <c r="EP182" s="21"/>
      <c r="EQ182" s="21"/>
      <c r="ER182" s="21"/>
      <c r="ES182" s="21"/>
      <c r="ET182" s="21"/>
      <c r="EU182" s="21"/>
      <c r="EV182" s="21"/>
      <c r="EW182" s="21"/>
      <c r="EX182" s="21"/>
      <c r="EY182" s="21"/>
      <c r="EZ182" s="21"/>
      <c r="FA182" s="21"/>
      <c r="FB182" s="21"/>
      <c r="FC182" s="21"/>
      <c r="FD182" s="21"/>
      <c r="FE182" s="21"/>
      <c r="FF182" s="21"/>
      <c r="FG182" s="21"/>
      <c r="FH182" s="21"/>
      <c r="FI182" s="21"/>
      <c r="FJ182" s="21"/>
      <c r="FK182" s="21"/>
      <c r="FL182" s="21"/>
      <c r="FM182" s="21"/>
      <c r="FN182" s="21"/>
      <c r="FO182" s="21"/>
      <c r="FP182" s="21"/>
      <c r="FQ182" s="21"/>
      <c r="FR182" s="21"/>
      <c r="FS182" s="21"/>
      <c r="FT182" s="21"/>
      <c r="FU182" s="21"/>
      <c r="FV182" s="21"/>
      <c r="FW182" s="21"/>
      <c r="FX182" s="21"/>
      <c r="FY182" s="21"/>
      <c r="FZ182" s="21"/>
      <c r="GA182" s="21"/>
      <c r="GB182" s="21"/>
      <c r="GC182" s="21"/>
      <c r="GD182" s="21"/>
      <c r="GE182" s="21"/>
      <c r="GF182" s="21"/>
      <c r="GG182" s="21"/>
      <c r="GH182" s="21"/>
      <c r="GI182" s="21"/>
      <c r="GJ182" s="21"/>
      <c r="GK182" s="21"/>
      <c r="GL182" s="21"/>
      <c r="GM182" s="21"/>
      <c r="GN182" s="21"/>
      <c r="GO182" s="21"/>
      <c r="GP182" s="21"/>
      <c r="GQ182" s="21"/>
      <c r="GR182" s="21"/>
      <c r="GS182" s="21"/>
      <c r="GT182" s="21"/>
      <c r="GU182" s="21"/>
      <c r="GV182" s="21"/>
      <c r="GW182" s="21"/>
      <c r="GX182" s="21"/>
      <c r="GY182" s="21"/>
      <c r="GZ182" s="21"/>
      <c r="HA182" s="21"/>
      <c r="HB182" s="21"/>
      <c r="HC182" s="21"/>
      <c r="HD182" s="21"/>
      <c r="HE182" s="21"/>
      <c r="HF182" s="21"/>
      <c r="HG182" s="21"/>
      <c r="HH182" s="21"/>
    </row>
    <row r="183" spans="1:254" ht="15.75" thickBot="1" x14ac:dyDescent="0.3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6" t="s">
        <v>128</v>
      </c>
      <c r="M183" s="11">
        <f>INDEX(cennik!$C$2:$L$529,MATCH($L183,cennik!$B$2:$B$522,0),MATCH(M$2,cennik!$C$1:$L$1,0))</f>
        <v>897303</v>
      </c>
      <c r="N183" s="11" t="str">
        <f>INDEX(cennik!$C$2:$L$529,MATCH($L183,cennik!$B$2:$B$522,0),MATCH(N$2,cennik!$C$1:$L$1,0))</f>
        <v>szt.</v>
      </c>
      <c r="O183" s="11">
        <f>SUM((IF(MOD((A162/2),2)=0,(A162/2)/2,IF(MOD((A162/2),2)=1,FLOOR((A162/2)/2,1)+1,0))*C162*2),(IF(MOD((A163/2),2)=0,(A163/2)/2,IF(MOD((A163/2),2)=1,FLOOR((A163/2)/2,1)+1,0))*C163*2),(IF(MOD((A164/2),2)=0,(A164/2)/2,IF(MOD((A164/2),2)=1,FLOOR((A164/2)/2,1)+1,0))*C164*2),(IF(MOD((A165/2),2)=0,(A165/2)/2,IF(MOD((A165/2),2)=1,FLOOR((A165/2)/2,1)+1,0))*C165*2),(IF(MOD((A166/2),2)=0,(A166/2)/2,IF(MOD((A166/2),2)=1,FLOOR((A166/2)/2,1)+1,0))*C166*2),(IF(MOD((A167/2),2)=0,(A167/2)/2,IF(MOD((A167/2),2)=1,FLOOR((A167/2)/2,1)+1,0))*C167*2),(IF(MOD((A168/2),2)=0,(A168/2)/2,IF(MOD((A168/2),2)=1,FLOOR((A168/2)/2,1)+1,0))*C168*2),(IF(MOD((A169/2),2)=0,(A169/2)/2,IF(MOD((A169/2),2)=1,FLOOR((A169/2)/2,1)+1,0))*C169*2),(IF(MOD((A170/2),2)=0,(A170/2)/2,IF(MOD((A170/2),2)=1,FLOOR((A170/2)/2,1)+1,0))*C170*2),(IF(MOD((A171/2),2)=0,(A171/2)/2,IF(MOD((A171/2),2)=1,FLOOR((A171/2)/2,1)+1,0))*C171*2),(IF(MOD((A172/2),2)=0,(A172/2)/2,IF(MOD((A172/2),2)=1,FLOOR((A172/2)/2,1)+1,0))*C172*2),(IF(MOD((A173/2),2)=0,(A173/2)/2,IF(MOD((A173/2),2)=1,FLOOR((A173/2)/2,1)+1,0))*C173*2),(IF(MOD((A174/2),2)=0,(A174/2)/2,IF(MOD((A174/2),2)=1,FLOOR((A174/2)/2,1)+1,0))*C174*2),(IF(MOD((A175/2),2)=0,(A175/2)/2,IF(MOD((A175/2),2)=1,FLOOR((A175/2)/2,1)+1,0))*C175*2),(IF(MOD((A176/2),2)=0,(A176/2)/2,IF(MOD((A176/2),2)=1,FLOOR((A176/2)/2,1)+1,0))*C176*2),(IF(MOD((A177/2),2)=0,(A177/2)/2,IF(MOD((A177/2),2)=1,FLOOR((A177/2)/2,1)+1,0))*C177*2))</f>
        <v>0</v>
      </c>
      <c r="P183" s="34">
        <f>INDEX(cennik!$C$2:$L$529,MATCH($L183,cennik!$B$2:$B$522,0),MATCH(P$2,cennik!$C$1:$L$1,0))</f>
        <v>2.4</v>
      </c>
      <c r="Q183" s="34">
        <f t="shared" si="214"/>
        <v>0</v>
      </c>
      <c r="R183" s="35">
        <f t="shared" si="211"/>
        <v>0</v>
      </c>
      <c r="S183" s="34">
        <f t="shared" si="212"/>
        <v>2.4</v>
      </c>
      <c r="T183" s="34">
        <f t="shared" si="213"/>
        <v>0</v>
      </c>
      <c r="U183" s="34">
        <f>INDEX(cennik!$C$2:$L$529,MATCH($L183,cennik!$B$2:$B$522,0),MATCH(U$2,cennik!$C$1:$L$1,0))*O183</f>
        <v>0</v>
      </c>
      <c r="V183" s="25"/>
      <c r="W183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193,$EL$166:$EX$166,0),MATCH($E$193,$AE$33:$AE$46,0)))*C193</f>
        <v>0</v>
      </c>
      <c r="X183" s="21">
        <v>0</v>
      </c>
      <c r="Y183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193,$EL$166:$EX$166,0),MATCH($E$193,$AE$33:$AE$46,0)))*C193</f>
        <v>0</v>
      </c>
      <c r="Z183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193,$EL$166:$EX$166,0),MATCH($E$193,$AE$33:$AE$46,0)))*C193</f>
        <v>0</v>
      </c>
      <c r="AA183" s="21">
        <f t="shared" si="247"/>
        <v>0</v>
      </c>
      <c r="AB183" s="21">
        <f t="shared" si="248"/>
        <v>0</v>
      </c>
      <c r="AC183" s="21"/>
      <c r="AD183" s="21"/>
      <c r="AE183" s="21"/>
      <c r="AF183" s="21"/>
      <c r="AG183" s="21"/>
      <c r="AH183" s="21"/>
      <c r="AI183" s="21"/>
      <c r="AJ183" s="21"/>
      <c r="AK183" s="21"/>
      <c r="AL183" s="21"/>
      <c r="AM183" s="21"/>
      <c r="AN183" s="21"/>
      <c r="AO183" s="21"/>
      <c r="AP183" s="21"/>
      <c r="AQ183" s="21"/>
      <c r="AR183" s="21" t="s">
        <v>714</v>
      </c>
      <c r="AS183" s="25" t="s">
        <v>596</v>
      </c>
      <c r="AT183" s="25" t="s">
        <v>596</v>
      </c>
      <c r="AU183" s="21" t="s">
        <v>594</v>
      </c>
      <c r="AV183" s="21" t="s">
        <v>594</v>
      </c>
      <c r="AX183" s="188"/>
      <c r="AY183" s="200"/>
      <c r="AZ183" s="200"/>
      <c r="BA183" s="189"/>
      <c r="BH183" s="21"/>
      <c r="BI183" s="21"/>
      <c r="BJ183" s="21"/>
      <c r="BK183" s="21"/>
      <c r="BL183" s="21"/>
      <c r="BM183" s="21"/>
      <c r="BN183" s="21"/>
      <c r="BO183" s="21"/>
      <c r="BP183" s="21"/>
      <c r="BQ183" s="21"/>
      <c r="BR183" s="21"/>
      <c r="BS183" s="21"/>
      <c r="BT183" s="21"/>
      <c r="BU183" s="21"/>
      <c r="BV183" s="21"/>
      <c r="BW183" s="21"/>
      <c r="BX183" s="21"/>
      <c r="BY183" s="21"/>
      <c r="BZ183" s="21"/>
      <c r="CA183" s="21"/>
      <c r="CB183" s="21"/>
      <c r="CC183" s="21"/>
      <c r="CD183" s="21"/>
      <c r="CE183" s="21"/>
      <c r="CF183" s="21"/>
      <c r="CG183" s="21"/>
      <c r="CH183" s="21"/>
      <c r="CI183" s="21"/>
      <c r="CJ183" s="21"/>
      <c r="CK183" s="21"/>
      <c r="CL183" s="21"/>
      <c r="CM183" s="21"/>
      <c r="CN183" s="21"/>
      <c r="CO183" s="21"/>
      <c r="CP183" s="21"/>
      <c r="CQ183" s="21"/>
      <c r="CR183" s="21"/>
      <c r="CS183" s="21"/>
      <c r="CT183" s="21"/>
      <c r="CU183" s="21"/>
      <c r="CV183" s="21"/>
      <c r="CW183" s="21"/>
      <c r="CX183" s="21"/>
      <c r="CY183" s="21"/>
      <c r="CZ183" s="21"/>
      <c r="DA183" s="21"/>
      <c r="DB183" s="21"/>
      <c r="DC183" s="21"/>
      <c r="DD183" s="21"/>
      <c r="DE183" s="21"/>
      <c r="DF183" s="21"/>
      <c r="DG183" s="21"/>
      <c r="DH183" s="21"/>
      <c r="DI183" s="21"/>
      <c r="DJ183" s="21"/>
      <c r="DK183" s="21"/>
      <c r="DL183" s="21"/>
      <c r="DM183" s="21"/>
      <c r="DN183" s="21"/>
      <c r="DO183" s="21"/>
      <c r="DP183" s="21"/>
      <c r="DQ183" s="87"/>
      <c r="DR183" s="87"/>
      <c r="DS183" s="87"/>
      <c r="DT183" s="21"/>
      <c r="DU183" s="21"/>
      <c r="DV183" s="21"/>
      <c r="DW183" s="21"/>
      <c r="DX183" s="21"/>
      <c r="DY183" s="21"/>
      <c r="DZ183" s="21"/>
      <c r="EA183" s="21"/>
      <c r="EB183" s="21"/>
      <c r="EC183" s="21"/>
      <c r="ED183" s="21"/>
      <c r="EE183" s="21"/>
      <c r="EF183" s="21"/>
      <c r="EG183" s="21"/>
      <c r="EH183" s="21"/>
      <c r="EI183" s="21"/>
      <c r="EJ183" s="193"/>
      <c r="EK183" s="194"/>
      <c r="EL183" s="194"/>
      <c r="EM183" s="194"/>
      <c r="EN183" s="194"/>
      <c r="EO183" s="194"/>
      <c r="EP183" s="194"/>
      <c r="EQ183" s="194"/>
      <c r="ER183" s="194"/>
      <c r="ES183" s="194"/>
      <c r="ET183" s="194"/>
      <c r="EU183" s="194"/>
      <c r="EV183" s="194"/>
      <c r="EW183" s="194"/>
      <c r="EX183" s="194"/>
      <c r="EY183" s="194"/>
      <c r="EZ183" s="194"/>
      <c r="FA183" s="194"/>
      <c r="FB183" s="194"/>
      <c r="FC183" s="194"/>
      <c r="FD183" s="194"/>
      <c r="FE183" s="194"/>
      <c r="FF183" s="194"/>
      <c r="FG183" s="194"/>
      <c r="FH183" s="194"/>
      <c r="FI183" s="194"/>
      <c r="FJ183" s="194"/>
      <c r="FK183" s="194"/>
      <c r="FL183" s="194"/>
      <c r="FM183" s="194"/>
      <c r="FN183" s="194"/>
      <c r="FO183" s="194"/>
      <c r="FP183" s="194"/>
      <c r="FQ183" s="194"/>
      <c r="FR183" s="194"/>
      <c r="FS183" s="194"/>
      <c r="FT183" s="194"/>
      <c r="FU183" s="194"/>
      <c r="FV183" s="194"/>
      <c r="FW183" s="194"/>
      <c r="FX183" s="194"/>
      <c r="FY183" s="194"/>
      <c r="FZ183" s="194"/>
      <c r="GA183" s="194"/>
      <c r="GB183" s="194"/>
      <c r="GC183" s="194"/>
      <c r="GD183" s="194"/>
      <c r="GE183" s="194"/>
      <c r="GF183" s="194"/>
      <c r="GG183" s="194"/>
      <c r="GH183" s="194"/>
      <c r="GI183" s="194"/>
      <c r="GJ183" s="194"/>
      <c r="GK183" s="194"/>
      <c r="GL183" s="194"/>
      <c r="GM183" s="194"/>
      <c r="GN183" s="194"/>
      <c r="GO183" s="194"/>
      <c r="GP183" s="194"/>
      <c r="GQ183" s="194"/>
      <c r="GR183" s="194"/>
      <c r="GS183" s="194"/>
      <c r="GT183" s="194"/>
      <c r="GU183" s="194"/>
      <c r="GV183" s="194"/>
      <c r="GW183" s="194"/>
      <c r="GX183" s="194"/>
      <c r="GY183" s="194"/>
      <c r="GZ183" s="194"/>
      <c r="HA183" s="194"/>
      <c r="HB183" s="194"/>
      <c r="HC183" s="194"/>
      <c r="HD183" s="194"/>
      <c r="HE183" s="194"/>
      <c r="HF183" s="194"/>
      <c r="HG183" s="194"/>
      <c r="HH183" s="194"/>
      <c r="HI183" s="206"/>
      <c r="HJ183" s="206"/>
      <c r="HK183" s="206"/>
      <c r="HL183" s="206"/>
      <c r="HM183" s="206"/>
      <c r="HN183" s="206"/>
      <c r="HO183" s="206"/>
      <c r="HP183" s="206"/>
      <c r="HQ183" s="206"/>
      <c r="HR183" s="206"/>
      <c r="HS183" s="206"/>
      <c r="HT183" s="206"/>
      <c r="HU183" s="206"/>
      <c r="HV183" s="206"/>
      <c r="HW183" s="206"/>
      <c r="HX183" s="206"/>
      <c r="HY183" s="206"/>
      <c r="HZ183" s="206"/>
      <c r="IA183" s="206"/>
      <c r="IB183" s="206"/>
      <c r="IC183" s="206"/>
      <c r="ID183" s="206"/>
      <c r="IE183" s="206"/>
      <c r="IF183" s="206"/>
      <c r="IG183" s="206"/>
      <c r="IH183" s="206"/>
      <c r="II183" s="206"/>
      <c r="IJ183" s="206"/>
      <c r="IK183" s="206"/>
      <c r="IL183" s="206"/>
      <c r="IM183" s="206"/>
      <c r="IN183" s="206"/>
      <c r="IO183" s="206"/>
      <c r="IP183" s="206"/>
      <c r="IQ183" s="206"/>
      <c r="IR183" s="206"/>
      <c r="IS183" s="206"/>
      <c r="IT183" s="207"/>
    </row>
    <row r="184" spans="1:254" x14ac:dyDescent="0.25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6" t="s">
        <v>527</v>
      </c>
      <c r="M184" s="11">
        <f>INDEX(cennik!$C$2:$L$529,MATCH($L184,cennik!$B$2:$B$522,0),MATCH(M$2,cennik!$C$1:$L$1,0))</f>
        <v>897311</v>
      </c>
      <c r="N184" s="11" t="str">
        <f>INDEX(cennik!$C$2:$L$529,MATCH($L184,cennik!$B$2:$B$522,0),MATCH(N$2,cennik!$C$1:$L$1,0))</f>
        <v>szt.</v>
      </c>
      <c r="O184" s="11">
        <f>SUM(((INT(((A162/2)+1)/3))*4*C162),((INT(((A163/2)+1)/3))*4*C163),((INT(((A164/2)+1)/3))*4*C164),((INT(((A165/2)+1)/3))*4*C165),((INT(((A166/2)+1)/3))*4*C166),((INT(((A167/2)+1)/3))*4*C167),((INT(((A168/2)+1)/3))*4*C168),((INT(((A169/2)+1)/3))*4*C169),((INT(((A170/2)+1)/3))*4*C170),((INT(((A171/2)+1)/3))*4*C171),((INT(((A172/2)+1)/3))*4*C172),((INT(((A173/2)+1)/3))*4*C173),((INT(((A174/2)+1)/3))*4*C174),((INT(((A175/2)+1)/3))*4*C175),((INT(((A176/2)+1)/3))*4*C176),((INT(((A177/2)+1)/3))*4*C177))</f>
        <v>0</v>
      </c>
      <c r="P184" s="34">
        <f>INDEX(cennik!$C$2:$L$529,MATCH($L184,cennik!$B$2:$B$522,0),MATCH(P$2,cennik!$C$1:$L$1,0))</f>
        <v>5.49</v>
      </c>
      <c r="Q184" s="34">
        <f t="shared" si="214"/>
        <v>0</v>
      </c>
      <c r="R184" s="35">
        <f t="shared" si="211"/>
        <v>0</v>
      </c>
      <c r="S184" s="34">
        <f t="shared" si="212"/>
        <v>5.49</v>
      </c>
      <c r="T184" s="34">
        <f t="shared" si="213"/>
        <v>0</v>
      </c>
      <c r="U184" s="34">
        <f>INDEX(cennik!$C$2:$L$529,MATCH($L184,cennik!$B$2:$B$522,0),MATCH(U$2,cennik!$C$1:$L$1,0))*O184</f>
        <v>0</v>
      </c>
      <c r="V184" s="25"/>
      <c r="W184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194,$EL$166:$EX$166,0),MATCH($E$193,$AE$33:$AE$46,0)))*C194</f>
        <v>0</v>
      </c>
      <c r="X184" s="21">
        <v>0</v>
      </c>
      <c r="Y184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194,$EL$166:$EX$166,0),MATCH($E$193,$AE$33:$AE$46,0)))*C194</f>
        <v>0</v>
      </c>
      <c r="Z184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194,$EL$166:$EX$166,0),MATCH($E$193,$AE$33:$AE$46,0)))*C194</f>
        <v>0</v>
      </c>
      <c r="AA184" s="21">
        <f t="shared" si="247"/>
        <v>0</v>
      </c>
      <c r="AB184" s="21">
        <f t="shared" si="248"/>
        <v>0</v>
      </c>
      <c r="AC184" s="21"/>
      <c r="AD184" s="21"/>
      <c r="AE184" s="21"/>
      <c r="AF184" s="21"/>
      <c r="AG184" s="21"/>
      <c r="AH184" s="21"/>
      <c r="AI184" s="21"/>
      <c r="AJ184" s="21"/>
      <c r="AK184" s="21"/>
      <c r="AL184" s="21"/>
      <c r="AM184" s="21"/>
      <c r="AN184" s="21"/>
      <c r="AO184" s="21"/>
      <c r="AP184" s="21"/>
      <c r="AQ184" s="21"/>
      <c r="AR184" s="21" t="s">
        <v>715</v>
      </c>
      <c r="AS184" s="25" t="s">
        <v>596</v>
      </c>
      <c r="AT184" s="25" t="s">
        <v>596</v>
      </c>
      <c r="AU184" s="21" t="s">
        <v>594</v>
      </c>
      <c r="AV184" s="21" t="s">
        <v>594</v>
      </c>
      <c r="AX184" s="188"/>
      <c r="AY184" s="199"/>
      <c r="AZ184" s="199"/>
      <c r="BA184" s="189"/>
      <c r="BH184" s="193" t="s">
        <v>111</v>
      </c>
      <c r="BI184" s="194">
        <v>0</v>
      </c>
      <c r="BJ184" s="194">
        <v>8</v>
      </c>
      <c r="BK184" s="194">
        <v>12</v>
      </c>
      <c r="BL184" s="194">
        <v>16</v>
      </c>
      <c r="BM184" s="194">
        <v>20</v>
      </c>
      <c r="BN184" s="194">
        <v>24</v>
      </c>
      <c r="BO184" s="194">
        <v>28</v>
      </c>
      <c r="BP184" s="194">
        <v>32</v>
      </c>
      <c r="BQ184" s="194">
        <v>36</v>
      </c>
      <c r="BR184" s="194">
        <v>40</v>
      </c>
      <c r="BS184" s="194">
        <v>44</v>
      </c>
      <c r="BT184" s="194">
        <v>48</v>
      </c>
      <c r="BU184" s="194">
        <v>52</v>
      </c>
      <c r="BV184" s="194"/>
      <c r="BW184" s="194" t="s">
        <v>470</v>
      </c>
      <c r="BX184" s="194">
        <v>0</v>
      </c>
      <c r="BY184" s="194">
        <v>8</v>
      </c>
      <c r="BZ184" s="194">
        <v>12</v>
      </c>
      <c r="CA184" s="194">
        <v>16</v>
      </c>
      <c r="CB184" s="194">
        <v>20</v>
      </c>
      <c r="CC184" s="194">
        <v>24</v>
      </c>
      <c r="CD184" s="194">
        <v>28</v>
      </c>
      <c r="CE184" s="194">
        <v>32</v>
      </c>
      <c r="CF184" s="194">
        <v>36</v>
      </c>
      <c r="CG184" s="194">
        <v>40</v>
      </c>
      <c r="CH184" s="194">
        <v>44</v>
      </c>
      <c r="CI184" s="194">
        <v>48</v>
      </c>
      <c r="CJ184" s="194">
        <v>52</v>
      </c>
      <c r="CK184" s="194"/>
      <c r="CL184" s="194"/>
      <c r="CM184" s="194"/>
      <c r="CN184" s="194" t="s">
        <v>473</v>
      </c>
      <c r="CO184" s="194">
        <v>0</v>
      </c>
      <c r="CP184" s="194">
        <v>8</v>
      </c>
      <c r="CQ184" s="194">
        <v>12</v>
      </c>
      <c r="CR184" s="194">
        <v>16</v>
      </c>
      <c r="CS184" s="194">
        <v>20</v>
      </c>
      <c r="CT184" s="194">
        <v>24</v>
      </c>
      <c r="CU184" s="194">
        <v>28</v>
      </c>
      <c r="CV184" s="194">
        <v>32</v>
      </c>
      <c r="CW184" s="194">
        <v>36</v>
      </c>
      <c r="CX184" s="194">
        <v>40</v>
      </c>
      <c r="CY184" s="194">
        <v>44</v>
      </c>
      <c r="CZ184" s="194">
        <v>48</v>
      </c>
      <c r="DA184" s="194">
        <v>52</v>
      </c>
      <c r="DB184" s="194"/>
      <c r="DC184" s="194" t="s">
        <v>138</v>
      </c>
      <c r="DD184" s="194">
        <v>0</v>
      </c>
      <c r="DE184" s="194">
        <v>8</v>
      </c>
      <c r="DF184" s="194">
        <v>12</v>
      </c>
      <c r="DG184" s="194">
        <v>16</v>
      </c>
      <c r="DH184" s="194">
        <v>20</v>
      </c>
      <c r="DI184" s="194">
        <v>24</v>
      </c>
      <c r="DJ184" s="194">
        <v>28</v>
      </c>
      <c r="DK184" s="194">
        <v>32</v>
      </c>
      <c r="DL184" s="194">
        <v>36</v>
      </c>
      <c r="DM184" s="194">
        <v>40</v>
      </c>
      <c r="DN184" s="194">
        <v>44</v>
      </c>
      <c r="DO184" s="194">
        <v>48</v>
      </c>
      <c r="DP184" s="194">
        <v>52</v>
      </c>
      <c r="DQ184" s="214"/>
      <c r="DR184" s="214">
        <v>6</v>
      </c>
      <c r="DS184" s="214"/>
      <c r="DT184" s="194" t="s">
        <v>508</v>
      </c>
      <c r="DU184" s="194">
        <v>0</v>
      </c>
      <c r="DV184" s="194">
        <v>8</v>
      </c>
      <c r="DW184" s="194">
        <v>12</v>
      </c>
      <c r="DX184" s="194">
        <v>16</v>
      </c>
      <c r="DY184" s="194">
        <v>20</v>
      </c>
      <c r="DZ184" s="194">
        <v>24</v>
      </c>
      <c r="EA184" s="194">
        <v>28</v>
      </c>
      <c r="EB184" s="194">
        <v>32</v>
      </c>
      <c r="EC184" s="194">
        <v>36</v>
      </c>
      <c r="ED184" s="194">
        <v>40</v>
      </c>
      <c r="EE184" s="194">
        <v>44</v>
      </c>
      <c r="EF184" s="194">
        <v>48</v>
      </c>
      <c r="EG184" s="194">
        <v>52</v>
      </c>
      <c r="EH184" s="195"/>
      <c r="EI184" s="21"/>
      <c r="EJ184" s="196"/>
      <c r="EK184" s="21"/>
      <c r="EL184" s="21"/>
      <c r="EM184" s="21" t="s">
        <v>852</v>
      </c>
      <c r="EN184" s="21"/>
      <c r="EO184" s="21"/>
      <c r="EP184" s="21"/>
      <c r="EQ184" s="21"/>
      <c r="ER184" s="21"/>
      <c r="ES184" s="21"/>
      <c r="ET184" s="21"/>
      <c r="EU184" s="21"/>
      <c r="EV184" s="21"/>
      <c r="EW184" s="21"/>
      <c r="EX184" s="21"/>
      <c r="EY184" s="21"/>
      <c r="EZ184" s="21"/>
      <c r="FA184" s="21"/>
      <c r="FB184" s="21"/>
      <c r="FC184" s="21"/>
      <c r="FD184" s="21"/>
      <c r="FE184" s="21"/>
      <c r="FF184" s="21"/>
      <c r="FG184" s="21"/>
      <c r="FH184" s="21"/>
      <c r="FI184" s="21"/>
      <c r="FJ184" s="21"/>
      <c r="FK184" s="21"/>
      <c r="FL184" s="21"/>
      <c r="FM184" s="21"/>
      <c r="FN184" s="21"/>
      <c r="FO184" s="21"/>
      <c r="FP184" s="21"/>
      <c r="FQ184" s="21"/>
      <c r="FR184" s="21"/>
      <c r="FS184" s="21"/>
      <c r="FT184" s="21"/>
      <c r="FU184" s="21"/>
      <c r="FV184" s="21"/>
      <c r="FW184" s="21"/>
      <c r="FX184" s="21"/>
      <c r="FY184" s="21"/>
      <c r="FZ184" s="21"/>
      <c r="GA184" s="21"/>
      <c r="GB184" s="21"/>
      <c r="GC184" s="21"/>
      <c r="GD184" s="21"/>
      <c r="GE184" s="21"/>
      <c r="GF184" s="21"/>
      <c r="GG184" s="21"/>
      <c r="GH184" s="21"/>
      <c r="GI184" s="21"/>
      <c r="GJ184" s="21"/>
      <c r="GK184" s="21"/>
      <c r="GL184" s="21"/>
      <c r="GM184" s="21"/>
      <c r="GN184" s="21"/>
      <c r="GO184" s="21"/>
      <c r="GP184" s="21"/>
      <c r="GQ184" s="21"/>
      <c r="GR184" s="21"/>
      <c r="GS184" s="21"/>
      <c r="GT184" s="21"/>
      <c r="GU184" s="21"/>
      <c r="GV184" s="21"/>
      <c r="GW184" s="21"/>
      <c r="GX184" s="21"/>
      <c r="GY184" s="21"/>
      <c r="GZ184" s="21"/>
      <c r="HA184" s="21"/>
      <c r="HB184" s="21"/>
      <c r="HC184" s="21"/>
      <c r="HD184" s="21"/>
      <c r="HE184" s="21"/>
      <c r="HF184" s="21"/>
      <c r="HG184" s="21"/>
      <c r="HH184" s="21"/>
      <c r="IT184" s="198"/>
    </row>
    <row r="185" spans="1:254" x14ac:dyDescent="0.25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6" t="s">
        <v>319</v>
      </c>
      <c r="M185" s="11">
        <f>INDEX(cennik!$C$2:$L$529,MATCH($L185,cennik!$B$2:$B$522,0),MATCH(M$2,cennik!$C$1:$L$1,0))</f>
        <v>890111</v>
      </c>
      <c r="N185" s="11" t="str">
        <f>INDEX(cennik!$C$2:$L$529,MATCH($L185,cennik!$B$2:$B$522,0),MATCH(N$2,cennik!$C$1:$L$1,0))</f>
        <v>100 szt.</v>
      </c>
      <c r="O185" s="11">
        <f>ROUNDUP((O163*4)/100,0)</f>
        <v>0</v>
      </c>
      <c r="P185" s="34">
        <f>INDEX(cennik!$C$2:$L$529,MATCH($L185,cennik!$B$2:$B$522,0),MATCH(P$2,cennik!$C$1:$L$1,0))</f>
        <v>174.59</v>
      </c>
      <c r="Q185" s="34">
        <f t="shared" si="214"/>
        <v>0</v>
      </c>
      <c r="R185" s="35">
        <f t="shared" si="211"/>
        <v>0</v>
      </c>
      <c r="S185" s="34">
        <f t="shared" si="212"/>
        <v>174.59</v>
      </c>
      <c r="T185" s="34">
        <f t="shared" si="213"/>
        <v>0</v>
      </c>
      <c r="U185" s="34">
        <f>INDEX(cennik!$C$2:$L$529,MATCH($L185,cennik!$B$2:$B$522,0),MATCH(U$2,cennik!$C$1:$L$1,0))*O185</f>
        <v>0</v>
      </c>
      <c r="V185" s="25"/>
      <c r="W185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195,$EL$166:$EX$166,0),MATCH($E$193,$AE$33:$AE$46,0)))*C195</f>
        <v>0</v>
      </c>
      <c r="X185" s="21">
        <v>0</v>
      </c>
      <c r="Y185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195,$EL$166:$EX$166,0),MATCH($E$193,$AE$33:$AE$46,0)))*C195</f>
        <v>0</v>
      </c>
      <c r="Z185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195,$EL$166:$EX$166,0),MATCH($E$193,$AE$33:$AE$46,0)))*C195</f>
        <v>0</v>
      </c>
      <c r="AA185" s="21">
        <f t="shared" si="247"/>
        <v>0</v>
      </c>
      <c r="AB185" s="21">
        <f t="shared" si="248"/>
        <v>0</v>
      </c>
      <c r="AC185" s="21"/>
      <c r="AD185" s="21"/>
      <c r="AE185" s="21"/>
      <c r="AF185" s="21"/>
      <c r="AG185" s="21"/>
      <c r="AH185" s="21"/>
      <c r="AI185" s="21"/>
      <c r="AJ185" s="21"/>
      <c r="AK185" s="21"/>
      <c r="AL185" s="21"/>
      <c r="AM185" s="21"/>
      <c r="AN185" s="21"/>
      <c r="AO185" s="21"/>
      <c r="AP185" s="21"/>
      <c r="AQ185" s="21"/>
      <c r="AR185" s="20"/>
      <c r="AS185" s="20"/>
      <c r="AT185" s="20"/>
      <c r="AU185" s="20"/>
      <c r="AV185" s="20"/>
      <c r="AW185" s="20"/>
      <c r="AX185" s="20"/>
      <c r="AY185" s="199"/>
      <c r="BA185" s="189"/>
      <c r="BB185" s="20"/>
      <c r="BC185" s="20"/>
      <c r="BD185" s="20"/>
      <c r="BE185" s="20"/>
      <c r="BF185" s="20"/>
      <c r="BH185" s="196" t="s">
        <v>522</v>
      </c>
      <c r="BI185" s="21">
        <v>0</v>
      </c>
      <c r="BJ185" s="21">
        <v>5</v>
      </c>
      <c r="BK185" s="21">
        <v>0</v>
      </c>
      <c r="BL185" s="21">
        <v>5</v>
      </c>
      <c r="BM185" s="21">
        <v>10</v>
      </c>
      <c r="BN185" s="21">
        <v>5</v>
      </c>
      <c r="BO185" s="21">
        <v>10</v>
      </c>
      <c r="BP185" s="21">
        <v>5</v>
      </c>
      <c r="BQ185" s="21">
        <v>10</v>
      </c>
      <c r="BR185" s="21">
        <v>20</v>
      </c>
      <c r="BS185" s="21">
        <v>10</v>
      </c>
      <c r="BT185" s="21">
        <v>20</v>
      </c>
      <c r="BU185" s="21">
        <v>10</v>
      </c>
      <c r="BV185" s="21"/>
      <c r="BW185" s="21" t="s">
        <v>522</v>
      </c>
      <c r="BX185" s="21">
        <v>0</v>
      </c>
      <c r="BY185" s="21">
        <v>5</v>
      </c>
      <c r="BZ185" s="21">
        <v>0</v>
      </c>
      <c r="CA185" s="21">
        <v>5</v>
      </c>
      <c r="CB185" s="21">
        <v>0</v>
      </c>
      <c r="CC185" s="21">
        <v>5</v>
      </c>
      <c r="CD185" s="21">
        <v>15</v>
      </c>
      <c r="CE185" s="21">
        <v>10</v>
      </c>
      <c r="CF185" s="21">
        <v>0</v>
      </c>
      <c r="CG185" s="21">
        <v>10</v>
      </c>
      <c r="CH185" s="21">
        <v>20</v>
      </c>
      <c r="CI185" s="21">
        <v>25</v>
      </c>
      <c r="CJ185" s="21">
        <v>5</v>
      </c>
      <c r="CK185" s="21"/>
      <c r="CL185" s="21"/>
      <c r="CM185" s="21"/>
      <c r="CN185" s="21" t="s">
        <v>522</v>
      </c>
      <c r="CO185" s="21">
        <v>0</v>
      </c>
      <c r="CP185" s="21">
        <v>5</v>
      </c>
      <c r="CQ185" s="21">
        <v>0</v>
      </c>
      <c r="CR185" s="21">
        <v>10</v>
      </c>
      <c r="CS185" s="21">
        <v>0</v>
      </c>
      <c r="CT185" s="21">
        <v>10</v>
      </c>
      <c r="CU185" s="21">
        <v>5</v>
      </c>
      <c r="CV185" s="21">
        <v>15</v>
      </c>
      <c r="CW185" s="21">
        <v>10</v>
      </c>
      <c r="CX185" s="21">
        <v>0</v>
      </c>
      <c r="CY185" s="21">
        <v>25</v>
      </c>
      <c r="CZ185" s="21">
        <v>5</v>
      </c>
      <c r="DA185" s="21">
        <v>30</v>
      </c>
      <c r="DB185" s="21"/>
      <c r="DC185" s="21" t="s">
        <v>522</v>
      </c>
      <c r="DD185" s="21">
        <f>DD22/5*4</f>
        <v>0</v>
      </c>
      <c r="DE185" s="21">
        <v>5</v>
      </c>
      <c r="DF185" s="21">
        <v>0</v>
      </c>
      <c r="DG185" s="21">
        <v>10</v>
      </c>
      <c r="DH185" s="21">
        <v>5</v>
      </c>
      <c r="DI185" s="21">
        <v>15</v>
      </c>
      <c r="DJ185" s="21">
        <v>10</v>
      </c>
      <c r="DK185" s="21">
        <v>20</v>
      </c>
      <c r="DL185" s="21">
        <v>15</v>
      </c>
      <c r="DM185" s="21">
        <v>10</v>
      </c>
      <c r="DN185" s="21">
        <v>20</v>
      </c>
      <c r="DO185" s="21">
        <v>30</v>
      </c>
      <c r="DP185" s="21">
        <v>10</v>
      </c>
      <c r="DQ185" s="87"/>
      <c r="DR185" s="87">
        <v>12</v>
      </c>
      <c r="DS185" s="87"/>
      <c r="DT185" s="21" t="s">
        <v>522</v>
      </c>
      <c r="DU185" s="21">
        <v>0</v>
      </c>
      <c r="DV185" s="21">
        <v>0</v>
      </c>
      <c r="DW185" s="21">
        <v>5</v>
      </c>
      <c r="DX185" s="21">
        <v>0</v>
      </c>
      <c r="DY185" s="21">
        <v>10</v>
      </c>
      <c r="DZ185" s="21">
        <v>5</v>
      </c>
      <c r="EA185" s="21">
        <v>15</v>
      </c>
      <c r="EB185" s="21">
        <v>10</v>
      </c>
      <c r="EC185" s="21">
        <v>20</v>
      </c>
      <c r="ED185" s="21">
        <v>15</v>
      </c>
      <c r="EE185" s="21">
        <v>25</v>
      </c>
      <c r="EF185" s="21">
        <v>20</v>
      </c>
      <c r="EG185" s="21">
        <v>30</v>
      </c>
      <c r="EH185" s="197"/>
      <c r="EI185" s="21"/>
      <c r="EJ185" s="196"/>
      <c r="EK185" s="21"/>
      <c r="EL185" s="21"/>
      <c r="EM185" s="21"/>
      <c r="EN185" s="21"/>
      <c r="EO185" s="21"/>
      <c r="EP185" s="21"/>
      <c r="EQ185" s="21"/>
      <c r="ER185" s="21"/>
      <c r="ES185" s="21"/>
      <c r="ET185" s="21"/>
      <c r="EU185" s="21"/>
      <c r="EV185" s="21"/>
      <c r="EW185" s="21"/>
      <c r="EX185" s="21"/>
      <c r="EY185" s="21"/>
      <c r="EZ185" s="21"/>
      <c r="FA185" s="21"/>
      <c r="FB185" s="21"/>
      <c r="FC185" s="21"/>
      <c r="FD185" s="21"/>
      <c r="FE185" s="21"/>
      <c r="FF185" s="21"/>
      <c r="FG185" s="21"/>
      <c r="FH185" s="21"/>
      <c r="FI185" s="21"/>
      <c r="FJ185" s="21"/>
      <c r="FK185" s="21"/>
      <c r="FL185" s="21"/>
      <c r="FM185" s="21"/>
      <c r="FN185" s="21"/>
      <c r="FO185" s="21"/>
      <c r="FP185" s="21"/>
      <c r="FQ185" s="21"/>
      <c r="FR185" s="21"/>
      <c r="FS185" s="21"/>
      <c r="FT185" s="21"/>
      <c r="FU185" s="21"/>
      <c r="FV185" s="21"/>
      <c r="FW185" s="21"/>
      <c r="FX185" s="21"/>
      <c r="FY185" s="21"/>
      <c r="FZ185" s="21"/>
      <c r="GA185" s="21"/>
      <c r="GB185" s="21"/>
      <c r="GC185" s="21"/>
      <c r="GD185" s="21"/>
      <c r="GE185" s="21"/>
      <c r="GF185" s="21"/>
      <c r="GG185" s="21"/>
      <c r="GH185" s="21"/>
      <c r="GI185" s="21"/>
      <c r="GJ185" s="21"/>
      <c r="GK185" s="21"/>
      <c r="GL185" s="21"/>
      <c r="GM185" s="21"/>
      <c r="GN185" s="21"/>
      <c r="GO185" s="21"/>
      <c r="GP185" s="21"/>
      <c r="GQ185" s="21"/>
      <c r="GR185" s="21"/>
      <c r="GS185" s="21"/>
      <c r="GT185" s="21"/>
      <c r="GU185" s="21"/>
      <c r="GV185" s="21"/>
      <c r="GW185" s="21"/>
      <c r="GX185" s="21"/>
      <c r="GY185" s="21"/>
      <c r="GZ185" s="21"/>
      <c r="HA185" s="21"/>
      <c r="HB185" s="21"/>
      <c r="HC185" s="21"/>
      <c r="HD185" s="21"/>
      <c r="HE185" s="21"/>
      <c r="HF185" s="21"/>
      <c r="HG185" s="21"/>
      <c r="HH185" s="21"/>
      <c r="IT185" s="198"/>
    </row>
    <row r="186" spans="1:254" x14ac:dyDescent="0.25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6" t="s">
        <v>722</v>
      </c>
      <c r="M186" s="11">
        <f>INDEX(cennik!$C$2:$L$529,MATCH($L186,cennik!$B$2:$B$522,0),MATCH(M$2,cennik!$C$1:$L$1,0))</f>
        <v>890504</v>
      </c>
      <c r="N186" s="11" t="str">
        <f>INDEX(cennik!$C$2:$L$529,MATCH($L186,cennik!$B$2:$B$522,0),MATCH(N$2,cennik!$C$1:$L$1,0))</f>
        <v>szt.</v>
      </c>
      <c r="O186" s="11">
        <f>SUM(C162:C177)*8</f>
        <v>0</v>
      </c>
      <c r="P186" s="34">
        <f>INDEX(cennik!$C$2:$L$529,MATCH($L186,cennik!$B$2:$B$522,0),MATCH(P$2,cennik!$C$1:$L$1,0))</f>
        <v>4.58</v>
      </c>
      <c r="Q186" s="34">
        <f t="shared" si="214"/>
        <v>0</v>
      </c>
      <c r="R186" s="35">
        <f t="shared" si="211"/>
        <v>0</v>
      </c>
      <c r="S186" s="34">
        <f t="shared" si="212"/>
        <v>4.58</v>
      </c>
      <c r="T186" s="34">
        <f t="shared" si="213"/>
        <v>0</v>
      </c>
      <c r="U186" s="34">
        <f>INDEX(cennik!$C$2:$L$529,MATCH($L186,cennik!$B$2:$B$522,0),MATCH(U$2,cennik!$C$1:$L$1,0))*O186</f>
        <v>0</v>
      </c>
      <c r="V186" s="25"/>
      <c r="W186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196,$EL$166:$EX$166,0),MATCH($E$193,$AE$33:$AE$46,0)))*C196</f>
        <v>0</v>
      </c>
      <c r="X186" s="21">
        <v>0</v>
      </c>
      <c r="Y186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196,$EL$166:$EX$166,0),MATCH($E$193,$AE$33:$AE$46,0)))*C196</f>
        <v>0</v>
      </c>
      <c r="Z186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196,$EL$166:$EX$166,0),MATCH($E$193,$AE$33:$AE$46,0)))*C196</f>
        <v>0</v>
      </c>
      <c r="AA186" s="21">
        <f t="shared" si="247"/>
        <v>0</v>
      </c>
      <c r="AB186" s="21">
        <f t="shared" si="248"/>
        <v>0</v>
      </c>
      <c r="AC186" s="21"/>
      <c r="AD186" s="21"/>
      <c r="AE186" s="21"/>
      <c r="AF186" s="21"/>
      <c r="AG186" s="21"/>
      <c r="AH186" s="21"/>
      <c r="AI186" s="21"/>
      <c r="AJ186" s="21"/>
      <c r="AK186" s="21"/>
      <c r="AL186" s="21"/>
      <c r="AM186" s="21"/>
      <c r="AN186" s="21"/>
      <c r="AO186" s="21"/>
      <c r="AP186" s="21"/>
      <c r="AQ186" s="21"/>
      <c r="AR186" s="27" t="s">
        <v>716</v>
      </c>
      <c r="AS186" s="25"/>
      <c r="AT186" s="25"/>
      <c r="AU186" s="25"/>
      <c r="AV186" s="21"/>
      <c r="AW186" s="21"/>
      <c r="AX186" s="21"/>
      <c r="AY186" s="188"/>
      <c r="AZ186" s="188"/>
      <c r="BA186" s="21"/>
      <c r="BB186" s="201" t="s">
        <v>716</v>
      </c>
      <c r="BH186" s="196" t="s">
        <v>523</v>
      </c>
      <c r="BI186" s="21">
        <v>0</v>
      </c>
      <c r="BJ186" s="21">
        <v>0</v>
      </c>
      <c r="BK186" s="21">
        <v>10</v>
      </c>
      <c r="BL186" s="21">
        <v>5</v>
      </c>
      <c r="BM186" s="21">
        <v>0</v>
      </c>
      <c r="BN186" s="21">
        <v>10</v>
      </c>
      <c r="BO186" s="21">
        <v>5</v>
      </c>
      <c r="BP186" s="21">
        <v>15</v>
      </c>
      <c r="BQ186" s="21">
        <v>10</v>
      </c>
      <c r="BR186" s="21">
        <v>0</v>
      </c>
      <c r="BS186" s="21">
        <v>15</v>
      </c>
      <c r="BT186" s="21">
        <v>5</v>
      </c>
      <c r="BU186" s="21">
        <v>20</v>
      </c>
      <c r="BV186" s="21"/>
      <c r="BW186" s="21" t="s">
        <v>523</v>
      </c>
      <c r="BX186" s="21">
        <v>0</v>
      </c>
      <c r="BY186" s="21">
        <v>0</v>
      </c>
      <c r="BZ186" s="21">
        <v>10</v>
      </c>
      <c r="CA186" s="21">
        <v>5</v>
      </c>
      <c r="CB186" s="21">
        <v>15</v>
      </c>
      <c r="CC186" s="21">
        <v>10</v>
      </c>
      <c r="CD186" s="21">
        <v>0</v>
      </c>
      <c r="CE186" s="21">
        <v>10</v>
      </c>
      <c r="CF186" s="21">
        <v>25</v>
      </c>
      <c r="CG186" s="21">
        <v>15</v>
      </c>
      <c r="CH186" s="21">
        <v>5</v>
      </c>
      <c r="CI186" s="21">
        <v>0</v>
      </c>
      <c r="CJ186" s="21">
        <v>30</v>
      </c>
      <c r="CK186" s="21"/>
      <c r="CL186" s="21"/>
      <c r="CM186" s="21"/>
      <c r="CN186" s="21" t="s">
        <v>523</v>
      </c>
      <c r="CO186" s="21">
        <v>0</v>
      </c>
      <c r="CP186" s="21">
        <v>0</v>
      </c>
      <c r="CQ186" s="21">
        <v>10</v>
      </c>
      <c r="CR186" s="21">
        <v>0</v>
      </c>
      <c r="CS186" s="21">
        <v>15</v>
      </c>
      <c r="CT186" s="21">
        <v>5</v>
      </c>
      <c r="CU186" s="21">
        <v>15</v>
      </c>
      <c r="CV186" s="21">
        <v>5</v>
      </c>
      <c r="CW186" s="21">
        <v>15</v>
      </c>
      <c r="CX186" s="21">
        <v>30</v>
      </c>
      <c r="CY186" s="21">
        <v>0</v>
      </c>
      <c r="CZ186" s="21">
        <v>30</v>
      </c>
      <c r="DA186" s="21">
        <v>0</v>
      </c>
      <c r="DB186" s="21"/>
      <c r="DC186" s="21" t="s">
        <v>523</v>
      </c>
      <c r="DD186" s="21">
        <f>DD23/5*4</f>
        <v>0</v>
      </c>
      <c r="DE186" s="21">
        <v>0</v>
      </c>
      <c r="DF186" s="21">
        <v>10</v>
      </c>
      <c r="DG186" s="21">
        <v>0</v>
      </c>
      <c r="DH186" s="21">
        <v>10</v>
      </c>
      <c r="DI186" s="21">
        <v>0</v>
      </c>
      <c r="DJ186" s="21">
        <v>10</v>
      </c>
      <c r="DK186" s="21">
        <v>0</v>
      </c>
      <c r="DL186" s="21">
        <v>10</v>
      </c>
      <c r="DM186" s="21">
        <v>20</v>
      </c>
      <c r="DN186" s="21">
        <v>10</v>
      </c>
      <c r="DO186" s="21">
        <v>0</v>
      </c>
      <c r="DP186" s="21">
        <v>30</v>
      </c>
      <c r="DQ186" s="87"/>
      <c r="DR186" s="87">
        <v>15</v>
      </c>
      <c r="DS186" s="87"/>
      <c r="DT186" s="21" t="s">
        <v>523</v>
      </c>
      <c r="DU186" s="21">
        <v>0</v>
      </c>
      <c r="DV186" s="21">
        <v>10</v>
      </c>
      <c r="DW186" s="21">
        <v>5</v>
      </c>
      <c r="DX186" s="21">
        <v>15</v>
      </c>
      <c r="DY186" s="21">
        <v>5</v>
      </c>
      <c r="DZ186" s="21">
        <v>15</v>
      </c>
      <c r="EA186" s="21">
        <v>5</v>
      </c>
      <c r="EB186" s="21">
        <v>15</v>
      </c>
      <c r="EC186" s="21">
        <v>5</v>
      </c>
      <c r="ED186" s="21">
        <v>15</v>
      </c>
      <c r="EE186" s="21">
        <v>5</v>
      </c>
      <c r="EF186" s="21">
        <v>15</v>
      </c>
      <c r="EG186" s="21">
        <v>5</v>
      </c>
      <c r="EH186" s="197"/>
      <c r="EI186" s="21"/>
      <c r="EJ186" s="196"/>
      <c r="EK186" s="21"/>
      <c r="EL186" s="21"/>
      <c r="EM186" s="21"/>
      <c r="EN186" s="21"/>
      <c r="EO186" s="21"/>
      <c r="EP186" s="21"/>
      <c r="EQ186" s="21"/>
      <c r="ER186" s="21"/>
      <c r="ES186" s="21"/>
      <c r="ET186" s="21"/>
      <c r="EU186" s="21"/>
      <c r="EV186" s="21"/>
      <c r="EW186" s="21"/>
      <c r="EX186" s="21"/>
      <c r="EY186" s="21"/>
      <c r="EZ186" s="21"/>
      <c r="FA186" s="21"/>
      <c r="FB186" s="21"/>
      <c r="FC186" s="21"/>
      <c r="FD186" s="21"/>
      <c r="FE186" s="21"/>
      <c r="FF186" s="21"/>
      <c r="FG186" s="21"/>
      <c r="FH186" s="21"/>
      <c r="FI186" s="21"/>
      <c r="FJ186" s="21"/>
      <c r="FK186" s="21"/>
      <c r="FL186" s="21"/>
      <c r="FM186" s="21"/>
      <c r="FN186" s="21"/>
      <c r="FO186" s="21"/>
      <c r="FP186" s="21"/>
      <c r="FQ186" s="21"/>
      <c r="FR186" s="21"/>
      <c r="FS186" s="21"/>
      <c r="FT186" s="21"/>
      <c r="FU186" s="21"/>
      <c r="FV186" s="21"/>
      <c r="FW186" s="21"/>
      <c r="FX186" s="21"/>
      <c r="FY186" s="21"/>
      <c r="FZ186" s="21"/>
      <c r="GA186" s="21"/>
      <c r="GB186" s="21"/>
      <c r="GC186" s="21"/>
      <c r="GD186" s="21"/>
      <c r="GE186" s="21"/>
      <c r="GF186" s="21"/>
      <c r="GG186" s="21"/>
      <c r="GH186" s="21"/>
      <c r="GI186" s="21"/>
      <c r="GJ186" s="21"/>
      <c r="GK186" s="21"/>
      <c r="GL186" s="21"/>
      <c r="GM186" s="21"/>
      <c r="GN186" s="21"/>
      <c r="GO186" s="21"/>
      <c r="GP186" s="21"/>
      <c r="GQ186" s="21"/>
      <c r="GR186" s="21"/>
      <c r="GS186" s="21"/>
      <c r="GT186" s="21"/>
      <c r="GU186" s="21"/>
      <c r="GV186" s="21"/>
      <c r="GW186" s="21"/>
      <c r="GX186" s="21"/>
      <c r="GY186" s="21"/>
      <c r="GZ186" s="21"/>
      <c r="HA186" s="21"/>
      <c r="HB186" s="21"/>
      <c r="HC186" s="21"/>
      <c r="HD186" s="21"/>
      <c r="HE186" s="21"/>
      <c r="HF186" s="21"/>
      <c r="HG186" s="21"/>
      <c r="HH186" s="21"/>
      <c r="IT186" s="198"/>
    </row>
    <row r="187" spans="1:254" x14ac:dyDescent="0.25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6" t="s">
        <v>316</v>
      </c>
      <c r="M187" s="11"/>
      <c r="N187" s="11"/>
      <c r="O187" s="11"/>
      <c r="P187" s="34"/>
      <c r="Q187" s="34"/>
      <c r="R187" s="35"/>
      <c r="S187" s="34"/>
      <c r="T187" s="34"/>
      <c r="U187" s="34"/>
      <c r="V187" s="25"/>
      <c r="W187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197,$EL$166:$EX$166,0),MATCH($E$193,$AE$33:$AE$46,0)))*C197</f>
        <v>0</v>
      </c>
      <c r="X187" s="21">
        <v>0</v>
      </c>
      <c r="Y187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197,$EL$166:$EX$166,0),MATCH($E$193,$AE$33:$AE$46,0)))*C197</f>
        <v>0</v>
      </c>
      <c r="Z187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197,$EL$166:$EX$166,0),MATCH($E$193,$AE$33:$AE$46,0)))*C197</f>
        <v>0</v>
      </c>
      <c r="AA187" s="21">
        <f t="shared" si="247"/>
        <v>0</v>
      </c>
      <c r="AB187" s="21">
        <f t="shared" si="248"/>
        <v>0</v>
      </c>
      <c r="AC187" s="21"/>
      <c r="AD187" s="21"/>
      <c r="AE187" s="21"/>
      <c r="AF187" s="21"/>
      <c r="AG187" s="21"/>
      <c r="AH187" s="21"/>
      <c r="AI187" s="21"/>
      <c r="AJ187" s="21"/>
      <c r="AK187" s="21"/>
      <c r="AL187" s="21"/>
      <c r="AM187" s="21"/>
      <c r="AN187" s="21"/>
      <c r="AO187" s="21"/>
      <c r="AP187" s="21"/>
      <c r="AQ187" s="21"/>
      <c r="AR187" s="25">
        <v>30</v>
      </c>
      <c r="AS187" s="25" t="s">
        <v>314</v>
      </c>
      <c r="AT187" s="25" t="s">
        <v>312</v>
      </c>
      <c r="AU187" s="25" t="s">
        <v>309</v>
      </c>
      <c r="AV187" s="21" t="s">
        <v>313</v>
      </c>
      <c r="AW187" s="21"/>
      <c r="AX187" s="21"/>
      <c r="AY187" s="188"/>
      <c r="AZ187" s="188"/>
      <c r="BA187" s="21"/>
      <c r="BB187" s="180">
        <v>30</v>
      </c>
      <c r="BC187" s="180" t="s">
        <v>314</v>
      </c>
      <c r="BD187" s="180" t="s">
        <v>312</v>
      </c>
      <c r="BE187" s="180" t="s">
        <v>309</v>
      </c>
      <c r="BF187" s="180" t="s">
        <v>313</v>
      </c>
      <c r="BH187" s="20" t="s">
        <v>779</v>
      </c>
      <c r="BI187" s="21">
        <f>IF(SUM(BI185:BI186)&lt;6,0,IF(SUM(BI185:BI186)&gt;7,SUM(BI185:BI186)-5,0))</f>
        <v>0</v>
      </c>
      <c r="BJ187" s="21">
        <f>IF(SUM(BJ185:BJ186)&lt;6,0,IF(SUM(BJ185:BJ186)&gt;7,SUM(BJ185:BJ186)-5,0))</f>
        <v>0</v>
      </c>
      <c r="BK187" s="21">
        <f t="shared" ref="BK187:BU187" si="251">IF(SUM(BK185:BK186)&lt;6,0,IF(SUM(BK185:BK186)&gt;7,SUM(BK185:BK186)-5,0))</f>
        <v>5</v>
      </c>
      <c r="BL187" s="21">
        <f t="shared" si="251"/>
        <v>5</v>
      </c>
      <c r="BM187" s="21">
        <f t="shared" si="251"/>
        <v>5</v>
      </c>
      <c r="BN187" s="21">
        <f t="shared" si="251"/>
        <v>10</v>
      </c>
      <c r="BO187" s="21">
        <f t="shared" si="251"/>
        <v>10</v>
      </c>
      <c r="BP187" s="21">
        <f t="shared" si="251"/>
        <v>15</v>
      </c>
      <c r="BQ187" s="21">
        <f t="shared" si="251"/>
        <v>15</v>
      </c>
      <c r="BR187" s="21">
        <f t="shared" si="251"/>
        <v>15</v>
      </c>
      <c r="BS187" s="21">
        <f t="shared" si="251"/>
        <v>20</v>
      </c>
      <c r="BT187" s="21">
        <f t="shared" si="251"/>
        <v>20</v>
      </c>
      <c r="BU187" s="21">
        <f t="shared" si="251"/>
        <v>25</v>
      </c>
      <c r="BV187" s="21"/>
      <c r="BW187" s="20" t="s">
        <v>779</v>
      </c>
      <c r="BX187" s="21">
        <f>IF(SUM(BX185:BX186)&lt;6,0,IF(SUM(BX185:BX186)&gt;7,SUM(BX185:BX186)-5,0))</f>
        <v>0</v>
      </c>
      <c r="BY187" s="21">
        <f t="shared" ref="BY187:CJ187" si="252">IF(SUM(BY185:BY186)&lt;6,0,IF(SUM(BY185:BY186)&gt;7,SUM(BY185:BY186)-5,0))</f>
        <v>0</v>
      </c>
      <c r="BZ187" s="21">
        <f t="shared" si="252"/>
        <v>5</v>
      </c>
      <c r="CA187" s="21">
        <f t="shared" si="252"/>
        <v>5</v>
      </c>
      <c r="CB187" s="21">
        <f t="shared" si="252"/>
        <v>10</v>
      </c>
      <c r="CC187" s="21">
        <f t="shared" si="252"/>
        <v>10</v>
      </c>
      <c r="CD187" s="21">
        <f t="shared" si="252"/>
        <v>10</v>
      </c>
      <c r="CE187" s="21">
        <f t="shared" si="252"/>
        <v>15</v>
      </c>
      <c r="CF187" s="21">
        <f t="shared" si="252"/>
        <v>20</v>
      </c>
      <c r="CG187" s="21">
        <f t="shared" si="252"/>
        <v>20</v>
      </c>
      <c r="CH187" s="21">
        <f t="shared" si="252"/>
        <v>20</v>
      </c>
      <c r="CI187" s="21">
        <f t="shared" si="252"/>
        <v>20</v>
      </c>
      <c r="CJ187" s="21">
        <f t="shared" si="252"/>
        <v>30</v>
      </c>
      <c r="CK187" s="21"/>
      <c r="CL187" s="21"/>
      <c r="CM187" s="21"/>
      <c r="CN187" s="20" t="s">
        <v>779</v>
      </c>
      <c r="CO187" s="21">
        <f>IF(SUM(CO185:CO186)&lt;6,0,IF(SUM(CO185:CO186)&gt;7,SUM(CO185:CO186)-5,0))</f>
        <v>0</v>
      </c>
      <c r="CP187" s="21">
        <f t="shared" ref="CP187:DA187" si="253">IF(SUM(CP185:CP186)&lt;6,0,IF(SUM(CP185:CP186)&gt;7,SUM(CP185:CP186)-5,0))</f>
        <v>0</v>
      </c>
      <c r="CQ187" s="21">
        <f t="shared" si="253"/>
        <v>5</v>
      </c>
      <c r="CR187" s="21">
        <f t="shared" si="253"/>
        <v>5</v>
      </c>
      <c r="CS187" s="21">
        <f t="shared" si="253"/>
        <v>10</v>
      </c>
      <c r="CT187" s="21">
        <f t="shared" si="253"/>
        <v>10</v>
      </c>
      <c r="CU187" s="21">
        <f t="shared" si="253"/>
        <v>15</v>
      </c>
      <c r="CV187" s="21">
        <f t="shared" si="253"/>
        <v>15</v>
      </c>
      <c r="CW187" s="21">
        <f t="shared" si="253"/>
        <v>20</v>
      </c>
      <c r="CX187" s="21">
        <f t="shared" si="253"/>
        <v>25</v>
      </c>
      <c r="CY187" s="21">
        <f t="shared" si="253"/>
        <v>20</v>
      </c>
      <c r="CZ187" s="21">
        <f t="shared" si="253"/>
        <v>30</v>
      </c>
      <c r="DA187" s="21">
        <f t="shared" si="253"/>
        <v>25</v>
      </c>
      <c r="DB187" s="21"/>
      <c r="DC187" s="20" t="s">
        <v>779</v>
      </c>
      <c r="DD187" s="21">
        <f>IF(SUM(DD185:DD186)&lt;6,0,IF(SUM(DD185:DD186)&gt;7,SUM(DD185:DD186)-5,0))</f>
        <v>0</v>
      </c>
      <c r="DE187" s="21">
        <f t="shared" ref="DE187:DP187" si="254">IF(SUM(DE185:DE186)&lt;6,0,IF(SUM(DE185:DE186)&gt;7,SUM(DE185:DE186)-5,0))</f>
        <v>0</v>
      </c>
      <c r="DF187" s="21">
        <f t="shared" si="254"/>
        <v>5</v>
      </c>
      <c r="DG187" s="21">
        <f t="shared" si="254"/>
        <v>5</v>
      </c>
      <c r="DH187" s="21">
        <f t="shared" si="254"/>
        <v>10</v>
      </c>
      <c r="DI187" s="21">
        <f t="shared" si="254"/>
        <v>10</v>
      </c>
      <c r="DJ187" s="21">
        <f t="shared" si="254"/>
        <v>15</v>
      </c>
      <c r="DK187" s="21">
        <f t="shared" si="254"/>
        <v>15</v>
      </c>
      <c r="DL187" s="21">
        <f t="shared" si="254"/>
        <v>20</v>
      </c>
      <c r="DM187" s="21">
        <f t="shared" si="254"/>
        <v>25</v>
      </c>
      <c r="DN187" s="21">
        <f t="shared" si="254"/>
        <v>25</v>
      </c>
      <c r="DO187" s="21">
        <f t="shared" si="254"/>
        <v>25</v>
      </c>
      <c r="DP187" s="21">
        <f t="shared" si="254"/>
        <v>35</v>
      </c>
      <c r="DQ187" s="87"/>
      <c r="DR187" s="87">
        <v>18</v>
      </c>
      <c r="DS187" s="87"/>
      <c r="DT187" s="20" t="s">
        <v>779</v>
      </c>
      <c r="DU187" s="21">
        <f>IF(SUM(DU185:DU186)&lt;6,0,IF(SUM(DU185:DU186)&gt;7,SUM(DU185:DU186)-5,0))</f>
        <v>0</v>
      </c>
      <c r="DV187" s="21">
        <f t="shared" ref="DV187:EG187" si="255">IF(SUM(DV185:DV186)&lt;6,0,IF(SUM(DV185:DV186)&gt;7,SUM(DV185:DV186)-5,0))</f>
        <v>5</v>
      </c>
      <c r="DW187" s="21">
        <f t="shared" si="255"/>
        <v>5</v>
      </c>
      <c r="DX187" s="21">
        <f t="shared" si="255"/>
        <v>10</v>
      </c>
      <c r="DY187" s="21">
        <f t="shared" si="255"/>
        <v>10</v>
      </c>
      <c r="DZ187" s="21">
        <f t="shared" si="255"/>
        <v>15</v>
      </c>
      <c r="EA187" s="21">
        <f t="shared" si="255"/>
        <v>15</v>
      </c>
      <c r="EB187" s="21">
        <f t="shared" si="255"/>
        <v>20</v>
      </c>
      <c r="EC187" s="21">
        <f t="shared" si="255"/>
        <v>20</v>
      </c>
      <c r="ED187" s="21">
        <f t="shared" si="255"/>
        <v>25</v>
      </c>
      <c r="EE187" s="21">
        <f t="shared" si="255"/>
        <v>25</v>
      </c>
      <c r="EF187" s="21">
        <f t="shared" si="255"/>
        <v>30</v>
      </c>
      <c r="EG187" s="21">
        <f t="shared" si="255"/>
        <v>30</v>
      </c>
      <c r="EH187" s="197"/>
      <c r="EI187" s="21"/>
      <c r="EJ187" s="196"/>
      <c r="EK187" s="21" t="s">
        <v>114</v>
      </c>
      <c r="EL187" s="21">
        <v>0</v>
      </c>
      <c r="EM187" s="21">
        <v>6</v>
      </c>
      <c r="EN187" s="21">
        <v>8</v>
      </c>
      <c r="EO187" s="21">
        <v>10</v>
      </c>
      <c r="EP187" s="21">
        <v>12</v>
      </c>
      <c r="EQ187" s="21">
        <v>14</v>
      </c>
      <c r="ER187" s="21">
        <v>16</v>
      </c>
      <c r="ES187" s="21">
        <v>18</v>
      </c>
      <c r="ET187" s="21">
        <v>20</v>
      </c>
      <c r="EU187" s="21">
        <v>22</v>
      </c>
      <c r="EV187" s="21">
        <v>24</v>
      </c>
      <c r="EW187" s="21">
        <v>26</v>
      </c>
      <c r="EX187" s="21">
        <v>28</v>
      </c>
      <c r="EY187" s="21">
        <v>30</v>
      </c>
      <c r="EZ187" s="21">
        <v>32</v>
      </c>
      <c r="FA187" s="21">
        <v>34</v>
      </c>
      <c r="FB187" s="21">
        <v>36</v>
      </c>
      <c r="FC187" s="21">
        <v>38</v>
      </c>
      <c r="FD187" s="21">
        <v>40</v>
      </c>
      <c r="FE187" s="21">
        <v>42</v>
      </c>
      <c r="FF187" s="21">
        <v>44</v>
      </c>
      <c r="FG187" s="21">
        <v>46</v>
      </c>
      <c r="FH187" s="21">
        <v>48</v>
      </c>
      <c r="FI187" s="21">
        <v>50</v>
      </c>
      <c r="FJ187" s="21"/>
      <c r="FK187" s="21" t="s">
        <v>474</v>
      </c>
      <c r="FL187" s="21">
        <v>0</v>
      </c>
      <c r="FM187" s="21">
        <v>6</v>
      </c>
      <c r="FN187" s="21">
        <v>8</v>
      </c>
      <c r="FO187" s="21">
        <v>10</v>
      </c>
      <c r="FP187" s="21">
        <v>12</v>
      </c>
      <c r="FQ187" s="21">
        <v>14</v>
      </c>
      <c r="FR187" s="21">
        <v>16</v>
      </c>
      <c r="FS187" s="21">
        <v>18</v>
      </c>
      <c r="FT187" s="21">
        <v>20</v>
      </c>
      <c r="FU187" s="21">
        <v>22</v>
      </c>
      <c r="FV187" s="21">
        <v>24</v>
      </c>
      <c r="FW187" s="21">
        <v>26</v>
      </c>
      <c r="FX187" s="21">
        <v>28</v>
      </c>
      <c r="FY187" s="21">
        <v>30</v>
      </c>
      <c r="FZ187" s="21">
        <v>32</v>
      </c>
      <c r="GA187" s="21">
        <v>34</v>
      </c>
      <c r="GB187" s="21">
        <v>36</v>
      </c>
      <c r="GC187" s="21">
        <v>38</v>
      </c>
      <c r="GD187" s="21">
        <v>40</v>
      </c>
      <c r="GE187" s="21">
        <v>42</v>
      </c>
      <c r="GF187" s="21">
        <v>44</v>
      </c>
      <c r="GG187" s="21">
        <v>46</v>
      </c>
      <c r="GH187" s="21">
        <v>48</v>
      </c>
      <c r="GI187" s="21">
        <v>50</v>
      </c>
      <c r="GJ187" s="21"/>
      <c r="GK187" s="21"/>
      <c r="GL187" s="21"/>
      <c r="GM187" s="21"/>
      <c r="GN187" s="21"/>
      <c r="GO187" s="21"/>
      <c r="GP187" s="21"/>
      <c r="GQ187" s="21"/>
      <c r="GR187" s="21" t="s">
        <v>713</v>
      </c>
      <c r="GS187" s="21">
        <v>0</v>
      </c>
      <c r="GT187" s="21">
        <v>6</v>
      </c>
      <c r="GU187" s="21">
        <v>8</v>
      </c>
      <c r="GV187" s="21">
        <v>10</v>
      </c>
      <c r="GW187" s="21">
        <v>12</v>
      </c>
      <c r="GX187" s="21">
        <v>14</v>
      </c>
      <c r="GY187" s="21">
        <v>16</v>
      </c>
      <c r="GZ187" s="21">
        <v>18</v>
      </c>
      <c r="HA187" s="21">
        <v>20</v>
      </c>
      <c r="HB187" s="21">
        <v>22</v>
      </c>
      <c r="HC187" s="21">
        <v>24</v>
      </c>
      <c r="HD187" s="21">
        <v>26</v>
      </c>
      <c r="HE187" s="21">
        <v>28</v>
      </c>
      <c r="HF187" s="21">
        <v>30</v>
      </c>
      <c r="HG187" s="21">
        <v>32</v>
      </c>
      <c r="HH187" s="21">
        <v>34</v>
      </c>
      <c r="HI187" s="180">
        <v>36</v>
      </c>
      <c r="HJ187" s="180">
        <v>38</v>
      </c>
      <c r="HK187" s="180">
        <v>40</v>
      </c>
      <c r="HL187" s="180">
        <v>42</v>
      </c>
      <c r="HM187" s="180">
        <v>44</v>
      </c>
      <c r="HN187" s="180">
        <v>46</v>
      </c>
      <c r="HO187" s="180">
        <v>48</v>
      </c>
      <c r="HP187" s="180">
        <v>50</v>
      </c>
      <c r="HS187" s="180" t="s">
        <v>715</v>
      </c>
      <c r="HT187" s="180">
        <v>0</v>
      </c>
      <c r="HU187" s="180">
        <v>6</v>
      </c>
      <c r="HV187" s="180">
        <v>8</v>
      </c>
      <c r="HW187" s="180">
        <v>10</v>
      </c>
      <c r="HX187" s="180">
        <v>12</v>
      </c>
      <c r="HY187" s="180">
        <v>14</v>
      </c>
      <c r="HZ187" s="180">
        <v>16</v>
      </c>
      <c r="IA187" s="180">
        <v>18</v>
      </c>
      <c r="IB187" s="180">
        <v>20</v>
      </c>
      <c r="IC187" s="180">
        <v>22</v>
      </c>
      <c r="ID187" s="180">
        <v>24</v>
      </c>
      <c r="IE187" s="180">
        <v>26</v>
      </c>
      <c r="IF187" s="180">
        <v>28</v>
      </c>
      <c r="IG187" s="180">
        <v>30</v>
      </c>
      <c r="IH187" s="180">
        <v>32</v>
      </c>
      <c r="II187" s="180">
        <v>34</v>
      </c>
      <c r="IJ187" s="180">
        <v>36</v>
      </c>
      <c r="IK187" s="180">
        <v>38</v>
      </c>
      <c r="IL187" s="180">
        <v>40</v>
      </c>
      <c r="IM187" s="180">
        <v>42</v>
      </c>
      <c r="IN187" s="180">
        <v>44</v>
      </c>
      <c r="IO187" s="180">
        <v>46</v>
      </c>
      <c r="IP187" s="180">
        <v>48</v>
      </c>
      <c r="IQ187" s="180">
        <v>50</v>
      </c>
      <c r="IT187" s="198"/>
    </row>
    <row r="188" spans="1:254" x14ac:dyDescent="0.25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6" t="str">
        <f>IF(E173=1000,"CWT70H50/2NMC",IF(E173=2000,"CWT70H50/2,4NMC","-------"))</f>
        <v>CWT70H50/2,4NMC</v>
      </c>
      <c r="M188" s="11">
        <f>INDEX(cennik!$C$2:$L$529,MATCH($L188,cennik!$B$2:$B$522,0),MATCH(M$2,cennik!$C$1:$L$1,0))</f>
        <v>867824</v>
      </c>
      <c r="N188" s="11" t="str">
        <f>INDEX(cennik!$C$2:$L$529,MATCH($L188,cennik!$B$2:$B$522,0),MATCH(N$2,cennik!$C$1:$L$1,0))</f>
        <v>szt.</v>
      </c>
      <c r="O188" s="11">
        <f>E166*2</f>
        <v>0</v>
      </c>
      <c r="P188" s="34">
        <f>INDEX(cennik!$C$2:$L$529,MATCH($L188,cennik!$B$2:$B$522,0),MATCH(P$2,cennik!$C$1:$L$1,0))</f>
        <v>121.47</v>
      </c>
      <c r="Q188" s="34">
        <f>O188*P188</f>
        <v>0</v>
      </c>
      <c r="R188" s="35">
        <f>$E$167</f>
        <v>0</v>
      </c>
      <c r="S188" s="34">
        <f>P188*((100-$E$167)/100)</f>
        <v>121.47</v>
      </c>
      <c r="T188" s="34">
        <f>O188*S188</f>
        <v>0</v>
      </c>
      <c r="U188" s="34">
        <f>INDEX(cennik!$C$2:$L$529,MATCH($L188,cennik!$B$2:$B$522,0),MATCH(U$2,cennik!$C$1:$L$1,0))*O188</f>
        <v>0</v>
      </c>
      <c r="V188" s="25"/>
      <c r="W188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198,$EL$166:$EX$166,0),MATCH($E$193,$AE$33:$AE$46,0)))*C198</f>
        <v>0</v>
      </c>
      <c r="X188" s="21">
        <v>0</v>
      </c>
      <c r="Y188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198,$EL$166:$EX$166,0),MATCH($E$193,$AE$33:$AE$46,0)))*C198</f>
        <v>0</v>
      </c>
      <c r="Z188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198,$EL$166:$EX$166,0),MATCH($E$193,$AE$33:$AE$46,0)))*C198</f>
        <v>0</v>
      </c>
      <c r="AA188" s="21">
        <f t="shared" si="247"/>
        <v>0</v>
      </c>
      <c r="AB188" s="21">
        <f t="shared" si="248"/>
        <v>0</v>
      </c>
      <c r="AC188" s="21"/>
      <c r="AD188" s="21"/>
      <c r="AE188" s="21"/>
      <c r="AF188" s="21"/>
      <c r="AG188" s="21"/>
      <c r="AH188" s="21"/>
      <c r="AI188" s="21"/>
      <c r="AJ188" s="21"/>
      <c r="AK188" s="21"/>
      <c r="AL188" s="21"/>
      <c r="AM188" s="21"/>
      <c r="AN188" s="21"/>
      <c r="AO188" s="21"/>
      <c r="AP188" s="21"/>
      <c r="AQ188" s="21"/>
      <c r="AR188" s="25" t="s">
        <v>114</v>
      </c>
      <c r="AS188" s="25" t="s">
        <v>596</v>
      </c>
      <c r="AT188" s="25" t="s">
        <v>595</v>
      </c>
      <c r="AU188" s="25" t="s">
        <v>593</v>
      </c>
      <c r="AV188" s="21" t="s">
        <v>593</v>
      </c>
      <c r="AW188" s="21"/>
      <c r="AX188" s="21"/>
      <c r="AY188" s="20"/>
      <c r="AZ188" s="20"/>
      <c r="BA188" s="21"/>
      <c r="BB188" s="180" t="s">
        <v>114</v>
      </c>
      <c r="BC188" s="180" t="s">
        <v>151</v>
      </c>
      <c r="BD188" s="180" t="s">
        <v>151</v>
      </c>
      <c r="BE188" s="180" t="s">
        <v>151</v>
      </c>
      <c r="BF188" s="180" t="s">
        <v>151</v>
      </c>
      <c r="BH188" s="196"/>
      <c r="BI188" s="21"/>
      <c r="BJ188" s="21"/>
      <c r="BK188" s="21"/>
      <c r="BL188" s="21"/>
      <c r="BM188" s="21"/>
      <c r="BN188" s="21"/>
      <c r="BO188" s="21"/>
      <c r="BP188" s="21"/>
      <c r="BQ188" s="21"/>
      <c r="BR188" s="21"/>
      <c r="BS188" s="21"/>
      <c r="BT188" s="21"/>
      <c r="BU188" s="21"/>
      <c r="BV188" s="21"/>
      <c r="BW188" s="21"/>
      <c r="BX188" s="21"/>
      <c r="BY188" s="21"/>
      <c r="BZ188" s="21"/>
      <c r="CA188" s="21"/>
      <c r="CB188" s="21"/>
      <c r="CC188" s="21"/>
      <c r="CD188" s="21"/>
      <c r="CE188" s="21"/>
      <c r="CF188" s="21"/>
      <c r="CG188" s="21"/>
      <c r="CH188" s="21"/>
      <c r="CI188" s="21"/>
      <c r="CJ188" s="21"/>
      <c r="CK188" s="21"/>
      <c r="CL188" s="21"/>
      <c r="CM188" s="21"/>
      <c r="CN188" s="21"/>
      <c r="CO188" s="21"/>
      <c r="CP188" s="21"/>
      <c r="CQ188" s="21"/>
      <c r="CR188" s="21"/>
      <c r="CS188" s="21"/>
      <c r="CT188" s="21"/>
      <c r="CU188" s="21"/>
      <c r="CV188" s="21"/>
      <c r="CW188" s="21"/>
      <c r="CX188" s="21"/>
      <c r="CY188" s="21"/>
      <c r="CZ188" s="21"/>
      <c r="DA188" s="21"/>
      <c r="DB188" s="21"/>
      <c r="DC188" s="21"/>
      <c r="DD188" s="21"/>
      <c r="DE188" s="21"/>
      <c r="DF188" s="21"/>
      <c r="DG188" s="21"/>
      <c r="DH188" s="21"/>
      <c r="DI188" s="21"/>
      <c r="DJ188" s="21"/>
      <c r="DK188" s="21"/>
      <c r="DL188" s="21"/>
      <c r="DM188" s="21"/>
      <c r="DN188" s="21"/>
      <c r="DO188" s="21"/>
      <c r="DP188" s="21"/>
      <c r="DQ188" s="87"/>
      <c r="DR188" s="87">
        <v>21</v>
      </c>
      <c r="DS188" s="87"/>
      <c r="DT188" s="21"/>
      <c r="DU188" s="21"/>
      <c r="DV188" s="21"/>
      <c r="DW188" s="21"/>
      <c r="DX188" s="21"/>
      <c r="DY188" s="21"/>
      <c r="DZ188" s="21"/>
      <c r="EA188" s="21"/>
      <c r="EB188" s="21"/>
      <c r="EC188" s="21"/>
      <c r="ED188" s="21"/>
      <c r="EE188" s="21"/>
      <c r="EF188" s="21"/>
      <c r="EG188" s="21"/>
      <c r="EH188" s="197"/>
      <c r="EI188" s="21"/>
      <c r="EJ188" s="196"/>
      <c r="EK188" s="180" t="s">
        <v>817</v>
      </c>
      <c r="EL188" s="21">
        <f>EL85</f>
        <v>0</v>
      </c>
      <c r="EM188" s="21">
        <f t="shared" ref="EM188:FI188" si="256">EM85</f>
        <v>0</v>
      </c>
      <c r="EN188" s="21">
        <f t="shared" si="256"/>
        <v>0</v>
      </c>
      <c r="EO188" s="21">
        <f t="shared" si="256"/>
        <v>4</v>
      </c>
      <c r="EP188" s="21">
        <f t="shared" si="256"/>
        <v>0</v>
      </c>
      <c r="EQ188" s="21">
        <f t="shared" si="256"/>
        <v>0</v>
      </c>
      <c r="ER188" s="21">
        <f t="shared" si="256"/>
        <v>0</v>
      </c>
      <c r="ES188" s="21">
        <f t="shared" si="256"/>
        <v>0</v>
      </c>
      <c r="ET188" s="21">
        <f t="shared" si="256"/>
        <v>0</v>
      </c>
      <c r="EU188" s="21">
        <f t="shared" si="256"/>
        <v>0</v>
      </c>
      <c r="EV188" s="21">
        <f t="shared" si="256"/>
        <v>0</v>
      </c>
      <c r="EW188" s="21">
        <f t="shared" si="256"/>
        <v>0</v>
      </c>
      <c r="EX188" s="21">
        <f t="shared" si="256"/>
        <v>0</v>
      </c>
      <c r="EY188" s="21">
        <f t="shared" si="256"/>
        <v>0</v>
      </c>
      <c r="EZ188" s="21">
        <f t="shared" si="256"/>
        <v>0</v>
      </c>
      <c r="FA188" s="21">
        <f t="shared" si="256"/>
        <v>0</v>
      </c>
      <c r="FB188" s="21">
        <f t="shared" si="256"/>
        <v>0</v>
      </c>
      <c r="FC188" s="21">
        <f t="shared" si="256"/>
        <v>0</v>
      </c>
      <c r="FD188" s="21">
        <f t="shared" si="256"/>
        <v>0</v>
      </c>
      <c r="FE188" s="21">
        <f t="shared" si="256"/>
        <v>0</v>
      </c>
      <c r="FF188" s="21">
        <f t="shared" si="256"/>
        <v>0</v>
      </c>
      <c r="FG188" s="21">
        <f t="shared" si="256"/>
        <v>0</v>
      </c>
      <c r="FH188" s="21">
        <f t="shared" si="256"/>
        <v>0</v>
      </c>
      <c r="FI188" s="21">
        <f t="shared" si="256"/>
        <v>0</v>
      </c>
      <c r="FK188" s="180" t="s">
        <v>817</v>
      </c>
      <c r="FL188" s="21">
        <f>FL85</f>
        <v>0</v>
      </c>
      <c r="FM188" s="21">
        <f t="shared" ref="FM188:GI188" si="257">FM85</f>
        <v>0</v>
      </c>
      <c r="FN188" s="21">
        <f t="shared" si="257"/>
        <v>4</v>
      </c>
      <c r="FO188" s="21">
        <f t="shared" si="257"/>
        <v>4</v>
      </c>
      <c r="FP188" s="21">
        <f t="shared" si="257"/>
        <v>0</v>
      </c>
      <c r="FQ188" s="21">
        <f t="shared" si="257"/>
        <v>0</v>
      </c>
      <c r="FR188" s="21">
        <f t="shared" si="257"/>
        <v>0</v>
      </c>
      <c r="FS188" s="21">
        <f t="shared" si="257"/>
        <v>0</v>
      </c>
      <c r="FT188" s="21">
        <f t="shared" si="257"/>
        <v>0</v>
      </c>
      <c r="FU188" s="21">
        <f t="shared" si="257"/>
        <v>0</v>
      </c>
      <c r="FV188" s="21">
        <f t="shared" si="257"/>
        <v>0</v>
      </c>
      <c r="FW188" s="21">
        <f t="shared" si="257"/>
        <v>0</v>
      </c>
      <c r="FX188" s="21">
        <f t="shared" si="257"/>
        <v>0</v>
      </c>
      <c r="FY188" s="21">
        <f t="shared" si="257"/>
        <v>0</v>
      </c>
      <c r="FZ188" s="21">
        <f t="shared" si="257"/>
        <v>0</v>
      </c>
      <c r="GA188" s="21">
        <f t="shared" si="257"/>
        <v>0</v>
      </c>
      <c r="GB188" s="21">
        <f t="shared" si="257"/>
        <v>0</v>
      </c>
      <c r="GC188" s="21">
        <f t="shared" si="257"/>
        <v>0</v>
      </c>
      <c r="GD188" s="21">
        <f t="shared" si="257"/>
        <v>0</v>
      </c>
      <c r="GE188" s="21">
        <f t="shared" si="257"/>
        <v>0</v>
      </c>
      <c r="GF188" s="21">
        <f t="shared" si="257"/>
        <v>0</v>
      </c>
      <c r="GG188" s="21">
        <f t="shared" si="257"/>
        <v>0</v>
      </c>
      <c r="GH188" s="21">
        <f t="shared" si="257"/>
        <v>0</v>
      </c>
      <c r="GI188" s="21">
        <f t="shared" si="257"/>
        <v>0</v>
      </c>
      <c r="GJ188" s="21"/>
      <c r="GK188" s="21"/>
      <c r="GL188" s="21"/>
      <c r="GM188" s="21"/>
      <c r="GN188" s="21"/>
      <c r="GO188" s="21"/>
      <c r="GP188" s="21"/>
      <c r="GQ188" s="21"/>
      <c r="GR188" s="180" t="s">
        <v>817</v>
      </c>
      <c r="GS188" s="21">
        <f>GS85</f>
        <v>0</v>
      </c>
      <c r="GT188" s="21">
        <f t="shared" ref="GT188:HP188" si="258">GT85</f>
        <v>0</v>
      </c>
      <c r="GU188" s="21">
        <f t="shared" si="258"/>
        <v>4</v>
      </c>
      <c r="GV188" s="21">
        <f t="shared" si="258"/>
        <v>4</v>
      </c>
      <c r="GW188" s="21">
        <f t="shared" si="258"/>
        <v>0</v>
      </c>
      <c r="GX188" s="21">
        <f t="shared" si="258"/>
        <v>0</v>
      </c>
      <c r="GY188" s="21">
        <f t="shared" si="258"/>
        <v>0</v>
      </c>
      <c r="GZ188" s="21">
        <f t="shared" si="258"/>
        <v>0</v>
      </c>
      <c r="HA188" s="21">
        <f t="shared" si="258"/>
        <v>0</v>
      </c>
      <c r="HB188" s="21">
        <f t="shared" si="258"/>
        <v>0</v>
      </c>
      <c r="HC188" s="21">
        <f t="shared" si="258"/>
        <v>0</v>
      </c>
      <c r="HD188" s="21">
        <f t="shared" si="258"/>
        <v>0</v>
      </c>
      <c r="HE188" s="21">
        <f t="shared" si="258"/>
        <v>0</v>
      </c>
      <c r="HF188" s="21">
        <f t="shared" si="258"/>
        <v>0</v>
      </c>
      <c r="HG188" s="21">
        <f t="shared" si="258"/>
        <v>0</v>
      </c>
      <c r="HH188" s="21">
        <f t="shared" si="258"/>
        <v>0</v>
      </c>
      <c r="HI188" s="21">
        <f t="shared" si="258"/>
        <v>0</v>
      </c>
      <c r="HJ188" s="21">
        <f t="shared" si="258"/>
        <v>0</v>
      </c>
      <c r="HK188" s="21">
        <f t="shared" si="258"/>
        <v>0</v>
      </c>
      <c r="HL188" s="21">
        <f t="shared" si="258"/>
        <v>0</v>
      </c>
      <c r="HM188" s="21">
        <f t="shared" si="258"/>
        <v>0</v>
      </c>
      <c r="HN188" s="21">
        <f t="shared" si="258"/>
        <v>0</v>
      </c>
      <c r="HO188" s="21">
        <f t="shared" si="258"/>
        <v>0</v>
      </c>
      <c r="HP188" s="21">
        <f t="shared" si="258"/>
        <v>0</v>
      </c>
      <c r="HS188" s="180" t="s">
        <v>817</v>
      </c>
      <c r="HT188" s="21">
        <f>HT85</f>
        <v>0</v>
      </c>
      <c r="HU188" s="21">
        <f t="shared" ref="HU188:IQ188" si="259">HU85</f>
        <v>0</v>
      </c>
      <c r="HV188" s="21">
        <f t="shared" si="259"/>
        <v>4</v>
      </c>
      <c r="HW188" s="21">
        <f t="shared" si="259"/>
        <v>0</v>
      </c>
      <c r="HX188" s="21">
        <f t="shared" si="259"/>
        <v>0</v>
      </c>
      <c r="HY188" s="21">
        <f t="shared" si="259"/>
        <v>0</v>
      </c>
      <c r="HZ188" s="21">
        <f t="shared" si="259"/>
        <v>0</v>
      </c>
      <c r="IA188" s="21">
        <f t="shared" si="259"/>
        <v>0</v>
      </c>
      <c r="IB188" s="21">
        <f t="shared" si="259"/>
        <v>0</v>
      </c>
      <c r="IC188" s="21">
        <f t="shared" si="259"/>
        <v>0</v>
      </c>
      <c r="ID188" s="21">
        <f t="shared" si="259"/>
        <v>0</v>
      </c>
      <c r="IE188" s="21">
        <f t="shared" si="259"/>
        <v>0</v>
      </c>
      <c r="IF188" s="21">
        <f t="shared" si="259"/>
        <v>0</v>
      </c>
      <c r="IG188" s="21">
        <f t="shared" si="259"/>
        <v>0</v>
      </c>
      <c r="IH188" s="21">
        <f t="shared" si="259"/>
        <v>0</v>
      </c>
      <c r="II188" s="21">
        <f t="shared" si="259"/>
        <v>0</v>
      </c>
      <c r="IJ188" s="21">
        <f t="shared" si="259"/>
        <v>0</v>
      </c>
      <c r="IK188" s="21">
        <f t="shared" si="259"/>
        <v>0</v>
      </c>
      <c r="IL188" s="21">
        <f t="shared" si="259"/>
        <v>0</v>
      </c>
      <c r="IM188" s="21">
        <f t="shared" si="259"/>
        <v>0</v>
      </c>
      <c r="IN188" s="21">
        <f t="shared" si="259"/>
        <v>0</v>
      </c>
      <c r="IO188" s="21">
        <f t="shared" si="259"/>
        <v>0</v>
      </c>
      <c r="IP188" s="21">
        <f t="shared" si="259"/>
        <v>0</v>
      </c>
      <c r="IQ188" s="21">
        <f t="shared" si="259"/>
        <v>0</v>
      </c>
      <c r="IT188" s="198"/>
    </row>
    <row r="189" spans="1:254" x14ac:dyDescent="0.25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6" t="s">
        <v>591</v>
      </c>
      <c r="M189" s="11">
        <f>INDEX(cennik!$C$2:$L$529,MATCH($L189,cennik!$B$2:$B$522,0),MATCH(M$2,cennik!$C$1:$L$1,0))</f>
        <v>867810</v>
      </c>
      <c r="N189" s="11" t="str">
        <f>INDEX(cennik!$C$2:$L$529,MATCH($L189,cennik!$B$2:$B$522,0),MATCH(N$2,cennik!$C$1:$L$1,0))</f>
        <v>szt.</v>
      </c>
      <c r="O189" s="11">
        <f>E166*4</f>
        <v>0</v>
      </c>
      <c r="P189" s="34">
        <f>INDEX(cennik!$C$2:$L$529,MATCH($L189,cennik!$B$2:$B$522,0),MATCH(P$2,cennik!$C$1:$L$1,0))</f>
        <v>50.61</v>
      </c>
      <c r="Q189" s="34">
        <f>O189*P189</f>
        <v>0</v>
      </c>
      <c r="R189" s="35">
        <f>$E$167</f>
        <v>0</v>
      </c>
      <c r="S189" s="34">
        <f>P189*((100-$E$167)/100)</f>
        <v>50.61</v>
      </c>
      <c r="T189" s="34">
        <f>O189*S189</f>
        <v>0</v>
      </c>
      <c r="U189" s="34">
        <f>INDEX(cennik!$C$2:$L$529,MATCH($L189,cennik!$B$2:$B$522,0),MATCH(U$2,cennik!$C$1:$L$1,0))*O189</f>
        <v>0</v>
      </c>
      <c r="V189" s="25"/>
      <c r="W189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199,$EL$166:$EX$166,0),MATCH($E$193,$AE$33:$AE$46,0)))*C199</f>
        <v>0</v>
      </c>
      <c r="X189" s="21">
        <v>0</v>
      </c>
      <c r="Y189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199,$EL$166:$EX$166,0),MATCH($E$193,$AE$33:$AE$46,0)))*C199</f>
        <v>0</v>
      </c>
      <c r="Z189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199,$EL$166:$EX$166,0),MATCH($E$193,$AE$33:$AE$46,0)))*C199</f>
        <v>0</v>
      </c>
      <c r="AA189" s="21">
        <f t="shared" si="247"/>
        <v>0</v>
      </c>
      <c r="AB189" s="21">
        <f t="shared" si="248"/>
        <v>0</v>
      </c>
      <c r="AC189" s="21"/>
      <c r="AD189" s="21"/>
      <c r="AE189" s="21"/>
      <c r="AF189" s="21"/>
      <c r="AG189" s="21"/>
      <c r="AH189" s="21"/>
      <c r="AI189" s="21"/>
      <c r="AJ189" s="21"/>
      <c r="AR189" s="25" t="s">
        <v>115</v>
      </c>
      <c r="AS189" s="25" t="s">
        <v>596</v>
      </c>
      <c r="AT189" s="25" t="s">
        <v>595</v>
      </c>
      <c r="AU189" s="25" t="s">
        <v>594</v>
      </c>
      <c r="AV189" s="21" t="s">
        <v>594</v>
      </c>
      <c r="AW189" s="21"/>
      <c r="AX189" s="21"/>
      <c r="AY189" s="21"/>
      <c r="AZ189" s="21"/>
      <c r="BA189" s="21"/>
      <c r="BB189" s="180" t="s">
        <v>115</v>
      </c>
      <c r="BC189" s="180" t="s">
        <v>151</v>
      </c>
      <c r="BD189" s="180" t="s">
        <v>151</v>
      </c>
      <c r="BE189" s="180" t="s">
        <v>151</v>
      </c>
      <c r="BF189" s="180" t="s">
        <v>151</v>
      </c>
      <c r="BH189" s="196" t="s">
        <v>112</v>
      </c>
      <c r="BI189" s="21">
        <v>0</v>
      </c>
      <c r="BJ189" s="21">
        <v>8</v>
      </c>
      <c r="BK189" s="21">
        <v>12</v>
      </c>
      <c r="BL189" s="21">
        <v>16</v>
      </c>
      <c r="BM189" s="21">
        <v>20</v>
      </c>
      <c r="BN189" s="21">
        <v>24</v>
      </c>
      <c r="BO189" s="21">
        <v>28</v>
      </c>
      <c r="BP189" s="21">
        <v>32</v>
      </c>
      <c r="BQ189" s="21">
        <v>36</v>
      </c>
      <c r="BR189" s="21">
        <v>40</v>
      </c>
      <c r="BS189" s="21">
        <v>44</v>
      </c>
      <c r="BT189" s="21">
        <v>48</v>
      </c>
      <c r="BU189" s="21">
        <v>52</v>
      </c>
      <c r="BV189" s="21"/>
      <c r="BW189" s="21" t="s">
        <v>472</v>
      </c>
      <c r="BX189" s="21">
        <v>0</v>
      </c>
      <c r="BY189" s="21">
        <v>8</v>
      </c>
      <c r="BZ189" s="21">
        <v>12</v>
      </c>
      <c r="CA189" s="21">
        <v>16</v>
      </c>
      <c r="CB189" s="21">
        <v>20</v>
      </c>
      <c r="CC189" s="21">
        <v>24</v>
      </c>
      <c r="CD189" s="21">
        <v>28</v>
      </c>
      <c r="CE189" s="21">
        <v>32</v>
      </c>
      <c r="CF189" s="21">
        <v>36</v>
      </c>
      <c r="CG189" s="21">
        <v>40</v>
      </c>
      <c r="CH189" s="21">
        <v>44</v>
      </c>
      <c r="CI189" s="21">
        <v>48</v>
      </c>
      <c r="CJ189" s="21">
        <v>52</v>
      </c>
      <c r="CK189" s="21"/>
      <c r="CL189" s="21"/>
      <c r="CM189" s="21"/>
      <c r="CN189" s="21" t="s">
        <v>113</v>
      </c>
      <c r="CO189" s="21">
        <v>0</v>
      </c>
      <c r="CP189" s="21">
        <v>8</v>
      </c>
      <c r="CQ189" s="21">
        <v>12</v>
      </c>
      <c r="CR189" s="21">
        <v>16</v>
      </c>
      <c r="CS189" s="21">
        <v>20</v>
      </c>
      <c r="CT189" s="21">
        <v>24</v>
      </c>
      <c r="CU189" s="21">
        <v>28</v>
      </c>
      <c r="CV189" s="21">
        <v>32</v>
      </c>
      <c r="CW189" s="21">
        <v>36</v>
      </c>
      <c r="CX189" s="21">
        <v>40</v>
      </c>
      <c r="CY189" s="21">
        <v>44</v>
      </c>
      <c r="CZ189" s="21">
        <v>48</v>
      </c>
      <c r="DA189" s="21">
        <v>52</v>
      </c>
      <c r="DB189" s="21"/>
      <c r="DC189" s="21" t="s">
        <v>478</v>
      </c>
      <c r="DD189" s="21">
        <v>0</v>
      </c>
      <c r="DE189" s="21">
        <v>8</v>
      </c>
      <c r="DF189" s="21">
        <v>12</v>
      </c>
      <c r="DG189" s="21">
        <v>16</v>
      </c>
      <c r="DH189" s="21">
        <v>20</v>
      </c>
      <c r="DI189" s="21">
        <v>24</v>
      </c>
      <c r="DJ189" s="21">
        <v>28</v>
      </c>
      <c r="DK189" s="21">
        <v>32</v>
      </c>
      <c r="DL189" s="21">
        <v>36</v>
      </c>
      <c r="DM189" s="21">
        <v>40</v>
      </c>
      <c r="DN189" s="21">
        <v>44</v>
      </c>
      <c r="DO189" s="21">
        <v>48</v>
      </c>
      <c r="DP189" s="21">
        <v>52</v>
      </c>
      <c r="DQ189" s="87"/>
      <c r="DR189" s="87">
        <v>24</v>
      </c>
      <c r="DS189" s="87"/>
      <c r="DT189" s="21" t="s">
        <v>507</v>
      </c>
      <c r="DU189" s="21">
        <v>0</v>
      </c>
      <c r="DV189" s="21">
        <v>8</v>
      </c>
      <c r="DW189" s="21">
        <v>12</v>
      </c>
      <c r="DX189" s="21">
        <v>16</v>
      </c>
      <c r="DY189" s="21">
        <v>20</v>
      </c>
      <c r="DZ189" s="21">
        <v>24</v>
      </c>
      <c r="EA189" s="21">
        <v>28</v>
      </c>
      <c r="EB189" s="21">
        <v>32</v>
      </c>
      <c r="EC189" s="21">
        <v>36</v>
      </c>
      <c r="ED189" s="21">
        <v>40</v>
      </c>
      <c r="EE189" s="21">
        <v>44</v>
      </c>
      <c r="EF189" s="21">
        <v>48</v>
      </c>
      <c r="EG189" s="21">
        <v>52</v>
      </c>
      <c r="EH189" s="197"/>
      <c r="EI189" s="21"/>
      <c r="EJ189" s="196"/>
      <c r="EK189" s="21" t="s">
        <v>815</v>
      </c>
      <c r="EL189" s="21">
        <f t="shared" ref="EL189:FI190" si="260">EL86</f>
        <v>0</v>
      </c>
      <c r="EM189" s="21">
        <f t="shared" si="260"/>
        <v>0</v>
      </c>
      <c r="EN189" s="21">
        <f t="shared" si="260"/>
        <v>4</v>
      </c>
      <c r="EO189" s="21">
        <f t="shared" si="260"/>
        <v>0</v>
      </c>
      <c r="EP189" s="21">
        <f t="shared" si="260"/>
        <v>0</v>
      </c>
      <c r="EQ189" s="21">
        <f t="shared" si="260"/>
        <v>4</v>
      </c>
      <c r="ER189" s="21">
        <f t="shared" si="260"/>
        <v>8</v>
      </c>
      <c r="ES189" s="21">
        <f t="shared" si="260"/>
        <v>0</v>
      </c>
      <c r="ET189" s="21">
        <f t="shared" si="260"/>
        <v>4</v>
      </c>
      <c r="EU189" s="21">
        <f t="shared" si="260"/>
        <v>8</v>
      </c>
      <c r="EV189" s="21">
        <f t="shared" si="260"/>
        <v>0</v>
      </c>
      <c r="EW189" s="21">
        <f t="shared" si="260"/>
        <v>4</v>
      </c>
      <c r="EX189" s="21">
        <f t="shared" si="260"/>
        <v>8</v>
      </c>
      <c r="EY189" s="21">
        <f t="shared" si="260"/>
        <v>8</v>
      </c>
      <c r="EZ189" s="21">
        <f t="shared" si="260"/>
        <v>0</v>
      </c>
      <c r="FA189" s="21">
        <f t="shared" si="260"/>
        <v>4</v>
      </c>
      <c r="FB189" s="21">
        <f t="shared" si="260"/>
        <v>8</v>
      </c>
      <c r="FC189" s="21">
        <f t="shared" si="260"/>
        <v>0</v>
      </c>
      <c r="FD189" s="21">
        <f t="shared" si="260"/>
        <v>4</v>
      </c>
      <c r="FE189" s="21">
        <f t="shared" si="260"/>
        <v>8</v>
      </c>
      <c r="FF189" s="21">
        <f t="shared" si="260"/>
        <v>0</v>
      </c>
      <c r="FG189" s="21">
        <f t="shared" si="260"/>
        <v>4</v>
      </c>
      <c r="FH189" s="21">
        <f t="shared" si="260"/>
        <v>8</v>
      </c>
      <c r="FI189" s="21">
        <f t="shared" si="260"/>
        <v>0</v>
      </c>
      <c r="FJ189" s="21"/>
      <c r="FK189" s="21" t="s">
        <v>815</v>
      </c>
      <c r="FL189" s="21">
        <f t="shared" ref="FL189:GI190" si="261">FL86</f>
        <v>0</v>
      </c>
      <c r="FM189" s="21">
        <f t="shared" si="261"/>
        <v>4</v>
      </c>
      <c r="FN189" s="21">
        <f t="shared" si="261"/>
        <v>0</v>
      </c>
      <c r="FO189" s="21">
        <f t="shared" si="261"/>
        <v>0</v>
      </c>
      <c r="FP189" s="21">
        <f t="shared" si="261"/>
        <v>4</v>
      </c>
      <c r="FQ189" s="21">
        <f t="shared" si="261"/>
        <v>8</v>
      </c>
      <c r="FR189" s="21">
        <f t="shared" si="261"/>
        <v>0</v>
      </c>
      <c r="FS189" s="21">
        <f t="shared" si="261"/>
        <v>4</v>
      </c>
      <c r="FT189" s="21">
        <f t="shared" si="261"/>
        <v>8</v>
      </c>
      <c r="FU189" s="21">
        <f t="shared" si="261"/>
        <v>0</v>
      </c>
      <c r="FV189" s="21">
        <f t="shared" si="261"/>
        <v>4</v>
      </c>
      <c r="FW189" s="21">
        <f t="shared" si="261"/>
        <v>8</v>
      </c>
      <c r="FX189" s="21">
        <f t="shared" si="261"/>
        <v>0</v>
      </c>
      <c r="FY189" s="21">
        <f t="shared" si="261"/>
        <v>4</v>
      </c>
      <c r="FZ189" s="21">
        <f t="shared" si="261"/>
        <v>8</v>
      </c>
      <c r="GA189" s="21">
        <f t="shared" si="261"/>
        <v>0</v>
      </c>
      <c r="GB189" s="21">
        <f t="shared" si="261"/>
        <v>4</v>
      </c>
      <c r="GC189" s="21">
        <f t="shared" si="261"/>
        <v>8</v>
      </c>
      <c r="GD189" s="21">
        <f t="shared" si="261"/>
        <v>0</v>
      </c>
      <c r="GE189" s="21">
        <f t="shared" si="261"/>
        <v>4</v>
      </c>
      <c r="GF189" s="21">
        <f t="shared" si="261"/>
        <v>8</v>
      </c>
      <c r="GG189" s="21">
        <f t="shared" si="261"/>
        <v>0</v>
      </c>
      <c r="GH189" s="21">
        <f t="shared" si="261"/>
        <v>4</v>
      </c>
      <c r="GI189" s="21">
        <f t="shared" si="261"/>
        <v>8</v>
      </c>
      <c r="GJ189" s="21"/>
      <c r="GK189" s="21"/>
      <c r="GL189" s="21"/>
      <c r="GM189" s="21"/>
      <c r="GN189" s="21"/>
      <c r="GO189" s="21"/>
      <c r="GP189" s="21"/>
      <c r="GQ189" s="21"/>
      <c r="GR189" s="21" t="s">
        <v>815</v>
      </c>
      <c r="GS189" s="21">
        <f t="shared" ref="GS189:HP190" si="262">GS86</f>
        <v>0</v>
      </c>
      <c r="GT189" s="21">
        <f t="shared" si="262"/>
        <v>4</v>
      </c>
      <c r="GU189" s="21">
        <f t="shared" si="262"/>
        <v>0</v>
      </c>
      <c r="GV189" s="21">
        <f t="shared" si="262"/>
        <v>0</v>
      </c>
      <c r="GW189" s="21">
        <f t="shared" si="262"/>
        <v>4</v>
      </c>
      <c r="GX189" s="21">
        <f t="shared" si="262"/>
        <v>8</v>
      </c>
      <c r="GY189" s="21">
        <f t="shared" si="262"/>
        <v>0</v>
      </c>
      <c r="GZ189" s="21">
        <f t="shared" si="262"/>
        <v>8</v>
      </c>
      <c r="HA189" s="21">
        <f t="shared" si="262"/>
        <v>12</v>
      </c>
      <c r="HB189" s="21">
        <f t="shared" si="262"/>
        <v>4</v>
      </c>
      <c r="HC189" s="21">
        <f t="shared" si="262"/>
        <v>8</v>
      </c>
      <c r="HD189" s="21">
        <f t="shared" si="262"/>
        <v>12</v>
      </c>
      <c r="HE189" s="21">
        <f t="shared" si="262"/>
        <v>16</v>
      </c>
      <c r="HF189" s="21">
        <f t="shared" si="262"/>
        <v>8</v>
      </c>
      <c r="HG189" s="21">
        <f t="shared" si="262"/>
        <v>12</v>
      </c>
      <c r="HH189" s="21">
        <f t="shared" si="262"/>
        <v>16</v>
      </c>
      <c r="HI189" s="21">
        <f t="shared" si="262"/>
        <v>12</v>
      </c>
      <c r="HJ189" s="21">
        <f t="shared" si="262"/>
        <v>16</v>
      </c>
      <c r="HK189" s="21">
        <f t="shared" si="262"/>
        <v>20</v>
      </c>
      <c r="HL189" s="21">
        <f t="shared" si="262"/>
        <v>24</v>
      </c>
      <c r="HM189" s="21">
        <f t="shared" si="262"/>
        <v>16</v>
      </c>
      <c r="HN189" s="21">
        <f t="shared" si="262"/>
        <v>20</v>
      </c>
      <c r="HO189" s="21">
        <f t="shared" si="262"/>
        <v>24</v>
      </c>
      <c r="HP189" s="21">
        <f t="shared" si="262"/>
        <v>28</v>
      </c>
      <c r="HS189" s="21" t="s">
        <v>815</v>
      </c>
      <c r="HT189" s="21">
        <f t="shared" ref="HT189:IQ190" si="263">HT86</f>
        <v>0</v>
      </c>
      <c r="HU189" s="21">
        <f t="shared" si="263"/>
        <v>4</v>
      </c>
      <c r="HV189" s="21">
        <f t="shared" si="263"/>
        <v>0</v>
      </c>
      <c r="HW189" s="21">
        <f t="shared" si="263"/>
        <v>4</v>
      </c>
      <c r="HX189" s="21">
        <f t="shared" si="263"/>
        <v>8</v>
      </c>
      <c r="HY189" s="21">
        <f t="shared" si="263"/>
        <v>0</v>
      </c>
      <c r="HZ189" s="21">
        <f t="shared" si="263"/>
        <v>4</v>
      </c>
      <c r="IA189" s="21">
        <f t="shared" si="263"/>
        <v>8</v>
      </c>
      <c r="IB189" s="21">
        <f t="shared" si="263"/>
        <v>4</v>
      </c>
      <c r="IC189" s="21">
        <f t="shared" si="263"/>
        <v>8</v>
      </c>
      <c r="ID189" s="21">
        <f t="shared" si="263"/>
        <v>12</v>
      </c>
      <c r="IE189" s="21">
        <f t="shared" si="263"/>
        <v>16</v>
      </c>
      <c r="IF189" s="21">
        <f t="shared" si="263"/>
        <v>8</v>
      </c>
      <c r="IG189" s="21">
        <f t="shared" si="263"/>
        <v>16</v>
      </c>
      <c r="IH189" s="21">
        <f t="shared" si="263"/>
        <v>20</v>
      </c>
      <c r="II189" s="21">
        <f t="shared" si="263"/>
        <v>12</v>
      </c>
      <c r="IJ189" s="21">
        <f t="shared" si="263"/>
        <v>16</v>
      </c>
      <c r="IK189" s="21">
        <f t="shared" si="263"/>
        <v>20</v>
      </c>
      <c r="IL189" s="21">
        <f t="shared" si="263"/>
        <v>16</v>
      </c>
      <c r="IM189" s="21">
        <f t="shared" si="263"/>
        <v>20</v>
      </c>
      <c r="IN189" s="21">
        <f t="shared" si="263"/>
        <v>24</v>
      </c>
      <c r="IO189" s="21">
        <f t="shared" si="263"/>
        <v>28</v>
      </c>
      <c r="IP189" s="21">
        <f t="shared" si="263"/>
        <v>20</v>
      </c>
      <c r="IQ189" s="21">
        <f t="shared" si="263"/>
        <v>28</v>
      </c>
      <c r="IT189" s="198"/>
    </row>
    <row r="190" spans="1:254" x14ac:dyDescent="0.25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9"/>
      <c r="M190" s="11"/>
      <c r="N190" s="11"/>
      <c r="O190" s="11"/>
      <c r="P190" s="34"/>
      <c r="Q190" s="34"/>
      <c r="R190" s="34"/>
      <c r="S190" s="34"/>
      <c r="T190" s="34">
        <f>SUM(T163:T189)</f>
        <v>0</v>
      </c>
      <c r="U190" s="34">
        <f>SUM(U163:U189)</f>
        <v>0</v>
      </c>
      <c r="V190" s="25"/>
      <c r="W190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200,$EL$166:$EX$166,0),MATCH($E$193,$AE$33:$AE$46,0)))*C200</f>
        <v>0</v>
      </c>
      <c r="X190" s="21">
        <v>0</v>
      </c>
      <c r="Y190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200,$EL$166:$EX$166,0),MATCH($E$193,$AE$33:$AE$46,0)))*C200</f>
        <v>0</v>
      </c>
      <c r="Z190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200,$EL$166:$EX$166,0),MATCH($E$193,$AE$33:$AE$46,0)))*C200</f>
        <v>0</v>
      </c>
      <c r="AA190" s="21">
        <f t="shared" si="247"/>
        <v>0</v>
      </c>
      <c r="AB190" s="21">
        <f t="shared" si="248"/>
        <v>0</v>
      </c>
      <c r="AC190" s="21"/>
      <c r="AD190" s="21"/>
      <c r="AE190" s="21"/>
      <c r="AF190" s="21"/>
      <c r="AG190" s="21"/>
      <c r="AH190" s="21"/>
      <c r="AI190" s="21"/>
      <c r="AJ190" s="21"/>
      <c r="AR190" s="25" t="s">
        <v>474</v>
      </c>
      <c r="AS190" s="21" t="s">
        <v>596</v>
      </c>
      <c r="AT190" s="25" t="s">
        <v>595</v>
      </c>
      <c r="AU190" s="21" t="s">
        <v>594</v>
      </c>
      <c r="AV190" s="21" t="s">
        <v>594</v>
      </c>
      <c r="AW190" s="21"/>
      <c r="AX190" s="21"/>
      <c r="AY190" s="21"/>
      <c r="AZ190" s="21"/>
      <c r="BA190" s="21"/>
      <c r="BB190" s="180" t="s">
        <v>474</v>
      </c>
      <c r="BC190" s="180" t="s">
        <v>151</v>
      </c>
      <c r="BD190" s="180" t="s">
        <v>151</v>
      </c>
      <c r="BE190" s="180" t="s">
        <v>151</v>
      </c>
      <c r="BF190" s="180" t="s">
        <v>151</v>
      </c>
      <c r="BH190" s="196" t="s">
        <v>522</v>
      </c>
      <c r="BI190" s="21">
        <v>0</v>
      </c>
      <c r="BJ190" s="21">
        <v>5</v>
      </c>
      <c r="BK190" s="21">
        <v>0</v>
      </c>
      <c r="BL190" s="21">
        <v>5</v>
      </c>
      <c r="BM190" s="21">
        <v>10</v>
      </c>
      <c r="BN190" s="21">
        <v>5</v>
      </c>
      <c r="BO190" s="21">
        <v>10</v>
      </c>
      <c r="BP190" s="21">
        <v>5</v>
      </c>
      <c r="BQ190" s="21">
        <v>15</v>
      </c>
      <c r="BR190" s="21">
        <v>5</v>
      </c>
      <c r="BS190" s="21">
        <v>15</v>
      </c>
      <c r="BT190" s="21">
        <v>20</v>
      </c>
      <c r="BU190" s="21">
        <v>0</v>
      </c>
      <c r="BV190" s="21"/>
      <c r="BW190" s="21" t="s">
        <v>522</v>
      </c>
      <c r="BX190" s="21">
        <v>0</v>
      </c>
      <c r="BY190" s="21">
        <v>5</v>
      </c>
      <c r="BZ190" s="21">
        <v>0</v>
      </c>
      <c r="CA190" s="21">
        <v>5</v>
      </c>
      <c r="CB190" s="21">
        <v>0</v>
      </c>
      <c r="CC190" s="21">
        <v>10</v>
      </c>
      <c r="CD190" s="21">
        <v>15</v>
      </c>
      <c r="CE190" s="21">
        <v>10</v>
      </c>
      <c r="CF190" s="21">
        <v>20</v>
      </c>
      <c r="CG190" s="21">
        <v>10</v>
      </c>
      <c r="CH190" s="21">
        <v>20</v>
      </c>
      <c r="CI190" s="21">
        <v>0</v>
      </c>
      <c r="CJ190" s="21">
        <v>25</v>
      </c>
      <c r="CK190" s="21"/>
      <c r="CL190" s="21"/>
      <c r="CM190" s="21"/>
      <c r="CN190" s="21" t="s">
        <v>522</v>
      </c>
      <c r="CO190" s="21">
        <f>CO28/5*4</f>
        <v>0</v>
      </c>
      <c r="CP190" s="21">
        <v>5</v>
      </c>
      <c r="CQ190" s="21">
        <v>0</v>
      </c>
      <c r="CR190" s="21">
        <v>10</v>
      </c>
      <c r="CS190" s="21">
        <v>5</v>
      </c>
      <c r="CT190" s="21">
        <v>10</v>
      </c>
      <c r="CU190" s="21">
        <v>5</v>
      </c>
      <c r="CV190" s="21">
        <v>15</v>
      </c>
      <c r="CW190" s="21">
        <v>10</v>
      </c>
      <c r="CX190" s="21">
        <v>20</v>
      </c>
      <c r="CY190" s="21">
        <v>0</v>
      </c>
      <c r="CZ190" s="21">
        <v>25</v>
      </c>
      <c r="DA190" s="21">
        <v>30</v>
      </c>
      <c r="DB190" s="21"/>
      <c r="DC190" s="21" t="s">
        <v>522</v>
      </c>
      <c r="DD190" s="21">
        <v>0</v>
      </c>
      <c r="DE190" s="180">
        <v>5</v>
      </c>
      <c r="DF190" s="21">
        <v>0</v>
      </c>
      <c r="DG190" s="21">
        <v>10</v>
      </c>
      <c r="DH190" s="21">
        <v>5</v>
      </c>
      <c r="DI190" s="21">
        <v>15</v>
      </c>
      <c r="DJ190" s="21">
        <v>10</v>
      </c>
      <c r="DK190" s="21">
        <v>20</v>
      </c>
      <c r="DL190" s="21">
        <v>0</v>
      </c>
      <c r="DM190" s="21">
        <v>25</v>
      </c>
      <c r="DN190" s="21">
        <v>5</v>
      </c>
      <c r="DO190" s="21">
        <v>30</v>
      </c>
      <c r="DP190" s="21">
        <v>10</v>
      </c>
      <c r="DQ190" s="87"/>
      <c r="DR190" s="87">
        <v>30</v>
      </c>
      <c r="DS190" s="87"/>
      <c r="DT190" s="21" t="s">
        <v>522</v>
      </c>
      <c r="DU190" s="21">
        <v>0</v>
      </c>
      <c r="DV190" s="21">
        <v>0</v>
      </c>
      <c r="DW190" s="21">
        <v>5</v>
      </c>
      <c r="DX190" s="21">
        <v>0</v>
      </c>
      <c r="DY190" s="21">
        <v>10</v>
      </c>
      <c r="DZ190" s="21">
        <v>5</v>
      </c>
      <c r="EA190" s="21">
        <v>15</v>
      </c>
      <c r="EB190" s="21">
        <v>10</v>
      </c>
      <c r="EC190" s="21">
        <v>20</v>
      </c>
      <c r="ED190" s="21">
        <v>20</v>
      </c>
      <c r="EE190" s="21">
        <v>30</v>
      </c>
      <c r="EF190" s="21">
        <v>25</v>
      </c>
      <c r="EG190" s="21">
        <v>35</v>
      </c>
      <c r="EH190" s="197"/>
      <c r="EI190" s="21"/>
      <c r="EJ190" s="196"/>
      <c r="EK190" s="21" t="s">
        <v>813</v>
      </c>
      <c r="EL190" s="21">
        <f t="shared" si="260"/>
        <v>0</v>
      </c>
      <c r="EM190" s="21">
        <f t="shared" si="260"/>
        <v>4</v>
      </c>
      <c r="EN190" s="21">
        <f t="shared" si="260"/>
        <v>0</v>
      </c>
      <c r="EO190" s="21">
        <f t="shared" si="260"/>
        <v>0</v>
      </c>
      <c r="EP190" s="21">
        <f t="shared" si="260"/>
        <v>8</v>
      </c>
      <c r="EQ190" s="21">
        <f t="shared" si="260"/>
        <v>4</v>
      </c>
      <c r="ER190" s="21">
        <f t="shared" si="260"/>
        <v>0</v>
      </c>
      <c r="ES190" s="21">
        <f t="shared" si="260"/>
        <v>12</v>
      </c>
      <c r="ET190" s="21">
        <f t="shared" si="260"/>
        <v>8</v>
      </c>
      <c r="EU190" s="21">
        <f t="shared" si="260"/>
        <v>4</v>
      </c>
      <c r="EV190" s="21">
        <f t="shared" si="260"/>
        <v>16</v>
      </c>
      <c r="EW190" s="21">
        <f t="shared" si="260"/>
        <v>12</v>
      </c>
      <c r="EX190" s="21">
        <f t="shared" si="260"/>
        <v>8</v>
      </c>
      <c r="EY190" s="21">
        <f t="shared" si="260"/>
        <v>8</v>
      </c>
      <c r="EZ190" s="21">
        <f t="shared" si="260"/>
        <v>20</v>
      </c>
      <c r="FA190" s="21">
        <f t="shared" si="260"/>
        <v>16</v>
      </c>
      <c r="FB190" s="21">
        <f t="shared" si="260"/>
        <v>12</v>
      </c>
      <c r="FC190" s="21">
        <f t="shared" si="260"/>
        <v>24</v>
      </c>
      <c r="FD190" s="21">
        <f t="shared" si="260"/>
        <v>20</v>
      </c>
      <c r="FE190" s="21">
        <f t="shared" si="260"/>
        <v>16</v>
      </c>
      <c r="FF190" s="21">
        <f t="shared" si="260"/>
        <v>28</v>
      </c>
      <c r="FG190" s="21">
        <f t="shared" si="260"/>
        <v>24</v>
      </c>
      <c r="FH190" s="21">
        <f t="shared" si="260"/>
        <v>20</v>
      </c>
      <c r="FI190" s="21">
        <f t="shared" si="260"/>
        <v>32</v>
      </c>
      <c r="FJ190" s="21"/>
      <c r="FK190" s="21" t="s">
        <v>813</v>
      </c>
      <c r="FL190" s="21">
        <f t="shared" si="261"/>
        <v>0</v>
      </c>
      <c r="FM190" s="21">
        <f t="shared" si="261"/>
        <v>0</v>
      </c>
      <c r="FN190" s="21">
        <f t="shared" si="261"/>
        <v>0</v>
      </c>
      <c r="FO190" s="21">
        <f t="shared" si="261"/>
        <v>0</v>
      </c>
      <c r="FP190" s="21">
        <f t="shared" si="261"/>
        <v>4</v>
      </c>
      <c r="FQ190" s="21">
        <f t="shared" si="261"/>
        <v>0</v>
      </c>
      <c r="FR190" s="21">
        <f t="shared" si="261"/>
        <v>12</v>
      </c>
      <c r="FS190" s="21">
        <f t="shared" si="261"/>
        <v>8</v>
      </c>
      <c r="FT190" s="21">
        <f t="shared" si="261"/>
        <v>4</v>
      </c>
      <c r="FU190" s="21">
        <f t="shared" si="261"/>
        <v>16</v>
      </c>
      <c r="FV190" s="21">
        <f t="shared" si="261"/>
        <v>12</v>
      </c>
      <c r="FW190" s="21">
        <f t="shared" si="261"/>
        <v>8</v>
      </c>
      <c r="FX190" s="21">
        <f t="shared" si="261"/>
        <v>20</v>
      </c>
      <c r="FY190" s="21">
        <f t="shared" si="261"/>
        <v>16</v>
      </c>
      <c r="FZ190" s="21">
        <f t="shared" si="261"/>
        <v>12</v>
      </c>
      <c r="GA190" s="21">
        <f t="shared" si="261"/>
        <v>24</v>
      </c>
      <c r="GB190" s="21">
        <f t="shared" si="261"/>
        <v>20</v>
      </c>
      <c r="GC190" s="21">
        <f t="shared" si="261"/>
        <v>16</v>
      </c>
      <c r="GD190" s="21">
        <f t="shared" si="261"/>
        <v>28</v>
      </c>
      <c r="GE190" s="21">
        <f t="shared" si="261"/>
        <v>24</v>
      </c>
      <c r="GF190" s="21">
        <f t="shared" si="261"/>
        <v>20</v>
      </c>
      <c r="GG190" s="21">
        <f t="shared" si="261"/>
        <v>32</v>
      </c>
      <c r="GH190" s="21">
        <f t="shared" si="261"/>
        <v>28</v>
      </c>
      <c r="GI190" s="21">
        <f t="shared" si="261"/>
        <v>24</v>
      </c>
      <c r="GJ190" s="21"/>
      <c r="GK190" s="21"/>
      <c r="GL190" s="21"/>
      <c r="GM190" s="21"/>
      <c r="GN190" s="21"/>
      <c r="GO190" s="21"/>
      <c r="GP190" s="21"/>
      <c r="GQ190" s="21"/>
      <c r="GR190" s="21" t="s">
        <v>813</v>
      </c>
      <c r="GS190" s="21">
        <f t="shared" si="262"/>
        <v>0</v>
      </c>
      <c r="GT190" s="21">
        <f t="shared" si="262"/>
        <v>0</v>
      </c>
      <c r="GU190" s="21">
        <f t="shared" si="262"/>
        <v>0</v>
      </c>
      <c r="GV190" s="21">
        <f t="shared" si="262"/>
        <v>0</v>
      </c>
      <c r="GW190" s="21">
        <f t="shared" si="262"/>
        <v>4</v>
      </c>
      <c r="GX190" s="21">
        <f t="shared" si="262"/>
        <v>0</v>
      </c>
      <c r="GY190" s="21">
        <f t="shared" si="262"/>
        <v>12</v>
      </c>
      <c r="GZ190" s="21">
        <f t="shared" si="262"/>
        <v>4</v>
      </c>
      <c r="HA190" s="21">
        <f t="shared" si="262"/>
        <v>0</v>
      </c>
      <c r="HB190" s="21">
        <f t="shared" si="262"/>
        <v>12</v>
      </c>
      <c r="HC190" s="21">
        <f t="shared" si="262"/>
        <v>8</v>
      </c>
      <c r="HD190" s="21">
        <f t="shared" si="262"/>
        <v>4</v>
      </c>
      <c r="HE190" s="21">
        <f t="shared" si="262"/>
        <v>0</v>
      </c>
      <c r="HF190" s="21">
        <f t="shared" si="262"/>
        <v>12</v>
      </c>
      <c r="HG190" s="21">
        <f t="shared" si="262"/>
        <v>8</v>
      </c>
      <c r="HH190" s="21">
        <f t="shared" si="262"/>
        <v>4</v>
      </c>
      <c r="HI190" s="21">
        <f t="shared" si="262"/>
        <v>12</v>
      </c>
      <c r="HJ190" s="21">
        <f t="shared" si="262"/>
        <v>8</v>
      </c>
      <c r="HK190" s="21">
        <f t="shared" si="262"/>
        <v>4</v>
      </c>
      <c r="HL190" s="21">
        <f t="shared" si="262"/>
        <v>0</v>
      </c>
      <c r="HM190" s="21">
        <f t="shared" si="262"/>
        <v>12</v>
      </c>
      <c r="HN190" s="21">
        <f t="shared" si="262"/>
        <v>8</v>
      </c>
      <c r="HO190" s="21">
        <f t="shared" si="262"/>
        <v>4</v>
      </c>
      <c r="HP190" s="21">
        <f t="shared" si="262"/>
        <v>0</v>
      </c>
      <c r="HS190" s="21" t="s">
        <v>813</v>
      </c>
      <c r="HT190" s="21">
        <f t="shared" si="263"/>
        <v>0</v>
      </c>
      <c r="HU190" s="21">
        <f t="shared" si="263"/>
        <v>0</v>
      </c>
      <c r="HV190" s="21">
        <f t="shared" si="263"/>
        <v>0</v>
      </c>
      <c r="HW190" s="21">
        <f t="shared" si="263"/>
        <v>4</v>
      </c>
      <c r="HX190" s="21">
        <f t="shared" si="263"/>
        <v>0</v>
      </c>
      <c r="HY190" s="21">
        <f t="shared" si="263"/>
        <v>12</v>
      </c>
      <c r="HZ190" s="21">
        <f t="shared" si="263"/>
        <v>8</v>
      </c>
      <c r="IA190" s="21">
        <f t="shared" si="263"/>
        <v>4</v>
      </c>
      <c r="IB190" s="21">
        <f t="shared" si="263"/>
        <v>12</v>
      </c>
      <c r="IC190" s="21">
        <f t="shared" si="263"/>
        <v>8</v>
      </c>
      <c r="ID190" s="21">
        <f t="shared" si="263"/>
        <v>4</v>
      </c>
      <c r="IE190" s="21">
        <f t="shared" si="263"/>
        <v>0</v>
      </c>
      <c r="IF190" s="21">
        <f t="shared" si="263"/>
        <v>12</v>
      </c>
      <c r="IG190" s="21">
        <f t="shared" si="263"/>
        <v>4</v>
      </c>
      <c r="IH190" s="21">
        <f t="shared" si="263"/>
        <v>0</v>
      </c>
      <c r="II190" s="21">
        <f t="shared" si="263"/>
        <v>12</v>
      </c>
      <c r="IJ190" s="21">
        <f t="shared" si="263"/>
        <v>8</v>
      </c>
      <c r="IK190" s="21">
        <f t="shared" si="263"/>
        <v>4</v>
      </c>
      <c r="IL190" s="21">
        <f t="shared" si="263"/>
        <v>12</v>
      </c>
      <c r="IM190" s="21">
        <f t="shared" si="263"/>
        <v>8</v>
      </c>
      <c r="IN190" s="21">
        <f t="shared" si="263"/>
        <v>4</v>
      </c>
      <c r="IO190" s="21">
        <f t="shared" si="263"/>
        <v>0</v>
      </c>
      <c r="IP190" s="21">
        <f t="shared" si="263"/>
        <v>12</v>
      </c>
      <c r="IQ190" s="21">
        <f t="shared" si="263"/>
        <v>4</v>
      </c>
      <c r="IT190" s="198"/>
    </row>
    <row r="191" spans="1:254" ht="51.75" hidden="1" x14ac:dyDescent="0.25">
      <c r="A191" s="3" t="s">
        <v>443</v>
      </c>
      <c r="B191" s="3"/>
      <c r="C191" s="3" t="s">
        <v>444</v>
      </c>
      <c r="D191" s="9"/>
      <c r="E191" s="9"/>
      <c r="F191" s="9"/>
      <c r="G191" s="9"/>
      <c r="H191" s="9"/>
      <c r="I191" s="9"/>
      <c r="J191" s="9"/>
      <c r="K191" s="9"/>
      <c r="L191" s="360" t="str">
        <f>IF(E195="wbijana","KONSTRUKCJA W-H3G1-25°/30°",IF(E195="betonowana","KONSTRUKCJA W-H3B1-25°/30°",IF(E195="kotwiona","KONSTRUKCJA W-H3K1-25°/30°",IF(E195="wkręcana","KONSTRUKCJA W-H3S1-25°/30°"))))</f>
        <v>KONSTRUKCJA W-H3G1-25°/30°</v>
      </c>
      <c r="M191" s="360"/>
      <c r="N191" s="360"/>
      <c r="O191" s="360"/>
      <c r="P191" s="360"/>
      <c r="Q191" s="360"/>
      <c r="R191" s="360"/>
      <c r="S191" s="360"/>
      <c r="T191" s="360"/>
      <c r="U191" s="360"/>
      <c r="V191" s="21"/>
      <c r="W191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201,$EL$166:$EX$166,0),MATCH($E$193,$AE$33:$AE$46,0)))*C201</f>
        <v>0</v>
      </c>
      <c r="X191" s="21">
        <v>0</v>
      </c>
      <c r="Y191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201,$EL$166:$EX$166,0),MATCH($E$193,$AE$33:$AE$46,0)))*C201</f>
        <v>0</v>
      </c>
      <c r="Z191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201,$EL$166:$EX$166,0),MATCH($E$193,$AE$33:$AE$46,0)))*C201</f>
        <v>0</v>
      </c>
      <c r="AA191" s="21">
        <f t="shared" si="247"/>
        <v>0</v>
      </c>
      <c r="AB191" s="21">
        <f t="shared" si="248"/>
        <v>0</v>
      </c>
      <c r="AC191" s="21"/>
      <c r="AD191" s="21"/>
      <c r="AE191" s="21"/>
      <c r="AF191" s="21"/>
      <c r="AG191" s="21"/>
      <c r="AH191" s="21"/>
      <c r="AI191" s="21"/>
      <c r="AJ191" s="21"/>
      <c r="AK191" s="21" t="s">
        <v>152</v>
      </c>
      <c r="AL191" s="21" t="s">
        <v>153</v>
      </c>
      <c r="AM191" s="21"/>
      <c r="AN191" s="21"/>
      <c r="AO191" s="21"/>
      <c r="AP191" s="21"/>
      <c r="AQ191" s="21"/>
      <c r="AR191" s="25" t="s">
        <v>480</v>
      </c>
      <c r="AS191" s="25" t="s">
        <v>594</v>
      </c>
      <c r="AT191" s="25" t="s">
        <v>596</v>
      </c>
      <c r="AU191" s="21" t="s">
        <v>594</v>
      </c>
      <c r="AV191" s="21" t="s">
        <v>594</v>
      </c>
      <c r="AW191" s="21"/>
      <c r="AX191" s="21"/>
      <c r="AY191" s="21"/>
      <c r="AZ191" s="21"/>
      <c r="BA191" s="21"/>
      <c r="BB191" s="180" t="s">
        <v>480</v>
      </c>
      <c r="BC191" s="180" t="s">
        <v>592</v>
      </c>
      <c r="BD191" s="180" t="s">
        <v>151</v>
      </c>
      <c r="BE191" s="180" t="s">
        <v>151</v>
      </c>
      <c r="BF191" s="180" t="s">
        <v>151</v>
      </c>
      <c r="BH191" s="196" t="s">
        <v>523</v>
      </c>
      <c r="BI191" s="21">
        <v>0</v>
      </c>
      <c r="BJ191" s="21">
        <v>0</v>
      </c>
      <c r="BK191" s="21">
        <v>10</v>
      </c>
      <c r="BL191" s="21">
        <v>5</v>
      </c>
      <c r="BM191" s="21">
        <v>0</v>
      </c>
      <c r="BN191" s="21">
        <v>10</v>
      </c>
      <c r="BO191" s="21">
        <v>5</v>
      </c>
      <c r="BP191" s="21">
        <v>15</v>
      </c>
      <c r="BQ191" s="21">
        <v>5</v>
      </c>
      <c r="BR191" s="21">
        <v>20</v>
      </c>
      <c r="BS191" s="21">
        <v>10</v>
      </c>
      <c r="BT191" s="21">
        <v>5</v>
      </c>
      <c r="BU191" s="21">
        <v>35</v>
      </c>
      <c r="BV191" s="21"/>
      <c r="BW191" s="21" t="s">
        <v>523</v>
      </c>
      <c r="BX191" s="21">
        <v>0</v>
      </c>
      <c r="BY191" s="21">
        <v>0</v>
      </c>
      <c r="BZ191" s="21">
        <v>10</v>
      </c>
      <c r="CA191" s="21">
        <v>5</v>
      </c>
      <c r="CB191" s="21">
        <v>15</v>
      </c>
      <c r="CC191" s="21">
        <v>5</v>
      </c>
      <c r="CD191" s="21">
        <v>0</v>
      </c>
      <c r="CE191" s="21">
        <v>10</v>
      </c>
      <c r="CF191" s="21">
        <v>0</v>
      </c>
      <c r="CG191" s="21">
        <v>15</v>
      </c>
      <c r="CH191" s="21">
        <v>5</v>
      </c>
      <c r="CI191" s="21">
        <v>35</v>
      </c>
      <c r="CJ191" s="21">
        <v>5</v>
      </c>
      <c r="CK191" s="21"/>
      <c r="CL191" s="21"/>
      <c r="CM191" s="21"/>
      <c r="CN191" s="21" t="s">
        <v>523</v>
      </c>
      <c r="CO191" s="21">
        <f>CO29/5*4</f>
        <v>0</v>
      </c>
      <c r="CP191" s="21">
        <v>0</v>
      </c>
      <c r="CQ191" s="21">
        <v>10</v>
      </c>
      <c r="CR191" s="21">
        <v>0</v>
      </c>
      <c r="CS191" s="21">
        <v>10</v>
      </c>
      <c r="CT191" s="21">
        <v>5</v>
      </c>
      <c r="CU191" s="21">
        <v>15</v>
      </c>
      <c r="CV191" s="21">
        <v>5</v>
      </c>
      <c r="CW191" s="21">
        <v>15</v>
      </c>
      <c r="CX191" s="21">
        <v>5</v>
      </c>
      <c r="CY191" s="21">
        <v>35</v>
      </c>
      <c r="CZ191" s="21">
        <v>5</v>
      </c>
      <c r="DA191" s="21">
        <v>0</v>
      </c>
      <c r="DB191" s="21"/>
      <c r="DC191" s="21" t="s">
        <v>523</v>
      </c>
      <c r="DD191" s="21">
        <v>0</v>
      </c>
      <c r="DE191" s="21">
        <v>0</v>
      </c>
      <c r="DF191" s="21">
        <v>10</v>
      </c>
      <c r="DG191" s="21">
        <v>0</v>
      </c>
      <c r="DH191" s="21">
        <v>10</v>
      </c>
      <c r="DI191" s="21">
        <v>0</v>
      </c>
      <c r="DJ191" s="21">
        <v>10</v>
      </c>
      <c r="DK191" s="21">
        <v>0</v>
      </c>
      <c r="DL191" s="21">
        <v>30</v>
      </c>
      <c r="DM191" s="21">
        <v>0</v>
      </c>
      <c r="DN191" s="21">
        <v>30</v>
      </c>
      <c r="DO191" s="21">
        <v>0</v>
      </c>
      <c r="DP191" s="21">
        <v>30</v>
      </c>
      <c r="DQ191" s="87"/>
      <c r="DR191" s="87">
        <v>33</v>
      </c>
      <c r="DS191" s="87"/>
      <c r="DT191" s="21" t="s">
        <v>523</v>
      </c>
      <c r="DU191" s="21">
        <v>0</v>
      </c>
      <c r="DV191" s="21">
        <v>10</v>
      </c>
      <c r="DW191" s="21">
        <v>5</v>
      </c>
      <c r="DX191" s="21">
        <v>15</v>
      </c>
      <c r="DY191" s="21">
        <v>5</v>
      </c>
      <c r="DZ191" s="21">
        <v>15</v>
      </c>
      <c r="EA191" s="21">
        <v>5</v>
      </c>
      <c r="EB191" s="21">
        <v>15</v>
      </c>
      <c r="EC191" s="21">
        <v>5</v>
      </c>
      <c r="ED191" s="21">
        <v>10</v>
      </c>
      <c r="EE191" s="21">
        <v>0</v>
      </c>
      <c r="EF191" s="21">
        <v>10</v>
      </c>
      <c r="EG191" s="21">
        <v>0</v>
      </c>
      <c r="EH191" s="197"/>
      <c r="EI191" s="21"/>
      <c r="EJ191" s="196"/>
      <c r="EK191" s="20" t="s">
        <v>819</v>
      </c>
      <c r="EL191" s="21">
        <f t="shared" ref="EL191:FI191" si="264">EL88</f>
        <v>0</v>
      </c>
      <c r="EM191" s="21">
        <f t="shared" si="264"/>
        <v>0</v>
      </c>
      <c r="EN191" s="21">
        <f t="shared" si="264"/>
        <v>0</v>
      </c>
      <c r="EO191" s="21">
        <f t="shared" si="264"/>
        <v>0</v>
      </c>
      <c r="EP191" s="21">
        <f t="shared" si="264"/>
        <v>4</v>
      </c>
      <c r="EQ191" s="21">
        <f t="shared" si="264"/>
        <v>4</v>
      </c>
      <c r="ER191" s="21">
        <f t="shared" si="264"/>
        <v>4</v>
      </c>
      <c r="ES191" s="21">
        <f t="shared" si="264"/>
        <v>8</v>
      </c>
      <c r="ET191" s="21">
        <f t="shared" si="264"/>
        <v>8</v>
      </c>
      <c r="EU191" s="21">
        <f t="shared" si="264"/>
        <v>8</v>
      </c>
      <c r="EV191" s="21">
        <f t="shared" si="264"/>
        <v>12</v>
      </c>
      <c r="EW191" s="21">
        <f t="shared" si="264"/>
        <v>12</v>
      </c>
      <c r="EX191" s="21">
        <f t="shared" si="264"/>
        <v>12</v>
      </c>
      <c r="EY191" s="21">
        <f t="shared" si="264"/>
        <v>12</v>
      </c>
      <c r="EZ191" s="21">
        <f t="shared" si="264"/>
        <v>16</v>
      </c>
      <c r="FA191" s="21">
        <f t="shared" si="264"/>
        <v>16</v>
      </c>
      <c r="FB191" s="21">
        <f t="shared" si="264"/>
        <v>16</v>
      </c>
      <c r="FC191" s="21">
        <f t="shared" si="264"/>
        <v>20</v>
      </c>
      <c r="FD191" s="21">
        <f t="shared" si="264"/>
        <v>20</v>
      </c>
      <c r="FE191" s="21">
        <f t="shared" si="264"/>
        <v>20</v>
      </c>
      <c r="FF191" s="21">
        <f t="shared" si="264"/>
        <v>24</v>
      </c>
      <c r="FG191" s="21">
        <f t="shared" si="264"/>
        <v>24</v>
      </c>
      <c r="FH191" s="21">
        <f t="shared" si="264"/>
        <v>24</v>
      </c>
      <c r="FI191" s="21">
        <f t="shared" si="264"/>
        <v>28</v>
      </c>
      <c r="FJ191" s="21"/>
      <c r="FK191" s="20" t="s">
        <v>819</v>
      </c>
      <c r="FL191" s="21">
        <f t="shared" ref="FL191:GI191" si="265">FL88</f>
        <v>0</v>
      </c>
      <c r="FM191" s="21">
        <f t="shared" si="265"/>
        <v>0</v>
      </c>
      <c r="FN191" s="21">
        <f t="shared" si="265"/>
        <v>0</v>
      </c>
      <c r="FO191" s="21">
        <f t="shared" si="265"/>
        <v>0</v>
      </c>
      <c r="FP191" s="21">
        <f t="shared" si="265"/>
        <v>4</v>
      </c>
      <c r="FQ191" s="21">
        <f t="shared" si="265"/>
        <v>4</v>
      </c>
      <c r="FR191" s="21">
        <f t="shared" si="265"/>
        <v>8</v>
      </c>
      <c r="FS191" s="21">
        <f t="shared" si="265"/>
        <v>8</v>
      </c>
      <c r="FT191" s="21">
        <f t="shared" si="265"/>
        <v>8</v>
      </c>
      <c r="FU191" s="21">
        <f t="shared" si="265"/>
        <v>12</v>
      </c>
      <c r="FV191" s="21">
        <f t="shared" si="265"/>
        <v>12</v>
      </c>
      <c r="FW191" s="21">
        <f t="shared" si="265"/>
        <v>12</v>
      </c>
      <c r="FX191" s="21">
        <f t="shared" si="265"/>
        <v>16</v>
      </c>
      <c r="FY191" s="21">
        <f t="shared" si="265"/>
        <v>16</v>
      </c>
      <c r="FZ191" s="21">
        <f t="shared" si="265"/>
        <v>16</v>
      </c>
      <c r="GA191" s="21">
        <f t="shared" si="265"/>
        <v>20</v>
      </c>
      <c r="GB191" s="21">
        <f t="shared" si="265"/>
        <v>20</v>
      </c>
      <c r="GC191" s="21">
        <f t="shared" si="265"/>
        <v>20</v>
      </c>
      <c r="GD191" s="21">
        <f t="shared" si="265"/>
        <v>24</v>
      </c>
      <c r="GE191" s="21">
        <f t="shared" si="265"/>
        <v>24</v>
      </c>
      <c r="GF191" s="21">
        <f t="shared" si="265"/>
        <v>24</v>
      </c>
      <c r="GG191" s="21">
        <f t="shared" si="265"/>
        <v>28</v>
      </c>
      <c r="GH191" s="21">
        <f t="shared" si="265"/>
        <v>28</v>
      </c>
      <c r="GI191" s="21">
        <f t="shared" si="265"/>
        <v>28</v>
      </c>
      <c r="GJ191" s="21"/>
      <c r="GK191" s="21"/>
      <c r="GL191" s="21"/>
      <c r="GM191" s="21"/>
      <c r="GN191" s="21"/>
      <c r="GO191" s="21"/>
      <c r="GP191" s="21"/>
      <c r="GQ191" s="21"/>
      <c r="GR191" s="20" t="s">
        <v>819</v>
      </c>
      <c r="GS191" s="21">
        <f t="shared" ref="GS191:HP191" si="266">GS88</f>
        <v>0</v>
      </c>
      <c r="GT191" s="21">
        <f t="shared" si="266"/>
        <v>0</v>
      </c>
      <c r="GU191" s="21">
        <f t="shared" si="266"/>
        <v>0</v>
      </c>
      <c r="GV191" s="21">
        <f t="shared" si="266"/>
        <v>0</v>
      </c>
      <c r="GW191" s="21">
        <f t="shared" si="266"/>
        <v>4</v>
      </c>
      <c r="GX191" s="21">
        <f t="shared" si="266"/>
        <v>4</v>
      </c>
      <c r="GY191" s="21">
        <f t="shared" si="266"/>
        <v>8</v>
      </c>
      <c r="GZ191" s="21">
        <f t="shared" si="266"/>
        <v>8</v>
      </c>
      <c r="HA191" s="21">
        <f t="shared" si="266"/>
        <v>8</v>
      </c>
      <c r="HB191" s="21">
        <f t="shared" si="266"/>
        <v>12</v>
      </c>
      <c r="HC191" s="21">
        <f t="shared" si="266"/>
        <v>12</v>
      </c>
      <c r="HD191" s="21">
        <f t="shared" si="266"/>
        <v>12</v>
      </c>
      <c r="HE191" s="21">
        <f t="shared" si="266"/>
        <v>12</v>
      </c>
      <c r="HF191" s="21">
        <f t="shared" si="266"/>
        <v>16</v>
      </c>
      <c r="HG191" s="21">
        <f t="shared" si="266"/>
        <v>16</v>
      </c>
      <c r="HH191" s="21">
        <f t="shared" si="266"/>
        <v>16</v>
      </c>
      <c r="HI191" s="21">
        <f t="shared" si="266"/>
        <v>20</v>
      </c>
      <c r="HJ191" s="21">
        <f t="shared" si="266"/>
        <v>20</v>
      </c>
      <c r="HK191" s="21">
        <f t="shared" si="266"/>
        <v>20</v>
      </c>
      <c r="HL191" s="21">
        <f t="shared" si="266"/>
        <v>20</v>
      </c>
      <c r="HM191" s="21">
        <f t="shared" si="266"/>
        <v>24</v>
      </c>
      <c r="HN191" s="21">
        <f t="shared" si="266"/>
        <v>24</v>
      </c>
      <c r="HO191" s="21">
        <f t="shared" si="266"/>
        <v>24</v>
      </c>
      <c r="HP191" s="21">
        <f t="shared" si="266"/>
        <v>24</v>
      </c>
      <c r="HS191" s="20" t="s">
        <v>819</v>
      </c>
      <c r="HT191" s="21">
        <f t="shared" ref="HT191:IQ191" si="267">HT88</f>
        <v>0</v>
      </c>
      <c r="HU191" s="21">
        <f t="shared" si="267"/>
        <v>0</v>
      </c>
      <c r="HV191" s="21">
        <f t="shared" si="267"/>
        <v>0</v>
      </c>
      <c r="HW191" s="21">
        <f t="shared" si="267"/>
        <v>4</v>
      </c>
      <c r="HX191" s="21">
        <f t="shared" si="267"/>
        <v>4</v>
      </c>
      <c r="HY191" s="21">
        <f t="shared" si="267"/>
        <v>8</v>
      </c>
      <c r="HZ191" s="21">
        <f t="shared" si="267"/>
        <v>8</v>
      </c>
      <c r="IA191" s="21">
        <f t="shared" si="267"/>
        <v>8</v>
      </c>
      <c r="IB191" s="21">
        <f t="shared" si="267"/>
        <v>12</v>
      </c>
      <c r="IC191" s="21">
        <f t="shared" si="267"/>
        <v>12</v>
      </c>
      <c r="ID191" s="21">
        <f t="shared" si="267"/>
        <v>12</v>
      </c>
      <c r="IE191" s="21">
        <f t="shared" si="267"/>
        <v>12</v>
      </c>
      <c r="IF191" s="21">
        <f t="shared" si="267"/>
        <v>16</v>
      </c>
      <c r="IG191" s="21">
        <f t="shared" si="267"/>
        <v>16</v>
      </c>
      <c r="IH191" s="21">
        <f t="shared" si="267"/>
        <v>16</v>
      </c>
      <c r="II191" s="21">
        <f t="shared" si="267"/>
        <v>20</v>
      </c>
      <c r="IJ191" s="21">
        <f t="shared" si="267"/>
        <v>20</v>
      </c>
      <c r="IK191" s="21">
        <f t="shared" si="267"/>
        <v>20</v>
      </c>
      <c r="IL191" s="21">
        <f t="shared" si="267"/>
        <v>24</v>
      </c>
      <c r="IM191" s="21">
        <f t="shared" si="267"/>
        <v>24</v>
      </c>
      <c r="IN191" s="21">
        <f t="shared" si="267"/>
        <v>24</v>
      </c>
      <c r="IO191" s="21">
        <f t="shared" si="267"/>
        <v>24</v>
      </c>
      <c r="IP191" s="21">
        <f t="shared" si="267"/>
        <v>28</v>
      </c>
      <c r="IQ191" s="21">
        <f t="shared" si="267"/>
        <v>28</v>
      </c>
      <c r="IT191" s="198"/>
    </row>
    <row r="192" spans="1:254" hidden="1" x14ac:dyDescent="0.25">
      <c r="A192" s="33"/>
      <c r="B192" s="5" t="s">
        <v>116</v>
      </c>
      <c r="C192" s="33"/>
      <c r="D192" s="9"/>
      <c r="E192" s="1"/>
      <c r="F192" s="9"/>
      <c r="G192" s="9"/>
      <c r="H192" s="9"/>
      <c r="I192" s="9"/>
      <c r="J192" s="9"/>
      <c r="K192" s="9"/>
      <c r="L192" s="5" t="s">
        <v>103</v>
      </c>
      <c r="M192" s="5" t="s">
        <v>104</v>
      </c>
      <c r="N192" s="5" t="s">
        <v>107</v>
      </c>
      <c r="O192" s="5" t="s">
        <v>290</v>
      </c>
      <c r="P192" s="5" t="s">
        <v>446</v>
      </c>
      <c r="Q192" s="5" t="s">
        <v>448</v>
      </c>
      <c r="R192" s="5" t="s">
        <v>409</v>
      </c>
      <c r="S192" s="5" t="s">
        <v>447</v>
      </c>
      <c r="T192" s="5" t="s">
        <v>449</v>
      </c>
      <c r="U192" s="5" t="s">
        <v>106</v>
      </c>
      <c r="V192" s="21"/>
      <c r="W192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202,$EL$166:$EX$166,0),MATCH($E$193,$AE$33:$AE$46,0)))*C202</f>
        <v>0</v>
      </c>
      <c r="X192" s="21">
        <v>0</v>
      </c>
      <c r="Y192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202,$EL$166:$EX$166,0),MATCH($E$193,$AE$33:$AE$46,0)))*C202</f>
        <v>0</v>
      </c>
      <c r="Z192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202,$EL$166:$EX$166,0),MATCH($E$193,$AE$33:$AE$46,0)))*C202</f>
        <v>0</v>
      </c>
      <c r="AA192" s="21">
        <f t="shared" si="247"/>
        <v>0</v>
      </c>
      <c r="AB192" s="21">
        <f t="shared" si="248"/>
        <v>0</v>
      </c>
      <c r="AC192" s="21"/>
      <c r="AD192" s="21"/>
      <c r="AE192" s="21"/>
      <c r="AF192" s="21"/>
      <c r="AG192" s="21"/>
      <c r="AH192" s="21"/>
      <c r="AI192" s="21"/>
      <c r="AJ192" s="21"/>
      <c r="AK192" s="21">
        <v>52</v>
      </c>
      <c r="AL192" s="21">
        <v>2300</v>
      </c>
      <c r="AM192" s="21"/>
      <c r="AN192" s="21"/>
      <c r="AO192" s="21"/>
      <c r="AP192" s="21"/>
      <c r="AQ192" s="21"/>
      <c r="AR192" s="25" t="s">
        <v>713</v>
      </c>
      <c r="AS192" s="25" t="s">
        <v>594</v>
      </c>
      <c r="AT192" s="25" t="s">
        <v>596</v>
      </c>
      <c r="AU192" s="21" t="s">
        <v>594</v>
      </c>
      <c r="AV192" s="21" t="s">
        <v>594</v>
      </c>
      <c r="AW192" s="21"/>
      <c r="AX192" s="21"/>
      <c r="AY192" s="21"/>
      <c r="AZ192" s="21"/>
      <c r="BA192" s="21"/>
      <c r="BB192" s="180" t="s">
        <v>713</v>
      </c>
      <c r="BC192" s="180" t="s">
        <v>592</v>
      </c>
      <c r="BD192" s="180" t="s">
        <v>151</v>
      </c>
      <c r="BE192" s="180" t="s">
        <v>151</v>
      </c>
      <c r="BF192" s="180" t="s">
        <v>151</v>
      </c>
      <c r="BH192" s="20" t="s">
        <v>779</v>
      </c>
      <c r="BI192" s="21">
        <v>0</v>
      </c>
      <c r="BJ192" s="21">
        <v>8</v>
      </c>
      <c r="BK192" s="21">
        <v>12</v>
      </c>
      <c r="BL192" s="21">
        <v>16</v>
      </c>
      <c r="BM192" s="21">
        <v>20</v>
      </c>
      <c r="BN192" s="21">
        <v>24</v>
      </c>
      <c r="BO192" s="21">
        <v>28</v>
      </c>
      <c r="BP192" s="21">
        <v>32</v>
      </c>
      <c r="BQ192" s="21">
        <v>36</v>
      </c>
      <c r="BR192" s="21">
        <v>40</v>
      </c>
      <c r="BS192" s="21">
        <v>44</v>
      </c>
      <c r="BT192" s="21">
        <v>48</v>
      </c>
      <c r="BU192" s="21">
        <v>52</v>
      </c>
      <c r="BV192" s="21"/>
      <c r="BW192" s="20" t="s">
        <v>779</v>
      </c>
      <c r="BX192" s="21">
        <v>0</v>
      </c>
      <c r="BY192" s="21">
        <v>8</v>
      </c>
      <c r="BZ192" s="21">
        <v>12</v>
      </c>
      <c r="CA192" s="21">
        <v>16</v>
      </c>
      <c r="CB192" s="21">
        <v>20</v>
      </c>
      <c r="CC192" s="21">
        <v>24</v>
      </c>
      <c r="CD192" s="21">
        <v>28</v>
      </c>
      <c r="CE192" s="21">
        <v>32</v>
      </c>
      <c r="CF192" s="21">
        <v>36</v>
      </c>
      <c r="CG192" s="21">
        <v>40</v>
      </c>
      <c r="CH192" s="21">
        <v>44</v>
      </c>
      <c r="CI192" s="21">
        <v>48</v>
      </c>
      <c r="CJ192" s="21">
        <v>52</v>
      </c>
      <c r="CK192" s="21"/>
      <c r="CL192" s="21"/>
      <c r="CM192" s="21"/>
      <c r="CN192" s="20" t="s">
        <v>779</v>
      </c>
      <c r="CO192" s="21">
        <f t="shared" ref="CO192:DA192" si="268">IF(SUM(CO190:CO191)&lt;6,0,IF(SUM(CO190:CO191)&gt;7,SUM(CO190:CO191)-5,0))</f>
        <v>0</v>
      </c>
      <c r="CP192" s="21">
        <f t="shared" si="268"/>
        <v>0</v>
      </c>
      <c r="CQ192" s="21">
        <f t="shared" si="268"/>
        <v>5</v>
      </c>
      <c r="CR192" s="21">
        <f t="shared" si="268"/>
        <v>5</v>
      </c>
      <c r="CS192" s="21">
        <f t="shared" si="268"/>
        <v>10</v>
      </c>
      <c r="CT192" s="21">
        <f t="shared" si="268"/>
        <v>10</v>
      </c>
      <c r="CU192" s="21">
        <f t="shared" si="268"/>
        <v>15</v>
      </c>
      <c r="CV192" s="21">
        <f t="shared" si="268"/>
        <v>15</v>
      </c>
      <c r="CW192" s="21">
        <f t="shared" si="268"/>
        <v>20</v>
      </c>
      <c r="CX192" s="21">
        <f t="shared" si="268"/>
        <v>20</v>
      </c>
      <c r="CY192" s="21">
        <f t="shared" si="268"/>
        <v>30</v>
      </c>
      <c r="CZ192" s="21">
        <f t="shared" si="268"/>
        <v>25</v>
      </c>
      <c r="DA192" s="21">
        <f t="shared" si="268"/>
        <v>25</v>
      </c>
      <c r="DB192" s="21"/>
      <c r="DC192" s="20" t="s">
        <v>779</v>
      </c>
      <c r="DD192" s="21">
        <f t="shared" ref="DD192:DP192" si="269">IF(SUM(DD190:DD191)&lt;6,0,IF(SUM(DD190:DD191)&gt;7,SUM(DD190:DD191)-5,0))</f>
        <v>0</v>
      </c>
      <c r="DE192" s="21">
        <f t="shared" si="269"/>
        <v>0</v>
      </c>
      <c r="DF192" s="21">
        <f t="shared" si="269"/>
        <v>5</v>
      </c>
      <c r="DG192" s="21">
        <f t="shared" si="269"/>
        <v>5</v>
      </c>
      <c r="DH192" s="21">
        <f t="shared" si="269"/>
        <v>10</v>
      </c>
      <c r="DI192" s="21">
        <f t="shared" si="269"/>
        <v>10</v>
      </c>
      <c r="DJ192" s="21">
        <f t="shared" si="269"/>
        <v>15</v>
      </c>
      <c r="DK192" s="21">
        <f t="shared" si="269"/>
        <v>15</v>
      </c>
      <c r="DL192" s="21">
        <f t="shared" si="269"/>
        <v>25</v>
      </c>
      <c r="DM192" s="21">
        <f t="shared" si="269"/>
        <v>20</v>
      </c>
      <c r="DN192" s="21">
        <f t="shared" si="269"/>
        <v>30</v>
      </c>
      <c r="DO192" s="21">
        <f t="shared" si="269"/>
        <v>25</v>
      </c>
      <c r="DP192" s="21">
        <f t="shared" si="269"/>
        <v>35</v>
      </c>
      <c r="DQ192" s="87"/>
      <c r="DR192" s="87">
        <v>36</v>
      </c>
      <c r="DS192" s="87"/>
      <c r="DT192" s="20" t="s">
        <v>779</v>
      </c>
      <c r="DU192" s="21">
        <f t="shared" ref="DU192:EG192" si="270">IF(SUM(DU190:DU191)&lt;6,0,IF(SUM(DU190:DU191)&gt;7,SUM(DU190:DU191)-5,0))</f>
        <v>0</v>
      </c>
      <c r="DV192" s="21">
        <f t="shared" si="270"/>
        <v>5</v>
      </c>
      <c r="DW192" s="21">
        <f t="shared" si="270"/>
        <v>5</v>
      </c>
      <c r="DX192" s="21">
        <f t="shared" si="270"/>
        <v>10</v>
      </c>
      <c r="DY192" s="21">
        <f t="shared" si="270"/>
        <v>10</v>
      </c>
      <c r="DZ192" s="21">
        <f t="shared" si="270"/>
        <v>15</v>
      </c>
      <c r="EA192" s="21">
        <f t="shared" si="270"/>
        <v>15</v>
      </c>
      <c r="EB192" s="21">
        <f t="shared" si="270"/>
        <v>20</v>
      </c>
      <c r="EC192" s="21">
        <f t="shared" si="270"/>
        <v>20</v>
      </c>
      <c r="ED192" s="21">
        <f t="shared" si="270"/>
        <v>25</v>
      </c>
      <c r="EE192" s="21">
        <f t="shared" si="270"/>
        <v>25</v>
      </c>
      <c r="EF192" s="21">
        <f t="shared" si="270"/>
        <v>30</v>
      </c>
      <c r="EG192" s="21">
        <f t="shared" si="270"/>
        <v>30</v>
      </c>
      <c r="EH192" s="197"/>
      <c r="EI192" s="21"/>
      <c r="EJ192" s="196"/>
      <c r="EK192" s="21" t="s">
        <v>700</v>
      </c>
      <c r="EL192" s="21">
        <f t="shared" ref="EL192:FI192" si="271">EL89</f>
        <v>0</v>
      </c>
      <c r="EM192" s="21">
        <f t="shared" si="271"/>
        <v>0</v>
      </c>
      <c r="EN192" s="21">
        <f t="shared" si="271"/>
        <v>0</v>
      </c>
      <c r="EO192" s="21">
        <f t="shared" si="271"/>
        <v>0</v>
      </c>
      <c r="EP192" s="21">
        <f t="shared" si="271"/>
        <v>4</v>
      </c>
      <c r="EQ192" s="21">
        <f t="shared" si="271"/>
        <v>4</v>
      </c>
      <c r="ER192" s="21">
        <f t="shared" si="271"/>
        <v>4</v>
      </c>
      <c r="ES192" s="21">
        <f t="shared" si="271"/>
        <v>8</v>
      </c>
      <c r="ET192" s="21">
        <f t="shared" si="271"/>
        <v>8</v>
      </c>
      <c r="EU192" s="21">
        <f t="shared" si="271"/>
        <v>8</v>
      </c>
      <c r="EV192" s="21">
        <f t="shared" si="271"/>
        <v>12</v>
      </c>
      <c r="EW192" s="21">
        <f t="shared" si="271"/>
        <v>12</v>
      </c>
      <c r="EX192" s="21">
        <f t="shared" si="271"/>
        <v>12</v>
      </c>
      <c r="EY192" s="21">
        <f t="shared" si="271"/>
        <v>12</v>
      </c>
      <c r="EZ192" s="21">
        <f t="shared" si="271"/>
        <v>16</v>
      </c>
      <c r="FA192" s="21">
        <f t="shared" si="271"/>
        <v>16</v>
      </c>
      <c r="FB192" s="21">
        <f t="shared" si="271"/>
        <v>16</v>
      </c>
      <c r="FC192" s="21">
        <f t="shared" si="271"/>
        <v>20</v>
      </c>
      <c r="FD192" s="21">
        <f t="shared" si="271"/>
        <v>20</v>
      </c>
      <c r="FE192" s="21">
        <f t="shared" si="271"/>
        <v>20</v>
      </c>
      <c r="FF192" s="21">
        <f t="shared" si="271"/>
        <v>24</v>
      </c>
      <c r="FG192" s="21">
        <f t="shared" si="271"/>
        <v>24</v>
      </c>
      <c r="FH192" s="21">
        <f t="shared" si="271"/>
        <v>24</v>
      </c>
      <c r="FI192" s="21">
        <f t="shared" si="271"/>
        <v>28</v>
      </c>
      <c r="FJ192" s="21"/>
      <c r="FK192" s="21" t="s">
        <v>700</v>
      </c>
      <c r="FL192" s="21">
        <f t="shared" ref="FL192:GI192" si="272">FL89</f>
        <v>0</v>
      </c>
      <c r="FM192" s="21">
        <f t="shared" si="272"/>
        <v>0</v>
      </c>
      <c r="FN192" s="21">
        <f t="shared" si="272"/>
        <v>0</v>
      </c>
      <c r="FO192" s="21">
        <f t="shared" si="272"/>
        <v>0</v>
      </c>
      <c r="FP192" s="21">
        <f t="shared" si="272"/>
        <v>4</v>
      </c>
      <c r="FQ192" s="21">
        <f t="shared" si="272"/>
        <v>4</v>
      </c>
      <c r="FR192" s="21">
        <f t="shared" si="272"/>
        <v>8</v>
      </c>
      <c r="FS192" s="21">
        <f t="shared" si="272"/>
        <v>8</v>
      </c>
      <c r="FT192" s="21">
        <f t="shared" si="272"/>
        <v>8</v>
      </c>
      <c r="FU192" s="21">
        <f t="shared" si="272"/>
        <v>12</v>
      </c>
      <c r="FV192" s="21">
        <f t="shared" si="272"/>
        <v>12</v>
      </c>
      <c r="FW192" s="21">
        <f t="shared" si="272"/>
        <v>12</v>
      </c>
      <c r="FX192" s="21">
        <f t="shared" si="272"/>
        <v>16</v>
      </c>
      <c r="FY192" s="21">
        <f t="shared" si="272"/>
        <v>16</v>
      </c>
      <c r="FZ192" s="21">
        <f t="shared" si="272"/>
        <v>16</v>
      </c>
      <c r="GA192" s="21">
        <f t="shared" si="272"/>
        <v>20</v>
      </c>
      <c r="GB192" s="21">
        <f t="shared" si="272"/>
        <v>20</v>
      </c>
      <c r="GC192" s="21">
        <f t="shared" si="272"/>
        <v>20</v>
      </c>
      <c r="GD192" s="21">
        <f t="shared" si="272"/>
        <v>24</v>
      </c>
      <c r="GE192" s="21">
        <f t="shared" si="272"/>
        <v>24</v>
      </c>
      <c r="GF192" s="21">
        <f t="shared" si="272"/>
        <v>24</v>
      </c>
      <c r="GG192" s="21">
        <f t="shared" si="272"/>
        <v>28</v>
      </c>
      <c r="GH192" s="21">
        <f t="shared" si="272"/>
        <v>28</v>
      </c>
      <c r="GI192" s="21">
        <f t="shared" si="272"/>
        <v>28</v>
      </c>
      <c r="GJ192" s="21"/>
      <c r="GK192" s="21"/>
      <c r="GL192" s="21"/>
      <c r="GM192" s="21"/>
      <c r="GN192" s="21"/>
      <c r="GO192" s="21"/>
      <c r="GP192" s="21"/>
      <c r="GQ192" s="21"/>
      <c r="GR192" s="21" t="s">
        <v>700</v>
      </c>
      <c r="GS192" s="21">
        <f t="shared" ref="GS192:HP192" si="273">GS89</f>
        <v>0</v>
      </c>
      <c r="GT192" s="21">
        <f t="shared" si="273"/>
        <v>0</v>
      </c>
      <c r="GU192" s="21">
        <f t="shared" si="273"/>
        <v>0</v>
      </c>
      <c r="GV192" s="21">
        <f t="shared" si="273"/>
        <v>0</v>
      </c>
      <c r="GW192" s="21">
        <f t="shared" si="273"/>
        <v>4</v>
      </c>
      <c r="GX192" s="21">
        <f t="shared" si="273"/>
        <v>4</v>
      </c>
      <c r="GY192" s="21">
        <f t="shared" si="273"/>
        <v>8</v>
      </c>
      <c r="GZ192" s="21">
        <f t="shared" si="273"/>
        <v>8</v>
      </c>
      <c r="HA192" s="21">
        <f t="shared" si="273"/>
        <v>8</v>
      </c>
      <c r="HB192" s="21">
        <f t="shared" si="273"/>
        <v>12</v>
      </c>
      <c r="HC192" s="21">
        <f t="shared" si="273"/>
        <v>12</v>
      </c>
      <c r="HD192" s="21">
        <f t="shared" si="273"/>
        <v>12</v>
      </c>
      <c r="HE192" s="21">
        <f t="shared" si="273"/>
        <v>12</v>
      </c>
      <c r="HF192" s="21">
        <f t="shared" si="273"/>
        <v>16</v>
      </c>
      <c r="HG192" s="21">
        <f t="shared" si="273"/>
        <v>16</v>
      </c>
      <c r="HH192" s="21">
        <f t="shared" si="273"/>
        <v>16</v>
      </c>
      <c r="HI192" s="21">
        <f t="shared" si="273"/>
        <v>20</v>
      </c>
      <c r="HJ192" s="21">
        <f t="shared" si="273"/>
        <v>20</v>
      </c>
      <c r="HK192" s="21">
        <f t="shared" si="273"/>
        <v>20</v>
      </c>
      <c r="HL192" s="21">
        <f t="shared" si="273"/>
        <v>20</v>
      </c>
      <c r="HM192" s="21">
        <f t="shared" si="273"/>
        <v>24</v>
      </c>
      <c r="HN192" s="21">
        <f t="shared" si="273"/>
        <v>24</v>
      </c>
      <c r="HO192" s="21">
        <f t="shared" si="273"/>
        <v>24</v>
      </c>
      <c r="HP192" s="21">
        <f t="shared" si="273"/>
        <v>24</v>
      </c>
      <c r="HS192" s="21" t="s">
        <v>700</v>
      </c>
      <c r="HT192" s="21">
        <f t="shared" ref="HT192:IQ192" si="274">HT89</f>
        <v>0</v>
      </c>
      <c r="HU192" s="21">
        <f t="shared" si="274"/>
        <v>0</v>
      </c>
      <c r="HV192" s="21">
        <f t="shared" si="274"/>
        <v>0</v>
      </c>
      <c r="HW192" s="21">
        <f t="shared" si="274"/>
        <v>4</v>
      </c>
      <c r="HX192" s="21">
        <f t="shared" si="274"/>
        <v>4</v>
      </c>
      <c r="HY192" s="21">
        <f t="shared" si="274"/>
        <v>8</v>
      </c>
      <c r="HZ192" s="21">
        <f t="shared" si="274"/>
        <v>8</v>
      </c>
      <c r="IA192" s="21">
        <f t="shared" si="274"/>
        <v>8</v>
      </c>
      <c r="IB192" s="21">
        <f t="shared" si="274"/>
        <v>12</v>
      </c>
      <c r="IC192" s="21">
        <f t="shared" si="274"/>
        <v>12</v>
      </c>
      <c r="ID192" s="21">
        <f t="shared" si="274"/>
        <v>12</v>
      </c>
      <c r="IE192" s="21">
        <f t="shared" si="274"/>
        <v>12</v>
      </c>
      <c r="IF192" s="21">
        <f t="shared" si="274"/>
        <v>16</v>
      </c>
      <c r="IG192" s="21">
        <f t="shared" si="274"/>
        <v>16</v>
      </c>
      <c r="IH192" s="21">
        <f t="shared" si="274"/>
        <v>16</v>
      </c>
      <c r="II192" s="21">
        <f t="shared" si="274"/>
        <v>20</v>
      </c>
      <c r="IJ192" s="21">
        <f t="shared" si="274"/>
        <v>20</v>
      </c>
      <c r="IK192" s="21">
        <f t="shared" si="274"/>
        <v>20</v>
      </c>
      <c r="IL192" s="21">
        <f t="shared" si="274"/>
        <v>24</v>
      </c>
      <c r="IM192" s="21">
        <f t="shared" si="274"/>
        <v>24</v>
      </c>
      <c r="IN192" s="21">
        <f t="shared" si="274"/>
        <v>24</v>
      </c>
      <c r="IO192" s="21">
        <f t="shared" si="274"/>
        <v>24</v>
      </c>
      <c r="IP192" s="21">
        <f t="shared" si="274"/>
        <v>28</v>
      </c>
      <c r="IQ192" s="21">
        <f t="shared" si="274"/>
        <v>28</v>
      </c>
      <c r="IT192" s="198"/>
    </row>
    <row r="193" spans="1:254" hidden="1" x14ac:dyDescent="0.25">
      <c r="A193" s="33"/>
      <c r="B193" s="5" t="s">
        <v>116</v>
      </c>
      <c r="C193" s="33"/>
      <c r="D193" s="6" t="s">
        <v>118</v>
      </c>
      <c r="E193" s="33" t="s">
        <v>479</v>
      </c>
      <c r="F193" s="5" t="s">
        <v>116</v>
      </c>
      <c r="G193" s="33" t="s">
        <v>114</v>
      </c>
      <c r="H193" s="5" t="s">
        <v>116</v>
      </c>
      <c r="I193" s="33">
        <v>35</v>
      </c>
      <c r="J193" s="5" t="s">
        <v>119</v>
      </c>
      <c r="K193" s="9"/>
      <c r="L193" s="7" t="str">
        <f>IF(E195=$AC$5,"-------",IF(E195=$AC$6,"-------",IF(E195=$AC$7,"-------",IF(E195=$AC$8,"GSW76X2200N",0))))</f>
        <v>-------</v>
      </c>
      <c r="M193" s="11" t="str">
        <f>INDEX(cennik!$C$2:$L$529,MATCH($L193,cennik!$B$2:$B$522,0),MATCH(M$2,cennik!$C$1:$L$1,0))</f>
        <v>-------</v>
      </c>
      <c r="N193" s="11">
        <f>INDEX(cennik!$C$2:$L$529,MATCH($L193,cennik!$B$2:$B$522,0),MATCH(N$2,cennik!$C$1:$L$1,0))</f>
        <v>0</v>
      </c>
      <c r="O193" s="11">
        <f>IF(L193="GSW76X2200N",SUM(O195),IF(L193="-------",0,0))</f>
        <v>0</v>
      </c>
      <c r="P193" s="34">
        <f>INDEX(cennik!$C$2:$L$529,MATCH($L193,cennik!$B$2:$B$522,0),MATCH(P$2,cennik!$C$1:$L$1,0))</f>
        <v>0</v>
      </c>
      <c r="Q193" s="34">
        <f>O193*P193</f>
        <v>0</v>
      </c>
      <c r="R193" s="35">
        <f>$E$167</f>
        <v>0</v>
      </c>
      <c r="S193" s="34">
        <f>P193*((100-$E$167)/100)</f>
        <v>0</v>
      </c>
      <c r="T193" s="34">
        <f>O193*S193</f>
        <v>0</v>
      </c>
      <c r="U193" s="34">
        <f>INDEX(cennik!$C$2:$L$529,MATCH($L193,cennik!$B$2:$B$522,0),MATCH(U$2,cennik!$C$1:$L$1,0))*O193</f>
        <v>0</v>
      </c>
      <c r="V193" s="21"/>
      <c r="W193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203,$EL$166:$EX$166,0),MATCH($E$193,$AE$33:$AE$46,0)))*C203</f>
        <v>0</v>
      </c>
      <c r="X193" s="21">
        <v>0</v>
      </c>
      <c r="Y193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203,$EL$166:$EX$166,0),MATCH($E$193,$AE$33:$AE$46,0)))*C203</f>
        <v>0</v>
      </c>
      <c r="Z193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203,$EL$166:$EX$166,0),MATCH($E$193,$AE$33:$AE$46,0)))*C203</f>
        <v>0</v>
      </c>
      <c r="AA193" s="21">
        <f t="shared" si="247"/>
        <v>0</v>
      </c>
      <c r="AB193" s="21">
        <f t="shared" si="248"/>
        <v>0</v>
      </c>
      <c r="AC193" s="21"/>
      <c r="AD193" s="21"/>
      <c r="AE193" s="21"/>
      <c r="AF193" s="21"/>
      <c r="AG193" s="21"/>
      <c r="AH193" s="21"/>
      <c r="AI193" s="21"/>
      <c r="AJ193" s="21"/>
      <c r="AK193" s="21">
        <f>((AK192/4)*AL192)+(((AK192/4)-1)*20)</f>
        <v>30140</v>
      </c>
      <c r="AL193" s="21" t="s">
        <v>158</v>
      </c>
      <c r="AM193" s="21" t="s">
        <v>156</v>
      </c>
      <c r="AN193" s="21" t="s">
        <v>155</v>
      </c>
      <c r="AO193" s="21"/>
      <c r="AP193" s="21" t="s">
        <v>157</v>
      </c>
      <c r="AQ193" s="21"/>
      <c r="AR193" s="21" t="s">
        <v>714</v>
      </c>
      <c r="AS193" s="25" t="s">
        <v>594</v>
      </c>
      <c r="AT193" s="25" t="s">
        <v>596</v>
      </c>
      <c r="AU193" s="21" t="s">
        <v>594</v>
      </c>
      <c r="AV193" s="21" t="s">
        <v>594</v>
      </c>
      <c r="AW193" s="21"/>
      <c r="AX193" s="21"/>
      <c r="AY193" s="21"/>
      <c r="AZ193" s="21"/>
      <c r="BA193" s="21"/>
      <c r="BB193" s="180" t="s">
        <v>714</v>
      </c>
      <c r="BC193" s="180" t="s">
        <v>592</v>
      </c>
      <c r="BD193" s="180" t="s">
        <v>151</v>
      </c>
      <c r="BE193" s="180" t="s">
        <v>151</v>
      </c>
      <c r="BF193" s="180" t="s">
        <v>151</v>
      </c>
      <c r="BH193" s="196"/>
      <c r="BI193" s="21"/>
      <c r="BJ193" s="21"/>
      <c r="BK193" s="21"/>
      <c r="BL193" s="21"/>
      <c r="BM193" s="21"/>
      <c r="BN193" s="21"/>
      <c r="BO193" s="21"/>
      <c r="BP193" s="21"/>
      <c r="BQ193" s="21"/>
      <c r="BR193" s="21"/>
      <c r="BS193" s="21"/>
      <c r="BT193" s="21"/>
      <c r="BU193" s="21"/>
      <c r="BV193" s="21"/>
      <c r="BW193" s="21"/>
      <c r="BX193" s="21"/>
      <c r="BY193" s="21"/>
      <c r="BZ193" s="21"/>
      <c r="CA193" s="21"/>
      <c r="CB193" s="21"/>
      <c r="CC193" s="21"/>
      <c r="CD193" s="21"/>
      <c r="CE193" s="21"/>
      <c r="CF193" s="21"/>
      <c r="CG193" s="21"/>
      <c r="CH193" s="21"/>
      <c r="CI193" s="21"/>
      <c r="CJ193" s="21"/>
      <c r="CK193" s="21"/>
      <c r="CL193" s="21"/>
      <c r="CM193" s="21"/>
      <c r="CN193" s="21"/>
      <c r="CO193" s="21"/>
      <c r="CP193" s="21"/>
      <c r="CQ193" s="21"/>
      <c r="CR193" s="21"/>
      <c r="CS193" s="21"/>
      <c r="CT193" s="21"/>
      <c r="CU193" s="21"/>
      <c r="CV193" s="21"/>
      <c r="CW193" s="21"/>
      <c r="CX193" s="21"/>
      <c r="CY193" s="21"/>
      <c r="CZ193" s="21"/>
      <c r="DA193" s="21"/>
      <c r="DB193" s="21"/>
      <c r="DC193" s="21"/>
      <c r="DD193" s="21"/>
      <c r="DE193" s="21"/>
      <c r="DF193" s="21"/>
      <c r="DG193" s="21"/>
      <c r="DH193" s="21"/>
      <c r="DI193" s="21"/>
      <c r="DJ193" s="21"/>
      <c r="DK193" s="21"/>
      <c r="DL193" s="21"/>
      <c r="DM193" s="21"/>
      <c r="DN193" s="21"/>
      <c r="DO193" s="21"/>
      <c r="DP193" s="21"/>
      <c r="DQ193" s="87"/>
      <c r="DR193" s="87">
        <v>39</v>
      </c>
      <c r="DS193" s="87"/>
      <c r="DT193" s="21"/>
      <c r="DU193" s="21"/>
      <c r="DV193" s="21"/>
      <c r="DW193" s="21"/>
      <c r="DX193" s="21"/>
      <c r="DY193" s="21"/>
      <c r="DZ193" s="21"/>
      <c r="EA193" s="21"/>
      <c r="EB193" s="21"/>
      <c r="EC193" s="21"/>
      <c r="ED193" s="21"/>
      <c r="EE193" s="21"/>
      <c r="EF193" s="21"/>
      <c r="EG193" s="21"/>
      <c r="EH193" s="197"/>
      <c r="EI193" s="21"/>
      <c r="EJ193" s="196"/>
      <c r="GJ193" s="21"/>
      <c r="GK193" s="21"/>
      <c r="GL193" s="21"/>
      <c r="GM193" s="21"/>
      <c r="GN193" s="21"/>
      <c r="GO193" s="21"/>
      <c r="GP193" s="21"/>
      <c r="GQ193" s="21"/>
      <c r="GR193" s="21"/>
      <c r="GS193" s="21"/>
      <c r="GT193" s="21"/>
      <c r="GU193" s="21"/>
      <c r="GV193" s="21"/>
      <c r="GW193" s="21"/>
      <c r="GX193" s="21"/>
      <c r="GY193" s="21"/>
      <c r="GZ193" s="21"/>
      <c r="HA193" s="21"/>
      <c r="HB193" s="21"/>
      <c r="HC193" s="21"/>
      <c r="HD193" s="21"/>
      <c r="HE193" s="21"/>
      <c r="HF193" s="21"/>
      <c r="HG193" s="21"/>
      <c r="HH193" s="21"/>
      <c r="IT193" s="198"/>
    </row>
    <row r="194" spans="1:254" hidden="1" x14ac:dyDescent="0.25">
      <c r="A194" s="33"/>
      <c r="B194" s="5" t="s">
        <v>116</v>
      </c>
      <c r="C194" s="33"/>
      <c r="D194" s="6" t="s">
        <v>124</v>
      </c>
      <c r="E194" s="33" t="s">
        <v>125</v>
      </c>
      <c r="F194" s="5"/>
      <c r="G194" s="5"/>
      <c r="H194" s="5"/>
      <c r="I194" s="5"/>
      <c r="J194" s="5"/>
      <c r="K194" s="9"/>
      <c r="L194" s="7" t="str">
        <f>IF(E195=$AC$5,"-------",IF(E195=$AC$6,"-------",IF(E195=$AC$7,"PCB100",IF(E195=$AC$8,"PCS100",0))))</f>
        <v>-------</v>
      </c>
      <c r="M194" s="11" t="str">
        <f>INDEX(cennik!$C$2:$L$529,MATCH($L194,cennik!$B$2:$B$522,0),MATCH(M$2,cennik!$C$1:$L$1,0))</f>
        <v>-------</v>
      </c>
      <c r="N194" s="11">
        <f>INDEX(cennik!$C$2:$L$529,MATCH($L194,cennik!$B$2:$B$522,0),MATCH(N$2,cennik!$C$1:$L$1,0))</f>
        <v>0</v>
      </c>
      <c r="O194" s="11">
        <f>IF(E195=AC5,0,IF(E195=AC6,0,IF(E195=AC7,O195,IF(E195=AC8,O195,0))))</f>
        <v>0</v>
      </c>
      <c r="P194" s="34">
        <f>INDEX(cennik!$C$2:$L$529,MATCH($L194,cennik!$B$2:$B$522,0),MATCH(P$2,cennik!$C$1:$L$1,0))</f>
        <v>0</v>
      </c>
      <c r="Q194" s="34">
        <f>O194*P194</f>
        <v>0</v>
      </c>
      <c r="R194" s="35">
        <f>$E$167</f>
        <v>0</v>
      </c>
      <c r="S194" s="34">
        <f>P194*((100-$E$167)/100)</f>
        <v>0</v>
      </c>
      <c r="T194" s="34">
        <f>O194*S194</f>
        <v>0</v>
      </c>
      <c r="U194" s="34">
        <f>INDEX(cennik!$C$2:$L$529,MATCH($L194,cennik!$B$2:$B$522,0),MATCH(U$2,cennik!$C$1:$L$1,0))*O194</f>
        <v>0</v>
      </c>
      <c r="V194" s="21"/>
      <c r="W194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204,$EL$166:$EX$166,0),MATCH($E$193,$AE$33:$AE$46,0)))*C204</f>
        <v>0</v>
      </c>
      <c r="X194" s="21">
        <v>0</v>
      </c>
      <c r="Y194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204,$EL$166:$EX$166,0),MATCH($E$193,$AE$33:$AE$46,0)))*C204</f>
        <v>0</v>
      </c>
      <c r="Z194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204,$EL$166:$EX$166,0),MATCH($E$193,$AE$33:$AE$46,0)))*C204</f>
        <v>0</v>
      </c>
      <c r="AA194" s="21">
        <f t="shared" si="247"/>
        <v>0</v>
      </c>
      <c r="AB194" s="21">
        <f t="shared" si="248"/>
        <v>0</v>
      </c>
      <c r="AC194" s="21"/>
      <c r="AD194" s="21"/>
      <c r="AE194" s="21"/>
      <c r="AF194" s="21"/>
      <c r="AG194" s="21"/>
      <c r="AH194" s="21"/>
      <c r="AI194" s="21"/>
      <c r="AJ194" s="21" t="s">
        <v>216</v>
      </c>
      <c r="AK194" s="21">
        <v>4400</v>
      </c>
      <c r="AL194" s="21">
        <v>7</v>
      </c>
      <c r="AM194" s="21">
        <f>AK194*AL194</f>
        <v>30800</v>
      </c>
      <c r="AN194" s="21">
        <v>164.41</v>
      </c>
      <c r="AO194" s="21">
        <f>AL194*AN194</f>
        <v>1150.8699999999999</v>
      </c>
      <c r="AP194" s="21">
        <f>AL194*5</f>
        <v>35</v>
      </c>
      <c r="AQ194" s="21"/>
      <c r="AR194" s="21" t="s">
        <v>715</v>
      </c>
      <c r="AS194" s="25" t="s">
        <v>594</v>
      </c>
      <c r="AT194" s="25" t="s">
        <v>596</v>
      </c>
      <c r="AU194" s="21" t="s">
        <v>594</v>
      </c>
      <c r="AV194" s="21" t="s">
        <v>594</v>
      </c>
      <c r="AW194" s="21"/>
      <c r="AX194" s="21"/>
      <c r="AY194" s="21"/>
      <c r="AZ194" s="21"/>
      <c r="BA194" s="21"/>
      <c r="BB194" s="180" t="s">
        <v>715</v>
      </c>
      <c r="BC194" s="180" t="s">
        <v>592</v>
      </c>
      <c r="BD194" s="180" t="s">
        <v>151</v>
      </c>
      <c r="BE194" s="180" t="s">
        <v>151</v>
      </c>
      <c r="BF194" s="180" t="s">
        <v>151</v>
      </c>
      <c r="BH194" s="196" t="s">
        <v>132</v>
      </c>
      <c r="BI194" s="21">
        <v>0</v>
      </c>
      <c r="BJ194" s="21">
        <v>8</v>
      </c>
      <c r="BK194" s="21">
        <v>12</v>
      </c>
      <c r="BL194" s="21">
        <v>16</v>
      </c>
      <c r="BM194" s="21">
        <v>20</v>
      </c>
      <c r="BN194" s="21">
        <v>24</v>
      </c>
      <c r="BO194" s="21">
        <v>28</v>
      </c>
      <c r="BP194" s="21">
        <v>32</v>
      </c>
      <c r="BQ194" s="21">
        <v>36</v>
      </c>
      <c r="BR194" s="21">
        <v>40</v>
      </c>
      <c r="BS194" s="21">
        <v>44</v>
      </c>
      <c r="BT194" s="21">
        <v>48</v>
      </c>
      <c r="BU194" s="21">
        <v>52</v>
      </c>
      <c r="BV194" s="21"/>
      <c r="BW194" s="21" t="s">
        <v>471</v>
      </c>
      <c r="BX194" s="21">
        <v>0</v>
      </c>
      <c r="BY194" s="21">
        <v>8</v>
      </c>
      <c r="BZ194" s="21">
        <v>12</v>
      </c>
      <c r="CA194" s="21">
        <v>16</v>
      </c>
      <c r="CB194" s="21">
        <v>20</v>
      </c>
      <c r="CC194" s="21">
        <v>24</v>
      </c>
      <c r="CD194" s="21">
        <v>28</v>
      </c>
      <c r="CE194" s="21">
        <v>32</v>
      </c>
      <c r="CF194" s="21">
        <v>36</v>
      </c>
      <c r="CG194" s="21">
        <v>40</v>
      </c>
      <c r="CH194" s="21">
        <v>44</v>
      </c>
      <c r="CI194" s="21">
        <v>48</v>
      </c>
      <c r="CJ194" s="21">
        <v>52</v>
      </c>
      <c r="CK194" s="21"/>
      <c r="CL194" s="21"/>
      <c r="CM194" s="21"/>
      <c r="CN194" s="21" t="s">
        <v>137</v>
      </c>
      <c r="CO194" s="21">
        <v>0</v>
      </c>
      <c r="CP194" s="21">
        <v>8</v>
      </c>
      <c r="CQ194" s="21">
        <v>12</v>
      </c>
      <c r="CR194" s="21">
        <v>16</v>
      </c>
      <c r="CS194" s="21">
        <v>20</v>
      </c>
      <c r="CT194" s="21">
        <v>24</v>
      </c>
      <c r="CU194" s="21">
        <v>28</v>
      </c>
      <c r="CV194" s="21">
        <v>32</v>
      </c>
      <c r="CW194" s="21">
        <v>36</v>
      </c>
      <c r="CX194" s="21">
        <v>40</v>
      </c>
      <c r="CY194" s="21">
        <v>44</v>
      </c>
      <c r="CZ194" s="21">
        <v>48</v>
      </c>
      <c r="DA194" s="21">
        <v>52</v>
      </c>
      <c r="DB194" s="21"/>
      <c r="DC194" s="21" t="s">
        <v>479</v>
      </c>
      <c r="DD194" s="21">
        <v>0</v>
      </c>
      <c r="DE194" s="21">
        <v>8</v>
      </c>
      <c r="DF194" s="21">
        <v>12</v>
      </c>
      <c r="DG194" s="21">
        <v>16</v>
      </c>
      <c r="DH194" s="21">
        <v>20</v>
      </c>
      <c r="DI194" s="21">
        <v>24</v>
      </c>
      <c r="DJ194" s="21">
        <v>28</v>
      </c>
      <c r="DK194" s="21">
        <v>32</v>
      </c>
      <c r="DL194" s="21">
        <v>36</v>
      </c>
      <c r="DM194" s="21">
        <v>40</v>
      </c>
      <c r="DN194" s="21">
        <v>44</v>
      </c>
      <c r="DO194" s="21">
        <v>48</v>
      </c>
      <c r="DP194" s="21">
        <v>52</v>
      </c>
      <c r="DQ194" s="87"/>
      <c r="DR194" s="87"/>
      <c r="DS194" s="87"/>
      <c r="DT194" s="21"/>
      <c r="DU194" s="21"/>
      <c r="DV194" s="21"/>
      <c r="DW194" s="21"/>
      <c r="DX194" s="21"/>
      <c r="DY194" s="21"/>
      <c r="DZ194" s="21"/>
      <c r="EA194" s="21"/>
      <c r="EB194" s="21"/>
      <c r="EC194" s="21"/>
      <c r="ED194" s="21"/>
      <c r="EE194" s="21"/>
      <c r="EF194" s="21"/>
      <c r="EG194" s="21"/>
      <c r="EH194" s="197"/>
      <c r="EI194" s="21"/>
      <c r="EJ194" s="196"/>
      <c r="GJ194" s="21"/>
      <c r="GK194" s="21"/>
      <c r="GL194" s="21"/>
      <c r="GM194" s="21"/>
      <c r="GN194" s="21"/>
      <c r="GO194" s="21"/>
      <c r="GP194" s="21"/>
      <c r="GQ194" s="21"/>
      <c r="GR194" s="21" t="s">
        <v>714</v>
      </c>
      <c r="GS194" s="21">
        <v>0</v>
      </c>
      <c r="GT194" s="21">
        <v>6</v>
      </c>
      <c r="GU194" s="21">
        <v>8</v>
      </c>
      <c r="GV194" s="21">
        <v>10</v>
      </c>
      <c r="GW194" s="21">
        <v>12</v>
      </c>
      <c r="GX194" s="21">
        <v>14</v>
      </c>
      <c r="GY194" s="21">
        <v>16</v>
      </c>
      <c r="GZ194" s="21">
        <v>18</v>
      </c>
      <c r="HA194" s="21">
        <v>20</v>
      </c>
      <c r="HB194" s="21">
        <v>22</v>
      </c>
      <c r="HC194" s="21">
        <v>24</v>
      </c>
      <c r="HD194" s="21">
        <v>26</v>
      </c>
      <c r="HE194" s="21">
        <v>28</v>
      </c>
      <c r="HF194" s="21">
        <v>30</v>
      </c>
      <c r="HG194" s="21">
        <v>32</v>
      </c>
      <c r="HH194" s="21">
        <v>34</v>
      </c>
      <c r="HI194" s="180">
        <v>36</v>
      </c>
      <c r="HJ194" s="180">
        <v>38</v>
      </c>
      <c r="HK194" s="180">
        <v>40</v>
      </c>
      <c r="HL194" s="180">
        <v>42</v>
      </c>
      <c r="HM194" s="180">
        <v>44</v>
      </c>
      <c r="HN194" s="180">
        <v>46</v>
      </c>
      <c r="HO194" s="180">
        <v>48</v>
      </c>
      <c r="HP194" s="180">
        <v>50</v>
      </c>
      <c r="HS194" s="180" t="s">
        <v>762</v>
      </c>
      <c r="HT194" s="180">
        <v>0</v>
      </c>
      <c r="HU194" s="180">
        <v>6</v>
      </c>
      <c r="HV194" s="180">
        <v>8</v>
      </c>
      <c r="HW194" s="180">
        <v>10</v>
      </c>
      <c r="HX194" s="180">
        <v>12</v>
      </c>
      <c r="HY194" s="180">
        <v>14</v>
      </c>
      <c r="HZ194" s="180">
        <v>16</v>
      </c>
      <c r="IA194" s="180">
        <v>18</v>
      </c>
      <c r="IB194" s="180">
        <v>20</v>
      </c>
      <c r="IC194" s="180">
        <v>22</v>
      </c>
      <c r="ID194" s="180">
        <v>24</v>
      </c>
      <c r="IE194" s="180">
        <v>26</v>
      </c>
      <c r="IF194" s="180">
        <v>28</v>
      </c>
      <c r="IG194" s="180">
        <v>30</v>
      </c>
      <c r="IH194" s="180">
        <v>32</v>
      </c>
      <c r="II194" s="180">
        <v>34</v>
      </c>
      <c r="IJ194" s="180">
        <v>36</v>
      </c>
      <c r="IK194" s="180">
        <v>38</v>
      </c>
      <c r="IL194" s="180">
        <v>40</v>
      </c>
      <c r="IM194" s="180">
        <v>42</v>
      </c>
      <c r="IN194" s="180">
        <v>44</v>
      </c>
      <c r="IO194" s="180">
        <v>46</v>
      </c>
      <c r="IP194" s="180">
        <v>48</v>
      </c>
      <c r="IQ194" s="180">
        <v>50</v>
      </c>
      <c r="IT194" s="198"/>
    </row>
    <row r="195" spans="1:254" hidden="1" x14ac:dyDescent="0.25">
      <c r="A195" s="33"/>
      <c r="B195" s="5" t="s">
        <v>116</v>
      </c>
      <c r="C195" s="33"/>
      <c r="D195" s="6" t="s">
        <v>307</v>
      </c>
      <c r="E195" s="33" t="s">
        <v>314</v>
      </c>
      <c r="F195" s="5"/>
      <c r="G195" s="5"/>
      <c r="H195" s="5"/>
      <c r="I195" s="5"/>
      <c r="J195" s="5"/>
      <c r="K195" s="9"/>
      <c r="L195" s="6" t="str">
        <f>IF(E195=$AC$5,"CWE100H50/3,6NMC",IF(E195=$AC$6,"CWE100H50/3,2NMC",IF(E195=$AC$7,"CWE100H50/1,5NMC",IF(E195=$AC$8,"CWE100H50/1,5NMC",0))))</f>
        <v>CWE100H50/3,6NMC</v>
      </c>
      <c r="M195" s="11">
        <f>INDEX(cennik!$C$2:$L$529,MATCH($L195,cennik!$B$2:$B$522,0),MATCH(M$2,cennik!$C$1:$L$1,0))</f>
        <v>865136</v>
      </c>
      <c r="N195" s="11" t="str">
        <f>INDEX(cennik!$C$2:$L$529,MATCH($L195,cennik!$B$2:$B$522,0),MATCH(N$2,cennik!$C$1:$L$1,0))</f>
        <v>szt.</v>
      </c>
      <c r="O195" s="11">
        <f>SUM(AB180:AB195)</f>
        <v>0</v>
      </c>
      <c r="P195" s="34">
        <f>INDEX(cennik!$C$2:$L$529,MATCH($L195,cennik!$B$2:$B$522,0),MATCH(P$2,cennik!$C$1:$L$1,0))</f>
        <v>282.94</v>
      </c>
      <c r="Q195" s="34">
        <f t="shared" ref="Q195:Q200" si="275">O195*P195</f>
        <v>0</v>
      </c>
      <c r="R195" s="35">
        <f t="shared" ref="R195:R212" si="276">$E$197</f>
        <v>0</v>
      </c>
      <c r="S195" s="34">
        <f t="shared" ref="S195:S212" si="277">P195*((100-$E$197)/100)</f>
        <v>282.94</v>
      </c>
      <c r="T195" s="34">
        <f t="shared" ref="T195:T212" si="278">O195*S195</f>
        <v>0</v>
      </c>
      <c r="U195" s="34">
        <f>INDEX(cennik!$C$2:$L$529,MATCH($L195,cennik!$B$2:$B$522,0),MATCH(U$2,cennik!$C$1:$L$1,0))*O195</f>
        <v>0</v>
      </c>
      <c r="V195" s="21"/>
      <c r="W195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205,$EL$166:$EX$166,0),MATCH($E$193,$AE$33:$AE$46,0)))*C205</f>
        <v>0</v>
      </c>
      <c r="X195" s="21">
        <v>0</v>
      </c>
      <c r="Y195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205,$EL$166:$EX$166,0),MATCH($E$193,$AE$33:$AE$46,0)))*C205</f>
        <v>0</v>
      </c>
      <c r="Z195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205,$EL$166:$EX$166,0),MATCH($E$193,$AE$33:$AE$46,0)))*C205</f>
        <v>0</v>
      </c>
      <c r="AA195" s="21">
        <f t="shared" si="247"/>
        <v>0</v>
      </c>
      <c r="AB195" s="21">
        <f t="shared" si="248"/>
        <v>0</v>
      </c>
      <c r="AC195" s="21"/>
      <c r="AD195" s="21"/>
      <c r="AE195" s="21"/>
      <c r="AF195" s="21"/>
      <c r="AG195" s="21"/>
      <c r="AH195" s="21"/>
      <c r="AI195" s="21"/>
      <c r="AJ195" s="21" t="s">
        <v>17</v>
      </c>
      <c r="AK195" s="21">
        <v>3300</v>
      </c>
      <c r="AL195" s="21">
        <v>0</v>
      </c>
      <c r="AM195" s="21">
        <f>AK195*AL195</f>
        <v>0</v>
      </c>
      <c r="AN195" s="21">
        <v>123.46</v>
      </c>
      <c r="AO195" s="21">
        <f>AL195*AN195</f>
        <v>0</v>
      </c>
      <c r="AP195" s="21">
        <f>AL195*5</f>
        <v>0</v>
      </c>
      <c r="AQ195" s="21"/>
      <c r="AR195" s="21"/>
      <c r="AS195" s="21"/>
      <c r="AT195" s="21"/>
      <c r="AU195" s="21"/>
      <c r="AV195" s="21"/>
      <c r="AW195" s="21"/>
      <c r="AX195" s="21"/>
      <c r="AY195" s="21"/>
      <c r="AZ195" s="21"/>
      <c r="BA195" s="21"/>
      <c r="BB195" s="21"/>
      <c r="BC195" s="21"/>
      <c r="BD195" s="21"/>
      <c r="BE195" s="21"/>
      <c r="BF195" s="21"/>
      <c r="BH195" s="196" t="s">
        <v>522</v>
      </c>
      <c r="BI195" s="21">
        <f>BI34/5*4</f>
        <v>0</v>
      </c>
      <c r="BJ195" s="21">
        <v>5</v>
      </c>
      <c r="BK195" s="21">
        <v>0</v>
      </c>
      <c r="BL195" s="21">
        <v>5</v>
      </c>
      <c r="BM195" s="21">
        <v>0</v>
      </c>
      <c r="BN195" s="21">
        <v>5</v>
      </c>
      <c r="BO195" s="21">
        <v>15</v>
      </c>
      <c r="BP195" s="21">
        <v>5</v>
      </c>
      <c r="BQ195" s="21">
        <v>15</v>
      </c>
      <c r="BR195" s="21">
        <v>10</v>
      </c>
      <c r="BS195" s="21">
        <v>15</v>
      </c>
      <c r="BT195" s="21">
        <v>25</v>
      </c>
      <c r="BU195" s="21">
        <v>15</v>
      </c>
      <c r="BV195" s="21"/>
      <c r="BW195" s="21" t="s">
        <v>522</v>
      </c>
      <c r="BX195" s="21">
        <v>0</v>
      </c>
      <c r="BY195" s="180">
        <v>5</v>
      </c>
      <c r="BZ195" s="180">
        <v>0</v>
      </c>
      <c r="CA195" s="180">
        <v>5</v>
      </c>
      <c r="CB195" s="180">
        <v>0</v>
      </c>
      <c r="CC195" s="180">
        <v>10</v>
      </c>
      <c r="CD195" s="180">
        <v>5</v>
      </c>
      <c r="CE195" s="180">
        <v>10</v>
      </c>
      <c r="CF195" s="180">
        <v>20</v>
      </c>
      <c r="CG195" s="180">
        <v>0</v>
      </c>
      <c r="CH195" s="180">
        <v>25</v>
      </c>
      <c r="CI195" s="180">
        <v>15</v>
      </c>
      <c r="CJ195" s="180">
        <v>25</v>
      </c>
      <c r="CK195" s="21"/>
      <c r="CL195" s="21"/>
      <c r="CM195" s="21"/>
      <c r="CN195" s="21" t="s">
        <v>522</v>
      </c>
      <c r="CO195" s="21">
        <f>CO34/5*4</f>
        <v>0</v>
      </c>
      <c r="CP195" s="21">
        <v>5</v>
      </c>
      <c r="CQ195" s="21">
        <v>0</v>
      </c>
      <c r="CR195" s="21">
        <v>10</v>
      </c>
      <c r="CS195" s="21">
        <v>5</v>
      </c>
      <c r="CT195" s="21">
        <v>15</v>
      </c>
      <c r="CU195" s="21">
        <v>10</v>
      </c>
      <c r="CV195" s="21">
        <v>20</v>
      </c>
      <c r="CW195" s="21">
        <v>10</v>
      </c>
      <c r="CX195" s="21">
        <v>20</v>
      </c>
      <c r="CY195" s="21">
        <v>0</v>
      </c>
      <c r="CZ195" s="21">
        <v>25</v>
      </c>
      <c r="DA195" s="21">
        <v>5</v>
      </c>
      <c r="DB195" s="21"/>
      <c r="DC195" s="21" t="s">
        <v>522</v>
      </c>
      <c r="DD195" s="21">
        <v>0</v>
      </c>
      <c r="DE195" s="21">
        <v>0</v>
      </c>
      <c r="DF195" s="21">
        <v>5</v>
      </c>
      <c r="DG195" s="21">
        <v>0</v>
      </c>
      <c r="DH195" s="21">
        <v>10</v>
      </c>
      <c r="DI195" s="21">
        <v>5</v>
      </c>
      <c r="DJ195" s="21">
        <v>15</v>
      </c>
      <c r="DK195" s="21">
        <v>10</v>
      </c>
      <c r="DL195" s="21">
        <v>20</v>
      </c>
      <c r="DM195" s="21">
        <v>0</v>
      </c>
      <c r="DN195" s="21">
        <v>25</v>
      </c>
      <c r="DO195" s="21">
        <v>5</v>
      </c>
      <c r="DP195" s="21">
        <v>30</v>
      </c>
      <c r="DQ195" s="87"/>
      <c r="DR195" s="87"/>
      <c r="DS195" s="87"/>
      <c r="DT195" s="21" t="s">
        <v>765</v>
      </c>
      <c r="DU195" s="21"/>
      <c r="DV195" s="21"/>
      <c r="DW195" s="21"/>
      <c r="DX195" s="21"/>
      <c r="DY195" s="21"/>
      <c r="DZ195" s="21"/>
      <c r="EA195" s="21"/>
      <c r="EB195" s="21"/>
      <c r="EC195" s="21"/>
      <c r="ED195" s="21"/>
      <c r="EE195" s="21"/>
      <c r="EF195" s="21"/>
      <c r="EG195" s="21"/>
      <c r="EH195" s="197"/>
      <c r="EI195" s="21"/>
      <c r="EJ195" s="196"/>
      <c r="EK195" s="21" t="s">
        <v>115</v>
      </c>
      <c r="EL195" s="21">
        <v>0</v>
      </c>
      <c r="EM195" s="21">
        <v>6</v>
      </c>
      <c r="EN195" s="21">
        <v>8</v>
      </c>
      <c r="EO195" s="21">
        <v>10</v>
      </c>
      <c r="EP195" s="21">
        <v>12</v>
      </c>
      <c r="EQ195" s="21">
        <v>14</v>
      </c>
      <c r="ER195" s="21">
        <v>16</v>
      </c>
      <c r="ES195" s="21">
        <v>18</v>
      </c>
      <c r="ET195" s="21">
        <v>20</v>
      </c>
      <c r="EU195" s="21">
        <v>22</v>
      </c>
      <c r="EV195" s="21">
        <v>24</v>
      </c>
      <c r="EW195" s="21">
        <v>26</v>
      </c>
      <c r="EX195" s="21">
        <v>28</v>
      </c>
      <c r="EY195" s="21">
        <v>30</v>
      </c>
      <c r="EZ195" s="21">
        <v>32</v>
      </c>
      <c r="FA195" s="21">
        <v>34</v>
      </c>
      <c r="FB195" s="21">
        <v>36</v>
      </c>
      <c r="FC195" s="21">
        <v>38</v>
      </c>
      <c r="FD195" s="21">
        <v>40</v>
      </c>
      <c r="FE195" s="21">
        <v>42</v>
      </c>
      <c r="FF195" s="21">
        <v>44</v>
      </c>
      <c r="FG195" s="21">
        <v>46</v>
      </c>
      <c r="FH195" s="21">
        <v>48</v>
      </c>
      <c r="FI195" s="21">
        <v>50</v>
      </c>
      <c r="FJ195" s="21"/>
      <c r="FK195" s="21" t="s">
        <v>480</v>
      </c>
      <c r="FL195" s="21">
        <v>0</v>
      </c>
      <c r="FM195" s="21">
        <v>6</v>
      </c>
      <c r="FN195" s="21">
        <v>8</v>
      </c>
      <c r="FO195" s="21">
        <v>10</v>
      </c>
      <c r="FP195" s="21">
        <v>12</v>
      </c>
      <c r="FQ195" s="21">
        <v>14</v>
      </c>
      <c r="FR195" s="21">
        <v>16</v>
      </c>
      <c r="FS195" s="21">
        <v>18</v>
      </c>
      <c r="FT195" s="21">
        <v>20</v>
      </c>
      <c r="FU195" s="21">
        <v>22</v>
      </c>
      <c r="FV195" s="21">
        <v>24</v>
      </c>
      <c r="FW195" s="21">
        <v>26</v>
      </c>
      <c r="FX195" s="21">
        <v>28</v>
      </c>
      <c r="FY195" s="21">
        <v>30</v>
      </c>
      <c r="FZ195" s="21">
        <v>32</v>
      </c>
      <c r="GA195" s="21">
        <v>34</v>
      </c>
      <c r="GB195" s="21">
        <v>36</v>
      </c>
      <c r="GC195" s="21">
        <v>38</v>
      </c>
      <c r="GD195" s="21">
        <v>40</v>
      </c>
      <c r="GE195" s="21">
        <v>42</v>
      </c>
      <c r="GF195" s="21">
        <v>44</v>
      </c>
      <c r="GG195" s="21">
        <v>46</v>
      </c>
      <c r="GH195" s="21">
        <v>48</v>
      </c>
      <c r="GI195" s="21">
        <v>50</v>
      </c>
      <c r="GJ195" s="21"/>
      <c r="GK195" s="21"/>
      <c r="GL195" s="21"/>
      <c r="GM195" s="21"/>
      <c r="GN195" s="21"/>
      <c r="GO195" s="21"/>
      <c r="GP195" s="21"/>
      <c r="GQ195" s="21"/>
      <c r="GR195" s="180" t="s">
        <v>817</v>
      </c>
      <c r="GS195" s="21">
        <f t="shared" ref="GS195:HP195" si="279">GS92</f>
        <v>0</v>
      </c>
      <c r="GT195" s="21">
        <f t="shared" si="279"/>
        <v>0</v>
      </c>
      <c r="GU195" s="21">
        <f t="shared" si="279"/>
        <v>4</v>
      </c>
      <c r="GV195" s="21">
        <f t="shared" si="279"/>
        <v>4</v>
      </c>
      <c r="GW195" s="21">
        <f t="shared" si="279"/>
        <v>0</v>
      </c>
      <c r="GX195" s="21">
        <f t="shared" si="279"/>
        <v>0</v>
      </c>
      <c r="GY195" s="21">
        <f t="shared" si="279"/>
        <v>0</v>
      </c>
      <c r="GZ195" s="21">
        <f t="shared" si="279"/>
        <v>0</v>
      </c>
      <c r="HA195" s="21">
        <f t="shared" si="279"/>
        <v>0</v>
      </c>
      <c r="HB195" s="21">
        <f t="shared" si="279"/>
        <v>0</v>
      </c>
      <c r="HC195" s="21">
        <f t="shared" si="279"/>
        <v>0</v>
      </c>
      <c r="HD195" s="21">
        <f t="shared" si="279"/>
        <v>0</v>
      </c>
      <c r="HE195" s="21">
        <f t="shared" si="279"/>
        <v>0</v>
      </c>
      <c r="HF195" s="21">
        <f t="shared" si="279"/>
        <v>0</v>
      </c>
      <c r="HG195" s="21">
        <f t="shared" si="279"/>
        <v>0</v>
      </c>
      <c r="HH195" s="21">
        <f t="shared" si="279"/>
        <v>0</v>
      </c>
      <c r="HI195" s="21">
        <f t="shared" si="279"/>
        <v>0</v>
      </c>
      <c r="HJ195" s="21">
        <f t="shared" si="279"/>
        <v>0</v>
      </c>
      <c r="HK195" s="21">
        <f t="shared" si="279"/>
        <v>0</v>
      </c>
      <c r="HL195" s="21">
        <f t="shared" si="279"/>
        <v>0</v>
      </c>
      <c r="HM195" s="21">
        <f t="shared" si="279"/>
        <v>0</v>
      </c>
      <c r="HN195" s="21">
        <f t="shared" si="279"/>
        <v>0</v>
      </c>
      <c r="HO195" s="21">
        <f t="shared" si="279"/>
        <v>0</v>
      </c>
      <c r="HP195" s="21">
        <f t="shared" si="279"/>
        <v>0</v>
      </c>
      <c r="HS195" s="180" t="s">
        <v>817</v>
      </c>
      <c r="HT195" s="21">
        <f t="shared" ref="HT195:IQ195" si="280">HT92</f>
        <v>0</v>
      </c>
      <c r="HU195" s="21">
        <f t="shared" si="280"/>
        <v>0</v>
      </c>
      <c r="HV195" s="21">
        <f t="shared" si="280"/>
        <v>4</v>
      </c>
      <c r="HW195" s="21">
        <f t="shared" si="280"/>
        <v>0</v>
      </c>
      <c r="HX195" s="21">
        <f t="shared" si="280"/>
        <v>0</v>
      </c>
      <c r="HY195" s="21">
        <f t="shared" si="280"/>
        <v>0</v>
      </c>
      <c r="HZ195" s="21">
        <f t="shared" si="280"/>
        <v>0</v>
      </c>
      <c r="IA195" s="21">
        <f t="shared" si="280"/>
        <v>0</v>
      </c>
      <c r="IB195" s="21">
        <f t="shared" si="280"/>
        <v>0</v>
      </c>
      <c r="IC195" s="21">
        <f t="shared" si="280"/>
        <v>0</v>
      </c>
      <c r="ID195" s="21">
        <f t="shared" si="280"/>
        <v>0</v>
      </c>
      <c r="IE195" s="21">
        <f t="shared" si="280"/>
        <v>0</v>
      </c>
      <c r="IF195" s="21">
        <f t="shared" si="280"/>
        <v>0</v>
      </c>
      <c r="IG195" s="21">
        <f t="shared" si="280"/>
        <v>0</v>
      </c>
      <c r="IH195" s="21">
        <f t="shared" si="280"/>
        <v>0</v>
      </c>
      <c r="II195" s="21">
        <f t="shared" si="280"/>
        <v>0</v>
      </c>
      <c r="IJ195" s="21">
        <f t="shared" si="280"/>
        <v>0</v>
      </c>
      <c r="IK195" s="21">
        <f t="shared" si="280"/>
        <v>0</v>
      </c>
      <c r="IL195" s="21">
        <f t="shared" si="280"/>
        <v>0</v>
      </c>
      <c r="IM195" s="21">
        <f t="shared" si="280"/>
        <v>0</v>
      </c>
      <c r="IN195" s="21">
        <f t="shared" si="280"/>
        <v>0</v>
      </c>
      <c r="IO195" s="21">
        <f t="shared" si="280"/>
        <v>0</v>
      </c>
      <c r="IP195" s="21">
        <f t="shared" si="280"/>
        <v>0</v>
      </c>
      <c r="IQ195" s="21">
        <f t="shared" si="280"/>
        <v>0</v>
      </c>
      <c r="IT195" s="198"/>
    </row>
    <row r="196" spans="1:254" hidden="1" x14ac:dyDescent="0.25">
      <c r="A196" s="33"/>
      <c r="B196" s="5" t="s">
        <v>116</v>
      </c>
      <c r="C196" s="33"/>
      <c r="D196" s="6" t="s">
        <v>315</v>
      </c>
      <c r="E196" s="33">
        <v>0</v>
      </c>
      <c r="F196" s="5"/>
      <c r="G196" s="5"/>
      <c r="H196" s="5"/>
      <c r="I196" s="5"/>
      <c r="J196" s="5" t="s">
        <v>412</v>
      </c>
      <c r="K196" s="9"/>
      <c r="L196" s="6" t="str">
        <f>IF(G193=AE24,"BDFCH100/3,2NMC",IF(G193=AE25,"BDFCH120/3,6NMC",IF(G193=AE26,"BDFCH120/3,6NMC",IF(G193=AE27,"BDFCH120/3,6NMC",0))))</f>
        <v>BDFCH100/3,2NMC</v>
      </c>
      <c r="M196" s="11">
        <f>INDEX(cennik!$C$2:$L$529,MATCH($L196,cennik!$B$2:$B$522,0),MATCH(M$2,cennik!$C$1:$L$1,0))</f>
        <v>863132</v>
      </c>
      <c r="N196" s="11" t="str">
        <f>INDEX(cennik!$C$2:$L$529,MATCH($L196,cennik!$B$2:$B$522,0),MATCH(N$2,cennik!$C$1:$L$1,0))</f>
        <v>szt.</v>
      </c>
      <c r="O196" s="11">
        <f>O195</f>
        <v>0</v>
      </c>
      <c r="P196" s="34">
        <f>INDEX(cennik!$C$2:$L$529,MATCH($L196,cennik!$B$2:$B$522,0),MATCH(P$2,cennik!$C$1:$L$1,0))</f>
        <v>104.33</v>
      </c>
      <c r="Q196" s="34">
        <f t="shared" si="275"/>
        <v>0</v>
      </c>
      <c r="R196" s="35">
        <f t="shared" si="276"/>
        <v>0</v>
      </c>
      <c r="S196" s="34">
        <f t="shared" si="277"/>
        <v>104.33</v>
      </c>
      <c r="T196" s="34">
        <f t="shared" si="278"/>
        <v>0</v>
      </c>
      <c r="U196" s="34">
        <f>INDEX(cennik!$C$2:$L$529,MATCH($L196,cennik!$B$2:$B$522,0),MATCH(U$2,cennik!$C$1:$L$1,0))*O196</f>
        <v>0</v>
      </c>
      <c r="V196" s="21"/>
      <c r="W196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206,$EL$166:$EX$166,0),MATCH($E$193,$AE$33:$AE$46,0)))*C206</f>
        <v>0</v>
      </c>
      <c r="X196" s="21">
        <v>0</v>
      </c>
      <c r="Y196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206,$EL$166:$EX$166,0),MATCH($E$193,$AE$33:$AE$46,0)))*C206</f>
        <v>0</v>
      </c>
      <c r="Z196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206,$EL$166:$EX$166,0),MATCH($E$193,$AE$33:$AE$46,0)))*C206</f>
        <v>0</v>
      </c>
      <c r="AA196" s="21"/>
      <c r="AB196" s="21"/>
      <c r="AC196" s="21"/>
      <c r="AD196" s="21"/>
      <c r="AE196" s="21"/>
      <c r="AF196" s="21"/>
      <c r="AG196" s="21"/>
      <c r="AH196" s="21"/>
      <c r="AI196" s="21"/>
      <c r="AJ196" s="21"/>
      <c r="AK196" s="21" t="s">
        <v>317</v>
      </c>
      <c r="AL196" s="21">
        <f>IF(SUM(AL194:AL195)=0,0,IF(SUM(AL194:AL195)=1,0,IF(SUM(AL194:AL195)&gt;1,(SUM(AL194:AL195)-1),0)))</f>
        <v>6</v>
      </c>
      <c r="AM196" s="21"/>
      <c r="AN196" s="21">
        <v>8.1</v>
      </c>
      <c r="AO196" s="21">
        <f>AL196*AN196</f>
        <v>48.599999999999994</v>
      </c>
      <c r="AP196" s="21">
        <f>AL196*5</f>
        <v>30</v>
      </c>
      <c r="AQ196" s="21"/>
      <c r="AR196" s="21"/>
      <c r="AS196" s="21"/>
      <c r="AT196" s="21"/>
      <c r="AU196" s="21"/>
      <c r="AV196" s="21"/>
      <c r="AW196" s="21"/>
      <c r="AX196" s="21"/>
      <c r="AY196" s="21"/>
      <c r="AZ196" s="21"/>
      <c r="BA196" s="21"/>
      <c r="BB196" s="21"/>
      <c r="BC196" s="21"/>
      <c r="BD196" s="21"/>
      <c r="BE196" s="21"/>
      <c r="BF196" s="21"/>
      <c r="BH196" s="196" t="s">
        <v>523</v>
      </c>
      <c r="BI196" s="21">
        <f>BI35/5*4</f>
        <v>0</v>
      </c>
      <c r="BJ196" s="21">
        <v>0</v>
      </c>
      <c r="BK196" s="21">
        <v>10</v>
      </c>
      <c r="BL196" s="21">
        <v>5</v>
      </c>
      <c r="BM196" s="21">
        <v>15</v>
      </c>
      <c r="BN196" s="21">
        <v>10</v>
      </c>
      <c r="BO196" s="21">
        <v>0</v>
      </c>
      <c r="BP196" s="21">
        <v>15</v>
      </c>
      <c r="BQ196" s="21">
        <v>5</v>
      </c>
      <c r="BR196" s="21">
        <v>15</v>
      </c>
      <c r="BS196" s="21">
        <v>10</v>
      </c>
      <c r="BT196" s="21">
        <v>0</v>
      </c>
      <c r="BU196" s="21">
        <v>15</v>
      </c>
      <c r="BV196" s="21"/>
      <c r="BW196" s="21" t="s">
        <v>523</v>
      </c>
      <c r="BX196" s="21">
        <v>0</v>
      </c>
      <c r="BY196" s="180">
        <v>0</v>
      </c>
      <c r="BZ196" s="180">
        <v>10</v>
      </c>
      <c r="CA196" s="180">
        <v>5</v>
      </c>
      <c r="CB196" s="180">
        <v>15</v>
      </c>
      <c r="CC196" s="180">
        <v>5</v>
      </c>
      <c r="CD196" s="180">
        <v>15</v>
      </c>
      <c r="CE196" s="180">
        <v>10</v>
      </c>
      <c r="CF196" s="180">
        <v>0</v>
      </c>
      <c r="CG196" s="180">
        <v>30</v>
      </c>
      <c r="CH196" s="180">
        <v>0</v>
      </c>
      <c r="CI196" s="180">
        <v>15</v>
      </c>
      <c r="CJ196" s="180">
        <v>5</v>
      </c>
      <c r="CK196" s="21"/>
      <c r="CL196" s="21"/>
      <c r="CM196" s="21"/>
      <c r="CN196" s="21" t="s">
        <v>523</v>
      </c>
      <c r="CO196" s="21">
        <f>CO35/5*4</f>
        <v>0</v>
      </c>
      <c r="CP196" s="21">
        <v>0</v>
      </c>
      <c r="CQ196" s="21">
        <v>10</v>
      </c>
      <c r="CR196" s="21">
        <v>0</v>
      </c>
      <c r="CS196" s="21">
        <v>10</v>
      </c>
      <c r="CT196" s="21">
        <v>0</v>
      </c>
      <c r="CU196" s="21">
        <v>10</v>
      </c>
      <c r="CV196" s="21">
        <v>0</v>
      </c>
      <c r="CW196" s="21">
        <v>15</v>
      </c>
      <c r="CX196" s="21">
        <v>5</v>
      </c>
      <c r="CY196" s="21">
        <v>35</v>
      </c>
      <c r="CZ196" s="21">
        <v>5</v>
      </c>
      <c r="DA196" s="21">
        <v>35</v>
      </c>
      <c r="DB196" s="21"/>
      <c r="DC196" s="21" t="s">
        <v>523</v>
      </c>
      <c r="DD196" s="21">
        <v>0</v>
      </c>
      <c r="DE196" s="21">
        <v>10</v>
      </c>
      <c r="DF196" s="21">
        <v>5</v>
      </c>
      <c r="DG196" s="21">
        <v>15</v>
      </c>
      <c r="DH196" s="21">
        <v>5</v>
      </c>
      <c r="DI196" s="21">
        <v>15</v>
      </c>
      <c r="DJ196" s="21">
        <v>5</v>
      </c>
      <c r="DK196" s="21">
        <v>15</v>
      </c>
      <c r="DL196" s="21">
        <v>5</v>
      </c>
      <c r="DM196" s="21">
        <v>35</v>
      </c>
      <c r="DN196" s="21">
        <v>5</v>
      </c>
      <c r="DO196" s="21">
        <v>35</v>
      </c>
      <c r="DP196" s="21">
        <v>5</v>
      </c>
      <c r="DQ196" s="87"/>
      <c r="DR196" s="87"/>
      <c r="DS196" s="87"/>
      <c r="DT196" s="21"/>
      <c r="DU196" s="21"/>
      <c r="DV196" s="21"/>
      <c r="DW196" s="21"/>
      <c r="DX196" s="21"/>
      <c r="DY196" s="21"/>
      <c r="DZ196" s="21"/>
      <c r="EA196" s="21"/>
      <c r="EB196" s="21"/>
      <c r="EC196" s="21"/>
      <c r="ED196" s="21"/>
      <c r="EE196" s="21"/>
      <c r="EF196" s="21"/>
      <c r="EG196" s="21"/>
      <c r="EH196" s="197"/>
      <c r="EI196" s="21"/>
      <c r="EJ196" s="196"/>
      <c r="EK196" s="180" t="s">
        <v>817</v>
      </c>
      <c r="EL196" s="21">
        <f t="shared" ref="EL196:FI196" si="281">EL93</f>
        <v>0</v>
      </c>
      <c r="EM196" s="21">
        <f t="shared" si="281"/>
        <v>0</v>
      </c>
      <c r="EN196" s="21">
        <f t="shared" si="281"/>
        <v>0</v>
      </c>
      <c r="EO196" s="21">
        <f t="shared" si="281"/>
        <v>4</v>
      </c>
      <c r="EP196" s="21">
        <f t="shared" si="281"/>
        <v>0</v>
      </c>
      <c r="EQ196" s="21">
        <f t="shared" si="281"/>
        <v>0</v>
      </c>
      <c r="ER196" s="21">
        <f t="shared" si="281"/>
        <v>0</v>
      </c>
      <c r="ES196" s="21">
        <f t="shared" si="281"/>
        <v>0</v>
      </c>
      <c r="ET196" s="21">
        <f t="shared" si="281"/>
        <v>0</v>
      </c>
      <c r="EU196" s="21">
        <f t="shared" si="281"/>
        <v>0</v>
      </c>
      <c r="EV196" s="21">
        <f t="shared" si="281"/>
        <v>0</v>
      </c>
      <c r="EW196" s="21">
        <f t="shared" si="281"/>
        <v>0</v>
      </c>
      <c r="EX196" s="21">
        <f t="shared" si="281"/>
        <v>0</v>
      </c>
      <c r="EY196" s="21">
        <f t="shared" si="281"/>
        <v>0</v>
      </c>
      <c r="EZ196" s="21">
        <f t="shared" si="281"/>
        <v>0</v>
      </c>
      <c r="FA196" s="21">
        <f t="shared" si="281"/>
        <v>0</v>
      </c>
      <c r="FB196" s="21">
        <f t="shared" si="281"/>
        <v>0</v>
      </c>
      <c r="FC196" s="21">
        <f t="shared" si="281"/>
        <v>0</v>
      </c>
      <c r="FD196" s="21">
        <f t="shared" si="281"/>
        <v>0</v>
      </c>
      <c r="FE196" s="21">
        <f t="shared" si="281"/>
        <v>0</v>
      </c>
      <c r="FF196" s="21">
        <f t="shared" si="281"/>
        <v>0</v>
      </c>
      <c r="FG196" s="21">
        <f t="shared" si="281"/>
        <v>0</v>
      </c>
      <c r="FH196" s="21">
        <f t="shared" si="281"/>
        <v>0</v>
      </c>
      <c r="FI196" s="21">
        <f t="shared" si="281"/>
        <v>0</v>
      </c>
      <c r="FK196" s="180" t="s">
        <v>817</v>
      </c>
      <c r="FL196" s="21">
        <f t="shared" ref="FL196:GI196" si="282">FL93</f>
        <v>0</v>
      </c>
      <c r="FM196" s="21">
        <f t="shared" si="282"/>
        <v>0</v>
      </c>
      <c r="FN196" s="21">
        <f t="shared" si="282"/>
        <v>4</v>
      </c>
      <c r="FO196" s="21">
        <f t="shared" si="282"/>
        <v>4</v>
      </c>
      <c r="FP196" s="21">
        <f t="shared" si="282"/>
        <v>0</v>
      </c>
      <c r="FQ196" s="21">
        <f t="shared" si="282"/>
        <v>0</v>
      </c>
      <c r="FR196" s="21">
        <f t="shared" si="282"/>
        <v>0</v>
      </c>
      <c r="FS196" s="21">
        <f t="shared" si="282"/>
        <v>0</v>
      </c>
      <c r="FT196" s="21">
        <f t="shared" si="282"/>
        <v>0</v>
      </c>
      <c r="FU196" s="21">
        <f t="shared" si="282"/>
        <v>0</v>
      </c>
      <c r="FV196" s="21">
        <f t="shared" si="282"/>
        <v>0</v>
      </c>
      <c r="FW196" s="21">
        <f t="shared" si="282"/>
        <v>0</v>
      </c>
      <c r="FX196" s="21">
        <f t="shared" si="282"/>
        <v>0</v>
      </c>
      <c r="FY196" s="21">
        <f t="shared" si="282"/>
        <v>0</v>
      </c>
      <c r="FZ196" s="21">
        <f t="shared" si="282"/>
        <v>0</v>
      </c>
      <c r="GA196" s="21">
        <f t="shared" si="282"/>
        <v>0</v>
      </c>
      <c r="GB196" s="21">
        <f t="shared" si="282"/>
        <v>0</v>
      </c>
      <c r="GC196" s="21">
        <f t="shared" si="282"/>
        <v>0</v>
      </c>
      <c r="GD196" s="21">
        <f t="shared" si="282"/>
        <v>0</v>
      </c>
      <c r="GE196" s="21">
        <f t="shared" si="282"/>
        <v>0</v>
      </c>
      <c r="GF196" s="21">
        <f t="shared" si="282"/>
        <v>0</v>
      </c>
      <c r="GG196" s="21">
        <f t="shared" si="282"/>
        <v>0</v>
      </c>
      <c r="GH196" s="21">
        <f t="shared" si="282"/>
        <v>0</v>
      </c>
      <c r="GI196" s="21">
        <f t="shared" si="282"/>
        <v>0</v>
      </c>
      <c r="GJ196" s="21"/>
      <c r="GK196" s="21"/>
      <c r="GL196" s="21"/>
      <c r="GM196" s="21"/>
      <c r="GN196" s="21"/>
      <c r="GO196" s="21"/>
      <c r="GP196" s="21"/>
      <c r="GQ196" s="21"/>
      <c r="GR196" s="21" t="s">
        <v>815</v>
      </c>
      <c r="GS196" s="21">
        <f t="shared" ref="GS196:HP196" si="283">GS93</f>
        <v>0</v>
      </c>
      <c r="GT196" s="21">
        <f t="shared" si="283"/>
        <v>4</v>
      </c>
      <c r="GU196" s="21">
        <f t="shared" si="283"/>
        <v>0</v>
      </c>
      <c r="GV196" s="21">
        <f t="shared" si="283"/>
        <v>0</v>
      </c>
      <c r="GW196" s="21">
        <f t="shared" si="283"/>
        <v>4</v>
      </c>
      <c r="GX196" s="21">
        <f t="shared" si="283"/>
        <v>0</v>
      </c>
      <c r="GY196" s="21">
        <f t="shared" si="283"/>
        <v>4</v>
      </c>
      <c r="GZ196" s="21">
        <f t="shared" si="283"/>
        <v>8</v>
      </c>
      <c r="HA196" s="21">
        <f t="shared" si="283"/>
        <v>12</v>
      </c>
      <c r="HB196" s="21">
        <f t="shared" si="283"/>
        <v>4</v>
      </c>
      <c r="HC196" s="21">
        <f t="shared" si="283"/>
        <v>8</v>
      </c>
      <c r="HD196" s="21">
        <f t="shared" si="283"/>
        <v>16</v>
      </c>
      <c r="HE196" s="21">
        <f t="shared" si="283"/>
        <v>8</v>
      </c>
      <c r="HF196" s="21">
        <f t="shared" si="283"/>
        <v>12</v>
      </c>
      <c r="HG196" s="21">
        <f t="shared" si="283"/>
        <v>16</v>
      </c>
      <c r="HH196" s="21">
        <f t="shared" si="283"/>
        <v>20</v>
      </c>
      <c r="HI196" s="21">
        <f t="shared" si="283"/>
        <v>12</v>
      </c>
      <c r="HJ196" s="21">
        <f t="shared" si="283"/>
        <v>20</v>
      </c>
      <c r="HK196" s="21">
        <f t="shared" si="283"/>
        <v>24</v>
      </c>
      <c r="HL196" s="21">
        <f t="shared" si="283"/>
        <v>16</v>
      </c>
      <c r="HM196" s="21">
        <f t="shared" si="283"/>
        <v>20</v>
      </c>
      <c r="HN196" s="21">
        <f t="shared" si="283"/>
        <v>24</v>
      </c>
      <c r="HO196" s="21">
        <f t="shared" si="283"/>
        <v>28</v>
      </c>
      <c r="HP196" s="21">
        <f t="shared" si="283"/>
        <v>20</v>
      </c>
      <c r="HS196" s="21" t="s">
        <v>815</v>
      </c>
      <c r="HT196" s="21">
        <f t="shared" ref="HT196:IQ196" si="284">HT93</f>
        <v>0</v>
      </c>
      <c r="HU196" s="21">
        <f t="shared" si="284"/>
        <v>4</v>
      </c>
      <c r="HV196" s="21">
        <f t="shared" si="284"/>
        <v>0</v>
      </c>
      <c r="HW196" s="21">
        <f t="shared" si="284"/>
        <v>4</v>
      </c>
      <c r="HX196" s="21">
        <f t="shared" si="284"/>
        <v>8</v>
      </c>
      <c r="HY196" s="21">
        <f t="shared" si="284"/>
        <v>0</v>
      </c>
      <c r="HZ196" s="21">
        <f t="shared" si="284"/>
        <v>8</v>
      </c>
      <c r="IA196" s="21">
        <f t="shared" si="284"/>
        <v>12</v>
      </c>
      <c r="IB196" s="21">
        <f t="shared" si="284"/>
        <v>4</v>
      </c>
      <c r="IC196" s="21">
        <f t="shared" si="284"/>
        <v>8</v>
      </c>
      <c r="ID196" s="21">
        <f t="shared" si="284"/>
        <v>16</v>
      </c>
      <c r="IE196" s="21">
        <f t="shared" si="284"/>
        <v>8</v>
      </c>
      <c r="IF196" s="21">
        <f t="shared" si="284"/>
        <v>12</v>
      </c>
      <c r="IG196" s="21">
        <f t="shared" si="284"/>
        <v>16</v>
      </c>
      <c r="IH196" s="21">
        <f t="shared" si="284"/>
        <v>20</v>
      </c>
      <c r="II196" s="21">
        <f t="shared" si="284"/>
        <v>16</v>
      </c>
      <c r="IJ196" s="21">
        <f t="shared" si="284"/>
        <v>20</v>
      </c>
      <c r="IK196" s="21">
        <f t="shared" si="284"/>
        <v>24</v>
      </c>
      <c r="IL196" s="21">
        <f t="shared" si="284"/>
        <v>16</v>
      </c>
      <c r="IM196" s="21">
        <f t="shared" si="284"/>
        <v>24</v>
      </c>
      <c r="IN196" s="21">
        <f t="shared" si="284"/>
        <v>28</v>
      </c>
      <c r="IO196" s="21">
        <f t="shared" si="284"/>
        <v>20</v>
      </c>
      <c r="IP196" s="21">
        <f t="shared" si="284"/>
        <v>24</v>
      </c>
      <c r="IQ196" s="21">
        <f t="shared" si="284"/>
        <v>32</v>
      </c>
      <c r="IT196" s="198"/>
    </row>
    <row r="197" spans="1:254" ht="15.75" hidden="1" thickBot="1" x14ac:dyDescent="0.3">
      <c r="A197" s="33"/>
      <c r="B197" s="5" t="s">
        <v>116</v>
      </c>
      <c r="C197" s="33"/>
      <c r="D197" s="6" t="s">
        <v>162</v>
      </c>
      <c r="E197" s="33">
        <v>0</v>
      </c>
      <c r="F197" s="5"/>
      <c r="G197" s="5"/>
      <c r="H197" s="5"/>
      <c r="I197" s="5"/>
      <c r="J197" s="5" t="s">
        <v>163</v>
      </c>
      <c r="K197" s="9"/>
      <c r="L197" s="6" t="s">
        <v>9</v>
      </c>
      <c r="M197" s="11">
        <f>INDEX(cennik!$C$2:$L$529,MATCH($L197,cennik!$B$2:$B$522,0),MATCH(M$2,cennik!$C$1:$L$1,0))</f>
        <v>856211</v>
      </c>
      <c r="N197" s="11" t="str">
        <f>INDEX(cennik!$C$2:$L$529,MATCH($L197,cennik!$B$2:$B$522,0),MATCH(N$2,cennik!$C$1:$L$1,0))</f>
        <v>szt.</v>
      </c>
      <c r="O197" s="11">
        <f>O195</f>
        <v>0</v>
      </c>
      <c r="P197" s="34">
        <f>INDEX(cennik!$C$2:$L$529,MATCH($L197,cennik!$B$2:$B$522,0),MATCH(P$2,cennik!$C$1:$L$1,0))</f>
        <v>25.2</v>
      </c>
      <c r="Q197" s="34">
        <f t="shared" si="275"/>
        <v>0</v>
      </c>
      <c r="R197" s="35">
        <f t="shared" si="276"/>
        <v>0</v>
      </c>
      <c r="S197" s="34">
        <f t="shared" si="277"/>
        <v>25.2</v>
      </c>
      <c r="T197" s="34">
        <f t="shared" si="278"/>
        <v>0</v>
      </c>
      <c r="U197" s="34">
        <f>INDEX(cennik!$C$2:$L$529,MATCH($L197,cennik!$B$2:$B$522,0),MATCH(U$2,cennik!$C$1:$L$1,0))*O197</f>
        <v>0</v>
      </c>
      <c r="V197" s="21"/>
      <c r="W197" s="21">
        <f>(INDEX(($EL$167:$EX$169,$EL$172:$EX$174,$EL$177:$EX$179,$FA$167:$FM$169,$FA$172:$FM$174,$FA$177:$FM$179,$FP$167:$GB$169,$FP$172:$GB$174,$FP$177:$GB$179,$GE$167:$GQ$169,$GE$172:$GQ$174,$GE$177:$GQ$179,$GT$167:$HF$169,$GT$172:$HF$174),MATCH($L$203,$EK$167:$EK$169,0),MATCH(A207,$EL$166:$EX$166,0),MATCH($E$193,$AE$33:$AE$46,0)))*C207</f>
        <v>0</v>
      </c>
      <c r="X197" s="21">
        <v>0</v>
      </c>
      <c r="Y197" s="21">
        <f>(INDEX(($EL$167:$EX$169,$EL$172:$EX$174,$EL$177:$EX$179,$FA$167:$FM$169,$FA$172:$FM$174,$FA$177:$FM$179,$FP$167:$GB$169,$FP$172:$GB$174,$FP$177:$GB$179,$GE$167:$GQ$169,$GE$172:$GQ$174,$GE$177:$GQ$179,$GT$167:$HF$169,$GT$172:$HF$174),MATCH($L$201,$EK$167:$EK$169,0),MATCH(A207,$EL$166:$EX$166,0),MATCH($E$193,$AE$33:$AE$46,0)))*C207</f>
        <v>0</v>
      </c>
      <c r="Z197" s="21">
        <f>(INDEX(($EL$167:$EX$169,$EL$172:$EX$174,$EL$177:$EX$179,$FA$167:$FM$169,$FA$172:$FM$174,$FA$177:$FM$179,$FP$167:$GB$169,$FP$172:$GB$174,$FP$177:$GB$179,$GE$167:$GQ$169,$GE$172:$GQ$174,$GE$177:$GQ$179,$GT$167:$HF$169,$GT$172:$HF$174),MATCH($L$202,$EK$167:$EK$169,0),MATCH(A207,$EL$166:$EX$166,0),MATCH($E$193,$AE$33:$AE$46,0)))*C207</f>
        <v>0</v>
      </c>
      <c r="AA197" s="21"/>
      <c r="AB197" s="21"/>
      <c r="AC197" s="21"/>
      <c r="AD197" s="21"/>
      <c r="AE197" s="21"/>
      <c r="AF197" s="21"/>
      <c r="AG197" s="21"/>
      <c r="AH197" s="21"/>
      <c r="AI197" s="21"/>
      <c r="AJ197" s="21"/>
      <c r="AK197" s="21"/>
      <c r="AL197" s="21"/>
      <c r="AM197" s="21">
        <f>SUM(AM194:AM195)</f>
        <v>30800</v>
      </c>
      <c r="AN197" s="21"/>
      <c r="AO197" s="21">
        <f>SUM(AO194:AO196)</f>
        <v>1199.4699999999998</v>
      </c>
      <c r="AP197" s="21"/>
      <c r="AQ197" s="21"/>
      <c r="AR197" s="21"/>
      <c r="AS197" s="21"/>
      <c r="AT197" s="21"/>
      <c r="AU197" s="21"/>
      <c r="AV197" s="21"/>
      <c r="AW197" s="21"/>
      <c r="AX197" s="21"/>
      <c r="AY197" s="21"/>
      <c r="AZ197" s="21"/>
      <c r="BA197" s="21"/>
      <c r="BB197" s="21"/>
      <c r="BC197" s="21"/>
      <c r="BD197" s="21"/>
      <c r="BE197" s="21"/>
      <c r="BF197" s="21"/>
      <c r="BH197" s="20" t="s">
        <v>779</v>
      </c>
      <c r="BI197" s="204">
        <f>IF(SUM(BI195:BI196)&lt;6,0,IF(SUM(BI195:BI196)&gt;7,SUM(BI195:BI196)-5,0))</f>
        <v>0</v>
      </c>
      <c r="BJ197" s="204">
        <f t="shared" ref="BJ197:BU197" si="285">IF(SUM(BJ195:BJ196)&lt;6,0,IF(SUM(BJ195:BJ196)&gt;7,SUM(BJ195:BJ196)-5,0))</f>
        <v>0</v>
      </c>
      <c r="BK197" s="204">
        <f t="shared" si="285"/>
        <v>5</v>
      </c>
      <c r="BL197" s="204">
        <f t="shared" si="285"/>
        <v>5</v>
      </c>
      <c r="BM197" s="204">
        <f t="shared" si="285"/>
        <v>10</v>
      </c>
      <c r="BN197" s="204">
        <f t="shared" si="285"/>
        <v>10</v>
      </c>
      <c r="BO197" s="204">
        <f t="shared" si="285"/>
        <v>10</v>
      </c>
      <c r="BP197" s="204">
        <f t="shared" si="285"/>
        <v>15</v>
      </c>
      <c r="BQ197" s="204">
        <f t="shared" si="285"/>
        <v>15</v>
      </c>
      <c r="BR197" s="204">
        <f t="shared" si="285"/>
        <v>20</v>
      </c>
      <c r="BS197" s="204">
        <f t="shared" si="285"/>
        <v>20</v>
      </c>
      <c r="BT197" s="204">
        <f t="shared" si="285"/>
        <v>20</v>
      </c>
      <c r="BU197" s="204">
        <f t="shared" si="285"/>
        <v>25</v>
      </c>
      <c r="BV197" s="204"/>
      <c r="BW197" s="20" t="s">
        <v>779</v>
      </c>
      <c r="BX197" s="204">
        <f>IF(SUM(BX195:BX196)&lt;6,0,IF(SUM(BX195:BX196)&gt;7,SUM(BX195:BX196)-5,0))</f>
        <v>0</v>
      </c>
      <c r="BY197" s="204">
        <f t="shared" ref="BY197:CJ197" si="286">IF(SUM(CP185:CP186)&lt;6,0,IF(SUM(CP185:CP186)&gt;7,SUM(CP185:CP186)-5,0))</f>
        <v>0</v>
      </c>
      <c r="BZ197" s="204">
        <f t="shared" si="286"/>
        <v>5</v>
      </c>
      <c r="CA197" s="204">
        <f t="shared" si="286"/>
        <v>5</v>
      </c>
      <c r="CB197" s="204">
        <f t="shared" si="286"/>
        <v>10</v>
      </c>
      <c r="CC197" s="204">
        <f t="shared" si="286"/>
        <v>10</v>
      </c>
      <c r="CD197" s="204">
        <f t="shared" si="286"/>
        <v>15</v>
      </c>
      <c r="CE197" s="204">
        <f t="shared" si="286"/>
        <v>15</v>
      </c>
      <c r="CF197" s="204">
        <f t="shared" si="286"/>
        <v>20</v>
      </c>
      <c r="CG197" s="204">
        <f t="shared" si="286"/>
        <v>25</v>
      </c>
      <c r="CH197" s="204">
        <f t="shared" si="286"/>
        <v>20</v>
      </c>
      <c r="CI197" s="204">
        <f t="shared" si="286"/>
        <v>30</v>
      </c>
      <c r="CJ197" s="204">
        <f t="shared" si="286"/>
        <v>25</v>
      </c>
      <c r="CK197" s="204"/>
      <c r="CL197" s="204"/>
      <c r="CM197" s="204"/>
      <c r="CN197" s="20" t="s">
        <v>779</v>
      </c>
      <c r="CO197" s="204">
        <f>IF(SUM(CO195:CO196)&lt;6,0,IF(SUM(CO195:CO196)&gt;7,SUM(CO195:CO196)-5,0))</f>
        <v>0</v>
      </c>
      <c r="CP197" s="204">
        <f t="shared" ref="CP197:DA197" si="287">IF(SUM(CP195:CP196)&lt;6,0,IF(SUM(CP195:CP196)&gt;7,SUM(CP195:CP196)-5,0))</f>
        <v>0</v>
      </c>
      <c r="CQ197" s="204">
        <f t="shared" si="287"/>
        <v>5</v>
      </c>
      <c r="CR197" s="204">
        <f t="shared" si="287"/>
        <v>5</v>
      </c>
      <c r="CS197" s="204">
        <f t="shared" si="287"/>
        <v>10</v>
      </c>
      <c r="CT197" s="204">
        <f t="shared" si="287"/>
        <v>10</v>
      </c>
      <c r="CU197" s="204">
        <f t="shared" si="287"/>
        <v>15</v>
      </c>
      <c r="CV197" s="204">
        <f t="shared" si="287"/>
        <v>15</v>
      </c>
      <c r="CW197" s="204">
        <f t="shared" si="287"/>
        <v>20</v>
      </c>
      <c r="CX197" s="204">
        <f t="shared" si="287"/>
        <v>20</v>
      </c>
      <c r="CY197" s="204">
        <f t="shared" si="287"/>
        <v>30</v>
      </c>
      <c r="CZ197" s="204">
        <f t="shared" si="287"/>
        <v>25</v>
      </c>
      <c r="DA197" s="204">
        <f t="shared" si="287"/>
        <v>35</v>
      </c>
      <c r="DB197" s="204"/>
      <c r="DC197" s="20" t="s">
        <v>779</v>
      </c>
      <c r="DD197" s="204">
        <f>IF(SUM(DD195:DD196)&lt;6,0,IF(SUM(DD195:DD196)&gt;7,SUM(DD195:DD196)-5,0))</f>
        <v>0</v>
      </c>
      <c r="DE197" s="204">
        <f t="shared" ref="DE197:DP197" si="288">IF(SUM(DE195:DE196)&lt;6,0,IF(SUM(DE195:DE196)&gt;7,SUM(DE195:DE196)-5,0))</f>
        <v>5</v>
      </c>
      <c r="DF197" s="204">
        <f t="shared" si="288"/>
        <v>5</v>
      </c>
      <c r="DG197" s="204">
        <f t="shared" si="288"/>
        <v>10</v>
      </c>
      <c r="DH197" s="204">
        <f t="shared" si="288"/>
        <v>10</v>
      </c>
      <c r="DI197" s="204">
        <f t="shared" si="288"/>
        <v>15</v>
      </c>
      <c r="DJ197" s="204">
        <f t="shared" si="288"/>
        <v>15</v>
      </c>
      <c r="DK197" s="204">
        <f t="shared" si="288"/>
        <v>20</v>
      </c>
      <c r="DL197" s="204">
        <f t="shared" si="288"/>
        <v>20</v>
      </c>
      <c r="DM197" s="204">
        <f t="shared" si="288"/>
        <v>30</v>
      </c>
      <c r="DN197" s="204">
        <f t="shared" si="288"/>
        <v>25</v>
      </c>
      <c r="DO197" s="204">
        <f t="shared" si="288"/>
        <v>35</v>
      </c>
      <c r="DP197" s="204">
        <f t="shared" si="288"/>
        <v>30</v>
      </c>
      <c r="DQ197" s="215"/>
      <c r="DR197" s="215"/>
      <c r="DS197" s="215"/>
      <c r="DT197" s="204"/>
      <c r="DU197" s="204"/>
      <c r="DV197" s="204"/>
      <c r="DW197" s="204"/>
      <c r="DX197" s="204"/>
      <c r="DY197" s="204"/>
      <c r="DZ197" s="204"/>
      <c r="EA197" s="204"/>
      <c r="EB197" s="204"/>
      <c r="EC197" s="204"/>
      <c r="ED197" s="204"/>
      <c r="EE197" s="204"/>
      <c r="EF197" s="204"/>
      <c r="EG197" s="204"/>
      <c r="EH197" s="205"/>
      <c r="EI197" s="21"/>
      <c r="EJ197" s="196"/>
      <c r="EK197" s="21" t="s">
        <v>815</v>
      </c>
      <c r="EL197" s="21">
        <f t="shared" ref="EL197:FI197" si="289">EL94</f>
        <v>0</v>
      </c>
      <c r="EM197" s="21">
        <f t="shared" si="289"/>
        <v>0</v>
      </c>
      <c r="EN197" s="21">
        <f t="shared" si="289"/>
        <v>4</v>
      </c>
      <c r="EO197" s="21">
        <f t="shared" si="289"/>
        <v>0</v>
      </c>
      <c r="EP197" s="21">
        <f t="shared" si="289"/>
        <v>0</v>
      </c>
      <c r="EQ197" s="21">
        <f t="shared" si="289"/>
        <v>4</v>
      </c>
      <c r="ER197" s="21">
        <f t="shared" si="289"/>
        <v>0</v>
      </c>
      <c r="ES197" s="21">
        <f t="shared" si="289"/>
        <v>0</v>
      </c>
      <c r="ET197" s="21">
        <f t="shared" si="289"/>
        <v>4</v>
      </c>
      <c r="EU197" s="21">
        <f t="shared" si="289"/>
        <v>8</v>
      </c>
      <c r="EV197" s="21">
        <f t="shared" si="289"/>
        <v>0</v>
      </c>
      <c r="EW197" s="21">
        <f t="shared" si="289"/>
        <v>4</v>
      </c>
      <c r="EX197" s="21">
        <f t="shared" si="289"/>
        <v>8</v>
      </c>
      <c r="EY197" s="21">
        <f t="shared" si="289"/>
        <v>0</v>
      </c>
      <c r="EZ197" s="21">
        <f t="shared" si="289"/>
        <v>4</v>
      </c>
      <c r="FA197" s="21">
        <f t="shared" si="289"/>
        <v>8</v>
      </c>
      <c r="FB197" s="21">
        <f t="shared" si="289"/>
        <v>0</v>
      </c>
      <c r="FC197" s="21">
        <f t="shared" si="289"/>
        <v>4</v>
      </c>
      <c r="FD197" s="21">
        <f t="shared" si="289"/>
        <v>8</v>
      </c>
      <c r="FE197" s="21">
        <f t="shared" si="289"/>
        <v>0</v>
      </c>
      <c r="FF197" s="21">
        <f t="shared" si="289"/>
        <v>4</v>
      </c>
      <c r="FG197" s="21">
        <f t="shared" si="289"/>
        <v>8</v>
      </c>
      <c r="FH197" s="21">
        <f t="shared" si="289"/>
        <v>0</v>
      </c>
      <c r="FI197" s="21">
        <f t="shared" si="289"/>
        <v>4</v>
      </c>
      <c r="FJ197" s="21"/>
      <c r="FK197" s="21" t="s">
        <v>815</v>
      </c>
      <c r="FL197" s="21">
        <f t="shared" ref="FL197:GI197" si="290">FL94</f>
        <v>0</v>
      </c>
      <c r="FM197" s="21">
        <f t="shared" si="290"/>
        <v>4</v>
      </c>
      <c r="FN197" s="21">
        <f t="shared" si="290"/>
        <v>0</v>
      </c>
      <c r="FO197" s="21">
        <f t="shared" si="290"/>
        <v>0</v>
      </c>
      <c r="FP197" s="21">
        <f t="shared" si="290"/>
        <v>4</v>
      </c>
      <c r="FQ197" s="21">
        <f t="shared" si="290"/>
        <v>8</v>
      </c>
      <c r="FR197" s="21">
        <f t="shared" si="290"/>
        <v>0</v>
      </c>
      <c r="FS197" s="21">
        <f t="shared" si="290"/>
        <v>4</v>
      </c>
      <c r="FT197" s="21">
        <f t="shared" si="290"/>
        <v>8</v>
      </c>
      <c r="FU197" s="21">
        <f t="shared" si="290"/>
        <v>0</v>
      </c>
      <c r="FV197" s="21">
        <f t="shared" si="290"/>
        <v>4</v>
      </c>
      <c r="FW197" s="21">
        <f t="shared" si="290"/>
        <v>8</v>
      </c>
      <c r="FX197" s="21">
        <f t="shared" si="290"/>
        <v>0</v>
      </c>
      <c r="FY197" s="21">
        <f t="shared" si="290"/>
        <v>8</v>
      </c>
      <c r="FZ197" s="21">
        <f t="shared" si="290"/>
        <v>0</v>
      </c>
      <c r="GA197" s="21">
        <f t="shared" si="290"/>
        <v>4</v>
      </c>
      <c r="GB197" s="21">
        <f t="shared" si="290"/>
        <v>8</v>
      </c>
      <c r="GC197" s="21">
        <f t="shared" si="290"/>
        <v>0</v>
      </c>
      <c r="GD197" s="21">
        <f t="shared" si="290"/>
        <v>4</v>
      </c>
      <c r="GE197" s="21">
        <f t="shared" si="290"/>
        <v>8</v>
      </c>
      <c r="GF197" s="21">
        <f t="shared" si="290"/>
        <v>0</v>
      </c>
      <c r="GG197" s="21">
        <f t="shared" si="290"/>
        <v>4</v>
      </c>
      <c r="GH197" s="21">
        <f t="shared" si="290"/>
        <v>8</v>
      </c>
      <c r="GI197" s="21">
        <f t="shared" si="290"/>
        <v>0</v>
      </c>
      <c r="GJ197" s="21"/>
      <c r="GK197" s="21"/>
      <c r="GL197" s="21"/>
      <c r="GM197" s="21"/>
      <c r="GN197" s="21"/>
      <c r="GO197" s="21"/>
      <c r="GP197" s="21"/>
      <c r="GQ197" s="21"/>
      <c r="GR197" s="21" t="s">
        <v>813</v>
      </c>
      <c r="GS197" s="21">
        <f t="shared" ref="GS197:HP197" si="291">GS94</f>
        <v>0</v>
      </c>
      <c r="GT197" s="21">
        <f t="shared" si="291"/>
        <v>0</v>
      </c>
      <c r="GU197" s="21">
        <f t="shared" si="291"/>
        <v>0</v>
      </c>
      <c r="GV197" s="21">
        <f t="shared" si="291"/>
        <v>0</v>
      </c>
      <c r="GW197" s="21">
        <f t="shared" si="291"/>
        <v>4</v>
      </c>
      <c r="GX197" s="21">
        <f t="shared" si="291"/>
        <v>12</v>
      </c>
      <c r="GY197" s="21">
        <f t="shared" si="291"/>
        <v>8</v>
      </c>
      <c r="GZ197" s="21">
        <f t="shared" si="291"/>
        <v>4</v>
      </c>
      <c r="HA197" s="21">
        <f t="shared" si="291"/>
        <v>0</v>
      </c>
      <c r="HB197" s="21">
        <f t="shared" si="291"/>
        <v>12</v>
      </c>
      <c r="HC197" s="21">
        <f t="shared" si="291"/>
        <v>8</v>
      </c>
      <c r="HD197" s="21">
        <f t="shared" si="291"/>
        <v>0</v>
      </c>
      <c r="HE197" s="21">
        <f t="shared" si="291"/>
        <v>12</v>
      </c>
      <c r="HF197" s="21">
        <f t="shared" si="291"/>
        <v>8</v>
      </c>
      <c r="HG197" s="21">
        <f t="shared" si="291"/>
        <v>4</v>
      </c>
      <c r="HH197" s="21">
        <f t="shared" si="291"/>
        <v>0</v>
      </c>
      <c r="HI197" s="21">
        <f t="shared" si="291"/>
        <v>12</v>
      </c>
      <c r="HJ197" s="21">
        <f t="shared" si="291"/>
        <v>4</v>
      </c>
      <c r="HK197" s="21">
        <f t="shared" si="291"/>
        <v>0</v>
      </c>
      <c r="HL197" s="21">
        <f t="shared" si="291"/>
        <v>12</v>
      </c>
      <c r="HM197" s="21">
        <f t="shared" si="291"/>
        <v>8</v>
      </c>
      <c r="HN197" s="21">
        <f t="shared" si="291"/>
        <v>4</v>
      </c>
      <c r="HO197" s="21">
        <f t="shared" si="291"/>
        <v>0</v>
      </c>
      <c r="HP197" s="21">
        <f t="shared" si="291"/>
        <v>12</v>
      </c>
      <c r="HS197" s="21" t="s">
        <v>813</v>
      </c>
      <c r="HT197" s="21">
        <f t="shared" ref="HT197:IQ197" si="292">HT94</f>
        <v>0</v>
      </c>
      <c r="HU197" s="21">
        <f t="shared" si="292"/>
        <v>0</v>
      </c>
      <c r="HV197" s="21">
        <f t="shared" si="292"/>
        <v>0</v>
      </c>
      <c r="HW197" s="21">
        <f t="shared" si="292"/>
        <v>4</v>
      </c>
      <c r="HX197" s="21">
        <f t="shared" si="292"/>
        <v>0</v>
      </c>
      <c r="HY197" s="21">
        <f t="shared" si="292"/>
        <v>12</v>
      </c>
      <c r="HZ197" s="21">
        <f t="shared" si="292"/>
        <v>4</v>
      </c>
      <c r="IA197" s="21">
        <f t="shared" si="292"/>
        <v>0</v>
      </c>
      <c r="IB197" s="21">
        <f t="shared" si="292"/>
        <v>12</v>
      </c>
      <c r="IC197" s="21">
        <f t="shared" si="292"/>
        <v>8</v>
      </c>
      <c r="ID197" s="21">
        <f t="shared" si="292"/>
        <v>0</v>
      </c>
      <c r="IE197" s="21">
        <f t="shared" si="292"/>
        <v>12</v>
      </c>
      <c r="IF197" s="21">
        <f t="shared" si="292"/>
        <v>8</v>
      </c>
      <c r="IG197" s="21">
        <f t="shared" si="292"/>
        <v>4</v>
      </c>
      <c r="IH197" s="21">
        <f t="shared" si="292"/>
        <v>0</v>
      </c>
      <c r="II197" s="21">
        <f t="shared" si="292"/>
        <v>8</v>
      </c>
      <c r="IJ197" s="21">
        <f t="shared" si="292"/>
        <v>4</v>
      </c>
      <c r="IK197" s="21">
        <f t="shared" si="292"/>
        <v>0</v>
      </c>
      <c r="IL197" s="21">
        <f t="shared" si="292"/>
        <v>12</v>
      </c>
      <c r="IM197" s="21">
        <f t="shared" si="292"/>
        <v>4</v>
      </c>
      <c r="IN197" s="21">
        <f t="shared" si="292"/>
        <v>0</v>
      </c>
      <c r="IO197" s="21">
        <f t="shared" si="292"/>
        <v>12</v>
      </c>
      <c r="IP197" s="21">
        <f t="shared" si="292"/>
        <v>8</v>
      </c>
      <c r="IQ197" s="21">
        <f t="shared" si="292"/>
        <v>0</v>
      </c>
      <c r="IT197" s="198"/>
    </row>
    <row r="198" spans="1:254" hidden="1" x14ac:dyDescent="0.25">
      <c r="A198" s="33"/>
      <c r="B198" s="5" t="s">
        <v>116</v>
      </c>
      <c r="C198" s="33"/>
      <c r="D198" s="6" t="s">
        <v>515</v>
      </c>
      <c r="E198" s="33">
        <v>0</v>
      </c>
      <c r="F198" s="5"/>
      <c r="G198" s="5"/>
      <c r="H198" s="5"/>
      <c r="I198" s="5"/>
      <c r="J198" s="5" t="s">
        <v>412</v>
      </c>
      <c r="K198" s="9"/>
      <c r="L198" s="6" t="s">
        <v>208</v>
      </c>
      <c r="M198" s="11">
        <f>INDEX(cennik!$C$2:$L$529,MATCH($L198,cennik!$B$2:$B$522,0),MATCH(M$2,cennik!$C$1:$L$1,0))</f>
        <v>851117</v>
      </c>
      <c r="N198" s="11" t="str">
        <f>INDEX(cennik!$C$2:$L$529,MATCH($L198,cennik!$B$2:$B$522,0),MATCH(N$2,cennik!$C$1:$L$1,0))</f>
        <v>szt.</v>
      </c>
      <c r="O198" s="11">
        <f>O195</f>
        <v>0</v>
      </c>
      <c r="P198" s="34">
        <f>INDEX(cennik!$C$2:$L$529,MATCH($L198,cennik!$B$2:$B$522,0),MATCH(P$2,cennik!$C$1:$L$1,0))</f>
        <v>35.700000000000003</v>
      </c>
      <c r="Q198" s="34">
        <f t="shared" si="275"/>
        <v>0</v>
      </c>
      <c r="R198" s="35">
        <f t="shared" si="276"/>
        <v>0</v>
      </c>
      <c r="S198" s="34">
        <f t="shared" si="277"/>
        <v>35.700000000000003</v>
      </c>
      <c r="T198" s="34">
        <f>O198*S198</f>
        <v>0</v>
      </c>
      <c r="U198" s="34">
        <f>INDEX(cennik!$C$2:$L$529,MATCH($L198,cennik!$B$2:$B$522,0),MATCH(U$2,cennik!$C$1:$L$1,0))*O198</f>
        <v>0</v>
      </c>
      <c r="V198" s="21"/>
      <c r="AG198" s="21"/>
      <c r="AH198" s="21"/>
      <c r="AI198" s="21"/>
      <c r="AJ198" s="21"/>
      <c r="AK198" s="21">
        <f>(AD178-1)*2900</f>
        <v>-2900</v>
      </c>
      <c r="AL198" s="21"/>
      <c r="AM198" s="21"/>
      <c r="AN198" s="21"/>
      <c r="AO198" s="21"/>
      <c r="AP198" s="21"/>
      <c r="AQ198" s="21"/>
      <c r="AR198" s="21"/>
      <c r="AS198" s="21"/>
      <c r="AT198" s="21"/>
      <c r="AU198" s="21"/>
      <c r="AV198" s="21"/>
      <c r="AW198" s="21"/>
      <c r="AX198" s="21"/>
      <c r="AY198" s="21"/>
      <c r="AZ198" s="21"/>
      <c r="BA198" s="21"/>
      <c r="BB198" s="21"/>
      <c r="BC198" s="21"/>
      <c r="BD198" s="21"/>
      <c r="BE198" s="21"/>
      <c r="BF198" s="21"/>
      <c r="BG198" s="21"/>
      <c r="BH198" s="21"/>
      <c r="BI198" s="21"/>
      <c r="BJ198" s="21"/>
      <c r="BK198" s="21"/>
      <c r="BL198" s="21"/>
      <c r="BM198" s="21"/>
      <c r="BN198" s="21"/>
      <c r="BO198" s="21"/>
      <c r="BP198" s="21"/>
      <c r="BQ198" s="21"/>
      <c r="BR198" s="21"/>
      <c r="BS198" s="21"/>
      <c r="BT198" s="21"/>
      <c r="BU198" s="21"/>
      <c r="BV198" s="21"/>
      <c r="BW198" s="21"/>
      <c r="BX198" s="21"/>
      <c r="BY198" s="21"/>
      <c r="BZ198" s="21"/>
      <c r="CA198" s="21"/>
      <c r="CB198" s="21"/>
      <c r="CC198" s="21"/>
      <c r="CD198" s="21"/>
      <c r="CE198" s="21"/>
      <c r="CF198" s="21"/>
      <c r="CG198" s="21"/>
      <c r="CH198" s="21"/>
      <c r="CI198" s="21"/>
      <c r="CJ198" s="21"/>
      <c r="CK198" s="21"/>
      <c r="CL198" s="21"/>
      <c r="CM198" s="21"/>
      <c r="CN198" s="21"/>
      <c r="CO198" s="21"/>
      <c r="CP198" s="21"/>
      <c r="CQ198" s="21"/>
      <c r="CR198" s="21"/>
      <c r="CS198" s="21"/>
      <c r="CT198" s="21"/>
      <c r="CU198" s="21"/>
      <c r="CV198" s="21"/>
      <c r="CW198" s="21"/>
      <c r="CX198" s="21"/>
      <c r="CY198" s="21"/>
      <c r="CZ198" s="21"/>
      <c r="DA198" s="21"/>
      <c r="DB198" s="21"/>
      <c r="DC198" s="21"/>
      <c r="DD198" s="21"/>
      <c r="DE198" s="21"/>
      <c r="DF198" s="21"/>
      <c r="DG198" s="21"/>
      <c r="DH198" s="21"/>
      <c r="DI198" s="21"/>
      <c r="DJ198" s="21"/>
      <c r="DK198" s="21"/>
      <c r="DL198" s="21"/>
      <c r="DM198" s="21"/>
      <c r="DN198" s="21"/>
      <c r="DO198" s="21"/>
      <c r="DP198" s="21"/>
      <c r="DQ198" s="87"/>
      <c r="DR198" s="87"/>
      <c r="DS198" s="87"/>
      <c r="DT198" s="21"/>
      <c r="DU198" s="21"/>
      <c r="DV198" s="21"/>
      <c r="DW198" s="21"/>
      <c r="DX198" s="21"/>
      <c r="DY198" s="21"/>
      <c r="DZ198" s="21"/>
      <c r="EA198" s="21"/>
      <c r="EB198" s="21"/>
      <c r="EC198" s="21"/>
      <c r="ED198" s="21"/>
      <c r="EE198" s="21"/>
      <c r="EF198" s="21"/>
      <c r="EG198" s="21"/>
      <c r="EH198" s="21"/>
      <c r="EI198" s="21"/>
      <c r="EJ198" s="196"/>
      <c r="EK198" s="21" t="s">
        <v>813</v>
      </c>
      <c r="EL198" s="21">
        <f t="shared" ref="EL198:FI198" si="293">EL95</f>
        <v>0</v>
      </c>
      <c r="EM198" s="21">
        <f t="shared" si="293"/>
        <v>4</v>
      </c>
      <c r="EN198" s="21">
        <f t="shared" si="293"/>
        <v>0</v>
      </c>
      <c r="EO198" s="21">
        <f t="shared" si="293"/>
        <v>0</v>
      </c>
      <c r="EP198" s="21">
        <f t="shared" si="293"/>
        <v>8</v>
      </c>
      <c r="EQ198" s="21">
        <f t="shared" si="293"/>
        <v>4</v>
      </c>
      <c r="ER198" s="21">
        <f t="shared" si="293"/>
        <v>12</v>
      </c>
      <c r="ES198" s="21">
        <f t="shared" si="293"/>
        <v>12</v>
      </c>
      <c r="ET198" s="21">
        <f t="shared" si="293"/>
        <v>8</v>
      </c>
      <c r="EU198" s="21">
        <f t="shared" si="293"/>
        <v>4</v>
      </c>
      <c r="EV198" s="21">
        <f t="shared" si="293"/>
        <v>16</v>
      </c>
      <c r="EW198" s="21">
        <f t="shared" si="293"/>
        <v>12</v>
      </c>
      <c r="EX198" s="21">
        <f t="shared" si="293"/>
        <v>8</v>
      </c>
      <c r="EY198" s="21">
        <f t="shared" si="293"/>
        <v>20</v>
      </c>
      <c r="EZ198" s="21">
        <f t="shared" si="293"/>
        <v>16</v>
      </c>
      <c r="FA198" s="21">
        <f t="shared" si="293"/>
        <v>12</v>
      </c>
      <c r="FB198" s="21">
        <f t="shared" si="293"/>
        <v>24</v>
      </c>
      <c r="FC198" s="21">
        <f t="shared" si="293"/>
        <v>20</v>
      </c>
      <c r="FD198" s="21">
        <f t="shared" si="293"/>
        <v>16</v>
      </c>
      <c r="FE198" s="21">
        <f t="shared" si="293"/>
        <v>28</v>
      </c>
      <c r="FF198" s="21">
        <f t="shared" si="293"/>
        <v>24</v>
      </c>
      <c r="FG198" s="21">
        <f t="shared" si="293"/>
        <v>20</v>
      </c>
      <c r="FH198" s="21">
        <f t="shared" si="293"/>
        <v>32</v>
      </c>
      <c r="FI198" s="21">
        <f t="shared" si="293"/>
        <v>28</v>
      </c>
      <c r="FJ198" s="21"/>
      <c r="FK198" s="21" t="s">
        <v>813</v>
      </c>
      <c r="FL198" s="21">
        <f t="shared" ref="FL198:GI198" si="294">FL95</f>
        <v>0</v>
      </c>
      <c r="FM198" s="21">
        <f t="shared" si="294"/>
        <v>0</v>
      </c>
      <c r="FN198" s="21">
        <f t="shared" si="294"/>
        <v>0</v>
      </c>
      <c r="FO198" s="21">
        <f t="shared" si="294"/>
        <v>0</v>
      </c>
      <c r="FP198" s="21">
        <f t="shared" si="294"/>
        <v>4</v>
      </c>
      <c r="FQ198" s="21">
        <f t="shared" si="294"/>
        <v>0</v>
      </c>
      <c r="FR198" s="21">
        <f t="shared" si="294"/>
        <v>12</v>
      </c>
      <c r="FS198" s="21">
        <f t="shared" si="294"/>
        <v>8</v>
      </c>
      <c r="FT198" s="21">
        <f t="shared" si="294"/>
        <v>4</v>
      </c>
      <c r="FU198" s="21">
        <f t="shared" si="294"/>
        <v>16</v>
      </c>
      <c r="FV198" s="21">
        <f t="shared" si="294"/>
        <v>12</v>
      </c>
      <c r="FW198" s="21">
        <f t="shared" si="294"/>
        <v>8</v>
      </c>
      <c r="FX198" s="21">
        <f t="shared" si="294"/>
        <v>20</v>
      </c>
      <c r="FY198" s="21">
        <f t="shared" si="294"/>
        <v>12</v>
      </c>
      <c r="FZ198" s="21">
        <f t="shared" si="294"/>
        <v>24</v>
      </c>
      <c r="GA198" s="21">
        <f t="shared" si="294"/>
        <v>20</v>
      </c>
      <c r="GB198" s="21">
        <f t="shared" si="294"/>
        <v>16</v>
      </c>
      <c r="GC198" s="21">
        <f t="shared" si="294"/>
        <v>28</v>
      </c>
      <c r="GD198" s="21">
        <f t="shared" si="294"/>
        <v>24</v>
      </c>
      <c r="GE198" s="21">
        <f t="shared" si="294"/>
        <v>20</v>
      </c>
      <c r="GF198" s="21">
        <f t="shared" si="294"/>
        <v>32</v>
      </c>
      <c r="GG198" s="21">
        <f t="shared" si="294"/>
        <v>28</v>
      </c>
      <c r="GH198" s="21">
        <f t="shared" si="294"/>
        <v>24</v>
      </c>
      <c r="GI198" s="21">
        <f t="shared" si="294"/>
        <v>36</v>
      </c>
      <c r="GJ198" s="21"/>
      <c r="GK198" s="21"/>
      <c r="GL198" s="21"/>
      <c r="GM198" s="21"/>
      <c r="GN198" s="21"/>
      <c r="GO198" s="21"/>
      <c r="GP198" s="21"/>
      <c r="GQ198" s="21"/>
      <c r="GR198" s="20" t="s">
        <v>819</v>
      </c>
      <c r="GS198" s="21">
        <f t="shared" ref="GS198:HP198" si="295">GS95</f>
        <v>0</v>
      </c>
      <c r="GT198" s="21">
        <f t="shared" si="295"/>
        <v>0</v>
      </c>
      <c r="GU198" s="21">
        <f t="shared" si="295"/>
        <v>0</v>
      </c>
      <c r="GV198" s="21">
        <f t="shared" si="295"/>
        <v>0</v>
      </c>
      <c r="GW198" s="21">
        <f t="shared" si="295"/>
        <v>4</v>
      </c>
      <c r="GX198" s="21">
        <f t="shared" si="295"/>
        <v>8</v>
      </c>
      <c r="GY198" s="21">
        <f t="shared" si="295"/>
        <v>8</v>
      </c>
      <c r="GZ198" s="21">
        <f t="shared" si="295"/>
        <v>8</v>
      </c>
      <c r="HA198" s="21">
        <f t="shared" si="295"/>
        <v>8</v>
      </c>
      <c r="HB198" s="21">
        <f t="shared" si="295"/>
        <v>12</v>
      </c>
      <c r="HC198" s="21">
        <f t="shared" si="295"/>
        <v>12</v>
      </c>
      <c r="HD198" s="21">
        <f t="shared" si="295"/>
        <v>12</v>
      </c>
      <c r="HE198" s="21">
        <f t="shared" si="295"/>
        <v>16</v>
      </c>
      <c r="HF198" s="21">
        <f t="shared" si="295"/>
        <v>16</v>
      </c>
      <c r="HG198" s="21">
        <f t="shared" si="295"/>
        <v>16</v>
      </c>
      <c r="HH198" s="21">
        <f t="shared" si="295"/>
        <v>16</v>
      </c>
      <c r="HI198" s="21">
        <f t="shared" si="295"/>
        <v>20</v>
      </c>
      <c r="HJ198" s="21">
        <f t="shared" si="295"/>
        <v>20</v>
      </c>
      <c r="HK198" s="21">
        <f t="shared" si="295"/>
        <v>20</v>
      </c>
      <c r="HL198" s="21">
        <f t="shared" si="295"/>
        <v>24</v>
      </c>
      <c r="HM198" s="21">
        <f t="shared" si="295"/>
        <v>24</v>
      </c>
      <c r="HN198" s="21">
        <f t="shared" si="295"/>
        <v>24</v>
      </c>
      <c r="HO198" s="21">
        <f t="shared" si="295"/>
        <v>24</v>
      </c>
      <c r="HP198" s="21">
        <f t="shared" si="295"/>
        <v>28</v>
      </c>
      <c r="HS198" s="20" t="s">
        <v>819</v>
      </c>
      <c r="HT198" s="21">
        <f t="shared" ref="HT198:IQ198" si="296">HT95</f>
        <v>0</v>
      </c>
      <c r="HU198" s="21">
        <f t="shared" si="296"/>
        <v>0</v>
      </c>
      <c r="HV198" s="21">
        <f t="shared" si="296"/>
        <v>0</v>
      </c>
      <c r="HW198" s="21">
        <f t="shared" si="296"/>
        <v>4</v>
      </c>
      <c r="HX198" s="21">
        <f t="shared" si="296"/>
        <v>4</v>
      </c>
      <c r="HY198" s="21">
        <f t="shared" si="296"/>
        <v>8</v>
      </c>
      <c r="HZ198" s="21">
        <f t="shared" si="296"/>
        <v>8</v>
      </c>
      <c r="IA198" s="21">
        <f t="shared" si="296"/>
        <v>8</v>
      </c>
      <c r="IB198" s="21">
        <f t="shared" si="296"/>
        <v>12</v>
      </c>
      <c r="IC198" s="21">
        <f t="shared" si="296"/>
        <v>12</v>
      </c>
      <c r="ID198" s="21">
        <f t="shared" si="296"/>
        <v>12</v>
      </c>
      <c r="IE198" s="21">
        <f t="shared" si="296"/>
        <v>16</v>
      </c>
      <c r="IF198" s="21">
        <f t="shared" si="296"/>
        <v>16</v>
      </c>
      <c r="IG198" s="21">
        <f t="shared" si="296"/>
        <v>16</v>
      </c>
      <c r="IH198" s="21">
        <f t="shared" si="296"/>
        <v>16</v>
      </c>
      <c r="II198" s="21">
        <f t="shared" si="296"/>
        <v>20</v>
      </c>
      <c r="IJ198" s="21">
        <f t="shared" si="296"/>
        <v>20</v>
      </c>
      <c r="IK198" s="21">
        <f t="shared" si="296"/>
        <v>20</v>
      </c>
      <c r="IL198" s="21">
        <f t="shared" si="296"/>
        <v>24</v>
      </c>
      <c r="IM198" s="21">
        <f t="shared" si="296"/>
        <v>24</v>
      </c>
      <c r="IN198" s="21">
        <f t="shared" si="296"/>
        <v>24</v>
      </c>
      <c r="IO198" s="21">
        <f t="shared" si="296"/>
        <v>28</v>
      </c>
      <c r="IP198" s="21">
        <f t="shared" si="296"/>
        <v>28</v>
      </c>
      <c r="IQ198" s="21">
        <f t="shared" si="296"/>
        <v>28</v>
      </c>
      <c r="IT198" s="198"/>
    </row>
    <row r="199" spans="1:254" hidden="1" x14ac:dyDescent="0.25">
      <c r="A199" s="33"/>
      <c r="B199" s="5" t="s">
        <v>116</v>
      </c>
      <c r="C199" s="33"/>
      <c r="D199" s="6" t="s">
        <v>511</v>
      </c>
      <c r="E199" s="4"/>
      <c r="F199" s="6"/>
      <c r="G199" s="6"/>
      <c r="H199" s="6"/>
      <c r="I199" s="6"/>
      <c r="J199" s="1"/>
      <c r="K199" s="9"/>
      <c r="L199" s="6" t="s">
        <v>212</v>
      </c>
      <c r="M199" s="11">
        <f>INDEX(cennik!$C$2:$L$529,MATCH($L199,cennik!$B$2:$B$522,0),MATCH(M$2,cennik!$C$1:$L$1,0))</f>
        <v>851135</v>
      </c>
      <c r="N199" s="11" t="str">
        <f>INDEX(cennik!$C$2:$L$529,MATCH($L199,cennik!$B$2:$B$522,0),MATCH(N$2,cennik!$C$1:$L$1,0))</f>
        <v>szt.</v>
      </c>
      <c r="O199" s="11">
        <f>SUM(AA180:AA195)*4</f>
        <v>0</v>
      </c>
      <c r="P199" s="34">
        <f>INDEX(cennik!$C$2:$L$529,MATCH($L199,cennik!$B$2:$B$522,0),MATCH(P$2,cennik!$C$1:$L$1,0))</f>
        <v>73.5</v>
      </c>
      <c r="Q199" s="34">
        <f t="shared" si="275"/>
        <v>0</v>
      </c>
      <c r="R199" s="35">
        <f t="shared" si="276"/>
        <v>0</v>
      </c>
      <c r="S199" s="34">
        <f t="shared" si="277"/>
        <v>73.5</v>
      </c>
      <c r="T199" s="34">
        <f t="shared" si="278"/>
        <v>0</v>
      </c>
      <c r="U199" s="34">
        <f>INDEX(cennik!$C$2:$L$529,MATCH($L199,cennik!$B$2:$B$522,0),MATCH(U$2,cennik!$C$1:$L$1,0))*O199</f>
        <v>0</v>
      </c>
      <c r="V199" s="21"/>
      <c r="AG199" s="21"/>
      <c r="AH199" s="21"/>
      <c r="AI199" s="21"/>
      <c r="AJ199" s="21"/>
      <c r="AK199" s="21"/>
      <c r="AL199" s="21"/>
      <c r="AM199" s="21"/>
      <c r="AN199" s="21"/>
      <c r="AO199" s="21"/>
      <c r="AP199" s="21"/>
      <c r="AQ199" s="21"/>
      <c r="AR199" s="21"/>
      <c r="AS199" s="21"/>
      <c r="AT199" s="21"/>
      <c r="AU199" s="21"/>
      <c r="AV199" s="21"/>
      <c r="AW199" s="21"/>
      <c r="AX199" s="21"/>
      <c r="AY199" s="21"/>
      <c r="AZ199" s="21"/>
      <c r="BA199" s="21"/>
      <c r="BB199" s="21"/>
      <c r="BC199" s="21"/>
      <c r="BD199" s="21"/>
      <c r="BE199" s="21"/>
      <c r="BF199" s="21"/>
      <c r="BG199" s="21"/>
      <c r="BV199" s="21"/>
      <c r="BW199" s="21"/>
      <c r="BX199" s="21"/>
      <c r="BY199" s="21"/>
      <c r="BZ199" s="21"/>
      <c r="CA199" s="21"/>
      <c r="CB199" s="21"/>
      <c r="CC199" s="21"/>
      <c r="CD199" s="21"/>
      <c r="CE199" s="21"/>
      <c r="CF199" s="21"/>
      <c r="CG199" s="21"/>
      <c r="CH199" s="21"/>
      <c r="CI199" s="21"/>
      <c r="CJ199" s="21"/>
      <c r="CK199" s="21"/>
      <c r="CL199" s="21"/>
      <c r="CM199" s="21"/>
      <c r="CN199" s="21"/>
      <c r="CO199" s="21"/>
      <c r="CP199" s="21"/>
      <c r="CQ199" s="21"/>
      <c r="CR199" s="21"/>
      <c r="CS199" s="21"/>
      <c r="CT199" s="21"/>
      <c r="CU199" s="21"/>
      <c r="CV199" s="21"/>
      <c r="CW199" s="21"/>
      <c r="CX199" s="21"/>
      <c r="CY199" s="21"/>
      <c r="CZ199" s="21"/>
      <c r="DA199" s="21"/>
      <c r="DB199" s="21"/>
      <c r="DC199" s="21"/>
      <c r="DD199" s="21"/>
      <c r="DE199" s="21"/>
      <c r="DF199" s="21"/>
      <c r="DG199" s="21"/>
      <c r="DH199" s="21"/>
      <c r="DI199" s="21"/>
      <c r="DJ199" s="21"/>
      <c r="DK199" s="21"/>
      <c r="DL199" s="21"/>
      <c r="DM199" s="21"/>
      <c r="DN199" s="21"/>
      <c r="DO199" s="21"/>
      <c r="DP199" s="21"/>
      <c r="DQ199" s="87"/>
      <c r="DR199" s="87"/>
      <c r="DS199" s="87"/>
      <c r="DT199" s="21"/>
      <c r="DU199" s="21"/>
      <c r="DV199" s="21"/>
      <c r="DW199" s="21"/>
      <c r="DX199" s="21"/>
      <c r="DY199" s="21"/>
      <c r="DZ199" s="21"/>
      <c r="EA199" s="21"/>
      <c r="EB199" s="21"/>
      <c r="EC199" s="21"/>
      <c r="ED199" s="21"/>
      <c r="EE199" s="21"/>
      <c r="EF199" s="21"/>
      <c r="EG199" s="21"/>
      <c r="EH199" s="21"/>
      <c r="EI199" s="21"/>
      <c r="EJ199" s="196"/>
      <c r="EK199" s="20" t="s">
        <v>819</v>
      </c>
      <c r="EL199" s="21">
        <f t="shared" ref="EL199:FI199" si="297">EL96</f>
        <v>0</v>
      </c>
      <c r="EM199" s="21">
        <f t="shared" si="297"/>
        <v>0</v>
      </c>
      <c r="EN199" s="21">
        <f t="shared" si="297"/>
        <v>0</v>
      </c>
      <c r="EO199" s="21">
        <f t="shared" si="297"/>
        <v>0</v>
      </c>
      <c r="EP199" s="21">
        <f t="shared" si="297"/>
        <v>4</v>
      </c>
      <c r="EQ199" s="21">
        <f t="shared" si="297"/>
        <v>4</v>
      </c>
      <c r="ER199" s="21">
        <f t="shared" si="297"/>
        <v>8</v>
      </c>
      <c r="ES199" s="21">
        <f t="shared" si="297"/>
        <v>8</v>
      </c>
      <c r="ET199" s="21">
        <f t="shared" si="297"/>
        <v>8</v>
      </c>
      <c r="EU199" s="21">
        <f t="shared" si="297"/>
        <v>8</v>
      </c>
      <c r="EV199" s="21">
        <f t="shared" si="297"/>
        <v>12</v>
      </c>
      <c r="EW199" s="21">
        <f t="shared" si="297"/>
        <v>12</v>
      </c>
      <c r="EX199" s="21">
        <f t="shared" si="297"/>
        <v>12</v>
      </c>
      <c r="EY199" s="21">
        <f t="shared" si="297"/>
        <v>16</v>
      </c>
      <c r="EZ199" s="21">
        <f t="shared" si="297"/>
        <v>16</v>
      </c>
      <c r="FA199" s="21">
        <f t="shared" si="297"/>
        <v>16</v>
      </c>
      <c r="FB199" s="21">
        <f t="shared" si="297"/>
        <v>20</v>
      </c>
      <c r="FC199" s="21">
        <f t="shared" si="297"/>
        <v>20</v>
      </c>
      <c r="FD199" s="21">
        <f t="shared" si="297"/>
        <v>20</v>
      </c>
      <c r="FE199" s="21">
        <f t="shared" si="297"/>
        <v>24</v>
      </c>
      <c r="FF199" s="21">
        <f t="shared" si="297"/>
        <v>24</v>
      </c>
      <c r="FG199" s="21">
        <f t="shared" si="297"/>
        <v>24</v>
      </c>
      <c r="FH199" s="21">
        <f t="shared" si="297"/>
        <v>28</v>
      </c>
      <c r="FI199" s="21">
        <f t="shared" si="297"/>
        <v>28</v>
      </c>
      <c r="FJ199" s="21"/>
      <c r="FK199" s="20" t="s">
        <v>819</v>
      </c>
      <c r="FL199" s="21">
        <f t="shared" ref="FL199:GI199" si="298">FL96</f>
        <v>0</v>
      </c>
      <c r="FM199" s="21">
        <f t="shared" si="298"/>
        <v>0</v>
      </c>
      <c r="FN199" s="21">
        <f t="shared" si="298"/>
        <v>0</v>
      </c>
      <c r="FO199" s="21">
        <f t="shared" si="298"/>
        <v>0</v>
      </c>
      <c r="FP199" s="21">
        <f t="shared" si="298"/>
        <v>4</v>
      </c>
      <c r="FQ199" s="21">
        <f t="shared" si="298"/>
        <v>4</v>
      </c>
      <c r="FR199" s="21">
        <f t="shared" si="298"/>
        <v>8</v>
      </c>
      <c r="FS199" s="21">
        <f t="shared" si="298"/>
        <v>8</v>
      </c>
      <c r="FT199" s="21">
        <f t="shared" si="298"/>
        <v>8</v>
      </c>
      <c r="FU199" s="21">
        <f t="shared" si="298"/>
        <v>12</v>
      </c>
      <c r="FV199" s="21">
        <f t="shared" si="298"/>
        <v>12</v>
      </c>
      <c r="FW199" s="21">
        <f t="shared" si="298"/>
        <v>12</v>
      </c>
      <c r="FX199" s="21">
        <f t="shared" si="298"/>
        <v>16</v>
      </c>
      <c r="FY199" s="21">
        <f t="shared" si="298"/>
        <v>16</v>
      </c>
      <c r="FZ199" s="21">
        <f t="shared" si="298"/>
        <v>20</v>
      </c>
      <c r="GA199" s="21">
        <f t="shared" si="298"/>
        <v>20</v>
      </c>
      <c r="GB199" s="21">
        <f t="shared" si="298"/>
        <v>20</v>
      </c>
      <c r="GC199" s="21">
        <f t="shared" si="298"/>
        <v>24</v>
      </c>
      <c r="GD199" s="21">
        <f t="shared" si="298"/>
        <v>24</v>
      </c>
      <c r="GE199" s="21">
        <f t="shared" si="298"/>
        <v>24</v>
      </c>
      <c r="GF199" s="21">
        <f t="shared" si="298"/>
        <v>28</v>
      </c>
      <c r="GG199" s="21">
        <f t="shared" si="298"/>
        <v>28</v>
      </c>
      <c r="GH199" s="21">
        <f t="shared" si="298"/>
        <v>28</v>
      </c>
      <c r="GI199" s="21">
        <f t="shared" si="298"/>
        <v>32</v>
      </c>
      <c r="GJ199" s="21"/>
      <c r="GK199" s="21"/>
      <c r="GL199" s="21"/>
      <c r="GM199" s="21"/>
      <c r="GN199" s="21"/>
      <c r="GO199" s="21"/>
      <c r="GP199" s="21"/>
      <c r="GQ199" s="21"/>
      <c r="GR199" s="21" t="s">
        <v>700</v>
      </c>
      <c r="GS199" s="21">
        <f t="shared" ref="GS199:HP199" si="299">GS96</f>
        <v>0</v>
      </c>
      <c r="GT199" s="21">
        <f t="shared" si="299"/>
        <v>0</v>
      </c>
      <c r="GU199" s="21">
        <f t="shared" si="299"/>
        <v>0</v>
      </c>
      <c r="GV199" s="21">
        <f t="shared" si="299"/>
        <v>0</v>
      </c>
      <c r="GW199" s="21">
        <f t="shared" si="299"/>
        <v>4</v>
      </c>
      <c r="GX199" s="21">
        <f t="shared" si="299"/>
        <v>8</v>
      </c>
      <c r="GY199" s="21">
        <f t="shared" si="299"/>
        <v>8</v>
      </c>
      <c r="GZ199" s="21">
        <f t="shared" si="299"/>
        <v>8</v>
      </c>
      <c r="HA199" s="21">
        <f t="shared" si="299"/>
        <v>8</v>
      </c>
      <c r="HB199" s="21">
        <f t="shared" si="299"/>
        <v>12</v>
      </c>
      <c r="HC199" s="21">
        <f t="shared" si="299"/>
        <v>12</v>
      </c>
      <c r="HD199" s="21">
        <f t="shared" si="299"/>
        <v>12</v>
      </c>
      <c r="HE199" s="21">
        <f t="shared" si="299"/>
        <v>16</v>
      </c>
      <c r="HF199" s="21">
        <f t="shared" si="299"/>
        <v>16</v>
      </c>
      <c r="HG199" s="21">
        <f t="shared" si="299"/>
        <v>16</v>
      </c>
      <c r="HH199" s="21">
        <f t="shared" si="299"/>
        <v>16</v>
      </c>
      <c r="HI199" s="21">
        <f t="shared" si="299"/>
        <v>20</v>
      </c>
      <c r="HJ199" s="21">
        <f t="shared" si="299"/>
        <v>20</v>
      </c>
      <c r="HK199" s="21">
        <f t="shared" si="299"/>
        <v>20</v>
      </c>
      <c r="HL199" s="21">
        <f t="shared" si="299"/>
        <v>24</v>
      </c>
      <c r="HM199" s="21">
        <f t="shared" si="299"/>
        <v>24</v>
      </c>
      <c r="HN199" s="21">
        <f t="shared" si="299"/>
        <v>24</v>
      </c>
      <c r="HO199" s="21">
        <f t="shared" si="299"/>
        <v>24</v>
      </c>
      <c r="HP199" s="21">
        <f t="shared" si="299"/>
        <v>28</v>
      </c>
      <c r="HS199" s="21" t="s">
        <v>700</v>
      </c>
      <c r="HT199" s="21">
        <f t="shared" ref="HT199:IQ199" si="300">HT96</f>
        <v>0</v>
      </c>
      <c r="HU199" s="21">
        <f t="shared" si="300"/>
        <v>0</v>
      </c>
      <c r="HV199" s="21">
        <f t="shared" si="300"/>
        <v>0</v>
      </c>
      <c r="HW199" s="21">
        <f t="shared" si="300"/>
        <v>4</v>
      </c>
      <c r="HX199" s="21">
        <f t="shared" si="300"/>
        <v>4</v>
      </c>
      <c r="HY199" s="21">
        <f t="shared" si="300"/>
        <v>8</v>
      </c>
      <c r="HZ199" s="21">
        <f t="shared" si="300"/>
        <v>8</v>
      </c>
      <c r="IA199" s="21">
        <f t="shared" si="300"/>
        <v>8</v>
      </c>
      <c r="IB199" s="21">
        <f t="shared" si="300"/>
        <v>12</v>
      </c>
      <c r="IC199" s="21">
        <f t="shared" si="300"/>
        <v>12</v>
      </c>
      <c r="ID199" s="21">
        <f t="shared" si="300"/>
        <v>12</v>
      </c>
      <c r="IE199" s="21">
        <f t="shared" si="300"/>
        <v>16</v>
      </c>
      <c r="IF199" s="21">
        <f t="shared" si="300"/>
        <v>16</v>
      </c>
      <c r="IG199" s="21">
        <f t="shared" si="300"/>
        <v>16</v>
      </c>
      <c r="IH199" s="21">
        <f t="shared" si="300"/>
        <v>16</v>
      </c>
      <c r="II199" s="21">
        <f t="shared" si="300"/>
        <v>20</v>
      </c>
      <c r="IJ199" s="21">
        <f t="shared" si="300"/>
        <v>20</v>
      </c>
      <c r="IK199" s="21">
        <f t="shared" si="300"/>
        <v>20</v>
      </c>
      <c r="IL199" s="21">
        <f t="shared" si="300"/>
        <v>24</v>
      </c>
      <c r="IM199" s="21">
        <f t="shared" si="300"/>
        <v>24</v>
      </c>
      <c r="IN199" s="21">
        <f t="shared" si="300"/>
        <v>24</v>
      </c>
      <c r="IO199" s="21">
        <f t="shared" si="300"/>
        <v>28</v>
      </c>
      <c r="IP199" s="21">
        <f t="shared" si="300"/>
        <v>28</v>
      </c>
      <c r="IQ199" s="21">
        <f t="shared" si="300"/>
        <v>28</v>
      </c>
      <c r="IT199" s="198"/>
    </row>
    <row r="200" spans="1:254" hidden="1" x14ac:dyDescent="0.25">
      <c r="A200" s="33"/>
      <c r="B200" s="5" t="s">
        <v>116</v>
      </c>
      <c r="C200" s="33"/>
      <c r="D200" s="9"/>
      <c r="E200" s="9"/>
      <c r="F200" s="9"/>
      <c r="G200" s="9"/>
      <c r="H200" s="9"/>
      <c r="I200" s="9"/>
      <c r="J200" s="9"/>
      <c r="K200" s="9"/>
      <c r="L200" s="6" t="s">
        <v>528</v>
      </c>
      <c r="M200" s="11" t="e">
        <f>INDEX(cennik!$C$2:$L$529,MATCH($L200,cennik!$B$2:$B$522,0),MATCH(M$2,cennik!$C$1:$L$1,0))</f>
        <v>#N/A</v>
      </c>
      <c r="N200" s="11" t="e">
        <f>INDEX(cennik!$C$2:$L$529,MATCH($L200,cennik!$B$2:$B$522,0),MATCH(N$2,cennik!$C$1:$L$1,0))</f>
        <v>#N/A</v>
      </c>
      <c r="O200" s="11">
        <f>O195</f>
        <v>0</v>
      </c>
      <c r="P200" s="34" t="e">
        <f>INDEX(cennik!$C$2:$L$529,MATCH($L200,cennik!$B$2:$B$522,0),MATCH(P$2,cennik!$C$1:$L$1,0))</f>
        <v>#N/A</v>
      </c>
      <c r="Q200" s="34" t="e">
        <f t="shared" si="275"/>
        <v>#N/A</v>
      </c>
      <c r="R200" s="35">
        <f t="shared" si="276"/>
        <v>0</v>
      </c>
      <c r="S200" s="34" t="e">
        <f t="shared" si="277"/>
        <v>#N/A</v>
      </c>
      <c r="T200" s="34" t="e">
        <f t="shared" si="278"/>
        <v>#N/A</v>
      </c>
      <c r="U200" s="34" t="e">
        <f>INDEX(cennik!$C$2:$L$529,MATCH($L200,cennik!$B$2:$B$522,0),MATCH(U$2,cennik!$C$1:$L$1,0))*O200</f>
        <v>#N/A</v>
      </c>
      <c r="V200" s="21"/>
      <c r="AG200" s="21"/>
      <c r="AH200" s="21"/>
      <c r="AI200" s="21">
        <v>0</v>
      </c>
      <c r="AJ200" s="210">
        <v>0</v>
      </c>
      <c r="AK200" s="21">
        <v>0</v>
      </c>
      <c r="AL200" s="21"/>
      <c r="AM200" s="21"/>
      <c r="AN200" s="21"/>
      <c r="AO200" s="21"/>
      <c r="AP200" s="21"/>
      <c r="AQ200" s="21"/>
      <c r="AR200" s="21"/>
      <c r="AS200" s="21"/>
      <c r="AT200" s="21"/>
      <c r="AU200" s="21"/>
      <c r="AV200" s="21"/>
      <c r="AW200" s="21"/>
      <c r="AX200" s="21"/>
      <c r="AY200" s="21"/>
      <c r="AZ200" s="21"/>
      <c r="BA200" s="21"/>
      <c r="BB200" s="21"/>
      <c r="BC200" s="21"/>
      <c r="BD200" s="21"/>
      <c r="BE200" s="21"/>
      <c r="BF200" s="21"/>
      <c r="BG200" s="21"/>
      <c r="BH200" s="211" t="s">
        <v>111</v>
      </c>
      <c r="BI200" s="206">
        <v>0</v>
      </c>
      <c r="BJ200" s="206">
        <v>8</v>
      </c>
      <c r="BK200" s="206">
        <v>12</v>
      </c>
      <c r="BL200" s="206">
        <v>16</v>
      </c>
      <c r="BM200" s="206">
        <v>20</v>
      </c>
      <c r="BN200" s="206">
        <v>24</v>
      </c>
      <c r="BO200" s="206">
        <v>28</v>
      </c>
      <c r="BP200" s="206">
        <v>32</v>
      </c>
      <c r="BQ200" s="206">
        <v>36</v>
      </c>
      <c r="BR200" s="206">
        <v>40</v>
      </c>
      <c r="BS200" s="206">
        <v>44</v>
      </c>
      <c r="BT200" s="206">
        <v>48</v>
      </c>
      <c r="BU200" s="206">
        <v>52</v>
      </c>
      <c r="BV200" s="194"/>
      <c r="BW200" s="194" t="s">
        <v>473</v>
      </c>
      <c r="BX200" s="194">
        <v>0</v>
      </c>
      <c r="BY200" s="194">
        <v>8</v>
      </c>
      <c r="BZ200" s="194">
        <v>12</v>
      </c>
      <c r="CA200" s="194">
        <v>16</v>
      </c>
      <c r="CB200" s="194">
        <v>20</v>
      </c>
      <c r="CC200" s="206">
        <v>24</v>
      </c>
      <c r="CD200" s="206">
        <v>28</v>
      </c>
      <c r="CE200" s="206">
        <v>32</v>
      </c>
      <c r="CF200" s="206">
        <v>36</v>
      </c>
      <c r="CG200" s="206">
        <v>40</v>
      </c>
      <c r="CH200" s="206">
        <v>44</v>
      </c>
      <c r="CI200" s="206">
        <v>48</v>
      </c>
      <c r="CJ200" s="206">
        <v>52</v>
      </c>
      <c r="CK200" s="194"/>
      <c r="CL200" s="194"/>
      <c r="CM200" s="194"/>
      <c r="CN200" s="206" t="s">
        <v>508</v>
      </c>
      <c r="CO200" s="206">
        <v>0</v>
      </c>
      <c r="CP200" s="206">
        <v>8</v>
      </c>
      <c r="CQ200" s="206">
        <v>12</v>
      </c>
      <c r="CR200" s="206">
        <v>16</v>
      </c>
      <c r="CS200" s="206">
        <v>20</v>
      </c>
      <c r="CT200" s="206">
        <v>24</v>
      </c>
      <c r="CU200" s="206">
        <v>28</v>
      </c>
      <c r="CV200" s="206">
        <v>32</v>
      </c>
      <c r="CW200" s="206">
        <v>36</v>
      </c>
      <c r="CX200" s="206">
        <v>40</v>
      </c>
      <c r="CY200" s="206">
        <v>44</v>
      </c>
      <c r="CZ200" s="206">
        <v>48</v>
      </c>
      <c r="DA200" s="207">
        <v>52</v>
      </c>
      <c r="DB200" s="21"/>
      <c r="DC200" s="21"/>
      <c r="DD200" s="21"/>
      <c r="DE200" s="21"/>
      <c r="DF200" s="21"/>
      <c r="DG200" s="21"/>
      <c r="DH200" s="21"/>
      <c r="DI200" s="21"/>
      <c r="DJ200" s="21"/>
      <c r="DK200" s="21"/>
      <c r="DL200" s="21"/>
      <c r="DM200" s="21"/>
      <c r="DN200" s="21"/>
      <c r="DO200" s="21"/>
      <c r="DP200" s="21"/>
      <c r="DQ200" s="87"/>
      <c r="DR200" s="87"/>
      <c r="DS200" s="87"/>
      <c r="DT200" s="21"/>
      <c r="DU200" s="21"/>
      <c r="DV200" s="21"/>
      <c r="DW200" s="21"/>
      <c r="DX200" s="21"/>
      <c r="DY200" s="21"/>
      <c r="DZ200" s="21"/>
      <c r="EA200" s="21"/>
      <c r="EB200" s="21"/>
      <c r="EC200" s="21"/>
      <c r="ED200" s="21"/>
      <c r="EE200" s="21"/>
      <c r="EF200" s="21"/>
      <c r="EG200" s="21"/>
      <c r="EH200" s="21"/>
      <c r="EI200" s="21"/>
      <c r="EJ200" s="196"/>
      <c r="EK200" s="21" t="s">
        <v>700</v>
      </c>
      <c r="EL200" s="21">
        <f t="shared" ref="EL200:FI200" si="301">EL97</f>
        <v>0</v>
      </c>
      <c r="EM200" s="21">
        <f t="shared" si="301"/>
        <v>0</v>
      </c>
      <c r="EN200" s="21">
        <f t="shared" si="301"/>
        <v>0</v>
      </c>
      <c r="EO200" s="21">
        <f t="shared" si="301"/>
        <v>0</v>
      </c>
      <c r="EP200" s="21">
        <f t="shared" si="301"/>
        <v>4</v>
      </c>
      <c r="EQ200" s="21">
        <f t="shared" si="301"/>
        <v>4</v>
      </c>
      <c r="ER200" s="21">
        <f t="shared" si="301"/>
        <v>8</v>
      </c>
      <c r="ES200" s="21">
        <f t="shared" si="301"/>
        <v>8</v>
      </c>
      <c r="ET200" s="21">
        <f t="shared" si="301"/>
        <v>8</v>
      </c>
      <c r="EU200" s="21">
        <f t="shared" si="301"/>
        <v>8</v>
      </c>
      <c r="EV200" s="21">
        <f t="shared" si="301"/>
        <v>12</v>
      </c>
      <c r="EW200" s="21">
        <f t="shared" si="301"/>
        <v>12</v>
      </c>
      <c r="EX200" s="21">
        <f t="shared" si="301"/>
        <v>12</v>
      </c>
      <c r="EY200" s="21">
        <f t="shared" si="301"/>
        <v>16</v>
      </c>
      <c r="EZ200" s="21">
        <f t="shared" si="301"/>
        <v>16</v>
      </c>
      <c r="FA200" s="21">
        <f t="shared" si="301"/>
        <v>16</v>
      </c>
      <c r="FB200" s="21">
        <f t="shared" si="301"/>
        <v>20</v>
      </c>
      <c r="FC200" s="21">
        <f t="shared" si="301"/>
        <v>20</v>
      </c>
      <c r="FD200" s="21">
        <f t="shared" si="301"/>
        <v>20</v>
      </c>
      <c r="FE200" s="21">
        <f t="shared" si="301"/>
        <v>24</v>
      </c>
      <c r="FF200" s="21">
        <f t="shared" si="301"/>
        <v>24</v>
      </c>
      <c r="FG200" s="21">
        <f t="shared" si="301"/>
        <v>24</v>
      </c>
      <c r="FH200" s="21">
        <f t="shared" si="301"/>
        <v>28</v>
      </c>
      <c r="FI200" s="21">
        <f t="shared" si="301"/>
        <v>28</v>
      </c>
      <c r="FJ200" s="21"/>
      <c r="FK200" s="21" t="s">
        <v>700</v>
      </c>
      <c r="FL200" s="21">
        <f t="shared" ref="FL200:GI200" si="302">FL97</f>
        <v>0</v>
      </c>
      <c r="FM200" s="21">
        <f t="shared" si="302"/>
        <v>0</v>
      </c>
      <c r="FN200" s="21">
        <f t="shared" si="302"/>
        <v>0</v>
      </c>
      <c r="FO200" s="21">
        <f t="shared" si="302"/>
        <v>0</v>
      </c>
      <c r="FP200" s="21">
        <f t="shared" si="302"/>
        <v>4</v>
      </c>
      <c r="FQ200" s="21">
        <f t="shared" si="302"/>
        <v>4</v>
      </c>
      <c r="FR200" s="21">
        <f t="shared" si="302"/>
        <v>8</v>
      </c>
      <c r="FS200" s="21">
        <f t="shared" si="302"/>
        <v>8</v>
      </c>
      <c r="FT200" s="21">
        <f t="shared" si="302"/>
        <v>8</v>
      </c>
      <c r="FU200" s="21">
        <f t="shared" si="302"/>
        <v>12</v>
      </c>
      <c r="FV200" s="21">
        <f t="shared" si="302"/>
        <v>12</v>
      </c>
      <c r="FW200" s="21">
        <f t="shared" si="302"/>
        <v>12</v>
      </c>
      <c r="FX200" s="21">
        <f t="shared" si="302"/>
        <v>16</v>
      </c>
      <c r="FY200" s="21">
        <f t="shared" si="302"/>
        <v>16</v>
      </c>
      <c r="FZ200" s="21">
        <f t="shared" si="302"/>
        <v>20</v>
      </c>
      <c r="GA200" s="21">
        <f t="shared" si="302"/>
        <v>20</v>
      </c>
      <c r="GB200" s="21">
        <f t="shared" si="302"/>
        <v>20</v>
      </c>
      <c r="GC200" s="21">
        <f t="shared" si="302"/>
        <v>24</v>
      </c>
      <c r="GD200" s="21">
        <f t="shared" si="302"/>
        <v>24</v>
      </c>
      <c r="GE200" s="21">
        <f t="shared" si="302"/>
        <v>24</v>
      </c>
      <c r="GF200" s="21">
        <f t="shared" si="302"/>
        <v>28</v>
      </c>
      <c r="GG200" s="21">
        <f t="shared" si="302"/>
        <v>28</v>
      </c>
      <c r="GH200" s="21">
        <f t="shared" si="302"/>
        <v>28</v>
      </c>
      <c r="GI200" s="21">
        <f t="shared" si="302"/>
        <v>32</v>
      </c>
      <c r="GJ200" s="21"/>
      <c r="GK200" s="21"/>
      <c r="GL200" s="21"/>
      <c r="GM200" s="21"/>
      <c r="GN200" s="21"/>
      <c r="GO200" s="21"/>
      <c r="GP200" s="21"/>
      <c r="GQ200" s="21"/>
      <c r="GR200" s="21"/>
      <c r="GS200" s="21"/>
      <c r="GT200" s="21"/>
      <c r="GU200" s="21"/>
      <c r="GV200" s="21"/>
      <c r="GW200" s="21"/>
      <c r="GX200" s="21"/>
      <c r="GY200" s="21"/>
      <c r="GZ200" s="21"/>
      <c r="HA200" s="21"/>
      <c r="HB200" s="21"/>
      <c r="HC200" s="21"/>
      <c r="HD200" s="21"/>
      <c r="HE200" s="21"/>
      <c r="HF200" s="21"/>
      <c r="HG200" s="21"/>
      <c r="HH200" s="21"/>
      <c r="IT200" s="198"/>
    </row>
    <row r="201" spans="1:254" hidden="1" x14ac:dyDescent="0.25">
      <c r="A201" s="33"/>
      <c r="B201" s="5" t="s">
        <v>116</v>
      </c>
      <c r="C201" s="33"/>
      <c r="D201" s="9"/>
      <c r="E201" s="9"/>
      <c r="F201" s="9"/>
      <c r="G201" s="9"/>
      <c r="H201" s="9"/>
      <c r="I201" s="9"/>
      <c r="J201" s="9"/>
      <c r="K201" s="9"/>
      <c r="L201" s="6" t="s">
        <v>522</v>
      </c>
      <c r="M201" s="11">
        <f>INDEX(cennik!$C$2:$L$529,MATCH($L201,cennik!$B$2:$B$522,0),MATCH(M$2,cennik!$C$1:$L$1,0))</f>
        <v>867644</v>
      </c>
      <c r="N201" s="11" t="str">
        <f>INDEX(cennik!$C$2:$L$529,MATCH($L201,cennik!$B$2:$B$522,0),MATCH(N$2,cennik!$C$1:$L$1,0))</f>
        <v>szt.</v>
      </c>
      <c r="O201" s="11">
        <f>SUM(Y182:Y197)</f>
        <v>0</v>
      </c>
      <c r="P201" s="34">
        <f>INDEX(cennik!$C$2:$L$529,MATCH($L201,cennik!$B$2:$B$522,0),MATCH(P$2,cennik!$C$1:$L$1,0))</f>
        <v>176.8</v>
      </c>
      <c r="Q201" s="34">
        <f>O201*P201</f>
        <v>0</v>
      </c>
      <c r="R201" s="35">
        <f t="shared" si="276"/>
        <v>0</v>
      </c>
      <c r="S201" s="34">
        <f t="shared" si="277"/>
        <v>176.8</v>
      </c>
      <c r="T201" s="34">
        <f>O201*S201</f>
        <v>0</v>
      </c>
      <c r="U201" s="34">
        <f>INDEX(cennik!$C$2:$L$529,MATCH($L201,cennik!$B$2:$B$522,0),MATCH(U$2,cennik!$C$1:$L$1,0))*O201</f>
        <v>0</v>
      </c>
      <c r="V201" s="21"/>
      <c r="AG201" s="21"/>
      <c r="AH201" s="21"/>
      <c r="AI201" s="21">
        <v>1</v>
      </c>
      <c r="AJ201" s="21" t="s">
        <v>697</v>
      </c>
      <c r="AK201" s="21">
        <v>2</v>
      </c>
      <c r="AL201" s="21"/>
      <c r="AM201" s="21"/>
      <c r="AN201" s="21"/>
      <c r="AO201" s="21"/>
      <c r="AP201" s="21"/>
      <c r="AQ201" s="21"/>
      <c r="AR201" s="21"/>
      <c r="AS201" s="21"/>
      <c r="AT201" s="21"/>
      <c r="AU201" s="21"/>
      <c r="AV201" s="21"/>
      <c r="AW201" s="21"/>
      <c r="AX201" s="21"/>
      <c r="AY201" s="21"/>
      <c r="AZ201" s="21"/>
      <c r="BA201" s="21"/>
      <c r="BB201" s="21"/>
      <c r="BC201" s="21"/>
      <c r="BD201" s="21"/>
      <c r="BE201" s="21"/>
      <c r="BF201" s="21"/>
      <c r="BG201" s="21"/>
      <c r="BH201" s="212" t="s">
        <v>586</v>
      </c>
      <c r="BI201" s="180">
        <v>0</v>
      </c>
      <c r="BJ201" s="180">
        <v>0</v>
      </c>
      <c r="BK201" s="180">
        <v>0</v>
      </c>
      <c r="BL201" s="180">
        <v>0</v>
      </c>
      <c r="BM201" s="180">
        <v>0</v>
      </c>
      <c r="BN201" s="180">
        <v>0</v>
      </c>
      <c r="BO201" s="180">
        <v>0</v>
      </c>
      <c r="BP201" s="180">
        <v>0</v>
      </c>
      <c r="BQ201" s="180">
        <v>0</v>
      </c>
      <c r="BR201" s="180">
        <v>0</v>
      </c>
      <c r="BS201" s="180">
        <v>0</v>
      </c>
      <c r="BT201" s="180">
        <v>0</v>
      </c>
      <c r="BU201" s="180">
        <v>0</v>
      </c>
      <c r="BV201" s="21"/>
      <c r="BW201" s="21" t="s">
        <v>586</v>
      </c>
      <c r="BX201" s="21">
        <v>0</v>
      </c>
      <c r="BY201" s="21">
        <v>0</v>
      </c>
      <c r="BZ201" s="21">
        <v>0</v>
      </c>
      <c r="CA201" s="21">
        <v>0</v>
      </c>
      <c r="CB201" s="21">
        <v>0</v>
      </c>
      <c r="CC201" s="180">
        <v>0</v>
      </c>
      <c r="CD201" s="180">
        <v>0</v>
      </c>
      <c r="CE201" s="180">
        <v>0</v>
      </c>
      <c r="CF201" s="180">
        <v>0</v>
      </c>
      <c r="CG201" s="180">
        <v>0</v>
      </c>
      <c r="CH201" s="180">
        <v>0</v>
      </c>
      <c r="CI201" s="180">
        <v>0</v>
      </c>
      <c r="CJ201" s="180">
        <v>0</v>
      </c>
      <c r="CK201" s="21"/>
      <c r="CL201" s="21"/>
      <c r="CM201" s="21"/>
      <c r="CN201" s="180" t="s">
        <v>586</v>
      </c>
      <c r="CO201" s="180">
        <v>0</v>
      </c>
      <c r="CP201" s="180">
        <v>5</v>
      </c>
      <c r="CQ201" s="180">
        <v>0</v>
      </c>
      <c r="CR201" s="180">
        <v>0</v>
      </c>
      <c r="CS201" s="180">
        <v>0</v>
      </c>
      <c r="CT201" s="180">
        <v>0</v>
      </c>
      <c r="CU201" s="180">
        <v>0</v>
      </c>
      <c r="CV201" s="180">
        <v>0</v>
      </c>
      <c r="CW201" s="180">
        <v>0</v>
      </c>
      <c r="CX201" s="180">
        <v>0</v>
      </c>
      <c r="CY201" s="180">
        <v>0</v>
      </c>
      <c r="CZ201" s="180">
        <v>0</v>
      </c>
      <c r="DA201" s="198">
        <v>0</v>
      </c>
      <c r="DB201" s="21"/>
      <c r="DC201" s="21"/>
      <c r="DD201" s="21"/>
      <c r="DE201" s="21"/>
      <c r="DF201" s="21"/>
      <c r="DG201" s="21"/>
      <c r="DH201" s="21"/>
      <c r="DI201" s="21"/>
      <c r="DJ201" s="21"/>
      <c r="DK201" s="21"/>
      <c r="DL201" s="21"/>
      <c r="DM201" s="21"/>
      <c r="DN201" s="21"/>
      <c r="DO201" s="21"/>
      <c r="DP201" s="21"/>
      <c r="DQ201" s="87"/>
      <c r="DR201" s="87"/>
      <c r="DS201" s="87"/>
      <c r="DT201" s="21"/>
      <c r="DU201" s="21"/>
      <c r="DV201" s="21"/>
      <c r="DW201" s="21"/>
      <c r="DX201" s="21"/>
      <c r="DY201" s="21"/>
      <c r="DZ201" s="21"/>
      <c r="EA201" s="21"/>
      <c r="EB201" s="21"/>
      <c r="EC201" s="21"/>
      <c r="ED201" s="21"/>
      <c r="EE201" s="21"/>
      <c r="EF201" s="21"/>
      <c r="EG201" s="21"/>
      <c r="EH201" s="21"/>
      <c r="EI201" s="21"/>
      <c r="EJ201" s="196"/>
      <c r="EK201" s="21"/>
      <c r="EL201" s="21"/>
      <c r="EM201" s="21"/>
      <c r="EN201" s="21"/>
      <c r="EO201" s="21"/>
      <c r="EP201" s="21"/>
      <c r="EQ201" s="21"/>
      <c r="ER201" s="21"/>
      <c r="ES201" s="21"/>
      <c r="ET201" s="21"/>
      <c r="EU201" s="21"/>
      <c r="EV201" s="21"/>
      <c r="EW201" s="21"/>
      <c r="EX201" s="21"/>
      <c r="EY201" s="21"/>
      <c r="EZ201" s="21"/>
      <c r="FA201" s="21"/>
      <c r="FB201" s="21"/>
      <c r="FC201" s="21"/>
      <c r="FD201" s="21"/>
      <c r="FE201" s="21"/>
      <c r="FF201" s="21"/>
      <c r="FG201" s="21"/>
      <c r="FH201" s="21"/>
      <c r="FI201" s="21"/>
      <c r="FJ201" s="21"/>
      <c r="FK201" s="21"/>
      <c r="FL201" s="21"/>
      <c r="FM201" s="21"/>
      <c r="FN201" s="21"/>
      <c r="FO201" s="21"/>
      <c r="FP201" s="21"/>
      <c r="FQ201" s="21"/>
      <c r="FR201" s="21"/>
      <c r="FS201" s="21"/>
      <c r="FT201" s="21"/>
      <c r="FU201" s="21"/>
      <c r="FV201" s="21"/>
      <c r="FW201" s="21"/>
      <c r="FX201" s="21"/>
      <c r="FY201" s="21"/>
      <c r="FZ201" s="21"/>
      <c r="GA201" s="21"/>
      <c r="GB201" s="21"/>
      <c r="GC201" s="21"/>
      <c r="GD201" s="21"/>
      <c r="GE201" s="21"/>
      <c r="GF201" s="21"/>
      <c r="GG201" s="21"/>
      <c r="GH201" s="21"/>
      <c r="GI201" s="21"/>
      <c r="GJ201" s="21"/>
      <c r="GK201" s="21"/>
      <c r="GL201" s="21"/>
      <c r="GM201" s="21"/>
      <c r="GN201" s="21"/>
      <c r="GO201" s="21"/>
      <c r="GP201" s="21"/>
      <c r="GQ201" s="21"/>
      <c r="GR201" s="21"/>
      <c r="GS201" s="21"/>
      <c r="GT201" s="21"/>
      <c r="GU201" s="21"/>
      <c r="GV201" s="21"/>
      <c r="GW201" s="21"/>
      <c r="GX201" s="21"/>
      <c r="GY201" s="21"/>
      <c r="GZ201" s="21"/>
      <c r="HA201" s="21"/>
      <c r="HB201" s="21"/>
      <c r="HC201" s="21"/>
      <c r="HD201" s="21"/>
      <c r="HE201" s="21"/>
      <c r="HF201" s="21"/>
      <c r="HG201" s="21"/>
      <c r="HH201" s="21"/>
      <c r="HS201" s="180" t="s">
        <v>767</v>
      </c>
      <c r="HT201" s="180">
        <v>0</v>
      </c>
      <c r="HU201" s="180">
        <v>6</v>
      </c>
      <c r="HV201" s="180">
        <v>8</v>
      </c>
      <c r="HW201" s="180">
        <v>10</v>
      </c>
      <c r="HX201" s="180">
        <v>12</v>
      </c>
      <c r="HY201" s="180">
        <v>14</v>
      </c>
      <c r="HZ201" s="180">
        <v>16</v>
      </c>
      <c r="IA201" s="180">
        <v>18</v>
      </c>
      <c r="IB201" s="180">
        <v>20</v>
      </c>
      <c r="IC201" s="180">
        <v>22</v>
      </c>
      <c r="ID201" s="180">
        <v>24</v>
      </c>
      <c r="IE201" s="180">
        <v>26</v>
      </c>
      <c r="IF201" s="180">
        <v>28</v>
      </c>
      <c r="IG201" s="180">
        <v>30</v>
      </c>
      <c r="IH201" s="180">
        <v>32</v>
      </c>
      <c r="II201" s="180">
        <v>34</v>
      </c>
      <c r="IJ201" s="180">
        <v>36</v>
      </c>
      <c r="IK201" s="180">
        <v>38</v>
      </c>
      <c r="IL201" s="180">
        <v>40</v>
      </c>
      <c r="IM201" s="180">
        <v>42</v>
      </c>
      <c r="IN201" s="180">
        <v>44</v>
      </c>
      <c r="IO201" s="180">
        <v>46</v>
      </c>
      <c r="IP201" s="180">
        <v>48</v>
      </c>
      <c r="IQ201" s="180">
        <v>50</v>
      </c>
      <c r="IT201" s="198"/>
    </row>
    <row r="202" spans="1:254" hidden="1" x14ac:dyDescent="0.25">
      <c r="A202" s="33"/>
      <c r="B202" s="5" t="s">
        <v>116</v>
      </c>
      <c r="C202" s="33"/>
      <c r="D202" s="9"/>
      <c r="E202" s="9"/>
      <c r="F202" s="9"/>
      <c r="G202" s="9"/>
      <c r="H202" s="9"/>
      <c r="I202" s="9"/>
      <c r="J202" s="9"/>
      <c r="K202" s="9"/>
      <c r="L202" s="6" t="s">
        <v>523</v>
      </c>
      <c r="M202" s="11">
        <f>INDEX(cennik!$C$2:$L$529,MATCH($L202,cennik!$B$2:$B$522,0),MATCH(M$2,cennik!$C$1:$L$1,0))</f>
        <v>867633</v>
      </c>
      <c r="N202" s="11" t="str">
        <f>INDEX(cennik!$C$2:$L$529,MATCH($L202,cennik!$B$2:$B$522,0),MATCH(N$2,cennik!$C$1:$L$1,0))</f>
        <v>szt.</v>
      </c>
      <c r="O202" s="11">
        <f>SUM(Z182:Z197)</f>
        <v>0</v>
      </c>
      <c r="P202" s="34">
        <f>INDEX(cennik!$C$2:$L$529,MATCH($L202,cennik!$B$2:$B$522,0),MATCH(P$2,cennik!$C$1:$L$1,0))</f>
        <v>132.6</v>
      </c>
      <c r="Q202" s="34">
        <f>O202*P202</f>
        <v>0</v>
      </c>
      <c r="R202" s="35">
        <f t="shared" si="276"/>
        <v>0</v>
      </c>
      <c r="S202" s="34">
        <f t="shared" si="277"/>
        <v>132.6</v>
      </c>
      <c r="T202" s="34">
        <f>O202*S202</f>
        <v>0</v>
      </c>
      <c r="U202" s="34">
        <f>INDEX(cennik!$C$2:$L$529,MATCH($L202,cennik!$B$2:$B$522,0),MATCH(U$2,cennik!$C$1:$L$1,0))*O202</f>
        <v>0</v>
      </c>
      <c r="V202" s="21"/>
      <c r="AG202" s="21"/>
      <c r="AH202" s="21"/>
      <c r="AI202" s="21">
        <v>5</v>
      </c>
      <c r="AJ202" s="21" t="s">
        <v>698</v>
      </c>
      <c r="AK202" s="21">
        <v>4</v>
      </c>
      <c r="AL202" s="21"/>
      <c r="AM202" s="21"/>
      <c r="AN202" s="21"/>
      <c r="AO202" s="21"/>
      <c r="AP202" s="21"/>
      <c r="AQ202" s="21"/>
      <c r="AR202" s="21"/>
      <c r="AS202" s="21"/>
      <c r="AT202" s="21"/>
      <c r="AU202" s="21"/>
      <c r="AV202" s="21"/>
      <c r="AW202" s="21"/>
      <c r="AX202" s="21"/>
      <c r="AY202" s="21"/>
      <c r="AZ202" s="21"/>
      <c r="BA202" s="21"/>
      <c r="BB202" s="21"/>
      <c r="BC202" s="21"/>
      <c r="BD202" s="21"/>
      <c r="BE202" s="21"/>
      <c r="BF202" s="21"/>
      <c r="BG202" s="21"/>
      <c r="BH202" s="212" t="s">
        <v>522</v>
      </c>
      <c r="BI202" s="180">
        <v>0</v>
      </c>
      <c r="BJ202" s="180">
        <v>5</v>
      </c>
      <c r="BK202" s="180">
        <v>0</v>
      </c>
      <c r="BL202" s="180">
        <v>5</v>
      </c>
      <c r="BM202" s="180">
        <v>10</v>
      </c>
      <c r="BN202" s="180">
        <v>5</v>
      </c>
      <c r="BO202" s="180">
        <v>10</v>
      </c>
      <c r="BP202" s="180">
        <v>5</v>
      </c>
      <c r="BQ202" s="180">
        <v>10</v>
      </c>
      <c r="BR202" s="180">
        <v>20</v>
      </c>
      <c r="BS202" s="180">
        <v>10</v>
      </c>
      <c r="BT202" s="180">
        <v>20</v>
      </c>
      <c r="BU202" s="180">
        <v>15</v>
      </c>
      <c r="BV202" s="21"/>
      <c r="BW202" s="21" t="s">
        <v>522</v>
      </c>
      <c r="BX202" s="21">
        <v>0</v>
      </c>
      <c r="BY202" s="21">
        <v>5</v>
      </c>
      <c r="BZ202" s="21">
        <v>0</v>
      </c>
      <c r="CA202" s="21">
        <v>10</v>
      </c>
      <c r="CB202" s="21">
        <v>5</v>
      </c>
      <c r="CC202" s="180">
        <v>10</v>
      </c>
      <c r="CD202" s="180">
        <v>5</v>
      </c>
      <c r="CE202" s="180">
        <v>15</v>
      </c>
      <c r="CF202" s="180">
        <v>10</v>
      </c>
      <c r="CG202" s="180">
        <v>20</v>
      </c>
      <c r="CH202" s="180">
        <v>15</v>
      </c>
      <c r="CI202" s="180">
        <v>20</v>
      </c>
      <c r="CJ202" s="180">
        <v>30</v>
      </c>
      <c r="CK202" s="21"/>
      <c r="CL202" s="21"/>
      <c r="CM202" s="21"/>
      <c r="CN202" s="180" t="s">
        <v>522</v>
      </c>
      <c r="CO202" s="180">
        <v>0</v>
      </c>
      <c r="CP202" s="180">
        <v>0</v>
      </c>
      <c r="CQ202" s="180">
        <v>5</v>
      </c>
      <c r="CR202" s="180">
        <v>0</v>
      </c>
      <c r="CS202" s="180">
        <v>10</v>
      </c>
      <c r="CT202" s="180">
        <v>5</v>
      </c>
      <c r="CU202" s="180">
        <v>15</v>
      </c>
      <c r="CV202" s="180">
        <v>10</v>
      </c>
      <c r="CW202" s="180">
        <v>20</v>
      </c>
      <c r="CX202" s="180">
        <v>15</v>
      </c>
      <c r="CY202" s="180">
        <v>30</v>
      </c>
      <c r="CZ202" s="180">
        <v>25</v>
      </c>
      <c r="DA202" s="198">
        <v>35</v>
      </c>
      <c r="DB202" s="21"/>
      <c r="DC202" s="21"/>
      <c r="DD202" s="21"/>
      <c r="DE202" s="21"/>
      <c r="DF202" s="21"/>
      <c r="DG202" s="21"/>
      <c r="DH202" s="21"/>
      <c r="DI202" s="21"/>
      <c r="DJ202" s="21"/>
      <c r="DK202" s="21"/>
      <c r="DL202" s="21"/>
      <c r="DM202" s="21"/>
      <c r="DN202" s="21"/>
      <c r="DO202" s="21"/>
      <c r="DP202" s="21"/>
      <c r="DQ202" s="87"/>
      <c r="DR202" s="87"/>
      <c r="DS202" s="87"/>
      <c r="DT202" s="21"/>
      <c r="DU202" s="21"/>
      <c r="DV202" s="21"/>
      <c r="DW202" s="21"/>
      <c r="DX202" s="21"/>
      <c r="DY202" s="21"/>
      <c r="DZ202" s="21"/>
      <c r="EA202" s="21"/>
      <c r="EB202" s="21"/>
      <c r="EC202" s="21"/>
      <c r="ED202" s="21"/>
      <c r="EE202" s="21"/>
      <c r="EF202" s="21"/>
      <c r="EG202" s="21"/>
      <c r="EH202" s="21"/>
      <c r="EI202" s="21"/>
      <c r="EJ202" s="196"/>
      <c r="EK202" s="21"/>
      <c r="EL202" s="21"/>
      <c r="EM202" s="21"/>
      <c r="EN202" s="21"/>
      <c r="EO202" s="21"/>
      <c r="EP202" s="21"/>
      <c r="EQ202" s="21"/>
      <c r="ER202" s="21"/>
      <c r="ES202" s="21"/>
      <c r="ET202" s="21"/>
      <c r="EU202" s="21"/>
      <c r="EV202" s="21"/>
      <c r="EW202" s="21"/>
      <c r="EX202" s="21"/>
      <c r="EY202" s="21"/>
      <c r="EZ202" s="21"/>
      <c r="FA202" s="21"/>
      <c r="FB202" s="21"/>
      <c r="FC202" s="21"/>
      <c r="FD202" s="21"/>
      <c r="FE202" s="21"/>
      <c r="FF202" s="21"/>
      <c r="FG202" s="21"/>
      <c r="FH202" s="21"/>
      <c r="FI202" s="21"/>
      <c r="FJ202" s="21"/>
      <c r="FK202" s="21"/>
      <c r="FL202" s="21"/>
      <c r="FM202" s="21"/>
      <c r="FN202" s="21"/>
      <c r="FO202" s="21"/>
      <c r="FP202" s="21"/>
      <c r="FQ202" s="21"/>
      <c r="FR202" s="21"/>
      <c r="FS202" s="21"/>
      <c r="FT202" s="21"/>
      <c r="FU202" s="21"/>
      <c r="FV202" s="21"/>
      <c r="FW202" s="21"/>
      <c r="FX202" s="21"/>
      <c r="FY202" s="21"/>
      <c r="FZ202" s="21"/>
      <c r="GA202" s="21"/>
      <c r="GB202" s="21"/>
      <c r="GC202" s="21"/>
      <c r="GD202" s="21"/>
      <c r="GE202" s="21"/>
      <c r="GF202" s="21"/>
      <c r="GG202" s="21"/>
      <c r="GH202" s="21"/>
      <c r="GI202" s="21"/>
      <c r="GJ202" s="21"/>
      <c r="GK202" s="21"/>
      <c r="GL202" s="21"/>
      <c r="GM202" s="21"/>
      <c r="GN202" s="21"/>
      <c r="GO202" s="21"/>
      <c r="GP202" s="21"/>
      <c r="GQ202" s="21"/>
      <c r="GR202" s="21"/>
      <c r="GS202" s="21"/>
      <c r="GT202" s="21"/>
      <c r="GU202" s="21"/>
      <c r="GV202" s="21"/>
      <c r="GW202" s="21"/>
      <c r="GX202" s="21"/>
      <c r="GY202" s="21"/>
      <c r="GZ202" s="21"/>
      <c r="HA202" s="21"/>
      <c r="HB202" s="21"/>
      <c r="HC202" s="21"/>
      <c r="HD202" s="21"/>
      <c r="HE202" s="21"/>
      <c r="HF202" s="21"/>
      <c r="HG202" s="21"/>
      <c r="HH202" s="21"/>
      <c r="HS202" s="180" t="s">
        <v>817</v>
      </c>
      <c r="HT202" s="21">
        <f t="shared" ref="HT202:IQ202" si="303">HT99</f>
        <v>0</v>
      </c>
      <c r="HU202" s="21">
        <f t="shared" si="303"/>
        <v>0</v>
      </c>
      <c r="HV202" s="21">
        <f t="shared" si="303"/>
        <v>4</v>
      </c>
      <c r="HW202" s="21">
        <f t="shared" si="303"/>
        <v>0</v>
      </c>
      <c r="HX202" s="21">
        <f t="shared" si="303"/>
        <v>0</v>
      </c>
      <c r="HY202" s="21">
        <f t="shared" si="303"/>
        <v>0</v>
      </c>
      <c r="HZ202" s="21">
        <f t="shared" si="303"/>
        <v>0</v>
      </c>
      <c r="IA202" s="21">
        <f t="shared" si="303"/>
        <v>0</v>
      </c>
      <c r="IB202" s="21">
        <f t="shared" si="303"/>
        <v>0</v>
      </c>
      <c r="IC202" s="21">
        <f t="shared" si="303"/>
        <v>0</v>
      </c>
      <c r="ID202" s="21">
        <f t="shared" si="303"/>
        <v>0</v>
      </c>
      <c r="IE202" s="21">
        <f t="shared" si="303"/>
        <v>0</v>
      </c>
      <c r="IF202" s="21">
        <f t="shared" si="303"/>
        <v>0</v>
      </c>
      <c r="IG202" s="21">
        <f t="shared" si="303"/>
        <v>0</v>
      </c>
      <c r="IH202" s="21">
        <f t="shared" si="303"/>
        <v>0</v>
      </c>
      <c r="II202" s="21">
        <f t="shared" si="303"/>
        <v>0</v>
      </c>
      <c r="IJ202" s="21">
        <f t="shared" si="303"/>
        <v>0</v>
      </c>
      <c r="IK202" s="21">
        <f t="shared" si="303"/>
        <v>0</v>
      </c>
      <c r="IL202" s="21">
        <f t="shared" si="303"/>
        <v>0</v>
      </c>
      <c r="IM202" s="21">
        <f t="shared" si="303"/>
        <v>0</v>
      </c>
      <c r="IN202" s="21">
        <f t="shared" si="303"/>
        <v>0</v>
      </c>
      <c r="IO202" s="21">
        <f t="shared" si="303"/>
        <v>0</v>
      </c>
      <c r="IP202" s="21">
        <f t="shared" si="303"/>
        <v>0</v>
      </c>
      <c r="IQ202" s="21">
        <f t="shared" si="303"/>
        <v>0</v>
      </c>
      <c r="IT202" s="198"/>
    </row>
    <row r="203" spans="1:254" hidden="1" x14ac:dyDescent="0.25">
      <c r="A203" s="33"/>
      <c r="B203" s="5" t="s">
        <v>116</v>
      </c>
      <c r="C203" s="33"/>
      <c r="D203" s="9"/>
      <c r="E203" s="9"/>
      <c r="F203" s="9"/>
      <c r="G203" s="9"/>
      <c r="H203" s="9"/>
      <c r="I203" s="9"/>
      <c r="J203" s="9"/>
      <c r="K203" s="9"/>
      <c r="L203" s="6" t="s">
        <v>524</v>
      </c>
      <c r="M203" s="11" t="e">
        <f>INDEX(cennik!$C$2:$L$529,MATCH($L203,cennik!$B$2:$B$522,0),MATCH(M$2,cennik!$C$1:$L$1,0))</f>
        <v>#N/A</v>
      </c>
      <c r="N203" s="11" t="e">
        <f>INDEX(cennik!$C$2:$L$529,MATCH($L203,cennik!$B$2:$B$522,0),MATCH(N$2,cennik!$C$1:$L$1,0))</f>
        <v>#N/A</v>
      </c>
      <c r="O203" s="11">
        <f>SUM(W182:W197)</f>
        <v>0</v>
      </c>
      <c r="P203" s="34" t="e">
        <f>INDEX(cennik!$C$2:$L$529,MATCH($L203,cennik!$B$2:$B$522,0),MATCH(P$2,cennik!$C$1:$L$1,0))</f>
        <v>#N/A</v>
      </c>
      <c r="Q203" s="34" t="e">
        <f>O203*P203</f>
        <v>#N/A</v>
      </c>
      <c r="R203" s="35">
        <f t="shared" si="276"/>
        <v>0</v>
      </c>
      <c r="S203" s="34" t="e">
        <f t="shared" si="277"/>
        <v>#N/A</v>
      </c>
      <c r="T203" s="34" t="e">
        <f>O203*S203</f>
        <v>#N/A</v>
      </c>
      <c r="U203" s="34" t="e">
        <f>INDEX(cennik!$C$2:$L$529,MATCH($L203,cennik!$B$2:$B$522,0),MATCH(U$2,cennik!$C$1:$L$1,0))*O203</f>
        <v>#N/A</v>
      </c>
      <c r="V203" s="21"/>
      <c r="AG203" s="21"/>
      <c r="AH203" s="21"/>
      <c r="AI203" s="21">
        <v>8</v>
      </c>
      <c r="AJ203" s="21" t="s">
        <v>699</v>
      </c>
      <c r="AK203" s="21">
        <v>6</v>
      </c>
      <c r="AL203" s="21"/>
      <c r="AM203" s="21"/>
      <c r="AN203" s="21"/>
      <c r="AO203" s="21"/>
      <c r="AP203" s="21"/>
      <c r="AQ203" s="21"/>
      <c r="AR203" s="21"/>
      <c r="AS203" s="21"/>
      <c r="AT203" s="21"/>
      <c r="AU203" s="21"/>
      <c r="AV203" s="21"/>
      <c r="AW203" s="21"/>
      <c r="AX203" s="21"/>
      <c r="AY203" s="21"/>
      <c r="AZ203" s="21"/>
      <c r="BA203" s="21"/>
      <c r="BB203" s="21"/>
      <c r="BC203" s="21"/>
      <c r="BD203" s="21"/>
      <c r="BE203" s="21"/>
      <c r="BF203" s="21"/>
      <c r="BG203" s="21"/>
      <c r="BH203" s="212" t="s">
        <v>523</v>
      </c>
      <c r="BI203" s="180">
        <v>0</v>
      </c>
      <c r="BJ203" s="180">
        <v>0</v>
      </c>
      <c r="BK203" s="180">
        <v>10</v>
      </c>
      <c r="BL203" s="180">
        <v>5</v>
      </c>
      <c r="BM203" s="180">
        <v>0</v>
      </c>
      <c r="BN203" s="180">
        <v>10</v>
      </c>
      <c r="BO203" s="180">
        <v>5</v>
      </c>
      <c r="BP203" s="180">
        <v>15</v>
      </c>
      <c r="BQ203" s="180">
        <v>10</v>
      </c>
      <c r="BR203" s="180">
        <v>0</v>
      </c>
      <c r="BS203" s="180">
        <v>15</v>
      </c>
      <c r="BT203" s="180">
        <v>5</v>
      </c>
      <c r="BU203" s="180">
        <v>15</v>
      </c>
      <c r="BV203" s="21"/>
      <c r="BW203" s="21" t="s">
        <v>523</v>
      </c>
      <c r="BX203" s="21">
        <v>0</v>
      </c>
      <c r="BY203" s="21">
        <v>0</v>
      </c>
      <c r="BZ203" s="21">
        <v>10</v>
      </c>
      <c r="CA203" s="21">
        <v>0</v>
      </c>
      <c r="CB203" s="21">
        <v>10</v>
      </c>
      <c r="CC203" s="180">
        <v>5</v>
      </c>
      <c r="CD203" s="180">
        <v>15</v>
      </c>
      <c r="CE203" s="180">
        <v>5</v>
      </c>
      <c r="CF203" s="180">
        <v>15</v>
      </c>
      <c r="CG203" s="180">
        <v>5</v>
      </c>
      <c r="CH203" s="180">
        <v>15</v>
      </c>
      <c r="CI203" s="180">
        <v>10</v>
      </c>
      <c r="CJ203" s="180">
        <v>0</v>
      </c>
      <c r="CK203" s="21"/>
      <c r="CL203" s="21"/>
      <c r="CM203" s="21"/>
      <c r="CN203" s="180" t="s">
        <v>523</v>
      </c>
      <c r="CO203" s="180">
        <v>0</v>
      </c>
      <c r="CP203" s="180">
        <v>0</v>
      </c>
      <c r="CQ203" s="180">
        <v>5</v>
      </c>
      <c r="CR203" s="180">
        <v>15</v>
      </c>
      <c r="CS203" s="180">
        <v>5</v>
      </c>
      <c r="CT203" s="180">
        <v>15</v>
      </c>
      <c r="CU203" s="180">
        <v>5</v>
      </c>
      <c r="CV203" s="180">
        <v>15</v>
      </c>
      <c r="CW203" s="180">
        <v>5</v>
      </c>
      <c r="CX203" s="180">
        <v>15</v>
      </c>
      <c r="CY203" s="180">
        <v>0</v>
      </c>
      <c r="CZ203" s="180">
        <v>10</v>
      </c>
      <c r="DA203" s="198">
        <v>0</v>
      </c>
      <c r="DB203" s="21"/>
      <c r="DC203" s="21"/>
      <c r="DD203" s="21"/>
      <c r="DE203" s="21"/>
      <c r="DF203" s="21"/>
      <c r="DG203" s="21"/>
      <c r="DH203" s="21"/>
      <c r="DI203" s="21"/>
      <c r="DJ203" s="21"/>
      <c r="DK203" s="21"/>
      <c r="DL203" s="21"/>
      <c r="DM203" s="21"/>
      <c r="DN203" s="21"/>
      <c r="DO203" s="21"/>
      <c r="DP203" s="21"/>
      <c r="DQ203" s="87"/>
      <c r="DR203" s="87"/>
      <c r="DS203" s="87"/>
      <c r="DT203" s="21"/>
      <c r="DU203" s="21"/>
      <c r="DV203" s="21"/>
      <c r="DW203" s="21"/>
      <c r="DX203" s="21"/>
      <c r="DY203" s="21"/>
      <c r="DZ203" s="21"/>
      <c r="EA203" s="21"/>
      <c r="EB203" s="21"/>
      <c r="EC203" s="21"/>
      <c r="ED203" s="21"/>
      <c r="EE203" s="21"/>
      <c r="EF203" s="21"/>
      <c r="EG203" s="21"/>
      <c r="EH203" s="21"/>
      <c r="EI203" s="21"/>
      <c r="EJ203" s="196"/>
      <c r="EK203" s="21"/>
      <c r="EL203" s="21"/>
      <c r="EM203" s="21"/>
      <c r="EN203" s="21"/>
      <c r="EO203" s="21"/>
      <c r="EP203" s="21"/>
      <c r="EQ203" s="21"/>
      <c r="ER203" s="21"/>
      <c r="ES203" s="21"/>
      <c r="ET203" s="21"/>
      <c r="EU203" s="21"/>
      <c r="EV203" s="21"/>
      <c r="EW203" s="21"/>
      <c r="EX203" s="21"/>
      <c r="EY203" s="21"/>
      <c r="EZ203" s="21"/>
      <c r="FA203" s="21"/>
      <c r="FB203" s="21"/>
      <c r="FC203" s="21"/>
      <c r="FD203" s="21"/>
      <c r="FE203" s="21"/>
      <c r="FF203" s="21"/>
      <c r="FG203" s="21"/>
      <c r="FH203" s="21"/>
      <c r="FI203" s="21"/>
      <c r="FJ203" s="21"/>
      <c r="FK203" s="21"/>
      <c r="FL203" s="21"/>
      <c r="FM203" s="21"/>
      <c r="FN203" s="21"/>
      <c r="FO203" s="21"/>
      <c r="FP203" s="21"/>
      <c r="FQ203" s="21"/>
      <c r="FR203" s="21"/>
      <c r="FS203" s="21"/>
      <c r="FT203" s="21"/>
      <c r="FU203" s="21"/>
      <c r="FV203" s="21"/>
      <c r="FW203" s="21"/>
      <c r="FX203" s="21"/>
      <c r="FY203" s="21"/>
      <c r="FZ203" s="21"/>
      <c r="GA203" s="21"/>
      <c r="GB203" s="21"/>
      <c r="GC203" s="21"/>
      <c r="GD203" s="21"/>
      <c r="GE203" s="21"/>
      <c r="GF203" s="21"/>
      <c r="GG203" s="21"/>
      <c r="GH203" s="21"/>
      <c r="GI203" s="21"/>
      <c r="GJ203" s="21"/>
      <c r="GK203" s="21"/>
      <c r="GL203" s="21"/>
      <c r="GM203" s="21"/>
      <c r="GN203" s="21"/>
      <c r="GO203" s="21"/>
      <c r="GP203" s="21"/>
      <c r="GQ203" s="21"/>
      <c r="GR203" s="21"/>
      <c r="GS203" s="21"/>
      <c r="GT203" s="21"/>
      <c r="GU203" s="21"/>
      <c r="GV203" s="21"/>
      <c r="GW203" s="21"/>
      <c r="GX203" s="21"/>
      <c r="GY203" s="21"/>
      <c r="GZ203" s="21"/>
      <c r="HA203" s="21"/>
      <c r="HB203" s="21"/>
      <c r="HC203" s="21"/>
      <c r="HD203" s="21"/>
      <c r="HE203" s="21"/>
      <c r="HF203" s="21"/>
      <c r="HG203" s="21"/>
      <c r="HH203" s="21"/>
      <c r="HS203" s="21" t="s">
        <v>815</v>
      </c>
      <c r="HT203" s="21">
        <f t="shared" ref="HT203:IQ203" si="304">HT100</f>
        <v>0</v>
      </c>
      <c r="HU203" s="21">
        <f t="shared" si="304"/>
        <v>4</v>
      </c>
      <c r="HV203" s="21">
        <f t="shared" si="304"/>
        <v>0</v>
      </c>
      <c r="HW203" s="21">
        <f t="shared" si="304"/>
        <v>4</v>
      </c>
      <c r="HX203" s="21">
        <f t="shared" si="304"/>
        <v>8</v>
      </c>
      <c r="HY203" s="21">
        <f t="shared" si="304"/>
        <v>4</v>
      </c>
      <c r="HZ203" s="21">
        <f t="shared" si="304"/>
        <v>8</v>
      </c>
      <c r="IA203" s="21">
        <f t="shared" si="304"/>
        <v>12</v>
      </c>
      <c r="IB203" s="21">
        <f t="shared" si="304"/>
        <v>4</v>
      </c>
      <c r="IC203" s="21">
        <f t="shared" si="304"/>
        <v>12</v>
      </c>
      <c r="ID203" s="21">
        <f t="shared" si="304"/>
        <v>16</v>
      </c>
      <c r="IE203" s="21">
        <f t="shared" si="304"/>
        <v>8</v>
      </c>
      <c r="IF203" s="21">
        <f t="shared" si="304"/>
        <v>16</v>
      </c>
      <c r="IG203" s="21">
        <f t="shared" si="304"/>
        <v>20</v>
      </c>
      <c r="IH203" s="21">
        <f t="shared" si="304"/>
        <v>12</v>
      </c>
      <c r="II203" s="21">
        <f t="shared" si="304"/>
        <v>20</v>
      </c>
      <c r="IJ203" s="21">
        <f t="shared" si="304"/>
        <v>24</v>
      </c>
      <c r="IK203" s="21">
        <f t="shared" si="304"/>
        <v>16</v>
      </c>
      <c r="IL203" s="21">
        <f t="shared" si="304"/>
        <v>20</v>
      </c>
      <c r="IM203" s="21">
        <f t="shared" si="304"/>
        <v>28</v>
      </c>
      <c r="IN203" s="21">
        <f t="shared" si="304"/>
        <v>20</v>
      </c>
      <c r="IO203" s="21">
        <f t="shared" si="304"/>
        <v>24</v>
      </c>
      <c r="IP203" s="21">
        <f t="shared" si="304"/>
        <v>32</v>
      </c>
      <c r="IQ203" s="21">
        <f t="shared" si="304"/>
        <v>24</v>
      </c>
      <c r="IT203" s="198"/>
    </row>
    <row r="204" spans="1:254" hidden="1" x14ac:dyDescent="0.25">
      <c r="A204" s="33"/>
      <c r="B204" s="5" t="s">
        <v>116</v>
      </c>
      <c r="C204" s="33"/>
      <c r="D204" s="9"/>
      <c r="E204" s="9"/>
      <c r="F204" s="9"/>
      <c r="G204" s="9"/>
      <c r="H204" s="9"/>
      <c r="I204" s="9"/>
      <c r="J204" s="9"/>
      <c r="K204" s="9"/>
      <c r="L204" s="6" t="str">
        <f>INDEX(($AH$3:$AI$12),MATCH(I193,$AG$3:$AG$12,0),MATCH(E194,$AH$2:$AI$2,0))</f>
        <v>BUF35</v>
      </c>
      <c r="M204" s="11">
        <f>INDEX(cennik!$C$2:$L$529,MATCH($L204,cennik!$B$2:$B$522,0),MATCH(M$2,cennik!$C$1:$L$1,0))</f>
        <v>897335</v>
      </c>
      <c r="N204" s="11" t="str">
        <f>INDEX(cennik!$C$2:$L$529,MATCH($L204,cennik!$B$2:$B$522,0),MATCH(N$2,cennik!$C$1:$L$1,0))</f>
        <v>szt.</v>
      </c>
      <c r="O204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4" s="34">
        <f>INDEX(cennik!$C$2:$L$529,MATCH($L204,cennik!$B$2:$B$522,0),MATCH(P$2,cennik!$C$1:$L$1,0))</f>
        <v>1.92</v>
      </c>
      <c r="Q204" s="34">
        <f>O204*P204</f>
        <v>0</v>
      </c>
      <c r="R204" s="35">
        <f t="shared" si="276"/>
        <v>0</v>
      </c>
      <c r="S204" s="34">
        <f t="shared" si="277"/>
        <v>1.92</v>
      </c>
      <c r="T204" s="34">
        <f>O204*S204</f>
        <v>0</v>
      </c>
      <c r="U204" s="34">
        <f>INDEX(cennik!$C$2:$L$529,MATCH($L204,cennik!$B$2:$B$522,0),MATCH(U$2,cennik!$C$1:$L$1,0))*O204</f>
        <v>0</v>
      </c>
      <c r="V204" s="21"/>
      <c r="AG204" s="21"/>
      <c r="AH204" s="21"/>
      <c r="AI204" s="21">
        <v>13</v>
      </c>
      <c r="AJ204" s="21" t="s">
        <v>696</v>
      </c>
      <c r="AK204" s="21">
        <v>8</v>
      </c>
      <c r="AL204" s="21"/>
      <c r="AM204" s="21"/>
      <c r="AN204" s="21"/>
      <c r="AO204" s="21"/>
      <c r="AP204" s="21"/>
      <c r="AQ204" s="21"/>
      <c r="AR204" s="21"/>
      <c r="AS204" s="21"/>
      <c r="AT204" s="21"/>
      <c r="AU204" s="21"/>
      <c r="AV204" s="21"/>
      <c r="AW204" s="21"/>
      <c r="AX204" s="21"/>
      <c r="AY204" s="21"/>
      <c r="AZ204" s="21"/>
      <c r="BA204" s="21"/>
      <c r="BB204" s="21"/>
      <c r="BC204" s="21"/>
      <c r="BD204" s="21"/>
      <c r="BE204" s="21"/>
      <c r="BF204" s="21"/>
      <c r="BG204" s="21"/>
      <c r="BH204" s="20" t="s">
        <v>779</v>
      </c>
      <c r="BI204" s="180">
        <v>0</v>
      </c>
      <c r="BJ204" s="180">
        <v>0</v>
      </c>
      <c r="BK204" s="180">
        <v>5</v>
      </c>
      <c r="BL204" s="180">
        <v>5</v>
      </c>
      <c r="BM204" s="180">
        <v>5</v>
      </c>
      <c r="BN204" s="180">
        <v>10</v>
      </c>
      <c r="BO204" s="180">
        <v>10</v>
      </c>
      <c r="BP204" s="180">
        <v>15</v>
      </c>
      <c r="BQ204" s="180">
        <v>15</v>
      </c>
      <c r="BR204" s="180">
        <v>15</v>
      </c>
      <c r="BS204" s="180">
        <v>20</v>
      </c>
      <c r="BT204" s="180">
        <v>20</v>
      </c>
      <c r="BU204" s="180">
        <v>25</v>
      </c>
      <c r="BV204" s="21"/>
      <c r="BW204" s="20" t="s">
        <v>779</v>
      </c>
      <c r="BX204" s="21">
        <v>0</v>
      </c>
      <c r="BY204" s="21">
        <v>0</v>
      </c>
      <c r="BZ204" s="21">
        <v>5</v>
      </c>
      <c r="CA204" s="21">
        <v>5</v>
      </c>
      <c r="CB204" s="21">
        <v>10</v>
      </c>
      <c r="CC204" s="180">
        <v>10</v>
      </c>
      <c r="CD204" s="180">
        <v>15</v>
      </c>
      <c r="CE204" s="180">
        <v>15</v>
      </c>
      <c r="CF204" s="180">
        <v>20</v>
      </c>
      <c r="CG204" s="180">
        <v>20</v>
      </c>
      <c r="CH204" s="180">
        <v>25</v>
      </c>
      <c r="CI204" s="180">
        <v>25</v>
      </c>
      <c r="CJ204" s="180">
        <v>25</v>
      </c>
      <c r="CK204" s="21"/>
      <c r="CL204" s="21"/>
      <c r="CM204" s="21"/>
      <c r="CN204" s="20" t="s">
        <v>779</v>
      </c>
      <c r="CO204" s="180">
        <v>0</v>
      </c>
      <c r="CP204" s="180">
        <v>0</v>
      </c>
      <c r="CQ204" s="180">
        <v>5</v>
      </c>
      <c r="CR204" s="180">
        <v>10</v>
      </c>
      <c r="CS204" s="180">
        <v>10</v>
      </c>
      <c r="CT204" s="180">
        <v>15</v>
      </c>
      <c r="CU204" s="180">
        <v>15</v>
      </c>
      <c r="CV204" s="180">
        <v>20</v>
      </c>
      <c r="CW204" s="180">
        <v>20</v>
      </c>
      <c r="CX204" s="180">
        <v>25</v>
      </c>
      <c r="CY204" s="180">
        <v>25</v>
      </c>
      <c r="CZ204" s="180">
        <v>30</v>
      </c>
      <c r="DA204" s="198">
        <v>30</v>
      </c>
      <c r="DB204" s="21"/>
      <c r="DC204" s="21"/>
      <c r="DD204" s="21"/>
      <c r="DE204" s="21"/>
      <c r="DF204" s="21"/>
      <c r="DG204" s="21"/>
      <c r="DH204" s="21"/>
      <c r="DI204" s="21"/>
      <c r="DJ204" s="21"/>
      <c r="DK204" s="21"/>
      <c r="DL204" s="21"/>
      <c r="DM204" s="21"/>
      <c r="DN204" s="21"/>
      <c r="DO204" s="21"/>
      <c r="DP204" s="21"/>
      <c r="DQ204" s="87"/>
      <c r="DR204" s="87"/>
      <c r="DS204" s="87"/>
      <c r="DT204" s="21"/>
      <c r="DU204" s="21"/>
      <c r="DV204" s="21"/>
      <c r="DW204" s="21"/>
      <c r="DX204" s="21"/>
      <c r="DY204" s="21"/>
      <c r="DZ204" s="21"/>
      <c r="EA204" s="21"/>
      <c r="EB204" s="21"/>
      <c r="EC204" s="21"/>
      <c r="ED204" s="21"/>
      <c r="EE204" s="21"/>
      <c r="EF204" s="21"/>
      <c r="EG204" s="21"/>
      <c r="EH204" s="21"/>
      <c r="EI204" s="21"/>
      <c r="EJ204" s="196"/>
      <c r="EK204" s="21"/>
      <c r="EL204" s="21"/>
      <c r="EM204" s="21"/>
      <c r="EN204" s="21"/>
      <c r="EO204" s="21"/>
      <c r="EP204" s="21"/>
      <c r="EQ204" s="21"/>
      <c r="ER204" s="21"/>
      <c r="ES204" s="21"/>
      <c r="ET204" s="21"/>
      <c r="EU204" s="21"/>
      <c r="EV204" s="21"/>
      <c r="EW204" s="21"/>
      <c r="EX204" s="21"/>
      <c r="EY204" s="21"/>
      <c r="EZ204" s="21"/>
      <c r="FA204" s="21"/>
      <c r="FB204" s="21"/>
      <c r="FC204" s="21"/>
      <c r="FD204" s="21"/>
      <c r="FE204" s="21"/>
      <c r="FF204" s="21"/>
      <c r="FG204" s="21"/>
      <c r="FH204" s="21"/>
      <c r="FI204" s="21"/>
      <c r="FJ204" s="21"/>
      <c r="FK204" s="21"/>
      <c r="FL204" s="21"/>
      <c r="FM204" s="21"/>
      <c r="FN204" s="21"/>
      <c r="FO204" s="21"/>
      <c r="FP204" s="21"/>
      <c r="FQ204" s="21"/>
      <c r="FR204" s="21"/>
      <c r="FS204" s="21"/>
      <c r="FT204" s="21"/>
      <c r="FU204" s="21"/>
      <c r="FV204" s="21"/>
      <c r="FW204" s="21"/>
      <c r="FX204" s="21"/>
      <c r="FY204" s="21"/>
      <c r="FZ204" s="21"/>
      <c r="GA204" s="21"/>
      <c r="GB204" s="21"/>
      <c r="GC204" s="21"/>
      <c r="GD204" s="21"/>
      <c r="GE204" s="21"/>
      <c r="GF204" s="21"/>
      <c r="GG204" s="21"/>
      <c r="GH204" s="21"/>
      <c r="GI204" s="21"/>
      <c r="GJ204" s="21"/>
      <c r="GK204" s="21"/>
      <c r="GL204" s="21"/>
      <c r="GM204" s="21"/>
      <c r="GN204" s="21"/>
      <c r="GO204" s="21"/>
      <c r="GP204" s="21"/>
      <c r="GQ204" s="21"/>
      <c r="GR204" s="21"/>
      <c r="GS204" s="21"/>
      <c r="GT204" s="21"/>
      <c r="GU204" s="21"/>
      <c r="GV204" s="21"/>
      <c r="GW204" s="21"/>
      <c r="GX204" s="21"/>
      <c r="GY204" s="21"/>
      <c r="GZ204" s="21"/>
      <c r="HA204" s="21"/>
      <c r="HB204" s="21"/>
      <c r="HC204" s="21"/>
      <c r="HD204" s="21"/>
      <c r="HE204" s="21"/>
      <c r="HF204" s="21"/>
      <c r="HG204" s="21"/>
      <c r="HH204" s="21"/>
      <c r="HS204" s="21" t="s">
        <v>813</v>
      </c>
      <c r="HT204" s="21">
        <f t="shared" ref="HT204:IQ204" si="305">HT101</f>
        <v>0</v>
      </c>
      <c r="HU204" s="21">
        <f t="shared" si="305"/>
        <v>0</v>
      </c>
      <c r="HV204" s="21">
        <f t="shared" si="305"/>
        <v>0</v>
      </c>
      <c r="HW204" s="21">
        <f t="shared" si="305"/>
        <v>4</v>
      </c>
      <c r="HX204" s="21">
        <f t="shared" si="305"/>
        <v>0</v>
      </c>
      <c r="HY204" s="21">
        <f t="shared" si="305"/>
        <v>8</v>
      </c>
      <c r="HZ204" s="21">
        <f t="shared" si="305"/>
        <v>4</v>
      </c>
      <c r="IA204" s="21">
        <f t="shared" si="305"/>
        <v>0</v>
      </c>
      <c r="IB204" s="21">
        <f t="shared" si="305"/>
        <v>12</v>
      </c>
      <c r="IC204" s="21">
        <f t="shared" si="305"/>
        <v>4</v>
      </c>
      <c r="ID204" s="21">
        <f t="shared" si="305"/>
        <v>0</v>
      </c>
      <c r="IE204" s="21">
        <f t="shared" si="305"/>
        <v>12</v>
      </c>
      <c r="IF204" s="21">
        <f t="shared" si="305"/>
        <v>4</v>
      </c>
      <c r="IG204" s="21">
        <f t="shared" si="305"/>
        <v>0</v>
      </c>
      <c r="IH204" s="21">
        <f t="shared" si="305"/>
        <v>12</v>
      </c>
      <c r="II204" s="21">
        <f t="shared" si="305"/>
        <v>4</v>
      </c>
      <c r="IJ204" s="21">
        <f t="shared" si="305"/>
        <v>0</v>
      </c>
      <c r="IK204" s="21">
        <f t="shared" si="305"/>
        <v>12</v>
      </c>
      <c r="IL204" s="21">
        <f t="shared" si="305"/>
        <v>8</v>
      </c>
      <c r="IM204" s="21">
        <f t="shared" si="305"/>
        <v>0</v>
      </c>
      <c r="IN204" s="21">
        <f t="shared" si="305"/>
        <v>12</v>
      </c>
      <c r="IO204" s="21">
        <f t="shared" si="305"/>
        <v>8</v>
      </c>
      <c r="IP204" s="21">
        <f t="shared" si="305"/>
        <v>0</v>
      </c>
      <c r="IQ204" s="21">
        <f t="shared" si="305"/>
        <v>12</v>
      </c>
      <c r="IT204" s="198"/>
    </row>
    <row r="205" spans="1:254" hidden="1" x14ac:dyDescent="0.25">
      <c r="A205" s="33"/>
      <c r="B205" s="5" t="s">
        <v>116</v>
      </c>
      <c r="C205" s="33"/>
      <c r="D205" s="9"/>
      <c r="E205" s="9"/>
      <c r="F205" s="9"/>
      <c r="G205" s="9"/>
      <c r="H205" s="9"/>
      <c r="I205" s="9"/>
      <c r="J205" s="9"/>
      <c r="K205" s="9"/>
      <c r="L205" s="6" t="str">
        <f>INDEX(($AH$13:$AI$13),1,MATCH(E194,$AH$2:$AI$2,0))</f>
        <v>PUF</v>
      </c>
      <c r="M205" s="11">
        <f>INDEX(cennik!$C$2:$L$529,MATCH($L205,cennik!$B$2:$B$522,0),MATCH(M$2,cennik!$C$1:$L$1,0))</f>
        <v>897300</v>
      </c>
      <c r="N205" s="11" t="str">
        <f>INDEX(cennik!$C$2:$L$529,MATCH($L205,cennik!$B$2:$B$522,0),MATCH(N$2,cennik!$C$1:$L$1,0))</f>
        <v>szt.</v>
      </c>
      <c r="O205" s="11">
        <f>SUM((A192/3*4*C192),(A193/3*4*C193),(A194/3*4*C194),(A195/3*4*C195),(A196/3*4*C196),(A197/3*4*C197),(A198/3*4*C198),(A199/3*4*C199),(A200/3*4*C200),(A201/3*4*C201),(A202/3*4*C202),(A203/3*4*C203),(A204/3*4*C204),(A205/3*4*C205),(A206/3*4*C206),(A207/3*4*C207))</f>
        <v>0</v>
      </c>
      <c r="P205" s="34">
        <f>INDEX(cennik!$C$2:$L$529,MATCH($L205,cennik!$B$2:$B$522,0),MATCH(P$2,cennik!$C$1:$L$1,0))</f>
        <v>2.06</v>
      </c>
      <c r="Q205" s="34">
        <f>O205*P205</f>
        <v>0</v>
      </c>
      <c r="R205" s="35">
        <f t="shared" si="276"/>
        <v>0</v>
      </c>
      <c r="S205" s="34">
        <f t="shared" si="277"/>
        <v>2.06</v>
      </c>
      <c r="T205" s="34">
        <f>O205*S205</f>
        <v>0</v>
      </c>
      <c r="U205" s="34">
        <f>INDEX(cennik!$C$2:$L$529,MATCH($L205,cennik!$B$2:$B$522,0),MATCH(U$2,cennik!$C$1:$L$1,0))*O205</f>
        <v>0</v>
      </c>
      <c r="V205" s="21"/>
      <c r="AG205" s="21"/>
      <c r="AH205" s="21"/>
      <c r="AI205" s="21"/>
      <c r="AJ205" s="21"/>
      <c r="AK205" s="21"/>
      <c r="AL205" s="21"/>
      <c r="AM205" s="21"/>
      <c r="AN205" s="21"/>
      <c r="AO205" s="21"/>
      <c r="AP205" s="21"/>
      <c r="AQ205" s="21"/>
      <c r="AR205" s="21"/>
      <c r="AS205" s="21"/>
      <c r="AT205" s="21"/>
      <c r="AU205" s="21"/>
      <c r="AV205" s="21"/>
      <c r="AW205" s="21"/>
      <c r="AX205" s="21"/>
      <c r="AY205" s="21"/>
      <c r="AZ205" s="21"/>
      <c r="BA205" s="21"/>
      <c r="BB205" s="21"/>
      <c r="BC205" s="21"/>
      <c r="BD205" s="21"/>
      <c r="BE205" s="21"/>
      <c r="BF205" s="21"/>
      <c r="BG205" s="21"/>
      <c r="BH205" s="212"/>
      <c r="BV205" s="21"/>
      <c r="BW205" s="21"/>
      <c r="BX205" s="21"/>
      <c r="BY205" s="21"/>
      <c r="BZ205" s="21"/>
      <c r="CA205" s="21"/>
      <c r="CB205" s="21"/>
      <c r="CK205" s="21"/>
      <c r="CL205" s="21"/>
      <c r="CM205" s="21"/>
      <c r="DA205" s="198"/>
      <c r="DB205" s="21"/>
      <c r="DC205" s="21"/>
      <c r="DD205" s="21"/>
      <c r="DE205" s="21"/>
      <c r="DF205" s="21"/>
      <c r="DG205" s="21"/>
      <c r="DH205" s="21"/>
      <c r="DI205" s="21"/>
      <c r="DJ205" s="21"/>
      <c r="DK205" s="21"/>
      <c r="DL205" s="21"/>
      <c r="DM205" s="21"/>
      <c r="DN205" s="21"/>
      <c r="DO205" s="21"/>
      <c r="DP205" s="21"/>
      <c r="DQ205" s="87"/>
      <c r="DR205" s="87"/>
      <c r="DS205" s="87"/>
      <c r="DT205" s="21"/>
      <c r="DU205" s="21"/>
      <c r="DV205" s="21"/>
      <c r="DW205" s="21"/>
      <c r="DX205" s="21"/>
      <c r="DY205" s="21"/>
      <c r="DZ205" s="21"/>
      <c r="EA205" s="21"/>
      <c r="EB205" s="21"/>
      <c r="EC205" s="21"/>
      <c r="ED205" s="21"/>
      <c r="EE205" s="21"/>
      <c r="EF205" s="21"/>
      <c r="EG205" s="21"/>
      <c r="EH205" s="21"/>
      <c r="EI205" s="21"/>
      <c r="EJ205" s="196"/>
      <c r="EK205" s="21"/>
      <c r="EL205" s="21"/>
      <c r="EM205" s="21"/>
      <c r="EN205" s="21"/>
      <c r="EO205" s="21"/>
      <c r="EP205" s="21"/>
      <c r="EQ205" s="21"/>
      <c r="ER205" s="21"/>
      <c r="ES205" s="21"/>
      <c r="ET205" s="21"/>
      <c r="EU205" s="21"/>
      <c r="EV205" s="21"/>
      <c r="EW205" s="21"/>
      <c r="EX205" s="21"/>
      <c r="EY205" s="21"/>
      <c r="EZ205" s="21"/>
      <c r="FA205" s="21"/>
      <c r="FB205" s="21"/>
      <c r="FC205" s="21"/>
      <c r="FD205" s="21"/>
      <c r="FE205" s="21"/>
      <c r="FF205" s="21"/>
      <c r="FG205" s="21"/>
      <c r="FH205" s="21"/>
      <c r="FI205" s="21"/>
      <c r="FJ205" s="21"/>
      <c r="FK205" s="21"/>
      <c r="FL205" s="21"/>
      <c r="FM205" s="21"/>
      <c r="FN205" s="21"/>
      <c r="FO205" s="21"/>
      <c r="FP205" s="21"/>
      <c r="FQ205" s="21"/>
      <c r="FR205" s="21"/>
      <c r="FS205" s="21"/>
      <c r="FT205" s="21"/>
      <c r="FU205" s="21"/>
      <c r="FV205" s="21"/>
      <c r="FW205" s="21"/>
      <c r="FX205" s="21"/>
      <c r="FY205" s="21"/>
      <c r="FZ205" s="21"/>
      <c r="GA205" s="21"/>
      <c r="GB205" s="21"/>
      <c r="GC205" s="21"/>
      <c r="GD205" s="21"/>
      <c r="GE205" s="21"/>
      <c r="GF205" s="21"/>
      <c r="GG205" s="21"/>
      <c r="GH205" s="21"/>
      <c r="GI205" s="21"/>
      <c r="GJ205" s="21"/>
      <c r="GK205" s="21"/>
      <c r="GL205" s="21"/>
      <c r="GM205" s="21"/>
      <c r="GN205" s="21"/>
      <c r="GO205" s="21"/>
      <c r="GP205" s="21"/>
      <c r="GQ205" s="21"/>
      <c r="GR205" s="21"/>
      <c r="GS205" s="21"/>
      <c r="GT205" s="21"/>
      <c r="GU205" s="21"/>
      <c r="GV205" s="21"/>
      <c r="GW205" s="21"/>
      <c r="GX205" s="21"/>
      <c r="GY205" s="21"/>
      <c r="GZ205" s="21"/>
      <c r="HA205" s="21"/>
      <c r="HB205" s="21"/>
      <c r="HC205" s="21"/>
      <c r="HD205" s="21"/>
      <c r="HE205" s="21"/>
      <c r="HF205" s="21"/>
      <c r="HG205" s="21"/>
      <c r="HH205" s="21"/>
      <c r="HS205" s="20" t="s">
        <v>819</v>
      </c>
      <c r="HT205" s="21">
        <f t="shared" ref="HT205:IQ205" si="306">HT102</f>
        <v>0</v>
      </c>
      <c r="HU205" s="21">
        <f t="shared" si="306"/>
        <v>0</v>
      </c>
      <c r="HV205" s="21">
        <f t="shared" si="306"/>
        <v>0</v>
      </c>
      <c r="HW205" s="21">
        <f t="shared" si="306"/>
        <v>4</v>
      </c>
      <c r="HX205" s="21">
        <f t="shared" si="306"/>
        <v>4</v>
      </c>
      <c r="HY205" s="21">
        <f t="shared" si="306"/>
        <v>8</v>
      </c>
      <c r="HZ205" s="21">
        <f t="shared" si="306"/>
        <v>8</v>
      </c>
      <c r="IA205" s="21">
        <f t="shared" si="306"/>
        <v>8</v>
      </c>
      <c r="IB205" s="21">
        <f t="shared" si="306"/>
        <v>12</v>
      </c>
      <c r="IC205" s="21">
        <f t="shared" si="306"/>
        <v>12</v>
      </c>
      <c r="ID205" s="21">
        <f t="shared" si="306"/>
        <v>12</v>
      </c>
      <c r="IE205" s="21">
        <f t="shared" si="306"/>
        <v>16</v>
      </c>
      <c r="IF205" s="21">
        <f t="shared" si="306"/>
        <v>16</v>
      </c>
      <c r="IG205" s="21">
        <f t="shared" si="306"/>
        <v>16</v>
      </c>
      <c r="IH205" s="21">
        <f t="shared" si="306"/>
        <v>20</v>
      </c>
      <c r="II205" s="21">
        <f t="shared" si="306"/>
        <v>20</v>
      </c>
      <c r="IJ205" s="21">
        <f t="shared" si="306"/>
        <v>20</v>
      </c>
      <c r="IK205" s="21">
        <f t="shared" si="306"/>
        <v>24</v>
      </c>
      <c r="IL205" s="21">
        <f t="shared" si="306"/>
        <v>24</v>
      </c>
      <c r="IM205" s="21">
        <f t="shared" si="306"/>
        <v>24</v>
      </c>
      <c r="IN205" s="21">
        <f t="shared" si="306"/>
        <v>28</v>
      </c>
      <c r="IO205" s="21">
        <f t="shared" si="306"/>
        <v>28</v>
      </c>
      <c r="IP205" s="21">
        <f t="shared" si="306"/>
        <v>28</v>
      </c>
      <c r="IQ205" s="21">
        <f t="shared" si="306"/>
        <v>32</v>
      </c>
      <c r="IT205" s="198"/>
    </row>
    <row r="206" spans="1:254" hidden="1" x14ac:dyDescent="0.25">
      <c r="A206" s="33"/>
      <c r="B206" s="5" t="s">
        <v>116</v>
      </c>
      <c r="C206" s="33"/>
      <c r="D206" s="9"/>
      <c r="E206" s="9"/>
      <c r="F206" s="9"/>
      <c r="G206" s="9"/>
      <c r="H206" s="9"/>
      <c r="I206" s="9"/>
      <c r="J206" s="9"/>
      <c r="K206" s="9"/>
      <c r="L206" s="6" t="str">
        <f>INDEX(($AJ$3:$AJ$12),MATCH(I193,$AG$3:$AG$12,0),1)</f>
        <v>SAM8X30E</v>
      </c>
      <c r="M206" s="11">
        <f>INDEX(cennik!$C$2:$L$529,MATCH($L206,cennik!$B$2:$B$522,0),MATCH(M$2,cennik!$C$1:$L$1,0))</f>
        <v>898530</v>
      </c>
      <c r="N206" s="11" t="str">
        <f>INDEX(cennik!$C$2:$L$529,MATCH($L206,cennik!$B$2:$B$522,0),MATCH(N$2,cennik!$C$1:$L$1,0))</f>
        <v>szt.</v>
      </c>
      <c r="O206" s="11">
        <f>SUM(O204:O205)</f>
        <v>0</v>
      </c>
      <c r="P206" s="34">
        <f>INDEX(cennik!$C$2:$L$529,MATCH($L206,cennik!$B$2:$B$522,0),MATCH(P$2,cennik!$C$1:$L$1,0))</f>
        <v>0.5</v>
      </c>
      <c r="Q206" s="34">
        <f t="shared" ref="Q206:Q212" si="307">O206*P206</f>
        <v>0</v>
      </c>
      <c r="R206" s="35">
        <f t="shared" si="276"/>
        <v>0</v>
      </c>
      <c r="S206" s="34">
        <f t="shared" si="277"/>
        <v>0.5</v>
      </c>
      <c r="T206" s="34">
        <f t="shared" si="278"/>
        <v>0</v>
      </c>
      <c r="U206" s="34">
        <f>INDEX(cennik!$C$2:$L$529,MATCH($L206,cennik!$B$2:$B$522,0),MATCH(U$2,cennik!$C$1:$L$1,0))*O206</f>
        <v>0</v>
      </c>
      <c r="V206" s="21"/>
      <c r="W206" s="27"/>
      <c r="X206" s="27"/>
      <c r="Y206" s="27"/>
      <c r="Z206" s="27"/>
      <c r="AA206" s="186" t="s">
        <v>693</v>
      </c>
      <c r="AB206" s="192" t="s">
        <v>318</v>
      </c>
      <c r="AC206" s="21"/>
      <c r="AD206" s="186" t="s">
        <v>693</v>
      </c>
      <c r="AE206" s="192" t="s">
        <v>318</v>
      </c>
      <c r="AF206" s="21"/>
      <c r="AG206" s="21" t="s">
        <v>777</v>
      </c>
      <c r="AH206" s="21"/>
      <c r="AI206" s="21"/>
      <c r="AJ206" s="21"/>
      <c r="AK206" s="21"/>
      <c r="AL206" s="21"/>
      <c r="AM206" s="21"/>
      <c r="AN206" s="21"/>
      <c r="AO206" s="21"/>
      <c r="AP206" s="21"/>
      <c r="AQ206" s="21"/>
      <c r="AR206" s="21"/>
      <c r="AS206" s="21"/>
      <c r="AT206" s="21"/>
      <c r="AU206" s="21"/>
      <c r="AV206" s="21"/>
      <c r="AW206" s="21"/>
      <c r="AX206" s="21"/>
      <c r="AY206" s="21"/>
      <c r="AZ206" s="21"/>
      <c r="BA206" s="21"/>
      <c r="BB206" s="21"/>
      <c r="BC206" s="21"/>
      <c r="BD206" s="21"/>
      <c r="BE206" s="21"/>
      <c r="BF206" s="21"/>
      <c r="BG206" s="21"/>
      <c r="BH206" s="212" t="s">
        <v>112</v>
      </c>
      <c r="BI206" s="180">
        <v>0</v>
      </c>
      <c r="BJ206" s="180">
        <v>8</v>
      </c>
      <c r="BK206" s="180">
        <v>12</v>
      </c>
      <c r="BL206" s="180">
        <v>16</v>
      </c>
      <c r="BM206" s="180">
        <v>20</v>
      </c>
      <c r="BN206" s="180">
        <v>24</v>
      </c>
      <c r="BO206" s="180">
        <v>28</v>
      </c>
      <c r="BP206" s="180">
        <v>32</v>
      </c>
      <c r="BQ206" s="180">
        <v>36</v>
      </c>
      <c r="BR206" s="180">
        <v>40</v>
      </c>
      <c r="BS206" s="180">
        <v>44</v>
      </c>
      <c r="BT206" s="180">
        <v>48</v>
      </c>
      <c r="BU206" s="180">
        <v>52</v>
      </c>
      <c r="BV206" s="21"/>
      <c r="BW206" s="21" t="s">
        <v>113</v>
      </c>
      <c r="BX206" s="21">
        <v>0</v>
      </c>
      <c r="BY206" s="21">
        <v>8</v>
      </c>
      <c r="BZ206" s="21">
        <v>12</v>
      </c>
      <c r="CA206" s="21">
        <v>16</v>
      </c>
      <c r="CB206" s="21">
        <v>20</v>
      </c>
      <c r="CC206" s="180">
        <v>24</v>
      </c>
      <c r="CD206" s="180">
        <v>28</v>
      </c>
      <c r="CE206" s="180">
        <v>32</v>
      </c>
      <c r="CF206" s="180">
        <v>36</v>
      </c>
      <c r="CG206" s="180">
        <v>40</v>
      </c>
      <c r="CH206" s="180">
        <v>44</v>
      </c>
      <c r="CI206" s="180">
        <v>48</v>
      </c>
      <c r="CJ206" s="180">
        <v>52</v>
      </c>
      <c r="CK206" s="21"/>
      <c r="CL206" s="21"/>
      <c r="CM206" s="21"/>
      <c r="CN206" s="180" t="s">
        <v>507</v>
      </c>
      <c r="CO206" s="180">
        <v>0</v>
      </c>
      <c r="CP206" s="180">
        <v>8</v>
      </c>
      <c r="CQ206" s="180">
        <v>12</v>
      </c>
      <c r="CR206" s="180">
        <v>16</v>
      </c>
      <c r="CS206" s="180">
        <v>20</v>
      </c>
      <c r="CT206" s="180">
        <v>24</v>
      </c>
      <c r="CU206" s="180">
        <v>28</v>
      </c>
      <c r="CV206" s="180">
        <v>32</v>
      </c>
      <c r="CW206" s="180">
        <v>36</v>
      </c>
      <c r="CX206" s="180">
        <v>40</v>
      </c>
      <c r="CY206" s="180">
        <v>44</v>
      </c>
      <c r="CZ206" s="180">
        <v>48</v>
      </c>
      <c r="DA206" s="198">
        <v>52</v>
      </c>
      <c r="DB206" s="21"/>
      <c r="DC206" s="21"/>
      <c r="DD206" s="21"/>
      <c r="DE206" s="21"/>
      <c r="DF206" s="21"/>
      <c r="DG206" s="21"/>
      <c r="DH206" s="21"/>
      <c r="DI206" s="21"/>
      <c r="DJ206" s="21"/>
      <c r="DK206" s="21"/>
      <c r="DL206" s="21"/>
      <c r="DM206" s="21"/>
      <c r="DN206" s="21"/>
      <c r="DO206" s="21"/>
      <c r="DP206" s="21"/>
      <c r="DQ206" s="87"/>
      <c r="DR206" s="87"/>
      <c r="DS206" s="87"/>
      <c r="DT206" s="21"/>
      <c r="DU206" s="21"/>
      <c r="DV206" s="21"/>
      <c r="DW206" s="21"/>
      <c r="DX206" s="21"/>
      <c r="DY206" s="21"/>
      <c r="DZ206" s="21"/>
      <c r="EA206" s="21"/>
      <c r="EB206" s="21"/>
      <c r="EC206" s="21"/>
      <c r="ED206" s="21"/>
      <c r="EE206" s="21"/>
      <c r="EF206" s="21"/>
      <c r="EG206" s="21"/>
      <c r="EH206" s="21"/>
      <c r="EI206" s="21"/>
      <c r="EJ206" s="196"/>
      <c r="EK206" s="21"/>
      <c r="EL206" s="21"/>
      <c r="EM206" s="21"/>
      <c r="EN206" s="21"/>
      <c r="EO206" s="21"/>
      <c r="EP206" s="21"/>
      <c r="EQ206" s="21"/>
      <c r="ER206" s="21"/>
      <c r="ES206" s="21"/>
      <c r="ET206" s="21"/>
      <c r="EU206" s="21"/>
      <c r="EV206" s="21"/>
      <c r="EW206" s="21"/>
      <c r="EX206" s="21"/>
      <c r="EY206" s="21"/>
      <c r="EZ206" s="21"/>
      <c r="FA206" s="21"/>
      <c r="FB206" s="21"/>
      <c r="FC206" s="21"/>
      <c r="FD206" s="21"/>
      <c r="FE206" s="21"/>
      <c r="FF206" s="21"/>
      <c r="FG206" s="21"/>
      <c r="FH206" s="21"/>
      <c r="FI206" s="21"/>
      <c r="FJ206" s="21"/>
      <c r="FK206" s="21"/>
      <c r="FL206" s="21"/>
      <c r="FM206" s="21"/>
      <c r="FN206" s="21"/>
      <c r="FO206" s="21"/>
      <c r="FP206" s="21"/>
      <c r="FQ206" s="21"/>
      <c r="FR206" s="21"/>
      <c r="FS206" s="21"/>
      <c r="FT206" s="21"/>
      <c r="FU206" s="21"/>
      <c r="FV206" s="21"/>
      <c r="FW206" s="21"/>
      <c r="FX206" s="21"/>
      <c r="FY206" s="21"/>
      <c r="FZ206" s="21"/>
      <c r="GA206" s="21"/>
      <c r="GB206" s="21"/>
      <c r="GC206" s="21"/>
      <c r="GD206" s="21"/>
      <c r="GE206" s="21"/>
      <c r="GF206" s="21"/>
      <c r="GG206" s="21"/>
      <c r="GH206" s="21"/>
      <c r="GI206" s="21"/>
      <c r="GJ206" s="21"/>
      <c r="GK206" s="21"/>
      <c r="GL206" s="21"/>
      <c r="GM206" s="21"/>
      <c r="GN206" s="21"/>
      <c r="GO206" s="21"/>
      <c r="GP206" s="21"/>
      <c r="GQ206" s="21"/>
      <c r="GR206" s="21"/>
      <c r="GS206" s="21"/>
      <c r="GT206" s="21"/>
      <c r="GU206" s="21"/>
      <c r="GV206" s="21"/>
      <c r="GW206" s="21"/>
      <c r="GX206" s="21"/>
      <c r="GY206" s="21"/>
      <c r="GZ206" s="21"/>
      <c r="HA206" s="21"/>
      <c r="HB206" s="21"/>
      <c r="HC206" s="21"/>
      <c r="HD206" s="21"/>
      <c r="HE206" s="21"/>
      <c r="HF206" s="21"/>
      <c r="HG206" s="21"/>
      <c r="HH206" s="21"/>
      <c r="HS206" s="21" t="s">
        <v>700</v>
      </c>
      <c r="HT206" s="21">
        <f t="shared" ref="HT206:IQ206" si="308">HT103</f>
        <v>0</v>
      </c>
      <c r="HU206" s="21">
        <f t="shared" si="308"/>
        <v>0</v>
      </c>
      <c r="HV206" s="21">
        <f t="shared" si="308"/>
        <v>0</v>
      </c>
      <c r="HW206" s="21">
        <f t="shared" si="308"/>
        <v>4</v>
      </c>
      <c r="HX206" s="21">
        <f t="shared" si="308"/>
        <v>4</v>
      </c>
      <c r="HY206" s="21">
        <f t="shared" si="308"/>
        <v>8</v>
      </c>
      <c r="HZ206" s="21">
        <f t="shared" si="308"/>
        <v>8</v>
      </c>
      <c r="IA206" s="21">
        <f t="shared" si="308"/>
        <v>8</v>
      </c>
      <c r="IB206" s="21">
        <f t="shared" si="308"/>
        <v>12</v>
      </c>
      <c r="IC206" s="21">
        <f t="shared" si="308"/>
        <v>12</v>
      </c>
      <c r="ID206" s="21">
        <f t="shared" si="308"/>
        <v>12</v>
      </c>
      <c r="IE206" s="21">
        <f t="shared" si="308"/>
        <v>16</v>
      </c>
      <c r="IF206" s="21">
        <f t="shared" si="308"/>
        <v>16</v>
      </c>
      <c r="IG206" s="21">
        <f t="shared" si="308"/>
        <v>16</v>
      </c>
      <c r="IH206" s="21">
        <f t="shared" si="308"/>
        <v>20</v>
      </c>
      <c r="II206" s="21">
        <f t="shared" si="308"/>
        <v>20</v>
      </c>
      <c r="IJ206" s="21">
        <f t="shared" si="308"/>
        <v>20</v>
      </c>
      <c r="IK206" s="21">
        <f t="shared" si="308"/>
        <v>24</v>
      </c>
      <c r="IL206" s="21">
        <f t="shared" si="308"/>
        <v>24</v>
      </c>
      <c r="IM206" s="21">
        <f t="shared" si="308"/>
        <v>24</v>
      </c>
      <c r="IN206" s="21">
        <f t="shared" si="308"/>
        <v>28</v>
      </c>
      <c r="IO206" s="21">
        <f t="shared" si="308"/>
        <v>28</v>
      </c>
      <c r="IP206" s="21">
        <f t="shared" si="308"/>
        <v>28</v>
      </c>
      <c r="IQ206" s="21">
        <f t="shared" si="308"/>
        <v>32</v>
      </c>
      <c r="IT206" s="198"/>
    </row>
    <row r="207" spans="1:254" hidden="1" x14ac:dyDescent="0.25">
      <c r="A207" s="33"/>
      <c r="B207" s="5" t="s">
        <v>116</v>
      </c>
      <c r="C207" s="33"/>
      <c r="D207" s="9"/>
      <c r="E207" s="9"/>
      <c r="F207" s="9"/>
      <c r="G207" s="9"/>
      <c r="H207" s="9"/>
      <c r="I207" s="9"/>
      <c r="J207" s="9"/>
      <c r="K207" s="9"/>
      <c r="L207" s="6" t="s">
        <v>526</v>
      </c>
      <c r="M207" s="11" t="e">
        <f>INDEX(cennik!$C$2:$L$529,MATCH($L207,cennik!$B$2:$B$522,0),MATCH(M$2,cennik!$C$1:$L$1,0))</f>
        <v>#N/A</v>
      </c>
      <c r="N207" s="11" t="e">
        <f>INDEX(cennik!$C$2:$L$529,MATCH($L207,cennik!$B$2:$B$522,0),MATCH(N$2,cennik!$C$1:$L$1,0))</f>
        <v>#N/A</v>
      </c>
      <c r="O207" s="11">
        <f>ROUNDUP(O206/100,0)</f>
        <v>0</v>
      </c>
      <c r="P207" s="34" t="e">
        <f>INDEX(cennik!$C$2:$L$529,MATCH($L207,cennik!$B$2:$B$522,0),MATCH(P$2,cennik!$C$1:$L$1,0))</f>
        <v>#N/A</v>
      </c>
      <c r="Q207" s="34" t="e">
        <f t="shared" si="307"/>
        <v>#N/A</v>
      </c>
      <c r="R207" s="35">
        <f t="shared" si="276"/>
        <v>0</v>
      </c>
      <c r="S207" s="34" t="e">
        <f t="shared" si="277"/>
        <v>#N/A</v>
      </c>
      <c r="T207" s="34" t="e">
        <f t="shared" si="278"/>
        <v>#N/A</v>
      </c>
      <c r="U207" s="34" t="e">
        <f>INDEX(cennik!$C$2:$L$529,MATCH($L207,cennik!$B$2:$B$522,0),MATCH(U$2,cennik!$C$1:$L$1,0))*O207</f>
        <v>#N/A</v>
      </c>
      <c r="V207" s="21"/>
      <c r="W207" s="27"/>
      <c r="X207" s="27"/>
      <c r="Y207" s="27"/>
      <c r="Z207" s="27"/>
      <c r="AA207" s="21">
        <f t="shared" ref="AA207:AA215" si="309">IF(AC207=0,0,IF(AC207&gt;=1,2,IF(AC207&gt;=5,4,IF(AC207&gt;=8,6,IF(AC207&gt;=13,8,0)))))*C219</f>
        <v>0</v>
      </c>
      <c r="AB207" s="21">
        <f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*C219</f>
        <v>0</v>
      </c>
      <c r="AC207" s="21">
        <f t="shared" ref="AC207:AC215" si="310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D207" s="21">
        <f t="shared" ref="AD207:AD222" si="311">VLOOKUP(AG207,$AI$200:$AK$204,3,1)*C219</f>
        <v>0</v>
      </c>
      <c r="AE207" s="21">
        <f t="shared" ref="AE207:AE215" si="312">((A219/4)+1)*C219</f>
        <v>0</v>
      </c>
      <c r="AF207" s="21">
        <f t="shared" ref="AF207:AF215" si="313">IF($E$220=$AE$33,INT((A219/4)*1.5),IF($E$220=$AE$34,INT((A219/4)*1.5),IF($E$220=$AE$35,INT((A219/4)*1.5),IF($E$220=$AE$36,INT((A219/4)*1.5),IF($E$220=$AE$37,INT((A219/4)*1.5),IF($E$220=$AE$38,INT((A219/4)*1.5),IF($E$220=$AE$39,A219/4,IF($E$220=$AE$40,A219/4,IF($E$220=$AE$41,A219/4,IF($E$220=$AE$42,A219/4,IF($E$220=$AE$43,A219/4,IF($E$220=$AE$44,A219/4,IF($E$220=$AE$45,A219/4,IF($E$220=$AE$46,A219/4,0))))))))))))))</f>
        <v>0</v>
      </c>
      <c r="AG207" s="21">
        <f t="shared" ref="AG207:AG215" si="314">((A219/4)+1)</f>
        <v>1</v>
      </c>
      <c r="AH207" s="21"/>
      <c r="AI207" s="21"/>
      <c r="AJ207" s="21"/>
      <c r="AK207" s="21"/>
      <c r="AL207" s="21"/>
      <c r="AM207" s="21"/>
      <c r="AN207" s="21"/>
      <c r="AO207" s="21"/>
      <c r="AP207" s="21"/>
      <c r="AQ207" s="21"/>
      <c r="AR207" s="21" t="s">
        <v>750</v>
      </c>
      <c r="AS207" s="21"/>
      <c r="AT207" s="21"/>
      <c r="AU207" s="21"/>
      <c r="AV207" s="21"/>
      <c r="AW207" s="21"/>
      <c r="AX207" s="21"/>
      <c r="AY207" s="21"/>
      <c r="AZ207" s="21"/>
      <c r="BA207" s="21"/>
      <c r="BB207" s="21"/>
      <c r="BC207" s="21"/>
      <c r="BD207" s="21"/>
      <c r="BE207" s="21"/>
      <c r="BF207" s="21"/>
      <c r="BG207" s="21"/>
      <c r="BH207" s="212" t="s">
        <v>586</v>
      </c>
      <c r="BI207" s="180">
        <v>0</v>
      </c>
      <c r="BJ207" s="180">
        <v>0</v>
      </c>
      <c r="BK207" s="180">
        <v>0</v>
      </c>
      <c r="BL207" s="180">
        <v>0</v>
      </c>
      <c r="BM207" s="180">
        <v>0</v>
      </c>
      <c r="BN207" s="180">
        <v>0</v>
      </c>
      <c r="BO207" s="180">
        <v>0</v>
      </c>
      <c r="BP207" s="180">
        <v>0</v>
      </c>
      <c r="BQ207" s="180">
        <v>0</v>
      </c>
      <c r="BR207" s="180">
        <v>0</v>
      </c>
      <c r="BS207" s="180">
        <v>0</v>
      </c>
      <c r="BT207" s="180">
        <v>0</v>
      </c>
      <c r="BU207" s="180">
        <v>0</v>
      </c>
      <c r="BV207" s="21"/>
      <c r="BW207" s="21" t="s">
        <v>586</v>
      </c>
      <c r="BX207" s="21">
        <v>0</v>
      </c>
      <c r="BY207" s="21">
        <v>0</v>
      </c>
      <c r="BZ207" s="21">
        <v>0</v>
      </c>
      <c r="CA207" s="21">
        <v>0</v>
      </c>
      <c r="CB207" s="21">
        <v>0</v>
      </c>
      <c r="CC207" s="180">
        <v>0</v>
      </c>
      <c r="CD207" s="180">
        <v>0</v>
      </c>
      <c r="CE207" s="180">
        <v>0</v>
      </c>
      <c r="CF207" s="180">
        <v>0</v>
      </c>
      <c r="CG207" s="180">
        <v>0</v>
      </c>
      <c r="CH207" s="180">
        <v>0</v>
      </c>
      <c r="CI207" s="180">
        <v>0</v>
      </c>
      <c r="CJ207" s="180">
        <v>0</v>
      </c>
      <c r="CK207" s="21"/>
      <c r="CL207" s="21"/>
      <c r="CM207" s="21"/>
      <c r="CN207" s="180" t="s">
        <v>586</v>
      </c>
      <c r="CO207" s="180">
        <v>0</v>
      </c>
      <c r="CP207" s="180">
        <v>5</v>
      </c>
      <c r="CQ207" s="180">
        <v>0</v>
      </c>
      <c r="CR207" s="180">
        <v>0</v>
      </c>
      <c r="CS207" s="180">
        <v>0</v>
      </c>
      <c r="CT207" s="180">
        <v>0</v>
      </c>
      <c r="CU207" s="180">
        <v>0</v>
      </c>
      <c r="CV207" s="180">
        <v>0</v>
      </c>
      <c r="CW207" s="180">
        <v>0</v>
      </c>
      <c r="CX207" s="180">
        <v>0</v>
      </c>
      <c r="CY207" s="180">
        <v>0</v>
      </c>
      <c r="CZ207" s="180">
        <v>0</v>
      </c>
      <c r="DA207" s="198">
        <v>0</v>
      </c>
      <c r="DB207" s="21"/>
      <c r="DC207" s="21"/>
      <c r="DD207" s="21"/>
      <c r="DE207" s="21"/>
      <c r="DF207" s="21"/>
      <c r="DG207" s="21"/>
      <c r="DH207" s="21"/>
      <c r="DI207" s="21"/>
      <c r="DJ207" s="21"/>
      <c r="DK207" s="21"/>
      <c r="DL207" s="21"/>
      <c r="DM207" s="21"/>
      <c r="DN207" s="21"/>
      <c r="DO207" s="21"/>
      <c r="DP207" s="21"/>
      <c r="DQ207" s="87"/>
      <c r="DR207" s="87"/>
      <c r="DS207" s="87"/>
      <c r="DT207" s="21"/>
      <c r="DU207" s="21"/>
      <c r="DV207" s="21"/>
      <c r="DW207" s="21"/>
      <c r="DX207" s="21"/>
      <c r="DY207" s="21"/>
      <c r="DZ207" s="21"/>
      <c r="EA207" s="21"/>
      <c r="EB207" s="21"/>
      <c r="EC207" s="21"/>
      <c r="ED207" s="21"/>
      <c r="EE207" s="21"/>
      <c r="EF207" s="21"/>
      <c r="EG207" s="21"/>
      <c r="EH207" s="21"/>
      <c r="EI207" s="21"/>
      <c r="EJ207" s="196"/>
      <c r="EK207" s="21"/>
      <c r="EL207" s="21"/>
      <c r="EM207" s="21"/>
      <c r="EN207" s="21"/>
      <c r="EO207" s="21"/>
      <c r="EP207" s="21"/>
      <c r="EQ207" s="21"/>
      <c r="ER207" s="21"/>
      <c r="ES207" s="21"/>
      <c r="ET207" s="21"/>
      <c r="EU207" s="21"/>
      <c r="EV207" s="21"/>
      <c r="EW207" s="21"/>
      <c r="EX207" s="21"/>
      <c r="EY207" s="21"/>
      <c r="EZ207" s="21"/>
      <c r="FA207" s="21"/>
      <c r="FB207" s="21"/>
      <c r="FC207" s="21"/>
      <c r="FD207" s="21"/>
      <c r="FE207" s="21"/>
      <c r="FF207" s="21"/>
      <c r="FG207" s="21"/>
      <c r="FH207" s="21"/>
      <c r="FI207" s="21"/>
      <c r="FJ207" s="21"/>
      <c r="FK207" s="21"/>
      <c r="FL207" s="21"/>
      <c r="FM207" s="21"/>
      <c r="FN207" s="21"/>
      <c r="FO207" s="21"/>
      <c r="FP207" s="21"/>
      <c r="FQ207" s="21"/>
      <c r="FR207" s="21"/>
      <c r="FS207" s="21"/>
      <c r="FT207" s="21"/>
      <c r="FU207" s="21"/>
      <c r="FV207" s="21"/>
      <c r="FW207" s="21"/>
      <c r="FX207" s="21"/>
      <c r="FY207" s="21"/>
      <c r="FZ207" s="21"/>
      <c r="GA207" s="21"/>
      <c r="GB207" s="21"/>
      <c r="GC207" s="21"/>
      <c r="GD207" s="21"/>
      <c r="GE207" s="21"/>
      <c r="GF207" s="21"/>
      <c r="GG207" s="21"/>
      <c r="GH207" s="21"/>
      <c r="GI207" s="21"/>
      <c r="GJ207" s="21"/>
      <c r="GK207" s="21"/>
      <c r="GL207" s="21"/>
      <c r="GM207" s="21"/>
      <c r="GN207" s="21"/>
      <c r="GO207" s="21"/>
      <c r="GP207" s="21"/>
      <c r="GQ207" s="21"/>
      <c r="GR207" s="21"/>
      <c r="GS207" s="21"/>
      <c r="GT207" s="21"/>
      <c r="GU207" s="21"/>
      <c r="GV207" s="21"/>
      <c r="GW207" s="21"/>
      <c r="GX207" s="21"/>
      <c r="GY207" s="21"/>
      <c r="GZ207" s="21"/>
      <c r="HA207" s="21"/>
      <c r="HB207" s="21"/>
      <c r="HC207" s="21"/>
      <c r="HD207" s="21"/>
      <c r="HE207" s="21"/>
      <c r="HF207" s="21"/>
      <c r="HG207" s="21"/>
      <c r="HH207" s="21"/>
      <c r="IT207" s="198"/>
    </row>
    <row r="208" spans="1:254" ht="15.75" hidden="1" thickBot="1" x14ac:dyDescent="0.3">
      <c r="A208" s="9"/>
      <c r="B208" s="6"/>
      <c r="C208" s="9"/>
      <c r="D208" s="9"/>
      <c r="E208" s="9"/>
      <c r="F208" s="9"/>
      <c r="G208" s="9"/>
      <c r="H208" s="9"/>
      <c r="I208" s="9"/>
      <c r="J208" s="9"/>
      <c r="K208" s="9"/>
      <c r="L208" s="6" t="s">
        <v>525</v>
      </c>
      <c r="M208" s="11">
        <f>INDEX(cennik!$C$2:$L$529,MATCH($L208,cennik!$B$2:$B$522,0),MATCH(M$2,cennik!$C$1:$L$1,0))</f>
        <v>660245</v>
      </c>
      <c r="N208" s="11" t="str">
        <f>INDEX(cennik!$C$2:$L$529,MATCH($L208,cennik!$B$2:$B$522,0),MATCH(N$2,cennik!$C$1:$L$1,0))</f>
        <v>szt.</v>
      </c>
      <c r="O208" s="11">
        <f>O206</f>
        <v>0</v>
      </c>
      <c r="P208" s="34">
        <f>INDEX(cennik!$C$2:$L$529,MATCH($L208,cennik!$B$2:$B$522,0),MATCH(P$2,cennik!$C$1:$L$1,0))</f>
        <v>1.56</v>
      </c>
      <c r="Q208" s="34">
        <f t="shared" si="307"/>
        <v>0</v>
      </c>
      <c r="R208" s="35">
        <f t="shared" si="276"/>
        <v>0</v>
      </c>
      <c r="S208" s="34">
        <f t="shared" si="277"/>
        <v>1.56</v>
      </c>
      <c r="T208" s="34">
        <f t="shared" si="278"/>
        <v>0</v>
      </c>
      <c r="U208" s="34">
        <f>INDEX(cennik!$C$2:$L$529,MATCH($L208,cennik!$B$2:$B$522,0),MATCH(U$2,cennik!$C$1:$L$1,0))*O208</f>
        <v>0</v>
      </c>
      <c r="V208" s="21"/>
      <c r="W208" s="20" t="s">
        <v>18</v>
      </c>
      <c r="X208" s="21" t="s">
        <v>217</v>
      </c>
      <c r="Y208" s="21" t="s">
        <v>216</v>
      </c>
      <c r="Z208" s="21" t="s">
        <v>17</v>
      </c>
      <c r="AA208" s="21">
        <f t="shared" si="309"/>
        <v>0</v>
      </c>
      <c r="AB208" s="21">
        <f t="shared" ref="AB208:AB215" si="315">IF($E$220=$AE$33,INT((A220/4)*1.5),IF($E$220=$AE$34,INT((A220/4)*1.5),IF($E$220=$AE$35,INT((A220/4)*1.5),IF($E$220=$AE$36,INT((A220/4)*1.5),IF($E$220=$AE$37,INT((A220/4)*1.5),IF($E$220=$AE$38,INT((A220/4)*1.5),IF($E$220=$AE$39,A220/4,IF($E$220=$AE$40,A220/4,IF($E$220=$AE$41,A220/4,IF($E$220=$AE$42,A220/4,IF($E$220=$AE$43,A220/4,IF($E$220=$AE$44,A220/4,IF($E$220=$AE$45,A220/4,IF($E$220=$AE$46,A220/4,0))))))))))))))</f>
        <v>0</v>
      </c>
      <c r="AC208" s="21">
        <f t="shared" si="310"/>
        <v>0</v>
      </c>
      <c r="AD208" s="21">
        <f t="shared" si="311"/>
        <v>0</v>
      </c>
      <c r="AE208" s="21">
        <f t="shared" si="312"/>
        <v>0</v>
      </c>
      <c r="AF208" s="21">
        <f t="shared" si="313"/>
        <v>0</v>
      </c>
      <c r="AG208" s="21">
        <f t="shared" si="314"/>
        <v>1</v>
      </c>
      <c r="AH208" s="21"/>
      <c r="AI208" s="21"/>
      <c r="AJ208" s="21"/>
      <c r="AK208" s="21"/>
      <c r="AL208" s="21"/>
      <c r="AM208" s="21"/>
      <c r="AN208" s="21"/>
      <c r="AO208" s="21"/>
      <c r="AP208" s="21"/>
      <c r="AQ208" s="21"/>
      <c r="AR208" s="21" t="s">
        <v>717</v>
      </c>
      <c r="AS208" s="21" t="s">
        <v>1157</v>
      </c>
      <c r="AT208" s="21">
        <v>2</v>
      </c>
      <c r="AU208" s="21" t="s">
        <v>1022</v>
      </c>
      <c r="AV208" s="21">
        <v>4</v>
      </c>
      <c r="AW208" s="21">
        <v>5</v>
      </c>
      <c r="AX208" s="21"/>
      <c r="AY208" s="21"/>
      <c r="AZ208" s="21"/>
      <c r="BA208" s="21"/>
      <c r="BB208" s="21"/>
      <c r="BC208" s="21"/>
      <c r="BD208" s="21"/>
      <c r="BE208" s="21"/>
      <c r="BF208" s="21"/>
      <c r="BG208" s="21"/>
      <c r="BH208" s="196" t="s">
        <v>522</v>
      </c>
      <c r="BI208" s="21">
        <v>0</v>
      </c>
      <c r="BJ208" s="21">
        <v>5</v>
      </c>
      <c r="BK208" s="21">
        <v>0</v>
      </c>
      <c r="BL208" s="21">
        <v>5</v>
      </c>
      <c r="BM208" s="21">
        <v>10</v>
      </c>
      <c r="BN208" s="21">
        <v>5</v>
      </c>
      <c r="BO208" s="21">
        <v>15</v>
      </c>
      <c r="BP208" s="21">
        <v>5</v>
      </c>
      <c r="BQ208" s="21">
        <v>15</v>
      </c>
      <c r="BR208" s="21">
        <v>20</v>
      </c>
      <c r="BS208" s="21">
        <v>15</v>
      </c>
      <c r="BT208" s="21">
        <v>25</v>
      </c>
      <c r="BU208" s="21">
        <v>15</v>
      </c>
      <c r="BV208" s="21"/>
      <c r="BW208" s="21" t="s">
        <v>522</v>
      </c>
      <c r="BX208" s="21">
        <v>0</v>
      </c>
      <c r="BY208" s="21">
        <v>5</v>
      </c>
      <c r="BZ208" s="21">
        <v>0</v>
      </c>
      <c r="CA208" s="21">
        <v>10</v>
      </c>
      <c r="CB208" s="21">
        <v>5</v>
      </c>
      <c r="CC208" s="180">
        <v>15</v>
      </c>
      <c r="CD208" s="180">
        <v>10</v>
      </c>
      <c r="CE208" s="180">
        <v>15</v>
      </c>
      <c r="CF208" s="180">
        <v>10</v>
      </c>
      <c r="CG208" s="180">
        <v>20</v>
      </c>
      <c r="CH208" s="180">
        <v>15</v>
      </c>
      <c r="CI208" s="180">
        <v>25</v>
      </c>
      <c r="CJ208" s="180">
        <v>20</v>
      </c>
      <c r="CK208" s="21"/>
      <c r="CL208" s="21"/>
      <c r="CM208" s="21"/>
      <c r="CN208" s="180" t="s">
        <v>522</v>
      </c>
      <c r="CO208" s="180">
        <v>0</v>
      </c>
      <c r="CP208" s="180">
        <v>0</v>
      </c>
      <c r="CQ208" s="180">
        <v>5</v>
      </c>
      <c r="CR208" s="180">
        <v>0</v>
      </c>
      <c r="CS208" s="180">
        <v>10</v>
      </c>
      <c r="CT208" s="180">
        <v>5</v>
      </c>
      <c r="CU208" s="180">
        <v>15</v>
      </c>
      <c r="CV208" s="180">
        <v>15</v>
      </c>
      <c r="CW208" s="180">
        <v>25</v>
      </c>
      <c r="CX208" s="180">
        <v>20</v>
      </c>
      <c r="CY208" s="180">
        <v>30</v>
      </c>
      <c r="CZ208" s="180">
        <v>25</v>
      </c>
      <c r="DA208" s="198">
        <v>35</v>
      </c>
      <c r="DB208" s="21"/>
      <c r="DC208" s="21"/>
      <c r="DD208" s="21"/>
      <c r="DE208" s="21"/>
      <c r="DF208" s="21"/>
      <c r="DG208" s="21"/>
      <c r="DH208" s="21"/>
      <c r="DI208" s="21"/>
      <c r="DJ208" s="21"/>
      <c r="DK208" s="21"/>
      <c r="DL208" s="21"/>
      <c r="DM208" s="21"/>
      <c r="DN208" s="21"/>
      <c r="DO208" s="21"/>
      <c r="DP208" s="21"/>
      <c r="DQ208" s="87"/>
      <c r="DR208" s="87"/>
      <c r="DS208" s="87"/>
      <c r="DT208" s="21"/>
      <c r="DU208" s="21"/>
      <c r="DV208" s="21"/>
      <c r="DW208" s="21"/>
      <c r="DX208" s="21"/>
      <c r="DY208" s="21"/>
      <c r="DZ208" s="21"/>
      <c r="EA208" s="21"/>
      <c r="EB208" s="21"/>
      <c r="EC208" s="21"/>
      <c r="ED208" s="21"/>
      <c r="EE208" s="21"/>
      <c r="EF208" s="21"/>
      <c r="EG208" s="21"/>
      <c r="EH208" s="21"/>
      <c r="EI208" s="21"/>
      <c r="EJ208" s="203"/>
      <c r="EK208" s="204"/>
      <c r="EL208" s="204"/>
      <c r="EM208" s="204"/>
      <c r="EN208" s="204"/>
      <c r="EO208" s="204"/>
      <c r="EP208" s="204"/>
      <c r="EQ208" s="204"/>
      <c r="ER208" s="204"/>
      <c r="ES208" s="204"/>
      <c r="ET208" s="204"/>
      <c r="EU208" s="204"/>
      <c r="EV208" s="204"/>
      <c r="EW208" s="204"/>
      <c r="EX208" s="204"/>
      <c r="EY208" s="204"/>
      <c r="EZ208" s="204"/>
      <c r="FA208" s="204"/>
      <c r="FB208" s="204"/>
      <c r="FC208" s="204"/>
      <c r="FD208" s="204"/>
      <c r="FE208" s="204"/>
      <c r="FF208" s="204"/>
      <c r="FG208" s="204"/>
      <c r="FH208" s="204"/>
      <c r="FI208" s="204"/>
      <c r="FJ208" s="204"/>
      <c r="FK208" s="204"/>
      <c r="FL208" s="204"/>
      <c r="FM208" s="204"/>
      <c r="FN208" s="204"/>
      <c r="FO208" s="204"/>
      <c r="FP208" s="204"/>
      <c r="FQ208" s="204"/>
      <c r="FR208" s="204"/>
      <c r="FS208" s="204"/>
      <c r="FT208" s="204"/>
      <c r="FU208" s="204"/>
      <c r="FV208" s="204"/>
      <c r="FW208" s="204"/>
      <c r="FX208" s="204"/>
      <c r="FY208" s="204"/>
      <c r="FZ208" s="204"/>
      <c r="GA208" s="204"/>
      <c r="GB208" s="204"/>
      <c r="GC208" s="204"/>
      <c r="GD208" s="204"/>
      <c r="GE208" s="204"/>
      <c r="GF208" s="204"/>
      <c r="GG208" s="204"/>
      <c r="GH208" s="204"/>
      <c r="GI208" s="204"/>
      <c r="GJ208" s="204"/>
      <c r="GK208" s="204"/>
      <c r="GL208" s="204"/>
      <c r="GM208" s="204"/>
      <c r="GN208" s="204"/>
      <c r="GO208" s="204"/>
      <c r="GP208" s="204"/>
      <c r="GQ208" s="204"/>
      <c r="GR208" s="204"/>
      <c r="GS208" s="204"/>
      <c r="GT208" s="204"/>
      <c r="GU208" s="204"/>
      <c r="GV208" s="204"/>
      <c r="GW208" s="204"/>
      <c r="GX208" s="204"/>
      <c r="GY208" s="204"/>
      <c r="GZ208" s="204"/>
      <c r="HA208" s="204"/>
      <c r="HB208" s="204"/>
      <c r="HC208" s="204"/>
      <c r="HD208" s="204"/>
      <c r="HE208" s="204"/>
      <c r="HF208" s="204"/>
      <c r="HG208" s="204"/>
      <c r="HH208" s="204"/>
      <c r="HI208" s="208"/>
      <c r="HJ208" s="208"/>
      <c r="HK208" s="208"/>
      <c r="HL208" s="208"/>
      <c r="HM208" s="208"/>
      <c r="HN208" s="208"/>
      <c r="HO208" s="208"/>
      <c r="HP208" s="208"/>
      <c r="HQ208" s="208"/>
      <c r="HR208" s="208"/>
      <c r="HS208" s="208"/>
      <c r="HT208" s="208"/>
      <c r="HU208" s="208"/>
      <c r="HV208" s="208"/>
      <c r="HW208" s="208"/>
      <c r="HX208" s="208"/>
      <c r="HY208" s="208"/>
      <c r="HZ208" s="208"/>
      <c r="IA208" s="208"/>
      <c r="IB208" s="208"/>
      <c r="IC208" s="208"/>
      <c r="ID208" s="208"/>
      <c r="IE208" s="208"/>
      <c r="IF208" s="208"/>
      <c r="IG208" s="208"/>
      <c r="IH208" s="208"/>
      <c r="II208" s="208"/>
      <c r="IJ208" s="208"/>
      <c r="IK208" s="208"/>
      <c r="IL208" s="208"/>
      <c r="IM208" s="208"/>
      <c r="IN208" s="208"/>
      <c r="IO208" s="208"/>
      <c r="IP208" s="208"/>
      <c r="IQ208" s="208"/>
      <c r="IR208" s="208"/>
      <c r="IS208" s="208"/>
      <c r="IT208" s="209"/>
    </row>
    <row r="209" spans="1:216" hidden="1" x14ac:dyDescent="0.25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6" t="s">
        <v>350</v>
      </c>
      <c r="M209" s="11">
        <f>INDEX(cennik!$C$2:$L$529,MATCH($L209,cennik!$B$2:$B$522,0),MATCH(M$2,cennik!$C$1:$L$1,0))</f>
        <v>651643</v>
      </c>
      <c r="N209" s="11" t="str">
        <f>INDEX(cennik!$C$2:$L$529,MATCH($L209,cennik!$B$2:$B$522,0),MATCH(N$2,cennik!$C$1:$L$1,0))</f>
        <v>100 szt.</v>
      </c>
      <c r="O209" s="11">
        <f>ROUNDUP(((O195*12)+(O199*2)+(O203*4)+O211+(O194*6)+(O214*2)+E198)/100,0)</f>
        <v>0</v>
      </c>
      <c r="P209" s="34">
        <f>INDEX(cennik!$C$2:$L$529,MATCH($L209,cennik!$B$2:$B$522,0),MATCH(P$2,cennik!$C$1:$L$1,0))</f>
        <v>144.19</v>
      </c>
      <c r="Q209" s="34">
        <f t="shared" si="307"/>
        <v>0</v>
      </c>
      <c r="R209" s="35">
        <f t="shared" si="276"/>
        <v>0</v>
      </c>
      <c r="S209" s="34">
        <f t="shared" si="277"/>
        <v>144.19</v>
      </c>
      <c r="T209" s="34">
        <f t="shared" si="278"/>
        <v>0</v>
      </c>
      <c r="U209" s="34">
        <f>INDEX(cennik!$C$2:$L$529,MATCH($L209,cennik!$B$2:$B$522,0),MATCH(U$2,cennik!$C$1:$L$1,0))*O209</f>
        <v>0</v>
      </c>
      <c r="V209" s="21"/>
      <c r="W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219,$BI$200:$BU$200,0),MATCH($E$220,$AE$33:$AE$47,0))*$C219</f>
        <v>0</v>
      </c>
      <c r="X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219,$BI$200:$BU$200,0),MATCH($E$220,$AE$33:$AE$47,0))*$C219</f>
        <v>0</v>
      </c>
      <c r="Y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219,$BI$200:$BU$200,0),MATCH($E$220,$AE$33:$AE$47,0))*$C219</f>
        <v>0</v>
      </c>
      <c r="Z20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219,$BI$200:$BU$200,0),MATCH($E$220,$AE$33:$AE$47,0))*$C219</f>
        <v>0</v>
      </c>
      <c r="AA209" s="21">
        <f t="shared" si="309"/>
        <v>0</v>
      </c>
      <c r="AB209" s="21">
        <f t="shared" si="315"/>
        <v>0</v>
      </c>
      <c r="AC209" s="21">
        <f t="shared" si="310"/>
        <v>0</v>
      </c>
      <c r="AD209" s="21">
        <f t="shared" si="311"/>
        <v>0</v>
      </c>
      <c r="AE209" s="21">
        <f t="shared" si="312"/>
        <v>0</v>
      </c>
      <c r="AF209" s="21">
        <f t="shared" si="313"/>
        <v>0</v>
      </c>
      <c r="AG209" s="21">
        <f t="shared" si="314"/>
        <v>1</v>
      </c>
      <c r="AH209" s="21"/>
      <c r="AI209" s="21"/>
      <c r="AJ209" s="21"/>
      <c r="AK209" s="21"/>
      <c r="AL209" s="21"/>
      <c r="AM209" s="21"/>
      <c r="AN209" s="21"/>
      <c r="AO209" s="21"/>
      <c r="AP209" s="21"/>
      <c r="AQ209" s="21"/>
      <c r="AR209" s="21">
        <v>1</v>
      </c>
      <c r="AS209" s="21" t="s">
        <v>751</v>
      </c>
      <c r="AT209" s="21" t="s">
        <v>751</v>
      </c>
      <c r="AU209" s="21" t="s">
        <v>751</v>
      </c>
      <c r="AV209" s="21" t="s">
        <v>751</v>
      </c>
      <c r="AW209" s="21" t="s">
        <v>719</v>
      </c>
      <c r="AX209" s="21"/>
      <c r="AY209" s="21"/>
      <c r="AZ209" s="21"/>
      <c r="BA209" s="21"/>
      <c r="BB209" s="21"/>
      <c r="BC209" s="21"/>
      <c r="BD209" s="21"/>
      <c r="BE209" s="21"/>
      <c r="BF209" s="21"/>
      <c r="BG209" s="21"/>
      <c r="BH209" s="196" t="s">
        <v>523</v>
      </c>
      <c r="BI209" s="21">
        <v>0</v>
      </c>
      <c r="BJ209" s="21">
        <v>0</v>
      </c>
      <c r="BK209" s="21">
        <v>10</v>
      </c>
      <c r="BL209" s="21">
        <v>5</v>
      </c>
      <c r="BM209" s="21">
        <v>0</v>
      </c>
      <c r="BN209" s="21">
        <v>10</v>
      </c>
      <c r="BO209" s="21">
        <v>0</v>
      </c>
      <c r="BP209" s="21">
        <v>15</v>
      </c>
      <c r="BQ209" s="21">
        <v>5</v>
      </c>
      <c r="BR209" s="21">
        <v>0</v>
      </c>
      <c r="BS209" s="21">
        <v>10</v>
      </c>
      <c r="BT209" s="21">
        <v>0</v>
      </c>
      <c r="BU209" s="21">
        <v>15</v>
      </c>
      <c r="BV209" s="21"/>
      <c r="BW209" s="21" t="s">
        <v>523</v>
      </c>
      <c r="BX209" s="21">
        <v>0</v>
      </c>
      <c r="BY209" s="21">
        <v>0</v>
      </c>
      <c r="BZ209" s="21">
        <v>10</v>
      </c>
      <c r="CA209" s="21">
        <v>0</v>
      </c>
      <c r="CB209" s="21">
        <v>10</v>
      </c>
      <c r="CC209" s="21">
        <v>0</v>
      </c>
      <c r="CD209" s="21">
        <v>10</v>
      </c>
      <c r="CE209" s="21">
        <v>5</v>
      </c>
      <c r="CF209" s="21">
        <v>15</v>
      </c>
      <c r="CG209" s="21">
        <v>5</v>
      </c>
      <c r="CH209" s="21">
        <v>15</v>
      </c>
      <c r="CI209" s="21">
        <v>5</v>
      </c>
      <c r="CJ209" s="21">
        <v>15</v>
      </c>
      <c r="CK209" s="21"/>
      <c r="CL209" s="21"/>
      <c r="CM209" s="21"/>
      <c r="CN209" s="180" t="s">
        <v>523</v>
      </c>
      <c r="CO209" s="180">
        <v>0</v>
      </c>
      <c r="CP209" s="180">
        <v>0</v>
      </c>
      <c r="CQ209" s="180">
        <v>5</v>
      </c>
      <c r="CR209" s="180">
        <v>15</v>
      </c>
      <c r="CS209" s="180">
        <v>5</v>
      </c>
      <c r="CT209" s="180">
        <v>15</v>
      </c>
      <c r="CU209" s="180">
        <v>5</v>
      </c>
      <c r="CV209" s="180">
        <v>10</v>
      </c>
      <c r="CW209" s="180">
        <v>0</v>
      </c>
      <c r="CX209" s="180">
        <v>10</v>
      </c>
      <c r="CY209" s="180">
        <v>0</v>
      </c>
      <c r="CZ209" s="180">
        <v>10</v>
      </c>
      <c r="DA209" s="198">
        <v>0</v>
      </c>
      <c r="DB209" s="21"/>
      <c r="DC209" s="21"/>
      <c r="DD209" s="21"/>
      <c r="DE209" s="21"/>
      <c r="DF209" s="21"/>
      <c r="DG209" s="21"/>
      <c r="DH209" s="21"/>
      <c r="DI209" s="21"/>
      <c r="DJ209" s="21"/>
      <c r="DK209" s="21"/>
      <c r="DL209" s="21"/>
      <c r="DM209" s="21"/>
      <c r="DN209" s="21"/>
      <c r="DO209" s="21"/>
      <c r="DP209" s="21"/>
      <c r="DQ209" s="87"/>
      <c r="DR209" s="87"/>
      <c r="DS209" s="87"/>
      <c r="DT209" s="21"/>
      <c r="DU209" s="21"/>
      <c r="DV209" s="21"/>
      <c r="DW209" s="21"/>
      <c r="DX209" s="21"/>
      <c r="DY209" s="21"/>
      <c r="DZ209" s="21"/>
      <c r="EA209" s="21"/>
      <c r="EB209" s="21"/>
      <c r="EC209" s="21"/>
      <c r="ED209" s="21"/>
      <c r="EE209" s="21"/>
      <c r="EF209" s="21"/>
      <c r="EG209" s="21"/>
      <c r="EH209" s="21"/>
      <c r="EI209" s="21"/>
      <c r="EJ209" s="21"/>
      <c r="EK209" s="21"/>
      <c r="EL209" s="21"/>
      <c r="EM209" s="21"/>
      <c r="EN209" s="21"/>
      <c r="EO209" s="21"/>
      <c r="EP209" s="21"/>
      <c r="EQ209" s="21"/>
      <c r="ER209" s="21"/>
      <c r="ES209" s="21"/>
      <c r="ET209" s="21"/>
      <c r="EU209" s="21"/>
      <c r="EV209" s="21"/>
      <c r="EW209" s="21"/>
      <c r="EX209" s="21"/>
      <c r="EY209" s="21"/>
      <c r="EZ209" s="21"/>
      <c r="FA209" s="21"/>
      <c r="FB209" s="21"/>
      <c r="FC209" s="21"/>
      <c r="FD209" s="21"/>
      <c r="FE209" s="21"/>
      <c r="FF209" s="21"/>
      <c r="FG209" s="21"/>
      <c r="FH209" s="21"/>
      <c r="FI209" s="21"/>
      <c r="FJ209" s="21"/>
      <c r="FK209" s="21"/>
      <c r="FL209" s="21"/>
      <c r="FM209" s="21"/>
      <c r="FN209" s="21"/>
      <c r="FO209" s="21"/>
      <c r="FP209" s="21"/>
      <c r="FQ209" s="21"/>
      <c r="FR209" s="21"/>
      <c r="FS209" s="21"/>
      <c r="FT209" s="21"/>
      <c r="FU209" s="21"/>
      <c r="FV209" s="21"/>
      <c r="FW209" s="21"/>
      <c r="FX209" s="21"/>
      <c r="FY209" s="21"/>
      <c r="FZ209" s="21"/>
      <c r="GA209" s="21"/>
      <c r="GB209" s="21"/>
      <c r="GC209" s="21"/>
      <c r="GD209" s="21"/>
      <c r="GE209" s="21"/>
      <c r="GF209" s="21"/>
      <c r="GG209" s="21"/>
      <c r="GH209" s="21"/>
      <c r="GI209" s="21"/>
      <c r="GJ209" s="21"/>
      <c r="GK209" s="21"/>
      <c r="GL209" s="21"/>
      <c r="GM209" s="21"/>
      <c r="GN209" s="21"/>
      <c r="GO209" s="21"/>
      <c r="GP209" s="21"/>
      <c r="GQ209" s="21"/>
      <c r="GR209" s="21"/>
      <c r="GS209" s="21"/>
      <c r="GT209" s="21"/>
      <c r="GU209" s="21"/>
      <c r="GV209" s="21"/>
      <c r="GW209" s="21"/>
      <c r="GX209" s="21"/>
      <c r="GY209" s="21"/>
      <c r="GZ209" s="21"/>
      <c r="HA209" s="21"/>
      <c r="HB209" s="21"/>
      <c r="HC209" s="21"/>
      <c r="HD209" s="21"/>
      <c r="HE209" s="21"/>
      <c r="HF209" s="21"/>
      <c r="HG209" s="21"/>
      <c r="HH209" s="21"/>
    </row>
    <row r="210" spans="1:216" hidden="1" x14ac:dyDescent="0.25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6" t="s">
        <v>128</v>
      </c>
      <c r="M210" s="11">
        <f>INDEX(cennik!$C$2:$L$529,MATCH($L210,cennik!$B$2:$B$522,0),MATCH(M$2,cennik!$C$1:$L$1,0))</f>
        <v>897303</v>
      </c>
      <c r="N210" s="11" t="str">
        <f>INDEX(cennik!$C$2:$L$529,MATCH($L210,cennik!$B$2:$B$522,0),MATCH(N$2,cennik!$C$1:$L$1,0))</f>
        <v>szt.</v>
      </c>
      <c r="O210" s="11">
        <f>0.25*SUM(O204:O206)</f>
        <v>0</v>
      </c>
      <c r="P210" s="34">
        <f>INDEX(cennik!$C$2:$L$529,MATCH($L210,cennik!$B$2:$B$522,0),MATCH(P$2,cennik!$C$1:$L$1,0))</f>
        <v>2.4</v>
      </c>
      <c r="Q210" s="34">
        <f t="shared" si="307"/>
        <v>0</v>
      </c>
      <c r="R210" s="35">
        <f t="shared" si="276"/>
        <v>0</v>
      </c>
      <c r="S210" s="34">
        <f t="shared" si="277"/>
        <v>2.4</v>
      </c>
      <c r="T210" s="34">
        <f t="shared" si="278"/>
        <v>0</v>
      </c>
      <c r="U210" s="34">
        <f>INDEX(cennik!$C$2:$L$529,MATCH($L210,cennik!$B$2:$B$522,0),MATCH(U$2,cennik!$C$1:$L$1,0))*O210</f>
        <v>0</v>
      </c>
      <c r="V210" s="21"/>
      <c r="W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220,$BI$200:$BU$200,0),MATCH($E$220,$AE$33:$AE$47,0))*$C220</f>
        <v>0</v>
      </c>
      <c r="X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220,$BI$200:$BU$200,0),MATCH($E$220,$AE$33:$AE$47,0))*$C220</f>
        <v>0</v>
      </c>
      <c r="Y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220,$BI$200:$BU$200,0),MATCH($E$220,$AE$33:$AE$47,0))*$C220</f>
        <v>0</v>
      </c>
      <c r="Z21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220,$BI$200:$BU$200,0),MATCH($E$220,$AE$33:$AE$47,0))*$C220</f>
        <v>0</v>
      </c>
      <c r="AA210" s="21">
        <f t="shared" si="309"/>
        <v>0</v>
      </c>
      <c r="AB210" s="21">
        <f t="shared" si="315"/>
        <v>0</v>
      </c>
      <c r="AC210" s="21">
        <f t="shared" si="310"/>
        <v>0</v>
      </c>
      <c r="AD210" s="21">
        <f t="shared" si="311"/>
        <v>0</v>
      </c>
      <c r="AE210" s="21">
        <f t="shared" si="312"/>
        <v>0</v>
      </c>
      <c r="AF210" s="21">
        <f t="shared" si="313"/>
        <v>0</v>
      </c>
      <c r="AG210" s="21">
        <f t="shared" si="314"/>
        <v>1</v>
      </c>
      <c r="AH210" s="21"/>
      <c r="AI210" s="21"/>
      <c r="AJ210" s="21"/>
      <c r="AK210" s="21"/>
      <c r="AL210" s="21"/>
      <c r="AM210" s="21"/>
      <c r="AN210" s="21"/>
      <c r="AO210" s="21"/>
      <c r="AP210" s="21"/>
      <c r="AQ210" s="21"/>
      <c r="AR210" s="21">
        <v>2</v>
      </c>
      <c r="AS210" s="21" t="s">
        <v>719</v>
      </c>
      <c r="AT210" s="21" t="s">
        <v>751</v>
      </c>
      <c r="AU210" s="21" t="s">
        <v>751</v>
      </c>
      <c r="AV210" s="21" t="s">
        <v>719</v>
      </c>
      <c r="AW210" s="21" t="s">
        <v>719</v>
      </c>
      <c r="AX210" s="21"/>
      <c r="AY210" s="21"/>
      <c r="AZ210" s="21"/>
      <c r="BA210" s="21"/>
      <c r="BB210" s="21"/>
      <c r="BC210" s="21"/>
      <c r="BD210" s="21"/>
      <c r="BE210" s="21"/>
      <c r="BF210" s="21"/>
      <c r="BG210" s="21"/>
      <c r="BH210" s="20" t="s">
        <v>779</v>
      </c>
      <c r="BI210" s="21">
        <v>0</v>
      </c>
      <c r="BJ210" s="21">
        <v>0</v>
      </c>
      <c r="BK210" s="21">
        <v>5</v>
      </c>
      <c r="BL210" s="21">
        <v>5</v>
      </c>
      <c r="BM210" s="21">
        <v>5</v>
      </c>
      <c r="BN210" s="21">
        <v>10</v>
      </c>
      <c r="BO210" s="21">
        <v>10</v>
      </c>
      <c r="BP210" s="21">
        <v>15</v>
      </c>
      <c r="BQ210" s="21">
        <v>15</v>
      </c>
      <c r="BR210" s="21">
        <v>15</v>
      </c>
      <c r="BS210" s="21">
        <v>20</v>
      </c>
      <c r="BT210" s="21">
        <v>20</v>
      </c>
      <c r="BU210" s="21">
        <v>25</v>
      </c>
      <c r="BV210" s="21"/>
      <c r="BW210" s="20" t="s">
        <v>779</v>
      </c>
      <c r="BX210" s="21">
        <v>0</v>
      </c>
      <c r="BY210" s="21">
        <v>0</v>
      </c>
      <c r="BZ210" s="21">
        <v>5</v>
      </c>
      <c r="CA210" s="21">
        <v>5</v>
      </c>
      <c r="CB210" s="21">
        <v>10</v>
      </c>
      <c r="CC210" s="21">
        <v>10</v>
      </c>
      <c r="CD210" s="21">
        <v>15</v>
      </c>
      <c r="CE210" s="21">
        <v>15</v>
      </c>
      <c r="CF210" s="21">
        <v>20</v>
      </c>
      <c r="CG210" s="21">
        <v>20</v>
      </c>
      <c r="CH210" s="21">
        <v>25</v>
      </c>
      <c r="CI210" s="21">
        <v>25</v>
      </c>
      <c r="CJ210" s="21">
        <v>30</v>
      </c>
      <c r="CK210" s="21"/>
      <c r="CL210" s="21"/>
      <c r="CM210" s="21"/>
      <c r="CN210" s="20" t="s">
        <v>779</v>
      </c>
      <c r="CO210" s="180">
        <v>0</v>
      </c>
      <c r="CP210" s="180">
        <v>0</v>
      </c>
      <c r="CQ210" s="180">
        <v>5</v>
      </c>
      <c r="CR210" s="180">
        <v>10</v>
      </c>
      <c r="CS210" s="180">
        <v>10</v>
      </c>
      <c r="CT210" s="180">
        <v>15</v>
      </c>
      <c r="CU210" s="180">
        <v>15</v>
      </c>
      <c r="CV210" s="180">
        <v>20</v>
      </c>
      <c r="CW210" s="180">
        <v>20</v>
      </c>
      <c r="CX210" s="180">
        <v>25</v>
      </c>
      <c r="CY210" s="180">
        <v>25</v>
      </c>
      <c r="CZ210" s="180">
        <v>30</v>
      </c>
      <c r="DA210" s="198">
        <v>30</v>
      </c>
      <c r="DB210" s="21"/>
      <c r="DC210" s="21"/>
      <c r="DD210" s="21"/>
      <c r="DE210" s="21"/>
      <c r="DF210" s="21"/>
      <c r="DG210" s="21"/>
      <c r="DH210" s="21"/>
      <c r="DI210" s="21"/>
      <c r="DJ210" s="21"/>
      <c r="DK210" s="21"/>
      <c r="DL210" s="21"/>
      <c r="DM210" s="21"/>
      <c r="DN210" s="21"/>
      <c r="DO210" s="21"/>
      <c r="DP210" s="21"/>
      <c r="DQ210" s="87"/>
      <c r="DR210" s="87"/>
      <c r="DS210" s="87"/>
      <c r="DT210" s="21"/>
      <c r="DU210" s="21"/>
      <c r="DV210" s="21"/>
      <c r="DW210" s="21"/>
      <c r="DX210" s="21"/>
      <c r="DY210" s="21"/>
      <c r="DZ210" s="21"/>
      <c r="EA210" s="21"/>
      <c r="EB210" s="21"/>
      <c r="EC210" s="21"/>
      <c r="ED210" s="21"/>
      <c r="EE210" s="21"/>
      <c r="EF210" s="21"/>
      <c r="EG210" s="21"/>
      <c r="EH210" s="21"/>
      <c r="EI210" s="21"/>
      <c r="EJ210" s="21"/>
      <c r="EK210" s="21"/>
      <c r="EL210" s="21"/>
      <c r="EM210" s="21"/>
      <c r="EN210" s="21"/>
      <c r="EO210" s="21"/>
      <c r="EP210" s="21"/>
      <c r="EQ210" s="21"/>
      <c r="ER210" s="21"/>
      <c r="ES210" s="21"/>
      <c r="ET210" s="21"/>
      <c r="EU210" s="21"/>
      <c r="EV210" s="21"/>
      <c r="EW210" s="21"/>
      <c r="EX210" s="21"/>
      <c r="EY210" s="21"/>
      <c r="EZ210" s="21"/>
      <c r="FA210" s="21"/>
      <c r="FB210" s="21"/>
      <c r="FC210" s="21"/>
      <c r="FD210" s="21"/>
      <c r="FE210" s="21"/>
      <c r="FF210" s="21"/>
      <c r="FG210" s="21"/>
      <c r="FH210" s="21"/>
      <c r="FI210" s="21"/>
      <c r="FJ210" s="21"/>
      <c r="FK210" s="21"/>
      <c r="FL210" s="21"/>
      <c r="FM210" s="21"/>
      <c r="FN210" s="21"/>
      <c r="FO210" s="21"/>
      <c r="FP210" s="21"/>
      <c r="FQ210" s="21"/>
      <c r="FR210" s="21"/>
      <c r="FS210" s="21"/>
      <c r="FT210" s="21"/>
      <c r="FU210" s="21"/>
      <c r="FV210" s="21"/>
      <c r="FW210" s="21"/>
      <c r="FX210" s="21"/>
      <c r="FY210" s="21"/>
      <c r="FZ210" s="21"/>
      <c r="GA210" s="21"/>
      <c r="GB210" s="21"/>
      <c r="GC210" s="21"/>
      <c r="GD210" s="21"/>
      <c r="GE210" s="21"/>
      <c r="GF210" s="21"/>
      <c r="GG210" s="21"/>
      <c r="GH210" s="21"/>
      <c r="GI210" s="21"/>
      <c r="GJ210" s="21"/>
      <c r="GK210" s="21"/>
      <c r="GL210" s="21"/>
      <c r="GM210" s="21"/>
      <c r="GN210" s="21"/>
      <c r="GO210" s="21"/>
      <c r="GP210" s="21"/>
      <c r="GQ210" s="21"/>
      <c r="GR210" s="21"/>
      <c r="GS210" s="21"/>
      <c r="GT210" s="21"/>
      <c r="GU210" s="21"/>
      <c r="GV210" s="21"/>
      <c r="GW210" s="21"/>
      <c r="GX210" s="21"/>
      <c r="GY210" s="21"/>
      <c r="GZ210" s="21"/>
      <c r="HA210" s="21"/>
      <c r="HB210" s="21"/>
      <c r="HC210" s="21"/>
      <c r="HD210" s="21"/>
      <c r="HE210" s="21"/>
      <c r="HF210" s="21"/>
      <c r="HG210" s="21"/>
      <c r="HH210" s="21"/>
    </row>
    <row r="211" spans="1:216" hidden="1" x14ac:dyDescent="0.25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6" t="s">
        <v>445</v>
      </c>
      <c r="M211" s="11">
        <f>INDEX(cennik!$C$2:$L$529,MATCH($L211,cennik!$B$2:$B$522,0),MATCH(M$2,cennik!$C$1:$L$1,0))</f>
        <v>858022</v>
      </c>
      <c r="N211" s="11" t="str">
        <f>INDEX(cennik!$C$2:$L$529,MATCH($L211,cennik!$B$2:$B$522,0),MATCH(N$2,cennik!$C$1:$L$1,0))</f>
        <v>szt.</v>
      </c>
      <c r="O211" s="11">
        <f>2*O196</f>
        <v>0</v>
      </c>
      <c r="P211" s="34">
        <f>INDEX(cennik!$C$2:$L$529,MATCH($L211,cennik!$B$2:$B$522,0),MATCH(P$2,cennik!$C$1:$L$1,0))</f>
        <v>4.5</v>
      </c>
      <c r="Q211" s="34">
        <f t="shared" si="307"/>
        <v>0</v>
      </c>
      <c r="R211" s="35">
        <f t="shared" si="276"/>
        <v>0</v>
      </c>
      <c r="S211" s="34">
        <f t="shared" si="277"/>
        <v>4.5</v>
      </c>
      <c r="T211" s="34">
        <f t="shared" si="278"/>
        <v>0</v>
      </c>
      <c r="U211" s="34">
        <f>INDEX(cennik!$C$2:$L$529,MATCH($L211,cennik!$B$2:$B$522,0),MATCH(U$2,cennik!$C$1:$L$1,0))*O211</f>
        <v>0</v>
      </c>
      <c r="V211" s="21"/>
      <c r="W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221,$BI$200:$BU$200,0),MATCH($E$220,$AE$33:$AE$47,0))*$C221</f>
        <v>0</v>
      </c>
      <c r="X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221,$BI$200:$BU$200,0),MATCH($E$220,$AE$33:$AE$47,0))*$C221</f>
        <v>0</v>
      </c>
      <c r="Y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221,$BI$200:$BU$200,0),MATCH($E$220,$AE$33:$AE$47,0))*$C221</f>
        <v>0</v>
      </c>
      <c r="Z21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221,$BI$200:$BU$200,0),MATCH($E$220,$AE$33:$AE$47,0))*$C221</f>
        <v>0</v>
      </c>
      <c r="AA211" s="21">
        <f t="shared" si="309"/>
        <v>0</v>
      </c>
      <c r="AB211" s="21">
        <f t="shared" si="315"/>
        <v>0</v>
      </c>
      <c r="AC211" s="21">
        <f t="shared" si="310"/>
        <v>0</v>
      </c>
      <c r="AD211" s="21">
        <f t="shared" si="311"/>
        <v>0</v>
      </c>
      <c r="AE211" s="21">
        <f t="shared" si="312"/>
        <v>0</v>
      </c>
      <c r="AF211" s="21">
        <f t="shared" si="313"/>
        <v>0</v>
      </c>
      <c r="AG211" s="21">
        <f t="shared" si="314"/>
        <v>1</v>
      </c>
      <c r="AH211" s="21"/>
      <c r="AI211" s="21"/>
      <c r="AJ211" s="21"/>
      <c r="AK211" s="21"/>
      <c r="AL211" s="21"/>
      <c r="AM211" s="21"/>
      <c r="AN211" s="21"/>
      <c r="AO211" s="21"/>
      <c r="AP211" s="21"/>
      <c r="AQ211" s="21"/>
      <c r="AR211" s="21" t="s">
        <v>725</v>
      </c>
      <c r="AS211" s="21" t="s">
        <v>751</v>
      </c>
      <c r="AT211" s="21" t="s">
        <v>719</v>
      </c>
      <c r="AU211" s="21" t="s">
        <v>751</v>
      </c>
      <c r="AV211" s="21" t="s">
        <v>719</v>
      </c>
      <c r="AW211" s="21" t="s">
        <v>741</v>
      </c>
      <c r="AX211" s="21"/>
      <c r="AY211" s="21"/>
      <c r="AZ211" s="21"/>
      <c r="BA211" s="21"/>
      <c r="BB211" s="21"/>
      <c r="BC211" s="21"/>
      <c r="BD211" s="21"/>
      <c r="BE211" s="21"/>
      <c r="BF211" s="21"/>
      <c r="BG211" s="21"/>
      <c r="BH211" s="196"/>
      <c r="BI211" s="21"/>
      <c r="BJ211" s="21"/>
      <c r="BK211" s="21"/>
      <c r="BL211" s="21"/>
      <c r="BM211" s="21"/>
      <c r="BN211" s="21"/>
      <c r="BO211" s="21"/>
      <c r="BP211" s="21"/>
      <c r="BQ211" s="21"/>
      <c r="BR211" s="21"/>
      <c r="BS211" s="21"/>
      <c r="BT211" s="21"/>
      <c r="BU211" s="21"/>
      <c r="BV211" s="21"/>
      <c r="BW211" s="21"/>
      <c r="BX211" s="21"/>
      <c r="BY211" s="21"/>
      <c r="BZ211" s="21"/>
      <c r="CA211" s="21"/>
      <c r="CB211" s="21"/>
      <c r="CC211" s="21"/>
      <c r="CD211" s="21"/>
      <c r="CE211" s="21"/>
      <c r="CF211" s="21"/>
      <c r="CG211" s="21"/>
      <c r="CH211" s="21"/>
      <c r="CI211" s="21"/>
      <c r="CJ211" s="21"/>
      <c r="CK211" s="21"/>
      <c r="CL211" s="21"/>
      <c r="CM211" s="21"/>
      <c r="DA211" s="198"/>
      <c r="DB211" s="21"/>
      <c r="DC211" s="21"/>
      <c r="DD211" s="21"/>
      <c r="DE211" s="21"/>
      <c r="DF211" s="21"/>
      <c r="DG211" s="21"/>
      <c r="DH211" s="21"/>
      <c r="DI211" s="21"/>
      <c r="DJ211" s="21"/>
      <c r="DK211" s="21"/>
      <c r="DL211" s="21"/>
      <c r="DM211" s="21"/>
      <c r="DN211" s="21"/>
      <c r="DO211" s="21"/>
      <c r="DP211" s="21"/>
      <c r="DQ211" s="87"/>
      <c r="DR211" s="87"/>
      <c r="DS211" s="87"/>
      <c r="DT211" s="21"/>
      <c r="DU211" s="21"/>
      <c r="DV211" s="21"/>
      <c r="DW211" s="21"/>
      <c r="DX211" s="21"/>
      <c r="DY211" s="21"/>
      <c r="DZ211" s="21"/>
      <c r="EA211" s="21"/>
      <c r="EB211" s="21"/>
      <c r="EC211" s="21"/>
      <c r="ED211" s="21"/>
      <c r="EE211" s="21"/>
      <c r="EF211" s="21"/>
      <c r="EG211" s="21"/>
      <c r="EH211" s="21"/>
      <c r="EI211" s="21"/>
      <c r="EJ211" s="21"/>
      <c r="EK211" s="21"/>
      <c r="EL211" s="21"/>
      <c r="EM211" s="21"/>
      <c r="EN211" s="21"/>
      <c r="EO211" s="21"/>
      <c r="EP211" s="21"/>
      <c r="EQ211" s="21"/>
      <c r="ER211" s="21"/>
      <c r="ES211" s="21"/>
      <c r="ET211" s="21"/>
      <c r="EU211" s="21"/>
      <c r="EV211" s="21"/>
      <c r="EW211" s="21"/>
      <c r="EX211" s="21"/>
      <c r="EY211" s="21"/>
      <c r="EZ211" s="21"/>
      <c r="FA211" s="21"/>
      <c r="FB211" s="21"/>
      <c r="FC211" s="21"/>
      <c r="FD211" s="21"/>
      <c r="FE211" s="21"/>
      <c r="FF211" s="21"/>
      <c r="FG211" s="21"/>
      <c r="FH211" s="21"/>
      <c r="FI211" s="21"/>
      <c r="FJ211" s="21"/>
      <c r="FK211" s="21"/>
      <c r="FL211" s="21"/>
      <c r="FM211" s="21"/>
      <c r="FN211" s="21"/>
      <c r="FO211" s="21"/>
      <c r="FP211" s="21"/>
      <c r="FQ211" s="21"/>
      <c r="FR211" s="21"/>
      <c r="FS211" s="21"/>
      <c r="FT211" s="21"/>
      <c r="FU211" s="21"/>
      <c r="FV211" s="21"/>
      <c r="FW211" s="21"/>
      <c r="FX211" s="21"/>
      <c r="FY211" s="21"/>
      <c r="FZ211" s="21"/>
      <c r="GA211" s="21"/>
      <c r="GB211" s="21"/>
      <c r="GC211" s="21"/>
      <c r="GD211" s="21"/>
      <c r="GE211" s="21"/>
      <c r="GF211" s="21"/>
      <c r="GG211" s="21"/>
      <c r="GH211" s="21"/>
      <c r="GI211" s="21"/>
      <c r="GJ211" s="21"/>
      <c r="GK211" s="21"/>
      <c r="GL211" s="21"/>
      <c r="GM211" s="21"/>
      <c r="GN211" s="21"/>
      <c r="GO211" s="21"/>
      <c r="GP211" s="21"/>
      <c r="GQ211" s="21"/>
      <c r="GR211" s="21"/>
      <c r="GS211" s="21"/>
      <c r="GT211" s="21"/>
      <c r="GU211" s="21"/>
      <c r="GV211" s="21"/>
      <c r="GW211" s="21"/>
      <c r="GX211" s="21"/>
      <c r="GY211" s="21"/>
      <c r="GZ211" s="21"/>
      <c r="HA211" s="21"/>
      <c r="HB211" s="21"/>
      <c r="HC211" s="21"/>
      <c r="HD211" s="21"/>
      <c r="HE211" s="21"/>
      <c r="HF211" s="21"/>
      <c r="HG211" s="21"/>
      <c r="HH211" s="21"/>
    </row>
    <row r="212" spans="1:216" hidden="1" x14ac:dyDescent="0.25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6" t="s">
        <v>319</v>
      </c>
      <c r="M212" s="11">
        <f>INDEX(cennik!$C$2:$L$529,MATCH($L212,cennik!$B$2:$B$522,0),MATCH(M$2,cennik!$C$1:$L$1,0))</f>
        <v>890111</v>
      </c>
      <c r="N212" s="11" t="str">
        <f>INDEX(cennik!$C$2:$L$529,MATCH($L212,cennik!$B$2:$B$522,0),MATCH(N$2,cennik!$C$1:$L$1,0))</f>
        <v>100 szt.</v>
      </c>
      <c r="O212" s="11">
        <f>ROUNDUP((O193*4)/100,0)</f>
        <v>0</v>
      </c>
      <c r="P212" s="34">
        <f>INDEX(cennik!$C$2:$L$529,MATCH($L212,cennik!$B$2:$B$522,0),MATCH(P$2,cennik!$C$1:$L$1,0))</f>
        <v>174.59</v>
      </c>
      <c r="Q212" s="34">
        <f t="shared" si="307"/>
        <v>0</v>
      </c>
      <c r="R212" s="35">
        <f t="shared" si="276"/>
        <v>0</v>
      </c>
      <c r="S212" s="34">
        <f t="shared" si="277"/>
        <v>174.59</v>
      </c>
      <c r="T212" s="34">
        <f t="shared" si="278"/>
        <v>0</v>
      </c>
      <c r="U212" s="34">
        <f>INDEX(cennik!$C$2:$L$529,MATCH($L212,cennik!$B$2:$B$522,0),MATCH(U$2,cennik!$C$1:$L$1,0))*O212</f>
        <v>0</v>
      </c>
      <c r="V212" s="21"/>
      <c r="W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222,$BI$200:$BU$200,0),MATCH($E$220,$AE$33:$AE$47,0))*$C222</f>
        <v>0</v>
      </c>
      <c r="X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222,$BI$200:$BU$200,0),MATCH($E$220,$AE$33:$AE$47,0))*$C222</f>
        <v>0</v>
      </c>
      <c r="Y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222,$BI$200:$BU$200,0),MATCH($E$220,$AE$33:$AE$47,0))*$C222</f>
        <v>0</v>
      </c>
      <c r="Z21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222,$BI$200:$BU$200,0),MATCH($E$220,$AE$33:$AE$47,0))*$C222</f>
        <v>0</v>
      </c>
      <c r="AA212" s="21">
        <f t="shared" si="309"/>
        <v>0</v>
      </c>
      <c r="AB212" s="21">
        <f t="shared" si="315"/>
        <v>0</v>
      </c>
      <c r="AC212" s="21">
        <f t="shared" si="310"/>
        <v>0</v>
      </c>
      <c r="AD212" s="21">
        <f t="shared" si="311"/>
        <v>0</v>
      </c>
      <c r="AE212" s="21">
        <f t="shared" si="312"/>
        <v>0</v>
      </c>
      <c r="AF212" s="21">
        <f t="shared" si="313"/>
        <v>0</v>
      </c>
      <c r="AG212" s="21">
        <f t="shared" si="314"/>
        <v>1</v>
      </c>
      <c r="AH212" s="21"/>
      <c r="AI212" s="21"/>
      <c r="AJ212" s="21"/>
      <c r="AK212" s="21"/>
      <c r="AL212" s="21"/>
      <c r="AM212" s="21"/>
      <c r="AN212" s="21"/>
      <c r="AO212" s="21"/>
      <c r="AP212" s="21"/>
      <c r="AQ212" s="21"/>
      <c r="AR212" s="21"/>
      <c r="AS212" s="21"/>
      <c r="AT212" s="21"/>
      <c r="AU212" s="21"/>
      <c r="AV212" s="21"/>
      <c r="AW212" s="21"/>
      <c r="AX212" s="21"/>
      <c r="AY212" s="21"/>
      <c r="AZ212" s="21"/>
      <c r="BA212" s="21"/>
      <c r="BB212" s="21"/>
      <c r="BC212" s="21"/>
      <c r="BD212" s="21"/>
      <c r="BE212" s="21"/>
      <c r="BF212" s="21"/>
      <c r="BG212" s="21"/>
      <c r="BH212" s="196" t="s">
        <v>132</v>
      </c>
      <c r="BI212" s="21">
        <v>0</v>
      </c>
      <c r="BJ212" s="21">
        <v>8</v>
      </c>
      <c r="BK212" s="21">
        <v>12</v>
      </c>
      <c r="BL212" s="21">
        <v>16</v>
      </c>
      <c r="BM212" s="21">
        <v>20</v>
      </c>
      <c r="BN212" s="21">
        <v>24</v>
      </c>
      <c r="BO212" s="21">
        <v>28</v>
      </c>
      <c r="BP212" s="21">
        <v>32</v>
      </c>
      <c r="BQ212" s="21">
        <v>36</v>
      </c>
      <c r="BR212" s="21">
        <v>40</v>
      </c>
      <c r="BS212" s="21">
        <v>44</v>
      </c>
      <c r="BT212" s="21">
        <v>48</v>
      </c>
      <c r="BU212" s="21">
        <v>52</v>
      </c>
      <c r="BV212" s="21"/>
      <c r="BW212" s="21" t="s">
        <v>137</v>
      </c>
      <c r="BX212" s="21">
        <v>0</v>
      </c>
      <c r="BY212" s="21">
        <v>8</v>
      </c>
      <c r="BZ212" s="21">
        <v>12</v>
      </c>
      <c r="CA212" s="21">
        <v>16</v>
      </c>
      <c r="CB212" s="21">
        <v>20</v>
      </c>
      <c r="CC212" s="21">
        <v>24</v>
      </c>
      <c r="CD212" s="21">
        <v>28</v>
      </c>
      <c r="CE212" s="21">
        <v>32</v>
      </c>
      <c r="CF212" s="21">
        <v>36</v>
      </c>
      <c r="CG212" s="21">
        <v>40</v>
      </c>
      <c r="CH212" s="21">
        <v>44</v>
      </c>
      <c r="CI212" s="21">
        <v>48</v>
      </c>
      <c r="CJ212" s="21">
        <v>52</v>
      </c>
      <c r="CK212" s="21"/>
      <c r="CL212" s="21"/>
      <c r="CM212" s="21"/>
      <c r="CN212" s="180" t="s">
        <v>763</v>
      </c>
      <c r="CO212" s="180">
        <v>0</v>
      </c>
      <c r="CP212" s="180">
        <v>8</v>
      </c>
      <c r="CQ212" s="180">
        <v>12</v>
      </c>
      <c r="CR212" s="180">
        <v>16</v>
      </c>
      <c r="CS212" s="180">
        <v>20</v>
      </c>
      <c r="CT212" s="180">
        <v>24</v>
      </c>
      <c r="CU212" s="180">
        <v>28</v>
      </c>
      <c r="CV212" s="180">
        <v>32</v>
      </c>
      <c r="CW212" s="180">
        <v>36</v>
      </c>
      <c r="CX212" s="180">
        <v>40</v>
      </c>
      <c r="CY212" s="180">
        <v>44</v>
      </c>
      <c r="CZ212" s="180">
        <v>48</v>
      </c>
      <c r="DA212" s="198">
        <v>52</v>
      </c>
      <c r="DB212" s="21"/>
      <c r="DC212" s="21"/>
      <c r="DD212" s="21"/>
      <c r="DE212" s="21"/>
      <c r="DF212" s="21"/>
      <c r="DG212" s="21"/>
      <c r="DH212" s="21"/>
      <c r="DI212" s="21"/>
      <c r="DJ212" s="21"/>
      <c r="DK212" s="21"/>
      <c r="DL212" s="21"/>
      <c r="DM212" s="21"/>
      <c r="DN212" s="21"/>
      <c r="DO212" s="21"/>
      <c r="DP212" s="21"/>
      <c r="DQ212" s="87"/>
      <c r="DR212" s="87"/>
      <c r="DS212" s="87"/>
      <c r="DT212" s="21"/>
      <c r="DU212" s="21"/>
      <c r="DV212" s="21"/>
      <c r="DW212" s="21"/>
      <c r="DX212" s="21"/>
      <c r="DY212" s="21"/>
      <c r="DZ212" s="21"/>
      <c r="EA212" s="21"/>
      <c r="EB212" s="21"/>
      <c r="EC212" s="21"/>
      <c r="ED212" s="21"/>
      <c r="EE212" s="21"/>
      <c r="EF212" s="21"/>
      <c r="EG212" s="21"/>
      <c r="EH212" s="21"/>
      <c r="EI212" s="21"/>
      <c r="EJ212" s="21"/>
      <c r="EK212" s="21"/>
      <c r="EL212" s="21"/>
      <c r="EM212" s="21"/>
      <c r="EN212" s="21"/>
      <c r="EO212" s="21"/>
      <c r="EP212" s="21"/>
      <c r="EQ212" s="21"/>
      <c r="ER212" s="21"/>
      <c r="ES212" s="21"/>
      <c r="ET212" s="21"/>
      <c r="EU212" s="21"/>
      <c r="EV212" s="21"/>
      <c r="EW212" s="21"/>
      <c r="EX212" s="21"/>
      <c r="EY212" s="21"/>
      <c r="EZ212" s="21"/>
      <c r="FA212" s="21"/>
      <c r="FB212" s="21"/>
      <c r="FC212" s="21"/>
      <c r="FD212" s="21"/>
      <c r="FE212" s="21"/>
      <c r="FF212" s="21"/>
      <c r="FG212" s="21"/>
      <c r="FH212" s="21"/>
      <c r="FI212" s="21"/>
      <c r="FJ212" s="21"/>
      <c r="FK212" s="21"/>
      <c r="FL212" s="21"/>
      <c r="FM212" s="21"/>
      <c r="FN212" s="21"/>
      <c r="FO212" s="21"/>
      <c r="FP212" s="21"/>
      <c r="FQ212" s="21"/>
      <c r="FR212" s="21"/>
      <c r="FS212" s="21"/>
      <c r="FT212" s="21"/>
      <c r="FU212" s="21"/>
      <c r="FV212" s="21"/>
      <c r="FW212" s="21"/>
      <c r="FX212" s="21"/>
      <c r="FY212" s="21"/>
      <c r="FZ212" s="21"/>
      <c r="GA212" s="21"/>
      <c r="GB212" s="21"/>
      <c r="GC212" s="21"/>
      <c r="GD212" s="21"/>
      <c r="GE212" s="21"/>
      <c r="GF212" s="21"/>
      <c r="GG212" s="21"/>
      <c r="GH212" s="21"/>
      <c r="GI212" s="21"/>
      <c r="GJ212" s="21"/>
      <c r="GK212" s="21"/>
      <c r="GL212" s="21"/>
      <c r="GM212" s="21"/>
      <c r="GN212" s="21"/>
      <c r="GO212" s="21"/>
      <c r="GP212" s="21"/>
      <c r="GQ212" s="21"/>
      <c r="GR212" s="21"/>
      <c r="GS212" s="21"/>
      <c r="GT212" s="21"/>
      <c r="GU212" s="21"/>
      <c r="GV212" s="21"/>
      <c r="GW212" s="21"/>
      <c r="GX212" s="21"/>
      <c r="GY212" s="21"/>
      <c r="GZ212" s="21"/>
      <c r="HA212" s="21"/>
      <c r="HB212" s="21"/>
      <c r="HC212" s="21"/>
      <c r="HD212" s="21"/>
      <c r="HE212" s="21"/>
      <c r="HF212" s="21"/>
      <c r="HG212" s="21"/>
      <c r="HH212" s="21"/>
    </row>
    <row r="213" spans="1:216" hidden="1" x14ac:dyDescent="0.25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6" t="s">
        <v>316</v>
      </c>
      <c r="M213" s="11"/>
      <c r="N213" s="11"/>
      <c r="O213" s="11"/>
      <c r="P213" s="34"/>
      <c r="Q213" s="34"/>
      <c r="R213" s="35"/>
      <c r="S213" s="34"/>
      <c r="T213" s="34"/>
      <c r="U213" s="34"/>
      <c r="V213" s="21"/>
      <c r="W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223,$BI$200:$BU$200,0),MATCH($E$220,$AE$33:$AE$47,0))*$C223</f>
        <v>0</v>
      </c>
      <c r="X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223,$BI$200:$BU$200,0),MATCH($E$220,$AE$33:$AE$47,0))*$C223</f>
        <v>0</v>
      </c>
      <c r="Y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223,$BI$200:$BU$200,0),MATCH($E$220,$AE$33:$AE$47,0))*$C223</f>
        <v>0</v>
      </c>
      <c r="Z21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223,$BI$200:$BU$200,0),MATCH($E$220,$AE$33:$AE$47,0))*$C223</f>
        <v>0</v>
      </c>
      <c r="AA213" s="21">
        <f t="shared" si="309"/>
        <v>0</v>
      </c>
      <c r="AB213" s="21">
        <f t="shared" si="315"/>
        <v>0</v>
      </c>
      <c r="AC213" s="21">
        <f t="shared" si="310"/>
        <v>0</v>
      </c>
      <c r="AD213" s="21">
        <f t="shared" si="311"/>
        <v>0</v>
      </c>
      <c r="AE213" s="21">
        <f t="shared" si="312"/>
        <v>0</v>
      </c>
      <c r="AF213" s="21">
        <f t="shared" si="313"/>
        <v>0</v>
      </c>
      <c r="AG213" s="21">
        <f t="shared" si="314"/>
        <v>1</v>
      </c>
      <c r="AH213" s="21"/>
      <c r="AI213" s="21"/>
      <c r="AJ213" s="21"/>
      <c r="AK213" s="21"/>
      <c r="AL213" s="21"/>
      <c r="AM213" s="21"/>
      <c r="AN213" s="21"/>
      <c r="AO213" s="21"/>
      <c r="AP213" s="21"/>
      <c r="AQ213" s="21"/>
      <c r="AR213" s="21" t="s">
        <v>716</v>
      </c>
      <c r="AS213" s="21"/>
      <c r="AT213" s="21"/>
      <c r="AU213" s="21"/>
      <c r="AV213" s="21"/>
      <c r="AW213" s="21"/>
      <c r="AX213" s="21"/>
      <c r="AY213" s="21"/>
      <c r="AZ213" s="21"/>
      <c r="BA213" s="21"/>
      <c r="BB213" s="21"/>
      <c r="BC213" s="21"/>
      <c r="BD213" s="21"/>
      <c r="BE213" s="21"/>
      <c r="BF213" s="21"/>
      <c r="BG213" s="21"/>
      <c r="BH213" s="196" t="s">
        <v>586</v>
      </c>
      <c r="BI213" s="21">
        <v>0</v>
      </c>
      <c r="BJ213" s="21">
        <v>0</v>
      </c>
      <c r="BK213" s="21">
        <v>0</v>
      </c>
      <c r="BL213" s="21">
        <v>0</v>
      </c>
      <c r="BM213" s="21">
        <v>0</v>
      </c>
      <c r="BN213" s="21">
        <v>0</v>
      </c>
      <c r="BO213" s="21">
        <v>0</v>
      </c>
      <c r="BP213" s="21">
        <v>0</v>
      </c>
      <c r="BQ213" s="21">
        <v>0</v>
      </c>
      <c r="BR213" s="21">
        <v>0</v>
      </c>
      <c r="BS213" s="21">
        <v>0</v>
      </c>
      <c r="BT213" s="21">
        <v>0</v>
      </c>
      <c r="BU213" s="21">
        <v>0</v>
      </c>
      <c r="BV213" s="21"/>
      <c r="BW213" s="21" t="s">
        <v>586</v>
      </c>
      <c r="BX213" s="21">
        <v>0</v>
      </c>
      <c r="BY213" s="21">
        <v>0</v>
      </c>
      <c r="BZ213" s="21">
        <v>0</v>
      </c>
      <c r="CA213" s="21">
        <v>0</v>
      </c>
      <c r="CB213" s="21">
        <v>0</v>
      </c>
      <c r="CC213" s="21">
        <v>0</v>
      </c>
      <c r="CD213" s="21">
        <v>0</v>
      </c>
      <c r="CE213" s="21">
        <v>0</v>
      </c>
      <c r="CF213" s="21">
        <v>0</v>
      </c>
      <c r="CG213" s="21">
        <v>0</v>
      </c>
      <c r="CH213" s="21">
        <v>0</v>
      </c>
      <c r="CI213" s="21">
        <v>0</v>
      </c>
      <c r="CJ213" s="21">
        <v>0</v>
      </c>
      <c r="CK213" s="21"/>
      <c r="CL213" s="21"/>
      <c r="CM213" s="21"/>
      <c r="CN213" s="180" t="s">
        <v>586</v>
      </c>
      <c r="CO213" s="180">
        <v>0</v>
      </c>
      <c r="CP213" s="180">
        <v>5</v>
      </c>
      <c r="CQ213" s="180">
        <v>0</v>
      </c>
      <c r="CR213" s="180">
        <v>0</v>
      </c>
      <c r="CS213" s="180">
        <v>0</v>
      </c>
      <c r="CT213" s="180">
        <v>0</v>
      </c>
      <c r="CU213" s="180">
        <v>0</v>
      </c>
      <c r="CV213" s="180">
        <v>0</v>
      </c>
      <c r="CW213" s="180">
        <v>0</v>
      </c>
      <c r="CX213" s="180">
        <v>0</v>
      </c>
      <c r="CY213" s="180">
        <v>0</v>
      </c>
      <c r="CZ213" s="180">
        <v>0</v>
      </c>
      <c r="DA213" s="198">
        <v>0</v>
      </c>
      <c r="DB213" s="21"/>
      <c r="DC213" s="21"/>
      <c r="DD213" s="21"/>
      <c r="DE213" s="21"/>
      <c r="DF213" s="21"/>
      <c r="DG213" s="21"/>
      <c r="DH213" s="21"/>
      <c r="DI213" s="21"/>
      <c r="DJ213" s="21"/>
      <c r="DK213" s="21"/>
      <c r="DL213" s="21"/>
      <c r="DM213" s="21"/>
      <c r="DN213" s="21"/>
      <c r="DO213" s="21"/>
      <c r="DP213" s="21"/>
      <c r="DQ213" s="87"/>
      <c r="DR213" s="87"/>
      <c r="DS213" s="87"/>
      <c r="DT213" s="21"/>
      <c r="DU213" s="21"/>
      <c r="DV213" s="21"/>
      <c r="DW213" s="21"/>
      <c r="DX213" s="21"/>
      <c r="DY213" s="21"/>
      <c r="DZ213" s="21"/>
      <c r="EA213" s="21"/>
      <c r="EB213" s="21"/>
      <c r="EC213" s="21"/>
      <c r="ED213" s="21"/>
      <c r="EE213" s="21"/>
      <c r="EF213" s="21"/>
      <c r="EG213" s="21"/>
      <c r="EH213" s="21"/>
      <c r="EI213" s="21"/>
      <c r="EJ213" s="21"/>
      <c r="EK213" s="21"/>
      <c r="EL213" s="21"/>
      <c r="EM213" s="21"/>
      <c r="EN213" s="21"/>
      <c r="EO213" s="21"/>
      <c r="EP213" s="21"/>
      <c r="EQ213" s="21"/>
      <c r="ER213" s="21"/>
      <c r="ES213" s="21"/>
      <c r="ET213" s="21"/>
      <c r="EU213" s="21"/>
      <c r="EV213" s="21"/>
      <c r="EW213" s="21"/>
      <c r="EX213" s="21"/>
      <c r="EY213" s="21"/>
      <c r="EZ213" s="21"/>
      <c r="FA213" s="21"/>
      <c r="FB213" s="21"/>
      <c r="FC213" s="21"/>
      <c r="FD213" s="21"/>
      <c r="FE213" s="21"/>
      <c r="FF213" s="21"/>
      <c r="FG213" s="21"/>
      <c r="FH213" s="21"/>
      <c r="FI213" s="21"/>
      <c r="FJ213" s="21"/>
      <c r="FK213" s="21"/>
      <c r="FL213" s="21"/>
      <c r="FM213" s="21"/>
      <c r="FN213" s="21"/>
      <c r="FO213" s="21"/>
      <c r="FP213" s="21"/>
      <c r="FQ213" s="21"/>
      <c r="FR213" s="21"/>
      <c r="FS213" s="21"/>
      <c r="FT213" s="21"/>
      <c r="FU213" s="21"/>
      <c r="FV213" s="21"/>
      <c r="FW213" s="21"/>
      <c r="FX213" s="21"/>
      <c r="FY213" s="21"/>
      <c r="FZ213" s="21"/>
      <c r="GA213" s="21"/>
      <c r="GB213" s="21"/>
      <c r="GC213" s="21"/>
      <c r="GD213" s="21"/>
      <c r="GE213" s="21"/>
      <c r="GF213" s="21"/>
      <c r="GG213" s="21"/>
      <c r="GH213" s="21"/>
      <c r="GI213" s="21"/>
      <c r="GJ213" s="21"/>
      <c r="GK213" s="21"/>
      <c r="GL213" s="21"/>
      <c r="GM213" s="21"/>
      <c r="GN213" s="21"/>
      <c r="GO213" s="21"/>
      <c r="GP213" s="21"/>
      <c r="GQ213" s="21"/>
      <c r="GR213" s="21"/>
      <c r="GS213" s="21"/>
      <c r="GT213" s="21"/>
      <c r="GU213" s="21"/>
      <c r="GV213" s="21"/>
      <c r="GW213" s="21"/>
      <c r="GX213" s="21"/>
      <c r="GY213" s="21"/>
      <c r="GZ213" s="21"/>
      <c r="HA213" s="21"/>
      <c r="HB213" s="21"/>
      <c r="HC213" s="21"/>
      <c r="HD213" s="21"/>
      <c r="HE213" s="21"/>
      <c r="HF213" s="21"/>
      <c r="HG213" s="21"/>
      <c r="HH213" s="21"/>
    </row>
    <row r="214" spans="1:216" hidden="1" x14ac:dyDescent="0.25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6" t="s">
        <v>529</v>
      </c>
      <c r="M214" s="11">
        <f>INDEX(cennik!$C$2:$L$529,MATCH($L214,cennik!$B$2:$B$522,0),MATCH(M$2,cennik!$C$1:$L$1,0))</f>
        <v>867832</v>
      </c>
      <c r="N214" s="11" t="str">
        <f>INDEX(cennik!$C$2:$L$529,MATCH($L214,cennik!$B$2:$B$522,0),MATCH(N$2,cennik!$C$1:$L$1,0))</f>
        <v>szt.</v>
      </c>
      <c r="O214" s="11">
        <f>E196*2</f>
        <v>0</v>
      </c>
      <c r="P214" s="34">
        <f>INDEX(cennik!$C$2:$L$529,MATCH($L214,cennik!$B$2:$B$522,0),MATCH(P$2,cennik!$C$1:$L$1,0))</f>
        <v>161.94999999999999</v>
      </c>
      <c r="Q214" s="34">
        <f>O214*P214</f>
        <v>0</v>
      </c>
      <c r="R214" s="35">
        <f>$E$7</f>
        <v>0</v>
      </c>
      <c r="S214" s="34">
        <f>P214*((100-$E$197)/100)</f>
        <v>161.94999999999999</v>
      </c>
      <c r="T214" s="34">
        <f>O214*S214</f>
        <v>0</v>
      </c>
      <c r="U214" s="34">
        <f>INDEX(cennik!$C$2:$L$529,MATCH($L214,cennik!$B$2:$B$522,0),MATCH(U$2,cennik!$C$1:$L$1,0))*O214</f>
        <v>0</v>
      </c>
      <c r="V214" s="21"/>
      <c r="W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224,$BI$200:$BU$200,0),MATCH($E$220,$AE$33:$AE$47,0))*$C224</f>
        <v>0</v>
      </c>
      <c r="X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224,$BI$200:$BU$200,0),MATCH($E$220,$AE$33:$AE$47,0))*$C224</f>
        <v>0</v>
      </c>
      <c r="Y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224,$BI$200:$BU$200,0),MATCH($E$220,$AE$33:$AE$47,0))*$C224</f>
        <v>0</v>
      </c>
      <c r="Z21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224,$BI$200:$BU$200,0),MATCH($E$220,$AE$33:$AE$47,0))*$C224</f>
        <v>0</v>
      </c>
      <c r="AA214" s="21">
        <f t="shared" si="309"/>
        <v>0</v>
      </c>
      <c r="AB214" s="21">
        <f t="shared" si="315"/>
        <v>0</v>
      </c>
      <c r="AC214" s="21">
        <f t="shared" si="310"/>
        <v>0</v>
      </c>
      <c r="AD214" s="21">
        <f t="shared" si="311"/>
        <v>0</v>
      </c>
      <c r="AE214" s="21">
        <f t="shared" si="312"/>
        <v>0</v>
      </c>
      <c r="AF214" s="21">
        <f t="shared" si="313"/>
        <v>0</v>
      </c>
      <c r="AG214" s="21">
        <f t="shared" si="314"/>
        <v>1</v>
      </c>
      <c r="AH214" s="21"/>
      <c r="AI214" s="21"/>
      <c r="AJ214" s="21"/>
      <c r="AK214" s="21"/>
      <c r="AL214" s="21"/>
      <c r="AM214" s="21"/>
      <c r="AN214" s="21"/>
      <c r="AO214" s="21"/>
      <c r="AP214" s="21"/>
      <c r="AQ214" s="21"/>
      <c r="AR214" s="21"/>
      <c r="AS214" s="21" t="s">
        <v>314</v>
      </c>
      <c r="AT214" s="21" t="s">
        <v>312</v>
      </c>
      <c r="AU214" s="21" t="s">
        <v>309</v>
      </c>
      <c r="AV214" s="21" t="s">
        <v>313</v>
      </c>
      <c r="AW214" s="21"/>
      <c r="AX214" s="21"/>
      <c r="AY214" s="21"/>
      <c r="AZ214" s="21"/>
      <c r="BA214" s="21"/>
      <c r="BB214" s="21"/>
      <c r="BC214" s="21"/>
      <c r="BD214" s="21"/>
      <c r="BE214" s="21"/>
      <c r="BF214" s="21"/>
      <c r="BG214" s="21"/>
      <c r="BH214" s="196" t="s">
        <v>522</v>
      </c>
      <c r="BI214" s="21">
        <v>0</v>
      </c>
      <c r="BJ214" s="21">
        <v>5</v>
      </c>
      <c r="BK214" s="21">
        <v>0</v>
      </c>
      <c r="BL214" s="21">
        <v>5</v>
      </c>
      <c r="BM214" s="21">
        <v>0</v>
      </c>
      <c r="BN214" s="21">
        <v>5</v>
      </c>
      <c r="BO214" s="21">
        <v>15</v>
      </c>
      <c r="BP214" s="21">
        <v>10</v>
      </c>
      <c r="BQ214" s="21">
        <v>15</v>
      </c>
      <c r="BR214" s="21">
        <v>10</v>
      </c>
      <c r="BS214" s="21">
        <v>15</v>
      </c>
      <c r="BT214" s="21">
        <v>25</v>
      </c>
      <c r="BU214" s="21">
        <v>20</v>
      </c>
      <c r="BV214" s="21"/>
      <c r="BW214" s="21" t="s">
        <v>522</v>
      </c>
      <c r="BX214" s="21">
        <v>0</v>
      </c>
      <c r="BY214" s="21">
        <v>5</v>
      </c>
      <c r="BZ214" s="21">
        <v>0</v>
      </c>
      <c r="CA214" s="21">
        <v>10</v>
      </c>
      <c r="CB214" s="21">
        <v>5</v>
      </c>
      <c r="CC214" s="21">
        <v>15</v>
      </c>
      <c r="CD214" s="21">
        <v>10</v>
      </c>
      <c r="CE214" s="21">
        <v>20</v>
      </c>
      <c r="CF214" s="21">
        <v>15</v>
      </c>
      <c r="CG214" s="21">
        <v>25</v>
      </c>
      <c r="CH214" s="21">
        <v>20</v>
      </c>
      <c r="CI214" s="21">
        <v>25</v>
      </c>
      <c r="CJ214" s="21">
        <v>20</v>
      </c>
      <c r="CK214" s="21"/>
      <c r="CL214" s="21"/>
      <c r="CM214" s="21"/>
      <c r="CN214" s="180" t="s">
        <v>522</v>
      </c>
      <c r="CO214" s="180">
        <v>0</v>
      </c>
      <c r="CP214" s="180">
        <v>0</v>
      </c>
      <c r="CQ214" s="180">
        <v>5</v>
      </c>
      <c r="CR214" s="180">
        <v>0</v>
      </c>
      <c r="CS214" s="180">
        <v>10</v>
      </c>
      <c r="CT214" s="180">
        <v>10</v>
      </c>
      <c r="CU214" s="180">
        <v>20</v>
      </c>
      <c r="CV214" s="180">
        <v>15</v>
      </c>
      <c r="CW214" s="180">
        <v>25</v>
      </c>
      <c r="CX214" s="180">
        <v>20</v>
      </c>
      <c r="CY214" s="180">
        <v>20</v>
      </c>
      <c r="CZ214" s="180">
        <v>30</v>
      </c>
      <c r="DA214" s="198">
        <v>25</v>
      </c>
      <c r="DB214" s="21"/>
      <c r="DC214" s="21"/>
      <c r="DD214" s="21"/>
      <c r="DE214" s="21"/>
      <c r="DF214" s="21"/>
      <c r="DG214" s="21"/>
      <c r="DH214" s="21"/>
      <c r="DI214" s="21"/>
      <c r="DJ214" s="21"/>
      <c r="DK214" s="21"/>
      <c r="DL214" s="21"/>
      <c r="DM214" s="21"/>
      <c r="DN214" s="21"/>
      <c r="DO214" s="21"/>
      <c r="DP214" s="21"/>
      <c r="DQ214" s="87"/>
      <c r="DR214" s="87"/>
      <c r="DS214" s="87"/>
      <c r="DT214" s="21"/>
      <c r="DU214" s="21"/>
      <c r="DV214" s="21"/>
      <c r="DW214" s="21"/>
      <c r="DX214" s="21"/>
      <c r="DY214" s="21"/>
      <c r="DZ214" s="21"/>
      <c r="EA214" s="21"/>
      <c r="EB214" s="21"/>
      <c r="EC214" s="21"/>
      <c r="ED214" s="21"/>
      <c r="EE214" s="21"/>
      <c r="EF214" s="21"/>
      <c r="EG214" s="21"/>
      <c r="EH214" s="21"/>
      <c r="EI214" s="21"/>
      <c r="EJ214" s="21"/>
      <c r="EK214" s="21"/>
      <c r="EL214" s="21"/>
      <c r="EM214" s="21"/>
      <c r="EN214" s="21"/>
      <c r="EO214" s="21"/>
      <c r="EP214" s="21"/>
      <c r="EQ214" s="21"/>
      <c r="ER214" s="21"/>
      <c r="ES214" s="21"/>
      <c r="ET214" s="21"/>
      <c r="EU214" s="21"/>
      <c r="EV214" s="21"/>
      <c r="EW214" s="21"/>
      <c r="EX214" s="21"/>
      <c r="EY214" s="21"/>
      <c r="EZ214" s="21"/>
      <c r="FA214" s="21"/>
      <c r="FB214" s="21"/>
      <c r="FC214" s="21"/>
      <c r="FD214" s="21"/>
      <c r="FE214" s="21"/>
      <c r="FF214" s="21"/>
      <c r="FG214" s="21"/>
      <c r="FH214" s="21"/>
      <c r="FI214" s="21"/>
      <c r="FJ214" s="21"/>
      <c r="FK214" s="21"/>
      <c r="FL214" s="21"/>
      <c r="FM214" s="21"/>
      <c r="FN214" s="21"/>
      <c r="FO214" s="21"/>
      <c r="FP214" s="21"/>
      <c r="FQ214" s="21"/>
      <c r="FR214" s="21"/>
      <c r="FS214" s="21"/>
      <c r="FT214" s="21"/>
      <c r="FU214" s="21"/>
      <c r="FV214" s="21"/>
      <c r="FW214" s="21"/>
      <c r="FX214" s="21"/>
      <c r="FY214" s="21"/>
      <c r="FZ214" s="21"/>
      <c r="GA214" s="21"/>
      <c r="GB214" s="21"/>
      <c r="GC214" s="21"/>
      <c r="GD214" s="21"/>
      <c r="GE214" s="21"/>
      <c r="GF214" s="21"/>
      <c r="GG214" s="21"/>
      <c r="GH214" s="21"/>
      <c r="GI214" s="21"/>
      <c r="GJ214" s="21"/>
      <c r="GK214" s="21"/>
      <c r="GL214" s="21"/>
      <c r="GM214" s="21"/>
      <c r="GN214" s="21"/>
      <c r="GO214" s="21"/>
      <c r="GP214" s="21"/>
      <c r="GQ214" s="21"/>
      <c r="GR214" s="21"/>
      <c r="GS214" s="21"/>
      <c r="GT214" s="21"/>
      <c r="GU214" s="21"/>
      <c r="GV214" s="21"/>
      <c r="GW214" s="21"/>
      <c r="GX214" s="21"/>
      <c r="GY214" s="21"/>
      <c r="GZ214" s="21"/>
      <c r="HA214" s="21"/>
      <c r="HB214" s="21"/>
      <c r="HC214" s="21"/>
      <c r="HD214" s="21"/>
      <c r="HE214" s="21"/>
      <c r="HF214" s="21"/>
      <c r="HG214" s="21"/>
      <c r="HH214" s="21"/>
    </row>
    <row r="215" spans="1:216" hidden="1" x14ac:dyDescent="0.25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9"/>
      <c r="M215" s="11"/>
      <c r="N215" s="11"/>
      <c r="O215" s="11"/>
      <c r="P215" s="34"/>
      <c r="Q215" s="34"/>
      <c r="R215" s="34"/>
      <c r="S215" s="34"/>
      <c r="T215" s="34" t="e">
        <f>SUM(T193:T214)</f>
        <v>#N/A</v>
      </c>
      <c r="U215" s="34" t="e">
        <f>SUM(U193:U214)</f>
        <v>#N/A</v>
      </c>
      <c r="V215" s="21"/>
      <c r="W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225,$BI$200:$BU$200,0),MATCH($E$220,$AE$33:$AE$47,0))*$C225</f>
        <v>0</v>
      </c>
      <c r="X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225,$BI$200:$BU$200,0),MATCH($E$220,$AE$33:$AE$47,0))*$C225</f>
        <v>0</v>
      </c>
      <c r="Y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225,$BI$200:$BU$200,0),MATCH($E$220,$AE$33:$AE$47,0))*$C225</f>
        <v>0</v>
      </c>
      <c r="Z215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225,$BI$200:$BU$200,0),MATCH($E$220,$AE$33:$AE$47,0))*$C225</f>
        <v>0</v>
      </c>
      <c r="AA215" s="21">
        <f t="shared" si="309"/>
        <v>0</v>
      </c>
      <c r="AB215" s="21">
        <f t="shared" si="315"/>
        <v>0</v>
      </c>
      <c r="AC215" s="21">
        <f t="shared" si="310"/>
        <v>0</v>
      </c>
      <c r="AD215" s="21">
        <f t="shared" si="311"/>
        <v>0</v>
      </c>
      <c r="AE215" s="21">
        <f t="shared" si="312"/>
        <v>0</v>
      </c>
      <c r="AF215" s="21">
        <f t="shared" si="313"/>
        <v>0</v>
      </c>
      <c r="AG215" s="21">
        <f t="shared" si="314"/>
        <v>1</v>
      </c>
      <c r="AH215" s="21"/>
      <c r="AI215" s="21"/>
      <c r="AJ215" s="21"/>
      <c r="AK215" s="21"/>
      <c r="AL215" s="21"/>
      <c r="AM215" s="21"/>
      <c r="AN215" s="21"/>
      <c r="AO215" s="21"/>
      <c r="AP215" s="21"/>
      <c r="AQ215" s="21"/>
      <c r="AR215" s="21" t="s">
        <v>114</v>
      </c>
      <c r="AS215" s="21" t="s">
        <v>596</v>
      </c>
      <c r="AT215" s="21" t="s">
        <v>595</v>
      </c>
      <c r="AU215" s="21" t="s">
        <v>593</v>
      </c>
      <c r="AV215" s="21" t="s">
        <v>593</v>
      </c>
      <c r="AW215" s="21"/>
      <c r="AX215" s="21"/>
      <c r="AY215" s="21"/>
      <c r="AZ215" s="21"/>
      <c r="BA215" s="21"/>
      <c r="BB215" s="21"/>
      <c r="BC215" s="21"/>
      <c r="BD215" s="21"/>
      <c r="BE215" s="21"/>
      <c r="BF215" s="21"/>
      <c r="BG215" s="21"/>
      <c r="BH215" s="196" t="s">
        <v>523</v>
      </c>
      <c r="BI215" s="21">
        <v>0</v>
      </c>
      <c r="BJ215" s="21">
        <v>0</v>
      </c>
      <c r="BK215" s="21">
        <v>10</v>
      </c>
      <c r="BL215" s="21">
        <v>5</v>
      </c>
      <c r="BM215" s="21">
        <v>15</v>
      </c>
      <c r="BN215" s="21">
        <v>10</v>
      </c>
      <c r="BO215" s="21">
        <v>0</v>
      </c>
      <c r="BP215" s="21">
        <v>10</v>
      </c>
      <c r="BQ215" s="21">
        <v>5</v>
      </c>
      <c r="BR215" s="21">
        <v>15</v>
      </c>
      <c r="BS215" s="21">
        <v>10</v>
      </c>
      <c r="BT215" s="21">
        <v>0</v>
      </c>
      <c r="BU215" s="21">
        <v>10</v>
      </c>
      <c r="BV215" s="21"/>
      <c r="BW215" s="21" t="s">
        <v>523</v>
      </c>
      <c r="BX215" s="21">
        <v>0</v>
      </c>
      <c r="BY215" s="21">
        <v>0</v>
      </c>
      <c r="BZ215" s="21">
        <v>10</v>
      </c>
      <c r="CA215" s="21">
        <v>0</v>
      </c>
      <c r="CB215" s="21">
        <v>10</v>
      </c>
      <c r="CC215" s="21">
        <v>0</v>
      </c>
      <c r="CD215" s="21">
        <v>10</v>
      </c>
      <c r="CE215" s="21">
        <v>0</v>
      </c>
      <c r="CF215" s="21">
        <v>10</v>
      </c>
      <c r="CG215" s="21">
        <v>0</v>
      </c>
      <c r="CH215" s="21">
        <v>10</v>
      </c>
      <c r="CI215" s="21">
        <v>5</v>
      </c>
      <c r="CJ215" s="21">
        <v>15</v>
      </c>
      <c r="CK215" s="21"/>
      <c r="CL215" s="21"/>
      <c r="CM215" s="21"/>
      <c r="CN215" s="180" t="s">
        <v>523</v>
      </c>
      <c r="CO215" s="180">
        <v>0</v>
      </c>
      <c r="CP215" s="180">
        <v>0</v>
      </c>
      <c r="CQ215" s="180">
        <v>5</v>
      </c>
      <c r="CR215" s="180">
        <v>15</v>
      </c>
      <c r="CS215" s="180">
        <v>5</v>
      </c>
      <c r="CT215" s="180">
        <v>10</v>
      </c>
      <c r="CU215" s="180">
        <v>0</v>
      </c>
      <c r="CV215" s="180">
        <v>10</v>
      </c>
      <c r="CW215" s="180">
        <v>0</v>
      </c>
      <c r="CX215" s="180">
        <v>10</v>
      </c>
      <c r="CY215" s="180">
        <v>15</v>
      </c>
      <c r="CZ215" s="180">
        <v>5</v>
      </c>
      <c r="DA215" s="198">
        <v>15</v>
      </c>
      <c r="DB215" s="21"/>
      <c r="DC215" s="21"/>
      <c r="DD215" s="21"/>
      <c r="DE215" s="21"/>
      <c r="DF215" s="21"/>
      <c r="DG215" s="21"/>
      <c r="DH215" s="21"/>
      <c r="DI215" s="21"/>
      <c r="DJ215" s="21"/>
      <c r="DK215" s="21"/>
      <c r="DL215" s="21"/>
      <c r="DM215" s="21"/>
      <c r="DN215" s="21"/>
      <c r="DO215" s="21"/>
      <c r="DP215" s="21"/>
      <c r="DQ215" s="87"/>
      <c r="DR215" s="87"/>
      <c r="DS215" s="87"/>
      <c r="DT215" s="21"/>
      <c r="DU215" s="21"/>
      <c r="DV215" s="21"/>
      <c r="DW215" s="21"/>
      <c r="DX215" s="21"/>
      <c r="DY215" s="21"/>
      <c r="DZ215" s="21"/>
      <c r="EA215" s="21"/>
      <c r="EB215" s="21"/>
      <c r="EC215" s="21"/>
      <c r="ED215" s="21"/>
      <c r="EE215" s="21"/>
      <c r="EF215" s="21"/>
      <c r="EG215" s="21"/>
      <c r="EH215" s="21"/>
      <c r="EI215" s="21"/>
      <c r="EJ215" s="21"/>
      <c r="EK215" s="21"/>
      <c r="EL215" s="21"/>
      <c r="EM215" s="21"/>
      <c r="EN215" s="21"/>
      <c r="EO215" s="21"/>
      <c r="EP215" s="21"/>
      <c r="EQ215" s="21"/>
      <c r="ER215" s="21"/>
      <c r="ES215" s="21"/>
      <c r="ET215" s="21"/>
      <c r="EU215" s="21"/>
      <c r="EV215" s="21"/>
      <c r="EW215" s="21"/>
      <c r="EX215" s="21"/>
      <c r="EY215" s="21"/>
      <c r="EZ215" s="21"/>
      <c r="FA215" s="21"/>
      <c r="FB215" s="21"/>
      <c r="FC215" s="21"/>
      <c r="FD215" s="21"/>
      <c r="FE215" s="21"/>
      <c r="FF215" s="21"/>
      <c r="FG215" s="21"/>
      <c r="FH215" s="21"/>
      <c r="FI215" s="21"/>
      <c r="FJ215" s="21"/>
      <c r="FK215" s="21"/>
      <c r="FL215" s="21"/>
      <c r="FM215" s="21"/>
      <c r="FN215" s="21"/>
      <c r="FO215" s="21"/>
      <c r="FP215" s="21"/>
      <c r="FQ215" s="21"/>
      <c r="FR215" s="21"/>
      <c r="FS215" s="21"/>
      <c r="FT215" s="21"/>
      <c r="FU215" s="21"/>
      <c r="FV215" s="21"/>
      <c r="FW215" s="21"/>
      <c r="FX215" s="21"/>
      <c r="FY215" s="21"/>
      <c r="FZ215" s="21"/>
      <c r="GA215" s="21"/>
      <c r="GB215" s="21"/>
      <c r="GC215" s="21"/>
      <c r="GD215" s="21"/>
      <c r="GE215" s="21"/>
      <c r="GF215" s="21"/>
      <c r="GG215" s="21"/>
      <c r="GH215" s="21"/>
      <c r="GI215" s="21"/>
      <c r="GJ215" s="21"/>
      <c r="GK215" s="21"/>
      <c r="GL215" s="21"/>
      <c r="GM215" s="21"/>
      <c r="GN215" s="21"/>
      <c r="GO215" s="21"/>
      <c r="GP215" s="21"/>
      <c r="GQ215" s="21"/>
      <c r="GR215" s="21"/>
      <c r="GS215" s="21"/>
      <c r="GT215" s="21"/>
      <c r="GU215" s="21"/>
      <c r="GV215" s="21"/>
      <c r="GW215" s="21"/>
      <c r="GX215" s="21"/>
      <c r="GY215" s="21"/>
      <c r="GZ215" s="21"/>
      <c r="HA215" s="21"/>
      <c r="HB215" s="21"/>
      <c r="HC215" s="21"/>
      <c r="HD215" s="21"/>
      <c r="HE215" s="21"/>
      <c r="HF215" s="21"/>
      <c r="HG215" s="21"/>
      <c r="HH215" s="21"/>
    </row>
    <row r="216" spans="1:216" x14ac:dyDescent="0.25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24"/>
      <c r="N216" s="24"/>
      <c r="O216" s="24"/>
      <c r="P216" s="24"/>
      <c r="Q216" s="24"/>
      <c r="R216" s="24"/>
      <c r="S216" s="24"/>
      <c r="T216" s="24"/>
      <c r="U216" s="24"/>
      <c r="V216" s="21"/>
      <c r="W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226,$BI$200:$BU$200,0),MATCH($E$220,$AE$33:$AE$47,0))*$C226</f>
        <v>0</v>
      </c>
      <c r="X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226,$BI$200:$BU$200,0),MATCH($E$220,$AE$33:$AE$47,0))*$C226</f>
        <v>0</v>
      </c>
      <c r="Y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226,$BI$200:$BU$200,0),MATCH($E$220,$AE$33:$AE$47,0))*$C226</f>
        <v>0</v>
      </c>
      <c r="Z216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226,$BI$200:$BU$200,0),MATCH($E$220,$AE$33:$AE$47,0))*$C226</f>
        <v>0</v>
      </c>
      <c r="AA216" s="21">
        <f t="shared" ref="AA216:AA222" si="316">IF(AC216=0,0,IF(AC216&gt;=1,2,IF(AC216&gt;=5,4,IF(AC216&gt;=8,6,IF(AC216&gt;=13,8,0)))))*C228</f>
        <v>0</v>
      </c>
      <c r="AB216" s="21">
        <f t="shared" ref="AB216:AB222" si="317">IF($E$220=$AE$33,INT((A228/4)*1.5),IF($E$220=$AE$34,INT((A228/4)*1.5),IF($E$220=$AE$35,INT((A228/4)*1.5),IF($E$220=$AE$36,INT((A228/4)*1.5),IF($E$220=$AE$37,INT((A228/4)*1.5),IF($E$220=$AE$38,INT((A228/4)*1.5),IF($E$220=$AE$39,A228/4,IF($E$220=$AE$40,A228/4,IF($E$220=$AE$41,A228/4,IF($E$220=$AE$42,A228/4,IF($E$220=$AE$43,A228/4,IF($E$220=$AE$44,A228/4,IF($E$220=$AE$45,A228/4,IF($E$220=$AE$46,A228/4,0))))))))))))))</f>
        <v>0</v>
      </c>
      <c r="AC216" s="21">
        <f t="shared" ref="AC216:AC222" si="318">IF($E$220=$AE$33,INT((A228/4)*1.5),IF($E$220=$AE$34,INT((A228/4)*1.5),IF($E$220=$AE$35,INT((A228/4)*1.5),IF($E$220=$AE$36,INT((A228/4)*1.5),IF($E$220=$AE$37,INT((A228/4)*1.5),IF($E$220=$AE$38,INT((A228/4)*1.5),IF($E$220=$AE$39,A228/4,IF($E$220=$AE$40,A228/4,IF($E$220=$AE$41,A228/4,IF($E$220=$AE$42,A228/4,IF($E$220=$AE$43,A228/4,IF($E$220=$AE$44,A228/4,IF($E$220=$AE$45,A228/4,IF($E$220=$AE$46,A228/4,0))))))))))))))</f>
        <v>0</v>
      </c>
      <c r="AD216" s="21">
        <f t="shared" si="311"/>
        <v>0</v>
      </c>
      <c r="AE216" s="21">
        <f t="shared" ref="AE216:AE222" si="319">((A228/4)+1)*C228</f>
        <v>0</v>
      </c>
      <c r="AF216" s="21">
        <f t="shared" ref="AF216:AF222" si="320">IF($E$220=$AE$33,INT((A228/4)*1.5),IF($E$220=$AE$34,INT((A228/4)*1.5),IF($E$220=$AE$35,INT((A228/4)*1.5),IF($E$220=$AE$36,INT((A228/4)*1.5),IF($E$220=$AE$37,INT((A228/4)*1.5),IF($E$220=$AE$38,INT((A228/4)*1.5),IF($E$220=$AE$39,A228/4,IF($E$220=$AE$40,A228/4,IF($E$220=$AE$41,A228/4,IF($E$220=$AE$42,A228/4,IF($E$220=$AE$43,A228/4,IF($E$220=$AE$44,A228/4,IF($E$220=$AE$45,A228/4,IF($E$220=$AE$46,A228/4,0))))))))))))))</f>
        <v>0</v>
      </c>
      <c r="AG216" s="21">
        <f t="shared" ref="AG216:AG222" si="321">((A228/4)+1)</f>
        <v>1</v>
      </c>
      <c r="AH216" s="21"/>
      <c r="AI216" s="21"/>
      <c r="AJ216" s="21"/>
      <c r="AK216" s="21"/>
      <c r="AL216" s="21"/>
      <c r="AM216" s="21"/>
      <c r="AN216" s="21"/>
      <c r="AO216" s="21"/>
      <c r="AP216" s="21"/>
      <c r="AQ216" s="21"/>
      <c r="AR216" s="21" t="s">
        <v>115</v>
      </c>
      <c r="AS216" s="21" t="s">
        <v>596</v>
      </c>
      <c r="AT216" s="21" t="s">
        <v>595</v>
      </c>
      <c r="AU216" s="21" t="s">
        <v>593</v>
      </c>
      <c r="AV216" s="21" t="s">
        <v>593</v>
      </c>
      <c r="AW216" s="21"/>
      <c r="AX216" s="21"/>
      <c r="AY216" s="21"/>
      <c r="AZ216" s="21"/>
      <c r="BA216" s="21"/>
      <c r="BB216" s="21"/>
      <c r="BC216" s="21"/>
      <c r="BD216" s="21"/>
      <c r="BE216" s="21"/>
      <c r="BF216" s="21"/>
      <c r="BG216" s="21"/>
      <c r="BH216" s="20" t="s">
        <v>779</v>
      </c>
      <c r="BI216" s="21">
        <v>0</v>
      </c>
      <c r="BJ216" s="21">
        <v>0</v>
      </c>
      <c r="BK216" s="21">
        <v>5</v>
      </c>
      <c r="BL216" s="21">
        <v>5</v>
      </c>
      <c r="BM216" s="21">
        <v>10</v>
      </c>
      <c r="BN216" s="21">
        <v>10</v>
      </c>
      <c r="BO216" s="21">
        <v>10</v>
      </c>
      <c r="BP216" s="21">
        <v>15</v>
      </c>
      <c r="BQ216" s="21">
        <v>15</v>
      </c>
      <c r="BR216" s="21">
        <v>20</v>
      </c>
      <c r="BS216" s="21">
        <v>20</v>
      </c>
      <c r="BT216" s="21">
        <v>20</v>
      </c>
      <c r="BU216" s="21">
        <v>25</v>
      </c>
      <c r="BV216" s="21"/>
      <c r="BW216" s="20" t="s">
        <v>779</v>
      </c>
      <c r="BX216" s="21">
        <v>0</v>
      </c>
      <c r="BY216" s="21">
        <v>0</v>
      </c>
      <c r="BZ216" s="21">
        <v>5</v>
      </c>
      <c r="CA216" s="21">
        <v>5</v>
      </c>
      <c r="CB216" s="21">
        <v>10</v>
      </c>
      <c r="CC216" s="21">
        <v>10</v>
      </c>
      <c r="CD216" s="21">
        <v>15</v>
      </c>
      <c r="CE216" s="21">
        <v>15</v>
      </c>
      <c r="CF216" s="21">
        <v>20</v>
      </c>
      <c r="CG216" s="21">
        <v>20</v>
      </c>
      <c r="CH216" s="21">
        <v>25</v>
      </c>
      <c r="CI216" s="21">
        <v>25</v>
      </c>
      <c r="CJ216" s="21">
        <v>30</v>
      </c>
      <c r="CK216" s="21"/>
      <c r="CL216" s="21"/>
      <c r="CM216" s="21"/>
      <c r="CN216" s="20" t="s">
        <v>779</v>
      </c>
      <c r="CO216" s="180">
        <v>0</v>
      </c>
      <c r="CP216" s="180">
        <v>0</v>
      </c>
      <c r="CQ216" s="180">
        <v>5</v>
      </c>
      <c r="CR216" s="180">
        <v>10</v>
      </c>
      <c r="CS216" s="180">
        <v>10</v>
      </c>
      <c r="CT216" s="180">
        <v>15</v>
      </c>
      <c r="CU216" s="180">
        <v>15</v>
      </c>
      <c r="CV216" s="180">
        <v>20</v>
      </c>
      <c r="CW216" s="180">
        <v>20</v>
      </c>
      <c r="CX216" s="180">
        <v>25</v>
      </c>
      <c r="CY216" s="180">
        <v>30</v>
      </c>
      <c r="CZ216" s="180">
        <v>30</v>
      </c>
      <c r="DA216" s="198">
        <v>35</v>
      </c>
      <c r="DB216" s="21"/>
      <c r="DC216" s="21"/>
      <c r="DD216" s="21"/>
      <c r="DE216" s="21"/>
      <c r="DF216" s="21"/>
      <c r="DG216" s="21"/>
      <c r="DH216" s="21"/>
      <c r="DI216" s="21"/>
      <c r="DJ216" s="21"/>
      <c r="DK216" s="21"/>
      <c r="DL216" s="21"/>
      <c r="DM216" s="21"/>
      <c r="DN216" s="21"/>
      <c r="DO216" s="21"/>
      <c r="DP216" s="21"/>
      <c r="DQ216" s="87"/>
      <c r="DR216" s="87"/>
      <c r="DS216" s="87"/>
      <c r="DT216" s="21"/>
      <c r="DU216" s="21"/>
      <c r="DV216" s="21"/>
      <c r="DW216" s="21"/>
      <c r="DX216" s="21"/>
      <c r="DY216" s="21"/>
      <c r="DZ216" s="21"/>
      <c r="EA216" s="21"/>
      <c r="EB216" s="21"/>
      <c r="EC216" s="21"/>
      <c r="ED216" s="21"/>
      <c r="EE216" s="21"/>
      <c r="EF216" s="21"/>
      <c r="EG216" s="21"/>
      <c r="EH216" s="21"/>
      <c r="EI216" s="21"/>
      <c r="EJ216" s="21"/>
      <c r="EK216" s="21"/>
      <c r="EL216" s="21"/>
      <c r="EM216" s="21"/>
      <c r="EN216" s="21"/>
      <c r="EO216" s="21"/>
      <c r="EP216" s="21"/>
      <c r="EQ216" s="21"/>
      <c r="ER216" s="21"/>
      <c r="ES216" s="21"/>
      <c r="ET216" s="21"/>
      <c r="EU216" s="21"/>
      <c r="EV216" s="21"/>
      <c r="EW216" s="21"/>
      <c r="EX216" s="21"/>
      <c r="EY216" s="21"/>
      <c r="EZ216" s="21"/>
      <c r="FA216" s="21"/>
      <c r="FB216" s="21"/>
      <c r="FC216" s="21"/>
      <c r="FD216" s="21"/>
      <c r="FE216" s="21"/>
      <c r="FF216" s="21"/>
      <c r="FG216" s="21"/>
      <c r="FH216" s="21"/>
      <c r="FI216" s="21"/>
      <c r="FJ216" s="21"/>
      <c r="FK216" s="21"/>
      <c r="FL216" s="21"/>
      <c r="FM216" s="21"/>
      <c r="FN216" s="21"/>
      <c r="FO216" s="21"/>
      <c r="FP216" s="21"/>
      <c r="FQ216" s="21"/>
      <c r="FR216" s="21"/>
      <c r="FS216" s="21"/>
      <c r="FT216" s="21"/>
      <c r="FU216" s="21"/>
      <c r="FV216" s="21"/>
      <c r="FW216" s="21"/>
      <c r="FX216" s="21"/>
      <c r="FY216" s="21"/>
      <c r="FZ216" s="21"/>
      <c r="GA216" s="21"/>
      <c r="GB216" s="21"/>
      <c r="GC216" s="21"/>
      <c r="GD216" s="21"/>
      <c r="GE216" s="21"/>
      <c r="GF216" s="21"/>
      <c r="GG216" s="21"/>
      <c r="GH216" s="21"/>
      <c r="GI216" s="21"/>
      <c r="GJ216" s="21"/>
      <c r="GK216" s="21"/>
      <c r="GL216" s="21"/>
      <c r="GM216" s="21"/>
      <c r="GN216" s="21"/>
      <c r="GO216" s="21"/>
      <c r="GP216" s="21"/>
      <c r="GQ216" s="21"/>
      <c r="GR216" s="21"/>
      <c r="GS216" s="21"/>
      <c r="GT216" s="21"/>
      <c r="GU216" s="21"/>
      <c r="GV216" s="21"/>
      <c r="GW216" s="21"/>
      <c r="GX216" s="21"/>
      <c r="GY216" s="21"/>
      <c r="GZ216" s="21"/>
      <c r="HA216" s="21"/>
      <c r="HB216" s="21"/>
      <c r="HC216" s="21"/>
      <c r="HD216" s="21"/>
      <c r="HE216" s="21"/>
      <c r="HF216" s="21"/>
      <c r="HG216" s="21"/>
      <c r="HH216" s="21"/>
    </row>
    <row r="217" spans="1:216" ht="15.75" thickBot="1" x14ac:dyDescent="0.3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24"/>
      <c r="N217" s="24"/>
      <c r="O217" s="24"/>
      <c r="P217" s="24"/>
      <c r="Q217" s="24"/>
      <c r="R217" s="24"/>
      <c r="S217" s="24"/>
      <c r="T217" s="24"/>
      <c r="U217" s="24"/>
      <c r="V217" s="21"/>
      <c r="W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227,$BI$200:$BU$200,0),MATCH($E$220,$AE$33:$AE$47,0))*$C227</f>
        <v>0</v>
      </c>
      <c r="X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227,$BI$200:$BU$200,0),MATCH($E$220,$AE$33:$AE$47,0))*$C227</f>
        <v>0</v>
      </c>
      <c r="Y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227,$BI$200:$BU$200,0),MATCH($E$220,$AE$33:$AE$47,0))*$C227</f>
        <v>0</v>
      </c>
      <c r="Z217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227,$BI$200:$BU$200,0),MATCH($E$220,$AE$33:$AE$47,0))*$C227</f>
        <v>0</v>
      </c>
      <c r="AA217" s="21">
        <f t="shared" si="316"/>
        <v>0</v>
      </c>
      <c r="AB217" s="21">
        <f t="shared" si="317"/>
        <v>0</v>
      </c>
      <c r="AC217" s="21">
        <f t="shared" si="318"/>
        <v>0</v>
      </c>
      <c r="AD217" s="21">
        <f t="shared" si="311"/>
        <v>0</v>
      </c>
      <c r="AE217" s="21">
        <f t="shared" si="319"/>
        <v>0</v>
      </c>
      <c r="AF217" s="21">
        <f t="shared" si="320"/>
        <v>0</v>
      </c>
      <c r="AG217" s="21">
        <f t="shared" si="321"/>
        <v>1</v>
      </c>
      <c r="AH217" s="21"/>
      <c r="AI217" s="21"/>
      <c r="AJ217" s="21"/>
      <c r="AK217" s="21"/>
      <c r="AL217" s="21"/>
      <c r="AM217" s="21"/>
      <c r="AN217" s="21"/>
      <c r="AO217" s="21"/>
      <c r="AP217" s="21"/>
      <c r="AQ217" s="21"/>
      <c r="AR217" s="21" t="s">
        <v>474</v>
      </c>
      <c r="AS217" s="21" t="s">
        <v>596</v>
      </c>
      <c r="AT217" s="21" t="s">
        <v>595</v>
      </c>
      <c r="AU217" s="21" t="s">
        <v>594</v>
      </c>
      <c r="AV217" s="21" t="s">
        <v>594</v>
      </c>
      <c r="AW217" s="21"/>
      <c r="AX217" s="21"/>
      <c r="AY217" s="21"/>
      <c r="AZ217" s="21"/>
      <c r="BA217" s="21"/>
      <c r="BB217" s="21"/>
      <c r="BC217" s="21"/>
      <c r="BD217" s="21"/>
      <c r="BE217" s="21"/>
      <c r="BF217" s="21"/>
      <c r="BG217" s="21"/>
      <c r="BH217" s="196"/>
      <c r="BI217" s="21"/>
      <c r="BJ217" s="21"/>
      <c r="BK217" s="21"/>
      <c r="BL217" s="21"/>
      <c r="BM217" s="21"/>
      <c r="BN217" s="21"/>
      <c r="BO217" s="21"/>
      <c r="BP217" s="21"/>
      <c r="BQ217" s="21"/>
      <c r="BR217" s="21"/>
      <c r="BS217" s="21"/>
      <c r="BT217" s="21"/>
      <c r="BU217" s="21"/>
      <c r="BV217" s="21"/>
      <c r="BW217" s="21"/>
      <c r="BX217" s="21"/>
      <c r="BY217" s="21"/>
      <c r="BZ217" s="21"/>
      <c r="CA217" s="21"/>
      <c r="CB217" s="21"/>
      <c r="CC217" s="21"/>
      <c r="CD217" s="21"/>
      <c r="CE217" s="21"/>
      <c r="CF217" s="21"/>
      <c r="CG217" s="21"/>
      <c r="CH217" s="21"/>
      <c r="CI217" s="21"/>
      <c r="CJ217" s="21"/>
      <c r="CK217" s="21"/>
      <c r="CL217" s="21"/>
      <c r="CM217" s="21"/>
      <c r="CN217" s="21"/>
      <c r="CO217" s="21"/>
      <c r="CP217" s="21"/>
      <c r="CQ217" s="21"/>
      <c r="CR217" s="21"/>
      <c r="CS217" s="21"/>
      <c r="CT217" s="21"/>
      <c r="CU217" s="21"/>
      <c r="CV217" s="21"/>
      <c r="CW217" s="21"/>
      <c r="CX217" s="21"/>
      <c r="CY217" s="21"/>
      <c r="CZ217" s="21"/>
      <c r="DA217" s="197"/>
      <c r="DB217" s="21"/>
      <c r="DC217" s="21"/>
      <c r="DD217" s="21"/>
      <c r="DE217" s="21"/>
      <c r="DF217" s="21"/>
      <c r="DG217" s="21"/>
      <c r="DH217" s="21"/>
      <c r="DI217" s="21"/>
      <c r="DJ217" s="21"/>
      <c r="DK217" s="21"/>
      <c r="DL217" s="21"/>
      <c r="DM217" s="21"/>
      <c r="DN217" s="21"/>
      <c r="DO217" s="21"/>
      <c r="DP217" s="21"/>
      <c r="DQ217" s="87"/>
      <c r="DR217" s="87"/>
      <c r="DS217" s="87"/>
      <c r="DT217" s="21"/>
      <c r="DU217" s="21"/>
      <c r="DV217" s="21"/>
      <c r="DW217" s="21"/>
      <c r="DX217" s="21"/>
      <c r="DY217" s="21"/>
      <c r="DZ217" s="21"/>
      <c r="EA217" s="21"/>
      <c r="EB217" s="21"/>
      <c r="EC217" s="21"/>
      <c r="ED217" s="21"/>
      <c r="EE217" s="21"/>
      <c r="EF217" s="21"/>
      <c r="EG217" s="21"/>
      <c r="EH217" s="21"/>
      <c r="EI217" s="21"/>
      <c r="EJ217" s="21"/>
      <c r="EK217" s="21"/>
      <c r="EL217" s="21"/>
      <c r="EM217" s="21"/>
      <c r="EN217" s="21"/>
      <c r="EO217" s="21"/>
      <c r="EP217" s="21"/>
      <c r="EQ217" s="21"/>
      <c r="ER217" s="21"/>
      <c r="ES217" s="21"/>
      <c r="ET217" s="21"/>
      <c r="EU217" s="21"/>
      <c r="EV217" s="21"/>
      <c r="EW217" s="21"/>
      <c r="EX217" s="21"/>
      <c r="EY217" s="21"/>
      <c r="EZ217" s="21"/>
      <c r="FA217" s="21"/>
      <c r="FB217" s="21"/>
      <c r="FC217" s="21"/>
      <c r="FD217" s="21"/>
      <c r="FE217" s="21"/>
      <c r="FF217" s="21"/>
      <c r="FG217" s="21"/>
      <c r="FH217" s="21"/>
      <c r="FI217" s="21"/>
      <c r="FJ217" s="21"/>
      <c r="FK217" s="21"/>
      <c r="FL217" s="21"/>
      <c r="FM217" s="21"/>
      <c r="FN217" s="21"/>
      <c r="FO217" s="21"/>
      <c r="FP217" s="21"/>
      <c r="FQ217" s="21"/>
      <c r="FR217" s="21"/>
      <c r="FS217" s="21"/>
      <c r="FT217" s="21"/>
      <c r="FU217" s="21"/>
      <c r="FV217" s="21"/>
      <c r="FW217" s="21"/>
      <c r="FX217" s="21"/>
      <c r="FY217" s="21"/>
      <c r="FZ217" s="21"/>
      <c r="GA217" s="21"/>
      <c r="GB217" s="21"/>
      <c r="GC217" s="21"/>
      <c r="GD217" s="21"/>
      <c r="GE217" s="21"/>
      <c r="GF217" s="21"/>
      <c r="GG217" s="21"/>
      <c r="GH217" s="21"/>
      <c r="GI217" s="21"/>
      <c r="GJ217" s="21"/>
      <c r="GK217" s="21"/>
      <c r="GL217" s="21"/>
      <c r="GM217" s="21"/>
      <c r="GN217" s="21"/>
      <c r="GO217" s="21"/>
      <c r="GP217" s="21"/>
      <c r="GQ217" s="21"/>
      <c r="GR217" s="21"/>
      <c r="GS217" s="21"/>
      <c r="GT217" s="21"/>
      <c r="GU217" s="21"/>
      <c r="GV217" s="21"/>
      <c r="GW217" s="21"/>
      <c r="GX217" s="21"/>
      <c r="GY217" s="21"/>
      <c r="GZ217" s="21"/>
      <c r="HA217" s="21"/>
      <c r="HB217" s="21"/>
      <c r="HC217" s="21"/>
      <c r="HD217" s="21"/>
      <c r="HE217" s="21"/>
      <c r="HF217" s="21"/>
      <c r="HG217" s="21"/>
      <c r="HH217" s="21"/>
    </row>
    <row r="218" spans="1:216" ht="51.75" x14ac:dyDescent="0.25">
      <c r="A218" s="3" t="s">
        <v>443</v>
      </c>
      <c r="B218" s="3"/>
      <c r="C218" s="3" t="s">
        <v>444</v>
      </c>
      <c r="D218" s="9"/>
      <c r="E218" s="9"/>
      <c r="F218" s="9"/>
      <c r="G218" s="9"/>
      <c r="H218" s="9"/>
      <c r="I218" s="9"/>
      <c r="J218" s="9"/>
      <c r="K218" s="9"/>
      <c r="L218" s="360" t="str">
        <f>IF(E222="wbijana","KONSTRUKCJA W-H4G2-BI-25°/30°",IF(E222="betonowana","KONSTRUKCJA W-H4B2-BI-25°/30°",IF(E222="kotwiona","KONSTRUKCJA W-H4K2-BI-25°/30°",IF(E222="wkręcana","KONSTRUKCJA W-H4S2-BI-25°/30°"))))</f>
        <v>KONSTRUKCJA W-H4G2-BI-25°/30°</v>
      </c>
      <c r="M218" s="360"/>
      <c r="N218" s="360"/>
      <c r="O218" s="360"/>
      <c r="P218" s="360"/>
      <c r="Q218" s="360"/>
      <c r="R218" s="360"/>
      <c r="S218" s="360"/>
      <c r="T218" s="360"/>
      <c r="U218" s="360"/>
      <c r="V218" s="21"/>
      <c r="W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228,$BI$200:$BU$200,0),MATCH($E$220,$AE$33:$AE$47,0))*$C228</f>
        <v>0</v>
      </c>
      <c r="X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228,$BI$200:$BU$200,0),MATCH($E$220,$AE$33:$AE$47,0))*$C228</f>
        <v>0</v>
      </c>
      <c r="Y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228,$BI$200:$BU$200,0),MATCH($E$220,$AE$33:$AE$47,0))*$C228</f>
        <v>0</v>
      </c>
      <c r="Z218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228,$BI$200:$BU$200,0),MATCH($E$220,$AE$33:$AE$47,0))*$C228</f>
        <v>0</v>
      </c>
      <c r="AA218" s="21">
        <f t="shared" si="316"/>
        <v>0</v>
      </c>
      <c r="AB218" s="21">
        <f t="shared" si="317"/>
        <v>0</v>
      </c>
      <c r="AC218" s="21">
        <f t="shared" si="318"/>
        <v>0</v>
      </c>
      <c r="AD218" s="21">
        <f t="shared" si="311"/>
        <v>0</v>
      </c>
      <c r="AE218" s="21">
        <f t="shared" si="319"/>
        <v>0</v>
      </c>
      <c r="AF218" s="21">
        <f t="shared" si="320"/>
        <v>0</v>
      </c>
      <c r="AG218" s="21">
        <f t="shared" si="321"/>
        <v>1</v>
      </c>
      <c r="AH218" s="21"/>
      <c r="AI218" s="21"/>
      <c r="AJ218" s="21"/>
      <c r="AK218" s="21"/>
      <c r="AL218" s="21"/>
      <c r="AM218" s="21"/>
      <c r="AN218" s="21"/>
      <c r="AO218" s="21"/>
      <c r="AP218" s="21"/>
      <c r="AQ218" s="21"/>
      <c r="AR218" s="21" t="s">
        <v>480</v>
      </c>
      <c r="AS218" s="21" t="s">
        <v>596</v>
      </c>
      <c r="AT218" s="21" t="s">
        <v>595</v>
      </c>
      <c r="AU218" s="21" t="s">
        <v>594</v>
      </c>
      <c r="AV218" s="21" t="s">
        <v>594</v>
      </c>
      <c r="AW218" s="21"/>
      <c r="AX218" s="21"/>
      <c r="AY218" s="21"/>
      <c r="AZ218" s="21"/>
      <c r="BA218" s="21"/>
      <c r="BB218" s="21"/>
      <c r="BC218" s="21"/>
      <c r="BD218" s="21"/>
      <c r="BE218" s="21"/>
      <c r="BF218" s="21"/>
      <c r="BG218" s="21"/>
      <c r="BH218" s="196" t="s">
        <v>470</v>
      </c>
      <c r="BI218" s="21">
        <v>0</v>
      </c>
      <c r="BJ218" s="21">
        <v>8</v>
      </c>
      <c r="BK218" s="21">
        <v>12</v>
      </c>
      <c r="BL218" s="21">
        <v>16</v>
      </c>
      <c r="BM218" s="21">
        <v>20</v>
      </c>
      <c r="BN218" s="21">
        <v>24</v>
      </c>
      <c r="BO218" s="21">
        <v>28</v>
      </c>
      <c r="BP218" s="21">
        <v>32</v>
      </c>
      <c r="BQ218" s="21">
        <v>36</v>
      </c>
      <c r="BR218" s="21">
        <v>40</v>
      </c>
      <c r="BS218" s="21">
        <v>44</v>
      </c>
      <c r="BT218" s="21">
        <v>48</v>
      </c>
      <c r="BU218" s="21">
        <v>52</v>
      </c>
      <c r="BW218" s="180" t="s">
        <v>138</v>
      </c>
      <c r="BX218" s="180">
        <v>0</v>
      </c>
      <c r="BY218" s="180">
        <v>8</v>
      </c>
      <c r="BZ218" s="180">
        <v>12</v>
      </c>
      <c r="CA218" s="180">
        <v>16</v>
      </c>
      <c r="CB218" s="180">
        <v>20</v>
      </c>
      <c r="CC218" s="180">
        <v>24</v>
      </c>
      <c r="CD218" s="180">
        <v>28</v>
      </c>
      <c r="CE218" s="180">
        <v>32</v>
      </c>
      <c r="CF218" s="180">
        <v>36</v>
      </c>
      <c r="CG218" s="180">
        <v>40</v>
      </c>
      <c r="CH218" s="180">
        <v>44</v>
      </c>
      <c r="CI218" s="180">
        <v>48</v>
      </c>
      <c r="CJ218" s="180">
        <v>52</v>
      </c>
      <c r="DA218" s="198"/>
      <c r="DQ218" s="87"/>
      <c r="DR218" s="87"/>
      <c r="DS218" s="87"/>
      <c r="DT218" s="21"/>
      <c r="DU218" s="21"/>
      <c r="DV218" s="21"/>
      <c r="DW218" s="21"/>
      <c r="DX218" s="21"/>
      <c r="DY218" s="21"/>
      <c r="DZ218" s="21"/>
      <c r="EA218" s="21"/>
      <c r="EB218" s="21"/>
      <c r="EC218" s="21"/>
      <c r="ED218" s="21"/>
      <c r="EE218" s="21"/>
      <c r="EF218" s="21"/>
      <c r="EG218" s="21"/>
      <c r="EH218" s="21"/>
      <c r="EI218" s="21"/>
      <c r="EJ218" s="193" t="s">
        <v>1306</v>
      </c>
      <c r="EK218" s="194"/>
      <c r="EL218" s="194"/>
      <c r="EM218" s="194"/>
      <c r="EN218" s="194"/>
      <c r="EO218" s="194"/>
      <c r="EP218" s="194"/>
      <c r="EQ218" s="194"/>
      <c r="ER218" s="194"/>
      <c r="ES218" s="194"/>
      <c r="ET218" s="194"/>
      <c r="EU218" s="194"/>
      <c r="EV218" s="194"/>
      <c r="EW218" s="194"/>
      <c r="EX218" s="194"/>
      <c r="EY218" s="194"/>
      <c r="EZ218" s="194"/>
      <c r="FA218" s="194"/>
      <c r="FB218" s="194"/>
      <c r="FC218" s="194"/>
      <c r="FD218" s="194"/>
      <c r="FE218" s="194"/>
      <c r="FF218" s="194"/>
      <c r="FG218" s="194"/>
      <c r="FH218" s="194"/>
      <c r="FI218" s="194"/>
      <c r="FJ218" s="194"/>
      <c r="FK218" s="194"/>
      <c r="FL218" s="194"/>
      <c r="FM218" s="194"/>
      <c r="FN218" s="194"/>
      <c r="FO218" s="194"/>
      <c r="FP218" s="194"/>
      <c r="FQ218" s="194"/>
      <c r="FR218" s="194"/>
      <c r="FS218" s="194"/>
      <c r="FT218" s="194"/>
      <c r="FU218" s="194"/>
      <c r="FV218" s="194"/>
      <c r="FW218" s="194"/>
      <c r="FX218" s="194"/>
      <c r="FY218" s="194"/>
      <c r="FZ218" s="194"/>
      <c r="GA218" s="194"/>
      <c r="GB218" s="194"/>
      <c r="GC218" s="194"/>
      <c r="GD218" s="194"/>
      <c r="GE218" s="194"/>
      <c r="GF218" s="194"/>
      <c r="GG218" s="194"/>
      <c r="GH218" s="194"/>
      <c r="GI218" s="194"/>
      <c r="GJ218" s="194"/>
      <c r="GK218" s="194"/>
      <c r="GL218" s="194"/>
      <c r="GM218" s="194"/>
      <c r="GN218" s="194"/>
      <c r="GO218" s="194"/>
      <c r="GP218" s="194"/>
      <c r="GQ218" s="194"/>
      <c r="GR218" s="194"/>
      <c r="GS218" s="194"/>
      <c r="GT218" s="194"/>
      <c r="GU218" s="194"/>
      <c r="GV218" s="194"/>
      <c r="GW218" s="194"/>
      <c r="GX218" s="194"/>
      <c r="GY218" s="194"/>
      <c r="GZ218" s="194"/>
      <c r="HA218" s="194"/>
      <c r="HB218" s="194"/>
      <c r="HC218" s="194"/>
      <c r="HD218" s="194"/>
      <c r="HE218" s="194"/>
      <c r="HF218" s="194"/>
      <c r="HG218" s="195"/>
      <c r="HH218" s="21"/>
    </row>
    <row r="219" spans="1:216" x14ac:dyDescent="0.25">
      <c r="A219" s="8"/>
      <c r="B219" s="5" t="s">
        <v>116</v>
      </c>
      <c r="C219" s="8"/>
      <c r="D219" s="9"/>
      <c r="E219" s="1"/>
      <c r="F219" s="9"/>
      <c r="G219" s="9"/>
      <c r="H219" s="9"/>
      <c r="I219" s="9"/>
      <c r="J219" s="9"/>
      <c r="K219" s="9"/>
      <c r="L219" s="5" t="s">
        <v>103</v>
      </c>
      <c r="M219" s="5" t="s">
        <v>104</v>
      </c>
      <c r="N219" s="5" t="s">
        <v>107</v>
      </c>
      <c r="O219" s="5" t="s">
        <v>290</v>
      </c>
      <c r="P219" s="5" t="s">
        <v>446</v>
      </c>
      <c r="Q219" s="5" t="s">
        <v>448</v>
      </c>
      <c r="R219" s="5" t="s">
        <v>409</v>
      </c>
      <c r="S219" s="5" t="s">
        <v>447</v>
      </c>
      <c r="T219" s="5" t="s">
        <v>449</v>
      </c>
      <c r="U219" s="5" t="s">
        <v>106</v>
      </c>
      <c r="V219" s="21"/>
      <c r="W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229,$BI$200:$BU$200,0),MATCH($E$220,$AE$33:$AE$47,0))*$C229</f>
        <v>0</v>
      </c>
      <c r="X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229,$BI$200:$BU$200,0),MATCH($E$220,$AE$33:$AE$47,0))*$C229</f>
        <v>0</v>
      </c>
      <c r="Y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229,$BI$200:$BU$200,0),MATCH($E$220,$AE$33:$AE$47,0))*$C229</f>
        <v>0</v>
      </c>
      <c r="Z219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229,$BI$200:$BU$200,0),MATCH($E$220,$AE$33:$AE$47,0))*$C229</f>
        <v>0</v>
      </c>
      <c r="AA219" s="21">
        <f t="shared" si="316"/>
        <v>0</v>
      </c>
      <c r="AB219" s="21">
        <f t="shared" si="317"/>
        <v>0</v>
      </c>
      <c r="AC219" s="21">
        <f t="shared" si="318"/>
        <v>0</v>
      </c>
      <c r="AD219" s="21">
        <f t="shared" si="311"/>
        <v>0</v>
      </c>
      <c r="AE219" s="21">
        <f t="shared" si="319"/>
        <v>0</v>
      </c>
      <c r="AF219" s="21">
        <f t="shared" si="320"/>
        <v>0</v>
      </c>
      <c r="AG219" s="21">
        <f t="shared" si="321"/>
        <v>1</v>
      </c>
      <c r="AH219" s="21"/>
      <c r="AI219" s="21"/>
      <c r="AJ219" s="21"/>
      <c r="AK219" s="21"/>
      <c r="AL219" s="21"/>
      <c r="AM219" s="21"/>
      <c r="AN219" s="21"/>
      <c r="AO219" s="21"/>
      <c r="AP219" s="21"/>
      <c r="AQ219" s="21"/>
      <c r="AR219" s="21" t="s">
        <v>713</v>
      </c>
      <c r="AS219" s="21" t="s">
        <v>594</v>
      </c>
      <c r="AT219" s="21" t="s">
        <v>596</v>
      </c>
      <c r="AU219" s="21" t="s">
        <v>594</v>
      </c>
      <c r="AV219" s="21" t="s">
        <v>594</v>
      </c>
      <c r="AW219" s="21"/>
      <c r="AX219" s="21"/>
      <c r="AY219" s="21"/>
      <c r="AZ219" s="21"/>
      <c r="BA219" s="21"/>
      <c r="BB219" s="21"/>
      <c r="BC219" s="21"/>
      <c r="BD219" s="21"/>
      <c r="BE219" s="21"/>
      <c r="BF219" s="21"/>
      <c r="BG219" s="21"/>
      <c r="BH219" s="196" t="s">
        <v>586</v>
      </c>
      <c r="BI219" s="21">
        <v>0</v>
      </c>
      <c r="BJ219" s="21">
        <v>0</v>
      </c>
      <c r="BK219" s="21">
        <v>0</v>
      </c>
      <c r="BL219" s="21">
        <v>0</v>
      </c>
      <c r="BM219" s="21">
        <v>0</v>
      </c>
      <c r="BN219" s="21">
        <v>0</v>
      </c>
      <c r="BO219" s="21">
        <v>0</v>
      </c>
      <c r="BP219" s="21">
        <v>0</v>
      </c>
      <c r="BQ219" s="21">
        <v>0</v>
      </c>
      <c r="BR219" s="21">
        <v>0</v>
      </c>
      <c r="BS219" s="21">
        <v>0</v>
      </c>
      <c r="BT219" s="21">
        <v>0</v>
      </c>
      <c r="BU219" s="21">
        <v>0</v>
      </c>
      <c r="BW219" s="180" t="s">
        <v>586</v>
      </c>
      <c r="BX219" s="180">
        <v>0</v>
      </c>
      <c r="BY219" s="180">
        <v>0</v>
      </c>
      <c r="BZ219" s="180">
        <v>0</v>
      </c>
      <c r="CA219" s="180">
        <v>0</v>
      </c>
      <c r="CB219" s="180">
        <v>0</v>
      </c>
      <c r="CC219" s="180">
        <v>0</v>
      </c>
      <c r="CD219" s="180">
        <v>0</v>
      </c>
      <c r="CE219" s="180">
        <v>0</v>
      </c>
      <c r="CF219" s="180">
        <v>0</v>
      </c>
      <c r="CG219" s="180">
        <v>0</v>
      </c>
      <c r="CH219" s="180">
        <v>0</v>
      </c>
      <c r="CI219" s="180">
        <v>0</v>
      </c>
      <c r="CJ219" s="180">
        <v>0</v>
      </c>
      <c r="DA219" s="198"/>
      <c r="EH219" s="21"/>
      <c r="EI219" s="21"/>
      <c r="EJ219" s="196"/>
      <c r="EK219" s="21" t="s">
        <v>111</v>
      </c>
      <c r="EL219" s="21">
        <v>0</v>
      </c>
      <c r="EM219" s="21">
        <v>6</v>
      </c>
      <c r="EN219" s="21">
        <v>12</v>
      </c>
      <c r="EO219" s="21">
        <v>18</v>
      </c>
      <c r="EP219" s="21">
        <v>24</v>
      </c>
      <c r="EQ219" s="21">
        <v>30</v>
      </c>
      <c r="ER219" s="21">
        <v>36</v>
      </c>
      <c r="ES219" s="21">
        <v>42</v>
      </c>
      <c r="ET219" s="21">
        <v>48</v>
      </c>
      <c r="EU219" s="21">
        <v>54</v>
      </c>
      <c r="EV219" s="21"/>
      <c r="EW219" s="21"/>
      <c r="EX219" s="21"/>
      <c r="EY219" s="21"/>
      <c r="EZ219" s="21" t="s">
        <v>470</v>
      </c>
      <c r="FA219" s="21">
        <v>0</v>
      </c>
      <c r="FB219" s="21">
        <v>6</v>
      </c>
      <c r="FC219" s="21">
        <v>12</v>
      </c>
      <c r="FD219" s="21">
        <v>18</v>
      </c>
      <c r="FE219" s="21">
        <v>24</v>
      </c>
      <c r="FF219" s="21">
        <v>30</v>
      </c>
      <c r="FG219" s="21">
        <v>36</v>
      </c>
      <c r="FH219" s="21">
        <v>42</v>
      </c>
      <c r="FI219" s="21">
        <v>48</v>
      </c>
      <c r="FJ219" s="21">
        <v>54</v>
      </c>
      <c r="FK219" s="21"/>
      <c r="FL219" s="21"/>
      <c r="FM219" s="21"/>
      <c r="FN219" s="21"/>
      <c r="FO219" s="21" t="s">
        <v>473</v>
      </c>
      <c r="FP219" s="21">
        <v>0</v>
      </c>
      <c r="FQ219" s="21">
        <v>6</v>
      </c>
      <c r="FR219" s="21">
        <v>12</v>
      </c>
      <c r="FS219" s="21">
        <v>18</v>
      </c>
      <c r="FT219" s="21">
        <v>24</v>
      </c>
      <c r="FU219" s="21">
        <v>30</v>
      </c>
      <c r="FV219" s="21">
        <v>36</v>
      </c>
      <c r="FW219" s="21">
        <v>42</v>
      </c>
      <c r="FX219" s="21">
        <v>48</v>
      </c>
      <c r="FY219" s="21">
        <v>54</v>
      </c>
      <c r="FZ219" s="21"/>
      <c r="GA219" s="21"/>
      <c r="GB219" s="21"/>
      <c r="GC219" s="21"/>
      <c r="GD219" s="21" t="s">
        <v>138</v>
      </c>
      <c r="GE219" s="21">
        <v>0</v>
      </c>
      <c r="GF219" s="21">
        <v>6</v>
      </c>
      <c r="GG219" s="21">
        <v>12</v>
      </c>
      <c r="GH219" s="21">
        <v>18</v>
      </c>
      <c r="GI219" s="21">
        <v>24</v>
      </c>
      <c r="GJ219" s="21">
        <v>30</v>
      </c>
      <c r="GK219" s="21">
        <v>36</v>
      </c>
      <c r="GL219" s="21">
        <v>42</v>
      </c>
      <c r="GM219" s="21">
        <v>48</v>
      </c>
      <c r="GN219" s="21">
        <v>54</v>
      </c>
      <c r="GO219" s="21"/>
      <c r="GP219" s="21"/>
      <c r="GQ219" s="21"/>
      <c r="GR219" s="21"/>
      <c r="GS219" s="21" t="s">
        <v>508</v>
      </c>
      <c r="GT219" s="21">
        <v>0</v>
      </c>
      <c r="GU219" s="21">
        <v>6</v>
      </c>
      <c r="GV219" s="21">
        <v>12</v>
      </c>
      <c r="GW219" s="21">
        <v>18</v>
      </c>
      <c r="GX219" s="21">
        <v>24</v>
      </c>
      <c r="GY219" s="21">
        <v>30</v>
      </c>
      <c r="GZ219" s="21">
        <v>36</v>
      </c>
      <c r="HA219" s="21">
        <v>42</v>
      </c>
      <c r="HB219" s="21">
        <v>48</v>
      </c>
      <c r="HC219" s="21">
        <v>54</v>
      </c>
      <c r="HD219" s="21"/>
      <c r="HE219" s="21"/>
      <c r="HF219" s="21"/>
      <c r="HG219" s="197"/>
      <c r="HH219" s="21"/>
    </row>
    <row r="220" spans="1:216" x14ac:dyDescent="0.25">
      <c r="A220" s="8"/>
      <c r="B220" s="5" t="s">
        <v>116</v>
      </c>
      <c r="C220" s="8"/>
      <c r="D220" s="6" t="s">
        <v>118</v>
      </c>
      <c r="E220" s="8" t="s">
        <v>763</v>
      </c>
      <c r="F220" s="5" t="s">
        <v>116</v>
      </c>
      <c r="G220" s="8" t="s">
        <v>715</v>
      </c>
      <c r="H220" s="5" t="s">
        <v>116</v>
      </c>
      <c r="I220" s="8">
        <v>30</v>
      </c>
      <c r="J220" s="5" t="s">
        <v>119</v>
      </c>
      <c r="K220" s="9"/>
      <c r="L220" s="7" t="str">
        <f>IF(E222=$AC$5,"-------",IF(E222=$AC$6,"-------",IF(E222=$AC$7,"-------",IF(E222=$AC$8,IF(E231=$DS$10,"GSW76X1600N",IF(E231=$DS$11,"GSW76X2200N","")),0))))</f>
        <v>-------</v>
      </c>
      <c r="M220" s="11" t="str">
        <f>INDEX(cennik!$C$2:$L$531,MATCH($L220,cennik!$B$2:$B$524,0),MATCH(M$2,cennik!$C$1:$L$1,0))</f>
        <v>-------</v>
      </c>
      <c r="N220" s="11">
        <f>INDEX(cennik!$C$2:$L$531,MATCH($L220,cennik!$B$2:$B$524,0),MATCH(N$2,cennik!$C$1:$L$1,0))</f>
        <v>0</v>
      </c>
      <c r="O220" s="11">
        <f>IF(L220="-------",0,SUM(O222:O223))</f>
        <v>0</v>
      </c>
      <c r="P220" s="34">
        <f>INDEX(cennik!$C$2:$L$531,MATCH($L220,cennik!$B$2:$B$524,0),MATCH(P$2,cennik!$C$1:$L$1,0))</f>
        <v>0</v>
      </c>
      <c r="Q220" s="34">
        <f>O220*P220</f>
        <v>0</v>
      </c>
      <c r="R220" s="35">
        <f t="shared" ref="R220:R247" si="322">$E$224</f>
        <v>0</v>
      </c>
      <c r="S220" s="34">
        <f t="shared" ref="S220:S247" si="323">P220*((100-$E$224)/100)</f>
        <v>0</v>
      </c>
      <c r="T220" s="34">
        <f>O220*S220</f>
        <v>0</v>
      </c>
      <c r="U220" s="34">
        <f>INDEX(cennik!$C$2:$L$531,MATCH($L220,cennik!$B$2:$B$524,0),MATCH(U$2,cennik!$C$1:$L$1,0))*O220</f>
        <v>0</v>
      </c>
      <c r="V220" s="21"/>
      <c r="W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230,$BI$200:$BU$200,0),MATCH($E$220,$AE$33:$AE$47,0))*$C230</f>
        <v>0</v>
      </c>
      <c r="X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230,$BI$200:$BU$200,0),MATCH($E$220,$AE$33:$AE$47,0))*$C230</f>
        <v>0</v>
      </c>
      <c r="Y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230,$BI$200:$BU$200,0),MATCH($E$220,$AE$33:$AE$47,0))*$C230</f>
        <v>0</v>
      </c>
      <c r="Z220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230,$BI$200:$BU$200,0),MATCH($E$220,$AE$33:$AE$47,0))*$C230</f>
        <v>0</v>
      </c>
      <c r="AA220" s="21">
        <f t="shared" si="316"/>
        <v>0</v>
      </c>
      <c r="AB220" s="21">
        <f t="shared" si="317"/>
        <v>0</v>
      </c>
      <c r="AC220" s="21">
        <f t="shared" si="318"/>
        <v>0</v>
      </c>
      <c r="AD220" s="21">
        <f t="shared" si="311"/>
        <v>0</v>
      </c>
      <c r="AE220" s="21">
        <f t="shared" si="319"/>
        <v>0</v>
      </c>
      <c r="AF220" s="21">
        <f t="shared" si="320"/>
        <v>0</v>
      </c>
      <c r="AG220" s="21">
        <f t="shared" si="321"/>
        <v>1</v>
      </c>
      <c r="AH220" s="21"/>
      <c r="AI220" s="21"/>
      <c r="AJ220" s="21"/>
      <c r="AR220" s="180" t="s">
        <v>714</v>
      </c>
      <c r="AS220" s="180" t="s">
        <v>594</v>
      </c>
      <c r="AT220" s="180" t="s">
        <v>596</v>
      </c>
      <c r="AU220" s="180" t="s">
        <v>594</v>
      </c>
      <c r="AV220" s="180" t="s">
        <v>594</v>
      </c>
      <c r="BG220" s="21"/>
      <c r="BH220" s="196" t="s">
        <v>522</v>
      </c>
      <c r="BI220" s="21">
        <v>0</v>
      </c>
      <c r="BJ220" s="21">
        <v>5</v>
      </c>
      <c r="BK220" s="21">
        <v>0</v>
      </c>
      <c r="BL220" s="21">
        <v>5</v>
      </c>
      <c r="BM220" s="21">
        <v>0</v>
      </c>
      <c r="BN220" s="21">
        <v>10</v>
      </c>
      <c r="BO220" s="21">
        <v>15</v>
      </c>
      <c r="BP220" s="21">
        <v>10</v>
      </c>
      <c r="BQ220" s="21">
        <v>20</v>
      </c>
      <c r="BR220" s="21">
        <v>10</v>
      </c>
      <c r="BS220" s="21">
        <v>20</v>
      </c>
      <c r="BT220" s="21">
        <v>15</v>
      </c>
      <c r="BU220" s="21">
        <v>20</v>
      </c>
      <c r="BW220" s="180" t="s">
        <v>522</v>
      </c>
      <c r="BX220" s="180">
        <v>0</v>
      </c>
      <c r="BY220" s="180">
        <v>5</v>
      </c>
      <c r="BZ220" s="180">
        <v>0</v>
      </c>
      <c r="CA220" s="180">
        <v>10</v>
      </c>
      <c r="CB220" s="180">
        <v>5</v>
      </c>
      <c r="CC220" s="180">
        <v>15</v>
      </c>
      <c r="CD220" s="180">
        <v>10</v>
      </c>
      <c r="CE220" s="180">
        <v>20</v>
      </c>
      <c r="CF220" s="180">
        <v>15</v>
      </c>
      <c r="CG220" s="180">
        <v>25</v>
      </c>
      <c r="CH220" s="180">
        <v>20</v>
      </c>
      <c r="CI220" s="180">
        <v>30</v>
      </c>
      <c r="CJ220" s="180">
        <v>25</v>
      </c>
      <c r="DA220" s="198"/>
      <c r="EH220" s="21"/>
      <c r="EI220" s="21"/>
      <c r="EJ220" s="196"/>
      <c r="EK220" s="21" t="s">
        <v>586</v>
      </c>
      <c r="EL220" s="21">
        <v>0</v>
      </c>
      <c r="EM220" s="21">
        <v>0</v>
      </c>
      <c r="EN220" s="21">
        <f>EM3/5*8</f>
        <v>0</v>
      </c>
      <c r="EO220" s="21">
        <f t="shared" ref="EO220:EU220" si="324">EN3/5*8</f>
        <v>0</v>
      </c>
      <c r="EP220" s="21">
        <f t="shared" si="324"/>
        <v>8</v>
      </c>
      <c r="EQ220" s="21">
        <f t="shared" si="324"/>
        <v>0</v>
      </c>
      <c r="ER220" s="21">
        <f t="shared" si="324"/>
        <v>0</v>
      </c>
      <c r="ES220" s="21">
        <f t="shared" si="324"/>
        <v>0</v>
      </c>
      <c r="ET220" s="21">
        <f t="shared" si="324"/>
        <v>0</v>
      </c>
      <c r="EU220" s="21">
        <f t="shared" si="324"/>
        <v>0</v>
      </c>
      <c r="EZ220" s="180" t="s">
        <v>586</v>
      </c>
      <c r="FA220" s="21">
        <v>0</v>
      </c>
      <c r="FB220" s="21">
        <v>0</v>
      </c>
      <c r="FC220" s="21">
        <f>FB3/5*8</f>
        <v>0</v>
      </c>
      <c r="FD220" s="21">
        <f t="shared" ref="FD220:FJ220" si="325">FC3/5*8</f>
        <v>8</v>
      </c>
      <c r="FE220" s="21">
        <f t="shared" si="325"/>
        <v>8</v>
      </c>
      <c r="FF220" s="21">
        <f t="shared" si="325"/>
        <v>0</v>
      </c>
      <c r="FG220" s="21">
        <f t="shared" si="325"/>
        <v>0</v>
      </c>
      <c r="FH220" s="21">
        <f t="shared" si="325"/>
        <v>0</v>
      </c>
      <c r="FI220" s="21">
        <f t="shared" si="325"/>
        <v>0</v>
      </c>
      <c r="FJ220" s="21">
        <f t="shared" si="325"/>
        <v>0</v>
      </c>
      <c r="FO220" s="180" t="s">
        <v>586</v>
      </c>
      <c r="FP220" s="21">
        <v>0</v>
      </c>
      <c r="FQ220" s="21">
        <v>0</v>
      </c>
      <c r="FR220" s="21">
        <f>FQ3/5*8</f>
        <v>0</v>
      </c>
      <c r="FS220" s="21">
        <f t="shared" ref="FS220:FY220" si="326">FR3/5*8</f>
        <v>8</v>
      </c>
      <c r="FT220" s="21">
        <f t="shared" si="326"/>
        <v>0</v>
      </c>
      <c r="FU220" s="21">
        <f t="shared" si="326"/>
        <v>0</v>
      </c>
      <c r="FV220" s="21">
        <f t="shared" si="326"/>
        <v>0</v>
      </c>
      <c r="FW220" s="21">
        <f t="shared" si="326"/>
        <v>0</v>
      </c>
      <c r="FX220" s="21">
        <f t="shared" si="326"/>
        <v>0</v>
      </c>
      <c r="FY220" s="21">
        <f t="shared" si="326"/>
        <v>0</v>
      </c>
      <c r="GD220" s="180" t="s">
        <v>586</v>
      </c>
      <c r="GE220" s="21">
        <v>0</v>
      </c>
      <c r="GF220" s="21">
        <v>0</v>
      </c>
      <c r="GG220" s="21">
        <f>GF3/5*8</f>
        <v>0</v>
      </c>
      <c r="GH220" s="21">
        <f t="shared" ref="GH220:GN220" si="327">GG3/5*8</f>
        <v>8</v>
      </c>
      <c r="GI220" s="21">
        <f t="shared" si="327"/>
        <v>0</v>
      </c>
      <c r="GJ220" s="21">
        <f t="shared" si="327"/>
        <v>0</v>
      </c>
      <c r="GK220" s="21">
        <f t="shared" si="327"/>
        <v>0</v>
      </c>
      <c r="GL220" s="21">
        <f t="shared" si="327"/>
        <v>0</v>
      </c>
      <c r="GM220" s="21">
        <f t="shared" si="327"/>
        <v>0</v>
      </c>
      <c r="GN220" s="21">
        <f t="shared" si="327"/>
        <v>0</v>
      </c>
      <c r="GS220" s="180" t="s">
        <v>586</v>
      </c>
      <c r="GT220" s="21">
        <v>0</v>
      </c>
      <c r="GU220" s="21">
        <v>0</v>
      </c>
      <c r="GV220" s="21">
        <f>GU3/5*8</f>
        <v>0</v>
      </c>
      <c r="GW220" s="21">
        <f t="shared" ref="GW220:HC220" si="328">GV3/5*8</f>
        <v>8</v>
      </c>
      <c r="GX220" s="21">
        <f t="shared" si="328"/>
        <v>0</v>
      </c>
      <c r="GY220" s="21">
        <f t="shared" si="328"/>
        <v>0</v>
      </c>
      <c r="GZ220" s="21">
        <f t="shared" si="328"/>
        <v>0</v>
      </c>
      <c r="HA220" s="21">
        <f t="shared" si="328"/>
        <v>0</v>
      </c>
      <c r="HB220" s="21">
        <f t="shared" si="328"/>
        <v>0</v>
      </c>
      <c r="HC220" s="21">
        <f t="shared" si="328"/>
        <v>0</v>
      </c>
      <c r="HG220" s="197"/>
      <c r="HH220" s="21"/>
    </row>
    <row r="221" spans="1:216" x14ac:dyDescent="0.25">
      <c r="A221" s="8"/>
      <c r="B221" s="5" t="s">
        <v>116</v>
      </c>
      <c r="C221" s="8"/>
      <c r="D221" s="6" t="s">
        <v>124</v>
      </c>
      <c r="E221" s="8" t="s">
        <v>125</v>
      </c>
      <c r="F221" s="5"/>
      <c r="G221" s="5"/>
      <c r="H221" s="5"/>
      <c r="I221" s="5"/>
      <c r="J221" s="5"/>
      <c r="K221" s="9"/>
      <c r="L221" s="7" t="str">
        <f>IF(E222=$AC$5,"-------",IF(E222=$AC$6,"-------",IF(E222=$AC$7,"PCB70",IF(E222=$AC$8,"PCS70",0))))</f>
        <v>-------</v>
      </c>
      <c r="M221" s="11" t="str">
        <f>INDEX(cennik!$C$2:$L$531,MATCH($L221,cennik!$B$2:$B$524,0),MATCH(M$2,cennik!$C$1:$L$1,0))</f>
        <v>-------</v>
      </c>
      <c r="N221" s="11">
        <f>INDEX(cennik!$C$2:$L$531,MATCH($L221,cennik!$B$2:$B$524,0),MATCH(N$2,cennik!$C$1:$L$1,0))</f>
        <v>0</v>
      </c>
      <c r="O221" s="11">
        <f>IF(E222=AC7,SUM(O222:O223),IF(E222=AC8,SUM(O222:O223),IF(E222=AC5,0,IF(E222=AC6,0,0))))</f>
        <v>0</v>
      </c>
      <c r="P221" s="34">
        <f>INDEX(cennik!$C$2:$L$531,MATCH($L221,cennik!$B$2:$B$524,0),MATCH(P$2,cennik!$C$1:$L$1,0))</f>
        <v>0</v>
      </c>
      <c r="Q221" s="34">
        <f>O221*P221</f>
        <v>0</v>
      </c>
      <c r="R221" s="35">
        <f t="shared" si="322"/>
        <v>0</v>
      </c>
      <c r="S221" s="34">
        <f t="shared" si="323"/>
        <v>0</v>
      </c>
      <c r="T221" s="34">
        <f>O221*S221</f>
        <v>0</v>
      </c>
      <c r="U221" s="34">
        <f>INDEX(cennik!$C$2:$L$531,MATCH($L221,cennik!$B$2:$B$524,0),MATCH(U$2,cennik!$C$1:$L$1,0))*O221</f>
        <v>0</v>
      </c>
      <c r="W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231,$BI$200:$BU$200,0),MATCH($E$220,$AE$33:$AE$47,0))*$C231</f>
        <v>0</v>
      </c>
      <c r="X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231,$BI$200:$BU$200,0),MATCH($E$220,$AE$33:$AE$47,0))*$C231</f>
        <v>0</v>
      </c>
      <c r="Y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231,$BI$200:$BU$200,0),MATCH($E$220,$AE$33:$AE$47,0))*$C231</f>
        <v>0</v>
      </c>
      <c r="Z221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231,$BI$200:$BU$200,0),MATCH($E$220,$AE$33:$AE$47,0))*$C231</f>
        <v>0</v>
      </c>
      <c r="AA221" s="21">
        <f t="shared" si="316"/>
        <v>0</v>
      </c>
      <c r="AB221" s="21">
        <f t="shared" si="317"/>
        <v>0</v>
      </c>
      <c r="AC221" s="21">
        <f t="shared" si="318"/>
        <v>0</v>
      </c>
      <c r="AD221" s="21">
        <f t="shared" si="311"/>
        <v>0</v>
      </c>
      <c r="AE221" s="21">
        <f t="shared" si="319"/>
        <v>0</v>
      </c>
      <c r="AF221" s="21">
        <f t="shared" si="320"/>
        <v>0</v>
      </c>
      <c r="AG221" s="21">
        <f t="shared" si="321"/>
        <v>1</v>
      </c>
      <c r="AR221" s="180" t="s">
        <v>715</v>
      </c>
      <c r="AS221" s="180" t="s">
        <v>594</v>
      </c>
      <c r="AT221" s="180" t="s">
        <v>596</v>
      </c>
      <c r="AU221" s="180" t="s">
        <v>594</v>
      </c>
      <c r="AV221" s="180" t="s">
        <v>594</v>
      </c>
      <c r="BH221" s="196" t="s">
        <v>523</v>
      </c>
      <c r="BI221" s="21">
        <v>0</v>
      </c>
      <c r="BJ221" s="21">
        <v>0</v>
      </c>
      <c r="BK221" s="21">
        <v>10</v>
      </c>
      <c r="BL221" s="21">
        <v>5</v>
      </c>
      <c r="BM221" s="21">
        <v>15</v>
      </c>
      <c r="BN221" s="21">
        <v>5</v>
      </c>
      <c r="BO221" s="21">
        <v>0</v>
      </c>
      <c r="BP221" s="21">
        <v>10</v>
      </c>
      <c r="BQ221" s="21">
        <v>0</v>
      </c>
      <c r="BR221" s="21">
        <v>15</v>
      </c>
      <c r="BS221" s="21">
        <v>5</v>
      </c>
      <c r="BT221" s="21">
        <v>15</v>
      </c>
      <c r="BU221" s="21">
        <v>10</v>
      </c>
      <c r="BW221" s="180" t="s">
        <v>523</v>
      </c>
      <c r="BX221" s="180">
        <v>0</v>
      </c>
      <c r="BY221" s="180">
        <v>0</v>
      </c>
      <c r="BZ221" s="180">
        <v>10</v>
      </c>
      <c r="CA221" s="180">
        <v>0</v>
      </c>
      <c r="CB221" s="180">
        <v>10</v>
      </c>
      <c r="CC221" s="180">
        <v>0</v>
      </c>
      <c r="CD221" s="180">
        <v>10</v>
      </c>
      <c r="CE221" s="180">
        <v>0</v>
      </c>
      <c r="CF221" s="180">
        <v>10</v>
      </c>
      <c r="CG221" s="180">
        <v>0</v>
      </c>
      <c r="CH221" s="180">
        <v>10</v>
      </c>
      <c r="CI221" s="180">
        <v>0</v>
      </c>
      <c r="CJ221" s="180">
        <v>10</v>
      </c>
      <c r="DA221" s="198"/>
      <c r="EJ221" s="196"/>
      <c r="EK221" s="21" t="s">
        <v>522</v>
      </c>
      <c r="EL221" s="21">
        <v>0</v>
      </c>
      <c r="EM221" s="21">
        <v>0</v>
      </c>
      <c r="EN221" s="21">
        <f t="shared" ref="EN221:EU223" si="329">EM4/5*8</f>
        <v>0</v>
      </c>
      <c r="EO221" s="21">
        <f t="shared" si="329"/>
        <v>8</v>
      </c>
      <c r="EP221" s="21">
        <f t="shared" si="329"/>
        <v>0</v>
      </c>
      <c r="EQ221" s="21">
        <f t="shared" si="329"/>
        <v>16</v>
      </c>
      <c r="ER221" s="21">
        <f t="shared" si="329"/>
        <v>0</v>
      </c>
      <c r="ES221" s="21">
        <f t="shared" si="329"/>
        <v>16</v>
      </c>
      <c r="ET221" s="21">
        <f t="shared" si="329"/>
        <v>0</v>
      </c>
      <c r="EU221" s="21">
        <f t="shared" si="329"/>
        <v>16</v>
      </c>
      <c r="EV221" s="21"/>
      <c r="EW221" s="21"/>
      <c r="EX221" s="21"/>
      <c r="EY221" s="21"/>
      <c r="EZ221" s="21" t="s">
        <v>522</v>
      </c>
      <c r="FA221" s="21">
        <v>0</v>
      </c>
      <c r="FB221" s="21">
        <v>0</v>
      </c>
      <c r="FC221" s="21">
        <f t="shared" ref="FC221:FJ221" si="330">FB4/5*8</f>
        <v>0</v>
      </c>
      <c r="FD221" s="21">
        <f t="shared" si="330"/>
        <v>0</v>
      </c>
      <c r="FE221" s="21">
        <f t="shared" si="330"/>
        <v>0</v>
      </c>
      <c r="FF221" s="21">
        <f t="shared" si="330"/>
        <v>16</v>
      </c>
      <c r="FG221" s="21">
        <f t="shared" si="330"/>
        <v>8</v>
      </c>
      <c r="FH221" s="21">
        <f t="shared" si="330"/>
        <v>16</v>
      </c>
      <c r="FI221" s="21">
        <f t="shared" si="330"/>
        <v>16</v>
      </c>
      <c r="FJ221" s="21">
        <f t="shared" si="330"/>
        <v>0</v>
      </c>
      <c r="FK221" s="21"/>
      <c r="FL221" s="21"/>
      <c r="FM221" s="21"/>
      <c r="FN221" s="21"/>
      <c r="FO221" s="21" t="s">
        <v>522</v>
      </c>
      <c r="FP221" s="21">
        <v>0</v>
      </c>
      <c r="FQ221" s="21">
        <v>0</v>
      </c>
      <c r="FR221" s="21">
        <f t="shared" ref="FR221:FY221" si="331">FQ4/5*8</f>
        <v>0</v>
      </c>
      <c r="FS221" s="21">
        <f t="shared" si="331"/>
        <v>0</v>
      </c>
      <c r="FT221" s="21">
        <f t="shared" si="331"/>
        <v>8</v>
      </c>
      <c r="FU221" s="21">
        <f t="shared" si="331"/>
        <v>0</v>
      </c>
      <c r="FV221" s="21">
        <f t="shared" si="331"/>
        <v>16</v>
      </c>
      <c r="FW221" s="21">
        <f t="shared" si="331"/>
        <v>0</v>
      </c>
      <c r="FX221" s="21">
        <f t="shared" si="331"/>
        <v>16</v>
      </c>
      <c r="FY221" s="21">
        <f t="shared" si="331"/>
        <v>8</v>
      </c>
      <c r="FZ221" s="21"/>
      <c r="GA221" s="21"/>
      <c r="GB221" s="21"/>
      <c r="GC221" s="21"/>
      <c r="GD221" s="21" t="s">
        <v>522</v>
      </c>
      <c r="GE221" s="21">
        <v>0</v>
      </c>
      <c r="GF221" s="21">
        <v>0</v>
      </c>
      <c r="GG221" s="21">
        <f t="shared" ref="GG221:GN221" si="332">GF4/5*8</f>
        <v>8</v>
      </c>
      <c r="GH221" s="21">
        <f t="shared" si="332"/>
        <v>0</v>
      </c>
      <c r="GI221" s="21">
        <f t="shared" si="332"/>
        <v>16</v>
      </c>
      <c r="GJ221" s="21">
        <f t="shared" si="332"/>
        <v>0</v>
      </c>
      <c r="GK221" s="21">
        <f t="shared" si="332"/>
        <v>16</v>
      </c>
      <c r="GL221" s="21">
        <f t="shared" si="332"/>
        <v>16</v>
      </c>
      <c r="GM221" s="21">
        <f t="shared" si="332"/>
        <v>8</v>
      </c>
      <c r="GN221" s="21">
        <f t="shared" si="332"/>
        <v>16</v>
      </c>
      <c r="GO221" s="21"/>
      <c r="GP221" s="21"/>
      <c r="GQ221" s="21"/>
      <c r="GR221" s="21"/>
      <c r="GS221" s="21" t="s">
        <v>522</v>
      </c>
      <c r="GT221" s="21">
        <v>0</v>
      </c>
      <c r="GU221" s="21">
        <v>0</v>
      </c>
      <c r="GV221" s="21">
        <f t="shared" ref="GV221:HC221" si="333">GU4/5*8</f>
        <v>8</v>
      </c>
      <c r="GW221" s="21">
        <f t="shared" si="333"/>
        <v>0</v>
      </c>
      <c r="GX221" s="21">
        <f t="shared" si="333"/>
        <v>16</v>
      </c>
      <c r="GY221" s="21">
        <f t="shared" si="333"/>
        <v>16</v>
      </c>
      <c r="GZ221" s="21">
        <f t="shared" si="333"/>
        <v>0</v>
      </c>
      <c r="HA221" s="21">
        <f t="shared" si="333"/>
        <v>16</v>
      </c>
      <c r="HB221" s="21">
        <f t="shared" si="333"/>
        <v>8</v>
      </c>
      <c r="HC221" s="21">
        <f t="shared" si="333"/>
        <v>8</v>
      </c>
      <c r="HD221" s="21"/>
      <c r="HE221" s="21"/>
      <c r="HF221" s="21"/>
      <c r="HG221" s="198"/>
    </row>
    <row r="222" spans="1:216" x14ac:dyDescent="0.25">
      <c r="A222" s="8"/>
      <c r="B222" s="5" t="s">
        <v>116</v>
      </c>
      <c r="C222" s="8"/>
      <c r="D222" s="6" t="s">
        <v>307</v>
      </c>
      <c r="E222" s="8" t="s">
        <v>314</v>
      </c>
      <c r="F222" s="5"/>
      <c r="G222" s="5"/>
      <c r="H222" s="5"/>
      <c r="I222" s="5"/>
      <c r="J222" s="5"/>
      <c r="K222" s="9"/>
      <c r="L222" s="6" t="str">
        <f>IF(E222=$AC$5,"CWT70H50/3NMC",IF(E222=$AC$6,"CWT70H50/2NMC",IF(E222=$AC$7,"CWT70H50/1NMC",IF(E222=$AC$8,"CWT70H50/1NMC",0))))</f>
        <v>CWT70H50/3NMC</v>
      </c>
      <c r="M222" s="11">
        <f>INDEX(cennik!$C$2:$L$531,MATCH($L222,cennik!$B$2:$B$524,0),MATCH(M$2,cennik!$C$1:$L$1,0))</f>
        <v>867830</v>
      </c>
      <c r="N222" s="11" t="str">
        <f>INDEX(cennik!$C$2:$L$531,MATCH($L222,cennik!$B$2:$B$524,0),MATCH(N$2,cennik!$C$1:$L$1,0))</f>
        <v>szt.</v>
      </c>
      <c r="O222" s="11">
        <f>SUM(AE207:AE222)</f>
        <v>0</v>
      </c>
      <c r="P222" s="34">
        <f>INDEX(cennik!$C$2:$L$531,MATCH($L222,cennik!$B$2:$B$524,0),MATCH(P$2,cennik!$C$1:$L$1,0))</f>
        <v>151.83000000000001</v>
      </c>
      <c r="Q222" s="34">
        <f t="shared" ref="Q222:Q247" si="334">O222*P222</f>
        <v>0</v>
      </c>
      <c r="R222" s="35">
        <f t="shared" si="322"/>
        <v>0</v>
      </c>
      <c r="S222" s="34">
        <f t="shared" si="323"/>
        <v>151.83000000000001</v>
      </c>
      <c r="T222" s="34">
        <f t="shared" ref="T222:T247" si="335">O222*S222</f>
        <v>0</v>
      </c>
      <c r="U222" s="34">
        <f>INDEX(cennik!$C$2:$L$531,MATCH($L222,cennik!$B$2:$B$524,0),MATCH(U$2,cennik!$C$1:$L$1,0))*O222</f>
        <v>0</v>
      </c>
      <c r="W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232,$BI$200:$BU$200,0),MATCH($E$220,$AE$33:$AE$47,0))*$C232</f>
        <v>0</v>
      </c>
      <c r="X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232,$BI$200:$BU$200,0),MATCH($E$220,$AE$33:$AE$47,0))*$C232</f>
        <v>0</v>
      </c>
      <c r="Y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232,$BI$200:$BU$200,0),MATCH($E$220,$AE$33:$AE$47,0))*$C232</f>
        <v>0</v>
      </c>
      <c r="Z222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232,$BI$200:$BU$200,0),MATCH($E$220,$AE$33:$AE$47,0))*$C232</f>
        <v>0</v>
      </c>
      <c r="AA222" s="21">
        <f t="shared" si="316"/>
        <v>0</v>
      </c>
      <c r="AB222" s="21">
        <f t="shared" si="317"/>
        <v>0</v>
      </c>
      <c r="AC222" s="21">
        <f t="shared" si="318"/>
        <v>0</v>
      </c>
      <c r="AD222" s="21">
        <f t="shared" si="311"/>
        <v>0</v>
      </c>
      <c r="AE222" s="21">
        <f t="shared" si="319"/>
        <v>0</v>
      </c>
      <c r="AF222" s="21">
        <f t="shared" si="320"/>
        <v>0</v>
      </c>
      <c r="AG222" s="21">
        <f t="shared" si="321"/>
        <v>1</v>
      </c>
      <c r="BH222" s="20" t="s">
        <v>779</v>
      </c>
      <c r="BI222" s="21">
        <v>0</v>
      </c>
      <c r="BJ222" s="21">
        <v>0</v>
      </c>
      <c r="BK222" s="21">
        <v>5</v>
      </c>
      <c r="BL222" s="21">
        <v>5</v>
      </c>
      <c r="BM222" s="21">
        <v>10</v>
      </c>
      <c r="BN222" s="21">
        <v>10</v>
      </c>
      <c r="BO222" s="21">
        <v>10</v>
      </c>
      <c r="BP222" s="21">
        <v>15</v>
      </c>
      <c r="BQ222" s="21">
        <v>15</v>
      </c>
      <c r="BR222" s="21">
        <v>20</v>
      </c>
      <c r="BS222" s="21">
        <v>20</v>
      </c>
      <c r="BT222" s="21">
        <v>25</v>
      </c>
      <c r="BU222" s="21">
        <v>25</v>
      </c>
      <c r="BW222" s="20" t="s">
        <v>779</v>
      </c>
      <c r="BX222" s="180">
        <v>0</v>
      </c>
      <c r="BY222" s="180">
        <v>0</v>
      </c>
      <c r="BZ222" s="180">
        <v>5</v>
      </c>
      <c r="CA222" s="180">
        <v>5</v>
      </c>
      <c r="CB222" s="180">
        <v>10</v>
      </c>
      <c r="CC222" s="180">
        <v>10</v>
      </c>
      <c r="CD222" s="180">
        <v>15</v>
      </c>
      <c r="CE222" s="180">
        <v>15</v>
      </c>
      <c r="CF222" s="180">
        <v>20</v>
      </c>
      <c r="CG222" s="180">
        <v>20</v>
      </c>
      <c r="CH222" s="180">
        <v>25</v>
      </c>
      <c r="CI222" s="180">
        <v>25</v>
      </c>
      <c r="CJ222" s="180">
        <v>30</v>
      </c>
      <c r="DA222" s="198"/>
      <c r="EJ222" s="196"/>
      <c r="EK222" s="21" t="s">
        <v>523</v>
      </c>
      <c r="EL222" s="21">
        <v>0</v>
      </c>
      <c r="EM222" s="21">
        <v>8</v>
      </c>
      <c r="EN222" s="21">
        <f t="shared" si="329"/>
        <v>8</v>
      </c>
      <c r="EO222" s="21">
        <f t="shared" si="329"/>
        <v>0</v>
      </c>
      <c r="EP222" s="21">
        <f t="shared" si="329"/>
        <v>0</v>
      </c>
      <c r="EQ222" s="21">
        <f t="shared" si="329"/>
        <v>0</v>
      </c>
      <c r="ER222" s="21">
        <f t="shared" si="329"/>
        <v>24</v>
      </c>
      <c r="ES222" s="21">
        <f t="shared" si="329"/>
        <v>8</v>
      </c>
      <c r="ET222" s="21">
        <f t="shared" si="329"/>
        <v>32</v>
      </c>
      <c r="EU222" s="21">
        <f t="shared" si="329"/>
        <v>16</v>
      </c>
      <c r="EV222" s="21"/>
      <c r="EW222" s="21"/>
      <c r="EX222" s="21"/>
      <c r="EY222" s="21"/>
      <c r="EZ222" s="21" t="s">
        <v>523</v>
      </c>
      <c r="FA222" s="21">
        <v>0</v>
      </c>
      <c r="FB222" s="21">
        <v>8</v>
      </c>
      <c r="FC222" s="21">
        <f t="shared" ref="FC222:FJ222" si="336">FB5/5*8</f>
        <v>8</v>
      </c>
      <c r="FD222" s="21">
        <f t="shared" si="336"/>
        <v>0</v>
      </c>
      <c r="FE222" s="21">
        <f t="shared" si="336"/>
        <v>0</v>
      </c>
      <c r="FF222" s="21">
        <f t="shared" si="336"/>
        <v>0</v>
      </c>
      <c r="FG222" s="21">
        <f t="shared" si="336"/>
        <v>16</v>
      </c>
      <c r="FH222" s="21">
        <f t="shared" si="336"/>
        <v>8</v>
      </c>
      <c r="FI222" s="21">
        <f t="shared" si="336"/>
        <v>16</v>
      </c>
      <c r="FJ222" s="21">
        <f t="shared" si="336"/>
        <v>40</v>
      </c>
      <c r="FK222" s="21"/>
      <c r="FL222" s="21"/>
      <c r="FM222" s="21"/>
      <c r="FN222" s="21"/>
      <c r="FO222" s="21" t="s">
        <v>523</v>
      </c>
      <c r="FP222" s="21">
        <v>0</v>
      </c>
      <c r="FQ222" s="21">
        <v>8</v>
      </c>
      <c r="FR222" s="21">
        <f t="shared" ref="FR222:FY222" si="337">FQ5/5*8</f>
        <v>8</v>
      </c>
      <c r="FS222" s="21">
        <f t="shared" si="337"/>
        <v>0</v>
      </c>
      <c r="FT222" s="21">
        <f t="shared" si="337"/>
        <v>8</v>
      </c>
      <c r="FU222" s="21">
        <f t="shared" si="337"/>
        <v>24</v>
      </c>
      <c r="FV222" s="21">
        <f t="shared" si="337"/>
        <v>8</v>
      </c>
      <c r="FW222" s="21">
        <f t="shared" si="337"/>
        <v>32</v>
      </c>
      <c r="FX222" s="21">
        <f t="shared" si="337"/>
        <v>16</v>
      </c>
      <c r="FY222" s="21">
        <f t="shared" si="337"/>
        <v>32</v>
      </c>
      <c r="FZ222" s="21"/>
      <c r="GA222" s="21"/>
      <c r="GB222" s="21"/>
      <c r="GC222" s="21"/>
      <c r="GD222" s="21" t="s">
        <v>523</v>
      </c>
      <c r="GE222" s="21">
        <v>0</v>
      </c>
      <c r="GF222" s="21">
        <v>8</v>
      </c>
      <c r="GG222" s="21">
        <f t="shared" ref="GG222:GN222" si="338">GF5/5*8</f>
        <v>0</v>
      </c>
      <c r="GH222" s="21">
        <f t="shared" si="338"/>
        <v>0</v>
      </c>
      <c r="GI222" s="21">
        <f t="shared" si="338"/>
        <v>0</v>
      </c>
      <c r="GJ222" s="21">
        <f t="shared" si="338"/>
        <v>24</v>
      </c>
      <c r="GK222" s="21">
        <f t="shared" si="338"/>
        <v>8</v>
      </c>
      <c r="GL222" s="21">
        <f t="shared" si="338"/>
        <v>16</v>
      </c>
      <c r="GM222" s="21">
        <f t="shared" si="338"/>
        <v>32</v>
      </c>
      <c r="GN222" s="21">
        <f t="shared" si="338"/>
        <v>24</v>
      </c>
      <c r="GO222" s="21"/>
      <c r="GP222" s="21"/>
      <c r="GQ222" s="21"/>
      <c r="GR222" s="21"/>
      <c r="GS222" s="21" t="s">
        <v>523</v>
      </c>
      <c r="GT222" s="21">
        <v>0</v>
      </c>
      <c r="GU222" s="21">
        <v>8</v>
      </c>
      <c r="GV222" s="21">
        <f t="shared" ref="GV222:HC222" si="339">GU5/5*8</f>
        <v>0</v>
      </c>
      <c r="GW222" s="21">
        <f t="shared" si="339"/>
        <v>0</v>
      </c>
      <c r="GX222" s="21">
        <f t="shared" si="339"/>
        <v>0</v>
      </c>
      <c r="GY222" s="21">
        <f t="shared" si="339"/>
        <v>8</v>
      </c>
      <c r="GZ222" s="21">
        <f t="shared" si="339"/>
        <v>32</v>
      </c>
      <c r="HA222" s="21">
        <f t="shared" si="339"/>
        <v>16</v>
      </c>
      <c r="HB222" s="21">
        <f t="shared" si="339"/>
        <v>32</v>
      </c>
      <c r="HC222" s="21">
        <f t="shared" si="339"/>
        <v>40</v>
      </c>
      <c r="HD222" s="21"/>
      <c r="HE222" s="21"/>
      <c r="HF222" s="21"/>
      <c r="HG222" s="198"/>
    </row>
    <row r="223" spans="1:216" x14ac:dyDescent="0.25">
      <c r="A223" s="8"/>
      <c r="B223" s="5" t="s">
        <v>116</v>
      </c>
      <c r="C223" s="8"/>
      <c r="D223" s="6" t="s">
        <v>315</v>
      </c>
      <c r="E223" s="8">
        <v>0</v>
      </c>
      <c r="F223" s="5"/>
      <c r="G223" s="5"/>
      <c r="H223" s="5"/>
      <c r="I223" s="5"/>
      <c r="J223" s="5" t="s">
        <v>412</v>
      </c>
      <c r="K223" s="9"/>
      <c r="L223" s="6" t="str">
        <f>INDEX((AS178:AV184,AS188:AV194),MATCH(G220,AR178:AR184,0),MATCH(E222,AS177:AV177,0),MATCH(E227,DS6:DS7,0))</f>
        <v>CWT70H50/4,4NMC</v>
      </c>
      <c r="M223" s="11">
        <f>INDEX(cennik!$C$2:$L$531,MATCH($L223,cennik!$B$2:$B$524,0),MATCH(M$2,cennik!$C$1:$L$1,0))</f>
        <v>867844</v>
      </c>
      <c r="N223" s="11" t="str">
        <f>INDEX(cennik!$C$2:$L$531,MATCH($L223,cennik!$B$2:$B$524,0),MATCH(N$2,cennik!$C$1:$L$1,0))</f>
        <v>szt.</v>
      </c>
      <c r="O223" s="11">
        <f>O222</f>
        <v>0</v>
      </c>
      <c r="P223" s="34">
        <f>INDEX(cennik!$C$2:$L$531,MATCH($L223,cennik!$B$2:$B$524,0),MATCH(P$2,cennik!$C$1:$L$1,0))</f>
        <v>222.68</v>
      </c>
      <c r="Q223" s="34">
        <f t="shared" si="334"/>
        <v>0</v>
      </c>
      <c r="R223" s="35">
        <f t="shared" si="322"/>
        <v>0</v>
      </c>
      <c r="S223" s="34">
        <f t="shared" si="323"/>
        <v>222.68</v>
      </c>
      <c r="T223" s="34">
        <f t="shared" si="335"/>
        <v>0</v>
      </c>
      <c r="U223" s="34">
        <f>INDEX(cennik!$C$2:$L$531,MATCH($L223,cennik!$B$2:$B$524,0),MATCH(U$2,cennik!$C$1:$L$1,0))*O223</f>
        <v>0</v>
      </c>
      <c r="W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233,$BI$200:$BU$200,0),MATCH($E$220,$AE$33:$AE$47,0))*$C233</f>
        <v>0</v>
      </c>
      <c r="X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233,$BI$200:$BU$200,0),MATCH($E$220,$AE$33:$AE$47,0))*$C233</f>
        <v>0</v>
      </c>
      <c r="Y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233,$BI$200:$BU$200,0),MATCH($E$220,$AE$33:$AE$47,0))*$C233</f>
        <v>0</v>
      </c>
      <c r="Z223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233,$BI$200:$BU$200,0),MATCH($E$220,$AE$33:$AE$47,0))*$C233</f>
        <v>0</v>
      </c>
      <c r="AA223" s="21"/>
      <c r="AB223" s="21"/>
      <c r="AC223" s="21"/>
      <c r="AD223" s="21"/>
      <c r="AE223" s="21"/>
      <c r="AF223" s="21"/>
      <c r="AR223" s="180" t="s">
        <v>716</v>
      </c>
      <c r="BH223" s="212"/>
      <c r="DA223" s="198"/>
      <c r="EJ223" s="196"/>
      <c r="EK223" s="20" t="s">
        <v>779</v>
      </c>
      <c r="EL223" s="21">
        <v>0</v>
      </c>
      <c r="EM223" s="21">
        <v>0</v>
      </c>
      <c r="EN223" s="21">
        <f t="shared" si="329"/>
        <v>0</v>
      </c>
      <c r="EO223" s="21">
        <f t="shared" si="329"/>
        <v>0</v>
      </c>
      <c r="EP223" s="21">
        <f t="shared" si="329"/>
        <v>0</v>
      </c>
      <c r="EQ223" s="21">
        <f t="shared" si="329"/>
        <v>8</v>
      </c>
      <c r="ER223" s="21">
        <f t="shared" si="329"/>
        <v>16</v>
      </c>
      <c r="ES223" s="21">
        <f t="shared" si="329"/>
        <v>16</v>
      </c>
      <c r="ET223" s="21">
        <f t="shared" si="329"/>
        <v>24</v>
      </c>
      <c r="EU223" s="21">
        <f t="shared" si="329"/>
        <v>24</v>
      </c>
      <c r="EV223" s="21"/>
      <c r="EW223" s="21"/>
      <c r="EX223" s="21"/>
      <c r="EY223" s="21"/>
      <c r="EZ223" s="20" t="s">
        <v>779</v>
      </c>
      <c r="FA223" s="21">
        <v>0</v>
      </c>
      <c r="FB223" s="21">
        <v>0</v>
      </c>
      <c r="FC223" s="21">
        <f t="shared" ref="FC223:FJ223" si="340">FB6/5*8</f>
        <v>0</v>
      </c>
      <c r="FD223" s="21">
        <f t="shared" si="340"/>
        <v>0</v>
      </c>
      <c r="FE223" s="21">
        <f t="shared" si="340"/>
        <v>0</v>
      </c>
      <c r="FF223" s="21">
        <f t="shared" si="340"/>
        <v>8</v>
      </c>
      <c r="FG223" s="21">
        <f t="shared" si="340"/>
        <v>16</v>
      </c>
      <c r="FH223" s="21">
        <f t="shared" si="340"/>
        <v>16</v>
      </c>
      <c r="FI223" s="21">
        <f t="shared" si="340"/>
        <v>24</v>
      </c>
      <c r="FJ223" s="21">
        <f t="shared" si="340"/>
        <v>32</v>
      </c>
      <c r="FK223" s="21"/>
      <c r="FL223" s="21"/>
      <c r="FM223" s="21"/>
      <c r="FN223" s="21"/>
      <c r="FO223" s="20" t="s">
        <v>779</v>
      </c>
      <c r="FP223" s="21">
        <v>0</v>
      </c>
      <c r="FQ223" s="21">
        <v>0</v>
      </c>
      <c r="FR223" s="21">
        <f t="shared" ref="FR223:FY223" si="341">FQ6/5*8</f>
        <v>0</v>
      </c>
      <c r="FS223" s="21">
        <f t="shared" si="341"/>
        <v>0</v>
      </c>
      <c r="FT223" s="21">
        <f t="shared" si="341"/>
        <v>8</v>
      </c>
      <c r="FU223" s="21">
        <f t="shared" si="341"/>
        <v>16</v>
      </c>
      <c r="FV223" s="21">
        <f t="shared" si="341"/>
        <v>16</v>
      </c>
      <c r="FW223" s="21">
        <f t="shared" si="341"/>
        <v>24</v>
      </c>
      <c r="FX223" s="21">
        <f t="shared" si="341"/>
        <v>24</v>
      </c>
      <c r="FY223" s="21">
        <f t="shared" si="341"/>
        <v>32</v>
      </c>
      <c r="FZ223" s="21"/>
      <c r="GA223" s="21"/>
      <c r="GB223" s="21"/>
      <c r="GC223" s="21"/>
      <c r="GD223" s="20" t="s">
        <v>779</v>
      </c>
      <c r="GE223" s="21">
        <v>0</v>
      </c>
      <c r="GF223" s="21">
        <v>0</v>
      </c>
      <c r="GG223" s="21">
        <f t="shared" ref="GG223:GN223" si="342">GF6/5*8</f>
        <v>0</v>
      </c>
      <c r="GH223" s="21">
        <f t="shared" si="342"/>
        <v>0</v>
      </c>
      <c r="GI223" s="21">
        <f t="shared" si="342"/>
        <v>8</v>
      </c>
      <c r="GJ223" s="21">
        <f t="shared" si="342"/>
        <v>16</v>
      </c>
      <c r="GK223" s="21">
        <f t="shared" si="342"/>
        <v>16</v>
      </c>
      <c r="GL223" s="21">
        <f t="shared" si="342"/>
        <v>24</v>
      </c>
      <c r="GM223" s="21">
        <f t="shared" si="342"/>
        <v>32</v>
      </c>
      <c r="GN223" s="21">
        <f t="shared" si="342"/>
        <v>32</v>
      </c>
      <c r="GO223" s="21"/>
      <c r="GP223" s="21"/>
      <c r="GQ223" s="21"/>
      <c r="GR223" s="21"/>
      <c r="GS223" s="20" t="s">
        <v>779</v>
      </c>
      <c r="GT223" s="21">
        <v>0</v>
      </c>
      <c r="GU223" s="21">
        <v>0</v>
      </c>
      <c r="GV223" s="21">
        <f t="shared" ref="GV223:HC223" si="343">GU6/5*8</f>
        <v>0</v>
      </c>
      <c r="GW223" s="21">
        <f t="shared" si="343"/>
        <v>0</v>
      </c>
      <c r="GX223" s="21">
        <f t="shared" si="343"/>
        <v>8</v>
      </c>
      <c r="GY223" s="21">
        <f t="shared" si="343"/>
        <v>16</v>
      </c>
      <c r="GZ223" s="21">
        <f t="shared" si="343"/>
        <v>24</v>
      </c>
      <c r="HA223" s="21">
        <f t="shared" si="343"/>
        <v>24</v>
      </c>
      <c r="HB223" s="21">
        <f t="shared" si="343"/>
        <v>32</v>
      </c>
      <c r="HC223" s="21">
        <f t="shared" si="343"/>
        <v>40</v>
      </c>
      <c r="HD223" s="21"/>
      <c r="HE223" s="21"/>
      <c r="HF223" s="21"/>
      <c r="HG223" s="198"/>
    </row>
    <row r="224" spans="1:216" x14ac:dyDescent="0.25">
      <c r="A224" s="8"/>
      <c r="B224" s="5" t="s">
        <v>116</v>
      </c>
      <c r="C224" s="8"/>
      <c r="D224" s="6" t="s">
        <v>162</v>
      </c>
      <c r="E224" s="8">
        <v>0</v>
      </c>
      <c r="F224" s="5"/>
      <c r="G224" s="5"/>
      <c r="H224" s="5"/>
      <c r="I224" s="5"/>
      <c r="J224" s="5" t="s">
        <v>163</v>
      </c>
      <c r="K224" s="9"/>
      <c r="L224" s="6" t="str">
        <f>IF(E227=25,"-------",IF(E227=30,(INDEX((BC188:BF194),MATCH(G220,BB188:BB194,0),MATCH(E222,BC187:BF187,0))),0))</f>
        <v>-------</v>
      </c>
      <c r="M224" s="11" t="str">
        <f>INDEX(cennik!$C$2:$L$531,MATCH($L224,cennik!$B$2:$B$524,0),MATCH(M$2,cennik!$C$1:$L$1,0))</f>
        <v>-------</v>
      </c>
      <c r="N224" s="11">
        <f>INDEX(cennik!$C$2:$L$531,MATCH($L224,cennik!$B$2:$B$524,0),MATCH(N$2,cennik!$C$1:$L$1,0))</f>
        <v>0</v>
      </c>
      <c r="O224" s="11">
        <f>IF(L224="CWT70H50/2NMC",O223,0)</f>
        <v>0</v>
      </c>
      <c r="P224" s="34">
        <f>INDEX(cennik!$C$2:$L$531,MATCH($L224,cennik!$B$2:$B$524,0),MATCH(P$2,cennik!$C$1:$L$1,0))</f>
        <v>0</v>
      </c>
      <c r="Q224" s="34">
        <f t="shared" si="334"/>
        <v>0</v>
      </c>
      <c r="R224" s="35">
        <f t="shared" si="322"/>
        <v>0</v>
      </c>
      <c r="S224" s="34">
        <f t="shared" si="323"/>
        <v>0</v>
      </c>
      <c r="T224" s="34">
        <f t="shared" si="335"/>
        <v>0</v>
      </c>
      <c r="U224" s="34">
        <f>INDEX(cennik!$C$2:$L$531,MATCH($L224,cennik!$B$2:$B$524,0),MATCH(U$2,cennik!$C$1:$L$1,0))*O224</f>
        <v>0</v>
      </c>
      <c r="W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$236,$BH$201:$BH$204,0),MATCH($A234,$BI$200:$BU$200,0),MATCH($E$220,$AE$33:$AE$47,0))*$C234</f>
        <v>0</v>
      </c>
      <c r="X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$233,$BH$201:$BH$204,0),MATCH($A234,$BI$200:$BU$200,0),MATCH($E$220,$AE$33:$AE$47,0))*$C234</f>
        <v>0</v>
      </c>
      <c r="Y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$234,$BH$201:$BH$204,0),MATCH($A234,$BI$200:$BU$200,0),MATCH($E$220,$AE$33:$AE$47,0))*$C234</f>
        <v>0</v>
      </c>
      <c r="Z224" s="21">
        <f>INDEX(($BI$201:$BU$204,$BI$207:$BU$210,$BI$213:$BU$216,$BI$219:$BU$222,$BI$225:$BU$228,$BI$231:$BU$234,$BX$201:$CJ$204,$BX$207:$CJ$210,$BX$213:$CJ$216,$BX$219:$CJ$222,$BX$225:$CJ$228,$BX$231:$CJ$234,$CO$201:$DA$204,$CO$207:$DA$210,$CO$213:$DA$216),MATCH($L$235,$BH$201:$BH$204,0),MATCH($A234,$BI$200:$BU$200,0),MATCH($E$220,$AE$33:$AE$47,0))*$C234</f>
        <v>0</v>
      </c>
      <c r="AA224" s="21"/>
      <c r="AB224" s="21"/>
      <c r="AC224" s="21"/>
      <c r="AD224" s="21"/>
      <c r="AE224" s="21"/>
      <c r="AF224" s="21"/>
      <c r="AS224" s="180" t="s">
        <v>314</v>
      </c>
      <c r="AT224" s="180" t="s">
        <v>312</v>
      </c>
      <c r="AU224" s="180" t="s">
        <v>309</v>
      </c>
      <c r="AV224" s="180" t="s">
        <v>313</v>
      </c>
      <c r="BH224" s="196" t="s">
        <v>472</v>
      </c>
      <c r="BI224" s="21">
        <v>0</v>
      </c>
      <c r="BJ224" s="21">
        <v>8</v>
      </c>
      <c r="BK224" s="21">
        <v>12</v>
      </c>
      <c r="BL224" s="21">
        <v>16</v>
      </c>
      <c r="BM224" s="21">
        <v>20</v>
      </c>
      <c r="BN224" s="21">
        <v>24</v>
      </c>
      <c r="BO224" s="21">
        <v>28</v>
      </c>
      <c r="BP224" s="21">
        <v>32</v>
      </c>
      <c r="BQ224" s="21">
        <v>36</v>
      </c>
      <c r="BR224" s="21">
        <v>40</v>
      </c>
      <c r="BS224" s="21">
        <v>44</v>
      </c>
      <c r="BT224" s="21">
        <v>48</v>
      </c>
      <c r="BU224" s="21">
        <v>52</v>
      </c>
      <c r="BW224" s="180" t="s">
        <v>478</v>
      </c>
      <c r="BX224" s="180">
        <v>0</v>
      </c>
      <c r="BY224" s="180">
        <v>8</v>
      </c>
      <c r="BZ224" s="180">
        <v>12</v>
      </c>
      <c r="CA224" s="180">
        <v>16</v>
      </c>
      <c r="CB224" s="180">
        <v>20</v>
      </c>
      <c r="CC224" s="180">
        <v>24</v>
      </c>
      <c r="CD224" s="180">
        <v>28</v>
      </c>
      <c r="CE224" s="180">
        <v>32</v>
      </c>
      <c r="CF224" s="180">
        <v>36</v>
      </c>
      <c r="CG224" s="180">
        <v>40</v>
      </c>
      <c r="CH224" s="180">
        <v>44</v>
      </c>
      <c r="CI224" s="180">
        <v>48</v>
      </c>
      <c r="CJ224" s="180">
        <v>52</v>
      </c>
      <c r="DA224" s="198"/>
      <c r="EJ224" s="196"/>
      <c r="EK224" s="21"/>
      <c r="EL224" s="21"/>
      <c r="EM224" s="21"/>
      <c r="EN224" s="21"/>
      <c r="EO224" s="21"/>
      <c r="EP224" s="21"/>
      <c r="EQ224" s="21"/>
      <c r="ER224" s="21"/>
      <c r="ES224" s="21"/>
      <c r="ET224" s="21"/>
      <c r="EU224" s="21"/>
      <c r="EV224" s="21"/>
      <c r="EW224" s="21"/>
      <c r="EX224" s="21"/>
      <c r="EY224" s="21"/>
      <c r="EZ224" s="21"/>
      <c r="FA224" s="21"/>
      <c r="FB224" s="21"/>
      <c r="FC224" s="21"/>
      <c r="FD224" s="21"/>
      <c r="FE224" s="21"/>
      <c r="FF224" s="21"/>
      <c r="FG224" s="21"/>
      <c r="FH224" s="21"/>
      <c r="FI224" s="21"/>
      <c r="FJ224" s="21"/>
      <c r="FK224" s="21"/>
      <c r="FL224" s="21"/>
      <c r="FM224" s="21"/>
      <c r="FN224" s="21"/>
      <c r="FO224" s="21"/>
      <c r="FP224" s="21"/>
      <c r="FQ224" s="21"/>
      <c r="FR224" s="21"/>
      <c r="FS224" s="21"/>
      <c r="FT224" s="21"/>
      <c r="FU224" s="21"/>
      <c r="FV224" s="21"/>
      <c r="FW224" s="21"/>
      <c r="FX224" s="21"/>
      <c r="FY224" s="21"/>
      <c r="FZ224" s="21"/>
      <c r="GA224" s="21"/>
      <c r="GB224" s="21"/>
      <c r="GC224" s="21"/>
      <c r="GD224" s="21"/>
      <c r="GE224" s="21"/>
      <c r="GF224" s="21"/>
      <c r="GG224" s="21"/>
      <c r="GH224" s="21"/>
      <c r="GI224" s="21"/>
      <c r="GJ224" s="21"/>
      <c r="GK224" s="21"/>
      <c r="GL224" s="21"/>
      <c r="GM224" s="21"/>
      <c r="GN224" s="21"/>
      <c r="GO224" s="21"/>
      <c r="GP224" s="21"/>
      <c r="GQ224" s="21"/>
      <c r="GR224" s="21"/>
      <c r="GS224" s="21"/>
      <c r="GT224" s="21"/>
      <c r="GU224" s="21"/>
      <c r="GV224" s="21"/>
      <c r="GW224" s="21"/>
      <c r="GX224" s="21"/>
      <c r="GY224" s="21"/>
      <c r="GZ224" s="21"/>
      <c r="HA224" s="21"/>
      <c r="HB224" s="21"/>
      <c r="HC224" s="21"/>
      <c r="HD224" s="21"/>
      <c r="HE224" s="21"/>
      <c r="HF224" s="21"/>
      <c r="HG224" s="198"/>
    </row>
    <row r="225" spans="1:215" x14ac:dyDescent="0.25">
      <c r="A225" s="8"/>
      <c r="B225" s="5" t="s">
        <v>116</v>
      </c>
      <c r="C225" s="8"/>
      <c r="D225" s="6" t="s">
        <v>515</v>
      </c>
      <c r="E225" s="8">
        <v>0</v>
      </c>
      <c r="F225" s="5"/>
      <c r="G225" s="5"/>
      <c r="H225" s="5"/>
      <c r="I225" s="5"/>
      <c r="J225" s="5" t="s">
        <v>412</v>
      </c>
      <c r="K225" s="9"/>
      <c r="L225" s="6" t="str">
        <f>IF(L224="CWT70H50/2NMC","LCT70H50MC","-------")</f>
        <v>-------</v>
      </c>
      <c r="M225" s="11" t="str">
        <f>INDEX(cennik!$C$2:$L$531,MATCH($L225,cennik!$B$2:$B$524,0),MATCH(M$2,cennik!$C$1:$L$1,0))</f>
        <v>-------</v>
      </c>
      <c r="N225" s="11">
        <f>INDEX(cennik!$C$2:$L$531,MATCH($L225,cennik!$B$2:$B$524,0),MATCH(N$2,cennik!$C$1:$L$1,0))</f>
        <v>0</v>
      </c>
      <c r="O225" s="11">
        <f>O224</f>
        <v>0</v>
      </c>
      <c r="P225" s="34">
        <f>INDEX(cennik!$C$2:$L$531,MATCH($L225,cennik!$B$2:$B$524,0),MATCH(P$2,cennik!$C$1:$L$1,0))</f>
        <v>0</v>
      </c>
      <c r="Q225" s="34">
        <f t="shared" si="334"/>
        <v>0</v>
      </c>
      <c r="R225" s="35">
        <f t="shared" si="322"/>
        <v>0</v>
      </c>
      <c r="S225" s="34">
        <f t="shared" si="323"/>
        <v>0</v>
      </c>
      <c r="T225" s="34">
        <f t="shared" si="335"/>
        <v>0</v>
      </c>
      <c r="U225" s="34">
        <f>INDEX(cennik!$C$2:$L$531,MATCH($L225,cennik!$B$2:$B$524,0),MATCH(U$2,cennik!$C$1:$L$1,0))*O225</f>
        <v>0</v>
      </c>
      <c r="W225" s="21"/>
      <c r="X225" s="21"/>
      <c r="Y225" s="21"/>
      <c r="Z225" s="21"/>
      <c r="AA225" s="21"/>
      <c r="AB225" s="21"/>
      <c r="AC225" s="21"/>
      <c r="AD225" s="21"/>
      <c r="AE225" s="21"/>
      <c r="AF225" s="21"/>
      <c r="AR225" s="180" t="s">
        <v>114</v>
      </c>
      <c r="AS225" s="180" t="s">
        <v>151</v>
      </c>
      <c r="AT225" s="180" t="s">
        <v>151</v>
      </c>
      <c r="AU225" s="180" t="s">
        <v>151</v>
      </c>
      <c r="AV225" s="180" t="s">
        <v>151</v>
      </c>
      <c r="BH225" s="196" t="s">
        <v>586</v>
      </c>
      <c r="BI225" s="21">
        <v>0</v>
      </c>
      <c r="BJ225" s="21">
        <v>0</v>
      </c>
      <c r="BK225" s="21">
        <v>0</v>
      </c>
      <c r="BL225" s="21">
        <v>0</v>
      </c>
      <c r="BM225" s="21">
        <v>0</v>
      </c>
      <c r="BN225" s="21">
        <v>0</v>
      </c>
      <c r="BO225" s="21">
        <v>0</v>
      </c>
      <c r="BP225" s="21">
        <v>0</v>
      </c>
      <c r="BQ225" s="21">
        <v>0</v>
      </c>
      <c r="BR225" s="21">
        <v>0</v>
      </c>
      <c r="BS225" s="21">
        <v>0</v>
      </c>
      <c r="BT225" s="21">
        <v>0</v>
      </c>
      <c r="BU225" s="21">
        <v>0</v>
      </c>
      <c r="BW225" s="180" t="s">
        <v>586</v>
      </c>
      <c r="BX225" s="180">
        <v>0</v>
      </c>
      <c r="BY225" s="180">
        <v>0</v>
      </c>
      <c r="BZ225" s="180">
        <v>0</v>
      </c>
      <c r="CA225" s="180">
        <v>0</v>
      </c>
      <c r="CB225" s="180">
        <v>0</v>
      </c>
      <c r="CC225" s="180">
        <v>0</v>
      </c>
      <c r="CD225" s="180">
        <v>0</v>
      </c>
      <c r="CE225" s="180">
        <v>0</v>
      </c>
      <c r="CF225" s="180">
        <v>0</v>
      </c>
      <c r="CG225" s="180">
        <v>0</v>
      </c>
      <c r="CH225" s="180">
        <v>0</v>
      </c>
      <c r="CI225" s="180">
        <v>0</v>
      </c>
      <c r="CJ225" s="180">
        <v>0</v>
      </c>
      <c r="DA225" s="198"/>
      <c r="EJ225" s="196"/>
      <c r="EK225" s="21" t="s">
        <v>112</v>
      </c>
      <c r="EL225" s="21">
        <v>0</v>
      </c>
      <c r="EM225" s="21">
        <v>6</v>
      </c>
      <c r="EN225" s="21">
        <v>12</v>
      </c>
      <c r="EO225" s="21">
        <v>18</v>
      </c>
      <c r="EP225" s="21">
        <v>24</v>
      </c>
      <c r="EQ225" s="21">
        <v>30</v>
      </c>
      <c r="ER225" s="21">
        <v>36</v>
      </c>
      <c r="ES225" s="21">
        <v>42</v>
      </c>
      <c r="ET225" s="21">
        <v>48</v>
      </c>
      <c r="EU225" s="21">
        <v>54</v>
      </c>
      <c r="EV225" s="21"/>
      <c r="EW225" s="21"/>
      <c r="EX225" s="21"/>
      <c r="EY225" s="21"/>
      <c r="EZ225" s="21" t="s">
        <v>472</v>
      </c>
      <c r="FA225" s="21">
        <v>0</v>
      </c>
      <c r="FB225" s="21">
        <v>6</v>
      </c>
      <c r="FC225" s="21">
        <v>12</v>
      </c>
      <c r="FD225" s="21">
        <v>18</v>
      </c>
      <c r="FE225" s="21">
        <v>24</v>
      </c>
      <c r="FF225" s="21">
        <v>30</v>
      </c>
      <c r="FG225" s="21">
        <v>36</v>
      </c>
      <c r="FH225" s="21">
        <v>42</v>
      </c>
      <c r="FI225" s="21">
        <v>48</v>
      </c>
      <c r="FJ225" s="21">
        <v>54</v>
      </c>
      <c r="FK225" s="21"/>
      <c r="FL225" s="21"/>
      <c r="FM225" s="21"/>
      <c r="FN225" s="21"/>
      <c r="FO225" s="21" t="s">
        <v>113</v>
      </c>
      <c r="FP225" s="21">
        <v>0</v>
      </c>
      <c r="FQ225" s="21">
        <v>6</v>
      </c>
      <c r="FR225" s="21">
        <v>12</v>
      </c>
      <c r="FS225" s="21">
        <v>18</v>
      </c>
      <c r="FT225" s="21">
        <v>24</v>
      </c>
      <c r="FU225" s="21">
        <v>30</v>
      </c>
      <c r="FV225" s="21">
        <v>36</v>
      </c>
      <c r="FW225" s="21">
        <v>42</v>
      </c>
      <c r="FX225" s="21">
        <v>48</v>
      </c>
      <c r="FY225" s="21">
        <v>54</v>
      </c>
      <c r="FZ225" s="21"/>
      <c r="GA225" s="21"/>
      <c r="GB225" s="21"/>
      <c r="GC225" s="21"/>
      <c r="GD225" s="21" t="s">
        <v>478</v>
      </c>
      <c r="GE225" s="21">
        <v>0</v>
      </c>
      <c r="GF225" s="21">
        <v>6</v>
      </c>
      <c r="GG225" s="21">
        <v>12</v>
      </c>
      <c r="GH225" s="21">
        <v>18</v>
      </c>
      <c r="GI225" s="21">
        <v>24</v>
      </c>
      <c r="GJ225" s="21">
        <v>30</v>
      </c>
      <c r="GK225" s="21">
        <v>36</v>
      </c>
      <c r="GL225" s="21">
        <v>42</v>
      </c>
      <c r="GM225" s="21">
        <v>48</v>
      </c>
      <c r="GN225" s="21">
        <v>54</v>
      </c>
      <c r="GO225" s="21"/>
      <c r="GP225" s="21"/>
      <c r="GQ225" s="21"/>
      <c r="GR225" s="21"/>
      <c r="GS225" s="21" t="s">
        <v>507</v>
      </c>
      <c r="GT225" s="21">
        <v>0</v>
      </c>
      <c r="GU225" s="21">
        <v>6</v>
      </c>
      <c r="GV225" s="21">
        <v>12</v>
      </c>
      <c r="GW225" s="21">
        <v>18</v>
      </c>
      <c r="GX225" s="21">
        <v>24</v>
      </c>
      <c r="GY225" s="21">
        <v>30</v>
      </c>
      <c r="GZ225" s="21">
        <v>36</v>
      </c>
      <c r="HA225" s="21">
        <v>42</v>
      </c>
      <c r="HB225" s="21">
        <v>48</v>
      </c>
      <c r="HC225" s="21">
        <v>54</v>
      </c>
      <c r="HD225" s="21"/>
      <c r="HE225" s="21"/>
      <c r="HF225" s="21"/>
      <c r="HG225" s="198"/>
    </row>
    <row r="226" spans="1:215" x14ac:dyDescent="0.25">
      <c r="A226" s="8"/>
      <c r="B226" s="5" t="s">
        <v>116</v>
      </c>
      <c r="C226" s="8"/>
      <c r="D226" s="6" t="s">
        <v>511</v>
      </c>
      <c r="E226" s="4"/>
      <c r="F226" s="6"/>
      <c r="G226" s="6"/>
      <c r="H226" s="6"/>
      <c r="I226" s="6"/>
      <c r="J226" s="1"/>
      <c r="K226" s="9"/>
      <c r="L226" s="6" t="str">
        <f>IF(G220=$AE$24,"BDFCH120/4,4NMC",IF(G220=$AE$25,"BDFCH120/4,8NMC",IF(G220=$AE$26,"BDFCH120/4,8NMC",IF(G220=$AE$27,"BDFCH120/5,4NMC",IF(G220=$AE$28,"BDFCH120/5,4NMC",IF(G220=$AE$29,"BDFCH120/5,4NMC",IF(G220=$AE$30,"BDFTH120/6NMC",IF(G220=$AE$31,"BDFtH120/6NMC",IF(G220=$AE$32,"BDFtH120/6NMC",0)))))))))</f>
        <v>BDFTH120/6NMC</v>
      </c>
      <c r="M226" s="11">
        <f>INDEX(cennik!$C$2:$L$531,MATCH($L226,cennik!$B$2:$B$524,0),MATCH(M$2,cennik!$C$1:$L$1,0))</f>
        <v>863461</v>
      </c>
      <c r="N226" s="11" t="str">
        <f>INDEX(cennik!$C$2:$L$531,MATCH($L226,cennik!$B$2:$B$524,0),MATCH(N$2,cennik!$C$1:$L$1,0))</f>
        <v>szt.</v>
      </c>
      <c r="O226" s="11">
        <f>O222</f>
        <v>0</v>
      </c>
      <c r="P226" s="34">
        <f>INDEX(cennik!$C$2:$L$531,MATCH($L226,cennik!$B$2:$B$524,0),MATCH(P$2,cennik!$C$1:$L$1,0))</f>
        <v>374.57</v>
      </c>
      <c r="Q226" s="34">
        <f t="shared" si="334"/>
        <v>0</v>
      </c>
      <c r="R226" s="35">
        <f t="shared" si="322"/>
        <v>0</v>
      </c>
      <c r="S226" s="34">
        <f t="shared" si="323"/>
        <v>374.57</v>
      </c>
      <c r="T226" s="34">
        <f t="shared" si="335"/>
        <v>0</v>
      </c>
      <c r="U226" s="34">
        <f>INDEX(cennik!$C$2:$L$531,MATCH($L226,cennik!$B$2:$B$524,0),MATCH(U$2,cennik!$C$1:$L$1,0))*O226</f>
        <v>0</v>
      </c>
      <c r="W226" s="21"/>
      <c r="X226" s="21"/>
      <c r="Y226" s="21"/>
      <c r="Z226" s="21"/>
      <c r="AA226" s="21"/>
      <c r="AB226" s="21"/>
      <c r="AC226" s="21"/>
      <c r="AD226" s="21"/>
      <c r="AE226" s="21"/>
      <c r="AF226" s="21"/>
      <c r="AR226" s="180" t="s">
        <v>115</v>
      </c>
      <c r="AS226" s="180" t="s">
        <v>151</v>
      </c>
      <c r="AT226" s="180" t="s">
        <v>151</v>
      </c>
      <c r="AU226" s="180" t="s">
        <v>151</v>
      </c>
      <c r="AV226" s="180" t="s">
        <v>151</v>
      </c>
      <c r="BH226" s="196" t="s">
        <v>522</v>
      </c>
      <c r="BI226" s="21">
        <v>0</v>
      </c>
      <c r="BJ226" s="21">
        <v>5</v>
      </c>
      <c r="BK226" s="21">
        <v>0</v>
      </c>
      <c r="BL226" s="21">
        <v>5</v>
      </c>
      <c r="BM226" s="21">
        <v>0</v>
      </c>
      <c r="BN226" s="21">
        <v>10</v>
      </c>
      <c r="BO226" s="21">
        <v>5</v>
      </c>
      <c r="BP226" s="21">
        <v>10</v>
      </c>
      <c r="BQ226" s="21">
        <v>20</v>
      </c>
      <c r="BR226" s="21">
        <v>15</v>
      </c>
      <c r="BS226" s="21">
        <v>20</v>
      </c>
      <c r="BT226" s="21">
        <v>15</v>
      </c>
      <c r="BU226" s="21">
        <v>25</v>
      </c>
      <c r="BW226" s="180" t="s">
        <v>522</v>
      </c>
      <c r="BX226" s="180">
        <v>0</v>
      </c>
      <c r="BY226" s="180">
        <v>0</v>
      </c>
      <c r="BZ226" s="180">
        <v>5</v>
      </c>
      <c r="CA226" s="180">
        <v>0</v>
      </c>
      <c r="CB226" s="180">
        <v>10</v>
      </c>
      <c r="CC226" s="180">
        <v>5</v>
      </c>
      <c r="CD226" s="180">
        <v>15</v>
      </c>
      <c r="CE226" s="180">
        <v>10</v>
      </c>
      <c r="CF226" s="180">
        <v>20</v>
      </c>
      <c r="CG226" s="180">
        <v>15</v>
      </c>
      <c r="CH226" s="180">
        <v>25</v>
      </c>
      <c r="CI226" s="180">
        <v>20</v>
      </c>
      <c r="CJ226" s="180">
        <v>30</v>
      </c>
      <c r="DA226" s="198"/>
      <c r="EJ226" s="196"/>
      <c r="EK226" s="21" t="s">
        <v>586</v>
      </c>
      <c r="EL226" s="21">
        <v>0</v>
      </c>
      <c r="EM226" s="21">
        <v>0</v>
      </c>
      <c r="EN226" s="21">
        <f>EM9/5*8</f>
        <v>0</v>
      </c>
      <c r="EO226" s="21">
        <f t="shared" ref="EO226:EU226" si="344">EN9/5*8</f>
        <v>8</v>
      </c>
      <c r="EP226" s="21">
        <f t="shared" si="344"/>
        <v>8</v>
      </c>
      <c r="EQ226" s="21">
        <f t="shared" si="344"/>
        <v>0</v>
      </c>
      <c r="ER226" s="21">
        <f t="shared" si="344"/>
        <v>0</v>
      </c>
      <c r="ES226" s="21">
        <f t="shared" si="344"/>
        <v>0</v>
      </c>
      <c r="ET226" s="21">
        <f t="shared" si="344"/>
        <v>0</v>
      </c>
      <c r="EU226" s="21">
        <f t="shared" si="344"/>
        <v>0</v>
      </c>
      <c r="EZ226" s="180" t="s">
        <v>586</v>
      </c>
      <c r="FA226" s="21">
        <v>0</v>
      </c>
      <c r="FB226" s="21">
        <v>0</v>
      </c>
      <c r="FC226" s="21">
        <f>FB9/5*8</f>
        <v>0</v>
      </c>
      <c r="FD226" s="21">
        <f t="shared" ref="FD226:FJ226" si="345">FC9/5*8</f>
        <v>8</v>
      </c>
      <c r="FE226" s="21">
        <f t="shared" si="345"/>
        <v>0</v>
      </c>
      <c r="FF226" s="21">
        <f t="shared" si="345"/>
        <v>0</v>
      </c>
      <c r="FG226" s="21">
        <f t="shared" si="345"/>
        <v>0</v>
      </c>
      <c r="FH226" s="21">
        <f t="shared" si="345"/>
        <v>0</v>
      </c>
      <c r="FI226" s="21">
        <f t="shared" si="345"/>
        <v>0</v>
      </c>
      <c r="FJ226" s="21">
        <f t="shared" si="345"/>
        <v>0</v>
      </c>
      <c r="FO226" s="180" t="s">
        <v>586</v>
      </c>
      <c r="FP226" s="21">
        <v>0</v>
      </c>
      <c r="FQ226" s="21">
        <v>0</v>
      </c>
      <c r="FR226" s="21">
        <f>FQ9/5*8</f>
        <v>0</v>
      </c>
      <c r="FS226" s="21">
        <f t="shared" ref="FS226:FY226" si="346">FR9/5*8</f>
        <v>8</v>
      </c>
      <c r="FT226" s="21">
        <f t="shared" si="346"/>
        <v>0</v>
      </c>
      <c r="FU226" s="21">
        <f t="shared" si="346"/>
        <v>0</v>
      </c>
      <c r="FV226" s="21">
        <f t="shared" si="346"/>
        <v>0</v>
      </c>
      <c r="FW226" s="21">
        <f t="shared" si="346"/>
        <v>0</v>
      </c>
      <c r="FX226" s="21">
        <f t="shared" si="346"/>
        <v>0</v>
      </c>
      <c r="FY226" s="21">
        <f t="shared" si="346"/>
        <v>0</v>
      </c>
      <c r="GD226" s="180" t="s">
        <v>586</v>
      </c>
      <c r="GE226" s="21">
        <v>0</v>
      </c>
      <c r="GF226" s="21">
        <v>0</v>
      </c>
      <c r="GG226" s="21">
        <f>GF9/5*8</f>
        <v>0</v>
      </c>
      <c r="GH226" s="21">
        <f t="shared" ref="GH226:GN226" si="347">GG9/5*8</f>
        <v>8</v>
      </c>
      <c r="GI226" s="21">
        <f t="shared" si="347"/>
        <v>0</v>
      </c>
      <c r="GJ226" s="21">
        <f t="shared" si="347"/>
        <v>0</v>
      </c>
      <c r="GK226" s="21">
        <f t="shared" si="347"/>
        <v>0</v>
      </c>
      <c r="GL226" s="21">
        <f t="shared" si="347"/>
        <v>0</v>
      </c>
      <c r="GM226" s="21">
        <f t="shared" si="347"/>
        <v>0</v>
      </c>
      <c r="GN226" s="21">
        <f t="shared" si="347"/>
        <v>0</v>
      </c>
      <c r="GS226" s="180" t="s">
        <v>586</v>
      </c>
      <c r="GT226" s="21">
        <v>0</v>
      </c>
      <c r="GU226" s="21">
        <v>0</v>
      </c>
      <c r="GV226" s="21">
        <f>GU9/5*8</f>
        <v>0</v>
      </c>
      <c r="GW226" s="21">
        <f t="shared" ref="GW226:HC226" si="348">GV9/5*8</f>
        <v>8</v>
      </c>
      <c r="GX226" s="21">
        <f t="shared" si="348"/>
        <v>0</v>
      </c>
      <c r="GY226" s="21">
        <f t="shared" si="348"/>
        <v>0</v>
      </c>
      <c r="GZ226" s="21">
        <f t="shared" si="348"/>
        <v>0</v>
      </c>
      <c r="HA226" s="21">
        <f t="shared" si="348"/>
        <v>0</v>
      </c>
      <c r="HB226" s="21">
        <f t="shared" si="348"/>
        <v>0</v>
      </c>
      <c r="HC226" s="21">
        <f t="shared" si="348"/>
        <v>0</v>
      </c>
      <c r="HG226" s="198"/>
    </row>
    <row r="227" spans="1:215" x14ac:dyDescent="0.25">
      <c r="A227" s="8"/>
      <c r="B227" s="5" t="s">
        <v>116</v>
      </c>
      <c r="C227" s="8"/>
      <c r="D227" s="6" t="s">
        <v>310</v>
      </c>
      <c r="E227" s="8">
        <v>25</v>
      </c>
      <c r="F227" s="6"/>
      <c r="G227" s="6"/>
      <c r="H227" s="6"/>
      <c r="I227" s="6"/>
      <c r="J227" s="1"/>
      <c r="K227" s="9"/>
      <c r="L227" s="6" t="str">
        <f>IF(G220=$AE$24,"CMP41H41/1,5MC",IF(G220=$AE$25,"CMP41H41/1,5MC",IF(G220=$AE$26,"CMP41H41/1,5MC",IF(G220=$AE$27,"CMP41H41/2,2MC",IF(G220=$AE$28,"CMP41H41/2,2MC",IF(G220=$AE$29,"CMP41H41/2,2MC",IF(G220=$AE$30,"CMP41H41/2,2MC",0)))))))</f>
        <v>CMP41H41/2,2MC</v>
      </c>
      <c r="M227" s="11">
        <f>INDEX(cennik!$C$2:$L$531,MATCH($L227,cennik!$B$2:$B$524,0),MATCH(M$2,cennik!$C$1:$L$1,0))</f>
        <v>851122</v>
      </c>
      <c r="N227" s="11" t="str">
        <f>INDEX(cennik!$C$2:$L$531,MATCH($L227,cennik!$B$2:$B$524,0),MATCH(N$2,cennik!$C$1:$L$1,0))</f>
        <v>szt.</v>
      </c>
      <c r="O227" s="11">
        <f>O222</f>
        <v>0</v>
      </c>
      <c r="P227" s="34">
        <f>INDEX(cennik!$C$2:$L$531,MATCH($L227,cennik!$B$2:$B$524,0),MATCH(P$2,cennik!$C$1:$L$1,0))</f>
        <v>46.2</v>
      </c>
      <c r="Q227" s="34">
        <f t="shared" si="334"/>
        <v>0</v>
      </c>
      <c r="R227" s="35">
        <f t="shared" si="322"/>
        <v>0</v>
      </c>
      <c r="S227" s="34">
        <f t="shared" si="323"/>
        <v>46.2</v>
      </c>
      <c r="T227" s="34">
        <f t="shared" si="335"/>
        <v>0</v>
      </c>
      <c r="U227" s="34">
        <f>INDEX(cennik!$C$2:$L$531,MATCH($L227,cennik!$B$2:$B$524,0),MATCH(U$2,cennik!$C$1:$L$1,0))*O227</f>
        <v>0</v>
      </c>
      <c r="W227" s="21"/>
      <c r="X227" s="21"/>
      <c r="Y227" s="21"/>
      <c r="Z227" s="21"/>
      <c r="AA227" s="21"/>
      <c r="AB227" s="21"/>
      <c r="AC227" s="21"/>
      <c r="AD227" s="21"/>
      <c r="AE227" s="21"/>
      <c r="AF227" s="21"/>
      <c r="AR227" s="180" t="s">
        <v>474</v>
      </c>
      <c r="AS227" s="180" t="s">
        <v>151</v>
      </c>
      <c r="AT227" s="180" t="s">
        <v>151</v>
      </c>
      <c r="AU227" s="180" t="s">
        <v>151</v>
      </c>
      <c r="AV227" s="180" t="s">
        <v>151</v>
      </c>
      <c r="BH227" s="196" t="s">
        <v>523</v>
      </c>
      <c r="BI227" s="21">
        <v>0</v>
      </c>
      <c r="BJ227" s="21">
        <v>0</v>
      </c>
      <c r="BK227" s="21">
        <v>10</v>
      </c>
      <c r="BL227" s="21">
        <v>5</v>
      </c>
      <c r="BM227" s="21">
        <v>15</v>
      </c>
      <c r="BN227" s="21">
        <v>5</v>
      </c>
      <c r="BO227" s="21">
        <v>15</v>
      </c>
      <c r="BP227" s="21">
        <v>10</v>
      </c>
      <c r="BQ227" s="21">
        <v>0</v>
      </c>
      <c r="BR227" s="21">
        <v>10</v>
      </c>
      <c r="BS227" s="21">
        <v>5</v>
      </c>
      <c r="BT227" s="21">
        <v>15</v>
      </c>
      <c r="BU227" s="21">
        <v>5</v>
      </c>
      <c r="BW227" s="180" t="s">
        <v>523</v>
      </c>
      <c r="BX227" s="180">
        <v>0</v>
      </c>
      <c r="BY227" s="180">
        <v>10</v>
      </c>
      <c r="BZ227" s="180">
        <v>5</v>
      </c>
      <c r="CA227" s="180">
        <v>15</v>
      </c>
      <c r="CB227" s="180">
        <v>5</v>
      </c>
      <c r="CC227" s="180">
        <v>15</v>
      </c>
      <c r="CD227" s="180">
        <v>5</v>
      </c>
      <c r="CE227" s="180">
        <v>15</v>
      </c>
      <c r="CF227" s="180">
        <v>5</v>
      </c>
      <c r="CG227" s="180">
        <v>15</v>
      </c>
      <c r="CH227" s="180">
        <v>5</v>
      </c>
      <c r="CI227" s="180">
        <v>15</v>
      </c>
      <c r="CJ227" s="180">
        <v>5</v>
      </c>
      <c r="CM227" s="180" t="s">
        <v>771</v>
      </c>
      <c r="DA227" s="198"/>
      <c r="EJ227" s="196"/>
      <c r="EK227" s="21" t="s">
        <v>522</v>
      </c>
      <c r="EL227" s="21">
        <v>0</v>
      </c>
      <c r="EM227" s="21">
        <v>0</v>
      </c>
      <c r="EN227" s="21">
        <f t="shared" ref="EN227:EU227" si="349">EM10/5*8</f>
        <v>0</v>
      </c>
      <c r="EO227" s="21">
        <f t="shared" si="349"/>
        <v>0</v>
      </c>
      <c r="EP227" s="21">
        <f t="shared" si="349"/>
        <v>0</v>
      </c>
      <c r="EQ227" s="21">
        <f t="shared" si="349"/>
        <v>16</v>
      </c>
      <c r="ER227" s="21">
        <f t="shared" si="349"/>
        <v>0</v>
      </c>
      <c r="ES227" s="21">
        <f t="shared" si="349"/>
        <v>16</v>
      </c>
      <c r="ET227" s="21">
        <f t="shared" si="349"/>
        <v>0</v>
      </c>
      <c r="EU227" s="21">
        <f t="shared" si="349"/>
        <v>16</v>
      </c>
      <c r="EV227" s="21"/>
      <c r="EW227" s="21"/>
      <c r="EX227" s="21"/>
      <c r="EY227" s="21"/>
      <c r="EZ227" s="21" t="s">
        <v>522</v>
      </c>
      <c r="FA227" s="21">
        <v>0</v>
      </c>
      <c r="FB227" s="21">
        <v>0</v>
      </c>
      <c r="FC227" s="21">
        <f t="shared" ref="FC227:FJ227" si="350">FB10/5*8</f>
        <v>0</v>
      </c>
      <c r="FD227" s="21">
        <f t="shared" si="350"/>
        <v>0</v>
      </c>
      <c r="FE227" s="21">
        <f t="shared" si="350"/>
        <v>8</v>
      </c>
      <c r="FF227" s="21">
        <f t="shared" si="350"/>
        <v>16</v>
      </c>
      <c r="FG227" s="21">
        <f t="shared" si="350"/>
        <v>16</v>
      </c>
      <c r="FH227" s="21">
        <f t="shared" si="350"/>
        <v>0</v>
      </c>
      <c r="FI227" s="21">
        <f t="shared" si="350"/>
        <v>16</v>
      </c>
      <c r="FJ227" s="21">
        <f t="shared" si="350"/>
        <v>8</v>
      </c>
      <c r="FK227" s="21"/>
      <c r="FL227" s="21"/>
      <c r="FM227" s="21"/>
      <c r="FN227" s="21"/>
      <c r="FO227" s="21" t="s">
        <v>522</v>
      </c>
      <c r="FP227" s="21">
        <v>0</v>
      </c>
      <c r="FQ227" s="21">
        <v>0</v>
      </c>
      <c r="FR227" s="21">
        <f t="shared" ref="FR227:FY227" si="351">FQ10/5*8</f>
        <v>8</v>
      </c>
      <c r="FS227" s="21">
        <f t="shared" si="351"/>
        <v>0</v>
      </c>
      <c r="FT227" s="21">
        <f t="shared" si="351"/>
        <v>8</v>
      </c>
      <c r="FU227" s="21">
        <f t="shared" si="351"/>
        <v>0</v>
      </c>
      <c r="FV227" s="21">
        <f t="shared" si="351"/>
        <v>16</v>
      </c>
      <c r="FW227" s="21">
        <f t="shared" si="351"/>
        <v>16</v>
      </c>
      <c r="FX227" s="21">
        <f t="shared" si="351"/>
        <v>0</v>
      </c>
      <c r="FY227" s="21">
        <f t="shared" si="351"/>
        <v>8</v>
      </c>
      <c r="FZ227" s="21"/>
      <c r="GA227" s="21"/>
      <c r="GB227" s="21"/>
      <c r="GC227" s="21"/>
      <c r="GD227" s="21" t="s">
        <v>522</v>
      </c>
      <c r="GE227" s="21">
        <v>0</v>
      </c>
      <c r="GF227" s="21">
        <v>0</v>
      </c>
      <c r="GG227" s="21">
        <f t="shared" ref="GG227:GN227" si="352">GF10/5*8</f>
        <v>8</v>
      </c>
      <c r="GH227" s="21">
        <f t="shared" si="352"/>
        <v>0</v>
      </c>
      <c r="GI227" s="21">
        <f t="shared" si="352"/>
        <v>16</v>
      </c>
      <c r="GJ227" s="21">
        <f t="shared" si="352"/>
        <v>8</v>
      </c>
      <c r="GK227" s="21">
        <f t="shared" si="352"/>
        <v>0</v>
      </c>
      <c r="GL227" s="21">
        <f t="shared" si="352"/>
        <v>16</v>
      </c>
      <c r="GM227" s="21">
        <f t="shared" si="352"/>
        <v>8</v>
      </c>
      <c r="GN227" s="21">
        <f t="shared" si="352"/>
        <v>0</v>
      </c>
      <c r="GO227" s="21"/>
      <c r="GP227" s="21"/>
      <c r="GQ227" s="21"/>
      <c r="GR227" s="21"/>
      <c r="GS227" s="21" t="s">
        <v>522</v>
      </c>
      <c r="GT227" s="21">
        <v>0</v>
      </c>
      <c r="GU227" s="21">
        <v>0</v>
      </c>
      <c r="GV227" s="21">
        <f t="shared" ref="GV227:HC227" si="353">GU10/5*8</f>
        <v>8</v>
      </c>
      <c r="GW227" s="21">
        <f t="shared" si="353"/>
        <v>0</v>
      </c>
      <c r="GX227" s="21">
        <f t="shared" si="353"/>
        <v>16</v>
      </c>
      <c r="GY227" s="21">
        <f t="shared" si="353"/>
        <v>16</v>
      </c>
      <c r="GZ227" s="21">
        <f t="shared" si="353"/>
        <v>0</v>
      </c>
      <c r="HA227" s="21">
        <f t="shared" si="353"/>
        <v>0</v>
      </c>
      <c r="HB227" s="21">
        <f t="shared" si="353"/>
        <v>16</v>
      </c>
      <c r="HC227" s="21">
        <f t="shared" si="353"/>
        <v>8</v>
      </c>
      <c r="HD227" s="21"/>
      <c r="HE227" s="21"/>
      <c r="HF227" s="21"/>
      <c r="HG227" s="198"/>
    </row>
    <row r="228" spans="1:215" x14ac:dyDescent="0.25">
      <c r="A228" s="8"/>
      <c r="B228" s="5" t="s">
        <v>116</v>
      </c>
      <c r="C228" s="8"/>
      <c r="D228" s="6" t="s">
        <v>787</v>
      </c>
      <c r="E228" s="8">
        <v>1</v>
      </c>
      <c r="F228" s="39" t="s">
        <v>789</v>
      </c>
      <c r="G228" s="9"/>
      <c r="H228" s="9"/>
      <c r="I228" s="9"/>
      <c r="J228" s="9"/>
      <c r="K228" s="9"/>
      <c r="L228" s="6" t="str">
        <f>IF(G220=$AE$24,"-------",IF(G220=$AE$25,"-------",IF(G220=$AE$26,"-------",IF(G220=$AE$27,"CMP41H41/1,2MC",IF(G220=$AE$28,"CMP41H41/1,2MC",IF(G220=$AE$29,"CMP41H41/1,2MC",IF(G220=$AE$30,"CMP41H41/1,2MC",0)))))))</f>
        <v>CMP41H41/1,2MC</v>
      </c>
      <c r="M228" s="11">
        <f>INDEX(cennik!$C$2:$L$531,MATCH($L228,cennik!$B$2:$B$524,0),MATCH(M$2,cennik!$C$1:$L$1,0))</f>
        <v>856211</v>
      </c>
      <c r="N228" s="11" t="str">
        <f>INDEX(cennik!$C$2:$L$531,MATCH($L228,cennik!$B$2:$B$524,0),MATCH(N$2,cennik!$C$1:$L$1,0))</f>
        <v>szt.</v>
      </c>
      <c r="O228" s="11">
        <f>IF(L227="CMP41H41/2,2MC",O227,0)</f>
        <v>0</v>
      </c>
      <c r="P228" s="34">
        <f>INDEX(cennik!$C$2:$L$531,MATCH($L228,cennik!$B$2:$B$524,0),MATCH(P$2,cennik!$C$1:$L$1,0))</f>
        <v>25.2</v>
      </c>
      <c r="Q228" s="34">
        <f t="shared" si="334"/>
        <v>0</v>
      </c>
      <c r="R228" s="35">
        <f t="shared" si="322"/>
        <v>0</v>
      </c>
      <c r="S228" s="34">
        <f t="shared" si="323"/>
        <v>25.2</v>
      </c>
      <c r="T228" s="34">
        <f t="shared" si="335"/>
        <v>0</v>
      </c>
      <c r="U228" s="34">
        <f>INDEX(cennik!$C$2:$L$531,MATCH($L228,cennik!$B$2:$B$524,0),MATCH(U$2,cennik!$C$1:$L$1,0))*O228</f>
        <v>0</v>
      </c>
      <c r="W228" s="21"/>
      <c r="X228" s="21"/>
      <c r="Y228" s="21"/>
      <c r="Z228" s="21"/>
      <c r="AA228" s="21"/>
      <c r="AB228" s="21"/>
      <c r="AC228" s="21"/>
      <c r="AD228" s="21"/>
      <c r="AE228" s="21"/>
      <c r="AF228" s="21"/>
      <c r="AR228" s="180" t="s">
        <v>480</v>
      </c>
      <c r="AS228" s="180" t="s">
        <v>151</v>
      </c>
      <c r="AT228" s="180" t="s">
        <v>151</v>
      </c>
      <c r="AU228" s="180" t="s">
        <v>151</v>
      </c>
      <c r="AV228" s="180" t="s">
        <v>151</v>
      </c>
      <c r="BH228" s="20" t="s">
        <v>779</v>
      </c>
      <c r="BI228" s="21">
        <v>0</v>
      </c>
      <c r="BJ228" s="21">
        <v>0</v>
      </c>
      <c r="BK228" s="21">
        <v>5</v>
      </c>
      <c r="BL228" s="21">
        <v>5</v>
      </c>
      <c r="BM228" s="21">
        <v>10</v>
      </c>
      <c r="BN228" s="21">
        <v>10</v>
      </c>
      <c r="BO228" s="21">
        <v>15</v>
      </c>
      <c r="BP228" s="21">
        <v>15</v>
      </c>
      <c r="BQ228" s="21">
        <v>15</v>
      </c>
      <c r="BR228" s="21">
        <v>20</v>
      </c>
      <c r="BS228" s="21">
        <v>20</v>
      </c>
      <c r="BT228" s="21">
        <v>25</v>
      </c>
      <c r="BU228" s="21">
        <v>25</v>
      </c>
      <c r="BW228" s="20" t="s">
        <v>779</v>
      </c>
      <c r="BX228" s="180">
        <v>0</v>
      </c>
      <c r="BY228" s="180">
        <v>5</v>
      </c>
      <c r="BZ228" s="180">
        <v>5</v>
      </c>
      <c r="CA228" s="180">
        <v>10</v>
      </c>
      <c r="CB228" s="180">
        <v>10</v>
      </c>
      <c r="CC228" s="180">
        <v>15</v>
      </c>
      <c r="CD228" s="180">
        <v>15</v>
      </c>
      <c r="CE228" s="180">
        <v>20</v>
      </c>
      <c r="CF228" s="180">
        <v>20</v>
      </c>
      <c r="CG228" s="180">
        <v>25</v>
      </c>
      <c r="CH228" s="180">
        <v>25</v>
      </c>
      <c r="CI228" s="180">
        <v>30</v>
      </c>
      <c r="CJ228" s="180">
        <v>30</v>
      </c>
      <c r="DA228" s="198"/>
      <c r="EJ228" s="196"/>
      <c r="EK228" s="21" t="s">
        <v>523</v>
      </c>
      <c r="EL228" s="21">
        <v>0</v>
      </c>
      <c r="EM228" s="21">
        <v>8</v>
      </c>
      <c r="EN228" s="21">
        <f t="shared" ref="EN228:EU228" si="354">EM11/5*8</f>
        <v>8</v>
      </c>
      <c r="EO228" s="21">
        <f t="shared" si="354"/>
        <v>0</v>
      </c>
      <c r="EP228" s="21">
        <f t="shared" si="354"/>
        <v>0</v>
      </c>
      <c r="EQ228" s="21">
        <f t="shared" si="354"/>
        <v>0</v>
      </c>
      <c r="ER228" s="21">
        <f t="shared" si="354"/>
        <v>24</v>
      </c>
      <c r="ES228" s="21">
        <f t="shared" si="354"/>
        <v>8</v>
      </c>
      <c r="ET228" s="21">
        <f t="shared" si="354"/>
        <v>32</v>
      </c>
      <c r="EU228" s="21">
        <f t="shared" si="354"/>
        <v>16</v>
      </c>
      <c r="EV228" s="21"/>
      <c r="EW228" s="21"/>
      <c r="EX228" s="21"/>
      <c r="EY228" s="21"/>
      <c r="EZ228" s="21" t="s">
        <v>523</v>
      </c>
      <c r="FA228" s="21">
        <v>0</v>
      </c>
      <c r="FB228" s="21">
        <v>8</v>
      </c>
      <c r="FC228" s="21">
        <f t="shared" ref="FC228:FJ228" si="355">FB11/5*8</f>
        <v>8</v>
      </c>
      <c r="FD228" s="21">
        <f t="shared" si="355"/>
        <v>0</v>
      </c>
      <c r="FE228" s="21">
        <f t="shared" si="355"/>
        <v>8</v>
      </c>
      <c r="FF228" s="21">
        <f t="shared" si="355"/>
        <v>0</v>
      </c>
      <c r="FG228" s="21">
        <f t="shared" si="355"/>
        <v>8</v>
      </c>
      <c r="FH228" s="21">
        <f t="shared" si="355"/>
        <v>32</v>
      </c>
      <c r="FI228" s="21">
        <f t="shared" si="355"/>
        <v>16</v>
      </c>
      <c r="FJ228" s="21">
        <f t="shared" si="355"/>
        <v>32</v>
      </c>
      <c r="FK228" s="21"/>
      <c r="FL228" s="21"/>
      <c r="FM228" s="21"/>
      <c r="FN228" s="21"/>
      <c r="FO228" s="21" t="s">
        <v>523</v>
      </c>
      <c r="FP228" s="21">
        <v>0</v>
      </c>
      <c r="FQ228" s="21">
        <v>8</v>
      </c>
      <c r="FR228" s="21">
        <f t="shared" ref="FR228:FY228" si="356">FQ11/5*8</f>
        <v>0</v>
      </c>
      <c r="FS228" s="21">
        <f t="shared" si="356"/>
        <v>0</v>
      </c>
      <c r="FT228" s="21">
        <f t="shared" si="356"/>
        <v>8</v>
      </c>
      <c r="FU228" s="21">
        <f t="shared" si="356"/>
        <v>24</v>
      </c>
      <c r="FV228" s="21">
        <f t="shared" si="356"/>
        <v>8</v>
      </c>
      <c r="FW228" s="21">
        <f t="shared" si="356"/>
        <v>16</v>
      </c>
      <c r="FX228" s="21">
        <f t="shared" si="356"/>
        <v>40</v>
      </c>
      <c r="FY228" s="21">
        <f t="shared" si="356"/>
        <v>32</v>
      </c>
      <c r="FZ228" s="21"/>
      <c r="GA228" s="21"/>
      <c r="GB228" s="21"/>
      <c r="GC228" s="21"/>
      <c r="GD228" s="21" t="s">
        <v>523</v>
      </c>
      <c r="GE228" s="21">
        <v>0</v>
      </c>
      <c r="GF228" s="21">
        <v>8</v>
      </c>
      <c r="GG228" s="21">
        <f t="shared" ref="GG228:GN228" si="357">GF11/5*8</f>
        <v>0</v>
      </c>
      <c r="GH228" s="21">
        <f t="shared" si="357"/>
        <v>0</v>
      </c>
      <c r="GI228" s="21">
        <f t="shared" si="357"/>
        <v>0</v>
      </c>
      <c r="GJ228" s="21">
        <f t="shared" si="357"/>
        <v>16</v>
      </c>
      <c r="GK228" s="21">
        <f t="shared" si="357"/>
        <v>32</v>
      </c>
      <c r="GL228" s="21">
        <f t="shared" si="357"/>
        <v>16</v>
      </c>
      <c r="GM228" s="21">
        <f t="shared" si="357"/>
        <v>32</v>
      </c>
      <c r="GN228" s="21">
        <f t="shared" si="357"/>
        <v>48</v>
      </c>
      <c r="GO228" s="21"/>
      <c r="GP228" s="21"/>
      <c r="GQ228" s="21"/>
      <c r="GR228" s="21"/>
      <c r="GS228" s="21" t="s">
        <v>523</v>
      </c>
      <c r="GT228" s="21">
        <v>0</v>
      </c>
      <c r="GU228" s="21">
        <v>8</v>
      </c>
      <c r="GV228" s="21">
        <f t="shared" ref="GV228:HC228" si="358">GU11/5*8</f>
        <v>0</v>
      </c>
      <c r="GW228" s="21">
        <f t="shared" si="358"/>
        <v>0</v>
      </c>
      <c r="GX228" s="21">
        <f t="shared" si="358"/>
        <v>0</v>
      </c>
      <c r="GY228" s="21">
        <f t="shared" si="358"/>
        <v>8</v>
      </c>
      <c r="GZ228" s="21">
        <f t="shared" si="358"/>
        <v>32</v>
      </c>
      <c r="HA228" s="21">
        <f t="shared" si="358"/>
        <v>40</v>
      </c>
      <c r="HB228" s="21">
        <f t="shared" si="358"/>
        <v>24</v>
      </c>
      <c r="HC228" s="21">
        <f t="shared" si="358"/>
        <v>40</v>
      </c>
      <c r="HD228" s="21"/>
      <c r="HE228" s="21"/>
      <c r="HF228" s="21"/>
      <c r="HG228" s="198"/>
    </row>
    <row r="229" spans="1:215" x14ac:dyDescent="0.25">
      <c r="A229" s="8"/>
      <c r="B229" s="5" t="s">
        <v>116</v>
      </c>
      <c r="C229" s="8"/>
      <c r="D229" s="6" t="s">
        <v>788</v>
      </c>
      <c r="E229" s="8" t="s">
        <v>1157</v>
      </c>
      <c r="F229" s="39" t="s">
        <v>790</v>
      </c>
      <c r="G229" s="9"/>
      <c r="H229" s="9"/>
      <c r="I229" s="9"/>
      <c r="J229" s="9"/>
      <c r="K229" s="9"/>
      <c r="L229" s="6" t="s">
        <v>616</v>
      </c>
      <c r="M229" s="11">
        <f>INDEX(cennik!$C$2:$L$531,MATCH($L229,cennik!$B$2:$B$524,0),MATCH(M$2,cennik!$C$1:$L$1,0))</f>
        <v>731305</v>
      </c>
      <c r="N229" s="11" t="str">
        <f>INDEX(cennik!$C$2:$L$531,MATCH($L229,cennik!$B$2:$B$524,0),MATCH(N$2,cennik!$C$1:$L$1,0))</f>
        <v>szt.</v>
      </c>
      <c r="O229" s="11">
        <f>O230*2</f>
        <v>0</v>
      </c>
      <c r="P229" s="34">
        <f>INDEX(cennik!$C$2:$L$531,MATCH($L229,cennik!$B$2:$B$524,0),MATCH(P$2,cennik!$C$1:$L$1,0))</f>
        <v>5.12</v>
      </c>
      <c r="Q229" s="34">
        <f t="shared" si="334"/>
        <v>0</v>
      </c>
      <c r="R229" s="35">
        <f t="shared" si="322"/>
        <v>0</v>
      </c>
      <c r="S229" s="34">
        <f t="shared" si="323"/>
        <v>5.12</v>
      </c>
      <c r="T229" s="34">
        <f t="shared" si="335"/>
        <v>0</v>
      </c>
      <c r="U229" s="34">
        <f>INDEX(cennik!$C$2:$L$531,MATCH($L229,cennik!$B$2:$B$524,0),MATCH(U$2,cennik!$C$1:$L$1,0))*O229</f>
        <v>0</v>
      </c>
      <c r="W229" s="21"/>
      <c r="X229" s="21"/>
      <c r="Y229" s="21"/>
      <c r="Z229" s="21"/>
      <c r="AA229" s="21"/>
      <c r="AB229" s="21"/>
      <c r="AC229" s="21"/>
      <c r="AD229" s="21"/>
      <c r="AE229" s="21"/>
      <c r="AF229" s="21"/>
      <c r="AR229" s="180" t="s">
        <v>713</v>
      </c>
      <c r="AS229" s="180" t="s">
        <v>592</v>
      </c>
      <c r="AT229" s="180" t="s">
        <v>151</v>
      </c>
      <c r="AU229" s="180" t="s">
        <v>151</v>
      </c>
      <c r="AV229" s="180" t="s">
        <v>151</v>
      </c>
      <c r="BH229" s="196"/>
      <c r="BI229" s="21"/>
      <c r="BJ229" s="21"/>
      <c r="BK229" s="21"/>
      <c r="BL229" s="21"/>
      <c r="BM229" s="21"/>
      <c r="BN229" s="21"/>
      <c r="BO229" s="21"/>
      <c r="BP229" s="21"/>
      <c r="BQ229" s="21"/>
      <c r="BR229" s="21"/>
      <c r="BS229" s="21"/>
      <c r="BT229" s="21"/>
      <c r="BU229" s="21"/>
      <c r="DA229" s="198"/>
      <c r="EJ229" s="196"/>
      <c r="EK229" s="20" t="s">
        <v>779</v>
      </c>
      <c r="EL229" s="21">
        <v>0</v>
      </c>
      <c r="EM229" s="21">
        <v>0</v>
      </c>
      <c r="EN229" s="21">
        <f t="shared" ref="EN229:EU229" si="359">EM12/5*8</f>
        <v>0</v>
      </c>
      <c r="EO229" s="21">
        <f t="shared" si="359"/>
        <v>0</v>
      </c>
      <c r="EP229" s="21">
        <f t="shared" si="359"/>
        <v>0</v>
      </c>
      <c r="EQ229" s="21">
        <f t="shared" si="359"/>
        <v>8</v>
      </c>
      <c r="ER229" s="21">
        <f t="shared" si="359"/>
        <v>16</v>
      </c>
      <c r="ES229" s="21">
        <f t="shared" si="359"/>
        <v>16</v>
      </c>
      <c r="ET229" s="21">
        <f t="shared" si="359"/>
        <v>24</v>
      </c>
      <c r="EU229" s="21">
        <f t="shared" si="359"/>
        <v>24</v>
      </c>
      <c r="EV229" s="21"/>
      <c r="EW229" s="21"/>
      <c r="EX229" s="21"/>
      <c r="EY229" s="21"/>
      <c r="EZ229" s="20" t="s">
        <v>779</v>
      </c>
      <c r="FA229" s="21">
        <v>0</v>
      </c>
      <c r="FB229" s="21">
        <v>0</v>
      </c>
      <c r="FC229" s="21">
        <f t="shared" ref="FC229:FJ229" si="360">FB12/5*8</f>
        <v>0</v>
      </c>
      <c r="FD229" s="21">
        <f t="shared" si="360"/>
        <v>0</v>
      </c>
      <c r="FE229" s="21">
        <f t="shared" si="360"/>
        <v>8</v>
      </c>
      <c r="FF229" s="21">
        <f t="shared" si="360"/>
        <v>8</v>
      </c>
      <c r="FG229" s="21">
        <f t="shared" si="360"/>
        <v>16</v>
      </c>
      <c r="FH229" s="21">
        <f t="shared" si="360"/>
        <v>24</v>
      </c>
      <c r="FI229" s="21">
        <f t="shared" si="360"/>
        <v>24</v>
      </c>
      <c r="FJ229" s="21">
        <f t="shared" si="360"/>
        <v>32</v>
      </c>
      <c r="FK229" s="21"/>
      <c r="FL229" s="21"/>
      <c r="FM229" s="21"/>
      <c r="FN229" s="21"/>
      <c r="FO229" s="20" t="s">
        <v>779</v>
      </c>
      <c r="FP229" s="21">
        <v>0</v>
      </c>
      <c r="FQ229" s="21">
        <v>0</v>
      </c>
      <c r="FR229" s="21">
        <f t="shared" ref="FR229:FY229" si="361">FQ12/5*8</f>
        <v>0</v>
      </c>
      <c r="FS229" s="21">
        <f t="shared" si="361"/>
        <v>0</v>
      </c>
      <c r="FT229" s="21">
        <f t="shared" si="361"/>
        <v>8</v>
      </c>
      <c r="FU229" s="21">
        <f t="shared" si="361"/>
        <v>16</v>
      </c>
      <c r="FV229" s="21">
        <f t="shared" si="361"/>
        <v>16</v>
      </c>
      <c r="FW229" s="21">
        <f t="shared" si="361"/>
        <v>24</v>
      </c>
      <c r="FX229" s="21">
        <f t="shared" si="361"/>
        <v>32</v>
      </c>
      <c r="FY229" s="21">
        <f t="shared" si="361"/>
        <v>32</v>
      </c>
      <c r="FZ229" s="21"/>
      <c r="GA229" s="21"/>
      <c r="GB229" s="21"/>
      <c r="GC229" s="21"/>
      <c r="GD229" s="20" t="s">
        <v>779</v>
      </c>
      <c r="GE229" s="21">
        <v>0</v>
      </c>
      <c r="GF229" s="21">
        <v>0</v>
      </c>
      <c r="GG229" s="21">
        <f t="shared" ref="GG229:GN229" si="362">GF12/5*8</f>
        <v>0</v>
      </c>
      <c r="GH229" s="21">
        <f t="shared" si="362"/>
        <v>0</v>
      </c>
      <c r="GI229" s="21">
        <f t="shared" si="362"/>
        <v>8</v>
      </c>
      <c r="GJ229" s="21">
        <f t="shared" si="362"/>
        <v>16</v>
      </c>
      <c r="GK229" s="21">
        <f t="shared" si="362"/>
        <v>24</v>
      </c>
      <c r="GL229" s="21">
        <f t="shared" si="362"/>
        <v>24</v>
      </c>
      <c r="GM229" s="21">
        <f t="shared" si="362"/>
        <v>32</v>
      </c>
      <c r="GN229" s="21">
        <f t="shared" si="362"/>
        <v>40</v>
      </c>
      <c r="GO229" s="21"/>
      <c r="GP229" s="21"/>
      <c r="GQ229" s="21"/>
      <c r="GR229" s="21"/>
      <c r="GS229" s="20" t="s">
        <v>779</v>
      </c>
      <c r="GT229" s="21">
        <v>0</v>
      </c>
      <c r="GU229" s="21">
        <v>0</v>
      </c>
      <c r="GV229" s="21">
        <f t="shared" ref="GV229:HC229" si="363">GU12/5*8</f>
        <v>0</v>
      </c>
      <c r="GW229" s="21">
        <f t="shared" si="363"/>
        <v>0</v>
      </c>
      <c r="GX229" s="21">
        <f t="shared" si="363"/>
        <v>8</v>
      </c>
      <c r="GY229" s="21">
        <f t="shared" si="363"/>
        <v>16</v>
      </c>
      <c r="GZ229" s="21">
        <f t="shared" si="363"/>
        <v>24</v>
      </c>
      <c r="HA229" s="21">
        <f t="shared" si="363"/>
        <v>32</v>
      </c>
      <c r="HB229" s="21">
        <f t="shared" si="363"/>
        <v>32</v>
      </c>
      <c r="HC229" s="21">
        <f t="shared" si="363"/>
        <v>40</v>
      </c>
      <c r="HD229" s="21"/>
      <c r="HE229" s="21"/>
      <c r="HF229" s="21"/>
      <c r="HG229" s="198"/>
    </row>
    <row r="230" spans="1:215" x14ac:dyDescent="0.25">
      <c r="A230" s="8"/>
      <c r="B230" s="5" t="s">
        <v>116</v>
      </c>
      <c r="C230" s="8"/>
      <c r="D230" s="6" t="s">
        <v>752</v>
      </c>
      <c r="E230" s="59" t="str">
        <f>INDEX((AS209:AW211),MATCH(E228,AR209:AR211,0),MATCH(E229,AS208:AW208,0))</f>
        <v>DŁUGOŚĆ MODUŁU+50mm</v>
      </c>
      <c r="F230" s="9"/>
      <c r="G230" s="9"/>
      <c r="H230" s="9"/>
      <c r="I230" s="9"/>
      <c r="J230" s="29" t="s">
        <v>119</v>
      </c>
      <c r="K230" s="9"/>
      <c r="L230" s="6" t="s">
        <v>695</v>
      </c>
      <c r="M230" s="11">
        <f>INDEX(cennik!$C$2:$L$531,MATCH($L230,cennik!$B$2:$B$524,0),MATCH(M$2,cennik!$C$1:$L$1,0))</f>
        <v>650400</v>
      </c>
      <c r="N230" s="11" t="str">
        <f>INDEX(cennik!$C$2:$L$531,MATCH($L230,cennik!$B$2:$B$524,0),MATCH(N$2,cennik!$C$1:$L$1,0))</f>
        <v>szt.</v>
      </c>
      <c r="O230" s="11">
        <f>SUM(AD207:AD222)</f>
        <v>0</v>
      </c>
      <c r="P230" s="34">
        <f>INDEX(cennik!$C$2:$L$531,MATCH($L230,cennik!$B$2:$B$524,0),MATCH(P$2,cennik!$C$1:$L$1,0))</f>
        <v>14.53</v>
      </c>
      <c r="Q230" s="34">
        <f t="shared" si="334"/>
        <v>0</v>
      </c>
      <c r="R230" s="35">
        <f t="shared" si="322"/>
        <v>0</v>
      </c>
      <c r="S230" s="34">
        <f t="shared" si="323"/>
        <v>14.53</v>
      </c>
      <c r="T230" s="34">
        <f t="shared" si="335"/>
        <v>0</v>
      </c>
      <c r="U230" s="34">
        <f>INDEX(cennik!$C$2:$L$531,MATCH($L230,cennik!$B$2:$B$524,0),MATCH(U$2,cennik!$C$1:$L$1,0))*O230</f>
        <v>0</v>
      </c>
      <c r="W230" s="21"/>
      <c r="X230" s="21"/>
      <c r="Y230" s="21"/>
      <c r="Z230" s="21"/>
      <c r="AA230" s="21"/>
      <c r="AB230" s="21"/>
      <c r="AC230" s="21"/>
      <c r="AD230" s="21"/>
      <c r="AE230" s="21"/>
      <c r="AF230" s="21"/>
      <c r="AR230" s="180" t="s">
        <v>714</v>
      </c>
      <c r="AS230" s="180" t="s">
        <v>592</v>
      </c>
      <c r="AT230" s="180" t="s">
        <v>151</v>
      </c>
      <c r="AU230" s="180" t="s">
        <v>151</v>
      </c>
      <c r="AV230" s="180" t="s">
        <v>151</v>
      </c>
      <c r="BH230" s="196" t="s">
        <v>471</v>
      </c>
      <c r="BI230" s="21">
        <v>0</v>
      </c>
      <c r="BJ230" s="21">
        <v>8</v>
      </c>
      <c r="BK230" s="21">
        <v>12</v>
      </c>
      <c r="BL230" s="21">
        <v>16</v>
      </c>
      <c r="BM230" s="21">
        <v>20</v>
      </c>
      <c r="BN230" s="21">
        <v>24</v>
      </c>
      <c r="BO230" s="21">
        <v>28</v>
      </c>
      <c r="BP230" s="21">
        <v>32</v>
      </c>
      <c r="BQ230" s="21">
        <v>36</v>
      </c>
      <c r="BR230" s="21">
        <v>40</v>
      </c>
      <c r="BS230" s="21">
        <v>44</v>
      </c>
      <c r="BT230" s="21">
        <v>48</v>
      </c>
      <c r="BU230" s="21">
        <v>52</v>
      </c>
      <c r="BW230" s="180" t="s">
        <v>479</v>
      </c>
      <c r="BX230" s="180">
        <v>0</v>
      </c>
      <c r="BY230" s="180">
        <v>8</v>
      </c>
      <c r="BZ230" s="180">
        <v>12</v>
      </c>
      <c r="CA230" s="180">
        <v>16</v>
      </c>
      <c r="CB230" s="180">
        <v>20</v>
      </c>
      <c r="CC230" s="180">
        <v>24</v>
      </c>
      <c r="CD230" s="180">
        <v>28</v>
      </c>
      <c r="CE230" s="180">
        <v>32</v>
      </c>
      <c r="CF230" s="180">
        <v>36</v>
      </c>
      <c r="CG230" s="180">
        <v>40</v>
      </c>
      <c r="CH230" s="180">
        <v>44</v>
      </c>
      <c r="CI230" s="180">
        <v>48</v>
      </c>
      <c r="CJ230" s="180">
        <v>52</v>
      </c>
      <c r="DA230" s="198"/>
      <c r="EJ230" s="196"/>
      <c r="EK230" s="21"/>
      <c r="EL230" s="21"/>
      <c r="EM230" s="21"/>
      <c r="EN230" s="21"/>
      <c r="EO230" s="21"/>
      <c r="EP230" s="21"/>
      <c r="EQ230" s="21"/>
      <c r="ER230" s="21"/>
      <c r="ES230" s="21"/>
      <c r="ET230" s="21"/>
      <c r="EU230" s="21"/>
      <c r="EV230" s="21"/>
      <c r="EW230" s="21"/>
      <c r="EX230" s="21"/>
      <c r="EY230" s="21"/>
      <c r="EZ230" s="21"/>
      <c r="FA230" s="21"/>
      <c r="FB230" s="21"/>
      <c r="FC230" s="21"/>
      <c r="FD230" s="21"/>
      <c r="FE230" s="21"/>
      <c r="FF230" s="21"/>
      <c r="FG230" s="21"/>
      <c r="FH230" s="21"/>
      <c r="FI230" s="21"/>
      <c r="FJ230" s="21"/>
      <c r="FK230" s="21"/>
      <c r="FL230" s="21"/>
      <c r="FM230" s="21"/>
      <c r="FN230" s="21"/>
      <c r="FO230" s="21"/>
      <c r="FP230" s="21"/>
      <c r="FQ230" s="21"/>
      <c r="FR230" s="21"/>
      <c r="FS230" s="21"/>
      <c r="FT230" s="21"/>
      <c r="FU230" s="21"/>
      <c r="FV230" s="21"/>
      <c r="FW230" s="21"/>
      <c r="FX230" s="21"/>
      <c r="FY230" s="21"/>
      <c r="FZ230" s="21"/>
      <c r="GA230" s="21"/>
      <c r="GB230" s="21"/>
      <c r="GC230" s="21"/>
      <c r="GD230" s="21"/>
      <c r="GE230" s="21"/>
      <c r="GF230" s="21"/>
      <c r="GG230" s="21"/>
      <c r="GH230" s="21"/>
      <c r="GI230" s="21"/>
      <c r="GJ230" s="21"/>
      <c r="GK230" s="21"/>
      <c r="GL230" s="21"/>
      <c r="GM230" s="21"/>
      <c r="GN230" s="21"/>
      <c r="GO230" s="21"/>
      <c r="GP230" s="21"/>
      <c r="GQ230" s="21"/>
      <c r="GR230" s="21"/>
      <c r="GS230" s="21"/>
      <c r="GT230" s="21"/>
      <c r="GU230" s="21"/>
      <c r="GV230" s="21"/>
      <c r="GW230" s="21"/>
      <c r="GX230" s="21"/>
      <c r="GY230" s="21"/>
      <c r="GZ230" s="21"/>
      <c r="HA230" s="21"/>
      <c r="HB230" s="21"/>
      <c r="HC230" s="21"/>
      <c r="HD230" s="21"/>
      <c r="HE230" s="21"/>
      <c r="HF230" s="21"/>
      <c r="HG230" s="198"/>
    </row>
    <row r="231" spans="1:215" x14ac:dyDescent="0.25">
      <c r="A231" s="8"/>
      <c r="B231" s="5" t="s">
        <v>116</v>
      </c>
      <c r="C231" s="8"/>
      <c r="D231" s="6" t="str">
        <f>IF(E222=$AC$8,"długość śruby GSW","")</f>
        <v/>
      </c>
      <c r="E231" s="38">
        <v>1600</v>
      </c>
      <c r="F231" s="9"/>
      <c r="G231" s="9"/>
      <c r="H231" s="9"/>
      <c r="I231" s="9"/>
      <c r="J231" s="29" t="str">
        <f>IF(E222=$AC$8,"[mm]","")</f>
        <v/>
      </c>
      <c r="K231" s="9"/>
      <c r="L231" s="6" t="s">
        <v>694</v>
      </c>
      <c r="M231" s="11">
        <f>INDEX(cennik!$C$2:$L$531,MATCH($L231,cennik!$B$2:$B$524,0),MATCH(M$2,cennik!$C$1:$L$1,0))</f>
        <v>6500451</v>
      </c>
      <c r="N231" s="11" t="str">
        <f>INDEX(cennik!$C$2:$L$531,MATCH($L231,cennik!$B$2:$B$524,0),MATCH(N$2,cennik!$C$1:$L$1,0))</f>
        <v>100 szt.</v>
      </c>
      <c r="O231" s="11">
        <f>ROUNDUP((O229*2)/100,0)</f>
        <v>0</v>
      </c>
      <c r="P231" s="34">
        <f>INDEX(cennik!$C$2:$L$531,MATCH($L231,cennik!$B$2:$B$524,0),MATCH(P$2,cennik!$C$1:$L$1,0))</f>
        <v>14.29</v>
      </c>
      <c r="Q231" s="34">
        <f t="shared" si="334"/>
        <v>0</v>
      </c>
      <c r="R231" s="35">
        <f t="shared" si="322"/>
        <v>0</v>
      </c>
      <c r="S231" s="34">
        <f t="shared" si="323"/>
        <v>14.29</v>
      </c>
      <c r="T231" s="34">
        <f t="shared" si="335"/>
        <v>0</v>
      </c>
      <c r="U231" s="34">
        <f>INDEX(cennik!$C$2:$L$531,MATCH($L231,cennik!$B$2:$B$524,0),MATCH(U$2,cennik!$C$1:$L$1,0))*O231</f>
        <v>0</v>
      </c>
      <c r="W231" s="21"/>
      <c r="X231" s="21"/>
      <c r="Y231" s="21"/>
      <c r="Z231" s="21"/>
      <c r="AA231" s="21"/>
      <c r="AB231" s="21"/>
      <c r="AC231" s="21"/>
      <c r="AD231" s="21"/>
      <c r="AE231" s="21"/>
      <c r="AF231" s="21"/>
      <c r="AR231" s="180" t="s">
        <v>715</v>
      </c>
      <c r="AS231" s="180" t="s">
        <v>592</v>
      </c>
      <c r="AT231" s="180" t="s">
        <v>151</v>
      </c>
      <c r="AU231" s="180" t="s">
        <v>151</v>
      </c>
      <c r="AV231" s="180" t="s">
        <v>151</v>
      </c>
      <c r="BH231" s="196" t="s">
        <v>586</v>
      </c>
      <c r="BI231" s="21">
        <v>0</v>
      </c>
      <c r="BJ231" s="21">
        <v>0</v>
      </c>
      <c r="BK231" s="21">
        <v>0</v>
      </c>
      <c r="BL231" s="21">
        <v>0</v>
      </c>
      <c r="BM231" s="21">
        <v>0</v>
      </c>
      <c r="BN231" s="21">
        <v>0</v>
      </c>
      <c r="BO231" s="21">
        <v>0</v>
      </c>
      <c r="BP231" s="21">
        <v>0</v>
      </c>
      <c r="BQ231" s="21">
        <v>0</v>
      </c>
      <c r="BR231" s="21">
        <v>0</v>
      </c>
      <c r="BS231" s="21">
        <v>0</v>
      </c>
      <c r="BT231" s="21">
        <v>0</v>
      </c>
      <c r="BU231" s="21">
        <v>0</v>
      </c>
      <c r="BW231" s="180" t="s">
        <v>586</v>
      </c>
      <c r="BX231" s="180">
        <v>0</v>
      </c>
      <c r="BY231" s="180">
        <v>5</v>
      </c>
      <c r="BZ231" s="180">
        <v>0</v>
      </c>
      <c r="CA231" s="180">
        <v>0</v>
      </c>
      <c r="CB231" s="180">
        <v>0</v>
      </c>
      <c r="CC231" s="180">
        <v>0</v>
      </c>
      <c r="CD231" s="180">
        <v>0</v>
      </c>
      <c r="CE231" s="180">
        <v>0</v>
      </c>
      <c r="CF231" s="180">
        <v>0</v>
      </c>
      <c r="CG231" s="180">
        <v>0</v>
      </c>
      <c r="CH231" s="180">
        <v>0</v>
      </c>
      <c r="CI231" s="180">
        <v>0</v>
      </c>
      <c r="CJ231" s="180">
        <v>0</v>
      </c>
      <c r="DA231" s="198"/>
      <c r="EJ231" s="196"/>
      <c r="EK231" s="21" t="s">
        <v>132</v>
      </c>
      <c r="EL231" s="21">
        <v>0</v>
      </c>
      <c r="EM231" s="21">
        <v>6</v>
      </c>
      <c r="EN231" s="21">
        <v>12</v>
      </c>
      <c r="EO231" s="21">
        <v>18</v>
      </c>
      <c r="EP231" s="21">
        <v>24</v>
      </c>
      <c r="EQ231" s="21">
        <v>30</v>
      </c>
      <c r="ER231" s="21">
        <v>36</v>
      </c>
      <c r="ES231" s="21">
        <v>42</v>
      </c>
      <c r="ET231" s="21">
        <v>48</v>
      </c>
      <c r="EU231" s="21">
        <v>54</v>
      </c>
      <c r="EV231" s="21"/>
      <c r="EW231" s="21"/>
      <c r="EX231" s="21"/>
      <c r="EY231" s="21"/>
      <c r="EZ231" s="21" t="s">
        <v>471</v>
      </c>
      <c r="FA231" s="21">
        <v>0</v>
      </c>
      <c r="FB231" s="21">
        <v>6</v>
      </c>
      <c r="FC231" s="21">
        <v>12</v>
      </c>
      <c r="FD231" s="21">
        <v>18</v>
      </c>
      <c r="FE231" s="21">
        <v>24</v>
      </c>
      <c r="FF231" s="21">
        <v>30</v>
      </c>
      <c r="FG231" s="21">
        <v>36</v>
      </c>
      <c r="FH231" s="21">
        <v>42</v>
      </c>
      <c r="FI231" s="21">
        <v>48</v>
      </c>
      <c r="FJ231" s="21">
        <v>54</v>
      </c>
      <c r="FK231" s="21"/>
      <c r="FL231" s="21"/>
      <c r="FM231" s="21"/>
      <c r="FN231" s="21"/>
      <c r="FO231" s="21" t="s">
        <v>137</v>
      </c>
      <c r="FP231" s="21">
        <v>0</v>
      </c>
      <c r="FQ231" s="21">
        <v>6</v>
      </c>
      <c r="FR231" s="21">
        <v>12</v>
      </c>
      <c r="FS231" s="21">
        <v>18</v>
      </c>
      <c r="FT231" s="21">
        <v>24</v>
      </c>
      <c r="FU231" s="21">
        <v>30</v>
      </c>
      <c r="FV231" s="21">
        <v>36</v>
      </c>
      <c r="FW231" s="21">
        <v>42</v>
      </c>
      <c r="FX231" s="21">
        <v>48</v>
      </c>
      <c r="FY231" s="21">
        <v>54</v>
      </c>
      <c r="FZ231" s="21"/>
      <c r="GA231" s="21"/>
      <c r="GB231" s="21"/>
      <c r="GC231" s="21"/>
      <c r="GD231" s="21" t="s">
        <v>479</v>
      </c>
      <c r="GE231" s="21">
        <v>0</v>
      </c>
      <c r="GF231" s="21">
        <v>6</v>
      </c>
      <c r="GG231" s="21">
        <v>12</v>
      </c>
      <c r="GH231" s="21">
        <v>18</v>
      </c>
      <c r="GI231" s="21">
        <v>24</v>
      </c>
      <c r="GJ231" s="21">
        <v>30</v>
      </c>
      <c r="GK231" s="21">
        <v>36</v>
      </c>
      <c r="GL231" s="21">
        <v>42</v>
      </c>
      <c r="GM231" s="21">
        <v>48</v>
      </c>
      <c r="GN231" s="21">
        <v>54</v>
      </c>
      <c r="GO231" s="21"/>
      <c r="GP231" s="21"/>
      <c r="GQ231" s="21"/>
      <c r="GR231" s="21"/>
      <c r="GS231" s="21"/>
      <c r="GT231" s="21"/>
      <c r="GU231" s="21"/>
      <c r="GV231" s="21"/>
      <c r="GW231" s="21"/>
      <c r="GX231" s="21"/>
      <c r="GY231" s="21"/>
      <c r="GZ231" s="21"/>
      <c r="HA231" s="21"/>
      <c r="HB231" s="21"/>
      <c r="HC231" s="21"/>
      <c r="HD231" s="21"/>
      <c r="HE231" s="21"/>
      <c r="HF231" s="21"/>
      <c r="HG231" s="198"/>
    </row>
    <row r="232" spans="1:215" x14ac:dyDescent="0.25">
      <c r="A232" s="8"/>
      <c r="B232" s="5" t="s">
        <v>116</v>
      </c>
      <c r="C232" s="8"/>
      <c r="D232" s="40" t="s">
        <v>795</v>
      </c>
      <c r="E232" s="9"/>
      <c r="F232" s="9"/>
      <c r="G232" s="9"/>
      <c r="H232" s="9"/>
      <c r="I232" s="9"/>
      <c r="J232" s="9"/>
      <c r="K232" s="9"/>
      <c r="L232" s="6" t="s">
        <v>1111</v>
      </c>
      <c r="M232" s="11">
        <f>INDEX(cennik!$C$2:$L$531,MATCH($L232,cennik!$B$2:$B$524,0),MATCH(M$2,cennik!$C$1:$L$1,0))</f>
        <v>850252</v>
      </c>
      <c r="N232" s="11" t="str">
        <f>INDEX(cennik!$C$2:$L$531,MATCH($L232,cennik!$B$2:$B$524,0),MATCH(N$2,cennik!$C$1:$L$1,0))</f>
        <v>szt.</v>
      </c>
      <c r="O232" s="11">
        <f>O222+O228</f>
        <v>0</v>
      </c>
      <c r="P232" s="34">
        <f>INDEX(cennik!$C$2:$L$531,MATCH($L232,cennik!$B$2:$B$524,0),MATCH(P$2,cennik!$C$1:$L$1,0))</f>
        <v>6.06</v>
      </c>
      <c r="Q232" s="34">
        <f t="shared" si="334"/>
        <v>0</v>
      </c>
      <c r="R232" s="35">
        <f t="shared" si="322"/>
        <v>0</v>
      </c>
      <c r="S232" s="34">
        <f t="shared" si="323"/>
        <v>6.06</v>
      </c>
      <c r="T232" s="34">
        <f t="shared" si="335"/>
        <v>0</v>
      </c>
      <c r="U232" s="34">
        <f>INDEX(cennik!$C$2:$L$531,MATCH($L232,cennik!$B$2:$B$524,0),MATCH(U$2,cennik!$C$1:$L$1,0))*O232</f>
        <v>0</v>
      </c>
      <c r="W232" s="21"/>
      <c r="X232" s="21"/>
      <c r="Y232" s="21"/>
      <c r="Z232" s="21"/>
      <c r="AA232" s="21"/>
      <c r="AB232" s="21"/>
      <c r="AC232" s="21"/>
      <c r="AD232" s="21"/>
      <c r="AE232" s="21"/>
      <c r="AF232" s="21"/>
      <c r="BH232" s="196" t="s">
        <v>522</v>
      </c>
      <c r="BI232" s="21">
        <v>0</v>
      </c>
      <c r="BJ232" s="21">
        <v>5</v>
      </c>
      <c r="BK232" s="21">
        <v>0</v>
      </c>
      <c r="BL232" s="21">
        <v>10</v>
      </c>
      <c r="BM232" s="21">
        <v>0</v>
      </c>
      <c r="BN232" s="21">
        <v>10</v>
      </c>
      <c r="BO232" s="21">
        <v>5</v>
      </c>
      <c r="BP232" s="21">
        <v>15</v>
      </c>
      <c r="BQ232" s="21">
        <v>20</v>
      </c>
      <c r="BR232" s="21">
        <v>15</v>
      </c>
      <c r="BS232" s="21">
        <v>25</v>
      </c>
      <c r="BT232" s="21">
        <v>20</v>
      </c>
      <c r="BU232" s="21">
        <v>30</v>
      </c>
      <c r="BW232" s="180" t="s">
        <v>522</v>
      </c>
      <c r="BX232" s="180">
        <v>0</v>
      </c>
      <c r="BY232" s="180">
        <v>0</v>
      </c>
      <c r="BZ232" s="180">
        <v>5</v>
      </c>
      <c r="CA232" s="180">
        <v>0</v>
      </c>
      <c r="CB232" s="180">
        <v>10</v>
      </c>
      <c r="CC232" s="180">
        <v>5</v>
      </c>
      <c r="CD232" s="180">
        <v>15</v>
      </c>
      <c r="CE232" s="180">
        <v>10</v>
      </c>
      <c r="CF232" s="180">
        <v>20</v>
      </c>
      <c r="CG232" s="180">
        <v>15</v>
      </c>
      <c r="CH232" s="180">
        <v>25</v>
      </c>
      <c r="CI232" s="180">
        <v>20</v>
      </c>
      <c r="CJ232" s="180">
        <v>30</v>
      </c>
      <c r="DA232" s="198"/>
      <c r="EJ232" s="196"/>
      <c r="EK232" s="21" t="s">
        <v>586</v>
      </c>
      <c r="EL232" s="21">
        <v>0</v>
      </c>
      <c r="EM232" s="21">
        <v>0</v>
      </c>
      <c r="EN232" s="21">
        <f>EM15/5*8</f>
        <v>0</v>
      </c>
      <c r="EO232" s="21">
        <f t="shared" ref="EO232:EU232" si="364">EN15/5*8</f>
        <v>8</v>
      </c>
      <c r="EP232" s="21">
        <f t="shared" si="364"/>
        <v>8</v>
      </c>
      <c r="EQ232" s="21">
        <f t="shared" si="364"/>
        <v>0</v>
      </c>
      <c r="ER232" s="21">
        <f t="shared" si="364"/>
        <v>0</v>
      </c>
      <c r="ES232" s="21">
        <f t="shared" si="364"/>
        <v>0</v>
      </c>
      <c r="ET232" s="21">
        <f t="shared" si="364"/>
        <v>0</v>
      </c>
      <c r="EU232" s="21">
        <f t="shared" si="364"/>
        <v>0</v>
      </c>
      <c r="EZ232" s="180" t="s">
        <v>586</v>
      </c>
      <c r="FA232" s="21">
        <v>0</v>
      </c>
      <c r="FB232" s="21">
        <v>0</v>
      </c>
      <c r="FC232" s="21">
        <f>FB15/5*8</f>
        <v>0</v>
      </c>
      <c r="FD232" s="21">
        <f t="shared" ref="FD232:FJ232" si="365">FC15/5*8</f>
        <v>8</v>
      </c>
      <c r="FE232" s="21">
        <f t="shared" si="365"/>
        <v>0</v>
      </c>
      <c r="FF232" s="21">
        <f t="shared" si="365"/>
        <v>0</v>
      </c>
      <c r="FG232" s="21">
        <f t="shared" si="365"/>
        <v>0</v>
      </c>
      <c r="FH232" s="21">
        <f t="shared" si="365"/>
        <v>0</v>
      </c>
      <c r="FI232" s="21">
        <f t="shared" si="365"/>
        <v>0</v>
      </c>
      <c r="FJ232" s="21">
        <f t="shared" si="365"/>
        <v>0</v>
      </c>
      <c r="FO232" s="180" t="s">
        <v>586</v>
      </c>
      <c r="FP232" s="21">
        <v>0</v>
      </c>
      <c r="FQ232" s="21">
        <v>0</v>
      </c>
      <c r="FR232" s="21">
        <f>FQ15/5*8</f>
        <v>0</v>
      </c>
      <c r="FS232" s="21">
        <f t="shared" ref="FS232:FY232" si="366">FR15/5*8</f>
        <v>8</v>
      </c>
      <c r="FT232" s="21">
        <f t="shared" si="366"/>
        <v>0</v>
      </c>
      <c r="FU232" s="21">
        <f t="shared" si="366"/>
        <v>0</v>
      </c>
      <c r="FV232" s="21">
        <f t="shared" si="366"/>
        <v>0</v>
      </c>
      <c r="FW232" s="21">
        <f t="shared" si="366"/>
        <v>0</v>
      </c>
      <c r="FX232" s="21">
        <f t="shared" si="366"/>
        <v>0</v>
      </c>
      <c r="FY232" s="21">
        <f t="shared" si="366"/>
        <v>0</v>
      </c>
      <c r="GD232" s="180" t="s">
        <v>586</v>
      </c>
      <c r="GE232" s="21">
        <v>0</v>
      </c>
      <c r="GF232" s="21">
        <v>0</v>
      </c>
      <c r="GG232" s="21">
        <f>GF15/5*8</f>
        <v>0</v>
      </c>
      <c r="GH232" s="21">
        <f t="shared" ref="GH232:GN232" si="367">GG15/5*8</f>
        <v>8</v>
      </c>
      <c r="GI232" s="21">
        <f t="shared" si="367"/>
        <v>0</v>
      </c>
      <c r="GJ232" s="21">
        <f t="shared" si="367"/>
        <v>0</v>
      </c>
      <c r="GK232" s="21">
        <f t="shared" si="367"/>
        <v>0</v>
      </c>
      <c r="GL232" s="21">
        <f t="shared" si="367"/>
        <v>0</v>
      </c>
      <c r="GM232" s="21">
        <f t="shared" si="367"/>
        <v>0</v>
      </c>
      <c r="GN232" s="21">
        <f t="shared" si="367"/>
        <v>0</v>
      </c>
      <c r="GR232" s="21"/>
      <c r="GS232" s="21"/>
      <c r="GT232" s="21"/>
      <c r="GU232" s="21"/>
      <c r="GV232" s="21"/>
      <c r="GW232" s="21"/>
      <c r="GX232" s="21"/>
      <c r="GY232" s="21"/>
      <c r="GZ232" s="21"/>
      <c r="HA232" s="21"/>
      <c r="HB232" s="21"/>
      <c r="HC232" s="21"/>
      <c r="HD232" s="21"/>
      <c r="HE232" s="21"/>
      <c r="HF232" s="21"/>
      <c r="HG232" s="198"/>
    </row>
    <row r="233" spans="1:215" x14ac:dyDescent="0.25">
      <c r="A233" s="8"/>
      <c r="B233" s="5" t="s">
        <v>116</v>
      </c>
      <c r="C233" s="8"/>
      <c r="D233" s="40" t="s">
        <v>796</v>
      </c>
      <c r="E233" s="9"/>
      <c r="F233" s="9"/>
      <c r="G233" s="9"/>
      <c r="H233" s="9"/>
      <c r="I233" s="9"/>
      <c r="J233" s="9"/>
      <c r="K233" s="9"/>
      <c r="L233" s="6" t="s">
        <v>586</v>
      </c>
      <c r="M233" s="11">
        <f>INDEX(cennik!$C$2:$L$531,MATCH($L233,cennik!$B$2:$B$524,0),MATCH(M$2,cennik!$C$1:$L$1,0))</f>
        <v>867566</v>
      </c>
      <c r="N233" s="11" t="str">
        <f>INDEX(cennik!$C$2:$L$531,MATCH($L233,cennik!$B$2:$B$524,0),MATCH(N$2,cennik!$C$1:$L$1,0))</f>
        <v>szt.</v>
      </c>
      <c r="O233" s="11">
        <f>SUM(X209:X224)</f>
        <v>0</v>
      </c>
      <c r="P233" s="34">
        <f>INDEX(cennik!$C$2:$L$531,MATCH($L233,cennik!$B$2:$B$524,0),MATCH(P$2,cennik!$C$1:$L$1,0))</f>
        <v>265.20999999999998</v>
      </c>
      <c r="Q233" s="34">
        <f t="shared" si="334"/>
        <v>0</v>
      </c>
      <c r="R233" s="35">
        <f t="shared" si="322"/>
        <v>0</v>
      </c>
      <c r="S233" s="34">
        <f t="shared" si="323"/>
        <v>265.20999999999998</v>
      </c>
      <c r="T233" s="34">
        <f t="shared" si="335"/>
        <v>0</v>
      </c>
      <c r="U233" s="34">
        <f>INDEX(cennik!$C$2:$L$531,MATCH($L233,cennik!$B$2:$B$524,0),MATCH(U$2,cennik!$C$1:$L$1,0))*O233</f>
        <v>0</v>
      </c>
      <c r="W233" s="21"/>
      <c r="X233" s="21"/>
      <c r="Y233" s="21"/>
      <c r="Z233" s="21"/>
      <c r="AA233" s="21"/>
      <c r="AB233" s="21"/>
      <c r="AC233" s="21"/>
      <c r="AD233" s="21"/>
      <c r="AE233" s="21"/>
      <c r="AF233" s="21"/>
      <c r="AK233" s="180" t="s">
        <v>314</v>
      </c>
      <c r="AL233" s="180" t="s">
        <v>312</v>
      </c>
      <c r="AM233" s="180" t="s">
        <v>309</v>
      </c>
      <c r="AN233" s="180" t="s">
        <v>313</v>
      </c>
      <c r="AP233" s="180" t="s">
        <v>753</v>
      </c>
      <c r="BH233" s="196" t="s">
        <v>523</v>
      </c>
      <c r="BI233" s="21">
        <v>0</v>
      </c>
      <c r="BJ233" s="21">
        <v>0</v>
      </c>
      <c r="BK233" s="21">
        <v>10</v>
      </c>
      <c r="BL233" s="21">
        <v>0</v>
      </c>
      <c r="BM233" s="21">
        <v>15</v>
      </c>
      <c r="BN233" s="21">
        <v>5</v>
      </c>
      <c r="BO233" s="21">
        <v>15</v>
      </c>
      <c r="BP233" s="21">
        <v>5</v>
      </c>
      <c r="BQ233" s="21">
        <v>0</v>
      </c>
      <c r="BR233" s="21">
        <v>10</v>
      </c>
      <c r="BS233" s="21">
        <v>0</v>
      </c>
      <c r="BT233" s="21">
        <v>10</v>
      </c>
      <c r="BU233" s="21">
        <v>0</v>
      </c>
      <c r="BW233" s="180" t="s">
        <v>523</v>
      </c>
      <c r="BX233" s="180">
        <v>0</v>
      </c>
      <c r="BY233" s="180">
        <v>0</v>
      </c>
      <c r="BZ233" s="180">
        <v>5</v>
      </c>
      <c r="CA233" s="180">
        <v>15</v>
      </c>
      <c r="CB233" s="180">
        <v>5</v>
      </c>
      <c r="CC233" s="180">
        <v>15</v>
      </c>
      <c r="CD233" s="180">
        <v>5</v>
      </c>
      <c r="CE233" s="180">
        <v>15</v>
      </c>
      <c r="CF233" s="180">
        <v>5</v>
      </c>
      <c r="CG233" s="180">
        <v>15</v>
      </c>
      <c r="CH233" s="180">
        <v>5</v>
      </c>
      <c r="CI233" s="180">
        <v>15</v>
      </c>
      <c r="CJ233" s="180">
        <v>5</v>
      </c>
      <c r="DA233" s="198"/>
      <c r="EJ233" s="196"/>
      <c r="EK233" s="21" t="s">
        <v>522</v>
      </c>
      <c r="EL233" s="21">
        <v>0</v>
      </c>
      <c r="EM233" s="21">
        <v>0</v>
      </c>
      <c r="EN233" s="21">
        <f t="shared" ref="EN233:EU233" si="368">EM16/5*8</f>
        <v>0</v>
      </c>
      <c r="EO233" s="21">
        <f t="shared" si="368"/>
        <v>0</v>
      </c>
      <c r="EP233" s="21">
        <f t="shared" si="368"/>
        <v>0</v>
      </c>
      <c r="EQ233" s="21">
        <f t="shared" si="368"/>
        <v>16</v>
      </c>
      <c r="ER233" s="21">
        <f t="shared" si="368"/>
        <v>0</v>
      </c>
      <c r="ES233" s="21">
        <f t="shared" si="368"/>
        <v>16</v>
      </c>
      <c r="ET233" s="21">
        <f t="shared" si="368"/>
        <v>16</v>
      </c>
      <c r="EU233" s="21">
        <f t="shared" si="368"/>
        <v>16</v>
      </c>
      <c r="EV233" s="21"/>
      <c r="EW233" s="21"/>
      <c r="EX233" s="21"/>
      <c r="EY233" s="21"/>
      <c r="EZ233" s="21" t="s">
        <v>522</v>
      </c>
      <c r="FA233" s="21">
        <v>0</v>
      </c>
      <c r="FB233" s="21">
        <v>0</v>
      </c>
      <c r="FC233" s="21">
        <f t="shared" ref="FC233:FJ233" si="369">FB16/5*8</f>
        <v>0</v>
      </c>
      <c r="FD233" s="21">
        <f t="shared" si="369"/>
        <v>0</v>
      </c>
      <c r="FE233" s="21">
        <f t="shared" si="369"/>
        <v>8</v>
      </c>
      <c r="FF233" s="21">
        <f t="shared" si="369"/>
        <v>0</v>
      </c>
      <c r="FG233" s="21">
        <f t="shared" si="369"/>
        <v>16</v>
      </c>
      <c r="FH233" s="21">
        <f t="shared" si="369"/>
        <v>0</v>
      </c>
      <c r="FI233" s="21">
        <f t="shared" si="369"/>
        <v>16</v>
      </c>
      <c r="FJ233" s="21">
        <f t="shared" si="369"/>
        <v>8</v>
      </c>
      <c r="FK233" s="21"/>
      <c r="FL233" s="21"/>
      <c r="FM233" s="21"/>
      <c r="FN233" s="21"/>
      <c r="FO233" s="21" t="s">
        <v>522</v>
      </c>
      <c r="FP233" s="21">
        <v>0</v>
      </c>
      <c r="FQ233" s="21">
        <v>0</v>
      </c>
      <c r="FR233" s="21">
        <f t="shared" ref="FR233:FY233" si="370">FQ16/5*8</f>
        <v>8</v>
      </c>
      <c r="FS233" s="21">
        <f t="shared" si="370"/>
        <v>0</v>
      </c>
      <c r="FT233" s="21">
        <f t="shared" si="370"/>
        <v>16</v>
      </c>
      <c r="FU233" s="21">
        <f t="shared" si="370"/>
        <v>0</v>
      </c>
      <c r="FV233" s="21">
        <f t="shared" si="370"/>
        <v>16</v>
      </c>
      <c r="FW233" s="21">
        <f t="shared" si="370"/>
        <v>16</v>
      </c>
      <c r="FX233" s="21">
        <f t="shared" si="370"/>
        <v>0</v>
      </c>
      <c r="FY233" s="21">
        <f t="shared" si="370"/>
        <v>16</v>
      </c>
      <c r="FZ233" s="21"/>
      <c r="GA233" s="21"/>
      <c r="GB233" s="21"/>
      <c r="GC233" s="21"/>
      <c r="GD233" s="21" t="s">
        <v>522</v>
      </c>
      <c r="GE233" s="21">
        <v>0</v>
      </c>
      <c r="GF233" s="21">
        <v>0</v>
      </c>
      <c r="GG233" s="21">
        <f t="shared" ref="GG233:GN233" si="371">GF16/5*8</f>
        <v>8</v>
      </c>
      <c r="GH233" s="21">
        <f t="shared" si="371"/>
        <v>0</v>
      </c>
      <c r="GI233" s="21">
        <f t="shared" si="371"/>
        <v>16</v>
      </c>
      <c r="GJ233" s="21">
        <f t="shared" si="371"/>
        <v>16</v>
      </c>
      <c r="GK233" s="21">
        <f t="shared" si="371"/>
        <v>0</v>
      </c>
      <c r="GL233" s="21">
        <f t="shared" si="371"/>
        <v>16</v>
      </c>
      <c r="GM233" s="21">
        <f t="shared" si="371"/>
        <v>8</v>
      </c>
      <c r="GN233" s="21">
        <f t="shared" si="371"/>
        <v>8</v>
      </c>
      <c r="GO233" s="21"/>
      <c r="GP233" s="21"/>
      <c r="GQ233" s="21"/>
      <c r="GR233" s="21"/>
      <c r="GS233" s="21"/>
      <c r="GT233" s="21"/>
      <c r="GU233" s="21"/>
      <c r="GV233" s="21"/>
      <c r="GW233" s="21"/>
      <c r="GX233" s="21"/>
      <c r="GY233" s="21"/>
      <c r="GZ233" s="21"/>
      <c r="HA233" s="21"/>
      <c r="HB233" s="21"/>
      <c r="HC233" s="21"/>
      <c r="HD233" s="21"/>
      <c r="HE233" s="21"/>
      <c r="HF233" s="21"/>
      <c r="HG233" s="198"/>
    </row>
    <row r="234" spans="1:215" x14ac:dyDescent="0.25">
      <c r="A234" s="8"/>
      <c r="B234" s="5" t="s">
        <v>116</v>
      </c>
      <c r="C234" s="8"/>
      <c r="D234" s="40" t="s">
        <v>797</v>
      </c>
      <c r="E234" s="9"/>
      <c r="F234" s="9"/>
      <c r="G234" s="9"/>
      <c r="H234" s="9"/>
      <c r="I234" s="9"/>
      <c r="J234" s="9"/>
      <c r="K234" s="9"/>
      <c r="L234" s="6" t="s">
        <v>522</v>
      </c>
      <c r="M234" s="11">
        <f>INDEX(cennik!$C$2:$L$531,MATCH($L234,cennik!$B$2:$B$524,0),MATCH(M$2,cennik!$C$1:$L$1,0))</f>
        <v>867644</v>
      </c>
      <c r="N234" s="11" t="str">
        <f>INDEX(cennik!$C$2:$L$531,MATCH($L234,cennik!$B$2:$B$524,0),MATCH(N$2,cennik!$C$1:$L$1,0))</f>
        <v>szt.</v>
      </c>
      <c r="O234" s="11">
        <f>SUM(Y209:Y224)</f>
        <v>0</v>
      </c>
      <c r="P234" s="34">
        <f>INDEX(cennik!$C$2:$L$531,MATCH($L234,cennik!$B$2:$B$524,0),MATCH(P$2,cennik!$C$1:$L$1,0))</f>
        <v>176.8</v>
      </c>
      <c r="Q234" s="34">
        <f t="shared" si="334"/>
        <v>0</v>
      </c>
      <c r="R234" s="35">
        <f t="shared" si="322"/>
        <v>0</v>
      </c>
      <c r="S234" s="34">
        <f t="shared" si="323"/>
        <v>176.8</v>
      </c>
      <c r="T234" s="34">
        <f t="shared" si="335"/>
        <v>0</v>
      </c>
      <c r="U234" s="34">
        <f>INDEX(cennik!$C$2:$L$531,MATCH($L234,cennik!$B$2:$B$524,0),MATCH(U$2,cennik!$C$1:$L$1,0))*O234</f>
        <v>0</v>
      </c>
      <c r="W234" s="21"/>
      <c r="X234" s="21"/>
      <c r="Y234" s="21"/>
      <c r="Z234" s="21"/>
      <c r="AA234" s="21"/>
      <c r="AB234" s="21"/>
      <c r="AC234" s="21"/>
      <c r="AD234" s="21"/>
      <c r="AE234" s="21"/>
      <c r="AF234" s="21"/>
      <c r="AJ234" s="180">
        <v>25</v>
      </c>
      <c r="AK234" s="180" t="s">
        <v>754</v>
      </c>
      <c r="AL234" s="180" t="s">
        <v>756</v>
      </c>
      <c r="AM234" s="180" t="s">
        <v>758</v>
      </c>
      <c r="AN234" s="180" t="s">
        <v>760</v>
      </c>
      <c r="AP234" s="180" t="s">
        <v>717</v>
      </c>
      <c r="AQ234" s="180" t="s">
        <v>1157</v>
      </c>
      <c r="AR234" s="180">
        <v>2</v>
      </c>
      <c r="AS234" s="180" t="s">
        <v>1022</v>
      </c>
      <c r="AT234" s="180">
        <v>4</v>
      </c>
      <c r="AU234" s="180">
        <v>5</v>
      </c>
      <c r="BH234" s="20" t="s">
        <v>779</v>
      </c>
      <c r="BI234" s="21">
        <v>0</v>
      </c>
      <c r="BJ234" s="21">
        <v>0</v>
      </c>
      <c r="BK234" s="21">
        <v>5</v>
      </c>
      <c r="BL234" s="21">
        <v>5</v>
      </c>
      <c r="BM234" s="21">
        <v>10</v>
      </c>
      <c r="BN234" s="21">
        <v>10</v>
      </c>
      <c r="BO234" s="21">
        <v>15</v>
      </c>
      <c r="BP234" s="21">
        <v>15</v>
      </c>
      <c r="BQ234" s="21">
        <v>15</v>
      </c>
      <c r="BR234" s="21">
        <v>20</v>
      </c>
      <c r="BS234" s="21">
        <v>20</v>
      </c>
      <c r="BT234" s="21">
        <v>25</v>
      </c>
      <c r="BU234" s="21">
        <v>25</v>
      </c>
      <c r="BW234" s="20" t="s">
        <v>779</v>
      </c>
      <c r="BX234" s="180">
        <v>0</v>
      </c>
      <c r="BY234" s="180">
        <v>0</v>
      </c>
      <c r="BZ234" s="180">
        <v>5</v>
      </c>
      <c r="CA234" s="180">
        <v>10</v>
      </c>
      <c r="CB234" s="180">
        <v>10</v>
      </c>
      <c r="CC234" s="180">
        <v>15</v>
      </c>
      <c r="CD234" s="180">
        <v>15</v>
      </c>
      <c r="CE234" s="180">
        <v>20</v>
      </c>
      <c r="CF234" s="180">
        <v>20</v>
      </c>
      <c r="CG234" s="180">
        <v>25</v>
      </c>
      <c r="CH234" s="180">
        <v>25</v>
      </c>
      <c r="CI234" s="180">
        <v>30</v>
      </c>
      <c r="CJ234" s="180">
        <v>30</v>
      </c>
      <c r="DA234" s="198"/>
      <c r="EJ234" s="196"/>
      <c r="EK234" s="21" t="s">
        <v>523</v>
      </c>
      <c r="EL234" s="21">
        <v>0</v>
      </c>
      <c r="EM234" s="21">
        <v>8</v>
      </c>
      <c r="EN234" s="21">
        <f t="shared" ref="EN234:EU234" si="372">EM17/5*8</f>
        <v>8</v>
      </c>
      <c r="EO234" s="21">
        <f t="shared" si="372"/>
        <v>0</v>
      </c>
      <c r="EP234" s="21">
        <f t="shared" si="372"/>
        <v>0</v>
      </c>
      <c r="EQ234" s="21">
        <f t="shared" si="372"/>
        <v>0</v>
      </c>
      <c r="ER234" s="21">
        <f t="shared" si="372"/>
        <v>24</v>
      </c>
      <c r="ES234" s="21">
        <f t="shared" si="372"/>
        <v>8</v>
      </c>
      <c r="ET234" s="21">
        <f t="shared" si="372"/>
        <v>16</v>
      </c>
      <c r="EU234" s="21">
        <f t="shared" si="372"/>
        <v>16</v>
      </c>
      <c r="EV234" s="21"/>
      <c r="EW234" s="21"/>
      <c r="EX234" s="21"/>
      <c r="EY234" s="21"/>
      <c r="EZ234" s="21" t="s">
        <v>523</v>
      </c>
      <c r="FA234" s="21">
        <v>0</v>
      </c>
      <c r="FB234" s="21">
        <v>8</v>
      </c>
      <c r="FC234" s="21">
        <f t="shared" ref="FC234:FJ234" si="373">FB17/5*8</f>
        <v>8</v>
      </c>
      <c r="FD234" s="21">
        <f t="shared" si="373"/>
        <v>0</v>
      </c>
      <c r="FE234" s="21">
        <f t="shared" si="373"/>
        <v>8</v>
      </c>
      <c r="FF234" s="21">
        <f t="shared" si="373"/>
        <v>24</v>
      </c>
      <c r="FG234" s="21">
        <f t="shared" si="373"/>
        <v>8</v>
      </c>
      <c r="FH234" s="21">
        <f t="shared" si="373"/>
        <v>32</v>
      </c>
      <c r="FI234" s="21">
        <f t="shared" si="373"/>
        <v>16</v>
      </c>
      <c r="FJ234" s="21">
        <f t="shared" si="373"/>
        <v>32</v>
      </c>
      <c r="FK234" s="21"/>
      <c r="FL234" s="21"/>
      <c r="FM234" s="21"/>
      <c r="FN234" s="21"/>
      <c r="FO234" s="21" t="s">
        <v>523</v>
      </c>
      <c r="FP234" s="21">
        <v>0</v>
      </c>
      <c r="FQ234" s="21">
        <v>8</v>
      </c>
      <c r="FR234" s="21">
        <f t="shared" ref="FR234:FY234" si="374">FQ17/5*8</f>
        <v>0</v>
      </c>
      <c r="FS234" s="21">
        <f t="shared" si="374"/>
        <v>0</v>
      </c>
      <c r="FT234" s="21">
        <f t="shared" si="374"/>
        <v>0</v>
      </c>
      <c r="FU234" s="21">
        <f t="shared" si="374"/>
        <v>24</v>
      </c>
      <c r="FV234" s="21">
        <f t="shared" si="374"/>
        <v>8</v>
      </c>
      <c r="FW234" s="21">
        <f t="shared" si="374"/>
        <v>16</v>
      </c>
      <c r="FX234" s="21">
        <f t="shared" si="374"/>
        <v>40</v>
      </c>
      <c r="FY234" s="21">
        <f t="shared" si="374"/>
        <v>24</v>
      </c>
      <c r="FZ234" s="21"/>
      <c r="GA234" s="21"/>
      <c r="GB234" s="21"/>
      <c r="GC234" s="21"/>
      <c r="GD234" s="21" t="s">
        <v>523</v>
      </c>
      <c r="GE234" s="21">
        <v>0</v>
      </c>
      <c r="GF234" s="21">
        <v>8</v>
      </c>
      <c r="GG234" s="21">
        <f t="shared" ref="GG234:GN234" si="375">GF17/5*8</f>
        <v>0</v>
      </c>
      <c r="GH234" s="21">
        <f t="shared" si="375"/>
        <v>0</v>
      </c>
      <c r="GI234" s="21">
        <f t="shared" si="375"/>
        <v>0</v>
      </c>
      <c r="GJ234" s="21">
        <f t="shared" si="375"/>
        <v>8</v>
      </c>
      <c r="GK234" s="21">
        <f t="shared" si="375"/>
        <v>32</v>
      </c>
      <c r="GL234" s="21">
        <f t="shared" si="375"/>
        <v>16</v>
      </c>
      <c r="GM234" s="21">
        <f t="shared" si="375"/>
        <v>32</v>
      </c>
      <c r="GN234" s="21">
        <f t="shared" si="375"/>
        <v>40</v>
      </c>
      <c r="GO234" s="21"/>
      <c r="GP234" s="21"/>
      <c r="GQ234" s="21"/>
      <c r="GR234" s="21"/>
      <c r="GS234" s="21"/>
      <c r="GT234" s="21"/>
      <c r="GU234" s="21"/>
      <c r="GV234" s="21"/>
      <c r="GW234" s="21"/>
      <c r="GX234" s="21"/>
      <c r="GY234" s="21"/>
      <c r="GZ234" s="21"/>
      <c r="HA234" s="21"/>
      <c r="HB234" s="21"/>
      <c r="HC234" s="21"/>
      <c r="HD234" s="21"/>
      <c r="HE234" s="21"/>
      <c r="HF234" s="21"/>
      <c r="HG234" s="198"/>
    </row>
    <row r="235" spans="1:215" ht="15.75" thickBot="1" x14ac:dyDescent="0.3">
      <c r="A235" s="9"/>
      <c r="B235" s="6"/>
      <c r="C235" s="9"/>
      <c r="D235" s="40" t="s">
        <v>798</v>
      </c>
      <c r="E235" s="9"/>
      <c r="F235" s="9"/>
      <c r="G235" s="9"/>
      <c r="H235" s="9"/>
      <c r="I235" s="9"/>
      <c r="J235" s="9"/>
      <c r="K235" s="9"/>
      <c r="L235" s="6" t="s">
        <v>523</v>
      </c>
      <c r="M235" s="11">
        <f>INDEX(cennik!$C$2:$L$531,MATCH($L235,cennik!$B$2:$B$524,0),MATCH(M$2,cennik!$C$1:$L$1,0))</f>
        <v>867633</v>
      </c>
      <c r="N235" s="11" t="str">
        <f>INDEX(cennik!$C$2:$L$531,MATCH($L235,cennik!$B$2:$B$524,0),MATCH(N$2,cennik!$C$1:$L$1,0))</f>
        <v>szt.</v>
      </c>
      <c r="O235" s="11">
        <f>SUM(Z209:Z224)</f>
        <v>0</v>
      </c>
      <c r="P235" s="34">
        <f>INDEX(cennik!$C$2:$L$531,MATCH($L235,cennik!$B$2:$B$524,0),MATCH(P$2,cennik!$C$1:$L$1,0))</f>
        <v>132.6</v>
      </c>
      <c r="Q235" s="34">
        <f t="shared" si="334"/>
        <v>0</v>
      </c>
      <c r="R235" s="35">
        <f t="shared" si="322"/>
        <v>0</v>
      </c>
      <c r="S235" s="34">
        <f t="shared" si="323"/>
        <v>132.6</v>
      </c>
      <c r="T235" s="34">
        <f t="shared" si="335"/>
        <v>0</v>
      </c>
      <c r="U235" s="34">
        <f>INDEX(cennik!$C$2:$L$531,MATCH($L235,cennik!$B$2:$B$524,0),MATCH(U$2,cennik!$C$1:$L$1,0))*O235</f>
        <v>0</v>
      </c>
      <c r="AJ235" s="180">
        <v>30</v>
      </c>
      <c r="AK235" s="180" t="s">
        <v>755</v>
      </c>
      <c r="AL235" s="180" t="s">
        <v>757</v>
      </c>
      <c r="AM235" s="180" t="s">
        <v>759</v>
      </c>
      <c r="AN235" s="180" t="s">
        <v>761</v>
      </c>
      <c r="AP235" s="180">
        <v>1</v>
      </c>
      <c r="AQ235" s="180" t="s">
        <v>775</v>
      </c>
      <c r="AR235" s="180" t="s">
        <v>775</v>
      </c>
      <c r="AS235" s="180" t="s">
        <v>775</v>
      </c>
      <c r="AT235" s="180" t="s">
        <v>775</v>
      </c>
      <c r="AU235" s="180" t="s">
        <v>719</v>
      </c>
      <c r="BH235" s="213"/>
      <c r="BI235" s="208"/>
      <c r="BJ235" s="208"/>
      <c r="BK235" s="208"/>
      <c r="BL235" s="208"/>
      <c r="BM235" s="208"/>
      <c r="BN235" s="208"/>
      <c r="BO235" s="208"/>
      <c r="BP235" s="208"/>
      <c r="BQ235" s="208"/>
      <c r="BR235" s="208"/>
      <c r="BS235" s="208"/>
      <c r="BT235" s="208"/>
      <c r="BU235" s="208"/>
      <c r="BV235" s="208"/>
      <c r="BW235" s="208"/>
      <c r="BX235" s="208"/>
      <c r="BY235" s="208"/>
      <c r="BZ235" s="208"/>
      <c r="CA235" s="208"/>
      <c r="CB235" s="208"/>
      <c r="CC235" s="208"/>
      <c r="CD235" s="208"/>
      <c r="CE235" s="208"/>
      <c r="CF235" s="208"/>
      <c r="CG235" s="208"/>
      <c r="CH235" s="208"/>
      <c r="CI235" s="208"/>
      <c r="CJ235" s="208"/>
      <c r="CK235" s="208"/>
      <c r="CL235" s="208"/>
      <c r="CM235" s="208"/>
      <c r="CN235" s="208"/>
      <c r="CO235" s="208"/>
      <c r="CP235" s="208"/>
      <c r="CQ235" s="208"/>
      <c r="CR235" s="208"/>
      <c r="CS235" s="208"/>
      <c r="CT235" s="208"/>
      <c r="CU235" s="208"/>
      <c r="CV235" s="208"/>
      <c r="CW235" s="208"/>
      <c r="CX235" s="208"/>
      <c r="CY235" s="208"/>
      <c r="CZ235" s="208"/>
      <c r="DA235" s="209"/>
      <c r="EJ235" s="196"/>
      <c r="EK235" s="20" t="s">
        <v>779</v>
      </c>
      <c r="EL235" s="21">
        <v>0</v>
      </c>
      <c r="EM235" s="21">
        <v>0</v>
      </c>
      <c r="EN235" s="21">
        <f t="shared" ref="EN235:EU235" si="376">EM18/5*8</f>
        <v>0</v>
      </c>
      <c r="EO235" s="21">
        <f t="shared" si="376"/>
        <v>0</v>
      </c>
      <c r="EP235" s="21">
        <f t="shared" si="376"/>
        <v>0</v>
      </c>
      <c r="EQ235" s="21">
        <f t="shared" si="376"/>
        <v>8</v>
      </c>
      <c r="ER235" s="21">
        <f t="shared" si="376"/>
        <v>16</v>
      </c>
      <c r="ES235" s="21">
        <f t="shared" si="376"/>
        <v>16</v>
      </c>
      <c r="ET235" s="21">
        <f t="shared" si="376"/>
        <v>24</v>
      </c>
      <c r="EU235" s="21">
        <f t="shared" si="376"/>
        <v>24</v>
      </c>
      <c r="EV235" s="21"/>
      <c r="EW235" s="21"/>
      <c r="EX235" s="21"/>
      <c r="EY235" s="21"/>
      <c r="EZ235" s="20" t="s">
        <v>779</v>
      </c>
      <c r="FA235" s="21">
        <v>0</v>
      </c>
      <c r="FB235" s="21">
        <v>0</v>
      </c>
      <c r="FC235" s="21">
        <f t="shared" ref="FC235:FJ235" si="377">FB18/5*8</f>
        <v>0</v>
      </c>
      <c r="FD235" s="21">
        <f t="shared" si="377"/>
        <v>0</v>
      </c>
      <c r="FE235" s="21">
        <f t="shared" si="377"/>
        <v>8</v>
      </c>
      <c r="FF235" s="21">
        <f t="shared" si="377"/>
        <v>16</v>
      </c>
      <c r="FG235" s="21">
        <f t="shared" si="377"/>
        <v>16</v>
      </c>
      <c r="FH235" s="21">
        <f t="shared" si="377"/>
        <v>24</v>
      </c>
      <c r="FI235" s="21">
        <f t="shared" si="377"/>
        <v>24</v>
      </c>
      <c r="FJ235" s="21">
        <f t="shared" si="377"/>
        <v>32</v>
      </c>
      <c r="FK235" s="21"/>
      <c r="FL235" s="21"/>
      <c r="FM235" s="21"/>
      <c r="FN235" s="21"/>
      <c r="FO235" s="20" t="s">
        <v>779</v>
      </c>
      <c r="FP235" s="21">
        <v>0</v>
      </c>
      <c r="FQ235" s="21">
        <v>0</v>
      </c>
      <c r="FR235" s="21">
        <f t="shared" ref="FR235:FY235" si="378">FQ18/5*8</f>
        <v>0</v>
      </c>
      <c r="FS235" s="21">
        <f t="shared" si="378"/>
        <v>0</v>
      </c>
      <c r="FT235" s="21">
        <f t="shared" si="378"/>
        <v>8</v>
      </c>
      <c r="FU235" s="21">
        <f t="shared" si="378"/>
        <v>16</v>
      </c>
      <c r="FV235" s="21">
        <f t="shared" si="378"/>
        <v>16</v>
      </c>
      <c r="FW235" s="21">
        <f t="shared" si="378"/>
        <v>24</v>
      </c>
      <c r="FX235" s="21">
        <f t="shared" si="378"/>
        <v>32</v>
      </c>
      <c r="FY235" s="21">
        <f t="shared" si="378"/>
        <v>32</v>
      </c>
      <c r="FZ235" s="21"/>
      <c r="GA235" s="21"/>
      <c r="GB235" s="21"/>
      <c r="GC235" s="21"/>
      <c r="GD235" s="20" t="s">
        <v>779</v>
      </c>
      <c r="GE235" s="21">
        <v>0</v>
      </c>
      <c r="GF235" s="21">
        <v>0</v>
      </c>
      <c r="GG235" s="21">
        <f t="shared" ref="GG235:GN235" si="379">GF18/5*8</f>
        <v>0</v>
      </c>
      <c r="GH235" s="21">
        <f t="shared" si="379"/>
        <v>0</v>
      </c>
      <c r="GI235" s="21">
        <f t="shared" si="379"/>
        <v>8</v>
      </c>
      <c r="GJ235" s="21">
        <f t="shared" si="379"/>
        <v>16</v>
      </c>
      <c r="GK235" s="21">
        <f t="shared" si="379"/>
        <v>24</v>
      </c>
      <c r="GL235" s="21">
        <f t="shared" si="379"/>
        <v>24</v>
      </c>
      <c r="GM235" s="21">
        <f t="shared" si="379"/>
        <v>32</v>
      </c>
      <c r="GN235" s="21">
        <f t="shared" si="379"/>
        <v>40</v>
      </c>
      <c r="GO235" s="21"/>
      <c r="GP235" s="21"/>
      <c r="GQ235" s="21"/>
      <c r="GR235" s="21"/>
      <c r="GS235" s="21"/>
      <c r="GT235" s="21"/>
      <c r="GU235" s="21"/>
      <c r="GV235" s="21"/>
      <c r="GW235" s="21"/>
      <c r="GX235" s="21"/>
      <c r="GY235" s="21"/>
      <c r="GZ235" s="21"/>
      <c r="HA235" s="21"/>
      <c r="HB235" s="21"/>
      <c r="HC235" s="21"/>
      <c r="HD235" s="21"/>
      <c r="HE235" s="21"/>
      <c r="HF235" s="21"/>
      <c r="HG235" s="198"/>
    </row>
    <row r="236" spans="1:215" x14ac:dyDescent="0.25">
      <c r="A236" s="1"/>
      <c r="B236" s="1"/>
      <c r="C236" s="1"/>
      <c r="D236" s="9"/>
      <c r="E236" s="9"/>
      <c r="F236" s="9"/>
      <c r="G236" s="9"/>
      <c r="H236" s="9"/>
      <c r="I236" s="9"/>
      <c r="J236" s="9"/>
      <c r="K236" s="9"/>
      <c r="L236" s="6" t="s">
        <v>779</v>
      </c>
      <c r="M236" s="11">
        <f>INDEX(cennik!$C$2:$L$531,MATCH($L236,cennik!$B$2:$B$524,0),MATCH(M$2,cennik!$C$1:$L$1,0))</f>
        <v>856105</v>
      </c>
      <c r="N236" s="11" t="str">
        <f>INDEX(cennik!$C$2:$L$531,MATCH($L236,cennik!$B$2:$B$524,0),MATCH(N$2,cennik!$C$1:$L$1,0))</f>
        <v>szt.</v>
      </c>
      <c r="O236" s="11">
        <f>SUM(W209:W224)</f>
        <v>0</v>
      </c>
      <c r="P236" s="34">
        <f>INDEX(cennik!$C$2:$L$531,MATCH($L236,cennik!$B$2:$B$524,0),MATCH(P$2,cennik!$C$1:$L$1,0))</f>
        <v>21.81</v>
      </c>
      <c r="Q236" s="34">
        <f t="shared" si="334"/>
        <v>0</v>
      </c>
      <c r="R236" s="35">
        <f t="shared" si="322"/>
        <v>0</v>
      </c>
      <c r="S236" s="34">
        <f t="shared" si="323"/>
        <v>21.81</v>
      </c>
      <c r="T236" s="34">
        <f t="shared" si="335"/>
        <v>0</v>
      </c>
      <c r="U236" s="34">
        <f>INDEX(cennik!$C$2:$L$531,MATCH($L236,cennik!$B$2:$B$524,0),MATCH(U$2,cennik!$C$1:$L$1,0))*O236</f>
        <v>0</v>
      </c>
      <c r="AP236" s="180">
        <v>2</v>
      </c>
      <c r="AQ236" s="180" t="s">
        <v>719</v>
      </c>
      <c r="AR236" s="180" t="s">
        <v>775</v>
      </c>
      <c r="AS236" s="180" t="s">
        <v>775</v>
      </c>
      <c r="AT236" s="180" t="s">
        <v>719</v>
      </c>
      <c r="AU236" s="180" t="s">
        <v>719</v>
      </c>
      <c r="EJ236" s="196"/>
      <c r="EK236" s="21"/>
      <c r="EL236" s="21"/>
      <c r="EM236" s="21"/>
      <c r="EN236" s="21"/>
      <c r="EO236" s="21"/>
      <c r="EP236" s="21"/>
      <c r="EQ236" s="21"/>
      <c r="ER236" s="21"/>
      <c r="ES236" s="21"/>
      <c r="ET236" s="21"/>
      <c r="EU236" s="21"/>
      <c r="EV236" s="21"/>
      <c r="EW236" s="21"/>
      <c r="EX236" s="21"/>
      <c r="EY236" s="21"/>
      <c r="EZ236" s="21"/>
      <c r="FA236" s="21"/>
      <c r="FB236" s="21"/>
      <c r="FC236" s="21"/>
      <c r="FD236" s="21"/>
      <c r="FE236" s="21"/>
      <c r="FF236" s="21"/>
      <c r="FG236" s="21"/>
      <c r="FH236" s="21"/>
      <c r="FI236" s="21"/>
      <c r="FJ236" s="21"/>
      <c r="FK236" s="21"/>
      <c r="FL236" s="21"/>
      <c r="FM236" s="21"/>
      <c r="FN236" s="21"/>
      <c r="FO236" s="21"/>
      <c r="FP236" s="21"/>
      <c r="FQ236" s="21"/>
      <c r="FR236" s="21"/>
      <c r="FS236" s="21"/>
      <c r="FT236" s="21"/>
      <c r="FU236" s="21"/>
      <c r="FV236" s="21"/>
      <c r="FW236" s="21"/>
      <c r="FX236" s="21"/>
      <c r="FY236" s="21"/>
      <c r="FZ236" s="21"/>
      <c r="GA236" s="21"/>
      <c r="GB236" s="21"/>
      <c r="GC236" s="21"/>
      <c r="GD236" s="21"/>
      <c r="GE236" s="21"/>
      <c r="GF236" s="21"/>
      <c r="GG236" s="21"/>
      <c r="GH236" s="21"/>
      <c r="GI236" s="21"/>
      <c r="GJ236" s="21"/>
      <c r="GK236" s="21"/>
      <c r="GL236" s="21"/>
      <c r="GM236" s="21"/>
      <c r="GN236" s="21"/>
      <c r="GO236" s="21"/>
      <c r="GP236" s="21"/>
      <c r="GQ236" s="21"/>
      <c r="GR236" s="21"/>
      <c r="GS236" s="21"/>
      <c r="GT236" s="21"/>
      <c r="GU236" s="21"/>
      <c r="GV236" s="21"/>
      <c r="GW236" s="21"/>
      <c r="GX236" s="21"/>
      <c r="GY236" s="21"/>
      <c r="GZ236" s="21"/>
      <c r="HA236" s="21"/>
      <c r="HB236" s="21"/>
      <c r="HC236" s="21"/>
      <c r="HD236" s="21"/>
      <c r="HE236" s="21"/>
      <c r="HF236" s="21"/>
      <c r="HG236" s="197"/>
    </row>
    <row r="237" spans="1:215" x14ac:dyDescent="0.25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6" t="str">
        <f>INDEX(($AH$3:$AI$12),MATCH(I220,$AG$3:$AG$12,0),MATCH(E221,$AH$2:$AI$2,0))</f>
        <v>BUF30</v>
      </c>
      <c r="M237" s="11">
        <f>INDEX(cennik!$C$2:$L$531,MATCH($L237,cennik!$B$2:$B$524,0),MATCH(M$2,cennik!$C$1:$L$1,0))</f>
        <v>897330</v>
      </c>
      <c r="N237" s="11" t="str">
        <f>INDEX(cennik!$C$2:$L$531,MATCH($L237,cennik!$B$2:$B$524,0),MATCH(N$2,cennik!$C$1:$L$1,0))</f>
        <v>szt.</v>
      </c>
      <c r="O237" s="11">
        <f>SUM((A219*C219),(A220*C220),(A221*C221),(A222*C222),(A223*C223),(A224*C224),(A225*C225),(A226*C226),(A227*C227),(A228*C228),(A229*C229),(A230*C230),(A231*C231),(A232*C232),(A233*C233),(A234*C234))</f>
        <v>0</v>
      </c>
      <c r="P237" s="34">
        <f>INDEX(cennik!$C$2:$L$531,MATCH($L237,cennik!$B$2:$B$524,0),MATCH(P$2,cennik!$C$1:$L$1,0))</f>
        <v>1.92</v>
      </c>
      <c r="Q237" s="34">
        <f t="shared" si="334"/>
        <v>0</v>
      </c>
      <c r="R237" s="35">
        <f t="shared" si="322"/>
        <v>0</v>
      </c>
      <c r="S237" s="34">
        <f t="shared" si="323"/>
        <v>1.92</v>
      </c>
      <c r="T237" s="34">
        <f t="shared" si="335"/>
        <v>0</v>
      </c>
      <c r="U237" s="34">
        <f>INDEX(cennik!$C$2:$L$531,MATCH($L237,cennik!$B$2:$B$524,0),MATCH(U$2,cennik!$C$1:$L$1,0))*O237</f>
        <v>0</v>
      </c>
      <c r="AP237" s="180" t="s">
        <v>725</v>
      </c>
      <c r="AQ237" s="180" t="s">
        <v>775</v>
      </c>
      <c r="AR237" s="180" t="s">
        <v>719</v>
      </c>
      <c r="AS237" s="180" t="s">
        <v>775</v>
      </c>
      <c r="AT237" s="180" t="s">
        <v>719</v>
      </c>
      <c r="AU237" s="180" t="s">
        <v>741</v>
      </c>
      <c r="EJ237" s="196"/>
      <c r="EK237" s="21"/>
      <c r="EL237" s="21"/>
      <c r="EM237" s="21"/>
      <c r="EN237" s="21"/>
      <c r="EO237" s="21"/>
      <c r="EP237" s="21"/>
      <c r="EQ237" s="21"/>
      <c r="ER237" s="21"/>
      <c r="ES237" s="21"/>
      <c r="ET237" s="21"/>
      <c r="EU237" s="21"/>
      <c r="EV237" s="21"/>
      <c r="EW237" s="21"/>
      <c r="EX237" s="21"/>
      <c r="EY237" s="21"/>
      <c r="EZ237" s="21"/>
      <c r="FA237" s="21"/>
      <c r="FB237" s="21"/>
      <c r="FC237" s="21"/>
      <c r="FD237" s="21"/>
      <c r="FE237" s="21"/>
      <c r="FF237" s="21"/>
      <c r="FG237" s="21"/>
      <c r="FH237" s="21"/>
      <c r="FI237" s="21"/>
      <c r="FJ237" s="21"/>
      <c r="FK237" s="21"/>
      <c r="FL237" s="21"/>
      <c r="FM237" s="21"/>
      <c r="FN237" s="21"/>
      <c r="FO237" s="21"/>
      <c r="FP237" s="21"/>
      <c r="FQ237" s="21"/>
      <c r="FR237" s="21"/>
      <c r="FS237" s="21"/>
      <c r="FT237" s="21"/>
      <c r="FU237" s="21"/>
      <c r="FV237" s="21"/>
      <c r="FW237" s="21"/>
      <c r="FX237" s="21"/>
      <c r="FY237" s="21"/>
      <c r="FZ237" s="21"/>
      <c r="GA237" s="21"/>
      <c r="GB237" s="21"/>
      <c r="GC237" s="21"/>
      <c r="GD237" s="21"/>
      <c r="GE237" s="21"/>
      <c r="GF237" s="21"/>
      <c r="GG237" s="21"/>
      <c r="GH237" s="21"/>
      <c r="GI237" s="21"/>
      <c r="GJ237" s="21"/>
      <c r="GK237" s="21"/>
      <c r="GL237" s="21"/>
      <c r="GM237" s="21"/>
      <c r="GN237" s="21"/>
      <c r="GO237" s="21"/>
      <c r="GP237" s="21"/>
      <c r="GQ237" s="21"/>
      <c r="GR237" s="21"/>
      <c r="GS237" s="21"/>
      <c r="GT237" s="21"/>
      <c r="GU237" s="21"/>
      <c r="GV237" s="21"/>
      <c r="GW237" s="21"/>
      <c r="GX237" s="21"/>
      <c r="GY237" s="21"/>
      <c r="GZ237" s="21"/>
      <c r="HA237" s="21"/>
      <c r="HB237" s="21"/>
      <c r="HC237" s="21"/>
      <c r="HD237" s="21"/>
      <c r="HE237" s="21"/>
      <c r="HF237" s="21"/>
      <c r="HG237" s="197"/>
    </row>
    <row r="238" spans="1:215" x14ac:dyDescent="0.25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6" t="str">
        <f>INDEX(($AH$13:$AI$13),1,MATCH(E221,$AH$2:$AI$2,0))</f>
        <v>PUF</v>
      </c>
      <c r="M238" s="11">
        <f>INDEX(cennik!$C$2:$L$531,MATCH($L238,cennik!$B$2:$B$524,0),MATCH(M$2,cennik!$C$1:$L$1,0))</f>
        <v>897300</v>
      </c>
      <c r="N238" s="11" t="str">
        <f>INDEX(cennik!$C$2:$L$531,MATCH($L238,cennik!$B$2:$B$524,0),MATCH(N$2,cennik!$C$1:$L$1,0))</f>
        <v>szt.</v>
      </c>
      <c r="O238" s="11">
        <f>SUM(((A219/4)*6)*C219,((A220/4)*6)*C220,((A221/4)*6)*C221,((A222/4)*6)*C222,((A223/4)*6)*C223,((A224/4)*6)*C224,((A225/4)*6)*C225,((A226/4)*6)*C226,((A227/4)*6)*C227,((A228/4)*6)*C228,((A229/4)*6)*C229,((A230/4)*6)*C230,((A231/4)*6)*C231,((A232/4)*6)*C232,((A233/4)*6)*C233,((A234/4)*6)*C234)</f>
        <v>0</v>
      </c>
      <c r="P238" s="34">
        <f>INDEX(cennik!$C$2:$L$531,MATCH($L238,cennik!$B$2:$B$524,0),MATCH(P$2,cennik!$C$1:$L$1,0))</f>
        <v>2.06</v>
      </c>
      <c r="Q238" s="34">
        <f t="shared" si="334"/>
        <v>0</v>
      </c>
      <c r="R238" s="35">
        <f t="shared" si="322"/>
        <v>0</v>
      </c>
      <c r="S238" s="34">
        <f t="shared" si="323"/>
        <v>2.06</v>
      </c>
      <c r="T238" s="34">
        <f t="shared" si="335"/>
        <v>0</v>
      </c>
      <c r="U238" s="34">
        <f>INDEX(cennik!$C$2:$L$531,MATCH($L238,cennik!$B$2:$B$524,0),MATCH(U$2,cennik!$C$1:$L$1,0))*O238</f>
        <v>0</v>
      </c>
      <c r="EJ238" s="196"/>
      <c r="EK238" s="21"/>
      <c r="EL238" s="21"/>
      <c r="EM238" s="21"/>
      <c r="EN238" s="21"/>
      <c r="EO238" s="21"/>
      <c r="EP238" s="21"/>
      <c r="EQ238" s="21"/>
      <c r="ER238" s="21"/>
      <c r="ES238" s="21"/>
      <c r="ET238" s="21"/>
      <c r="EU238" s="21"/>
      <c r="EV238" s="21"/>
      <c r="EW238" s="21"/>
      <c r="EX238" s="21"/>
      <c r="EY238" s="21"/>
      <c r="EZ238" s="21"/>
      <c r="FA238" s="21"/>
      <c r="FB238" s="21"/>
      <c r="FC238" s="21"/>
      <c r="FD238" s="21"/>
      <c r="FE238" s="21"/>
      <c r="FF238" s="21"/>
      <c r="FG238" s="21"/>
      <c r="FH238" s="21"/>
      <c r="FI238" s="21"/>
      <c r="FJ238" s="21"/>
      <c r="FK238" s="21"/>
      <c r="FL238" s="21"/>
      <c r="FM238" s="21"/>
      <c r="FN238" s="21"/>
      <c r="FO238" s="21"/>
      <c r="FP238" s="21"/>
      <c r="FQ238" s="21"/>
      <c r="FR238" s="21"/>
      <c r="FS238" s="21"/>
      <c r="FT238" s="21"/>
      <c r="FU238" s="21"/>
      <c r="FV238" s="21"/>
      <c r="FW238" s="21"/>
      <c r="FX238" s="21"/>
      <c r="FY238" s="21"/>
      <c r="FZ238" s="21"/>
      <c r="GA238" s="21"/>
      <c r="GB238" s="21"/>
      <c r="GC238" s="21"/>
      <c r="GD238" s="21"/>
      <c r="GE238" s="21"/>
      <c r="GF238" s="21"/>
      <c r="GG238" s="21"/>
      <c r="GH238" s="21"/>
      <c r="GI238" s="21"/>
      <c r="GJ238" s="21"/>
      <c r="GK238" s="21"/>
      <c r="GL238" s="21"/>
      <c r="GM238" s="21"/>
      <c r="GN238" s="21"/>
      <c r="GO238" s="21"/>
      <c r="GP238" s="21"/>
      <c r="GQ238" s="21"/>
      <c r="GR238" s="21"/>
      <c r="GS238" s="21"/>
      <c r="GT238" s="21"/>
      <c r="GU238" s="21"/>
      <c r="GV238" s="21"/>
      <c r="GW238" s="21"/>
      <c r="GX238" s="21"/>
      <c r="GY238" s="21"/>
      <c r="GZ238" s="21"/>
      <c r="HA238" s="21"/>
      <c r="HB238" s="21"/>
      <c r="HC238" s="21"/>
      <c r="HD238" s="21"/>
      <c r="HE238" s="21"/>
      <c r="HF238" s="21"/>
      <c r="HG238" s="197"/>
    </row>
    <row r="239" spans="1:215" ht="15.75" thickBot="1" x14ac:dyDescent="0.3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6" t="str">
        <f>INDEX(($AJ$3:$AJ$12),MATCH(I220,$AG$3:$AG$12,0),1)</f>
        <v>SAM8X25E</v>
      </c>
      <c r="M239" s="11">
        <f>INDEX(cennik!$C$2:$L$531,MATCH($L239,cennik!$B$2:$B$524,0),MATCH(M$2,cennik!$C$1:$L$1,0))</f>
        <v>898525</v>
      </c>
      <c r="N239" s="11" t="str">
        <f>INDEX(cennik!$C$2:$L$531,MATCH($L239,cennik!$B$2:$B$524,0),MATCH(N$2,cennik!$C$1:$L$1,0))</f>
        <v>szt.</v>
      </c>
      <c r="O239" s="11">
        <f>SUM(O237:O238)</f>
        <v>0</v>
      </c>
      <c r="P239" s="34">
        <f>INDEX(cennik!$C$2:$L$531,MATCH($L239,cennik!$B$2:$B$524,0),MATCH(P$2,cennik!$C$1:$L$1,0))</f>
        <v>0.45</v>
      </c>
      <c r="Q239" s="34">
        <f t="shared" si="334"/>
        <v>0</v>
      </c>
      <c r="R239" s="35">
        <f t="shared" si="322"/>
        <v>0</v>
      </c>
      <c r="S239" s="34">
        <f t="shared" si="323"/>
        <v>0.45</v>
      </c>
      <c r="T239" s="34">
        <f t="shared" si="335"/>
        <v>0</v>
      </c>
      <c r="U239" s="34">
        <f>INDEX(cennik!$C$2:$L$531,MATCH($L239,cennik!$B$2:$B$524,0),MATCH(U$2,cennik!$C$1:$L$1,0))*O239</f>
        <v>0</v>
      </c>
      <c r="X239" s="20" t="s">
        <v>18</v>
      </c>
      <c r="Y239" s="21" t="s">
        <v>217</v>
      </c>
      <c r="Z239" s="21" t="s">
        <v>216</v>
      </c>
      <c r="AA239" s="21" t="s">
        <v>17</v>
      </c>
      <c r="AD239" s="186" t="s">
        <v>693</v>
      </c>
      <c r="AE239" s="192" t="s">
        <v>318</v>
      </c>
      <c r="AG239" s="192" t="s">
        <v>776</v>
      </c>
      <c r="AP239" s="180" t="s">
        <v>791</v>
      </c>
      <c r="AV239" s="180" t="s">
        <v>792</v>
      </c>
      <c r="EJ239" s="203"/>
      <c r="EK239" s="204"/>
      <c r="EL239" s="204"/>
      <c r="EM239" s="204"/>
      <c r="EN239" s="204"/>
      <c r="EO239" s="204"/>
      <c r="EP239" s="204"/>
      <c r="EQ239" s="204"/>
      <c r="ER239" s="204"/>
      <c r="ES239" s="204"/>
      <c r="ET239" s="204"/>
      <c r="EU239" s="204"/>
      <c r="EV239" s="204"/>
      <c r="EW239" s="204"/>
      <c r="EX239" s="204"/>
      <c r="EY239" s="204"/>
      <c r="EZ239" s="204"/>
      <c r="FA239" s="204"/>
      <c r="FB239" s="204"/>
      <c r="FC239" s="204"/>
      <c r="FD239" s="204"/>
      <c r="FE239" s="204"/>
      <c r="FF239" s="204"/>
      <c r="FG239" s="204"/>
      <c r="FH239" s="204"/>
      <c r="FI239" s="204"/>
      <c r="FJ239" s="204"/>
      <c r="FK239" s="204"/>
      <c r="FL239" s="204"/>
      <c r="FM239" s="204"/>
      <c r="FN239" s="204"/>
      <c r="FO239" s="204"/>
      <c r="FP239" s="204"/>
      <c r="FQ239" s="204"/>
      <c r="FR239" s="204"/>
      <c r="FS239" s="204"/>
      <c r="FT239" s="204"/>
      <c r="FU239" s="204"/>
      <c r="FV239" s="204"/>
      <c r="FW239" s="204"/>
      <c r="FX239" s="204"/>
      <c r="FY239" s="204"/>
      <c r="FZ239" s="204"/>
      <c r="GA239" s="204"/>
      <c r="GB239" s="204"/>
      <c r="GC239" s="204"/>
      <c r="GD239" s="204"/>
      <c r="GE239" s="204"/>
      <c r="GF239" s="204"/>
      <c r="GG239" s="204"/>
      <c r="GH239" s="204"/>
      <c r="GI239" s="204"/>
      <c r="GJ239" s="204"/>
      <c r="GK239" s="204"/>
      <c r="GL239" s="204"/>
      <c r="GM239" s="204"/>
      <c r="GN239" s="204"/>
      <c r="GO239" s="204"/>
      <c r="GP239" s="204"/>
      <c r="GQ239" s="204"/>
      <c r="GR239" s="204"/>
      <c r="GS239" s="204"/>
      <c r="GT239" s="204"/>
      <c r="GU239" s="204"/>
      <c r="GV239" s="204"/>
      <c r="GW239" s="204"/>
      <c r="GX239" s="204"/>
      <c r="GY239" s="204"/>
      <c r="GZ239" s="204"/>
      <c r="HA239" s="204"/>
      <c r="HB239" s="204"/>
      <c r="HC239" s="204"/>
      <c r="HD239" s="204"/>
      <c r="HE239" s="204"/>
      <c r="HF239" s="204"/>
      <c r="HG239" s="205"/>
    </row>
    <row r="240" spans="1:215" x14ac:dyDescent="0.25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6" t="s">
        <v>1019</v>
      </c>
      <c r="M240" s="11">
        <f>INDEX(cennik!$C$2:$L$531,MATCH($L240,cennik!$B$2:$B$524,0),MATCH(M$2,cennik!$C$1:$L$1,0))</f>
        <v>166794</v>
      </c>
      <c r="N240" s="11" t="str">
        <f>INDEX(cennik!$C$2:$L$531,MATCH($L240,cennik!$B$2:$B$524,0),MATCH(N$2,cennik!$C$1:$L$1,0))</f>
        <v>100 szt.</v>
      </c>
      <c r="O240" s="11">
        <f>ROUNDUP(O239/100,0)</f>
        <v>0</v>
      </c>
      <c r="P240" s="34">
        <f>INDEX(cennik!$C$2:$L$531,MATCH($L240,cennik!$B$2:$B$524,0),MATCH(P$2,cennik!$C$1:$L$1,0))</f>
        <v>3.95</v>
      </c>
      <c r="Q240" s="34">
        <f t="shared" si="334"/>
        <v>0</v>
      </c>
      <c r="R240" s="35">
        <f t="shared" si="322"/>
        <v>0</v>
      </c>
      <c r="S240" s="34">
        <f t="shared" si="323"/>
        <v>3.95</v>
      </c>
      <c r="T240" s="34">
        <f t="shared" si="335"/>
        <v>0</v>
      </c>
      <c r="U240" s="34">
        <f>INDEX(cennik!$C$2:$L$531,MATCH($L240,cennik!$B$2:$B$524,0),MATCH(U$2,cennik!$C$1:$L$1,0))*O240</f>
        <v>0</v>
      </c>
      <c r="W240" s="180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X240" s="189">
        <f>INDEX(($EL$188:$FI$192,$EL$196:$FI$200,$FL$188:$GI$192,$FL$196:$GI$200,$GS$188:$HP$192,$GS$195:$HP$199,$HT$188:$IQ$192,$HT$195:$IQ$199,$HT$202:$IQ$206),MATCH($L$267,$EK$188:$EK$192,0),MATCH(A254,$EL$187:$FI$187,0),MATCH($G$255,$AE$24:$AE$32,0))*C254</f>
        <v>0</v>
      </c>
      <c r="Y240" s="189">
        <f>INDEX(($EL$188:$FI$192,$EL$196:$FI$200,$FL$188:$GI$192,$FL$196:$GI$200,$GS$188:$HP$192,$GS$195:$HP$199,$HT$188:$IQ$192,$HT$195:$IQ$199,$HT$202:$IQ$206),MATCH($L$264,$EK$188:$EK$192,0),MATCH(A254,$EL$187:$FI$187,0),MATCH($G$255,$AE$24:$AE$32,0))*C254</f>
        <v>0</v>
      </c>
      <c r="Z240" s="189">
        <f>INDEX(($EL$188:$FI$192,$EL$196:$FI$200,$FL$188:$GI$192,$FL$196:$GI$200,$GS$188:$HP$192,$GS$195:$HP$199,$HT$188:$IQ$192,$HT$195:$IQ$199,$HT$202:$IQ$206),MATCH($L$265,$EK$188:$EK$192,0),MATCH(A254,$EL$187:$FI$187,0),MATCH($G$255,$AE$24:$AE$32,0))*C254</f>
        <v>0</v>
      </c>
      <c r="AA240" s="189">
        <f>INDEX(($EL$188:$FI$192,$EL$196:$FI$200,$FL$188:$GI$192,$FL$196:$GI$200,$GS$188:$HP$192,$GS$195:$HP$199,$HT$188:$IQ$192,$HT$195:$IQ$199,$HT$202:$IQ$206),MATCH($L$266,$EK$188:$EK$192,0),MATCH(A254,$EL$187:$FI$187,0),MATCH($G$255,$AE$24:$AE$32,0))*C254</f>
        <v>0</v>
      </c>
      <c r="AD240" s="21">
        <f>VLOOKUP(AG240,$AI$200:$AK$204,3,1)*C254</f>
        <v>0</v>
      </c>
      <c r="AE240" s="21">
        <f>ROUNDUP(((A254/4)+1),0)*C254</f>
        <v>0</v>
      </c>
      <c r="AG240" s="21">
        <f>ROUNDUP(((A254/4)+1),0)</f>
        <v>1</v>
      </c>
      <c r="AQ240" s="180" t="s">
        <v>314</v>
      </c>
      <c r="AR240" s="180" t="s">
        <v>312</v>
      </c>
      <c r="AS240" s="180" t="s">
        <v>309</v>
      </c>
      <c r="AT240" s="180" t="s">
        <v>313</v>
      </c>
      <c r="AW240" s="180" t="s">
        <v>314</v>
      </c>
      <c r="AX240" s="180" t="s">
        <v>312</v>
      </c>
      <c r="AY240" s="180" t="s">
        <v>309</v>
      </c>
      <c r="AZ240" s="180" t="s">
        <v>313</v>
      </c>
    </row>
    <row r="241" spans="1:52" x14ac:dyDescent="0.25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6" t="s">
        <v>525</v>
      </c>
      <c r="M241" s="11">
        <f>INDEX(cennik!$C$2:$L$531,MATCH($L241,cennik!$B$2:$B$524,0),MATCH(M$2,cennik!$C$1:$L$1,0))</f>
        <v>660245</v>
      </c>
      <c r="N241" s="11" t="str">
        <f>INDEX(cennik!$C$2:$L$531,MATCH($L241,cennik!$B$2:$B$524,0),MATCH(N$2,cennik!$C$1:$L$1,0))</f>
        <v>szt.</v>
      </c>
      <c r="O241" s="11">
        <f>SUM(O237:O238)</f>
        <v>0</v>
      </c>
      <c r="P241" s="34">
        <f>INDEX(cennik!$C$2:$L$531,MATCH($L241,cennik!$B$2:$B$524,0),MATCH(P$2,cennik!$C$1:$L$1,0))</f>
        <v>1.56</v>
      </c>
      <c r="Q241" s="34">
        <f t="shared" si="334"/>
        <v>0</v>
      </c>
      <c r="R241" s="35">
        <f t="shared" si="322"/>
        <v>0</v>
      </c>
      <c r="S241" s="34">
        <f t="shared" si="323"/>
        <v>1.56</v>
      </c>
      <c r="T241" s="34">
        <f t="shared" si="335"/>
        <v>0</v>
      </c>
      <c r="U241" s="34">
        <f>INDEX(cennik!$C$2:$L$531,MATCH($L241,cennik!$B$2:$B$524,0),MATCH(U$2,cennik!$C$1:$L$1,0))*O241</f>
        <v>0</v>
      </c>
      <c r="X241" s="189">
        <f>INDEX(($EL$188:$FI$192,$EL$196:$FI$200,$FL$188:$GI$192,$FL$196:$GI$200,$GS$188:$HP$192,$GS$195:$HP$199,$HT$188:$IQ$192,$HT$195:$IQ$199,$HT$202:$IQ$206),MATCH($L$267,$EK$188:$EK$192,0),MATCH(A255,$EL$187:$FI$187,0),MATCH($G$255,$AE$24:$AE$32,0))*C255</f>
        <v>32</v>
      </c>
      <c r="Y241" s="189">
        <f>INDEX(($EL$188:$FI$192,$EL$196:$FI$200,$FL$188:$GI$192,$FL$196:$GI$200,$GS$188:$HP$192,$GS$195:$HP$199,$HT$188:$IQ$192,$HT$195:$IQ$199,$HT$202:$IQ$206),MATCH($L$264,$EK$188:$EK$192,0),MATCH(A255,$EL$187:$FI$187,0),MATCH($G$255,$AE$24:$AE$32,0))*C255</f>
        <v>0</v>
      </c>
      <c r="Z241" s="189">
        <f>INDEX(($EL$188:$FI$192,$EL$196:$FI$200,$FL$188:$GI$192,$FL$196:$GI$200,$GS$188:$HP$192,$GS$195:$HP$199,$HT$188:$IQ$192,$HT$195:$IQ$199,$HT$202:$IQ$206),MATCH($L$265,$EK$188:$EK$192,0),MATCH(A255,$EL$187:$FI$187,0),MATCH($G$255,$AE$24:$AE$32,0))*C255</f>
        <v>16</v>
      </c>
      <c r="AA241" s="189">
        <f>INDEX(($EL$188:$FI$192,$EL$196:$FI$200,$FL$188:$GI$192,$FL$196:$GI$200,$GS$188:$HP$192,$GS$195:$HP$199,$HT$188:$IQ$192,$HT$195:$IQ$199,$HT$202:$IQ$206),MATCH($L$266,$EK$188:$EK$192,0),MATCH(A255,$EL$187:$FI$187,0),MATCH($G$255,$AE$24:$AE$32,0))*C255</f>
        <v>24</v>
      </c>
      <c r="AD241" s="21">
        <f t="shared" ref="AD241:AD255" si="380">VLOOKUP(AE241,$AI$200:$AK$204,3,1)*C255</f>
        <v>16</v>
      </c>
      <c r="AE241" s="21">
        <f t="shared" ref="AE241:AE255" si="381">ROUNDUP(((A255/4)+1),0)*C255</f>
        <v>18</v>
      </c>
      <c r="AG241" s="21">
        <f t="shared" ref="AG241:AG255" si="382">ROUNDUP(((A255/4)+1),0)</f>
        <v>9</v>
      </c>
      <c r="AP241" s="180" t="s">
        <v>111</v>
      </c>
      <c r="AQ241" s="180" t="s">
        <v>529</v>
      </c>
      <c r="AR241" s="180" t="s">
        <v>592</v>
      </c>
      <c r="AS241" s="180" t="s">
        <v>591</v>
      </c>
      <c r="AT241" s="180" t="s">
        <v>591</v>
      </c>
      <c r="AV241" s="180" t="s">
        <v>111</v>
      </c>
      <c r="AW241" s="180" t="s">
        <v>529</v>
      </c>
      <c r="AX241" s="180" t="s">
        <v>593</v>
      </c>
      <c r="AY241" s="180" t="s">
        <v>592</v>
      </c>
      <c r="AZ241" s="180" t="s">
        <v>592</v>
      </c>
    </row>
    <row r="242" spans="1:52" x14ac:dyDescent="0.25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6" t="s">
        <v>799</v>
      </c>
      <c r="M242" s="11">
        <f>INDEX(cennik!$C$2:$L$531,MATCH($L242,cennik!$B$2:$B$524,0),MATCH(M$2,cennik!$C$1:$L$1,0))</f>
        <v>6510443</v>
      </c>
      <c r="N242" s="11" t="str">
        <f>INDEX(cennik!$C$2:$L$531,MATCH($L242,cennik!$B$2:$B$524,0),MATCH(N$2,cennik!$C$1:$L$1,0))</f>
        <v>100 szt.</v>
      </c>
      <c r="O242" s="11">
        <f>O243</f>
        <v>0</v>
      </c>
      <c r="P242" s="34">
        <f>INDEX(cennik!$C$2:$L$531,MATCH($L242,cennik!$B$2:$B$524,0),MATCH(P$2,cennik!$C$1:$L$1,0))</f>
        <v>43.51</v>
      </c>
      <c r="Q242" s="34">
        <f t="shared" si="334"/>
        <v>0</v>
      </c>
      <c r="R242" s="35">
        <f t="shared" si="322"/>
        <v>0</v>
      </c>
      <c r="S242" s="34">
        <f t="shared" si="323"/>
        <v>43.51</v>
      </c>
      <c r="T242" s="34">
        <f t="shared" si="335"/>
        <v>0</v>
      </c>
      <c r="U242" s="34">
        <f>INDEX(cennik!$C$2:$L$531,MATCH($L242,cennik!$B$2:$B$524,0),MATCH(U$2,cennik!$C$1:$L$1,0))*O242</f>
        <v>0</v>
      </c>
      <c r="X242" s="189">
        <f>INDEX(($EL$188:$FI$192,$EL$196:$FI$200,$FL$188:$GI$192,$FL$196:$GI$200,$GS$188:$HP$192,$GS$195:$HP$199,$HT$188:$IQ$192,$HT$195:$IQ$199,$HT$202:$IQ$206),MATCH($L$267,$EK$188:$EK$192,0),MATCH(A256,$EL$187:$FI$187,0),MATCH($G$255,$AE$24:$AE$32,0))*C256</f>
        <v>0</v>
      </c>
      <c r="Y242" s="189">
        <f>INDEX(($EL$188:$FI$192,$EL$196:$FI$200,$FL$188:$GI$192,$FL$196:$GI$200,$GS$188:$HP$192,$GS$195:$HP$199,$HT$188:$IQ$192,$HT$195:$IQ$199,$HT$202:$IQ$206),MATCH($L$264,$EK$188:$EK$192,0),MATCH(A256,$EL$187:$FI$187,0),MATCH($G$255,$AE$24:$AE$32,0))*C256</f>
        <v>0</v>
      </c>
      <c r="Z242" s="189">
        <f>INDEX(($EL$188:$FI$192,$EL$196:$FI$200,$FL$188:$GI$192,$FL$196:$GI$200,$GS$188:$HP$192,$GS$195:$HP$199,$HT$188:$IQ$192,$HT$195:$IQ$199,$HT$202:$IQ$206),MATCH($L$265,$EK$188:$EK$192,0),MATCH(A256,$EL$187:$FI$187,0),MATCH($G$255,$AE$24:$AE$32,0))*C256</f>
        <v>0</v>
      </c>
      <c r="AA242" s="189">
        <f>INDEX(($EL$188:$FI$192,$EL$196:$FI$200,$FL$188:$GI$192,$FL$196:$GI$200,$GS$188:$HP$192,$GS$195:$HP$199,$HT$188:$IQ$192,$HT$195:$IQ$199,$HT$202:$IQ$206),MATCH($L$266,$EK$188:$EK$192,0),MATCH(A256,$EL$187:$FI$187,0),MATCH($G$255,$AE$24:$AE$32,0))*C256</f>
        <v>0</v>
      </c>
      <c r="AD242" s="21">
        <f t="shared" si="380"/>
        <v>0</v>
      </c>
      <c r="AE242" s="21">
        <f t="shared" si="381"/>
        <v>0</v>
      </c>
      <c r="AG242" s="21">
        <f t="shared" si="382"/>
        <v>1</v>
      </c>
      <c r="AP242" s="180" t="s">
        <v>112</v>
      </c>
      <c r="AQ242" s="180" t="s">
        <v>529</v>
      </c>
      <c r="AR242" s="180" t="s">
        <v>592</v>
      </c>
      <c r="AS242" s="180" t="s">
        <v>591</v>
      </c>
      <c r="AT242" s="180" t="s">
        <v>591</v>
      </c>
      <c r="AV242" s="180" t="s">
        <v>112</v>
      </c>
      <c r="AW242" s="180" t="s">
        <v>529</v>
      </c>
      <c r="AX242" s="180" t="s">
        <v>593</v>
      </c>
      <c r="AY242" s="180" t="s">
        <v>592</v>
      </c>
      <c r="AZ242" s="180" t="s">
        <v>592</v>
      </c>
    </row>
    <row r="243" spans="1:52" x14ac:dyDescent="0.25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6" t="s">
        <v>350</v>
      </c>
      <c r="M243" s="11">
        <f>INDEX(cennik!$C$2:$L$531,MATCH($L243,cennik!$B$2:$B$524,0),MATCH(M$2,cennik!$C$1:$L$1,0))</f>
        <v>651643</v>
      </c>
      <c r="N243" s="11" t="str">
        <f>INDEX(cennik!$C$2:$L$531,MATCH($L243,cennik!$B$2:$B$524,0),MATCH(N$2,cennik!$C$1:$L$1,0))</f>
        <v>100 szt.</v>
      </c>
      <c r="O243" s="11">
        <f>ROUNDUP(((O222*12)+(O229)+(O250*4)+(O236*4)+(O221*9)+(2*O245)+E225+(O228*3)+(O225*12))/100,0)</f>
        <v>0</v>
      </c>
      <c r="P243" s="34">
        <f>INDEX(cennik!$C$2:$L$531,MATCH($L243,cennik!$B$2:$B$524,0),MATCH(P$2,cennik!$C$1:$L$1,0))</f>
        <v>144.19</v>
      </c>
      <c r="Q243" s="34">
        <f t="shared" si="334"/>
        <v>0</v>
      </c>
      <c r="R243" s="35">
        <f t="shared" si="322"/>
        <v>0</v>
      </c>
      <c r="S243" s="34">
        <f t="shared" si="323"/>
        <v>144.19</v>
      </c>
      <c r="T243" s="34">
        <f t="shared" si="335"/>
        <v>0</v>
      </c>
      <c r="U243" s="34">
        <f>INDEX(cennik!$C$2:$L$531,MATCH($L243,cennik!$B$2:$B$524,0),MATCH(U$2,cennik!$C$1:$L$1,0))*O243</f>
        <v>0</v>
      </c>
      <c r="X243" s="189">
        <f>INDEX(($EL$188:$FI$192,$EL$196:$FI$200,$FL$188:$GI$192,$FL$196:$GI$200,$GS$188:$HP$192,$GS$195:$HP$199,$HT$188:$IQ$192,$HT$195:$IQ$199,$HT$202:$IQ$206),MATCH($L$267,$EK$188:$EK$192,0),MATCH(A257,$EL$187:$FI$187,0),MATCH($G$255,$AE$24:$AE$32,0))*C257</f>
        <v>0</v>
      </c>
      <c r="Y243" s="189">
        <f>INDEX(($EL$188:$FI$192,$EL$196:$FI$200,$FL$188:$GI$192,$FL$196:$GI$200,$GS$188:$HP$192,$GS$195:$HP$199,$HT$188:$IQ$192,$HT$195:$IQ$199,$HT$202:$IQ$206),MATCH($L$264,$EK$188:$EK$192,0),MATCH(A257,$EL$187:$FI$187,0),MATCH($G$255,$AE$24:$AE$32,0))*C257</f>
        <v>0</v>
      </c>
      <c r="Z243" s="189">
        <f>INDEX(($EL$188:$FI$192,$EL$196:$FI$200,$FL$188:$GI$192,$FL$196:$GI$200,$GS$188:$HP$192,$GS$195:$HP$199,$HT$188:$IQ$192,$HT$195:$IQ$199,$HT$202:$IQ$206),MATCH($L$265,$EK$188:$EK$192,0),MATCH(A257,$EL$187:$FI$187,0),MATCH($G$255,$AE$24:$AE$32,0))*C257</f>
        <v>0</v>
      </c>
      <c r="AA243" s="189">
        <f>INDEX(($EL$188:$FI$192,$EL$196:$FI$200,$FL$188:$GI$192,$FL$196:$GI$200,$GS$188:$HP$192,$GS$195:$HP$199,$HT$188:$IQ$192,$HT$195:$IQ$199,$HT$202:$IQ$206),MATCH($L$266,$EK$188:$EK$192,0),MATCH(A257,$EL$187:$FI$187,0),MATCH($G$255,$AE$24:$AE$32,0))*C257</f>
        <v>0</v>
      </c>
      <c r="AD243" s="21">
        <f t="shared" si="380"/>
        <v>0</v>
      </c>
      <c r="AE243" s="21">
        <f t="shared" si="381"/>
        <v>0</v>
      </c>
      <c r="AG243" s="21">
        <f t="shared" si="382"/>
        <v>1</v>
      </c>
      <c r="AP243" s="180" t="s">
        <v>132</v>
      </c>
      <c r="AQ243" s="180" t="s">
        <v>529</v>
      </c>
      <c r="AR243" s="180" t="s">
        <v>592</v>
      </c>
      <c r="AS243" s="180" t="s">
        <v>591</v>
      </c>
      <c r="AT243" s="180" t="s">
        <v>591</v>
      </c>
      <c r="AV243" s="180" t="s">
        <v>132</v>
      </c>
      <c r="AW243" s="180" t="s">
        <v>529</v>
      </c>
      <c r="AX243" s="180" t="s">
        <v>593</v>
      </c>
      <c r="AY243" s="180" t="s">
        <v>592</v>
      </c>
      <c r="AZ243" s="180" t="s">
        <v>592</v>
      </c>
    </row>
    <row r="244" spans="1:52" x14ac:dyDescent="0.25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6" t="s">
        <v>128</v>
      </c>
      <c r="M244" s="11">
        <f>INDEX(cennik!$C$2:$L$531,MATCH($L244,cennik!$B$2:$B$524,0),MATCH(M$2,cennik!$C$1:$L$1,0))</f>
        <v>897303</v>
      </c>
      <c r="N244" s="11" t="str">
        <f>INDEX(cennik!$C$2:$L$531,MATCH($L244,cennik!$B$2:$B$524,0),MATCH(N$2,cennik!$C$1:$L$1,0))</f>
        <v>szt.</v>
      </c>
      <c r="O244" s="11">
        <f>0.2*SUM(O237:O238)</f>
        <v>0</v>
      </c>
      <c r="P244" s="34">
        <f>INDEX(cennik!$C$2:$L$531,MATCH($L244,cennik!$B$2:$B$524,0),MATCH(P$2,cennik!$C$1:$L$1,0))</f>
        <v>2.4</v>
      </c>
      <c r="Q244" s="34">
        <f t="shared" si="334"/>
        <v>0</v>
      </c>
      <c r="R244" s="35">
        <f t="shared" si="322"/>
        <v>0</v>
      </c>
      <c r="S244" s="34">
        <f t="shared" si="323"/>
        <v>2.4</v>
      </c>
      <c r="T244" s="34">
        <f t="shared" si="335"/>
        <v>0</v>
      </c>
      <c r="U244" s="34">
        <f>INDEX(cennik!$C$2:$L$531,MATCH($L244,cennik!$B$2:$B$524,0),MATCH(U$2,cennik!$C$1:$L$1,0))*O244</f>
        <v>0</v>
      </c>
      <c r="X244" s="189">
        <f>INDEX(($EL$188:$FI$192,$EL$196:$FI$200,$FL$188:$GI$192,$FL$196:$GI$200,$GS$188:$HP$192,$GS$195:$HP$199,$HT$188:$IQ$192,$HT$195:$IQ$199,$HT$202:$IQ$206),MATCH($L$267,$EK$188:$EK$192,0),MATCH(A258,$EL$187:$FI$187,0),MATCH($G$255,$AE$24:$AE$32,0))*C258</f>
        <v>0</v>
      </c>
      <c r="Y244" s="189">
        <f>INDEX(($EL$188:$FI$192,$EL$196:$FI$200,$FL$188:$GI$192,$FL$196:$GI$200,$GS$188:$HP$192,$GS$195:$HP$199,$HT$188:$IQ$192,$HT$195:$IQ$199,$HT$202:$IQ$206),MATCH($L$264,$EK$188:$EK$192,0),MATCH(A258,$EL$187:$FI$187,0),MATCH($G$255,$AE$24:$AE$32,0))*C258</f>
        <v>0</v>
      </c>
      <c r="Z244" s="189">
        <f>INDEX(($EL$188:$FI$192,$EL$196:$FI$200,$FL$188:$GI$192,$FL$196:$GI$200,$GS$188:$HP$192,$GS$195:$HP$199,$HT$188:$IQ$192,$HT$195:$IQ$199,$HT$202:$IQ$206),MATCH($L$265,$EK$188:$EK$192,0),MATCH(A258,$EL$187:$FI$187,0),MATCH($G$255,$AE$24:$AE$32,0))*C258</f>
        <v>0</v>
      </c>
      <c r="AA244" s="189">
        <f>INDEX(($EL$188:$FI$192,$EL$196:$FI$200,$FL$188:$GI$192,$FL$196:$GI$200,$GS$188:$HP$192,$GS$195:$HP$199,$HT$188:$IQ$192,$HT$195:$IQ$199,$HT$202:$IQ$206),MATCH($L$266,$EK$188:$EK$192,0),MATCH(A258,$EL$187:$FI$187,0),MATCH($G$255,$AE$24:$AE$32,0))*C258</f>
        <v>0</v>
      </c>
      <c r="AD244" s="21">
        <f t="shared" si="380"/>
        <v>0</v>
      </c>
      <c r="AE244" s="21">
        <f t="shared" si="381"/>
        <v>0</v>
      </c>
      <c r="AG244" s="21">
        <f t="shared" si="382"/>
        <v>1</v>
      </c>
      <c r="AP244" s="180" t="s">
        <v>470</v>
      </c>
      <c r="AQ244" s="180" t="s">
        <v>529</v>
      </c>
      <c r="AR244" s="180" t="s">
        <v>592</v>
      </c>
      <c r="AS244" s="180" t="s">
        <v>591</v>
      </c>
      <c r="AT244" s="180" t="s">
        <v>591</v>
      </c>
      <c r="AV244" s="180" t="s">
        <v>470</v>
      </c>
      <c r="AW244" s="180" t="s">
        <v>529</v>
      </c>
      <c r="AX244" s="180" t="s">
        <v>593</v>
      </c>
      <c r="AY244" s="180" t="s">
        <v>592</v>
      </c>
      <c r="AZ244" s="180" t="s">
        <v>592</v>
      </c>
    </row>
    <row r="245" spans="1:52" x14ac:dyDescent="0.25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6" t="s">
        <v>445</v>
      </c>
      <c r="M245" s="11">
        <f>INDEX(cennik!$C$2:$L$531,MATCH($L245,cennik!$B$2:$B$524,0),MATCH(M$2,cennik!$C$1:$L$1,0))</f>
        <v>858022</v>
      </c>
      <c r="N245" s="11" t="str">
        <f>INDEX(cennik!$C$2:$L$531,MATCH($L245,cennik!$B$2:$B$524,0),MATCH(N$2,cennik!$C$1:$L$1,0))</f>
        <v>szt.</v>
      </c>
      <c r="O245" s="11">
        <f>2*O226</f>
        <v>0</v>
      </c>
      <c r="P245" s="34">
        <f>INDEX(cennik!$C$2:$L$531,MATCH($L245,cennik!$B$2:$B$524,0),MATCH(P$2,cennik!$C$1:$L$1,0))</f>
        <v>4.5</v>
      </c>
      <c r="Q245" s="34">
        <f t="shared" si="334"/>
        <v>0</v>
      </c>
      <c r="R245" s="35">
        <f t="shared" si="322"/>
        <v>0</v>
      </c>
      <c r="S245" s="34">
        <f t="shared" si="323"/>
        <v>4.5</v>
      </c>
      <c r="T245" s="34">
        <f t="shared" si="335"/>
        <v>0</v>
      </c>
      <c r="U245" s="34">
        <f>INDEX(cennik!$C$2:$L$531,MATCH($L245,cennik!$B$2:$B$524,0),MATCH(U$2,cennik!$C$1:$L$1,0))*O245</f>
        <v>0</v>
      </c>
      <c r="X245" s="189">
        <f>INDEX(($EL$188:$FI$192,$EL$196:$FI$200,$FL$188:$GI$192,$FL$196:$GI$200,$GS$188:$HP$192,$GS$195:$HP$199,$HT$188:$IQ$192,$HT$195:$IQ$199,$HT$202:$IQ$206),MATCH($L$267,$EK$188:$EK$192,0),MATCH(A259,$EL$187:$FI$187,0),MATCH($G$255,$AE$24:$AE$32,0))*C259</f>
        <v>0</v>
      </c>
      <c r="Y245" s="189">
        <f>INDEX(($EL$188:$FI$192,$EL$196:$FI$200,$FL$188:$GI$192,$FL$196:$GI$200,$GS$188:$HP$192,$GS$195:$HP$199,$HT$188:$IQ$192,$HT$195:$IQ$199,$HT$202:$IQ$206),MATCH($L$264,$EK$188:$EK$192,0),MATCH(A259,$EL$187:$FI$187,0),MATCH($G$255,$AE$24:$AE$32,0))*C259</f>
        <v>0</v>
      </c>
      <c r="Z245" s="189">
        <f>INDEX(($EL$188:$FI$192,$EL$196:$FI$200,$FL$188:$GI$192,$FL$196:$GI$200,$GS$188:$HP$192,$GS$195:$HP$199,$HT$188:$IQ$192,$HT$195:$IQ$199,$HT$202:$IQ$206),MATCH($L$265,$EK$188:$EK$192,0),MATCH(A259,$EL$187:$FI$187,0),MATCH($G$255,$AE$24:$AE$32,0))*C259</f>
        <v>0</v>
      </c>
      <c r="AA245" s="189">
        <f>INDEX(($EL$188:$FI$192,$EL$196:$FI$200,$FL$188:$GI$192,$FL$196:$GI$200,$GS$188:$HP$192,$GS$195:$HP$199,$HT$188:$IQ$192,$HT$195:$IQ$199,$HT$202:$IQ$206),MATCH($L$266,$EK$188:$EK$192,0),MATCH(A259,$EL$187:$FI$187,0),MATCH($G$255,$AE$24:$AE$32,0))*C259</f>
        <v>0</v>
      </c>
      <c r="AD245" s="21">
        <f t="shared" si="380"/>
        <v>0</v>
      </c>
      <c r="AE245" s="21">
        <f t="shared" si="381"/>
        <v>0</v>
      </c>
      <c r="AG245" s="21">
        <f t="shared" si="382"/>
        <v>1</v>
      </c>
      <c r="AP245" s="180" t="s">
        <v>472</v>
      </c>
      <c r="AQ245" s="180" t="s">
        <v>529</v>
      </c>
      <c r="AR245" s="180" t="s">
        <v>592</v>
      </c>
      <c r="AS245" s="180" t="s">
        <v>591</v>
      </c>
      <c r="AT245" s="180" t="s">
        <v>591</v>
      </c>
      <c r="AV245" s="180" t="s">
        <v>472</v>
      </c>
      <c r="AW245" s="180" t="s">
        <v>529</v>
      </c>
      <c r="AX245" s="180" t="s">
        <v>593</v>
      </c>
      <c r="AY245" s="180" t="s">
        <v>592</v>
      </c>
      <c r="AZ245" s="180" t="s">
        <v>592</v>
      </c>
    </row>
    <row r="246" spans="1:52" x14ac:dyDescent="0.25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6" t="s">
        <v>319</v>
      </c>
      <c r="M246" s="11">
        <f>INDEX(cennik!$C$2:$L$531,MATCH($L246,cennik!$B$2:$B$524,0),MATCH(M$2,cennik!$C$1:$L$1,0))</f>
        <v>890111</v>
      </c>
      <c r="N246" s="11" t="str">
        <f>INDEX(cennik!$C$2:$L$531,MATCH($L246,cennik!$B$2:$B$524,0),MATCH(N$2,cennik!$C$1:$L$1,0))</f>
        <v>100 szt.</v>
      </c>
      <c r="O246" s="11">
        <f>ROUNDUP((O220*4)/100,0)</f>
        <v>0</v>
      </c>
      <c r="P246" s="34">
        <f>INDEX(cennik!$C$2:$L$531,MATCH($L246,cennik!$B$2:$B$524,0),MATCH(P$2,cennik!$C$1:$L$1,0))</f>
        <v>174.59</v>
      </c>
      <c r="Q246" s="34">
        <f t="shared" si="334"/>
        <v>0</v>
      </c>
      <c r="R246" s="35">
        <f t="shared" si="322"/>
        <v>0</v>
      </c>
      <c r="S246" s="34">
        <f t="shared" si="323"/>
        <v>174.59</v>
      </c>
      <c r="T246" s="34">
        <f t="shared" si="335"/>
        <v>0</v>
      </c>
      <c r="U246" s="34">
        <f>INDEX(cennik!$C$2:$L$531,MATCH($L246,cennik!$B$2:$B$524,0),MATCH(U$2,cennik!$C$1:$L$1,0))*O246</f>
        <v>0</v>
      </c>
      <c r="X246" s="189">
        <f>INDEX(($EL$188:$FI$192,$EL$196:$FI$200,$FL$188:$GI$192,$FL$196:$GI$200,$GS$188:$HP$192,$GS$195:$HP$199,$HT$188:$IQ$192,$HT$195:$IQ$199,$HT$202:$IQ$206),MATCH($L$267,$EK$188:$EK$192,0),MATCH(A260,$EL$187:$FI$187,0),MATCH($G$255,$AE$24:$AE$32,0))*C260</f>
        <v>0</v>
      </c>
      <c r="Y246" s="189">
        <f>INDEX(($EL$188:$FI$192,$EL$196:$FI$200,$FL$188:$GI$192,$FL$196:$GI$200,$GS$188:$HP$192,$GS$195:$HP$199,$HT$188:$IQ$192,$HT$195:$IQ$199,$HT$202:$IQ$206),MATCH($L$264,$EK$188:$EK$192,0),MATCH(A260,$EL$187:$FI$187,0),MATCH($G$255,$AE$24:$AE$32,0))*C260</f>
        <v>0</v>
      </c>
      <c r="Z246" s="189">
        <f>INDEX(($EL$188:$FI$192,$EL$196:$FI$200,$FL$188:$GI$192,$FL$196:$GI$200,$GS$188:$HP$192,$GS$195:$HP$199,$HT$188:$IQ$192,$HT$195:$IQ$199,$HT$202:$IQ$206),MATCH($L$265,$EK$188:$EK$192,0),MATCH(A260,$EL$187:$FI$187,0),MATCH($G$255,$AE$24:$AE$32,0))*C260</f>
        <v>0</v>
      </c>
      <c r="AA246" s="189">
        <f>INDEX(($EL$188:$FI$192,$EL$196:$FI$200,$FL$188:$GI$192,$FL$196:$GI$200,$GS$188:$HP$192,$GS$195:$HP$199,$HT$188:$IQ$192,$HT$195:$IQ$199,$HT$202:$IQ$206),MATCH($L$266,$EK$188:$EK$192,0),MATCH(A260,$EL$187:$FI$187,0),MATCH($G$255,$AE$24:$AE$32,0))*C260</f>
        <v>0</v>
      </c>
      <c r="AD246" s="21">
        <f t="shared" si="380"/>
        <v>0</v>
      </c>
      <c r="AE246" s="21">
        <f t="shared" si="381"/>
        <v>0</v>
      </c>
      <c r="AG246" s="21">
        <f t="shared" si="382"/>
        <v>1</v>
      </c>
      <c r="AP246" s="180" t="s">
        <v>471</v>
      </c>
      <c r="AQ246" s="180" t="s">
        <v>529</v>
      </c>
      <c r="AR246" s="180" t="s">
        <v>592</v>
      </c>
      <c r="AS246" s="180" t="s">
        <v>591</v>
      </c>
      <c r="AT246" s="180" t="s">
        <v>591</v>
      </c>
      <c r="AV246" s="180" t="s">
        <v>471</v>
      </c>
      <c r="AW246" s="180" t="s">
        <v>529</v>
      </c>
      <c r="AX246" s="180" t="s">
        <v>593</v>
      </c>
      <c r="AY246" s="180" t="s">
        <v>592</v>
      </c>
      <c r="AZ246" s="180" t="s">
        <v>592</v>
      </c>
    </row>
    <row r="247" spans="1:52" x14ac:dyDescent="0.25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6" t="s">
        <v>722</v>
      </c>
      <c r="M247" s="11">
        <f>INDEX(cennik!$C$2:$L$531,MATCH($L247,cennik!$B$2:$B$524,0),MATCH(M$2,cennik!$C$1:$L$1,0))</f>
        <v>890504</v>
      </c>
      <c r="N247" s="11" t="str">
        <f>INDEX(cennik!$C$2:$L$531,MATCH($L247,cennik!$B$2:$B$524,0),MATCH(N$2,cennik!$C$1:$L$1,0))</f>
        <v>szt.</v>
      </c>
      <c r="O247" s="11">
        <f>SUM(C219:C234)*10</f>
        <v>0</v>
      </c>
      <c r="P247" s="34">
        <f>INDEX(cennik!$C$2:$L$531,MATCH($L247,cennik!$B$2:$B$524,0),MATCH(P$2,cennik!$C$1:$L$1,0))</f>
        <v>4.58</v>
      </c>
      <c r="Q247" s="34">
        <f t="shared" si="334"/>
        <v>0</v>
      </c>
      <c r="R247" s="35">
        <f t="shared" si="322"/>
        <v>0</v>
      </c>
      <c r="S247" s="34">
        <f t="shared" si="323"/>
        <v>4.58</v>
      </c>
      <c r="T247" s="34">
        <f t="shared" si="335"/>
        <v>0</v>
      </c>
      <c r="U247" s="34">
        <f>INDEX(cennik!$C$2:$L$531,MATCH($L247,cennik!$B$2:$B$524,0),MATCH(U$2,cennik!$C$1:$L$1,0))*O247</f>
        <v>0</v>
      </c>
      <c r="X247" s="189">
        <f>INDEX(($EL$188:$FI$192,$EL$196:$FI$200,$FL$188:$GI$192,$FL$196:$GI$200,$GS$188:$HP$192,$GS$195:$HP$199,$HT$188:$IQ$192,$HT$195:$IQ$199,$HT$202:$IQ$206),MATCH($L$267,$EK$188:$EK$192,0),MATCH(A261,$EL$187:$FI$187,0),MATCH($G$255,$AE$24:$AE$32,0))*C261</f>
        <v>0</v>
      </c>
      <c r="Y247" s="189">
        <f>INDEX(($EL$188:$FI$192,$EL$196:$FI$200,$FL$188:$GI$192,$FL$196:$GI$200,$GS$188:$HP$192,$GS$195:$HP$199,$HT$188:$IQ$192,$HT$195:$IQ$199,$HT$202:$IQ$206),MATCH($L$264,$EK$188:$EK$192,0),MATCH(A261,$EL$187:$FI$187,0),MATCH($G$255,$AE$24:$AE$32,0))*C261</f>
        <v>0</v>
      </c>
      <c r="Z247" s="189">
        <f>INDEX(($EL$188:$FI$192,$EL$196:$FI$200,$FL$188:$GI$192,$FL$196:$GI$200,$GS$188:$HP$192,$GS$195:$HP$199,$HT$188:$IQ$192,$HT$195:$IQ$199,$HT$202:$IQ$206),MATCH($L$265,$EK$188:$EK$192,0),MATCH(A261,$EL$187:$FI$187,0),MATCH($G$255,$AE$24:$AE$32,0))*C261</f>
        <v>0</v>
      </c>
      <c r="AA247" s="189">
        <f>INDEX(($EL$188:$FI$192,$EL$196:$FI$200,$FL$188:$GI$192,$FL$196:$GI$200,$GS$188:$HP$192,$GS$195:$HP$199,$HT$188:$IQ$192,$HT$195:$IQ$199,$HT$202:$IQ$206),MATCH($L$266,$EK$188:$EK$192,0),MATCH(A261,$EL$187:$FI$187,0),MATCH($G$255,$AE$24:$AE$32,0))*C261</f>
        <v>0</v>
      </c>
      <c r="AD247" s="21">
        <f t="shared" si="380"/>
        <v>0</v>
      </c>
      <c r="AE247" s="21">
        <f t="shared" si="381"/>
        <v>0</v>
      </c>
      <c r="AG247" s="21">
        <f t="shared" si="382"/>
        <v>1</v>
      </c>
      <c r="AP247" s="180" t="s">
        <v>473</v>
      </c>
      <c r="AQ247" s="180" t="s">
        <v>529</v>
      </c>
      <c r="AR247" s="180" t="s">
        <v>592</v>
      </c>
      <c r="AS247" s="180" t="s">
        <v>591</v>
      </c>
      <c r="AT247" s="180" t="s">
        <v>591</v>
      </c>
      <c r="AV247" s="180" t="s">
        <v>473</v>
      </c>
      <c r="AW247" s="180" t="s">
        <v>529</v>
      </c>
      <c r="AX247" s="180" t="s">
        <v>593</v>
      </c>
      <c r="AY247" s="180" t="s">
        <v>592</v>
      </c>
      <c r="AZ247" s="180" t="s">
        <v>592</v>
      </c>
    </row>
    <row r="248" spans="1:52" x14ac:dyDescent="0.25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6" t="s">
        <v>316</v>
      </c>
      <c r="M248" s="11"/>
      <c r="N248" s="11"/>
      <c r="O248" s="11"/>
      <c r="P248" s="34"/>
      <c r="Q248" s="34"/>
      <c r="R248" s="35"/>
      <c r="S248" s="34"/>
      <c r="T248" s="34"/>
      <c r="U248" s="34"/>
      <c r="X248" s="189">
        <f>INDEX(($EL$188:$FI$192,$EL$196:$FI$200,$FL$188:$GI$192,$FL$196:$GI$200,$GS$188:$HP$192,$GS$195:$HP$199,$HT$188:$IQ$192,$HT$195:$IQ$199,$HT$202:$IQ$206),MATCH($L$267,$EK$188:$EK$192,0),MATCH(A262,$EL$187:$FI$187,0),MATCH($G$255,$AE$24:$AE$32,0))*C262</f>
        <v>0</v>
      </c>
      <c r="Y248" s="189">
        <f>INDEX(($EL$188:$FI$192,$EL$196:$FI$200,$FL$188:$GI$192,$FL$196:$GI$200,$GS$188:$HP$192,$GS$195:$HP$199,$HT$188:$IQ$192,$HT$195:$IQ$199,$HT$202:$IQ$206),MATCH($L$264,$EK$188:$EK$192,0),MATCH(A262,$EL$187:$FI$187,0),MATCH($G$255,$AE$24:$AE$32,0))*C262</f>
        <v>0</v>
      </c>
      <c r="Z248" s="189">
        <f>INDEX(($EL$188:$FI$192,$EL$196:$FI$200,$FL$188:$GI$192,$FL$196:$GI$200,$GS$188:$HP$192,$GS$195:$HP$199,$HT$188:$IQ$192,$HT$195:$IQ$199,$HT$202:$IQ$206),MATCH($L$265,$EK$188:$EK$192,0),MATCH(A262,$EL$187:$FI$187,0),MATCH($G$255,$AE$24:$AE$32,0))*C262</f>
        <v>0</v>
      </c>
      <c r="AA248" s="189">
        <f>INDEX(($EL$188:$FI$192,$EL$196:$FI$200,$FL$188:$GI$192,$FL$196:$GI$200,$GS$188:$HP$192,$GS$195:$HP$199,$HT$188:$IQ$192,$HT$195:$IQ$199,$HT$202:$IQ$206),MATCH($L$266,$EK$188:$EK$192,0),MATCH(A262,$EL$187:$FI$187,0),MATCH($G$255,$AE$24:$AE$32,0))*C262</f>
        <v>0</v>
      </c>
      <c r="AD248" s="21">
        <f t="shared" si="380"/>
        <v>0</v>
      </c>
      <c r="AE248" s="21">
        <f t="shared" si="381"/>
        <v>0</v>
      </c>
      <c r="AG248" s="21">
        <f t="shared" si="382"/>
        <v>1</v>
      </c>
      <c r="AP248" s="180" t="s">
        <v>113</v>
      </c>
      <c r="AQ248" s="180" t="s">
        <v>529</v>
      </c>
      <c r="AR248" s="180" t="s">
        <v>592</v>
      </c>
      <c r="AS248" s="180" t="s">
        <v>591</v>
      </c>
      <c r="AT248" s="180" t="s">
        <v>591</v>
      </c>
      <c r="AV248" s="180" t="s">
        <v>113</v>
      </c>
      <c r="AW248" s="180" t="s">
        <v>529</v>
      </c>
      <c r="AX248" s="180" t="s">
        <v>593</v>
      </c>
      <c r="AY248" s="180" t="s">
        <v>592</v>
      </c>
      <c r="AZ248" s="180" t="s">
        <v>592</v>
      </c>
    </row>
    <row r="249" spans="1:52" x14ac:dyDescent="0.25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6" t="s">
        <v>591</v>
      </c>
      <c r="M249" s="11">
        <f>INDEX(cennik!$C$2:$L$531,MATCH($L249,cennik!$B$2:$B$524,0),MATCH(M$2,cennik!$C$1:$L$1,0))</f>
        <v>867810</v>
      </c>
      <c r="N249" s="11" t="str">
        <f>INDEX(cennik!$C$2:$L$531,MATCH($L249,cennik!$B$2:$B$524,0),MATCH(N$2,cennik!$C$1:$L$1,0))</f>
        <v>szt.</v>
      </c>
      <c r="O249" s="24">
        <f>E223*2</f>
        <v>0</v>
      </c>
      <c r="P249" s="34">
        <f>INDEX(cennik!$C$2:$L$531,MATCH($L249,cennik!$B$2:$B$524,0),MATCH(P$2,cennik!$C$1:$L$1,0))</f>
        <v>50.61</v>
      </c>
      <c r="Q249" s="34">
        <f>O249*P249</f>
        <v>0</v>
      </c>
      <c r="R249" s="35">
        <f>$E$224</f>
        <v>0</v>
      </c>
      <c r="S249" s="34">
        <f>P249*((100-$E$224)/100)</f>
        <v>50.61</v>
      </c>
      <c r="T249" s="34">
        <f>O249*S249</f>
        <v>0</v>
      </c>
      <c r="U249" s="34">
        <f>INDEX(cennik!$C$2:$L$531,MATCH($L249,cennik!$B$2:$B$524,0),MATCH(U$2,cennik!$C$1:$L$1,0))*O249</f>
        <v>0</v>
      </c>
      <c r="X249" s="189">
        <f>INDEX(($EL$188:$FI$192,$EL$196:$FI$200,$FL$188:$GI$192,$FL$196:$GI$200,$GS$188:$HP$192,$GS$195:$HP$199,$HT$188:$IQ$192,$HT$195:$IQ$199,$HT$202:$IQ$206),MATCH($L$267,$EK$188:$EK$192,0),MATCH(A263,$EL$187:$FI$187,0),MATCH($G$255,$AE$24:$AE$32,0))*C263</f>
        <v>0</v>
      </c>
      <c r="Y249" s="189">
        <f>INDEX(($EL$188:$FI$192,$EL$196:$FI$200,$FL$188:$GI$192,$FL$196:$GI$200,$GS$188:$HP$192,$GS$195:$HP$199,$HT$188:$IQ$192,$HT$195:$IQ$199,$HT$202:$IQ$206),MATCH($L$264,$EK$188:$EK$192,0),MATCH(A263,$EL$187:$FI$187,0),MATCH($G$255,$AE$24:$AE$32,0))*C263</f>
        <v>0</v>
      </c>
      <c r="Z249" s="189">
        <f>INDEX(($EL$188:$FI$192,$EL$196:$FI$200,$FL$188:$GI$192,$FL$196:$GI$200,$GS$188:$HP$192,$GS$195:$HP$199,$HT$188:$IQ$192,$HT$195:$IQ$199,$HT$202:$IQ$206),MATCH($L$265,$EK$188:$EK$192,0),MATCH(A263,$EL$187:$FI$187,0),MATCH($G$255,$AE$24:$AE$32,0))*C263</f>
        <v>0</v>
      </c>
      <c r="AA249" s="189">
        <f>INDEX(($EL$188:$FI$192,$EL$196:$FI$200,$FL$188:$GI$192,$FL$196:$GI$200,$GS$188:$HP$192,$GS$195:$HP$199,$HT$188:$IQ$192,$HT$195:$IQ$199,$HT$202:$IQ$206),MATCH($L$266,$EK$188:$EK$192,0),MATCH(A263,$EL$187:$FI$187,0),MATCH($G$255,$AE$24:$AE$32,0))*C263</f>
        <v>0</v>
      </c>
      <c r="AD249" s="21">
        <f t="shared" si="380"/>
        <v>0</v>
      </c>
      <c r="AE249" s="21">
        <f t="shared" si="381"/>
        <v>0</v>
      </c>
      <c r="AG249" s="21">
        <f t="shared" si="382"/>
        <v>1</v>
      </c>
      <c r="AP249" s="180" t="s">
        <v>137</v>
      </c>
      <c r="AQ249" s="180" t="s">
        <v>529</v>
      </c>
      <c r="AR249" s="180" t="s">
        <v>592</v>
      </c>
      <c r="AS249" s="180" t="s">
        <v>591</v>
      </c>
      <c r="AT249" s="180" t="s">
        <v>591</v>
      </c>
      <c r="AV249" s="180" t="s">
        <v>137</v>
      </c>
      <c r="AW249" s="180" t="s">
        <v>529</v>
      </c>
      <c r="AX249" s="180" t="s">
        <v>593</v>
      </c>
      <c r="AY249" s="180" t="s">
        <v>592</v>
      </c>
      <c r="AZ249" s="180" t="s">
        <v>592</v>
      </c>
    </row>
    <row r="250" spans="1:52" x14ac:dyDescent="0.25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6" t="s">
        <v>594</v>
      </c>
      <c r="M250" s="11">
        <f>INDEX(cennik!$C$2:$L$531,MATCH($L250,cennik!$B$2:$B$524,0),MATCH(M$2,cennik!$C$1:$L$1,0))</f>
        <v>867830</v>
      </c>
      <c r="N250" s="11" t="str">
        <f>INDEX(cennik!$C$2:$L$531,MATCH($L250,cennik!$B$2:$B$524,0),MATCH(N$2,cennik!$C$1:$L$1,0))</f>
        <v>szt.</v>
      </c>
      <c r="O250" s="11">
        <f>E223*2</f>
        <v>0</v>
      </c>
      <c r="P250" s="34">
        <f>INDEX(cennik!$C$2:$L$531,MATCH($L250,cennik!$B$2:$B$524,0),MATCH(P$2,cennik!$C$1:$L$1,0))</f>
        <v>151.83000000000001</v>
      </c>
      <c r="Q250" s="34">
        <f>O250*P250</f>
        <v>0</v>
      </c>
      <c r="R250" s="35">
        <f>$E$224</f>
        <v>0</v>
      </c>
      <c r="S250" s="34">
        <f>P250*((100-$E$224)/100)</f>
        <v>151.83000000000001</v>
      </c>
      <c r="T250" s="34">
        <f>O250*S250</f>
        <v>0</v>
      </c>
      <c r="U250" s="34">
        <f>INDEX(cennik!$C$2:$L$531,MATCH($L250,cennik!$B$2:$B$524,0),MATCH(U$2,cennik!$C$1:$L$1,0))*O250</f>
        <v>0</v>
      </c>
      <c r="X250" s="189">
        <f>INDEX(($EL$188:$FI$192,$EL$196:$FI$200,$FL$188:$GI$192,$FL$196:$GI$200,$GS$188:$HP$192,$GS$195:$HP$199,$HT$188:$IQ$192,$HT$195:$IQ$199,$HT$202:$IQ$206),MATCH($L$267,$EK$188:$EK$192,0),MATCH(A264,$EL$187:$FI$187,0),MATCH($G$255,$AE$24:$AE$32,0))*C264</f>
        <v>0</v>
      </c>
      <c r="Y250" s="189">
        <f>INDEX(($EL$188:$FI$192,$EL$196:$FI$200,$FL$188:$GI$192,$FL$196:$GI$200,$GS$188:$HP$192,$GS$195:$HP$199,$HT$188:$IQ$192,$HT$195:$IQ$199,$HT$202:$IQ$206),MATCH($L$264,$EK$188:$EK$192,0),MATCH(A264,$EL$187:$FI$187,0),MATCH($G$255,$AE$24:$AE$32,0))*C264</f>
        <v>0</v>
      </c>
      <c r="Z250" s="189">
        <f>INDEX(($EL$188:$FI$192,$EL$196:$FI$200,$FL$188:$GI$192,$FL$196:$GI$200,$GS$188:$HP$192,$GS$195:$HP$199,$HT$188:$IQ$192,$HT$195:$IQ$199,$HT$202:$IQ$206),MATCH($L$265,$EK$188:$EK$192,0),MATCH(A264,$EL$187:$FI$187,0),MATCH($G$255,$AE$24:$AE$32,0))*C264</f>
        <v>0</v>
      </c>
      <c r="AA250" s="189">
        <f>INDEX(($EL$188:$FI$192,$EL$196:$FI$200,$FL$188:$GI$192,$FL$196:$GI$200,$GS$188:$HP$192,$GS$195:$HP$199,$HT$188:$IQ$192,$HT$195:$IQ$199,$HT$202:$IQ$206),MATCH($L$266,$EK$188:$EK$192,0),MATCH(A264,$EL$187:$FI$187,0),MATCH($G$255,$AE$24:$AE$32,0))*C264</f>
        <v>0</v>
      </c>
      <c r="AD250" s="21">
        <f t="shared" si="380"/>
        <v>0</v>
      </c>
      <c r="AE250" s="21">
        <f t="shared" si="381"/>
        <v>0</v>
      </c>
      <c r="AG250" s="21">
        <f t="shared" si="382"/>
        <v>1</v>
      </c>
      <c r="AP250" s="180" t="s">
        <v>138</v>
      </c>
      <c r="AQ250" s="180" t="s">
        <v>529</v>
      </c>
      <c r="AR250" s="180" t="s">
        <v>592</v>
      </c>
      <c r="AS250" s="180" t="s">
        <v>591</v>
      </c>
      <c r="AT250" s="180" t="s">
        <v>591</v>
      </c>
      <c r="AV250" s="180" t="s">
        <v>138</v>
      </c>
      <c r="AW250" s="180" t="s">
        <v>529</v>
      </c>
      <c r="AX250" s="180" t="s">
        <v>593</v>
      </c>
      <c r="AY250" s="180" t="s">
        <v>592</v>
      </c>
      <c r="AZ250" s="180" t="s">
        <v>592</v>
      </c>
    </row>
    <row r="251" spans="1:52" x14ac:dyDescent="0.25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9"/>
      <c r="M251" s="11"/>
      <c r="N251" s="11"/>
      <c r="O251" s="11"/>
      <c r="P251" s="34"/>
      <c r="Q251" s="34"/>
      <c r="R251" s="34"/>
      <c r="S251" s="34"/>
      <c r="T251" s="34">
        <f>SUM(T220:T250)</f>
        <v>0</v>
      </c>
      <c r="U251" s="34">
        <f>SUM(U220:U250)</f>
        <v>0</v>
      </c>
      <c r="X251" s="189">
        <f>INDEX(($EL$188:$FI$192,$EL$196:$FI$200,$FL$188:$GI$192,$FL$196:$GI$200,$GS$188:$HP$192,$GS$195:$HP$199,$HT$188:$IQ$192,$HT$195:$IQ$199,$HT$202:$IQ$206),MATCH($L$267,$EK$188:$EK$192,0),MATCH(A265,$EL$187:$FI$187,0),MATCH($G$255,$AE$24:$AE$32,0))*C265</f>
        <v>0</v>
      </c>
      <c r="Y251" s="189">
        <f>INDEX(($EL$188:$FI$192,$EL$196:$FI$200,$FL$188:$GI$192,$FL$196:$GI$200,$GS$188:$HP$192,$GS$195:$HP$199,$HT$188:$IQ$192,$HT$195:$IQ$199,$HT$202:$IQ$206),MATCH($L$264,$EK$188:$EK$192,0),MATCH(A265,$EL$187:$FI$187,0),MATCH($G$255,$AE$24:$AE$32,0))*C265</f>
        <v>0</v>
      </c>
      <c r="Z251" s="189">
        <f>INDEX(($EL$188:$FI$192,$EL$196:$FI$200,$FL$188:$GI$192,$FL$196:$GI$200,$GS$188:$HP$192,$GS$195:$HP$199,$HT$188:$IQ$192,$HT$195:$IQ$199,$HT$202:$IQ$206),MATCH($L$265,$EK$188:$EK$192,0),MATCH(A265,$EL$187:$FI$187,0),MATCH($G$255,$AE$24:$AE$32,0))*C265</f>
        <v>0</v>
      </c>
      <c r="AA251" s="189">
        <f>INDEX(($EL$188:$FI$192,$EL$196:$FI$200,$FL$188:$GI$192,$FL$196:$GI$200,$GS$188:$HP$192,$GS$195:$HP$199,$HT$188:$IQ$192,$HT$195:$IQ$199,$HT$202:$IQ$206),MATCH($L$266,$EK$188:$EK$192,0),MATCH(A265,$EL$187:$FI$187,0),MATCH($G$255,$AE$24:$AE$32,0))*C265</f>
        <v>0</v>
      </c>
      <c r="AD251" s="21">
        <f t="shared" si="380"/>
        <v>0</v>
      </c>
      <c r="AE251" s="21">
        <f t="shared" si="381"/>
        <v>0</v>
      </c>
      <c r="AG251" s="21">
        <f t="shared" si="382"/>
        <v>1</v>
      </c>
      <c r="AP251" s="180" t="s">
        <v>478</v>
      </c>
      <c r="AQ251" s="180" t="s">
        <v>529</v>
      </c>
      <c r="AR251" s="180" t="s">
        <v>592</v>
      </c>
      <c r="AS251" s="180" t="s">
        <v>591</v>
      </c>
      <c r="AT251" s="180" t="s">
        <v>591</v>
      </c>
      <c r="AV251" s="180" t="s">
        <v>478</v>
      </c>
      <c r="AW251" s="180" t="s">
        <v>529</v>
      </c>
      <c r="AX251" s="180" t="s">
        <v>593</v>
      </c>
      <c r="AY251" s="180" t="s">
        <v>592</v>
      </c>
      <c r="AZ251" s="180" t="s">
        <v>592</v>
      </c>
    </row>
    <row r="252" spans="1:52" x14ac:dyDescent="0.25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24"/>
      <c r="N252" s="24"/>
      <c r="O252" s="24"/>
      <c r="P252" s="24"/>
      <c r="Q252" s="24"/>
      <c r="R252" s="24"/>
      <c r="S252" s="24"/>
      <c r="T252" s="24"/>
      <c r="U252" s="24"/>
      <c r="X252" s="189">
        <f>INDEX(($EL$188:$FI$192,$EL$196:$FI$200,$FL$188:$GI$192,$FL$196:$GI$200,$GS$188:$HP$192,$GS$195:$HP$199,$HT$188:$IQ$192,$HT$195:$IQ$199,$HT$202:$IQ$206),MATCH($L$267,$EK$188:$EK$192,0),MATCH(A266,$EL$187:$FI$187,0),MATCH($G$255,$AE$24:$AE$32,0))*C266</f>
        <v>0</v>
      </c>
      <c r="Y252" s="189">
        <f>INDEX(($EL$188:$FI$192,$EL$196:$FI$200,$FL$188:$GI$192,$FL$196:$GI$200,$GS$188:$HP$192,$GS$195:$HP$199,$HT$188:$IQ$192,$HT$195:$IQ$199,$HT$202:$IQ$206),MATCH($L$264,$EK$188:$EK$192,0),MATCH(A266,$EL$187:$FI$187,0),MATCH($G$255,$AE$24:$AE$32,0))*C266</f>
        <v>0</v>
      </c>
      <c r="Z252" s="189">
        <f>INDEX(($EL$188:$FI$192,$EL$196:$FI$200,$FL$188:$GI$192,$FL$196:$GI$200,$GS$188:$HP$192,$GS$195:$HP$199,$HT$188:$IQ$192,$HT$195:$IQ$199,$HT$202:$IQ$206),MATCH($L$265,$EK$188:$EK$192,0),MATCH(A266,$EL$187:$FI$187,0),MATCH($G$255,$AE$24:$AE$32,0))*C266</f>
        <v>0</v>
      </c>
      <c r="AA252" s="189">
        <f>INDEX(($EL$188:$FI$192,$EL$196:$FI$200,$FL$188:$GI$192,$FL$196:$GI$200,$GS$188:$HP$192,$GS$195:$HP$199,$HT$188:$IQ$192,$HT$195:$IQ$199,$HT$202:$IQ$206),MATCH($L$266,$EK$188:$EK$192,0),MATCH(A266,$EL$187:$FI$187,0),MATCH($G$255,$AE$24:$AE$32,0))*C266</f>
        <v>0</v>
      </c>
      <c r="AD252" s="21">
        <f t="shared" si="380"/>
        <v>0</v>
      </c>
      <c r="AE252" s="21">
        <f t="shared" si="381"/>
        <v>0</v>
      </c>
      <c r="AG252" s="21">
        <f t="shared" si="382"/>
        <v>1</v>
      </c>
      <c r="AP252" s="180" t="s">
        <v>479</v>
      </c>
      <c r="AQ252" s="180" t="s">
        <v>529</v>
      </c>
      <c r="AR252" s="180" t="s">
        <v>592</v>
      </c>
      <c r="AS252" s="180" t="s">
        <v>591</v>
      </c>
      <c r="AT252" s="180" t="s">
        <v>591</v>
      </c>
      <c r="AV252" s="180" t="s">
        <v>479</v>
      </c>
      <c r="AW252" s="180" t="s">
        <v>529</v>
      </c>
      <c r="AX252" s="180" t="s">
        <v>593</v>
      </c>
      <c r="AY252" s="180" t="s">
        <v>592</v>
      </c>
      <c r="AZ252" s="180" t="s">
        <v>592</v>
      </c>
    </row>
    <row r="253" spans="1:52" ht="51.75" x14ac:dyDescent="0.25">
      <c r="A253" s="3" t="s">
        <v>443</v>
      </c>
      <c r="B253" s="3"/>
      <c r="C253" s="3" t="s">
        <v>444</v>
      </c>
      <c r="D253" s="9"/>
      <c r="E253" s="9"/>
      <c r="F253" s="9"/>
      <c r="G253" s="9"/>
      <c r="H253" s="9"/>
      <c r="I253" s="9"/>
      <c r="J253" s="9"/>
      <c r="K253" s="9"/>
      <c r="L253" s="360" t="str">
        <f>INDEX((AK234:AN235),MATCH(E262,AJ234:AJ235,0),MATCH(E257,AK233:AN233,0))</f>
        <v>KONSTRUKCJA W-V2G2-BI-25°</v>
      </c>
      <c r="M253" s="360"/>
      <c r="N253" s="360"/>
      <c r="O253" s="360"/>
      <c r="P253" s="360"/>
      <c r="Q253" s="360"/>
      <c r="R253" s="360"/>
      <c r="S253" s="360"/>
      <c r="T253" s="360"/>
      <c r="U253" s="360"/>
      <c r="X253" s="189">
        <f>INDEX(($EL$188:$FI$192,$EL$196:$FI$200,$FL$188:$GI$192,$FL$196:$GI$200,$GS$188:$HP$192,$GS$195:$HP$199,$HT$188:$IQ$192,$HT$195:$IQ$199,$HT$202:$IQ$206),MATCH($L$267,$EK$188:$EK$192,0),MATCH(A267,$EL$187:$FI$187,0),MATCH($G$255,$AE$24:$AE$32,0))*C267</f>
        <v>0</v>
      </c>
      <c r="Y253" s="189">
        <f>INDEX(($EL$188:$FI$192,$EL$196:$FI$200,$FL$188:$GI$192,$FL$196:$GI$200,$GS$188:$HP$192,$GS$195:$HP$199,$HT$188:$IQ$192,$HT$195:$IQ$199,$HT$202:$IQ$206),MATCH($L$264,$EK$188:$EK$192,0),MATCH(A267,$EL$187:$FI$187,0),MATCH($G$255,$AE$24:$AE$32,0))*C267</f>
        <v>0</v>
      </c>
      <c r="Z253" s="189">
        <f>INDEX(($EL$188:$FI$192,$EL$196:$FI$200,$FL$188:$GI$192,$FL$196:$GI$200,$GS$188:$HP$192,$GS$195:$HP$199,$HT$188:$IQ$192,$HT$195:$IQ$199,$HT$202:$IQ$206),MATCH($L$265,$EK$188:$EK$192,0),MATCH(A267,$EL$187:$FI$187,0),MATCH($G$255,$AE$24:$AE$32,0))*C267</f>
        <v>0</v>
      </c>
      <c r="AA253" s="189">
        <f>INDEX(($EL$188:$FI$192,$EL$196:$FI$200,$FL$188:$GI$192,$FL$196:$GI$200,$GS$188:$HP$192,$GS$195:$HP$199,$HT$188:$IQ$192,$HT$195:$IQ$199,$HT$202:$IQ$206),MATCH($L$266,$EK$188:$EK$192,0),MATCH(A267,$EL$187:$FI$187,0),MATCH($G$255,$AE$24:$AE$32,0))*C267</f>
        <v>0</v>
      </c>
      <c r="AD253" s="21">
        <f t="shared" si="380"/>
        <v>0</v>
      </c>
      <c r="AE253" s="21">
        <f t="shared" si="381"/>
        <v>0</v>
      </c>
      <c r="AG253" s="21">
        <f t="shared" si="382"/>
        <v>1</v>
      </c>
      <c r="AP253" s="180" t="s">
        <v>508</v>
      </c>
      <c r="AQ253" s="180" t="s">
        <v>529</v>
      </c>
      <c r="AR253" s="180" t="s">
        <v>592</v>
      </c>
      <c r="AS253" s="180" t="s">
        <v>591</v>
      </c>
      <c r="AT253" s="180" t="s">
        <v>591</v>
      </c>
      <c r="AV253" s="180" t="s">
        <v>508</v>
      </c>
      <c r="AW253" s="180" t="s">
        <v>529</v>
      </c>
      <c r="AX253" s="180" t="s">
        <v>593</v>
      </c>
      <c r="AY253" s="180" t="s">
        <v>592</v>
      </c>
      <c r="AZ253" s="180" t="s">
        <v>592</v>
      </c>
    </row>
    <row r="254" spans="1:52" x14ac:dyDescent="0.25">
      <c r="A254" s="8"/>
      <c r="B254" s="5" t="s">
        <v>116</v>
      </c>
      <c r="C254" s="8"/>
      <c r="D254" s="9"/>
      <c r="E254" s="1"/>
      <c r="F254" s="9"/>
      <c r="G254" s="9"/>
      <c r="H254" s="9"/>
      <c r="I254" s="9"/>
      <c r="J254" s="9"/>
      <c r="K254" s="9"/>
      <c r="L254" s="5" t="s">
        <v>103</v>
      </c>
      <c r="M254" s="5" t="s">
        <v>104</v>
      </c>
      <c r="N254" s="5" t="s">
        <v>107</v>
      </c>
      <c r="O254" s="5" t="s">
        <v>290</v>
      </c>
      <c r="P254" s="5" t="s">
        <v>446</v>
      </c>
      <c r="Q254" s="5" t="s">
        <v>448</v>
      </c>
      <c r="R254" s="5" t="s">
        <v>409</v>
      </c>
      <c r="S254" s="5" t="s">
        <v>447</v>
      </c>
      <c r="T254" s="5" t="s">
        <v>449</v>
      </c>
      <c r="U254" s="5" t="s">
        <v>106</v>
      </c>
      <c r="X254" s="189">
        <f>INDEX(($EL$188:$FI$192,$EL$196:$FI$200,$FL$188:$GI$192,$FL$196:$GI$200,$GS$188:$HP$192,$GS$195:$HP$199,$HT$188:$IQ$192,$HT$195:$IQ$199,$HT$202:$IQ$206),MATCH($L$267,$EK$188:$EK$192,0),MATCH(A268,$EL$187:$FI$187,0),MATCH($G$255,$AE$24:$AE$32,0))*C268</f>
        <v>0</v>
      </c>
      <c r="Y254" s="189">
        <f>INDEX(($EL$188:$FI$192,$EL$196:$FI$200,$FL$188:$GI$192,$FL$196:$GI$200,$GS$188:$HP$192,$GS$195:$HP$199,$HT$188:$IQ$192,$HT$195:$IQ$199,$HT$202:$IQ$206),MATCH($L$264,$EK$188:$EK$192,0),MATCH(A268,$EL$187:$FI$187,0),MATCH($G$255,$AE$24:$AE$32,0))*C268</f>
        <v>0</v>
      </c>
      <c r="Z254" s="189">
        <f>INDEX(($EL$188:$FI$192,$EL$196:$FI$200,$FL$188:$GI$192,$FL$196:$GI$200,$GS$188:$HP$192,$GS$195:$HP$199,$HT$188:$IQ$192,$HT$195:$IQ$199,$HT$202:$IQ$206),MATCH($L$265,$EK$188:$EK$192,0),MATCH(A268,$EL$187:$FI$187,0),MATCH($G$255,$AE$24:$AE$32,0))*C268</f>
        <v>0</v>
      </c>
      <c r="AA254" s="189">
        <f>INDEX(($EL$188:$FI$192,$EL$196:$FI$200,$FL$188:$GI$192,$FL$196:$GI$200,$GS$188:$HP$192,$GS$195:$HP$199,$HT$188:$IQ$192,$HT$195:$IQ$199,$HT$202:$IQ$206),MATCH($L$266,$EK$188:$EK$192,0),MATCH(A268,$EL$187:$FI$187,0),MATCH($G$255,$AE$24:$AE$32,0))*C268</f>
        <v>0</v>
      </c>
      <c r="AD254" s="21">
        <f t="shared" si="380"/>
        <v>0</v>
      </c>
      <c r="AE254" s="21">
        <f t="shared" si="381"/>
        <v>0</v>
      </c>
      <c r="AG254" s="21">
        <f t="shared" si="382"/>
        <v>1</v>
      </c>
      <c r="AP254" s="180" t="s">
        <v>507</v>
      </c>
      <c r="AQ254" s="180" t="s">
        <v>529</v>
      </c>
      <c r="AR254" s="180" t="s">
        <v>592</v>
      </c>
      <c r="AS254" s="180" t="s">
        <v>591</v>
      </c>
      <c r="AT254" s="180" t="s">
        <v>591</v>
      </c>
      <c r="AV254" s="180" t="s">
        <v>507</v>
      </c>
      <c r="AW254" s="180" t="s">
        <v>529</v>
      </c>
      <c r="AX254" s="180" t="s">
        <v>593</v>
      </c>
      <c r="AY254" s="180" t="s">
        <v>592</v>
      </c>
      <c r="AZ254" s="180" t="s">
        <v>592</v>
      </c>
    </row>
    <row r="255" spans="1:52" x14ac:dyDescent="0.25">
      <c r="A255" s="8">
        <v>30</v>
      </c>
      <c r="B255" s="5" t="s">
        <v>116</v>
      </c>
      <c r="C255" s="8">
        <v>2</v>
      </c>
      <c r="D255" s="6" t="s">
        <v>118</v>
      </c>
      <c r="E255" s="8" t="s">
        <v>113</v>
      </c>
      <c r="F255" s="5" t="s">
        <v>116</v>
      </c>
      <c r="G255" s="8" t="s">
        <v>480</v>
      </c>
      <c r="H255" s="5" t="s">
        <v>116</v>
      </c>
      <c r="I255" s="8">
        <v>30</v>
      </c>
      <c r="J255" s="5" t="s">
        <v>119</v>
      </c>
      <c r="K255" s="9"/>
      <c r="L255" s="7" t="str">
        <f>IF(E257=$AC$5,"-------",IF(E257=$AC$6,"-------",IF(E257=$AC$7,"-------",IF(E257=$AC$8,IF(E266=$DS$10,"GSW76X1600N",IF(E266=$DS$11,"GSW76X2200N","")),0))))</f>
        <v>-------</v>
      </c>
      <c r="M255" s="11" t="str">
        <f>INDEX(cennik!$C$2:$L$531,MATCH($L255,cennik!$B$2:$B$524,0),MATCH(M$2,cennik!$C$1:$L$1,0))</f>
        <v>-------</v>
      </c>
      <c r="N255" s="11">
        <f>INDEX(cennik!$C$2:$L$531,MATCH($L255,cennik!$B$2:$B$524,0),MATCH(N$2,cennik!$C$1:$L$1,0))</f>
        <v>0</v>
      </c>
      <c r="O255" s="11">
        <f>IF(L255="-------",0,SUM(O257:O258))</f>
        <v>0</v>
      </c>
      <c r="P255" s="34">
        <f>INDEX(cennik!$C$2:$L$531,MATCH($L255,cennik!$B$2:$B$524,0),MATCH(P$2,cennik!$C$1:$L$1,0))</f>
        <v>0</v>
      </c>
      <c r="Q255" s="34">
        <f>O255*P255</f>
        <v>0</v>
      </c>
      <c r="R255" s="35">
        <f>$E$259</f>
        <v>0</v>
      </c>
      <c r="S255" s="34">
        <f>P255*((100-$E$259)/100)</f>
        <v>0</v>
      </c>
      <c r="T255" s="34">
        <f t="shared" ref="T255:T276" si="383">O255*S255</f>
        <v>0</v>
      </c>
      <c r="U255" s="34">
        <f>INDEX(cennik!$C$2:$L$531,MATCH($L255,cennik!$B$2:$B$524,0),MATCH(U$2,cennik!$C$1:$L$1,0))*O255</f>
        <v>0</v>
      </c>
      <c r="X255" s="189">
        <f>INDEX(($EL$188:$FI$192,$EL$196:$FI$200,$FL$188:$GI$192,$FL$196:$GI$200,$GS$188:$HP$192,$GS$195:$HP$199,$HT$188:$IQ$192,$HT$195:$IQ$199,$HT$202:$IQ$206),MATCH($L$267,$EK$188:$EK$192,0),MATCH(A269,$EL$187:$FI$187,0),MATCH($G$255,$AE$24:$AE$32,0))*C269</f>
        <v>0</v>
      </c>
      <c r="Y255" s="189">
        <f>INDEX(($EL$188:$FI$192,$EL$196:$FI$200,$FL$188:$GI$192,$FL$196:$GI$200,$GS$188:$HP$192,$GS$195:$HP$199,$HT$188:$IQ$192,$HT$195:$IQ$199,$HT$202:$IQ$206),MATCH($L$264,$EK$188:$EK$192,0),MATCH(A269,$EL$187:$FI$187,0),MATCH($G$255,$AE$24:$AE$32,0))*C269</f>
        <v>0</v>
      </c>
      <c r="Z255" s="189">
        <f>INDEX(($EL$188:$FI$192,$EL$196:$FI$200,$FL$188:$GI$192,$FL$196:$GI$200,$GS$188:$HP$192,$GS$195:$HP$199,$HT$188:$IQ$192,$HT$195:$IQ$199,$HT$202:$IQ$206),MATCH($L$265,$EK$188:$EK$192,0),MATCH(A269,$EL$187:$FI$187,0),MATCH($G$255,$AE$24:$AE$32,0))*C269</f>
        <v>0</v>
      </c>
      <c r="AA255" s="189">
        <f>INDEX(($EL$188:$FI$192,$EL$196:$FI$200,$FL$188:$GI$192,$FL$196:$GI$200,$GS$188:$HP$192,$GS$195:$HP$199,$HT$188:$IQ$192,$HT$195:$IQ$199,$HT$202:$IQ$206),MATCH($L$266,$EK$188:$EK$192,0),MATCH(A269,$EL$187:$FI$187,0),MATCH($G$255,$AE$24:$AE$32,0))*C269</f>
        <v>0</v>
      </c>
      <c r="AD255" s="21">
        <f t="shared" si="380"/>
        <v>0</v>
      </c>
      <c r="AE255" s="21">
        <f t="shared" si="381"/>
        <v>0</v>
      </c>
      <c r="AG255" s="21">
        <f t="shared" si="382"/>
        <v>1</v>
      </c>
    </row>
    <row r="256" spans="1:52" x14ac:dyDescent="0.25">
      <c r="A256" s="8"/>
      <c r="B256" s="5" t="s">
        <v>116</v>
      </c>
      <c r="C256" s="8"/>
      <c r="D256" s="6" t="s">
        <v>124</v>
      </c>
      <c r="E256" s="8" t="s">
        <v>125</v>
      </c>
      <c r="F256" s="5"/>
      <c r="G256" s="5"/>
      <c r="H256" s="5"/>
      <c r="I256" s="5"/>
      <c r="J256" s="5"/>
      <c r="K256" s="9"/>
      <c r="L256" s="7" t="str">
        <f>IF(E257=$AC$5,"-------",IF(E257=$AC$6,"-------",IF(E257=$AC$7,"PCB70",IF(E257=$AC$8,"PCS70",0))))</f>
        <v>-------</v>
      </c>
      <c r="M256" s="11" t="str">
        <f>INDEX(cennik!$C$2:$L$531,MATCH($L256,cennik!$B$2:$B$524,0),MATCH(M$2,cennik!$C$1:$L$1,0))</f>
        <v>-------</v>
      </c>
      <c r="N256" s="11">
        <f>INDEX(cennik!$C$2:$L$531,MATCH($L256,cennik!$B$2:$B$524,0),MATCH(N$2,cennik!$C$1:$L$1,0))</f>
        <v>0</v>
      </c>
      <c r="O256" s="11">
        <f>IF(E257=AC7,SUM(O257:O258),IF(E257=AC8,SUM(O257:O258),IF(E257=AC5,0,IF(E257=AC6,0,0))))</f>
        <v>0</v>
      </c>
      <c r="P256" s="34">
        <f>INDEX(cennik!$C$2:$L$531,MATCH($L256,cennik!$B$2:$B$524,0),MATCH(P$2,cennik!$C$1:$L$1,0))</f>
        <v>0</v>
      </c>
      <c r="Q256" s="34">
        <f>O256*P256</f>
        <v>0</v>
      </c>
      <c r="R256" s="35">
        <f t="shared" ref="R256:R276" si="384">$E$259</f>
        <v>0</v>
      </c>
      <c r="S256" s="34">
        <f t="shared" ref="S256:S279" si="385">P256*((100-$E$259)/100)</f>
        <v>0</v>
      </c>
      <c r="T256" s="34">
        <f t="shared" si="383"/>
        <v>0</v>
      </c>
      <c r="U256" s="34">
        <f>INDEX(cennik!$C$2:$L$531,MATCH($L256,cennik!$B$2:$B$524,0),MATCH(U$2,cennik!$C$1:$L$1,0))*O256</f>
        <v>0</v>
      </c>
    </row>
    <row r="257" spans="1:52" x14ac:dyDescent="0.25">
      <c r="A257" s="8"/>
      <c r="B257" s="5" t="s">
        <v>116</v>
      </c>
      <c r="C257" s="8"/>
      <c r="D257" s="6" t="s">
        <v>307</v>
      </c>
      <c r="E257" s="8" t="s">
        <v>314</v>
      </c>
      <c r="F257" s="5"/>
      <c r="G257" s="5"/>
      <c r="H257" s="5"/>
      <c r="I257" s="5"/>
      <c r="J257" s="5"/>
      <c r="K257" s="9"/>
      <c r="L257" s="6" t="str">
        <f>INDEX((AQ241:AT254,AW241:AZ254),MATCH(E255,AP241:AP254,0),MATCH(E257,AQ240:AT240,0),MATCH(E262,DS6:DS7,0))</f>
        <v>CWT70H50/3,2NMC</v>
      </c>
      <c r="M257" s="11">
        <f>INDEX(cennik!$C$2:$L$531,MATCH($L257,cennik!$B$2:$B$524,0),MATCH(M$2,cennik!$C$1:$L$1,0))</f>
        <v>867832</v>
      </c>
      <c r="N257" s="11" t="str">
        <f>INDEX(cennik!$C$2:$L$531,MATCH($L257,cennik!$B$2:$B$524,0),MATCH(N$2,cennik!$C$1:$L$1,0))</f>
        <v>szt.</v>
      </c>
      <c r="O257" s="10">
        <f>SUM(AE240:AE255)</f>
        <v>18</v>
      </c>
      <c r="P257" s="34">
        <f>INDEX(cennik!$C$2:$L$531,MATCH($L257,cennik!$B$2:$B$524,0),MATCH(P$2,cennik!$C$1:$L$1,0))</f>
        <v>161.94999999999999</v>
      </c>
      <c r="Q257" s="34">
        <f t="shared" ref="Q257:Q276" si="386">O257*P257</f>
        <v>2915.1</v>
      </c>
      <c r="R257" s="35">
        <f t="shared" si="384"/>
        <v>0</v>
      </c>
      <c r="S257" s="34">
        <f t="shared" si="385"/>
        <v>161.94999999999999</v>
      </c>
      <c r="T257" s="34">
        <f t="shared" si="383"/>
        <v>2915.1</v>
      </c>
      <c r="U257" s="34">
        <f>INDEX(cennik!$C$2:$L$531,MATCH($L257,cennik!$B$2:$B$524,0),MATCH(U$2,cennik!$C$1:$L$1,0))*O257</f>
        <v>216.54</v>
      </c>
      <c r="AP257" s="180" t="s">
        <v>793</v>
      </c>
      <c r="AV257" s="180" t="s">
        <v>794</v>
      </c>
    </row>
    <row r="258" spans="1:52" x14ac:dyDescent="0.25">
      <c r="A258" s="8"/>
      <c r="B258" s="5" t="s">
        <v>116</v>
      </c>
      <c r="C258" s="8"/>
      <c r="D258" s="6" t="s">
        <v>315</v>
      </c>
      <c r="E258" s="8">
        <v>0</v>
      </c>
      <c r="F258" s="5"/>
      <c r="G258" s="5"/>
      <c r="H258" s="5"/>
      <c r="I258" s="5"/>
      <c r="J258" s="5" t="s">
        <v>412</v>
      </c>
      <c r="K258" s="9"/>
      <c r="L258" s="6" t="str">
        <f>INDEX((AQ259:AT272,AW259:AZ272),MATCH(E255,AP259:AP272,0),MATCH(E257,AQ258:AT258,0),MATCH(E262,DS6:DS7,0))</f>
        <v>CWT70H50/4,4NMC</v>
      </c>
      <c r="M258" s="11">
        <f>INDEX(cennik!$C$2:$L$531,MATCH($L258,cennik!$B$2:$B$524,0),MATCH(M$2,cennik!$C$1:$L$1,0))</f>
        <v>867844</v>
      </c>
      <c r="N258" s="11" t="str">
        <f>INDEX(cennik!$C$2:$L$531,MATCH($L258,cennik!$B$2:$B$524,0),MATCH(N$2,cennik!$C$1:$L$1,0))</f>
        <v>szt.</v>
      </c>
      <c r="O258" s="11">
        <f>O257</f>
        <v>18</v>
      </c>
      <c r="P258" s="34">
        <f>INDEX(cennik!$C$2:$L$531,MATCH($L258,cennik!$B$2:$B$524,0),MATCH(P$2,cennik!$C$1:$L$1,0))</f>
        <v>222.68</v>
      </c>
      <c r="Q258" s="34">
        <f t="shared" si="386"/>
        <v>4008.2400000000002</v>
      </c>
      <c r="R258" s="35">
        <f t="shared" si="384"/>
        <v>0</v>
      </c>
      <c r="S258" s="34">
        <f t="shared" si="385"/>
        <v>222.68</v>
      </c>
      <c r="T258" s="34">
        <f t="shared" si="383"/>
        <v>4008.2400000000002</v>
      </c>
      <c r="U258" s="34">
        <f>INDEX(cennik!$C$2:$L$531,MATCH($L258,cennik!$B$2:$B$524,0),MATCH(U$2,cennik!$C$1:$L$1,0))*O258</f>
        <v>297.71999999999997</v>
      </c>
      <c r="AP258" s="180">
        <v>25</v>
      </c>
      <c r="AQ258" s="180" t="s">
        <v>314</v>
      </c>
      <c r="AR258" s="180" t="s">
        <v>312</v>
      </c>
      <c r="AS258" s="180" t="s">
        <v>309</v>
      </c>
      <c r="AT258" s="180" t="s">
        <v>313</v>
      </c>
      <c r="AV258" s="180">
        <v>30</v>
      </c>
      <c r="AW258" s="180" t="s">
        <v>314</v>
      </c>
      <c r="AX258" s="180" t="s">
        <v>312</v>
      </c>
      <c r="AY258" s="180" t="s">
        <v>309</v>
      </c>
      <c r="AZ258" s="180" t="s">
        <v>313</v>
      </c>
    </row>
    <row r="259" spans="1:52" x14ac:dyDescent="0.25">
      <c r="A259" s="8"/>
      <c r="B259" s="5" t="s">
        <v>116</v>
      </c>
      <c r="C259" s="8"/>
      <c r="D259" s="6" t="s">
        <v>162</v>
      </c>
      <c r="E259" s="8">
        <v>0</v>
      </c>
      <c r="F259" s="5"/>
      <c r="G259" s="5"/>
      <c r="H259" s="5"/>
      <c r="I259" s="5"/>
      <c r="J259" s="5" t="s">
        <v>163</v>
      </c>
      <c r="K259" s="9"/>
      <c r="L259" s="6" t="str">
        <f>IF(E255=AE33,"CWC100H50/3,3NMC",IF(E255=AE34,"CWC100H50/3,3NMC",IF(E255=AE35,"CWC100H50/3,3NMC",IF(E255=AE36,"CWC100H50/3,3NMC",IF(E255=AE37,"CWC100H50/3,3NMC",IF(E255=AE38,"CWC100H50/3,3NMC",IF(E255=AE39,"CWC100H50/3,3NMC",IF(E255=AE40,"CWC100H50/3,3NMC",IF(E255=AE41,"CWC100H50/3,3NMC",IF(E255=AE42,"CWC100H50/4,4NMC",IF(E255=AE43,"CWC100H50/4,4NMC",IF(E255=AE44,"CWC100H50/4,4NMC",IF(E255=AE45,"CWC100H50/4,4NMC",IF(E255=AE46,"CWC100H50/4,4NMC",0))))))))))))))</f>
        <v>CWC100H50/3,3NMC</v>
      </c>
      <c r="M259" s="11">
        <f>INDEX(cennik!$C$2:$L$531,MATCH($L259,cennik!$B$2:$B$524,0),MATCH(M$2,cennik!$C$1:$L$1,0))</f>
        <v>867633</v>
      </c>
      <c r="N259" s="11" t="str">
        <f>INDEX(cennik!$C$2:$L$531,MATCH($L259,cennik!$B$2:$B$524,0),MATCH(N$2,cennik!$C$1:$L$1,0))</f>
        <v>szt.</v>
      </c>
      <c r="O259" s="11">
        <f>SUM(((A254/2+1)*C254),((A255/2+1)*C255),((A256/2+1)*C256),((A257/2+1)*C257),((A258/2+1)*C258),((A259/2+1)*C259),((A260/2+1)*C260),((A261/2+1)*C261),((A262/2+1)*C262),((A263/2+1)*C263),((A264/2+1)*C264),((A265/2+1)*C265),((A266/2+1)*C266),((A267/2+1)*C267),((A268/2+1)*C268),((A269/2+1)*C269))</f>
        <v>32</v>
      </c>
      <c r="P259" s="34">
        <f>INDEX(cennik!$C$2:$L$531,MATCH($L259,cennik!$B$2:$B$524,0),MATCH(P$2,cennik!$C$1:$L$1,0))</f>
        <v>132.6</v>
      </c>
      <c r="Q259" s="34">
        <f t="shared" si="386"/>
        <v>4243.2</v>
      </c>
      <c r="R259" s="35">
        <f t="shared" si="384"/>
        <v>0</v>
      </c>
      <c r="S259" s="34">
        <f t="shared" si="385"/>
        <v>132.6</v>
      </c>
      <c r="T259" s="34">
        <f t="shared" si="383"/>
        <v>4243.2</v>
      </c>
      <c r="U259" s="34">
        <f>INDEX(cennik!$C$2:$L$531,MATCH($L259,cennik!$B$2:$B$524,0),MATCH(U$2,cennik!$C$1:$L$1,0))*O259</f>
        <v>315.2</v>
      </c>
      <c r="AP259" s="180" t="s">
        <v>111</v>
      </c>
      <c r="AQ259" s="180" t="s">
        <v>596</v>
      </c>
      <c r="AR259" s="180" t="s">
        <v>594</v>
      </c>
      <c r="AS259" s="180" t="s">
        <v>592</v>
      </c>
      <c r="AT259" s="180" t="s">
        <v>592</v>
      </c>
      <c r="AV259" s="180" t="s">
        <v>111</v>
      </c>
      <c r="AW259" s="180" t="s">
        <v>596</v>
      </c>
      <c r="AX259" s="180" t="s">
        <v>595</v>
      </c>
      <c r="AY259" s="180" t="s">
        <v>593</v>
      </c>
      <c r="AZ259" s="180" t="s">
        <v>593</v>
      </c>
    </row>
    <row r="260" spans="1:52" x14ac:dyDescent="0.25">
      <c r="A260" s="8"/>
      <c r="B260" s="5" t="s">
        <v>116</v>
      </c>
      <c r="C260" s="8"/>
      <c r="D260" s="6" t="s">
        <v>515</v>
      </c>
      <c r="E260" s="8">
        <v>0</v>
      </c>
      <c r="F260" s="5"/>
      <c r="G260" s="5"/>
      <c r="H260" s="5"/>
      <c r="I260" s="5"/>
      <c r="J260" s="5" t="s">
        <v>412</v>
      </c>
      <c r="K260" s="9"/>
      <c r="L260" s="6" t="s">
        <v>293</v>
      </c>
      <c r="M260" s="11">
        <f>INDEX(cennik!$C$2:$L$531,MATCH($L260,cennik!$B$2:$B$524,0),MATCH(M$2,cennik!$C$1:$L$1,0))</f>
        <v>851122</v>
      </c>
      <c r="N260" s="11" t="str">
        <f>INDEX(cennik!$C$2:$L$531,MATCH($L260,cennik!$B$2:$B$524,0),MATCH(N$2,cennik!$C$1:$L$1,0))</f>
        <v>szt.</v>
      </c>
      <c r="O260" s="11">
        <f>O257</f>
        <v>18</v>
      </c>
      <c r="P260" s="34">
        <f>INDEX(cennik!$C$2:$L$531,MATCH($L260,cennik!$B$2:$B$524,0),MATCH(P$2,cennik!$C$1:$L$1,0))</f>
        <v>46.2</v>
      </c>
      <c r="Q260" s="34">
        <f t="shared" si="386"/>
        <v>831.6</v>
      </c>
      <c r="R260" s="35">
        <f>$E$259</f>
        <v>0</v>
      </c>
      <c r="S260" s="34">
        <f t="shared" si="385"/>
        <v>46.2</v>
      </c>
      <c r="T260" s="34">
        <f t="shared" si="383"/>
        <v>831.6</v>
      </c>
      <c r="U260" s="34">
        <f>INDEX(cennik!$C$2:$L$531,MATCH($L260,cennik!$B$2:$B$524,0),MATCH(U$2,cennik!$C$1:$L$1,0))*O260</f>
        <v>60.12</v>
      </c>
      <c r="AP260" s="180" t="s">
        <v>112</v>
      </c>
      <c r="AQ260" s="180" t="s">
        <v>596</v>
      </c>
      <c r="AR260" s="180" t="s">
        <v>594</v>
      </c>
      <c r="AS260" s="180" t="s">
        <v>592</v>
      </c>
      <c r="AT260" s="180" t="s">
        <v>592</v>
      </c>
      <c r="AV260" s="180" t="s">
        <v>112</v>
      </c>
      <c r="AW260" s="180" t="s">
        <v>596</v>
      </c>
      <c r="AX260" s="180" t="s">
        <v>595</v>
      </c>
      <c r="AY260" s="180" t="s">
        <v>593</v>
      </c>
      <c r="AZ260" s="180" t="s">
        <v>593</v>
      </c>
    </row>
    <row r="261" spans="1:52" x14ac:dyDescent="0.25">
      <c r="A261" s="8"/>
      <c r="B261" s="5" t="s">
        <v>116</v>
      </c>
      <c r="C261" s="8"/>
      <c r="D261" s="6" t="s">
        <v>511</v>
      </c>
      <c r="E261" s="4"/>
      <c r="F261" s="6"/>
      <c r="G261" s="6"/>
      <c r="H261" s="6"/>
      <c r="I261" s="6"/>
      <c r="J261" s="1"/>
      <c r="K261" s="9"/>
      <c r="L261" s="6" t="s">
        <v>616</v>
      </c>
      <c r="M261" s="11">
        <f>INDEX(cennik!$C$2:$L$531,MATCH($L261,cennik!$B$2:$B$524,0),MATCH(M$2,cennik!$C$1:$L$1,0))</f>
        <v>731305</v>
      </c>
      <c r="N261" s="11" t="str">
        <f>INDEX(cennik!$C$2:$L$531,MATCH($L261,cennik!$B$2:$B$524,0),MATCH(N$2,cennik!$C$1:$L$1,0))</f>
        <v>szt.</v>
      </c>
      <c r="O261" s="11">
        <f>O262*2</f>
        <v>32</v>
      </c>
      <c r="P261" s="34">
        <f>INDEX(cennik!$C$2:$L$531,MATCH($L261,cennik!$B$2:$B$524,0),MATCH(P$2,cennik!$C$1:$L$1,0))</f>
        <v>5.12</v>
      </c>
      <c r="Q261" s="34">
        <f t="shared" si="386"/>
        <v>163.84</v>
      </c>
      <c r="R261" s="35">
        <f t="shared" si="384"/>
        <v>0</v>
      </c>
      <c r="S261" s="34">
        <f>P261*((100-$E$259)/100)</f>
        <v>5.12</v>
      </c>
      <c r="T261" s="34">
        <f t="shared" si="383"/>
        <v>163.84</v>
      </c>
      <c r="U261" s="34">
        <f>INDEX(cennik!$C$2:$L$531,MATCH($L261,cennik!$B$2:$B$524,0),MATCH(U$2,cennik!$C$1:$L$1,0))*O261</f>
        <v>3.52</v>
      </c>
      <c r="AP261" s="180" t="s">
        <v>132</v>
      </c>
      <c r="AQ261" s="180" t="s">
        <v>596</v>
      </c>
      <c r="AR261" s="180" t="s">
        <v>594</v>
      </c>
      <c r="AS261" s="180" t="s">
        <v>592</v>
      </c>
      <c r="AT261" s="180" t="s">
        <v>592</v>
      </c>
      <c r="AV261" s="180" t="s">
        <v>132</v>
      </c>
      <c r="AW261" s="180" t="s">
        <v>596</v>
      </c>
      <c r="AX261" s="180" t="s">
        <v>595</v>
      </c>
      <c r="AY261" s="180" t="s">
        <v>593</v>
      </c>
      <c r="AZ261" s="180" t="s">
        <v>593</v>
      </c>
    </row>
    <row r="262" spans="1:52" x14ac:dyDescent="0.25">
      <c r="A262" s="8"/>
      <c r="B262" s="5" t="s">
        <v>116</v>
      </c>
      <c r="C262" s="8"/>
      <c r="D262" s="6" t="s">
        <v>310</v>
      </c>
      <c r="E262" s="5">
        <v>25</v>
      </c>
      <c r="F262" s="9"/>
      <c r="G262" s="9"/>
      <c r="H262" s="9"/>
      <c r="I262" s="9"/>
      <c r="J262" s="9"/>
      <c r="K262" s="9"/>
      <c r="L262" s="6" t="s">
        <v>695</v>
      </c>
      <c r="M262" s="11">
        <f>INDEX(cennik!$C$2:$L$531,MATCH($L262,cennik!$B$2:$B$524,0),MATCH(M$2,cennik!$C$1:$L$1,0))</f>
        <v>650400</v>
      </c>
      <c r="N262" s="11" t="str">
        <f>INDEX(cennik!$C$2:$L$531,MATCH($L262,cennik!$B$2:$B$524,0),MATCH(N$2,cennik!$C$1:$L$1,0))</f>
        <v>szt.</v>
      </c>
      <c r="O262" s="11">
        <f>SUM(AD240:AD255)</f>
        <v>16</v>
      </c>
      <c r="P262" s="34">
        <f>INDEX(cennik!$C$2:$L$531,MATCH($L262,cennik!$B$2:$B$524,0),MATCH(P$2,cennik!$C$1:$L$1,0))</f>
        <v>14.53</v>
      </c>
      <c r="Q262" s="34">
        <f t="shared" si="386"/>
        <v>232.48</v>
      </c>
      <c r="R262" s="35">
        <f t="shared" si="384"/>
        <v>0</v>
      </c>
      <c r="S262" s="34">
        <f t="shared" si="385"/>
        <v>14.53</v>
      </c>
      <c r="T262" s="34">
        <f t="shared" si="383"/>
        <v>232.48</v>
      </c>
      <c r="U262" s="34">
        <f>INDEX(cennik!$C$2:$L$531,MATCH($L262,cennik!$B$2:$B$524,0),MATCH(U$2,cennik!$C$1:$L$1,0))*O262</f>
        <v>7.68</v>
      </c>
      <c r="AP262" s="180" t="s">
        <v>470</v>
      </c>
      <c r="AQ262" s="180" t="s">
        <v>596</v>
      </c>
      <c r="AR262" s="180" t="s">
        <v>594</v>
      </c>
      <c r="AS262" s="180" t="s">
        <v>592</v>
      </c>
      <c r="AT262" s="180" t="s">
        <v>592</v>
      </c>
      <c r="AV262" s="180" t="s">
        <v>470</v>
      </c>
      <c r="AW262" s="180" t="s">
        <v>596</v>
      </c>
      <c r="AX262" s="180" t="s">
        <v>595</v>
      </c>
      <c r="AY262" s="180" t="s">
        <v>593</v>
      </c>
      <c r="AZ262" s="180" t="s">
        <v>593</v>
      </c>
    </row>
    <row r="263" spans="1:52" x14ac:dyDescent="0.25">
      <c r="A263" s="8"/>
      <c r="B263" s="5" t="s">
        <v>116</v>
      </c>
      <c r="C263" s="8"/>
      <c r="D263" s="6" t="s">
        <v>787</v>
      </c>
      <c r="E263" s="8">
        <v>1</v>
      </c>
      <c r="F263" s="39" t="s">
        <v>789</v>
      </c>
      <c r="G263" s="9"/>
      <c r="H263" s="9"/>
      <c r="I263" s="9"/>
      <c r="J263" s="9"/>
      <c r="K263" s="9"/>
      <c r="L263" s="6" t="s">
        <v>694</v>
      </c>
      <c r="M263" s="11">
        <f>INDEX(cennik!$C$2:$L$531,MATCH($L263,cennik!$B$2:$B$524,0),MATCH(M$2,cennik!$C$1:$L$1,0))</f>
        <v>6500451</v>
      </c>
      <c r="N263" s="11" t="str">
        <f>INDEX(cennik!$C$2:$L$531,MATCH($L263,cennik!$B$2:$B$524,0),MATCH(N$2,cennik!$C$1:$L$1,0))</f>
        <v>100 szt.</v>
      </c>
      <c r="O263" s="11">
        <f>ROUNDUP((O261*2)/100,0)</f>
        <v>1</v>
      </c>
      <c r="P263" s="34">
        <f>INDEX(cennik!$C$2:$L$531,MATCH($L263,cennik!$B$2:$B$524,0),MATCH(P$2,cennik!$C$1:$L$1,0))</f>
        <v>14.29</v>
      </c>
      <c r="Q263" s="34">
        <f t="shared" si="386"/>
        <v>14.29</v>
      </c>
      <c r="R263" s="35">
        <f t="shared" si="384"/>
        <v>0</v>
      </c>
      <c r="S263" s="34">
        <f t="shared" si="385"/>
        <v>14.29</v>
      </c>
      <c r="T263" s="34">
        <f t="shared" si="383"/>
        <v>14.29</v>
      </c>
      <c r="U263" s="34">
        <f>INDEX(cennik!$C$2:$L$531,MATCH($L263,cennik!$B$2:$B$524,0),MATCH(U$2,cennik!$C$1:$L$1,0))*O263</f>
        <v>0</v>
      </c>
      <c r="AP263" s="180" t="s">
        <v>472</v>
      </c>
      <c r="AQ263" s="180" t="s">
        <v>596</v>
      </c>
      <c r="AR263" s="180" t="s">
        <v>594</v>
      </c>
      <c r="AS263" s="180" t="s">
        <v>592</v>
      </c>
      <c r="AT263" s="180" t="s">
        <v>592</v>
      </c>
      <c r="AV263" s="180" t="s">
        <v>472</v>
      </c>
      <c r="AW263" s="180" t="s">
        <v>596</v>
      </c>
      <c r="AX263" s="180" t="s">
        <v>595</v>
      </c>
      <c r="AY263" s="180" t="s">
        <v>593</v>
      </c>
      <c r="AZ263" s="180" t="s">
        <v>593</v>
      </c>
    </row>
    <row r="264" spans="1:52" x14ac:dyDescent="0.25">
      <c r="A264" s="8"/>
      <c r="B264" s="5" t="s">
        <v>116</v>
      </c>
      <c r="C264" s="8"/>
      <c r="D264" s="6" t="s">
        <v>788</v>
      </c>
      <c r="E264" s="8">
        <v>2</v>
      </c>
      <c r="F264" s="39" t="s">
        <v>790</v>
      </c>
      <c r="G264" s="9"/>
      <c r="H264" s="9"/>
      <c r="I264" s="9"/>
      <c r="J264" s="9"/>
      <c r="K264" s="9"/>
      <c r="L264" s="6" t="s">
        <v>817</v>
      </c>
      <c r="M264" s="11">
        <f>INDEX(cennik!$C$2:$L$531,MATCH($L264,cennik!$B$2:$B$524,0),MATCH(M$2,cennik!$C$1:$L$1,0))</f>
        <v>881566</v>
      </c>
      <c r="N264" s="11" t="str">
        <f>INDEX(cennik!$C$2:$L$531,MATCH($L264,cennik!$B$2:$B$524,0),MATCH(N$2,cennik!$C$1:$L$1,0))</f>
        <v>szt.</v>
      </c>
      <c r="O264" s="11">
        <f>SUM(Y240:Y255)/2</f>
        <v>0</v>
      </c>
      <c r="P264" s="34">
        <f>INDEX(cennik!$C$2:$L$531,MATCH($L264,cennik!$B$2:$B$524,0),MATCH(P$2,cennik!$C$1:$L$1,0))</f>
        <v>265.20999999999998</v>
      </c>
      <c r="Q264" s="34">
        <f t="shared" si="386"/>
        <v>0</v>
      </c>
      <c r="R264" s="35">
        <f t="shared" si="384"/>
        <v>0</v>
      </c>
      <c r="S264" s="34">
        <f t="shared" si="385"/>
        <v>265.20999999999998</v>
      </c>
      <c r="T264" s="34">
        <f t="shared" si="383"/>
        <v>0</v>
      </c>
      <c r="U264" s="34">
        <f>INDEX(cennik!$C$2:$L$531,MATCH($L264,cennik!$B$2:$B$524,0),MATCH(U$2,cennik!$C$1:$L$1,0))*O264</f>
        <v>0</v>
      </c>
      <c r="AP264" s="180" t="s">
        <v>471</v>
      </c>
      <c r="AQ264" s="180" t="s">
        <v>596</v>
      </c>
      <c r="AR264" s="180" t="s">
        <v>594</v>
      </c>
      <c r="AS264" s="180" t="s">
        <v>592</v>
      </c>
      <c r="AT264" s="180" t="s">
        <v>592</v>
      </c>
      <c r="AV264" s="180" t="s">
        <v>471</v>
      </c>
      <c r="AW264" s="180" t="s">
        <v>596</v>
      </c>
      <c r="AX264" s="180" t="s">
        <v>595</v>
      </c>
      <c r="AY264" s="180" t="s">
        <v>593</v>
      </c>
      <c r="AZ264" s="180" t="s">
        <v>593</v>
      </c>
    </row>
    <row r="265" spans="1:52" x14ac:dyDescent="0.25">
      <c r="A265" s="8"/>
      <c r="B265" s="5" t="s">
        <v>116</v>
      </c>
      <c r="C265" s="8"/>
      <c r="D265" s="6" t="s">
        <v>752</v>
      </c>
      <c r="E265" s="59" t="str">
        <f>INDEX((AQ235:AU237),MATCH(E263,AP235:AP237,0),MATCH(E264,AQ234:AU234,0))</f>
        <v>2XSZEROKOŚĆ MODUŁU+40mm</v>
      </c>
      <c r="F265" s="9"/>
      <c r="G265" s="9"/>
      <c r="H265" s="9"/>
      <c r="I265" s="9"/>
      <c r="J265" s="29" t="s">
        <v>119</v>
      </c>
      <c r="K265" s="9"/>
      <c r="L265" s="6" t="s">
        <v>815</v>
      </c>
      <c r="M265" s="11">
        <f>INDEX(cennik!$C$2:$L$531,MATCH($L265,cennik!$B$2:$B$524,0),MATCH(M$2,cennik!$C$1:$L$1,0))</f>
        <v>881544</v>
      </c>
      <c r="N265" s="11" t="str">
        <f>INDEX(cennik!$C$2:$L$531,MATCH($L265,cennik!$B$2:$B$524,0),MATCH(N$2,cennik!$C$1:$L$1,0))</f>
        <v>szt.</v>
      </c>
      <c r="O265" s="11">
        <f>SUM(Z240:Z255)/2</f>
        <v>8</v>
      </c>
      <c r="P265" s="34">
        <f>INDEX(cennik!$C$2:$L$531,MATCH($L265,cennik!$B$2:$B$524,0),MATCH(P$2,cennik!$C$1:$L$1,0))</f>
        <v>176.8</v>
      </c>
      <c r="Q265" s="34">
        <f t="shared" si="386"/>
        <v>1414.4</v>
      </c>
      <c r="R265" s="35">
        <f t="shared" si="384"/>
        <v>0</v>
      </c>
      <c r="S265" s="34">
        <f t="shared" si="385"/>
        <v>176.8</v>
      </c>
      <c r="T265" s="34">
        <f t="shared" si="383"/>
        <v>1414.4</v>
      </c>
      <c r="U265" s="34">
        <f>INDEX(cennik!$C$2:$L$531,MATCH($L265,cennik!$B$2:$B$524,0),MATCH(U$2,cennik!$C$1:$L$1,0))*O265</f>
        <v>105.04</v>
      </c>
      <c r="AP265" s="180" t="s">
        <v>473</v>
      </c>
      <c r="AQ265" s="180" t="s">
        <v>596</v>
      </c>
      <c r="AR265" s="180" t="s">
        <v>594</v>
      </c>
      <c r="AS265" s="180" t="s">
        <v>592</v>
      </c>
      <c r="AT265" s="180" t="s">
        <v>592</v>
      </c>
      <c r="AV265" s="180" t="s">
        <v>473</v>
      </c>
      <c r="AW265" s="180" t="s">
        <v>596</v>
      </c>
      <c r="AX265" s="180" t="s">
        <v>595</v>
      </c>
      <c r="AY265" s="180" t="s">
        <v>593</v>
      </c>
      <c r="AZ265" s="180" t="s">
        <v>593</v>
      </c>
    </row>
    <row r="266" spans="1:52" x14ac:dyDescent="0.25">
      <c r="A266" s="8"/>
      <c r="B266" s="5" t="s">
        <v>116</v>
      </c>
      <c r="C266" s="8"/>
      <c r="D266" s="6" t="str">
        <f>IF(E257=$AC$8,"długość śruby GSW","")</f>
        <v/>
      </c>
      <c r="E266" s="38">
        <v>1600</v>
      </c>
      <c r="F266" s="9"/>
      <c r="G266" s="9"/>
      <c r="H266" s="9"/>
      <c r="I266" s="9"/>
      <c r="J266" s="29" t="str">
        <f>IF(E257=$AC$8,"[mm]","")</f>
        <v/>
      </c>
      <c r="K266" s="9"/>
      <c r="L266" s="6" t="s">
        <v>813</v>
      </c>
      <c r="M266" s="11">
        <f>INDEX(cennik!$C$2:$L$531,MATCH($L266,cennik!$B$2:$B$524,0),MATCH(M$2,cennik!$C$1:$L$1,0))</f>
        <v>881533</v>
      </c>
      <c r="N266" s="11" t="str">
        <f>INDEX(cennik!$C$2:$L$531,MATCH($L266,cennik!$B$2:$B$524,0),MATCH(N$2,cennik!$C$1:$L$1,0))</f>
        <v>szt.</v>
      </c>
      <c r="O266" s="11">
        <f>SUM(AA240:AA255)/2</f>
        <v>12</v>
      </c>
      <c r="P266" s="34">
        <f>INDEX(cennik!$C$2:$L$531,MATCH($L266,cennik!$B$2:$B$524,0),MATCH(P$2,cennik!$C$1:$L$1,0))</f>
        <v>132.6</v>
      </c>
      <c r="Q266" s="34">
        <f t="shared" si="386"/>
        <v>1591.1999999999998</v>
      </c>
      <c r="R266" s="35">
        <f t="shared" si="384"/>
        <v>0</v>
      </c>
      <c r="S266" s="34">
        <f t="shared" si="385"/>
        <v>132.6</v>
      </c>
      <c r="T266" s="34">
        <f t="shared" si="383"/>
        <v>1591.1999999999998</v>
      </c>
      <c r="U266" s="34">
        <f>INDEX(cennik!$C$2:$L$531,MATCH($L266,cennik!$B$2:$B$524,0),MATCH(U$2,cennik!$C$1:$L$1,0))*O266</f>
        <v>118.19999999999999</v>
      </c>
      <c r="AP266" s="180" t="s">
        <v>113</v>
      </c>
      <c r="AQ266" s="180" t="s">
        <v>596</v>
      </c>
      <c r="AR266" s="180" t="s">
        <v>594</v>
      </c>
      <c r="AS266" s="180" t="s">
        <v>592</v>
      </c>
      <c r="AT266" s="180" t="s">
        <v>592</v>
      </c>
      <c r="AV266" s="180" t="s">
        <v>113</v>
      </c>
      <c r="AW266" s="180" t="s">
        <v>596</v>
      </c>
      <c r="AX266" s="180" t="s">
        <v>595</v>
      </c>
      <c r="AY266" s="180" t="s">
        <v>593</v>
      </c>
      <c r="AZ266" s="180" t="s">
        <v>593</v>
      </c>
    </row>
    <row r="267" spans="1:52" x14ac:dyDescent="0.25">
      <c r="A267" s="8"/>
      <c r="B267" s="5" t="s">
        <v>116</v>
      </c>
      <c r="C267" s="8"/>
      <c r="D267" s="40" t="s">
        <v>795</v>
      </c>
      <c r="E267" s="9"/>
      <c r="F267" s="9"/>
      <c r="G267" s="9"/>
      <c r="H267" s="9"/>
      <c r="I267" s="9"/>
      <c r="J267" s="9"/>
      <c r="K267" s="9"/>
      <c r="L267" s="6" t="s">
        <v>819</v>
      </c>
      <c r="M267" s="11">
        <f>INDEX(cennik!$C$2:$L$531,MATCH($L267,cennik!$B$2:$B$524,0),MATCH(M$2,cennik!$C$1:$L$1,0))</f>
        <v>856106</v>
      </c>
      <c r="N267" s="11" t="str">
        <f>INDEX(cennik!$C$2:$L$531,MATCH($L267,cennik!$B$2:$B$524,0),MATCH(N$2,cennik!$C$1:$L$1,0))</f>
        <v>szt.</v>
      </c>
      <c r="O267" s="11">
        <f>SUM(X240:X255)/2</f>
        <v>16</v>
      </c>
      <c r="P267" s="34">
        <f>INDEX(cennik!$C$2:$L$531,MATCH($L267,cennik!$B$2:$B$524,0),MATCH(P$2,cennik!$C$1:$L$1,0))</f>
        <v>21.81</v>
      </c>
      <c r="Q267" s="34">
        <f t="shared" si="386"/>
        <v>348.96</v>
      </c>
      <c r="R267" s="35">
        <f t="shared" si="384"/>
        <v>0</v>
      </c>
      <c r="S267" s="34">
        <f t="shared" si="385"/>
        <v>21.81</v>
      </c>
      <c r="T267" s="34">
        <f t="shared" si="383"/>
        <v>348.96</v>
      </c>
      <c r="U267" s="34">
        <f>INDEX(cennik!$C$2:$L$531,MATCH($L267,cennik!$B$2:$B$524,0),MATCH(U$2,cennik!$C$1:$L$1,0))*O267</f>
        <v>36.799999999999997</v>
      </c>
      <c r="AP267" s="180" t="s">
        <v>137</v>
      </c>
      <c r="AQ267" s="180" t="s">
        <v>596</v>
      </c>
      <c r="AR267" s="180" t="s">
        <v>594</v>
      </c>
      <c r="AS267" s="180" t="s">
        <v>592</v>
      </c>
      <c r="AT267" s="180" t="s">
        <v>592</v>
      </c>
      <c r="AV267" s="180" t="s">
        <v>137</v>
      </c>
      <c r="AW267" s="180" t="s">
        <v>596</v>
      </c>
      <c r="AX267" s="180" t="s">
        <v>595</v>
      </c>
      <c r="AY267" s="180" t="s">
        <v>593</v>
      </c>
      <c r="AZ267" s="180" t="s">
        <v>593</v>
      </c>
    </row>
    <row r="268" spans="1:52" x14ac:dyDescent="0.25">
      <c r="A268" s="8"/>
      <c r="B268" s="5" t="s">
        <v>116</v>
      </c>
      <c r="C268" s="8"/>
      <c r="D268" s="40" t="s">
        <v>796</v>
      </c>
      <c r="E268" s="9"/>
      <c r="F268" s="9"/>
      <c r="G268" s="9"/>
      <c r="H268" s="9"/>
      <c r="I268" s="9"/>
      <c r="J268" s="9"/>
      <c r="K268" s="9"/>
      <c r="L268" s="6" t="str">
        <f>INDEX(($AH$3:$AI$12),MATCH(I255,$AG$3:$AG$12,0),MATCH(E256,$AH$2:$AI$2,0))</f>
        <v>BUF30</v>
      </c>
      <c r="M268" s="11">
        <f>INDEX(cennik!$C$2:$L$531,MATCH($L268,cennik!$B$2:$B$524,0),MATCH(M$2,cennik!$C$1:$L$1,0))</f>
        <v>897330</v>
      </c>
      <c r="N268" s="11" t="str">
        <f>INDEX(cennik!$C$2:$L$531,MATCH($L268,cennik!$B$2:$B$524,0),MATCH(N$2,cennik!$C$1:$L$1,0))</f>
        <v>szt.</v>
      </c>
      <c r="O268" s="11">
        <f>SUM((C254*8),(C255*8),(C256*8),(C257*8),(C258*8),(C259*8),(C260*8),(C261*8),(C262*8),(C263*8),(C264*8),(C265*8),(C266*8),(C267*8),(C268*8),(C269*8))</f>
        <v>16</v>
      </c>
      <c r="P268" s="34">
        <f>INDEX(cennik!$C$2:$L$531,MATCH($L268,cennik!$B$2:$B$524,0),MATCH(P$2,cennik!$C$1:$L$1,0))</f>
        <v>1.92</v>
      </c>
      <c r="Q268" s="34">
        <f t="shared" si="386"/>
        <v>30.72</v>
      </c>
      <c r="R268" s="35">
        <f t="shared" si="384"/>
        <v>0</v>
      </c>
      <c r="S268" s="34">
        <f t="shared" si="385"/>
        <v>1.92</v>
      </c>
      <c r="T268" s="34">
        <f t="shared" si="383"/>
        <v>30.72</v>
      </c>
      <c r="U268" s="34">
        <f>INDEX(cennik!$C$2:$L$531,MATCH($L268,cennik!$B$2:$B$524,0),MATCH(U$2,cennik!$C$1:$L$1,0))*O268</f>
        <v>0.32</v>
      </c>
      <c r="AP268" s="180" t="s">
        <v>138</v>
      </c>
      <c r="AQ268" s="180" t="s">
        <v>596</v>
      </c>
      <c r="AR268" s="180" t="s">
        <v>594</v>
      </c>
      <c r="AS268" s="180" t="s">
        <v>592</v>
      </c>
      <c r="AT268" s="180" t="s">
        <v>592</v>
      </c>
      <c r="AV268" s="180" t="s">
        <v>138</v>
      </c>
      <c r="AW268" s="180" t="s">
        <v>596</v>
      </c>
      <c r="AX268" s="180" t="s">
        <v>595</v>
      </c>
      <c r="AY268" s="180" t="s">
        <v>593</v>
      </c>
      <c r="AZ268" s="180" t="s">
        <v>593</v>
      </c>
    </row>
    <row r="269" spans="1:52" x14ac:dyDescent="0.25">
      <c r="A269" s="8"/>
      <c r="B269" s="5" t="s">
        <v>116</v>
      </c>
      <c r="C269" s="8"/>
      <c r="D269" s="40" t="s">
        <v>797</v>
      </c>
      <c r="E269" s="9"/>
      <c r="F269" s="9"/>
      <c r="G269" s="9"/>
      <c r="H269" s="9"/>
      <c r="I269" s="9"/>
      <c r="J269" s="9"/>
      <c r="K269" s="9"/>
      <c r="L269" s="6" t="str">
        <f>INDEX(($AH$13:$AI$13),1,MATCH(E256,$AH$2:$AI$2,0))</f>
        <v>PUF</v>
      </c>
      <c r="M269" s="11">
        <f>INDEX(cennik!$C$2:$L$531,MATCH($L269,cennik!$B$2:$B$524,0),MATCH(M$2,cennik!$C$1:$L$1,0))</f>
        <v>897300</v>
      </c>
      <c r="N269" s="11" t="str">
        <f>INDEX(cennik!$C$2:$L$531,MATCH($L269,cennik!$B$2:$B$524,0),MATCH(N$2,cennik!$C$1:$L$1,0))</f>
        <v>szt.</v>
      </c>
      <c r="O269" s="11">
        <f>SUM((((A254/2)-1)*4)*C254,(((A255/2)-1)*4)*C255,(((A256/2)-1)*4)*C256,(((A257/2)-1)*4)*C257,(((A258/2)-1)*4)*C258,(((A259/2)-1)*4)*C259,(((A260/2)-1)*4)*C260,(((A261/2)-1)*4)*C261,(((A262/2)-1)*4)*C262,(((A263/2)-1)*4)*C263,(((A264/2)-1)*4)*C264,(((A265/2)-1)*4)*C265,(((A266/2)-1)*4)*C266,(((A267/2)-1)*4)*C267,(((A268/2)-1)*4)*C268,(((A269/2)-1)*4)*C269)</f>
        <v>112</v>
      </c>
      <c r="P269" s="34">
        <f>INDEX(cennik!$C$2:$L$531,MATCH($L269,cennik!$B$2:$B$524,0),MATCH(P$2,cennik!$C$1:$L$1,0))</f>
        <v>2.06</v>
      </c>
      <c r="Q269" s="34">
        <f t="shared" si="386"/>
        <v>230.72</v>
      </c>
      <c r="R269" s="35">
        <f t="shared" si="384"/>
        <v>0</v>
      </c>
      <c r="S269" s="34">
        <f t="shared" si="385"/>
        <v>2.06</v>
      </c>
      <c r="T269" s="34">
        <f t="shared" si="383"/>
        <v>230.72</v>
      </c>
      <c r="U269" s="34">
        <f>INDEX(cennik!$C$2:$L$531,MATCH($L269,cennik!$B$2:$B$524,0),MATCH(U$2,cennik!$C$1:$L$1,0))*O269</f>
        <v>2.2400000000000002</v>
      </c>
      <c r="AP269" s="180" t="s">
        <v>478</v>
      </c>
      <c r="AQ269" s="180" t="s">
        <v>596</v>
      </c>
      <c r="AR269" s="180" t="s">
        <v>594</v>
      </c>
      <c r="AS269" s="180" t="s">
        <v>592</v>
      </c>
      <c r="AT269" s="180" t="s">
        <v>592</v>
      </c>
      <c r="AV269" s="180" t="s">
        <v>478</v>
      </c>
      <c r="AW269" s="180" t="s">
        <v>596</v>
      </c>
      <c r="AX269" s="180" t="s">
        <v>595</v>
      </c>
      <c r="AY269" s="180" t="s">
        <v>593</v>
      </c>
      <c r="AZ269" s="180" t="s">
        <v>593</v>
      </c>
    </row>
    <row r="270" spans="1:52" x14ac:dyDescent="0.25">
      <c r="A270" s="9"/>
      <c r="B270" s="6"/>
      <c r="C270" s="9"/>
      <c r="D270" s="40" t="s">
        <v>798</v>
      </c>
      <c r="E270" s="9"/>
      <c r="F270" s="9"/>
      <c r="G270" s="9"/>
      <c r="H270" s="9"/>
      <c r="I270" s="9"/>
      <c r="J270" s="9"/>
      <c r="K270" s="9"/>
      <c r="L270" s="6" t="str">
        <f>INDEX(($AJ$3:$AJ$12),MATCH(I255,$AG$3:$AG$12,0),1)</f>
        <v>SAM8X25E</v>
      </c>
      <c r="M270" s="11">
        <f>INDEX(cennik!$C$2:$L$531,MATCH($L270,cennik!$B$2:$B$524,0),MATCH(M$2,cennik!$C$1:$L$1,0))</f>
        <v>898525</v>
      </c>
      <c r="N270" s="11" t="str">
        <f>INDEX(cennik!$C$2:$L$531,MATCH($L270,cennik!$B$2:$B$524,0),MATCH(N$2,cennik!$C$1:$L$1,0))</f>
        <v>szt.</v>
      </c>
      <c r="O270" s="11">
        <f>SUM(O268:O269)</f>
        <v>128</v>
      </c>
      <c r="P270" s="34">
        <f>INDEX(cennik!$C$2:$L$531,MATCH($L270,cennik!$B$2:$B$524,0),MATCH(P$2,cennik!$C$1:$L$1,0))</f>
        <v>0.45</v>
      </c>
      <c r="Q270" s="34">
        <f t="shared" si="386"/>
        <v>57.6</v>
      </c>
      <c r="R270" s="35">
        <f t="shared" si="384"/>
        <v>0</v>
      </c>
      <c r="S270" s="34">
        <f t="shared" si="385"/>
        <v>0.45</v>
      </c>
      <c r="T270" s="34">
        <f t="shared" si="383"/>
        <v>57.6</v>
      </c>
      <c r="U270" s="34">
        <f>INDEX(cennik!$C$2:$L$531,MATCH($L270,cennik!$B$2:$B$524,0),MATCH(U$2,cennik!$C$1:$L$1,0))*O270</f>
        <v>6.4</v>
      </c>
      <c r="AO270" s="192"/>
      <c r="AP270" s="180" t="s">
        <v>479</v>
      </c>
      <c r="AQ270" s="180" t="s">
        <v>596</v>
      </c>
      <c r="AR270" s="180" t="s">
        <v>594</v>
      </c>
      <c r="AS270" s="180" t="s">
        <v>592</v>
      </c>
      <c r="AT270" s="180" t="s">
        <v>592</v>
      </c>
      <c r="AV270" s="180" t="s">
        <v>479</v>
      </c>
      <c r="AW270" s="180" t="s">
        <v>596</v>
      </c>
      <c r="AX270" s="180" t="s">
        <v>595</v>
      </c>
      <c r="AY270" s="180" t="s">
        <v>593</v>
      </c>
      <c r="AZ270" s="180" t="s">
        <v>593</v>
      </c>
    </row>
    <row r="271" spans="1:52" x14ac:dyDescent="0.25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6" t="s">
        <v>1019</v>
      </c>
      <c r="M271" s="11">
        <f>INDEX(cennik!$C$2:$L$531,MATCH($L271,cennik!$B$2:$B$524,0),MATCH(M$2,cennik!$C$1:$L$1,0))</f>
        <v>166794</v>
      </c>
      <c r="N271" s="11" t="str">
        <f>INDEX(cennik!$C$2:$L$531,MATCH($L271,cennik!$B$2:$B$524,0),MATCH(N$2,cennik!$C$1:$L$1,0))</f>
        <v>100 szt.</v>
      </c>
      <c r="O271" s="11">
        <f>ROUNDUP(O270/100,0)</f>
        <v>2</v>
      </c>
      <c r="P271" s="34">
        <f>INDEX(cennik!$C$2:$L$531,MATCH($L271,cennik!$B$2:$B$524,0),MATCH(P$2,cennik!$C$1:$L$1,0))</f>
        <v>3.95</v>
      </c>
      <c r="Q271" s="34">
        <f t="shared" si="386"/>
        <v>7.9</v>
      </c>
      <c r="R271" s="35">
        <f t="shared" si="384"/>
        <v>0</v>
      </c>
      <c r="S271" s="34">
        <f t="shared" si="385"/>
        <v>3.95</v>
      </c>
      <c r="T271" s="34">
        <f t="shared" si="383"/>
        <v>7.9</v>
      </c>
      <c r="U271" s="34">
        <f>INDEX(cennik!$C$2:$L$531,MATCH($L271,cennik!$B$2:$B$524,0),MATCH(U$2,cennik!$C$1:$L$1,0))*O271</f>
        <v>0</v>
      </c>
      <c r="AO271" s="21"/>
      <c r="AP271" s="180" t="s">
        <v>508</v>
      </c>
      <c r="AQ271" s="180" t="s">
        <v>596</v>
      </c>
      <c r="AR271" s="180" t="s">
        <v>594</v>
      </c>
      <c r="AS271" s="180" t="s">
        <v>592</v>
      </c>
      <c r="AT271" s="180" t="s">
        <v>592</v>
      </c>
      <c r="AV271" s="180" t="s">
        <v>508</v>
      </c>
      <c r="AW271" s="180" t="s">
        <v>596</v>
      </c>
      <c r="AX271" s="180" t="s">
        <v>595</v>
      </c>
      <c r="AY271" s="180" t="s">
        <v>593</v>
      </c>
      <c r="AZ271" s="180" t="s">
        <v>593</v>
      </c>
    </row>
    <row r="272" spans="1:52" x14ac:dyDescent="0.25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6" t="s">
        <v>525</v>
      </c>
      <c r="M272" s="11">
        <f>INDEX(cennik!$C$2:$L$531,MATCH($L272,cennik!$B$2:$B$524,0),MATCH(M$2,cennik!$C$1:$L$1,0))</f>
        <v>660245</v>
      </c>
      <c r="N272" s="11" t="str">
        <f>INDEX(cennik!$C$2:$L$531,MATCH($L272,cennik!$B$2:$B$524,0),MATCH(N$2,cennik!$C$1:$L$1,0))</f>
        <v>szt.</v>
      </c>
      <c r="O272" s="11">
        <f>SUM(O268:O269)</f>
        <v>128</v>
      </c>
      <c r="P272" s="34">
        <f>INDEX(cennik!$C$2:$L$531,MATCH($L272,cennik!$B$2:$B$524,0),MATCH(P$2,cennik!$C$1:$L$1,0))</f>
        <v>1.56</v>
      </c>
      <c r="Q272" s="34">
        <f t="shared" si="386"/>
        <v>199.68</v>
      </c>
      <c r="R272" s="35">
        <f t="shared" si="384"/>
        <v>0</v>
      </c>
      <c r="S272" s="34">
        <f t="shared" si="385"/>
        <v>1.56</v>
      </c>
      <c r="T272" s="34">
        <f t="shared" si="383"/>
        <v>199.68</v>
      </c>
      <c r="U272" s="34">
        <f>INDEX(cennik!$C$2:$L$531,MATCH($L272,cennik!$B$2:$B$524,0),MATCH(U$2,cennik!$C$1:$L$1,0))*O272</f>
        <v>0</v>
      </c>
      <c r="AO272" s="21"/>
      <c r="AP272" s="180" t="s">
        <v>507</v>
      </c>
      <c r="AQ272" s="180" t="s">
        <v>596</v>
      </c>
      <c r="AR272" s="180" t="s">
        <v>594</v>
      </c>
      <c r="AS272" s="180" t="s">
        <v>592</v>
      </c>
      <c r="AT272" s="180" t="s">
        <v>592</v>
      </c>
      <c r="AV272" s="180" t="s">
        <v>507</v>
      </c>
      <c r="AW272" s="180" t="s">
        <v>596</v>
      </c>
      <c r="AX272" s="180" t="s">
        <v>595</v>
      </c>
      <c r="AY272" s="180" t="s">
        <v>593</v>
      </c>
      <c r="AZ272" s="180" t="s">
        <v>593</v>
      </c>
    </row>
    <row r="273" spans="1:122" x14ac:dyDescent="0.25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6" t="s">
        <v>799</v>
      </c>
      <c r="M273" s="11">
        <f>INDEX(cennik!$C$2:$L$531,MATCH($L273,cennik!$B$2:$B$524,0),MATCH(M$2,cennik!$C$1:$L$1,0))</f>
        <v>6510443</v>
      </c>
      <c r="N273" s="11" t="str">
        <f>INDEX(cennik!$C$2:$L$531,MATCH($L273,cennik!$B$2:$B$524,0),MATCH(N$2,cennik!$C$1:$L$1,0))</f>
        <v>100 szt.</v>
      </c>
      <c r="O273" s="11">
        <f>O274</f>
        <v>4</v>
      </c>
      <c r="P273" s="34">
        <f>INDEX(cennik!$C$2:$L$531,MATCH($L273,cennik!$B$2:$B$524,0),MATCH(P$2,cennik!$C$1:$L$1,0))</f>
        <v>43.51</v>
      </c>
      <c r="Q273" s="34">
        <f t="shared" si="386"/>
        <v>174.04</v>
      </c>
      <c r="R273" s="35">
        <f t="shared" si="384"/>
        <v>0</v>
      </c>
      <c r="S273" s="34">
        <f t="shared" si="385"/>
        <v>43.51</v>
      </c>
      <c r="T273" s="34">
        <f t="shared" si="383"/>
        <v>174.04</v>
      </c>
      <c r="U273" s="34">
        <f>INDEX(cennik!$C$2:$L$531,MATCH($L273,cennik!$B$2:$B$524,0),MATCH(U$2,cennik!$C$1:$L$1,0))*O273</f>
        <v>0</v>
      </c>
      <c r="AO273" s="21"/>
    </row>
    <row r="274" spans="1:122" x14ac:dyDescent="0.25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6" t="s">
        <v>350</v>
      </c>
      <c r="M274" s="11">
        <f>INDEX(cennik!$C$2:$L$531,MATCH($L274,cennik!$B$2:$B$524,0),MATCH(M$2,cennik!$C$1:$L$1,0))</f>
        <v>651643</v>
      </c>
      <c r="N274" s="11" t="str">
        <f>INDEX(cennik!$C$2:$L$531,MATCH($L274,cennik!$B$2:$B$524,0),MATCH(N$2,cennik!$C$1:$L$1,0))</f>
        <v>100 szt.</v>
      </c>
      <c r="O274" s="11">
        <f>ROUNDUP(((O257*4)+(O261)+(O279*4)+(O267*12)+(O256*9)+(E260)+(O259*2))/100,0)</f>
        <v>4</v>
      </c>
      <c r="P274" s="34">
        <f>INDEX(cennik!$C$2:$L$531,MATCH($L274,cennik!$B$2:$B$524,0),MATCH(P$2,cennik!$C$1:$L$1,0))</f>
        <v>144.19</v>
      </c>
      <c r="Q274" s="34">
        <f t="shared" si="386"/>
        <v>576.76</v>
      </c>
      <c r="R274" s="35">
        <f t="shared" si="384"/>
        <v>0</v>
      </c>
      <c r="S274" s="34">
        <f t="shared" si="385"/>
        <v>144.19</v>
      </c>
      <c r="T274" s="34">
        <f t="shared" si="383"/>
        <v>576.76</v>
      </c>
      <c r="U274" s="34">
        <f>INDEX(cennik!$C$2:$L$531,MATCH($L274,cennik!$B$2:$B$524,0),MATCH(U$2,cennik!$C$1:$L$1,0))*O274</f>
        <v>13.2</v>
      </c>
      <c r="AO274" s="21"/>
    </row>
    <row r="275" spans="1:122" x14ac:dyDescent="0.25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6" t="s">
        <v>128</v>
      </c>
      <c r="M275" s="11">
        <f>INDEX(cennik!$C$2:$L$531,MATCH($L275,cennik!$B$2:$B$524,0),MATCH(M$2,cennik!$C$1:$L$1,0))</f>
        <v>897303</v>
      </c>
      <c r="N275" s="11" t="str">
        <f>INDEX(cennik!$C$2:$L$531,MATCH($L275,cennik!$B$2:$B$524,0),MATCH(N$2,cennik!$C$1:$L$1,0))</f>
        <v>szt.</v>
      </c>
      <c r="O275" s="11">
        <f>SUM((IF(MOD((A254/2),2)=0,(A254/2)/2,IF(MOD((A254/2),2)=1,FLOOR((A254/2)/2,1)+1,0))*C254*2),(IF(MOD((A255/2),2)=0,(A255/2)/2,IF(MOD((A255/2),2)=1,FLOOR((A255/2)/2,1)+1,0))*C255*2),(IF(MOD((A256/2),2)=0,(A256/2)/2,IF(MOD((A256/2),2)=1,FLOOR((A256/2)/2,1)+1,0))*C256*2),(IF(MOD((A257/2),2)=0,(A257/2)/2,IF(MOD((A257/2),2)=1,FLOOR((A257/2)/2,1)+1,0))*C257*2),(IF(MOD((A258/2),2)=0,(A258/2)/2,IF(MOD((A258/2),2)=1,FLOOR((A258/2)/2,1)+1,0))*C258*2),(IF(MOD((A259/2),2)=0,(A259/2)/2,IF(MOD((A259/2),2)=1,FLOOR((A259/2)/2,1)+1,0))*C259*2),(IF(MOD((A260/2),2)=0,(A260/2)/2,IF(MOD((A260/2),2)=1,FLOOR((A260/2)/2,1)+1,0))*C260*2),(IF(MOD((A261/2),2)=0,(A261/2)/2,IF(MOD((A261/2),2)=1,FLOOR((A261/2)/2,1)+1,0))*C261*2),(IF(MOD((A262/2),2)=0,(A262/2)/2,IF(MOD((A262/2),2)=1,FLOOR((A262/2)/2,1)+1,0))*C262*2),(IF(MOD((A263/2),2)=0,(A263/2)/2,IF(MOD((A263/2),2)=1,FLOOR((A263/2)/2,1)+1,0))*C263*2),(IF(MOD((A264/2),2)=0,(A264/2)/2,IF(MOD((A264/2),2)=1,FLOOR((A264/2)/2,1)+1,0))*C264*2),(IF(MOD((A265/2),2)=0,(A265/2)/2,IF(MOD((A265/2),2)=1,FLOOR((A265/2)/2,1)+1,0))*C265*2),(IF(MOD((A266/2),2)=0,(A266/2)/2,IF(MOD((A266/2),2)=1,FLOOR((A266/2)/2,1)+1,0))*C266*2),(IF(MOD((A267/2),2)=0,(A267/2)/2,IF(MOD((A267/2),2)=1,FLOOR((A267/2)/2,1)+1,0))*C267*2),(IF(MOD((A268/2),2)=0,(A268/2)/2,IF(MOD((A268/2),2)=1,FLOOR((A268/2)/2,1)+1,0))*C268*2),(IF(MOD((A269/2),2)=0,(A269/2)/2,IF(MOD((A269/2),2)=1,FLOOR((A269/2)/2,1)+1,0))*C269*2))</f>
        <v>32</v>
      </c>
      <c r="P275" s="34">
        <f>INDEX(cennik!$C$2:$L$531,MATCH($L275,cennik!$B$2:$B$524,0),MATCH(P$2,cennik!$C$1:$L$1,0))</f>
        <v>2.4</v>
      </c>
      <c r="Q275" s="34">
        <f t="shared" si="386"/>
        <v>76.8</v>
      </c>
      <c r="R275" s="35">
        <f t="shared" si="384"/>
        <v>0</v>
      </c>
      <c r="S275" s="34">
        <f t="shared" si="385"/>
        <v>2.4</v>
      </c>
      <c r="T275" s="34">
        <f t="shared" si="383"/>
        <v>76.8</v>
      </c>
      <c r="U275" s="34">
        <f>INDEX(cennik!$C$2:$L$531,MATCH($L275,cennik!$B$2:$B$524,0),MATCH(U$2,cennik!$C$1:$L$1,0))*O275</f>
        <v>0.51200000000000001</v>
      </c>
      <c r="AO275" s="21"/>
      <c r="AP275" s="27" t="s">
        <v>1299</v>
      </c>
      <c r="AQ275" s="25"/>
      <c r="AR275" s="25"/>
      <c r="AS275" s="25"/>
      <c r="AT275" s="21"/>
      <c r="AU275" s="21"/>
    </row>
    <row r="276" spans="1:122" x14ac:dyDescent="0.25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6" t="s">
        <v>319</v>
      </c>
      <c r="M276" s="11">
        <f>INDEX(cennik!$C$2:$L$531,MATCH($L276,cennik!$B$2:$B$524,0),MATCH(M$2,cennik!$C$1:$L$1,0))</f>
        <v>890111</v>
      </c>
      <c r="N276" s="11" t="str">
        <f>INDEX(cennik!$C$2:$L$531,MATCH($L276,cennik!$B$2:$B$524,0),MATCH(N$2,cennik!$C$1:$L$1,0))</f>
        <v>100 szt.</v>
      </c>
      <c r="O276" s="11">
        <f>ROUNDUP((O255*4)/100,0)</f>
        <v>0</v>
      </c>
      <c r="P276" s="34">
        <f>INDEX(cennik!$C$2:$L$531,MATCH($L276,cennik!$B$2:$B$524,0),MATCH(P$2,cennik!$C$1:$L$1,0))</f>
        <v>174.59</v>
      </c>
      <c r="Q276" s="34">
        <f t="shared" si="386"/>
        <v>0</v>
      </c>
      <c r="R276" s="35">
        <f t="shared" si="384"/>
        <v>0</v>
      </c>
      <c r="S276" s="34">
        <f t="shared" si="385"/>
        <v>174.59</v>
      </c>
      <c r="T276" s="34">
        <f t="shared" si="383"/>
        <v>0</v>
      </c>
      <c r="U276" s="34">
        <f>INDEX(cennik!$C$2:$L$531,MATCH($L276,cennik!$B$2:$B$524,0),MATCH(U$2,cennik!$C$1:$L$1,0))*O276</f>
        <v>0</v>
      </c>
      <c r="AO276" s="21"/>
      <c r="AP276" s="25">
        <v>30</v>
      </c>
      <c r="AQ276" s="25" t="s">
        <v>314</v>
      </c>
      <c r="AR276" s="25" t="s">
        <v>312</v>
      </c>
      <c r="AS276" s="25" t="s">
        <v>309</v>
      </c>
      <c r="AT276" s="21" t="s">
        <v>313</v>
      </c>
      <c r="AU276" s="21"/>
      <c r="AW276" s="21"/>
      <c r="AX276" s="21" t="s">
        <v>314</v>
      </c>
      <c r="AY276" s="21" t="s">
        <v>312</v>
      </c>
      <c r="AZ276" s="21" t="s">
        <v>309</v>
      </c>
      <c r="BA276" s="21" t="s">
        <v>313</v>
      </c>
    </row>
    <row r="277" spans="1:122" x14ac:dyDescent="0.25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6" t="s">
        <v>316</v>
      </c>
      <c r="M277" s="11"/>
      <c r="N277" s="11"/>
      <c r="O277" s="11"/>
      <c r="P277" s="34"/>
      <c r="Q277" s="34"/>
      <c r="R277" s="35"/>
      <c r="S277" s="34"/>
      <c r="T277" s="34"/>
      <c r="U277" s="34"/>
      <c r="AO277" s="21"/>
      <c r="AP277" s="25" t="s">
        <v>114</v>
      </c>
      <c r="AQ277" s="25" t="s">
        <v>596</v>
      </c>
      <c r="AR277" s="25" t="s">
        <v>595</v>
      </c>
      <c r="AS277" s="25" t="s">
        <v>593</v>
      </c>
      <c r="AT277" s="21" t="s">
        <v>593</v>
      </c>
      <c r="AU277" s="21"/>
      <c r="AW277" s="21">
        <v>10</v>
      </c>
      <c r="AX277" s="21" t="s">
        <v>1301</v>
      </c>
      <c r="AY277" s="21" t="s">
        <v>1302</v>
      </c>
      <c r="AZ277" s="21" t="s">
        <v>1303</v>
      </c>
      <c r="BA277" s="21" t="s">
        <v>1304</v>
      </c>
    </row>
    <row r="278" spans="1:122" x14ac:dyDescent="0.25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6" t="s">
        <v>591</v>
      </c>
      <c r="M278" s="11">
        <f>INDEX(cennik!$C$2:$L$531,MATCH($L278,cennik!$B$2:$B$524,0),MATCH(M$2,cennik!$C$1:$L$1,0))</f>
        <v>867810</v>
      </c>
      <c r="N278" s="11" t="str">
        <f>INDEX(cennik!$C$2:$L$531,MATCH($L278,cennik!$B$2:$B$524,0),MATCH(N$2,cennik!$C$1:$L$1,0))</f>
        <v>szt.</v>
      </c>
      <c r="O278" s="24">
        <f>E258*2</f>
        <v>0</v>
      </c>
      <c r="P278" s="34">
        <f>INDEX(cennik!$C$2:$L$531,MATCH($L278,cennik!$B$2:$B$524,0),MATCH(P$2,cennik!$C$1:$L$1,0))</f>
        <v>50.61</v>
      </c>
      <c r="Q278" s="34">
        <f>O278*P278</f>
        <v>0</v>
      </c>
      <c r="R278" s="35">
        <f>$E$259</f>
        <v>0</v>
      </c>
      <c r="S278" s="34">
        <f t="shared" si="385"/>
        <v>50.61</v>
      </c>
      <c r="T278" s="34">
        <f>O278*S278</f>
        <v>0</v>
      </c>
      <c r="U278" s="34">
        <f>INDEX(cennik!$C$2:$L$531,MATCH($L278,cennik!$B$2:$B$524,0),MATCH(U$2,cennik!$C$1:$L$1,0))*O278</f>
        <v>0</v>
      </c>
      <c r="AO278" s="21"/>
      <c r="AP278" s="25" t="s">
        <v>115</v>
      </c>
      <c r="AQ278" s="25" t="s">
        <v>596</v>
      </c>
      <c r="AR278" s="25" t="s">
        <v>595</v>
      </c>
      <c r="AS278" s="25" t="s">
        <v>594</v>
      </c>
      <c r="AT278" s="21" t="s">
        <v>594</v>
      </c>
      <c r="AU278" s="21"/>
      <c r="AW278" s="21"/>
      <c r="AX278" s="21"/>
      <c r="AY278" s="21"/>
    </row>
    <row r="279" spans="1:122" x14ac:dyDescent="0.25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6" t="s">
        <v>594</v>
      </c>
      <c r="M279" s="11">
        <f>INDEX(cennik!$C$2:$L$531,MATCH($L279,cennik!$B$2:$B$524,0),MATCH(M$2,cennik!$C$1:$L$1,0))</f>
        <v>867830</v>
      </c>
      <c r="N279" s="11" t="str">
        <f>INDEX(cennik!$C$2:$L$531,MATCH($L279,cennik!$B$2:$B$524,0),MATCH(N$2,cennik!$C$1:$L$1,0))</f>
        <v>szt.</v>
      </c>
      <c r="O279" s="11">
        <f>E258*2</f>
        <v>0</v>
      </c>
      <c r="P279" s="34">
        <f>INDEX(cennik!$C$2:$L$531,MATCH($L279,cennik!$B$2:$B$524,0),MATCH(P$2,cennik!$C$1:$L$1,0))</f>
        <v>151.83000000000001</v>
      </c>
      <c r="Q279" s="34">
        <f>O279*P279</f>
        <v>0</v>
      </c>
      <c r="R279" s="35">
        <f>$E$259</f>
        <v>0</v>
      </c>
      <c r="S279" s="34">
        <f t="shared" si="385"/>
        <v>151.83000000000001</v>
      </c>
      <c r="T279" s="34">
        <f>O279*S279</f>
        <v>0</v>
      </c>
      <c r="U279" s="34">
        <f>INDEX(cennik!$C$2:$L$531,MATCH($L279,cennik!$B$2:$B$524,0),MATCH(U$2,cennik!$C$1:$L$1,0))*O279</f>
        <v>0</v>
      </c>
      <c r="AO279" s="21"/>
      <c r="AP279" s="25" t="s">
        <v>474</v>
      </c>
      <c r="AQ279" s="21" t="s">
        <v>596</v>
      </c>
      <c r="AR279" s="25" t="s">
        <v>595</v>
      </c>
      <c r="AS279" s="21" t="s">
        <v>594</v>
      </c>
      <c r="AT279" s="21" t="s">
        <v>594</v>
      </c>
      <c r="AU279" s="21"/>
    </row>
    <row r="280" spans="1:122" x14ac:dyDescent="0.25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9"/>
      <c r="M280" s="11"/>
      <c r="N280" s="11"/>
      <c r="O280" s="11"/>
      <c r="P280" s="34"/>
      <c r="Q280" s="34"/>
      <c r="R280" s="34"/>
      <c r="S280" s="34"/>
      <c r="T280" s="34">
        <f>SUM(T255:T279)</f>
        <v>17117.53</v>
      </c>
      <c r="U280" s="34">
        <f>SUM(U255:U279)</f>
        <v>1183.492</v>
      </c>
      <c r="AO280" s="21"/>
      <c r="AP280" s="25" t="s">
        <v>480</v>
      </c>
      <c r="AQ280" s="25" t="s">
        <v>594</v>
      </c>
      <c r="AR280" s="25" t="s">
        <v>596</v>
      </c>
      <c r="AS280" s="21" t="s">
        <v>594</v>
      </c>
      <c r="AT280" s="21" t="s">
        <v>594</v>
      </c>
      <c r="AU280" s="21"/>
    </row>
    <row r="281" spans="1:122" x14ac:dyDescent="0.25">
      <c r="AO281" s="21"/>
      <c r="AP281" s="25" t="s">
        <v>713</v>
      </c>
      <c r="AQ281" s="25" t="s">
        <v>594</v>
      </c>
      <c r="AR281" s="25" t="s">
        <v>596</v>
      </c>
      <c r="AS281" s="21" t="s">
        <v>594</v>
      </c>
      <c r="AT281" s="21" t="s">
        <v>594</v>
      </c>
      <c r="AU281" s="21"/>
    </row>
    <row r="282" spans="1:122" x14ac:dyDescent="0.25">
      <c r="AO282" s="21"/>
      <c r="AP282" s="21" t="s">
        <v>714</v>
      </c>
      <c r="AQ282" s="25" t="s">
        <v>594</v>
      </c>
      <c r="AR282" s="25" t="s">
        <v>596</v>
      </c>
      <c r="AS282" s="21" t="s">
        <v>594</v>
      </c>
      <c r="AT282" s="21" t="s">
        <v>594</v>
      </c>
      <c r="AU282" s="21"/>
    </row>
    <row r="283" spans="1:122" x14ac:dyDescent="0.25">
      <c r="AO283" s="21"/>
      <c r="AP283" s="21" t="s">
        <v>715</v>
      </c>
      <c r="AQ283" s="25" t="s">
        <v>594</v>
      </c>
      <c r="AR283" s="25" t="s">
        <v>596</v>
      </c>
      <c r="AS283" s="21" t="s">
        <v>594</v>
      </c>
      <c r="AT283" s="21" t="s">
        <v>594</v>
      </c>
      <c r="AU283" s="21"/>
    </row>
    <row r="284" spans="1:122" ht="51.75" x14ac:dyDescent="0.25">
      <c r="A284" s="3" t="s">
        <v>443</v>
      </c>
      <c r="B284" s="3"/>
      <c r="C284" s="3" t="s">
        <v>444</v>
      </c>
      <c r="D284" s="9"/>
      <c r="E284" s="9"/>
      <c r="F284" s="9"/>
      <c r="G284" s="9"/>
      <c r="H284" s="9"/>
      <c r="I284" s="9"/>
      <c r="J284" s="9"/>
      <c r="K284" s="9"/>
      <c r="L284" s="360" t="str" cm="1">
        <f t="array" ref="L284">INDEX((AX277:BA277),,MATCH(E288,AX276:BA276,0))</f>
        <v>KONSTRUKCJA W-H3G3-WZ-10°</v>
      </c>
      <c r="M284" s="360"/>
      <c r="N284" s="360"/>
      <c r="O284" s="360"/>
      <c r="P284" s="360"/>
      <c r="Q284" s="360"/>
      <c r="R284" s="360"/>
      <c r="S284" s="360"/>
      <c r="T284" s="360"/>
      <c r="U284" s="360"/>
      <c r="W284" s="27"/>
      <c r="X284" s="27"/>
      <c r="Y284" s="27"/>
      <c r="Z284" s="27"/>
      <c r="AA284" s="186" t="s">
        <v>311</v>
      </c>
      <c r="AB284" s="192" t="s">
        <v>318</v>
      </c>
      <c r="AO284" s="21"/>
      <c r="AP284" s="21"/>
      <c r="AQ284" s="21"/>
      <c r="AR284" s="21"/>
      <c r="AS284" s="21"/>
      <c r="AT284" s="21"/>
      <c r="AU284" s="21"/>
      <c r="BG284" s="192" t="s">
        <v>318</v>
      </c>
    </row>
    <row r="285" spans="1:122" x14ac:dyDescent="0.25">
      <c r="A285" s="8">
        <v>12</v>
      </c>
      <c r="B285" s="5" t="s">
        <v>116</v>
      </c>
      <c r="C285" s="8">
        <v>1</v>
      </c>
      <c r="D285" s="9"/>
      <c r="E285" s="1"/>
      <c r="F285" s="9"/>
      <c r="G285" s="9"/>
      <c r="H285" s="9"/>
      <c r="I285" s="9"/>
      <c r="J285" s="9"/>
      <c r="K285" s="9"/>
      <c r="L285" s="5" t="s">
        <v>103</v>
      </c>
      <c r="M285" s="5" t="s">
        <v>104</v>
      </c>
      <c r="N285" s="5" t="s">
        <v>107</v>
      </c>
      <c r="O285" s="5" t="s">
        <v>290</v>
      </c>
      <c r="P285" s="5" t="s">
        <v>446</v>
      </c>
      <c r="Q285" s="5" t="s">
        <v>448</v>
      </c>
      <c r="R285" s="5" t="s">
        <v>409</v>
      </c>
      <c r="S285" s="5" t="s">
        <v>447</v>
      </c>
      <c r="T285" s="5" t="s">
        <v>449</v>
      </c>
      <c r="U285" s="5" t="s">
        <v>106</v>
      </c>
      <c r="W285" s="27"/>
      <c r="X285" s="27"/>
      <c r="Y285" s="27"/>
      <c r="Z285" s="27"/>
      <c r="AA285" s="21">
        <f>(VLOOKUP(BG285,$AY$5:$BA$9,3,1))*C285</f>
        <v>2</v>
      </c>
      <c r="AB285" s="21">
        <f>(IF(((INT((((A285/6)*(INDEX($AF$33:$AF$50,MATCH($E$286,$AE$33:$AE$50),1,1)))+(((A285/6)-1)*20))/$E$295))*$E$295)+1000&gt;=((A285/6)*(INDEX($AF$33:$AF$50,MATCH($E$286,$AE$33:$AE$50),1,1)))+(((A285/6)-1)*20),(INT((((A285/6)*(INDEX($AF$33:$AF$50,MATCH($E$286,$AE$33:$AE$50),1,1)))+(((A285/6)-1)*20))/$E$295))+1,IF(((INT((((A285/6)*(INDEX($AF$33:$AF$50,MATCH($E$286,$AE$33:$AE$50),1,1)))+(((A285/6)-1)*20))/$E$295))*$E$295)+1000&lt;((A285/6)*(INDEX($AF$33:$AF$50,MATCH($E$286,$AE$33:$AE$50),1,1)))+(((A285/6)-1)*20),(INT((((A285/6)*(INDEX($AF$33:$AF$50,MATCH($E$286,$AE$33:$AE$50),1,1)))+(((A285/6)-1)*20))/$E$295))+2,0)))*C285</f>
        <v>3</v>
      </c>
      <c r="AC285" s="192"/>
      <c r="AO285" s="21"/>
      <c r="AP285" s="186" t="s">
        <v>1300</v>
      </c>
      <c r="AQ285" s="21"/>
      <c r="AR285" s="21"/>
      <c r="AS285" s="21"/>
      <c r="AT285" s="21"/>
      <c r="AU285" s="21"/>
      <c r="BG285" s="21">
        <f>(IF(((INT((((A285/6)*(INDEX($AF$33:$AF$46,MATCH($E$286,$AE$33:$AE$46),1,1)))+(((A285/6)-1)*20))/$E$295))*$E$295)+1000&gt;=((A285/6)*(INDEX($AF$33:$AF$46,MATCH($E$286,$AE$33:$AE$46),1,1)))+(((A285/6)-1)*20),(INT((((A285/6)*(INDEX($AF$33:$AF$46,MATCH($E$286,$AE$33:$AE$46),1,1)))+(((A285/6)-1)*20))/$E$295))+1,IF(((INT((((A285/6)*(INDEX($AF$33:$AF$46,MATCH($E$286,$AE$33:$AE$46),1,1)))+(((A285/6)-1)*20))/$E$295))*$E$295)+1000&lt;((A285/6)*(INDEX($AF$33:$AF$46,MATCH($E$286,$AE$33:$AE$46),1,1)))+(((A285/6)-1)*20),(INT((((A285/6)*(INDEX($AF$33:$AF$46,MATCH($E$286,$AE$33:$AE$46),1,1)))+(((A285/6)-1)*20))/$E$295))+2,0)))</f>
        <v>3</v>
      </c>
      <c r="DR285" s="87">
        <v>0</v>
      </c>
    </row>
    <row r="286" spans="1:122" x14ac:dyDescent="0.25">
      <c r="A286" s="8"/>
      <c r="B286" s="5" t="s">
        <v>116</v>
      </c>
      <c r="C286" s="8"/>
      <c r="D286" s="6" t="s">
        <v>118</v>
      </c>
      <c r="E286" s="8" t="s">
        <v>507</v>
      </c>
      <c r="F286" s="5" t="s">
        <v>116</v>
      </c>
      <c r="G286" s="8" t="s">
        <v>480</v>
      </c>
      <c r="H286" s="5" t="s">
        <v>116</v>
      </c>
      <c r="I286" s="8">
        <v>35</v>
      </c>
      <c r="J286" s="5" t="s">
        <v>119</v>
      </c>
      <c r="K286" s="9"/>
      <c r="L286" s="7" t="str">
        <f>IF(E288=$AC$5,"-------",IF(E288=$AC$6,"-------",IF(E288=$AC$7,"-------",IF(E288=$AC$8,IF(E296=$DS$10,"GSW76X1600N",IF(E296=$DS$11,"GSW76X2200N","")),0))))</f>
        <v>-------</v>
      </c>
      <c r="M286" s="14" t="str">
        <f>INDEX(cennik!$C$2:$L$529,MATCH($L286,cennik!$B$2:$B$522,0),MATCH(M$2,cennik!$C$1:$L$1,0))</f>
        <v>-------</v>
      </c>
      <c r="N286" s="14">
        <f>INDEX(cennik!$C$2:$L$529,MATCH($L286,cennik!$B$2:$B$522,0),MATCH(N$2,cennik!$C$1:$L$1,0))</f>
        <v>0</v>
      </c>
      <c r="O286" s="14">
        <f>IF(L286="-------",0,SUM(O288:O289))</f>
        <v>0</v>
      </c>
      <c r="P286" s="22">
        <f>INDEX(cennik!$C$2:$L$529,MATCH($L286,cennik!$B$2:$B$522,0),MATCH(P$2,cennik!$C$1:$L$1,0))</f>
        <v>0</v>
      </c>
      <c r="Q286" s="22">
        <f>O286*P286</f>
        <v>0</v>
      </c>
      <c r="R286" s="23">
        <f>$E$290</f>
        <v>0</v>
      </c>
      <c r="S286" s="22">
        <f>P286*((100-$E$290)/100)</f>
        <v>0</v>
      </c>
      <c r="T286" s="22">
        <f>O286*S286</f>
        <v>0</v>
      </c>
      <c r="U286" s="22">
        <f>INDEX(cennik!$C$2:$L$529,MATCH($L286,cennik!$B$2:$B$522,0),MATCH(U$2,cennik!$C$1:$L$1,0))*O286</f>
        <v>0</v>
      </c>
      <c r="W286" s="20" t="s">
        <v>18</v>
      </c>
      <c r="X286" s="21" t="s">
        <v>217</v>
      </c>
      <c r="Y286" s="21" t="s">
        <v>216</v>
      </c>
      <c r="Z286" s="21" t="s">
        <v>17</v>
      </c>
      <c r="AA286" s="21">
        <f t="shared" ref="AA286:AA300" si="387">(VLOOKUP(BG286,$AY$5:$BA$9,3,1))*C286</f>
        <v>0</v>
      </c>
      <c r="AB286" s="21">
        <f t="shared" ref="AB286:AB300" si="388">(IF(((INT((((A286/6)*(INDEX($AF$33:$AF$50,MATCH($E$286,$AE$33:$AE$50),1,1)))+(((A286/6)-1)*20))/$E$295))*$E$295)+1000&gt;=((A286/6)*(INDEX($AF$33:$AF$50,MATCH($E$286,$AE$33:$AE$50),1,1)))+(((A286/6)-1)*20),(INT((((A286/6)*(INDEX($AF$33:$AF$50,MATCH($E$286,$AE$33:$AE$50),1,1)))+(((A286/6)-1)*20))/$E$295))+1,IF(((INT((((A286/6)*(INDEX($AF$33:$AF$50,MATCH($E$286,$AE$33:$AE$50),1,1)))+(((A286/6)-1)*20))/$E$295))*$E$295)+1000&lt;((A286/6)*(INDEX($AF$33:$AF$50,MATCH($E$286,$AE$33:$AE$50),1,1)))+(((A286/6)-1)*20),(INT((((A286/6)*(INDEX($AF$33:$AF$50,MATCH($E$286,$AE$33:$AE$50),1,1)))+(((A286/6)-1)*20))/$E$295))+2,0)))*C286</f>
        <v>0</v>
      </c>
      <c r="AC286" s="21"/>
      <c r="AO286" s="21"/>
      <c r="AP286" s="21" t="s">
        <v>717</v>
      </c>
      <c r="AQ286" s="21" t="s">
        <v>1157</v>
      </c>
      <c r="AR286" s="21">
        <v>2</v>
      </c>
      <c r="AS286" s="21" t="s">
        <v>1022</v>
      </c>
      <c r="AT286" s="21">
        <v>4</v>
      </c>
      <c r="AU286" s="21">
        <v>5</v>
      </c>
      <c r="BG286" s="21">
        <f t="shared" ref="BG286:BG300" si="389">(IF(((INT((((A286/6)*(INDEX($AF$33:$AF$46,MATCH($E$286,$AE$33:$AE$46),1,1)))+(((A286/6)-1)*20))/$E$295))*$E$295)+1000&gt;=((A286/6)*(INDEX($AF$33:$AF$46,MATCH($E$286,$AE$33:$AE$46),1,1)))+(((A286/6)-1)*20),(INT((((A286/6)*(INDEX($AF$33:$AF$46,MATCH($E$286,$AE$33:$AE$46),1,1)))+(((A286/6)-1)*20))/$E$295))+1,IF(((INT((((A286/6)*(INDEX($AF$33:$AF$46,MATCH($E$286,$AE$33:$AE$46),1,1)))+(((A286/6)-1)*20))/$E$295))*$E$295)+1000&lt;((A286/6)*(INDEX($AF$33:$AF$46,MATCH($E$286,$AE$33:$AE$46),1,1)))+(((A286/6)-1)*20),(INT((((A286/6)*(INDEX($AF$33:$AF$46,MATCH($E$286,$AE$33:$AE$46),1,1)))+(((A286/6)-1)*20))/$E$295))+2,0)))</f>
        <v>1</v>
      </c>
      <c r="DR286" s="87">
        <v>6</v>
      </c>
    </row>
    <row r="287" spans="1:122" x14ac:dyDescent="0.25">
      <c r="A287" s="8"/>
      <c r="B287" s="5" t="s">
        <v>116</v>
      </c>
      <c r="C287" s="8"/>
      <c r="D287" s="6" t="s">
        <v>124</v>
      </c>
      <c r="E287" s="8" t="s">
        <v>125</v>
      </c>
      <c r="F287" s="5"/>
      <c r="G287" s="5"/>
      <c r="H287" s="5"/>
      <c r="I287" s="5"/>
      <c r="J287" s="5"/>
      <c r="K287" s="9"/>
      <c r="L287" s="7" t="str">
        <f>IF(E288=$AC$5,"-------",IF(E288=$AC$6,"-------",IF(E288=$AC$7,"PCB70",IF(E288=$AC$8,"PCS70",0))))</f>
        <v>-------</v>
      </c>
      <c r="M287" s="14" t="str">
        <f>INDEX(cennik!$C$2:$L$529,MATCH($L287,cennik!$B$2:$B$522,0),MATCH(M$2,cennik!$C$1:$L$1,0))</f>
        <v>-------</v>
      </c>
      <c r="N287" s="14">
        <f>INDEX(cennik!$C$2:$L$529,MATCH($L287,cennik!$B$2:$B$522,0),MATCH(N$2,cennik!$C$1:$L$1,0))</f>
        <v>0</v>
      </c>
      <c r="O287" s="14">
        <f>IF(E288=AC7,SUM(O288:O289),IF(E288=AC8,SUM(O288:O289),IF(E288=AC5,0,IF(E288=AC6,0,0))))</f>
        <v>0</v>
      </c>
      <c r="P287" s="22">
        <f>INDEX(cennik!$C$2:$L$529,MATCH($L287,cennik!$B$2:$B$522,0),MATCH(P$2,cennik!$C$1:$L$1,0))</f>
        <v>0</v>
      </c>
      <c r="Q287" s="22">
        <f>O287*P287</f>
        <v>0</v>
      </c>
      <c r="R287" s="23">
        <f t="shared" ref="R287:R314" si="390">$E$290</f>
        <v>0</v>
      </c>
      <c r="S287" s="22">
        <f t="shared" ref="S287:S314" si="391">P287*((100-$E$290)/100)</f>
        <v>0</v>
      </c>
      <c r="T287" s="22">
        <f t="shared" ref="T287:T314" si="392">O287*S287</f>
        <v>0</v>
      </c>
      <c r="U287" s="22">
        <f>INDEX(cennik!$C$2:$L$529,MATCH($L287,cennik!$B$2:$B$522,0),MATCH(U$2,cennik!$C$1:$L$1,0))*O287</f>
        <v>0</v>
      </c>
      <c r="W287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285,$EL$219:$EU$219,0),MATCH($E$286,$AE$33:$AE$48,0))*$C285</f>
        <v>0</v>
      </c>
      <c r="X287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285,$EL$219:$EU$219,0),MATCH($E$286,$AE$33:$AE$48,0))*$C285</f>
        <v>0</v>
      </c>
      <c r="Y287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285,$EL$219:$EU$219,0),MATCH($E$286,$AE$33:$AE$48,0))*$C285</f>
        <v>8</v>
      </c>
      <c r="Z287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285,$EL$219:$EU$219,0),MATCH($E$286,$AE$33:$AE$48,0))*$C285</f>
        <v>0</v>
      </c>
      <c r="AA287" s="21">
        <f t="shared" si="387"/>
        <v>0</v>
      </c>
      <c r="AB287" s="21">
        <f t="shared" si="388"/>
        <v>0</v>
      </c>
      <c r="AC287" s="21"/>
      <c r="AP287" s="21">
        <v>1</v>
      </c>
      <c r="AQ287" s="21">
        <v>2900</v>
      </c>
      <c r="AR287" s="21">
        <v>2900</v>
      </c>
      <c r="AS287" s="21">
        <v>2700</v>
      </c>
      <c r="AT287" s="21">
        <v>2700</v>
      </c>
      <c r="AU287" s="21" t="s">
        <v>719</v>
      </c>
      <c r="BG287" s="21">
        <f t="shared" si="389"/>
        <v>1</v>
      </c>
      <c r="DR287" s="87">
        <v>12</v>
      </c>
    </row>
    <row r="288" spans="1:122" x14ac:dyDescent="0.25">
      <c r="A288" s="8"/>
      <c r="B288" s="5" t="s">
        <v>116</v>
      </c>
      <c r="C288" s="8"/>
      <c r="D288" s="6" t="s">
        <v>307</v>
      </c>
      <c r="E288" s="8" t="s">
        <v>314</v>
      </c>
      <c r="F288" s="5"/>
      <c r="G288" s="5"/>
      <c r="H288" s="5"/>
      <c r="I288" s="5"/>
      <c r="J288" s="5"/>
      <c r="K288" s="9"/>
      <c r="L288" s="6" t="str">
        <f>IF(E288=$AC$5,"CWT70H50/3NMC",IF(E288=$AC$6,"CWT70H50/2NMC",IF(E288=$AC$7,"CWT70H50/1NMC",IF(E288=$AC$8,"CWT70H50/1NMC",0))))</f>
        <v>CWT70H50/3NMC</v>
      </c>
      <c r="M288" s="14">
        <f>INDEX(cennik!$C$2:$L$529,MATCH($L288,cennik!$B$2:$B$522,0),MATCH(M$2,cennik!$C$1:$L$1,0))</f>
        <v>867830</v>
      </c>
      <c r="N288" s="14" t="str">
        <f>INDEX(cennik!$C$2:$L$529,MATCH($L288,cennik!$B$2:$B$522,0),MATCH(N$2,cennik!$C$1:$L$1,0))</f>
        <v>szt.</v>
      </c>
      <c r="O288" s="41">
        <f>SUM(AB285:AB300)*2</f>
        <v>6</v>
      </c>
      <c r="P288" s="22">
        <f>INDEX(cennik!$C$2:$L$529,MATCH($L288,cennik!$B$2:$B$522,0),MATCH(P$2,cennik!$C$1:$L$1,0))</f>
        <v>151.83000000000001</v>
      </c>
      <c r="Q288" s="22">
        <f t="shared" ref="Q288:Q306" si="393">O288*P288</f>
        <v>910.98</v>
      </c>
      <c r="R288" s="23">
        <f t="shared" si="390"/>
        <v>0</v>
      </c>
      <c r="S288" s="22">
        <f t="shared" si="391"/>
        <v>151.83000000000001</v>
      </c>
      <c r="T288" s="22">
        <f t="shared" si="392"/>
        <v>910.98</v>
      </c>
      <c r="U288" s="22">
        <f>INDEX(cennik!$C$2:$L$529,MATCH($L288,cennik!$B$2:$B$522,0),MATCH(U$2,cennik!$C$1:$L$1,0))*O288</f>
        <v>67.679999999999993</v>
      </c>
      <c r="W288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286,$EL$219:$EU$219,0),MATCH($E$286,$AE$33:$AE$48,0))*$C286</f>
        <v>0</v>
      </c>
      <c r="X288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286,$EL$219:$EU$219,0),MATCH($E$286,$AE$33:$AE$48,0))*$C286</f>
        <v>0</v>
      </c>
      <c r="Y288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286,$EL$219:$EU$219,0),MATCH($E$286,$AE$33:$AE$48,0))*$C286</f>
        <v>0</v>
      </c>
      <c r="Z288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286,$EL$219:$EU$219,0),MATCH($E$286,$AE$33:$AE$48,0))*$C286</f>
        <v>0</v>
      </c>
      <c r="AA288" s="21">
        <f t="shared" si="387"/>
        <v>0</v>
      </c>
      <c r="AB288" s="21">
        <f t="shared" si="388"/>
        <v>0</v>
      </c>
      <c r="AC288" s="21"/>
      <c r="AP288" s="21">
        <v>2</v>
      </c>
      <c r="AQ288" s="21" t="s">
        <v>719</v>
      </c>
      <c r="AR288" s="21">
        <v>2000</v>
      </c>
      <c r="AS288" s="21">
        <v>2000</v>
      </c>
      <c r="AT288" s="21" t="s">
        <v>719</v>
      </c>
      <c r="AU288" s="21" t="s">
        <v>719</v>
      </c>
      <c r="BG288" s="21">
        <f t="shared" si="389"/>
        <v>1</v>
      </c>
      <c r="DR288" s="87">
        <v>18</v>
      </c>
    </row>
    <row r="289" spans="1:122" x14ac:dyDescent="0.25">
      <c r="A289" s="8"/>
      <c r="B289" s="5" t="s">
        <v>116</v>
      </c>
      <c r="C289" s="8"/>
      <c r="D289" s="6" t="s">
        <v>315</v>
      </c>
      <c r="E289" s="8">
        <v>0</v>
      </c>
      <c r="F289" s="5"/>
      <c r="G289" s="5"/>
      <c r="H289" s="5"/>
      <c r="I289" s="5"/>
      <c r="J289" s="5" t="s">
        <v>412</v>
      </c>
      <c r="K289" s="9"/>
      <c r="L289" s="6" t="str">
        <f>IF(E288=$AC$5,"CWT70H50/3,4NMC",IF(E288=$AC$6,"CWT70H50/2,4NMC",IF(E288=$AC$7,"CWT70H50/1,5NMC",IF(E288=$AC$8,"CWT70H50/1,5NMC",0))))</f>
        <v>CWT70H50/3,4NMC</v>
      </c>
      <c r="M289" s="14">
        <f>INDEX(cennik!$C$2:$L$529,MATCH($L289,cennik!$B$2:$B$522,0),MATCH(M$2,cennik!$C$1:$L$1,0))</f>
        <v>867834</v>
      </c>
      <c r="N289" s="14" t="str">
        <f>INDEX(cennik!$C$2:$L$529,MATCH($L289,cennik!$B$2:$B$522,0),MATCH(N$2,cennik!$C$1:$L$1,0))</f>
        <v>szt.</v>
      </c>
      <c r="O289" s="14">
        <f>O288/2</f>
        <v>3</v>
      </c>
      <c r="P289" s="22">
        <f>INDEX(cennik!$C$2:$L$529,MATCH($L289,cennik!$B$2:$B$522,0),MATCH(P$2,cennik!$C$1:$L$1,0))</f>
        <v>172.08</v>
      </c>
      <c r="Q289" s="22">
        <f t="shared" si="393"/>
        <v>516.24</v>
      </c>
      <c r="R289" s="23">
        <f t="shared" si="390"/>
        <v>0</v>
      </c>
      <c r="S289" s="22">
        <f t="shared" si="391"/>
        <v>172.08</v>
      </c>
      <c r="T289" s="22">
        <f t="shared" si="392"/>
        <v>516.24</v>
      </c>
      <c r="U289" s="22">
        <f>INDEX(cennik!$C$2:$L$529,MATCH($L289,cennik!$B$2:$B$522,0),MATCH(U$2,cennik!$C$1:$L$1,0))*O289</f>
        <v>38.339999999999996</v>
      </c>
      <c r="W289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287,$EL$219:$EU$219,0),MATCH($E$286,$AE$33:$AE$48,0))*$C287</f>
        <v>0</v>
      </c>
      <c r="X289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287,$EL$219:$EU$219,0),MATCH($E$286,$AE$33:$AE$48,0))*$C287</f>
        <v>0</v>
      </c>
      <c r="Y289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287,$EL$219:$EU$219,0),MATCH($E$286,$AE$33:$AE$48,0))*$C287</f>
        <v>0</v>
      </c>
      <c r="Z289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287,$EL$219:$EU$219,0),MATCH($E$286,$AE$33:$AE$48,0))*$C287</f>
        <v>0</v>
      </c>
      <c r="AA289" s="21">
        <f t="shared" si="387"/>
        <v>0</v>
      </c>
      <c r="AB289" s="21">
        <f t="shared" si="388"/>
        <v>0</v>
      </c>
      <c r="AC289" s="21"/>
      <c r="AP289" s="21" t="s">
        <v>725</v>
      </c>
      <c r="AQ289" s="21">
        <v>2700</v>
      </c>
      <c r="AR289" s="21" t="s">
        <v>719</v>
      </c>
      <c r="AS289" s="21">
        <v>2000</v>
      </c>
      <c r="AT289" s="21" t="s">
        <v>719</v>
      </c>
      <c r="AU289" s="21">
        <v>1000</v>
      </c>
      <c r="BG289" s="21">
        <f t="shared" si="389"/>
        <v>1</v>
      </c>
      <c r="DR289" s="87">
        <v>24</v>
      </c>
    </row>
    <row r="290" spans="1:122" x14ac:dyDescent="0.25">
      <c r="A290" s="8"/>
      <c r="B290" s="5" t="s">
        <v>116</v>
      </c>
      <c r="C290" s="8"/>
      <c r="D290" s="6" t="s">
        <v>162</v>
      </c>
      <c r="E290" s="8">
        <v>0</v>
      </c>
      <c r="F290" s="5"/>
      <c r="G290" s="5"/>
      <c r="H290" s="5"/>
      <c r="I290" s="5"/>
      <c r="J290" s="5" t="s">
        <v>163</v>
      </c>
      <c r="K290" s="9"/>
      <c r="L290" s="6" t="str">
        <f>IF(G286=$AE$24,"BDFCH120/3,6NMC",IF(G286=$AE$25,"BDFCH120/3,6NMC",IF(G286=$AE$26,"BDFCH120/4,2NMC",IF(G286=$AE$27,"BDFCH120/4,2NMC",IF(G286=$AE$28,"BDFCH120/4,2NMC",IF(G286=$AE$29,"BDFCH120/4,2NMC",IF(G286=$AE$30,"BDFCH120/4,8NMC",IF(G286=$AE$31,"BDFCH120/4,8NMC",IF(G286=$AE$32,"BDFCH120/4,8NMC",0)))))))))</f>
        <v>BDFCH120/4,2NMC</v>
      </c>
      <c r="M290" s="14">
        <f>INDEX(cennik!$C$2:$L$529,MATCH($L290,cennik!$B$2:$B$522,0),MATCH(M$2,cennik!$C$1:$L$1,0))</f>
        <v>863342</v>
      </c>
      <c r="N290" s="14" t="str">
        <f>INDEX(cennik!$C$2:$L$529,MATCH($L290,cennik!$B$2:$B$522,0),MATCH(N$2,cennik!$C$1:$L$1,0))</f>
        <v>szt.</v>
      </c>
      <c r="O290" s="14">
        <f>O288</f>
        <v>6</v>
      </c>
      <c r="P290" s="22">
        <f>INDEX(cennik!$C$2:$L$529,MATCH($L290,cennik!$B$2:$B$522,0),MATCH(P$2,cennik!$C$1:$L$1,0))</f>
        <v>172.77</v>
      </c>
      <c r="Q290" s="22">
        <f t="shared" ref="Q290:Q295" si="394">O290*P290</f>
        <v>1036.6200000000001</v>
      </c>
      <c r="R290" s="23">
        <f t="shared" si="390"/>
        <v>0</v>
      </c>
      <c r="S290" s="22">
        <f t="shared" si="391"/>
        <v>172.77</v>
      </c>
      <c r="T290" s="22">
        <f t="shared" si="392"/>
        <v>1036.6200000000001</v>
      </c>
      <c r="U290" s="22">
        <f>INDEX(cennik!$C$2:$L$529,MATCH($L290,cennik!$B$2:$B$522,0),MATCH(U$2,cennik!$C$1:$L$1,0))*O290</f>
        <v>77.28</v>
      </c>
      <c r="W290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288,$EL$219:$EU$219,0),MATCH($E$286,$AE$33:$AE$48,0))*$C288</f>
        <v>0</v>
      </c>
      <c r="X290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288,$EL$219:$EU$219,0),MATCH($E$286,$AE$33:$AE$48,0))*$C288</f>
        <v>0</v>
      </c>
      <c r="Y290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288,$EL$219:$EU$219,0),MATCH($E$286,$AE$33:$AE$48,0))*$C288</f>
        <v>0</v>
      </c>
      <c r="Z290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288,$EL$219:$EU$219,0),MATCH($E$286,$AE$33:$AE$48,0))*$C288</f>
        <v>0</v>
      </c>
      <c r="AA290" s="21">
        <f t="shared" si="387"/>
        <v>0</v>
      </c>
      <c r="AB290" s="21">
        <f t="shared" si="388"/>
        <v>0</v>
      </c>
      <c r="AC290" s="21"/>
      <c r="BG290" s="21">
        <f t="shared" si="389"/>
        <v>1</v>
      </c>
      <c r="DR290" s="87">
        <v>30</v>
      </c>
    </row>
    <row r="291" spans="1:122" x14ac:dyDescent="0.25">
      <c r="A291" s="8"/>
      <c r="B291" s="5" t="s">
        <v>116</v>
      </c>
      <c r="C291" s="8"/>
      <c r="D291" s="6" t="s">
        <v>515</v>
      </c>
      <c r="E291" s="8">
        <v>0</v>
      </c>
      <c r="F291" s="5"/>
      <c r="G291" s="5"/>
      <c r="H291" s="5"/>
      <c r="I291" s="5"/>
      <c r="J291" s="5" t="s">
        <v>412</v>
      </c>
      <c r="K291" s="9"/>
      <c r="L291" s="148" t="s">
        <v>1243</v>
      </c>
      <c r="M291" s="14">
        <f>INDEX(cennik!$C$2:$L$529,MATCH($L291,cennik!$B$2:$B$522,0),MATCH(M$2,cennik!$C$1:$L$1,0))</f>
        <v>852003</v>
      </c>
      <c r="N291" s="14" t="str">
        <f>INDEX(cennik!$C$2:$L$529,MATCH($L291,cennik!$B$2:$B$522,0),MATCH(N$2,cennik!$C$1:$L$1,0))</f>
        <v>szt.</v>
      </c>
      <c r="O291" s="149">
        <f>O289</f>
        <v>3</v>
      </c>
      <c r="P291" s="22">
        <f>INDEX(cennik!$C$2:$L$529,MATCH($L291,cennik!$B$2:$B$522,0),MATCH(P$2,cennik!$C$1:$L$1,0))</f>
        <v>31</v>
      </c>
      <c r="Q291" s="22">
        <f t="shared" si="394"/>
        <v>93</v>
      </c>
      <c r="R291" s="23">
        <f t="shared" si="390"/>
        <v>0</v>
      </c>
      <c r="S291" s="22">
        <f t="shared" si="391"/>
        <v>31</v>
      </c>
      <c r="T291" s="22">
        <f t="shared" si="392"/>
        <v>93</v>
      </c>
      <c r="U291" s="22">
        <f>INDEX(cennik!$C$2:$L$529,MATCH($L291,cennik!$B$2:$B$522,0),MATCH(U$2,cennik!$C$1:$L$1,0))*O291</f>
        <v>3.3600000000000003</v>
      </c>
      <c r="W291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289,$EL$219:$EU$219,0),MATCH($E$286,$AE$33:$AE$48,0))*$C289</f>
        <v>0</v>
      </c>
      <c r="X291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289,$EL$219:$EU$219,0),MATCH($E$286,$AE$33:$AE$48,0))*$C289</f>
        <v>0</v>
      </c>
      <c r="Y291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289,$EL$219:$EU$219,0),MATCH($E$286,$AE$33:$AE$48,0))*$C289</f>
        <v>0</v>
      </c>
      <c r="Z291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289,$EL$219:$EU$219,0),MATCH($E$286,$AE$33:$AE$48,0))*$C289</f>
        <v>0</v>
      </c>
      <c r="AA291" s="21">
        <f t="shared" si="387"/>
        <v>0</v>
      </c>
      <c r="AB291" s="21">
        <f t="shared" si="388"/>
        <v>0</v>
      </c>
      <c r="AC291" s="21"/>
      <c r="BG291" s="21">
        <f t="shared" si="389"/>
        <v>1</v>
      </c>
      <c r="DR291" s="87">
        <v>36</v>
      </c>
    </row>
    <row r="292" spans="1:122" x14ac:dyDescent="0.25">
      <c r="A292" s="8"/>
      <c r="B292" s="5" t="s">
        <v>116</v>
      </c>
      <c r="C292" s="8"/>
      <c r="D292" s="6" t="s">
        <v>511</v>
      </c>
      <c r="E292" s="4"/>
      <c r="F292" s="6"/>
      <c r="G292" s="6"/>
      <c r="H292" s="6"/>
      <c r="I292" s="6"/>
      <c r="J292" s="1"/>
      <c r="K292" s="9"/>
      <c r="L292" s="6" t="s">
        <v>211</v>
      </c>
      <c r="M292" s="14">
        <f>INDEX(cennik!$C$2:$L$529,MATCH($L292,cennik!$B$2:$B$522,0),MATCH(M$2,cennik!$C$1:$L$1,0))</f>
        <v>6441205</v>
      </c>
      <c r="N292" s="14" t="str">
        <f>INDEX(cennik!$C$2:$L$529,MATCH($L292,cennik!$B$2:$B$522,0),MATCH(N$2,cennik!$C$1:$L$1,0))</f>
        <v>szt.</v>
      </c>
      <c r="O292" s="14">
        <f>O288</f>
        <v>6</v>
      </c>
      <c r="P292" s="22">
        <f>INDEX(cennik!$C$2:$L$529,MATCH($L292,cennik!$B$2:$B$522,0),MATCH(P$2,cennik!$C$1:$L$1,0))</f>
        <v>46.35</v>
      </c>
      <c r="Q292" s="22">
        <f t="shared" si="394"/>
        <v>278.10000000000002</v>
      </c>
      <c r="R292" s="23">
        <f t="shared" si="390"/>
        <v>0</v>
      </c>
      <c r="S292" s="22">
        <f t="shared" si="391"/>
        <v>46.35</v>
      </c>
      <c r="T292" s="22">
        <f t="shared" si="392"/>
        <v>278.10000000000002</v>
      </c>
      <c r="U292" s="22">
        <f>INDEX(cennik!$C$2:$L$529,MATCH($L292,cennik!$B$2:$B$522,0),MATCH(U$2,cennik!$C$1:$L$1,0))*O292</f>
        <v>15.84</v>
      </c>
      <c r="W292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290,$EL$219:$EU$219,0),MATCH($E$286,$AE$33:$AE$48,0))*$C290</f>
        <v>0</v>
      </c>
      <c r="X292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290,$EL$219:$EU$219,0),MATCH($E$286,$AE$33:$AE$48,0))*$C290</f>
        <v>0</v>
      </c>
      <c r="Y292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290,$EL$219:$EU$219,0),MATCH($E$286,$AE$33:$AE$48,0))*$C290</f>
        <v>0</v>
      </c>
      <c r="Z292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290,$EL$219:$EU$219,0),MATCH($E$286,$AE$33:$AE$48,0))*$C290</f>
        <v>0</v>
      </c>
      <c r="AA292" s="21">
        <f t="shared" si="387"/>
        <v>0</v>
      </c>
      <c r="AB292" s="21">
        <f t="shared" si="388"/>
        <v>0</v>
      </c>
      <c r="AC292" s="21"/>
      <c r="BG292" s="21">
        <f t="shared" si="389"/>
        <v>1</v>
      </c>
      <c r="DR292" s="87">
        <v>42</v>
      </c>
    </row>
    <row r="293" spans="1:122" x14ac:dyDescent="0.25">
      <c r="A293" s="8"/>
      <c r="B293" s="5" t="s">
        <v>116</v>
      </c>
      <c r="C293" s="8"/>
      <c r="D293" s="6" t="s">
        <v>787</v>
      </c>
      <c r="E293" s="8">
        <v>1</v>
      </c>
      <c r="F293" s="39" t="s">
        <v>789</v>
      </c>
      <c r="G293" s="6"/>
      <c r="H293" s="6"/>
      <c r="I293" s="6"/>
      <c r="J293" s="1"/>
      <c r="K293" s="9"/>
      <c r="L293" s="6" t="str">
        <f>IF($G$286=$AE$24,"-------",IF($G$286=$AE$25,"-------",IF($G$286=$AE$26,"-------",IF($G$286=$AE$27,"-------",IF($G$286=$AE$28,"-------",IF($G$286=$AE$29,"-------",IF($G$286=$AE$30,"CMP41H41/1,2MC",IF($G$286=$AE$31,"CMP41H41/1,2MC",IF($G$286=$AE$32,"CMP41H41/1,2MC",0)))))))))</f>
        <v>-------</v>
      </c>
      <c r="M293" s="14" t="str">
        <f>INDEX(cennik!$C$2:$L$529,MATCH($L293,cennik!$B$2:$B$522,0),MATCH(M$2,cennik!$C$1:$L$1,0))</f>
        <v>-------</v>
      </c>
      <c r="N293" s="14">
        <f>INDEX(cennik!$C$2:$L$529,MATCH($L293,cennik!$B$2:$B$522,0),MATCH(N$2,cennik!$C$1:$L$1,0))</f>
        <v>0</v>
      </c>
      <c r="O293" s="14">
        <f>IF(L293="CMP41H41/1,2MC",O292,0)</f>
        <v>0</v>
      </c>
      <c r="P293" s="22">
        <f>INDEX(cennik!$C$2:$L$529,MATCH($L293,cennik!$B$2:$B$522,0),MATCH(P$2,cennik!$C$1:$L$1,0))</f>
        <v>0</v>
      </c>
      <c r="Q293" s="22">
        <f t="shared" si="394"/>
        <v>0</v>
      </c>
      <c r="R293" s="23">
        <f t="shared" si="390"/>
        <v>0</v>
      </c>
      <c r="S293" s="22">
        <f t="shared" si="391"/>
        <v>0</v>
      </c>
      <c r="T293" s="22">
        <f t="shared" si="392"/>
        <v>0</v>
      </c>
      <c r="U293" s="22">
        <f>INDEX(cennik!$C$2:$L$529,MATCH($L293,cennik!$B$2:$B$522,0),MATCH(U$2,cennik!$C$1:$L$1,0))*O293</f>
        <v>0</v>
      </c>
      <c r="W293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291,$EL$219:$EU$219,0),MATCH($E$286,$AE$33:$AE$48,0))*$C291</f>
        <v>0</v>
      </c>
      <c r="X293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291,$EL$219:$EU$219,0),MATCH($E$286,$AE$33:$AE$48,0))*$C291</f>
        <v>0</v>
      </c>
      <c r="Y293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291,$EL$219:$EU$219,0),MATCH($E$286,$AE$33:$AE$48,0))*$C291</f>
        <v>0</v>
      </c>
      <c r="Z293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291,$EL$219:$EU$219,0),MATCH($E$286,$AE$33:$AE$48,0))*$C291</f>
        <v>0</v>
      </c>
      <c r="AA293" s="21">
        <f t="shared" si="387"/>
        <v>0</v>
      </c>
      <c r="AB293" s="21">
        <f t="shared" si="388"/>
        <v>0</v>
      </c>
      <c r="AC293" s="21"/>
      <c r="BG293" s="21">
        <f t="shared" si="389"/>
        <v>1</v>
      </c>
      <c r="DR293" s="87">
        <v>48</v>
      </c>
    </row>
    <row r="294" spans="1:122" x14ac:dyDescent="0.25">
      <c r="A294" s="8"/>
      <c r="B294" s="5" t="s">
        <v>116</v>
      </c>
      <c r="C294" s="8"/>
      <c r="D294" s="6" t="s">
        <v>788</v>
      </c>
      <c r="E294" s="8" t="s">
        <v>1022</v>
      </c>
      <c r="F294" s="39" t="s">
        <v>790</v>
      </c>
      <c r="G294" s="17"/>
      <c r="H294" s="9"/>
      <c r="I294" s="9"/>
      <c r="J294" s="9"/>
      <c r="K294" s="9"/>
      <c r="L294" s="6" t="str">
        <f>IF(E295=$AS$23,"CMP41H41/3,5MC",IF(E295=$AU$23,"CMP41H41/3,5MC",IF(E295=$AT$24,"CMP41H41/3MC",IF(E295=$AW$25,"CMP41H41/2,2MC","-------"))))</f>
        <v>CMP41H41/3,5MC</v>
      </c>
      <c r="M294" s="14">
        <f>INDEX(cennik!$C$2:$L$529,MATCH($L294,cennik!$B$2:$B$522,0),MATCH(M$2,cennik!$C$1:$L$1,0))</f>
        <v>851135</v>
      </c>
      <c r="N294" s="14" t="str">
        <f>INDEX(cennik!$C$2:$L$529,MATCH($L294,cennik!$B$2:$B$522,0),MATCH(N$2,cennik!$C$1:$L$1,0))</f>
        <v>szt.</v>
      </c>
      <c r="O294" s="14">
        <f>SUM(AA285:AA300)</f>
        <v>2</v>
      </c>
      <c r="P294" s="22">
        <f>INDEX(cennik!$C$2:$L$529,MATCH($L294,cennik!$B$2:$B$522,0),MATCH(P$2,cennik!$C$1:$L$1,0))</f>
        <v>73.5</v>
      </c>
      <c r="Q294" s="22">
        <f t="shared" si="394"/>
        <v>147</v>
      </c>
      <c r="R294" s="23">
        <f t="shared" si="390"/>
        <v>0</v>
      </c>
      <c r="S294" s="22">
        <f t="shared" si="391"/>
        <v>73.5</v>
      </c>
      <c r="T294" s="22">
        <f t="shared" si="392"/>
        <v>147</v>
      </c>
      <c r="U294" s="22">
        <f>INDEX(cennik!$C$2:$L$529,MATCH($L294,cennik!$B$2:$B$522,0),MATCH(U$2,cennik!$C$1:$L$1,0))*O294</f>
        <v>10.62</v>
      </c>
      <c r="W294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292,$EL$219:$EU$219,0),MATCH($E$286,$AE$33:$AE$48,0))*$C292</f>
        <v>0</v>
      </c>
      <c r="X294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292,$EL$219:$EU$219,0),MATCH($E$286,$AE$33:$AE$48,0))*$C292</f>
        <v>0</v>
      </c>
      <c r="Y294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292,$EL$219:$EU$219,0),MATCH($E$286,$AE$33:$AE$48,0))*$C292</f>
        <v>0</v>
      </c>
      <c r="Z294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292,$EL$219:$EU$219,0),MATCH($E$286,$AE$33:$AE$48,0))*$C292</f>
        <v>0</v>
      </c>
      <c r="AA294" s="21">
        <f t="shared" si="387"/>
        <v>0</v>
      </c>
      <c r="AB294" s="21">
        <f t="shared" si="388"/>
        <v>0</v>
      </c>
      <c r="AC294" s="21"/>
      <c r="AD294" s="21"/>
      <c r="BG294" s="21">
        <f t="shared" si="389"/>
        <v>1</v>
      </c>
      <c r="DR294" s="87">
        <v>54</v>
      </c>
    </row>
    <row r="295" spans="1:122" x14ac:dyDescent="0.25">
      <c r="A295" s="8"/>
      <c r="B295" s="5" t="s">
        <v>116</v>
      </c>
      <c r="C295" s="8"/>
      <c r="D295" s="6" t="s">
        <v>718</v>
      </c>
      <c r="E295" s="32">
        <f>INDEX((AQ287:AU289),MATCH(E293,AP287:AP289,0),MATCH(E294,AQ286:AU286,0))</f>
        <v>2700</v>
      </c>
      <c r="F295" s="180"/>
      <c r="G295" s="9"/>
      <c r="H295" s="9"/>
      <c r="I295" s="9"/>
      <c r="J295" s="9"/>
      <c r="K295" s="9"/>
      <c r="L295" s="148" t="s">
        <v>1305</v>
      </c>
      <c r="M295" s="14">
        <f>INDEX(cennik!$C$2:$L$529,MATCH($L295,cennik!$B$2:$B$522,0),MATCH(M$2,cennik!$C$1:$L$1,0))</f>
        <v>850155</v>
      </c>
      <c r="N295" s="14" t="str">
        <f>INDEX(cennik!$C$2:$L$529,MATCH($L295,cennik!$B$2:$B$522,0),MATCH(N$2,cennik!$C$1:$L$1,0))</f>
        <v>szt.</v>
      </c>
      <c r="O295" s="149">
        <f>O289</f>
        <v>3</v>
      </c>
      <c r="P295" s="22">
        <f>INDEX(cennik!$C$2:$L$529,MATCH($L295,cennik!$B$2:$B$522,0),MATCH(P$2,cennik!$C$1:$L$1,0))</f>
        <v>14.23</v>
      </c>
      <c r="Q295" s="22">
        <f t="shared" si="394"/>
        <v>42.69</v>
      </c>
      <c r="R295" s="23">
        <f t="shared" si="390"/>
        <v>0</v>
      </c>
      <c r="S295" s="22">
        <f t="shared" si="391"/>
        <v>14.23</v>
      </c>
      <c r="T295" s="22">
        <f t="shared" si="392"/>
        <v>42.69</v>
      </c>
      <c r="U295" s="22">
        <f>INDEX(cennik!$C$2:$L$529,MATCH($L295,cennik!$B$2:$B$522,0),MATCH(U$2,cennik!$C$1:$L$1,0))*O295</f>
        <v>0.75</v>
      </c>
      <c r="W295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293,$EL$219:$EU$219,0),MATCH($E$286,$AE$33:$AE$48,0))*$C293</f>
        <v>0</v>
      </c>
      <c r="X295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293,$EL$219:$EU$219,0),MATCH($E$286,$AE$33:$AE$48,0))*$C293</f>
        <v>0</v>
      </c>
      <c r="Y295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293,$EL$219:$EU$219,0),MATCH($E$286,$AE$33:$AE$48,0))*$C293</f>
        <v>0</v>
      </c>
      <c r="Z295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293,$EL$219:$EU$219,0),MATCH($E$286,$AE$33:$AE$48,0))*$C293</f>
        <v>0</v>
      </c>
      <c r="AA295" s="21">
        <f>(VLOOKUP(BG295,$AY$5:$BA$9,3,1))*C295</f>
        <v>0</v>
      </c>
      <c r="AB295" s="21">
        <f t="shared" si="388"/>
        <v>0</v>
      </c>
      <c r="AC295" s="21"/>
      <c r="AD295" s="21"/>
      <c r="BG295" s="21">
        <f t="shared" si="389"/>
        <v>1</v>
      </c>
    </row>
    <row r="296" spans="1:122" x14ac:dyDescent="0.25">
      <c r="A296" s="8"/>
      <c r="B296" s="5" t="s">
        <v>116</v>
      </c>
      <c r="C296" s="8"/>
      <c r="D296" s="6" t="str">
        <f>IF(E288=$AC$8,"długość śruby GSW","")</f>
        <v/>
      </c>
      <c r="E296" s="38">
        <v>2200</v>
      </c>
      <c r="F296" s="31"/>
      <c r="G296" s="31"/>
      <c r="H296" s="31"/>
      <c r="I296" s="31"/>
      <c r="J296" s="29" t="s">
        <v>119</v>
      </c>
      <c r="K296" s="9"/>
      <c r="L296" s="6" t="s">
        <v>1111</v>
      </c>
      <c r="M296" s="14">
        <f>INDEX(cennik!$C$2:$L$529,MATCH($L296,cennik!$B$2:$B$522,0),MATCH(M$2,cennik!$C$1:$L$1,0))</f>
        <v>850252</v>
      </c>
      <c r="N296" s="14" t="str">
        <f>INDEX(cennik!$C$2:$L$529,MATCH($L296,cennik!$B$2:$B$522,0),MATCH(N$2,cennik!$C$1:$L$1,0))</f>
        <v>szt.</v>
      </c>
      <c r="O296" s="14">
        <f>IF(L293="CMP41H41/1,2MC",O288,0)</f>
        <v>0</v>
      </c>
      <c r="P296" s="22">
        <f>INDEX(cennik!$C$2:$L$529,MATCH($L296,cennik!$B$2:$B$522,0),MATCH(P$2,cennik!$C$1:$L$1,0))</f>
        <v>6.06</v>
      </c>
      <c r="Q296" s="22">
        <f t="shared" si="393"/>
        <v>0</v>
      </c>
      <c r="R296" s="23">
        <f t="shared" si="390"/>
        <v>0</v>
      </c>
      <c r="S296" s="22">
        <f t="shared" si="391"/>
        <v>6.06</v>
      </c>
      <c r="T296" s="22">
        <f t="shared" si="392"/>
        <v>0</v>
      </c>
      <c r="U296" s="22">
        <f>INDEX(cennik!$C$2:$L$529,MATCH($L296,cennik!$B$2:$B$522,0),MATCH(U$2,cennik!$C$1:$L$1,0))*O296</f>
        <v>0</v>
      </c>
      <c r="W296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294,$EL$219:$EU$219,0),MATCH($E$286,$AE$33:$AE$48,0))*$C294</f>
        <v>0</v>
      </c>
      <c r="X296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294,$EL$219:$EU$219,0),MATCH($E$286,$AE$33:$AE$48,0))*$C294</f>
        <v>0</v>
      </c>
      <c r="Y296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294,$EL$219:$EU$219,0),MATCH($E$286,$AE$33:$AE$48,0))*$C294</f>
        <v>0</v>
      </c>
      <c r="Z296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294,$EL$219:$EU$219,0),MATCH($E$286,$AE$33:$AE$48,0))*$C294</f>
        <v>0</v>
      </c>
      <c r="AA296" s="21">
        <f t="shared" si="387"/>
        <v>0</v>
      </c>
      <c r="AB296" s="21">
        <f t="shared" si="388"/>
        <v>0</v>
      </c>
      <c r="AC296" s="21"/>
      <c r="AD296" s="21"/>
      <c r="BG296" s="21">
        <f t="shared" si="389"/>
        <v>1</v>
      </c>
    </row>
    <row r="297" spans="1:122" x14ac:dyDescent="0.25">
      <c r="A297" s="8"/>
      <c r="B297" s="5" t="s">
        <v>116</v>
      </c>
      <c r="C297" s="8"/>
      <c r="D297" s="218"/>
      <c r="E297" s="9"/>
      <c r="F297" s="9"/>
      <c r="G297" s="9"/>
      <c r="H297" s="9"/>
      <c r="I297" s="9"/>
      <c r="J297" s="29" t="str">
        <f>IF(E288=$AC$8,"[mm]","")</f>
        <v/>
      </c>
      <c r="K297" s="9"/>
      <c r="L297" s="6" t="s">
        <v>586</v>
      </c>
      <c r="M297" s="14">
        <f>INDEX(cennik!$C$2:$L$529,MATCH($L297,cennik!$B$2:$B$522,0),MATCH(M$2,cennik!$C$1:$L$1,0))</f>
        <v>867566</v>
      </c>
      <c r="N297" s="14" t="str">
        <f>INDEX(cennik!$C$2:$L$529,MATCH($L297,cennik!$B$2:$B$522,0),MATCH(N$2,cennik!$C$1:$L$1,0))</f>
        <v>szt.</v>
      </c>
      <c r="O297" s="14">
        <f>SUM(X287:X302)</f>
        <v>0</v>
      </c>
      <c r="P297" s="22">
        <f>INDEX(cennik!$C$2:$L$529,MATCH($L297,cennik!$B$2:$B$522,0),MATCH(P$2,cennik!$C$1:$L$1,0))</f>
        <v>265.20999999999998</v>
      </c>
      <c r="Q297" s="22">
        <f t="shared" si="393"/>
        <v>0</v>
      </c>
      <c r="R297" s="23">
        <f t="shared" si="390"/>
        <v>0</v>
      </c>
      <c r="S297" s="22">
        <f t="shared" si="391"/>
        <v>265.20999999999998</v>
      </c>
      <c r="T297" s="22">
        <f t="shared" si="392"/>
        <v>0</v>
      </c>
      <c r="U297" s="22">
        <f>INDEX(cennik!$C$2:$L$529,MATCH($L297,cennik!$B$2:$B$522,0),MATCH(U$2,cennik!$C$1:$L$1,0))*O297</f>
        <v>0</v>
      </c>
      <c r="W297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295,$EL$219:$EU$219,0),MATCH($E$286,$AE$33:$AE$48,0))*$C295</f>
        <v>0</v>
      </c>
      <c r="X297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295,$EL$219:$EU$219,0),MATCH($E$286,$AE$33:$AE$48,0))*$C295</f>
        <v>0</v>
      </c>
      <c r="Y297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295,$EL$219:$EU$219,0),MATCH($E$286,$AE$33:$AE$48,0))*$C295</f>
        <v>0</v>
      </c>
      <c r="Z297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295,$EL$219:$EU$219,0),MATCH($E$286,$AE$33:$AE$48,0))*$C295</f>
        <v>0</v>
      </c>
      <c r="AA297" s="21">
        <f t="shared" si="387"/>
        <v>0</v>
      </c>
      <c r="AB297" s="21">
        <f t="shared" si="388"/>
        <v>0</v>
      </c>
      <c r="AC297" s="21"/>
      <c r="BG297" s="21">
        <f t="shared" si="389"/>
        <v>1</v>
      </c>
    </row>
    <row r="298" spans="1:122" x14ac:dyDescent="0.25">
      <c r="A298" s="8"/>
      <c r="B298" s="5" t="s">
        <v>116</v>
      </c>
      <c r="C298" s="8"/>
      <c r="D298" s="218"/>
      <c r="E298" s="9"/>
      <c r="F298" s="9"/>
      <c r="G298" s="9"/>
      <c r="H298" s="9"/>
      <c r="I298" s="9"/>
      <c r="J298" s="9"/>
      <c r="K298" s="9"/>
      <c r="L298" s="6" t="s">
        <v>522</v>
      </c>
      <c r="M298" s="14">
        <f>INDEX(cennik!$C$2:$L$529,MATCH($L298,cennik!$B$2:$B$522,0),MATCH(M$2,cennik!$C$1:$L$1,0))</f>
        <v>867644</v>
      </c>
      <c r="N298" s="14" t="str">
        <f>INDEX(cennik!$C$2:$L$529,MATCH($L298,cennik!$B$2:$B$522,0),MATCH(N$2,cennik!$C$1:$L$1,0))</f>
        <v>szt.</v>
      </c>
      <c r="O298" s="14">
        <f>SUM(Y287:Y302)</f>
        <v>8</v>
      </c>
      <c r="P298" s="22">
        <f>INDEX(cennik!$C$2:$L$529,MATCH($L298,cennik!$B$2:$B$522,0),MATCH(P$2,cennik!$C$1:$L$1,0))</f>
        <v>176.8</v>
      </c>
      <c r="Q298" s="22">
        <f t="shared" si="393"/>
        <v>1414.4</v>
      </c>
      <c r="R298" s="23">
        <f t="shared" si="390"/>
        <v>0</v>
      </c>
      <c r="S298" s="22">
        <f t="shared" si="391"/>
        <v>176.8</v>
      </c>
      <c r="T298" s="22">
        <f t="shared" si="392"/>
        <v>1414.4</v>
      </c>
      <c r="U298" s="22">
        <f>INDEX(cennik!$C$2:$L$529,MATCH($L298,cennik!$B$2:$B$522,0),MATCH(U$2,cennik!$C$1:$L$1,0))*O298</f>
        <v>105.04</v>
      </c>
      <c r="W298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296,$EL$219:$EU$219,0),MATCH($E$286,$AE$33:$AE$48,0))*$C296</f>
        <v>0</v>
      </c>
      <c r="X298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296,$EL$219:$EU$219,0),MATCH($E$286,$AE$33:$AE$48,0))*$C296</f>
        <v>0</v>
      </c>
      <c r="Y298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296,$EL$219:$EU$219,0),MATCH($E$286,$AE$33:$AE$48,0))*$C296</f>
        <v>0</v>
      </c>
      <c r="Z298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296,$EL$219:$EU$219,0),MATCH($E$286,$AE$33:$AE$48,0))*$C296</f>
        <v>0</v>
      </c>
      <c r="AA298" s="21">
        <f t="shared" si="387"/>
        <v>0</v>
      </c>
      <c r="AB298" s="21">
        <f t="shared" si="388"/>
        <v>0</v>
      </c>
      <c r="AC298" s="21"/>
      <c r="BG298" s="21">
        <f t="shared" si="389"/>
        <v>1</v>
      </c>
    </row>
    <row r="299" spans="1:122" x14ac:dyDescent="0.25">
      <c r="A299" s="8"/>
      <c r="B299" s="5" t="s">
        <v>116</v>
      </c>
      <c r="C299" s="8"/>
      <c r="D299" s="218"/>
      <c r="E299" s="9"/>
      <c r="F299" s="9"/>
      <c r="G299" s="9"/>
      <c r="H299" s="9"/>
      <c r="I299" s="9"/>
      <c r="J299" s="9"/>
      <c r="K299" s="9"/>
      <c r="L299" s="6" t="s">
        <v>523</v>
      </c>
      <c r="M299" s="14">
        <f>INDEX(cennik!$C$2:$L$529,MATCH($L299,cennik!$B$2:$B$522,0),MATCH(M$2,cennik!$C$1:$L$1,0))</f>
        <v>867633</v>
      </c>
      <c r="N299" s="14" t="str">
        <f>INDEX(cennik!$C$2:$L$529,MATCH($L299,cennik!$B$2:$B$522,0),MATCH(N$2,cennik!$C$1:$L$1,0))</f>
        <v>szt.</v>
      </c>
      <c r="O299" s="14">
        <f>SUM(Z287:Z302)</f>
        <v>0</v>
      </c>
      <c r="P299" s="22">
        <f>INDEX(cennik!$C$2:$L$529,MATCH($L299,cennik!$B$2:$B$522,0),MATCH(P$2,cennik!$C$1:$L$1,0))</f>
        <v>132.6</v>
      </c>
      <c r="Q299" s="22">
        <f t="shared" si="393"/>
        <v>0</v>
      </c>
      <c r="R299" s="23">
        <f t="shared" si="390"/>
        <v>0</v>
      </c>
      <c r="S299" s="22">
        <f t="shared" si="391"/>
        <v>132.6</v>
      </c>
      <c r="T299" s="22">
        <f t="shared" si="392"/>
        <v>0</v>
      </c>
      <c r="U299" s="22">
        <f>INDEX(cennik!$C$2:$L$529,MATCH($L299,cennik!$B$2:$B$522,0),MATCH(U$2,cennik!$C$1:$L$1,0))*O299</f>
        <v>0</v>
      </c>
      <c r="W299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297,$EL$219:$EU$219,0),MATCH($E$286,$AE$33:$AE$48,0))*$C297</f>
        <v>0</v>
      </c>
      <c r="X299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297,$EL$219:$EU$219,0),MATCH($E$286,$AE$33:$AE$48,0))*$C297</f>
        <v>0</v>
      </c>
      <c r="Y299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297,$EL$219:$EU$219,0),MATCH($E$286,$AE$33:$AE$48,0))*$C297</f>
        <v>0</v>
      </c>
      <c r="Z299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297,$EL$219:$EU$219,0),MATCH($E$286,$AE$33:$AE$48,0))*$C297</f>
        <v>0</v>
      </c>
      <c r="AA299" s="21">
        <f t="shared" si="387"/>
        <v>0</v>
      </c>
      <c r="AB299" s="21">
        <f t="shared" si="388"/>
        <v>0</v>
      </c>
      <c r="AC299" s="21"/>
      <c r="BG299" s="21">
        <f t="shared" si="389"/>
        <v>1</v>
      </c>
    </row>
    <row r="300" spans="1:122" x14ac:dyDescent="0.25">
      <c r="A300" s="8"/>
      <c r="B300" s="5" t="s">
        <v>116</v>
      </c>
      <c r="C300" s="8"/>
      <c r="D300" s="218"/>
      <c r="E300" s="9"/>
      <c r="F300" s="9"/>
      <c r="G300" s="9"/>
      <c r="H300" s="9"/>
      <c r="I300" s="9"/>
      <c r="J300" s="9"/>
      <c r="K300" s="9"/>
      <c r="L300" s="6" t="s">
        <v>779</v>
      </c>
      <c r="M300" s="14">
        <f>INDEX(cennik!$C$2:$L$529,MATCH($L300,cennik!$B$2:$B$522,0),MATCH(M$2,cennik!$C$1:$L$1,0))</f>
        <v>856105</v>
      </c>
      <c r="N300" s="14" t="str">
        <f>INDEX(cennik!$C$2:$L$529,MATCH($L300,cennik!$B$2:$B$522,0),MATCH(N$2,cennik!$C$1:$L$1,0))</f>
        <v>szt.</v>
      </c>
      <c r="O300" s="14">
        <f>SUM(W287:W302)</f>
        <v>0</v>
      </c>
      <c r="P300" s="22">
        <f>INDEX(cennik!$C$2:$L$529,MATCH($L300,cennik!$B$2:$B$522,0),MATCH(P$2,cennik!$C$1:$L$1,0))</f>
        <v>21.81</v>
      </c>
      <c r="Q300" s="22">
        <f t="shared" si="393"/>
        <v>0</v>
      </c>
      <c r="R300" s="23">
        <f t="shared" si="390"/>
        <v>0</v>
      </c>
      <c r="S300" s="22">
        <f t="shared" si="391"/>
        <v>21.81</v>
      </c>
      <c r="T300" s="22">
        <f t="shared" si="392"/>
        <v>0</v>
      </c>
      <c r="U300" s="22">
        <f>INDEX(cennik!$C$2:$L$529,MATCH($L300,cennik!$B$2:$B$522,0),MATCH(U$2,cennik!$C$1:$L$1,0))*O300</f>
        <v>0</v>
      </c>
      <c r="W300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298,$EL$219:$EU$219,0),MATCH($E$286,$AE$33:$AE$48,0))*$C298</f>
        <v>0</v>
      </c>
      <c r="X300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298,$EL$219:$EU$219,0),MATCH($E$286,$AE$33:$AE$48,0))*$C298</f>
        <v>0</v>
      </c>
      <c r="Y300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298,$EL$219:$EU$219,0),MATCH($E$286,$AE$33:$AE$48,0))*$C298</f>
        <v>0</v>
      </c>
      <c r="Z300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298,$EL$219:$EU$219,0),MATCH($E$286,$AE$33:$AE$48,0))*$C298</f>
        <v>0</v>
      </c>
      <c r="AA300" s="21">
        <f t="shared" si="387"/>
        <v>0</v>
      </c>
      <c r="AB300" s="21">
        <f t="shared" si="388"/>
        <v>0</v>
      </c>
      <c r="AC300" s="21"/>
      <c r="BG300" s="21">
        <f t="shared" si="389"/>
        <v>1</v>
      </c>
    </row>
    <row r="301" spans="1:122" x14ac:dyDescent="0.25">
      <c r="A301" s="9"/>
      <c r="B301" s="6"/>
      <c r="C301" s="9"/>
      <c r="D301" s="9"/>
      <c r="E301" s="9"/>
      <c r="F301" s="9"/>
      <c r="G301" s="9"/>
      <c r="H301" s="9"/>
      <c r="I301" s="9"/>
      <c r="J301" s="9"/>
      <c r="K301" s="9"/>
      <c r="L301" s="6" t="str">
        <f>INDEX(($AH$3:$AI$12),MATCH(I286,$AG$3:$AG$12,0),MATCH(E287,$AH$2:$AI$2,0))</f>
        <v>BUF35</v>
      </c>
      <c r="M301" s="14">
        <f>INDEX(cennik!$C$2:$L$529,MATCH($L301,cennik!$B$2:$B$522,0),MATCH(M$2,cennik!$C$1:$L$1,0))</f>
        <v>897335</v>
      </c>
      <c r="N301" s="14" t="str">
        <f>INDEX(cennik!$C$2:$L$529,MATCH($L301,cennik!$B$2:$B$522,0),MATCH(N$2,cennik!$C$1:$L$1,0))</f>
        <v>szt.</v>
      </c>
      <c r="O301" s="14">
        <f>SUM((A285/3*4*C285),(A286/3*4*C286),(A287/3*4*C287),(A288/3*4*C288),(A289/3*4*C289),(A290/3*4*C290),(A291/3*4*C291),(A292/3*4*C292),(A293/3*4*C293),(A294/3*4*C294),(A295/3*4*C295),(A296/3*4*C296),(A297/3*4*C297),(A298/3*4*C298),(A299/3*4*C299),(A300/3*4*C300))</f>
        <v>16</v>
      </c>
      <c r="P301" s="22">
        <f>INDEX(cennik!$C$2:$L$529,MATCH($L301,cennik!$B$2:$B$522,0),MATCH(P$2,cennik!$C$1:$L$1,0))</f>
        <v>1.92</v>
      </c>
      <c r="Q301" s="22">
        <f t="shared" si="393"/>
        <v>30.72</v>
      </c>
      <c r="R301" s="23">
        <f t="shared" si="390"/>
        <v>0</v>
      </c>
      <c r="S301" s="22">
        <f t="shared" si="391"/>
        <v>1.92</v>
      </c>
      <c r="T301" s="22">
        <f t="shared" si="392"/>
        <v>30.72</v>
      </c>
      <c r="U301" s="22">
        <f>INDEX(cennik!$C$2:$L$529,MATCH($L301,cennik!$B$2:$B$522,0),MATCH(U$2,cennik!$C$1:$L$1,0))*O301</f>
        <v>0.32</v>
      </c>
      <c r="W301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299,$EL$219:$EU$219,0),MATCH($E$286,$AE$33:$AE$48,0))*$C299</f>
        <v>0</v>
      </c>
      <c r="X301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299,$EL$219:$EU$219,0),MATCH($E$286,$AE$33:$AE$48,0))*$C299</f>
        <v>0</v>
      </c>
      <c r="Y301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299,$EL$219:$EU$219,0),MATCH($E$286,$AE$33:$AE$48,0))*$C299</f>
        <v>0</v>
      </c>
      <c r="Z301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299,$EL$219:$EU$219,0),MATCH($E$286,$AE$33:$AE$48,0))*$C299</f>
        <v>0</v>
      </c>
      <c r="AA301" s="21"/>
      <c r="AB301" s="21"/>
      <c r="AC301" s="21"/>
    </row>
    <row r="302" spans="1:122" x14ac:dyDescent="0.25">
      <c r="A302" s="1"/>
      <c r="B302" s="1"/>
      <c r="C302" s="1"/>
      <c r="D302" s="9"/>
      <c r="E302" s="9"/>
      <c r="F302" s="9"/>
      <c r="G302" s="9"/>
      <c r="H302" s="9"/>
      <c r="I302" s="9"/>
      <c r="J302" s="9"/>
      <c r="K302" s="1"/>
      <c r="L302" s="6" t="str">
        <f>INDEX(($AH$13:$AI$13),1,MATCH(E287,$AH$2:$AI$2,0))</f>
        <v>PUF</v>
      </c>
      <c r="M302" s="14">
        <f>INDEX(cennik!$C$2:$L$529,MATCH($L302,cennik!$B$2:$B$522,0),MATCH(M$2,cennik!$C$1:$L$1,0))</f>
        <v>897300</v>
      </c>
      <c r="N302" s="14" t="str">
        <f>INDEX(cennik!$C$2:$L$529,MATCH($L302,cennik!$B$2:$B$522,0),MATCH(N$2,cennik!$C$1:$L$1,0))</f>
        <v>szt.</v>
      </c>
      <c r="O302" s="14">
        <f>O301</f>
        <v>16</v>
      </c>
      <c r="P302" s="22">
        <f>INDEX(cennik!$C$2:$L$529,MATCH($L302,cennik!$B$2:$B$522,0),MATCH(P$2,cennik!$C$1:$L$1,0))</f>
        <v>2.06</v>
      </c>
      <c r="Q302" s="22">
        <f t="shared" si="393"/>
        <v>32.96</v>
      </c>
      <c r="R302" s="23">
        <f t="shared" si="390"/>
        <v>0</v>
      </c>
      <c r="S302" s="22">
        <f t="shared" si="391"/>
        <v>2.06</v>
      </c>
      <c r="T302" s="22">
        <f t="shared" si="392"/>
        <v>32.96</v>
      </c>
      <c r="U302" s="22">
        <f>INDEX(cennik!$C$2:$L$529,MATCH($L302,cennik!$B$2:$B$522,0),MATCH(U$2,cennik!$C$1:$L$1,0))*O302</f>
        <v>0.32</v>
      </c>
      <c r="W302" s="21">
        <f>INDEX(($EL$220:$EU$223,$EL$226:$EU$229,$EL$232:$EU$235,$FA$220:$FJ$223,$FA$226:$FJ$229,$FA$232:$FJ$235,$FP$220:$GB$223,$FP$226:$GB$229,$FP$232:$GB$235,$GE$220:$GN$223,$GE$226:$GN$229,$GE$232:$GN$235,$GT$220:$HC$223,$GT$226:$HC$229),MATCH($L$300,$EK$220:$EK$223,0),MATCH($A300,$EL$219:$EU$219,0),MATCH($E$286,$AE$33:$AE$48,0))*$C300</f>
        <v>0</v>
      </c>
      <c r="X302" s="21">
        <f>INDEX(($EL$220:$EU$223,$EL$226:$EU$229,$EL$232:$EU$235,$FA$220:$FJ$223,$FA$226:$FJ$229,$FA$232:$FJ$235,$FP$220:$GB$223,$FP$226:$GB$229,$FP$232:$GB$235,$GE$220:$GN$223,$GE$226:$GN$229,$GE$232:$GN$235,$GT$220:$HC$223,$GT$226:$HC$229),MATCH($L$297,$EK$220:$EK$223,0),MATCH($A300,$EL$219:$EU$219,0),MATCH($E$286,$AE$33:$AE$48,0))*$C300</f>
        <v>0</v>
      </c>
      <c r="Y302" s="21">
        <f>INDEX(($EL$220:$EU$223,$EL$226:$EU$229,$EL$232:$EU$235,$FA$220:$FJ$223,$FA$226:$FJ$229,$FA$232:$FJ$235,$FP$220:$GB$223,$FP$226:$GB$229,$FP$232:$GB$235,$GE$220:$GN$223,$GE$226:$GN$229,$GE$232:$GN$235,$GT$220:$HC$223,$GT$226:$HC$229),MATCH($L$298,$EK$220:$EK$223,0),MATCH($A300,$EL$219:$EU$219,0),MATCH($E$286,$AE$33:$AE$48,0))*$C300</f>
        <v>0</v>
      </c>
      <c r="Z302" s="21">
        <f>INDEX(($EL$220:$EU$223,$EL$226:$EU$229,$EL$232:$EU$235,$FA$220:$FJ$223,$FA$226:$FJ$229,$FA$232:$FJ$235,$FP$220:$GB$223,$FP$226:$GB$229,$FP$232:$GB$235,$GE$220:$GN$223,$GE$226:$GN$229,$GE$232:$GN$235,$GT$220:$HC$223,$GT$226:$HC$229),MATCH($L$299,$EK$220:$EK$223,0),MATCH($A300,$EL$219:$EU$219,0),MATCH($E$286,$AE$33:$AE$48,0))*$C300</f>
        <v>0</v>
      </c>
      <c r="AA302" s="21"/>
      <c r="AB302" s="21"/>
      <c r="AC302" s="21"/>
    </row>
    <row r="303" spans="1:122" x14ac:dyDescent="0.25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6" t="str">
        <f>INDEX(($AJ$3:$AJ$12),MATCH(I286,$AG$3:$AG$12,0),1)</f>
        <v>SAM8X30E</v>
      </c>
      <c r="M303" s="14">
        <f>INDEX(cennik!$C$2:$L$529,MATCH($L303,cennik!$B$2:$B$522,0),MATCH(M$2,cennik!$C$1:$L$1,0))</f>
        <v>898530</v>
      </c>
      <c r="N303" s="14" t="str">
        <f>INDEX(cennik!$C$2:$L$529,MATCH($L303,cennik!$B$2:$B$522,0),MATCH(N$2,cennik!$C$1:$L$1,0))</f>
        <v>szt.</v>
      </c>
      <c r="O303" s="14">
        <f>SUM(O301:O302)</f>
        <v>32</v>
      </c>
      <c r="P303" s="22">
        <f>INDEX(cennik!$C$2:$L$529,MATCH($L303,cennik!$B$2:$B$522,0),MATCH(P$2,cennik!$C$1:$L$1,0))</f>
        <v>0.5</v>
      </c>
      <c r="Q303" s="22">
        <f t="shared" si="393"/>
        <v>16</v>
      </c>
      <c r="R303" s="23">
        <f t="shared" si="390"/>
        <v>0</v>
      </c>
      <c r="S303" s="22">
        <f t="shared" si="391"/>
        <v>0.5</v>
      </c>
      <c r="T303" s="22">
        <f t="shared" si="392"/>
        <v>16</v>
      </c>
      <c r="U303" s="22">
        <f>INDEX(cennik!$C$2:$L$529,MATCH($L303,cennik!$B$2:$B$522,0),MATCH(U$2,cennik!$C$1:$L$1,0))*O303</f>
        <v>1.6</v>
      </c>
      <c r="X303" s="21"/>
      <c r="Y303" s="21"/>
      <c r="Z303" s="21"/>
      <c r="AA303" s="21"/>
      <c r="AB303" s="21"/>
      <c r="AC303" s="21"/>
    </row>
    <row r="304" spans="1:122" x14ac:dyDescent="0.25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6" t="s">
        <v>1019</v>
      </c>
      <c r="M304" s="14">
        <f>INDEX(cennik!$C$2:$L$529,MATCH($L304,cennik!$B$2:$B$522,0),MATCH(M$2,cennik!$C$1:$L$1,0))</f>
        <v>166794</v>
      </c>
      <c r="N304" s="14" t="str">
        <f>INDEX(cennik!$C$2:$L$529,MATCH($L304,cennik!$B$2:$B$522,0),MATCH(N$2,cennik!$C$1:$L$1,0))</f>
        <v>100 szt.</v>
      </c>
      <c r="O304" s="14">
        <f>ROUNDUP(O303/100,0)</f>
        <v>1</v>
      </c>
      <c r="P304" s="22">
        <f>INDEX(cennik!$C$2:$L$529,MATCH($L304,cennik!$B$2:$B$522,0),MATCH(P$2,cennik!$C$1:$L$1,0))</f>
        <v>3.95</v>
      </c>
      <c r="Q304" s="22">
        <f t="shared" si="393"/>
        <v>3.95</v>
      </c>
      <c r="R304" s="23">
        <f t="shared" si="390"/>
        <v>0</v>
      </c>
      <c r="S304" s="22">
        <f t="shared" si="391"/>
        <v>3.95</v>
      </c>
      <c r="T304" s="22">
        <f t="shared" si="392"/>
        <v>3.95</v>
      </c>
      <c r="U304" s="22">
        <f>INDEX(cennik!$C$2:$L$529,MATCH($L304,cennik!$B$2:$B$522,0),MATCH(U$2,cennik!$C$1:$L$1,0))*O304</f>
        <v>0</v>
      </c>
      <c r="DR304" s="190">
        <v>0</v>
      </c>
    </row>
    <row r="305" spans="1:122" x14ac:dyDescent="0.25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6" t="s">
        <v>525</v>
      </c>
      <c r="M305" s="14">
        <f>INDEX(cennik!$C$2:$L$529,MATCH($L305,cennik!$B$2:$B$522,0),MATCH(M$2,cennik!$C$1:$L$1,0))</f>
        <v>660245</v>
      </c>
      <c r="N305" s="14" t="str">
        <f>INDEX(cennik!$C$2:$L$529,MATCH($L305,cennik!$B$2:$B$522,0),MATCH(N$2,cennik!$C$1:$L$1,0))</f>
        <v>szt.</v>
      </c>
      <c r="O305" s="14">
        <f>SUM(O301:O302)</f>
        <v>32</v>
      </c>
      <c r="P305" s="22">
        <f>INDEX(cennik!$C$2:$L$529,MATCH($L305,cennik!$B$2:$B$522,0),MATCH(P$2,cennik!$C$1:$L$1,0))</f>
        <v>1.56</v>
      </c>
      <c r="Q305" s="22">
        <f t="shared" si="393"/>
        <v>49.92</v>
      </c>
      <c r="R305" s="23">
        <f t="shared" si="390"/>
        <v>0</v>
      </c>
      <c r="S305" s="22">
        <f t="shared" si="391"/>
        <v>1.56</v>
      </c>
      <c r="T305" s="22">
        <f t="shared" si="392"/>
        <v>49.92</v>
      </c>
      <c r="U305" s="22">
        <f>INDEX(cennik!$C$2:$L$529,MATCH($L305,cennik!$B$2:$B$522,0),MATCH(U$2,cennik!$C$1:$L$1,0))*O305</f>
        <v>0</v>
      </c>
      <c r="DR305" s="190">
        <v>8</v>
      </c>
    </row>
    <row r="306" spans="1:122" x14ac:dyDescent="0.25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6" t="s">
        <v>799</v>
      </c>
      <c r="M306" s="14">
        <f>INDEX(cennik!$C$2:$L$529,MATCH($L306,cennik!$B$2:$B$522,0),MATCH(M$2,cennik!$C$1:$L$1,0))</f>
        <v>6510443</v>
      </c>
      <c r="N306" s="14" t="str">
        <f>INDEX(cennik!$C$2:$L$529,MATCH($L306,cennik!$B$2:$B$522,0),MATCH(N$2,cennik!$C$1:$L$1,0))</f>
        <v>100 szt.</v>
      </c>
      <c r="O306" s="14">
        <f>O307</f>
        <v>1</v>
      </c>
      <c r="P306" s="22">
        <f>INDEX(cennik!$C$2:$L$529,MATCH($L306,cennik!$B$2:$B$522,0),MATCH(P$2,cennik!$C$1:$L$1,0))</f>
        <v>43.51</v>
      </c>
      <c r="Q306" s="22">
        <f t="shared" si="393"/>
        <v>43.51</v>
      </c>
      <c r="R306" s="23">
        <f t="shared" si="390"/>
        <v>0</v>
      </c>
      <c r="S306" s="22">
        <f t="shared" si="391"/>
        <v>43.51</v>
      </c>
      <c r="T306" s="22">
        <f t="shared" si="392"/>
        <v>43.51</v>
      </c>
      <c r="U306" s="22">
        <f>INDEX(cennik!$C$2:$L$529,MATCH($L306,cennik!$B$2:$B$522,0),MATCH(U$2,cennik!$C$1:$L$1,0))*O306</f>
        <v>0</v>
      </c>
      <c r="DR306" s="190">
        <v>12</v>
      </c>
    </row>
    <row r="307" spans="1:122" x14ac:dyDescent="0.25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6" t="s">
        <v>350</v>
      </c>
      <c r="M307" s="14">
        <f>INDEX(cennik!$C$2:$L$529,MATCH($L307,cennik!$B$2:$B$522,0),MATCH(M$2,cennik!$C$1:$L$1,0))</f>
        <v>651643</v>
      </c>
      <c r="N307" s="14" t="str">
        <f>INDEX(cennik!$C$2:$L$529,MATCH($L307,cennik!$B$2:$B$522,0),MATCH(N$2,cennik!$C$1:$L$1,0))</f>
        <v>100 szt.</v>
      </c>
      <c r="O307" s="14">
        <f>ROUNDUP(((O289*23)+(O294*2)+(O313*2)+(O300*4)+(O287*9)+(O309*2)+E291+(O293*3)+(O314*2))/100,0)</f>
        <v>1</v>
      </c>
      <c r="P307" s="22">
        <f>INDEX(cennik!$C$2:$L$529,MATCH($L307,cennik!$B$2:$B$522,0),MATCH(P$2,cennik!$C$1:$L$1,0))</f>
        <v>144.19</v>
      </c>
      <c r="Q307" s="22">
        <f>O307*P307</f>
        <v>144.19</v>
      </c>
      <c r="R307" s="23">
        <f t="shared" si="390"/>
        <v>0</v>
      </c>
      <c r="S307" s="22">
        <f t="shared" si="391"/>
        <v>144.19</v>
      </c>
      <c r="T307" s="22">
        <f t="shared" si="392"/>
        <v>144.19</v>
      </c>
      <c r="U307" s="22">
        <f>INDEX(cennik!$C$2:$L$529,MATCH($L307,cennik!$B$2:$B$522,0),MATCH(U$2,cennik!$C$1:$L$1,0))*O307</f>
        <v>3.3</v>
      </c>
      <c r="DR307" s="190">
        <v>16</v>
      </c>
    </row>
    <row r="308" spans="1:122" x14ac:dyDescent="0.25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6" t="s">
        <v>128</v>
      </c>
      <c r="M308" s="14">
        <f>INDEX(cennik!$C$2:$L$529,MATCH($L308,cennik!$B$2:$B$522,0),MATCH(M$2,cennik!$C$1:$L$1,0))</f>
        <v>897303</v>
      </c>
      <c r="N308" s="14" t="str">
        <f>INDEX(cennik!$C$2:$L$529,MATCH($L308,cennik!$B$2:$B$522,0),MATCH(N$2,cennik!$C$1:$L$1,0))</f>
        <v>szt.</v>
      </c>
      <c r="O308" s="14">
        <f>0.25*SUM(O301:O302)</f>
        <v>8</v>
      </c>
      <c r="P308" s="22">
        <f>INDEX(cennik!$C$2:$L$529,MATCH($L308,cennik!$B$2:$B$522,0),MATCH(P$2,cennik!$C$1:$L$1,0))</f>
        <v>2.4</v>
      </c>
      <c r="Q308" s="22">
        <f>O308*P308</f>
        <v>19.2</v>
      </c>
      <c r="R308" s="23">
        <f t="shared" si="390"/>
        <v>0</v>
      </c>
      <c r="S308" s="22">
        <f t="shared" si="391"/>
        <v>2.4</v>
      </c>
      <c r="T308" s="22">
        <f t="shared" si="392"/>
        <v>19.2</v>
      </c>
      <c r="U308" s="22">
        <f>INDEX(cennik!$C$2:$L$529,MATCH($L308,cennik!$B$2:$B$522,0),MATCH(U$2,cennik!$C$1:$L$1,0))*O308</f>
        <v>0.128</v>
      </c>
      <c r="DR308" s="190">
        <v>20</v>
      </c>
    </row>
    <row r="309" spans="1:122" x14ac:dyDescent="0.25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6" t="s">
        <v>445</v>
      </c>
      <c r="M309" s="14">
        <f>INDEX(cennik!$C$2:$L$529,MATCH($L309,cennik!$B$2:$B$522,0),MATCH(M$2,cennik!$C$1:$L$1,0))</f>
        <v>858022</v>
      </c>
      <c r="N309" s="14" t="str">
        <f>INDEX(cennik!$C$2:$L$529,MATCH($L309,cennik!$B$2:$B$522,0),MATCH(N$2,cennik!$C$1:$L$1,0))</f>
        <v>szt.</v>
      </c>
      <c r="O309" s="14">
        <f>2*O290</f>
        <v>12</v>
      </c>
      <c r="P309" s="22">
        <f>INDEX(cennik!$C$2:$L$529,MATCH($L309,cennik!$B$2:$B$522,0),MATCH(P$2,cennik!$C$1:$L$1,0))</f>
        <v>4.5</v>
      </c>
      <c r="Q309" s="22">
        <f>O309*P309</f>
        <v>54</v>
      </c>
      <c r="R309" s="23">
        <f t="shared" si="390"/>
        <v>0</v>
      </c>
      <c r="S309" s="22">
        <f t="shared" si="391"/>
        <v>4.5</v>
      </c>
      <c r="T309" s="22">
        <f t="shared" si="392"/>
        <v>54</v>
      </c>
      <c r="U309" s="22">
        <f>INDEX(cennik!$C$2:$L$529,MATCH($L309,cennik!$B$2:$B$522,0),MATCH(U$2,cennik!$C$1:$L$1,0))*O309</f>
        <v>0.96</v>
      </c>
      <c r="DR309" s="190">
        <v>24</v>
      </c>
    </row>
    <row r="310" spans="1:122" x14ac:dyDescent="0.25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6" t="s">
        <v>319</v>
      </c>
      <c r="M310" s="14">
        <f>INDEX(cennik!$C$2:$L$529,MATCH($L310,cennik!$B$2:$B$522,0),MATCH(M$2,cennik!$C$1:$L$1,0))</f>
        <v>890111</v>
      </c>
      <c r="N310" s="14" t="str">
        <f>INDEX(cennik!$C$2:$L$529,MATCH($L310,cennik!$B$2:$B$522,0),MATCH(N$2,cennik!$C$1:$L$1,0))</f>
        <v>100 szt.</v>
      </c>
      <c r="O310" s="14">
        <f>ROUNDUP((O286*4)/100,0)</f>
        <v>0</v>
      </c>
      <c r="P310" s="22">
        <f>INDEX(cennik!$C$2:$L$529,MATCH($L310,cennik!$B$2:$B$522,0),MATCH(P$2,cennik!$C$1:$L$1,0))</f>
        <v>174.59</v>
      </c>
      <c r="Q310" s="22">
        <f>O310*P310</f>
        <v>0</v>
      </c>
      <c r="R310" s="23">
        <f t="shared" si="390"/>
        <v>0</v>
      </c>
      <c r="S310" s="22">
        <f t="shared" si="391"/>
        <v>174.59</v>
      </c>
      <c r="T310" s="22">
        <f t="shared" si="392"/>
        <v>0</v>
      </c>
      <c r="U310" s="22">
        <f>INDEX(cennik!$C$2:$L$529,MATCH($L310,cennik!$B$2:$B$522,0),MATCH(U$2,cennik!$C$1:$L$1,0))*O310</f>
        <v>0</v>
      </c>
      <c r="DR310" s="190">
        <v>28</v>
      </c>
    </row>
    <row r="311" spans="1:122" x14ac:dyDescent="0.25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6" t="s">
        <v>722</v>
      </c>
      <c r="M311" s="14">
        <f>INDEX(cennik!$C$2:$L$529,MATCH($L311,cennik!$B$2:$B$522,0),MATCH(M$2,cennik!$C$1:$L$1,0))</f>
        <v>890504</v>
      </c>
      <c r="N311" s="14" t="str">
        <f>INDEX(cennik!$C$2:$L$529,MATCH($L311,cennik!$B$2:$B$522,0),MATCH(N$2,cennik!$C$1:$L$1,0))</f>
        <v>szt.</v>
      </c>
      <c r="O311" s="14">
        <f>SUM(C285:C300)*16</f>
        <v>16</v>
      </c>
      <c r="P311" s="22">
        <f>INDEX(cennik!$C$2:$L$529,MATCH($L311,cennik!$B$2:$B$522,0),MATCH(P$2,cennik!$C$1:$L$1,0))</f>
        <v>4.58</v>
      </c>
      <c r="Q311" s="22">
        <f>O311*P311</f>
        <v>73.28</v>
      </c>
      <c r="R311" s="23">
        <f t="shared" si="390"/>
        <v>0</v>
      </c>
      <c r="S311" s="22">
        <f t="shared" si="391"/>
        <v>4.58</v>
      </c>
      <c r="T311" s="22">
        <f t="shared" si="392"/>
        <v>73.28</v>
      </c>
      <c r="U311" s="22">
        <f>INDEX(cennik!$C$2:$L$529,MATCH($L311,cennik!$B$2:$B$522,0),MATCH(U$2,cennik!$C$1:$L$1,0))*O311</f>
        <v>0.48</v>
      </c>
      <c r="DR311" s="190">
        <v>32</v>
      </c>
    </row>
    <row r="312" spans="1:122" x14ac:dyDescent="0.25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6" t="s">
        <v>316</v>
      </c>
      <c r="M312" s="14"/>
      <c r="N312" s="14"/>
      <c r="O312" s="14"/>
      <c r="P312" s="22"/>
      <c r="Q312" s="22"/>
      <c r="R312" s="23"/>
      <c r="S312" s="22"/>
      <c r="T312" s="22"/>
      <c r="U312" s="22"/>
      <c r="DR312" s="190">
        <v>36</v>
      </c>
    </row>
    <row r="313" spans="1:122" x14ac:dyDescent="0.25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6" t="str">
        <f>IF(E295=AS306,"CWT70H50/3,2NMC",IF(E295=AU306,"CWT70H50/3NMC",IF(E295=AT307,"CWT70H50/2,4NMC",IF(E295=AW308,"CWT70H50/2NMC","-------"))))</f>
        <v>-------</v>
      </c>
      <c r="M313" s="14" t="str">
        <f>INDEX(cennik!$C$2:$L$529,MATCH($L313,cennik!$B$2:$B$522,0),MATCH(M$2,cennik!$C$1:$L$1,0))</f>
        <v>-------</v>
      </c>
      <c r="N313" s="14">
        <f>INDEX(cennik!$C$2:$L$529,MATCH($L313,cennik!$B$2:$B$522,0),MATCH(N$2,cennik!$C$1:$L$1,0))</f>
        <v>0</v>
      </c>
      <c r="O313" s="14">
        <f>E289*2</f>
        <v>0</v>
      </c>
      <c r="P313" s="22">
        <f>INDEX(cennik!$C$2:$L$529,MATCH($L313,cennik!$B$2:$B$522,0),MATCH(P$2,cennik!$C$1:$L$1,0))</f>
        <v>0</v>
      </c>
      <c r="Q313" s="22">
        <f>O313*P313</f>
        <v>0</v>
      </c>
      <c r="R313" s="23">
        <f t="shared" si="390"/>
        <v>0</v>
      </c>
      <c r="S313" s="22">
        <f t="shared" si="391"/>
        <v>0</v>
      </c>
      <c r="T313" s="22">
        <f t="shared" si="392"/>
        <v>0</v>
      </c>
      <c r="U313" s="22">
        <f>INDEX(cennik!$C$2:$L$529,MATCH($L313,cennik!$B$2:$B$522,0),MATCH(U$2,cennik!$C$1:$L$1,0))*O313</f>
        <v>0</v>
      </c>
      <c r="DR313" s="190">
        <v>40</v>
      </c>
    </row>
    <row r="314" spans="1:122" x14ac:dyDescent="0.25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6" t="s">
        <v>591</v>
      </c>
      <c r="M314" s="14">
        <f>INDEX(cennik!$C$2:$L$529,MATCH($L314,cennik!$B$2:$B$522,0),MATCH(M$2,cennik!$C$1:$L$1,0))</f>
        <v>867810</v>
      </c>
      <c r="N314" s="14" t="str">
        <f>INDEX(cennik!$C$2:$L$529,MATCH($L314,cennik!$B$2:$B$522,0),MATCH(N$2,cennik!$C$1:$L$1,0))</f>
        <v>szt.</v>
      </c>
      <c r="O314" s="14">
        <f>E289*4</f>
        <v>0</v>
      </c>
      <c r="P314" s="22">
        <f>INDEX(cennik!$C$2:$L$529,MATCH($L314,cennik!$B$2:$B$522,0),MATCH(P$2,cennik!$C$1:$L$1,0))</f>
        <v>50.61</v>
      </c>
      <c r="Q314" s="22">
        <f>O314*P314</f>
        <v>0</v>
      </c>
      <c r="R314" s="23">
        <f t="shared" si="390"/>
        <v>0</v>
      </c>
      <c r="S314" s="22">
        <f t="shared" si="391"/>
        <v>50.61</v>
      </c>
      <c r="T314" s="22">
        <f t="shared" si="392"/>
        <v>0</v>
      </c>
      <c r="U314" s="22">
        <f>INDEX(cennik!$C$2:$L$529,MATCH($L314,cennik!$B$2:$B$522,0),MATCH(U$2,cennik!$C$1:$L$1,0))*O314</f>
        <v>0</v>
      </c>
      <c r="AO314" s="192" t="s">
        <v>318</v>
      </c>
      <c r="DR314" s="190">
        <v>44</v>
      </c>
    </row>
    <row r="315" spans="1:122" x14ac:dyDescent="0.25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4"/>
      <c r="N315" s="14"/>
      <c r="O315" s="14"/>
      <c r="P315" s="14"/>
      <c r="Q315" s="14"/>
      <c r="R315" s="14"/>
      <c r="S315" s="14"/>
      <c r="T315" s="22">
        <f>SUM(T286:T314)</f>
        <v>4906.76</v>
      </c>
      <c r="U315" s="22">
        <f>SUM(U286:U314)</f>
        <v>326.01800000000003</v>
      </c>
      <c r="AO315" s="21">
        <f>(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gt;=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+1,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lt;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+2,0)))</f>
        <v>2</v>
      </c>
      <c r="DR315" s="190">
        <v>48</v>
      </c>
    </row>
    <row r="316" spans="1:122" x14ac:dyDescent="0.25">
      <c r="AO316" s="21">
        <f t="shared" ref="AO316:AO330" si="395">(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gt;=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+1,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lt;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+2,0)))</f>
        <v>1</v>
      </c>
      <c r="AZ316" s="21"/>
      <c r="BA316" s="21" t="s">
        <v>314</v>
      </c>
      <c r="BB316" s="21" t="s">
        <v>312</v>
      </c>
      <c r="BC316" s="21" t="s">
        <v>309</v>
      </c>
      <c r="BD316" s="21" t="s">
        <v>313</v>
      </c>
      <c r="DR316" s="190">
        <v>52</v>
      </c>
    </row>
    <row r="317" spans="1:122" x14ac:dyDescent="0.25">
      <c r="AO317" s="21">
        <f t="shared" si="395"/>
        <v>1</v>
      </c>
      <c r="AZ317" s="21">
        <v>10</v>
      </c>
      <c r="BA317" s="21" t="s">
        <v>1308</v>
      </c>
      <c r="BB317" s="21" t="s">
        <v>1309</v>
      </c>
      <c r="BC317" s="21" t="s">
        <v>1310</v>
      </c>
      <c r="BD317" s="21" t="s">
        <v>1311</v>
      </c>
    </row>
    <row r="318" spans="1:122" ht="51.75" x14ac:dyDescent="0.25">
      <c r="A318" s="3" t="s">
        <v>443</v>
      </c>
      <c r="B318" s="3"/>
      <c r="C318" s="3" t="s">
        <v>444</v>
      </c>
      <c r="D318" s="9"/>
      <c r="E318" s="9"/>
      <c r="F318" s="9"/>
      <c r="G318" s="9"/>
      <c r="H318" s="9"/>
      <c r="I318" s="9"/>
      <c r="J318" s="9"/>
      <c r="K318" s="9"/>
      <c r="L318" s="360" t="str" cm="1">
        <f t="array" ref="L318">INDEX((BA317:BD317),,MATCH(E322,BA316:BD316,0))</f>
        <v>KONSTRUKCJA W-V2K3-WZ-10°</v>
      </c>
      <c r="M318" s="360"/>
      <c r="N318" s="360"/>
      <c r="O318" s="360"/>
      <c r="P318" s="360"/>
      <c r="Q318" s="360"/>
      <c r="R318" s="360"/>
      <c r="S318" s="360"/>
      <c r="T318" s="360"/>
      <c r="U318" s="360"/>
      <c r="W318" s="27"/>
      <c r="X318" s="27"/>
      <c r="Y318" s="27"/>
      <c r="Z318" s="27"/>
      <c r="AA318" s="186" t="s">
        <v>311</v>
      </c>
      <c r="AB318" s="192" t="s">
        <v>318</v>
      </c>
      <c r="AO318" s="21">
        <f t="shared" si="395"/>
        <v>1</v>
      </c>
      <c r="AP318" s="21"/>
      <c r="AQ318" s="21"/>
      <c r="AR318" s="21"/>
      <c r="AS318" s="21"/>
      <c r="AT318" s="21"/>
      <c r="AU318" s="21"/>
      <c r="BG318" s="192"/>
    </row>
    <row r="319" spans="1:122" x14ac:dyDescent="0.25">
      <c r="A319" s="8">
        <v>12</v>
      </c>
      <c r="B319" s="5" t="s">
        <v>116</v>
      </c>
      <c r="C319" s="8">
        <v>1</v>
      </c>
      <c r="D319" s="9"/>
      <c r="E319" s="1"/>
      <c r="F319" s="9"/>
      <c r="G319" s="9"/>
      <c r="H319" s="9"/>
      <c r="I319" s="9"/>
      <c r="J319" s="9"/>
      <c r="K319" s="9"/>
      <c r="L319" s="5" t="s">
        <v>103</v>
      </c>
      <c r="M319" s="5" t="s">
        <v>104</v>
      </c>
      <c r="N319" s="5" t="s">
        <v>107</v>
      </c>
      <c r="O319" s="5" t="s">
        <v>290</v>
      </c>
      <c r="P319" s="5" t="s">
        <v>446</v>
      </c>
      <c r="Q319" s="5" t="s">
        <v>448</v>
      </c>
      <c r="R319" s="5" t="s">
        <v>409</v>
      </c>
      <c r="S319" s="5" t="s">
        <v>447</v>
      </c>
      <c r="T319" s="5" t="s">
        <v>449</v>
      </c>
      <c r="U319" s="5" t="s">
        <v>106</v>
      </c>
      <c r="W319" s="27"/>
      <c r="X319" s="27"/>
      <c r="Y319" s="27"/>
      <c r="Z319" s="27"/>
      <c r="AA319" s="21">
        <f>(VLOOKUP(AO315,$AY$5:$BA$9,3,1))*C319</f>
        <v>2</v>
      </c>
      <c r="AB319" s="21">
        <f>(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gt;=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+1,IF(((INT((((A319/4)*(IF($G$320=$AE$24,$AF$24,IF($G$320=$AE$25,$AF$25,IF($G$320=$AE$26,$AF$26,IF($G$320=$AE$27,$AF$27,IF($G$320=$AE$28,$AF$28,IF($G$320=$AE$29,$AF$29,IF($G$320=$AE$30,$AF$30,IF($G$320=$AE$31,$AF$31,IF($G$320=$AE$32,$AF$32,0)))))))))))+(((A319/4)-1)*20))/$E$329))*$E$329)+1000&lt;((A319/4)*(IF($G$320=$AE$24,$AF$24,IF($G$320=$AE$25,$AF$25,IF($G$320=$AE$26,$AF$26,IF($G$320=$AE$27,$AF$27,IF($G$320=$AE$28,$AF$28,IF($G$320=$AE$29,$AF$29,IF($G$320=$AE$30,$AF$30,IF($G$320=$AE$31,$AF$31,IF($G$320=$AE$32,$AF$32,0)))))))))))+(((A319/4)-1)*20),(INT((((A319/4)*(IF($G$320=$AE$24,$AF$24,IF($G$320=$AE$25,$AF$25,IF($G$320=$AE$26,$AF$26,IF($G$320=$AE$27,$AF$27,IF($G$320=$AE$28,$AF$28,IF($G$320=$AE$29,$AF$29,IF($G$320=$AE$30,$AF$30,IF($G$320=$AE$31,$AF$31,IF($G$320=$AE$32,$AF$32,0)))))))))))+(((A319/4)-1)*20))/$E$329))+2,0)))*C319</f>
        <v>2</v>
      </c>
      <c r="AC319" s="192"/>
      <c r="AO319" s="21">
        <f t="shared" si="395"/>
        <v>1</v>
      </c>
      <c r="AP319" s="186" t="s">
        <v>1307</v>
      </c>
      <c r="AQ319" s="21"/>
      <c r="AR319" s="21"/>
      <c r="AS319" s="21"/>
      <c r="AT319" s="21"/>
      <c r="AU319" s="21"/>
      <c r="BG319" s="21"/>
      <c r="BJ319" s="180" t="s">
        <v>766</v>
      </c>
    </row>
    <row r="320" spans="1:122" x14ac:dyDescent="0.25">
      <c r="A320" s="8"/>
      <c r="B320" s="5" t="s">
        <v>116</v>
      </c>
      <c r="C320" s="8"/>
      <c r="D320" s="6" t="s">
        <v>118</v>
      </c>
      <c r="E320" s="8" t="s">
        <v>111</v>
      </c>
      <c r="F320" s="5" t="s">
        <v>116</v>
      </c>
      <c r="G320" s="8" t="s">
        <v>480</v>
      </c>
      <c r="H320" s="5" t="s">
        <v>116</v>
      </c>
      <c r="I320" s="8">
        <v>35</v>
      </c>
      <c r="J320" s="5" t="s">
        <v>119</v>
      </c>
      <c r="K320" s="9"/>
      <c r="L320" s="7" t="str">
        <f>IF(E322=$AC$5,"-------",IF(E322=$AC$6,"-------",IF(E322=$AC$7,"-------",IF(E322=$AC$8,IF(E330=$DS$10,"GSW76X1600N",IF(E330=$DS$11,"GSW76X2200N","")),0))))</f>
        <v>-------</v>
      </c>
      <c r="M320" s="14" t="str">
        <f>INDEX(cennik!$C$2:$L$529,MATCH($L320,cennik!$B$2:$B$522,0),MATCH(M$2,cennik!$C$1:$L$1,0))</f>
        <v>-------</v>
      </c>
      <c r="N320" s="14">
        <f>INDEX(cennik!$C$2:$L$529,MATCH($L320,cennik!$B$2:$B$522,0),MATCH(N$2,cennik!$C$1:$L$1,0))</f>
        <v>0</v>
      </c>
      <c r="O320" s="14">
        <f>IF(L320="-------",0,SUM(O322:O323))</f>
        <v>0</v>
      </c>
      <c r="P320" s="22">
        <f>INDEX(cennik!$C$2:$L$529,MATCH($L320,cennik!$B$2:$B$522,0),MATCH(P$2,cennik!$C$1:$L$1,0))</f>
        <v>0</v>
      </c>
      <c r="Q320" s="22">
        <f>O320*P320</f>
        <v>0</v>
      </c>
      <c r="R320" s="23">
        <f>$E$324</f>
        <v>0</v>
      </c>
      <c r="S320" s="22">
        <f>P320*((100-$E$324)/100)</f>
        <v>0</v>
      </c>
      <c r="T320" s="22">
        <f>O320*S320</f>
        <v>0</v>
      </c>
      <c r="U320" s="22">
        <f>INDEX(cennik!$C$2:$L$529,MATCH($L320,cennik!$B$2:$B$522,0),MATCH(U$2,cennik!$C$1:$L$1,0))*O320</f>
        <v>0</v>
      </c>
      <c r="W320" s="20" t="s">
        <v>18</v>
      </c>
      <c r="X320" s="21" t="s">
        <v>217</v>
      </c>
      <c r="Y320" s="21" t="s">
        <v>216</v>
      </c>
      <c r="Z320" s="21" t="s">
        <v>17</v>
      </c>
      <c r="AA320" s="21">
        <f>(VLOOKUP(AO316,$AY$5:$BA$9,3,1))*C320</f>
        <v>0</v>
      </c>
      <c r="AB320" s="21">
        <f t="shared" ref="AB320:AB334" si="396">(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gt;=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+1,IF(((INT((((A320/4)*(IF($G$320=$AE$24,$AF$24,IF($G$320=$AE$25,$AF$25,IF($G$320=$AE$26,$AF$26,IF($G$320=$AE$27,$AF$27,IF($G$320=$AE$28,$AF$28,IF($G$320=$AE$29,$AF$29,IF($G$320=$AE$30,$AF$30,IF($G$320=$AE$31,$AF$31,IF($G$320=$AE$32,$AF$32,0)))))))))))+(((A320/4)-1)*20))/$E$329))*$E$329)+1000&lt;((A320/4)*(IF($G$320=$AE$24,$AF$24,IF($G$320=$AE$25,$AF$25,IF($G$320=$AE$26,$AF$26,IF($G$320=$AE$27,$AF$27,IF($G$320=$AE$28,$AF$28,IF($G$320=$AE$29,$AF$29,IF($G$320=$AE$30,$AF$30,IF($G$320=$AE$31,$AF$31,IF($G$320=$AE$32,$AF$32,0)))))))))))+(((A320/4)-1)*20),(INT((((A320/4)*(IF($G$320=$AE$24,$AF$24,IF($G$320=$AE$25,$AF$25,IF($G$320=$AE$26,$AF$26,IF($G$320=$AE$27,$AF$27,IF($G$320=$AE$28,$AF$28,IF($G$320=$AE$29,$AF$29,IF($G$320=$AE$30,$AF$30,IF($G$320=$AE$31,$AF$31,IF($G$320=$AE$32,$AF$32,0)))))))))))+(((A320/4)-1)*20))/$E$329))+2,0)))*C320</f>
        <v>0</v>
      </c>
      <c r="AC320" s="21"/>
      <c r="AO320" s="21">
        <f t="shared" si="395"/>
        <v>1</v>
      </c>
      <c r="AP320" s="21" t="s">
        <v>717</v>
      </c>
      <c r="AQ320" s="21" t="s">
        <v>1157</v>
      </c>
      <c r="AR320" s="21">
        <v>2</v>
      </c>
      <c r="AS320" s="21" t="s">
        <v>1022</v>
      </c>
      <c r="AT320" s="21">
        <v>4</v>
      </c>
      <c r="AU320" s="21">
        <v>5</v>
      </c>
      <c r="BG320" s="21"/>
    </row>
    <row r="321" spans="1:159" x14ac:dyDescent="0.25">
      <c r="A321" s="8"/>
      <c r="B321" s="5" t="s">
        <v>116</v>
      </c>
      <c r="C321" s="8"/>
      <c r="D321" s="6" t="s">
        <v>124</v>
      </c>
      <c r="E321" s="8" t="s">
        <v>125</v>
      </c>
      <c r="F321" s="5"/>
      <c r="G321" s="5"/>
      <c r="H321" s="5"/>
      <c r="I321" s="5"/>
      <c r="J321" s="5"/>
      <c r="K321" s="9"/>
      <c r="L321" s="7" t="str">
        <f>IF(E322=$AC$5,"-------",IF(E322=$AC$6,"-------",IF(E322=$AC$7,"PCB70",IF(E322=$AC$8,"PCS70",0))))</f>
        <v>PCB70</v>
      </c>
      <c r="M321" s="14">
        <f>INDEX(cennik!$C$2:$L$529,MATCH($L321,cennik!$B$2:$B$522,0),MATCH(M$2,cennik!$C$1:$L$1,0))</f>
        <v>751218</v>
      </c>
      <c r="N321" s="14" t="str">
        <f>INDEX(cennik!$C$2:$L$529,MATCH($L321,cennik!$B$2:$B$522,0),MATCH(N$2,cennik!$C$1:$L$1,0))</f>
        <v>szt.</v>
      </c>
      <c r="O321" s="14">
        <f>IF(E322=AC7,SUM(O322:O323),IF(E322=AC8,SUM(O322:O323),IF(E322=AC5,0,IF(E322=AC6,0,0))))</f>
        <v>6</v>
      </c>
      <c r="P321" s="22">
        <f>INDEX(cennik!$C$2:$L$529,MATCH($L321,cennik!$B$2:$B$522,0),MATCH(P$2,cennik!$C$1:$L$1,0))</f>
        <v>116.38</v>
      </c>
      <c r="Q321" s="22">
        <f>O321*P321</f>
        <v>698.28</v>
      </c>
      <c r="R321" s="23">
        <f t="shared" ref="R321:R348" si="397">$E$324</f>
        <v>0</v>
      </c>
      <c r="S321" s="22">
        <f>P321*((100-$E$324)/100)</f>
        <v>116.38</v>
      </c>
      <c r="T321" s="22">
        <f t="shared" ref="T321:T345" si="398">O321*S321</f>
        <v>698.28</v>
      </c>
      <c r="U321" s="22">
        <f>INDEX(cennik!$C$2:$L$529,MATCH($L321,cennik!$B$2:$B$522,0),MATCH(U$2,cennik!$C$1:$L$1,0))*O321</f>
        <v>25.92</v>
      </c>
      <c r="W321" s="189">
        <f>INDEX(($BI$323:$BU$327,$BI$331:$BU$335,$CI$323:$CU$327,$CI$331:$CU$335,$DP$323:$EB$327,$DP$330:$EB$334,$EQ$323:$FC$327,$EQ$330:$FC$334,$EQ$337:$FC$341),MATCH($L$334,$BH$323:$BH$327,0),MATCH($A319,$BI$322:$BU$322,0),MATCH($G$320,$AE$24:$AE$32,0))*$C319</f>
        <v>0</v>
      </c>
      <c r="X321" s="189">
        <f>INDEX(($BI$323:$BU$327,$BI$331:$BU$335,$CI$323:$CU$327,$CI$331:$CU$335,$DP$323:$EB$327,$DP$330:$EB$334,$EQ$323:$FC$327,$EQ$330:$FC$334,$EQ$337:$FC$341),MATCH($L$331,$BH$323:$BH$327,0),MATCH($A319,$BI$322:$BU$322,0),MATCH($G$320,$AE$24:$AE$32,0))*$C319</f>
        <v>0</v>
      </c>
      <c r="Y321" s="189">
        <f>INDEX(($BI$323:$BU$327,$BI$331:$BU$335,$CI$323:$CU$327,$CI$331:$CU$335,$DP$323:$EB$327,$DP$330:$EB$334,$EQ$323:$FC$327,$EQ$330:$FC$334,$EQ$337:$FC$341),MATCH($L$332,$BH$323:$BH$327,0),MATCH($A319,$BI$322:$BU$322,0),MATCH($G$320,$AE$24:$AE$32,0))*$C319</f>
        <v>8</v>
      </c>
      <c r="Z321" s="189">
        <f>INDEX(($BI$323:$BU$327,$BI$331:$BU$335,$CI$323:$CU$327,$CI$331:$CU$335,$DP$323:$EB$327,$DP$330:$EB$334,$EQ$323:$FC$327,$EQ$330:$FC$334,$EQ$337:$FC$341),MATCH($L$333,$BH$323:$BH$327,0),MATCH($A319,$BI$322:$BU$322,0),MATCH($G$320,$AE$24:$AE$32,0))*$C319</f>
        <v>0</v>
      </c>
      <c r="AA321" s="21">
        <f t="shared" ref="AA321:AA334" si="399">(VLOOKUP(AO317,$AY$5:$BA$9,3,1))*C321</f>
        <v>0</v>
      </c>
      <c r="AB321" s="21">
        <f t="shared" si="396"/>
        <v>0</v>
      </c>
      <c r="AC321" s="21"/>
      <c r="AO321" s="21">
        <f t="shared" si="395"/>
        <v>1</v>
      </c>
      <c r="AP321" s="21">
        <v>1</v>
      </c>
      <c r="AQ321" s="21">
        <v>2900</v>
      </c>
      <c r="AR321" s="21">
        <v>2900</v>
      </c>
      <c r="AS321" s="21">
        <v>2700</v>
      </c>
      <c r="AT321" s="21">
        <v>2700</v>
      </c>
      <c r="AU321" s="21" t="s">
        <v>719</v>
      </c>
      <c r="BG321" s="21"/>
    </row>
    <row r="322" spans="1:159" x14ac:dyDescent="0.25">
      <c r="A322" s="8"/>
      <c r="B322" s="5" t="s">
        <v>116</v>
      </c>
      <c r="C322" s="8"/>
      <c r="D322" s="6" t="s">
        <v>307</v>
      </c>
      <c r="E322" s="8" t="s">
        <v>309</v>
      </c>
      <c r="F322" s="5"/>
      <c r="G322" s="5"/>
      <c r="H322" s="5"/>
      <c r="I322" s="5"/>
      <c r="J322" s="5"/>
      <c r="K322" s="9"/>
      <c r="L322" s="6" t="str">
        <f>IF(E322=$AC$5,"CWT70H50/3NMC",IF(E322=$AC$6,"CWT70H50/2NMC",IF(E322=$AC$7,"CWT70H50/1NMC",IF(E322=$AC$8,"CWT70H50/1NMC",0))))</f>
        <v>CWT70H50/1NMC</v>
      </c>
      <c r="M322" s="14">
        <f>INDEX(cennik!$C$2:$L$529,MATCH($L322,cennik!$B$2:$B$522,0),MATCH(M$2,cennik!$C$1:$L$1,0))</f>
        <v>867810</v>
      </c>
      <c r="N322" s="14" t="str">
        <f>INDEX(cennik!$C$2:$L$529,MATCH($L322,cennik!$B$2:$B$522,0),MATCH(N$2,cennik!$C$1:$L$1,0))</f>
        <v>szt.</v>
      </c>
      <c r="O322" s="41">
        <f>SUM(AB319:AB334)*2</f>
        <v>4</v>
      </c>
      <c r="P322" s="22">
        <f>INDEX(cennik!$C$2:$L$529,MATCH($L322,cennik!$B$2:$B$522,0),MATCH(P$2,cennik!$C$1:$L$1,0))</f>
        <v>50.61</v>
      </c>
      <c r="Q322" s="22">
        <f t="shared" ref="Q322:Q323" si="400">O322*P322</f>
        <v>202.44</v>
      </c>
      <c r="R322" s="23">
        <f t="shared" si="397"/>
        <v>0</v>
      </c>
      <c r="S322" s="22">
        <f t="shared" ref="S322:S348" si="401">P322*((100-$E$324)/100)</f>
        <v>50.61</v>
      </c>
      <c r="T322" s="22">
        <f t="shared" si="398"/>
        <v>202.44</v>
      </c>
      <c r="U322" s="22">
        <f>INDEX(cennik!$C$2:$L$529,MATCH($L322,cennik!$B$2:$B$522,0),MATCH(U$2,cennik!$C$1:$L$1,0))*O322</f>
        <v>15.04</v>
      </c>
      <c r="W322" s="189">
        <f>INDEX(($BI$323:$BU$327,$BI$331:$BU$335,$CI$323:$CU$327,$CI$331:$CU$335,$DP$323:$EB$327,$DP$330:$EB$334,$EQ$323:$FC$327,$EQ$330:$FC$334,$EQ$337:$FC$341),MATCH($L$334,$BH$323:$BH$327,0),MATCH($A320,$BI$322:$BU$322,0),MATCH($G$320,$AE$24:$AE$32,0))*$C320</f>
        <v>0</v>
      </c>
      <c r="X322" s="189">
        <f>INDEX(($BI$323:$BU$327,$BI$331:$BU$335,$CI$323:$CU$327,$CI$331:$CU$335,$DP$323:$EB$327,$DP$330:$EB$334,$EQ$323:$FC$327,$EQ$330:$FC$334,$EQ$337:$FC$341),MATCH($L$331,$BH$323:$BH$327,0),MATCH($A320,$BI$322:$BU$322,0),MATCH($G$320,$AE$24:$AE$32,0))*$C320</f>
        <v>0</v>
      </c>
      <c r="Y322" s="189">
        <f>INDEX(($BI$323:$BU$327,$BI$331:$BU$335,$CI$323:$CU$327,$CI$331:$CU$335,$DP$323:$EB$327,$DP$330:$EB$334,$EQ$323:$FC$327,$EQ$330:$FC$334,$EQ$337:$FC$341),MATCH($L$332,$BH$323:$BH$327,0),MATCH($A320,$BI$322:$BU$322,0),MATCH($G$320,$AE$24:$AE$32,0))*$C320</f>
        <v>0</v>
      </c>
      <c r="Z322" s="189">
        <f>INDEX(($BI$323:$BU$327,$BI$331:$BU$335,$CI$323:$CU$327,$CI$331:$CU$335,$DP$323:$EB$327,$DP$330:$EB$334,$EQ$323:$FC$327,$EQ$330:$FC$334,$EQ$337:$FC$341),MATCH($L$333,$BH$323:$BH$327,0),MATCH($A320,$BI$322:$BU$322,0),MATCH($G$320,$AE$24:$AE$32,0))*$C320</f>
        <v>0</v>
      </c>
      <c r="AA322" s="21">
        <f t="shared" si="399"/>
        <v>0</v>
      </c>
      <c r="AB322" s="21">
        <f t="shared" si="396"/>
        <v>0</v>
      </c>
      <c r="AC322" s="21"/>
      <c r="AO322" s="21">
        <f t="shared" si="395"/>
        <v>1</v>
      </c>
      <c r="AP322" s="21">
        <v>2</v>
      </c>
      <c r="AQ322" s="21" t="s">
        <v>719</v>
      </c>
      <c r="AR322" s="21">
        <v>2000</v>
      </c>
      <c r="AS322" s="21">
        <v>2000</v>
      </c>
      <c r="AT322" s="21" t="s">
        <v>719</v>
      </c>
      <c r="AU322" s="21" t="s">
        <v>719</v>
      </c>
      <c r="BG322" s="21"/>
      <c r="BH322" s="180" t="s">
        <v>114</v>
      </c>
      <c r="BI322" s="180">
        <v>0</v>
      </c>
      <c r="BJ322" s="180">
        <v>8</v>
      </c>
      <c r="BK322" s="180">
        <v>12</v>
      </c>
      <c r="BL322" s="180">
        <v>16</v>
      </c>
      <c r="BM322" s="180">
        <v>20</v>
      </c>
      <c r="BN322" s="180">
        <v>24</v>
      </c>
      <c r="BO322" s="180">
        <v>28</v>
      </c>
      <c r="BP322" s="180">
        <v>32</v>
      </c>
      <c r="BQ322" s="180">
        <v>36</v>
      </c>
      <c r="BR322" s="180">
        <v>40</v>
      </c>
      <c r="BS322" s="180">
        <v>44</v>
      </c>
      <c r="BT322" s="180">
        <v>48</v>
      </c>
      <c r="BU322" s="180">
        <v>52</v>
      </c>
      <c r="CH322" s="180" t="s">
        <v>474</v>
      </c>
      <c r="CI322" s="180">
        <v>0</v>
      </c>
      <c r="CJ322" s="180">
        <v>8</v>
      </c>
      <c r="CK322" s="180">
        <v>12</v>
      </c>
      <c r="CL322" s="180">
        <v>16</v>
      </c>
      <c r="CM322" s="180">
        <v>20</v>
      </c>
      <c r="CN322" s="180">
        <v>24</v>
      </c>
      <c r="CO322" s="180">
        <v>28</v>
      </c>
      <c r="CP322" s="180">
        <v>32</v>
      </c>
      <c r="CQ322" s="180">
        <v>36</v>
      </c>
      <c r="CR322" s="180">
        <v>40</v>
      </c>
      <c r="CS322" s="180">
        <v>44</v>
      </c>
      <c r="CT322" s="180">
        <v>48</v>
      </c>
      <c r="CU322" s="180">
        <v>52</v>
      </c>
      <c r="DO322" s="180" t="s">
        <v>713</v>
      </c>
      <c r="DP322" s="180">
        <v>0</v>
      </c>
      <c r="DQ322" s="190">
        <v>8</v>
      </c>
      <c r="DR322" s="190">
        <v>12</v>
      </c>
      <c r="DS322" s="190">
        <v>16</v>
      </c>
      <c r="DT322" s="180">
        <v>20</v>
      </c>
      <c r="DU322" s="180">
        <v>24</v>
      </c>
      <c r="DV322" s="180">
        <v>28</v>
      </c>
      <c r="DW322" s="180">
        <v>32</v>
      </c>
      <c r="DX322" s="180">
        <v>36</v>
      </c>
      <c r="DY322" s="180">
        <v>40</v>
      </c>
      <c r="DZ322" s="180">
        <v>44</v>
      </c>
      <c r="EA322" s="180">
        <v>48</v>
      </c>
      <c r="EB322" s="180">
        <v>52</v>
      </c>
      <c r="EP322" s="180" t="s">
        <v>715</v>
      </c>
      <c r="EQ322" s="180">
        <v>0</v>
      </c>
      <c r="ER322" s="180">
        <v>8</v>
      </c>
      <c r="ES322" s="180">
        <v>12</v>
      </c>
      <c r="ET322" s="180">
        <v>16</v>
      </c>
      <c r="EU322" s="180">
        <v>20</v>
      </c>
      <c r="EV322" s="180">
        <v>24</v>
      </c>
      <c r="EW322" s="180">
        <v>28</v>
      </c>
      <c r="EX322" s="180">
        <v>32</v>
      </c>
      <c r="EY322" s="180">
        <v>36</v>
      </c>
      <c r="EZ322" s="180">
        <v>40</v>
      </c>
      <c r="FA322" s="180">
        <v>44</v>
      </c>
      <c r="FB322" s="180">
        <v>48</v>
      </c>
      <c r="FC322" s="180">
        <v>52</v>
      </c>
    </row>
    <row r="323" spans="1:159" x14ac:dyDescent="0.25">
      <c r="A323" s="8"/>
      <c r="B323" s="5" t="s">
        <v>116</v>
      </c>
      <c r="C323" s="8"/>
      <c r="D323" s="6" t="s">
        <v>315</v>
      </c>
      <c r="E323" s="8">
        <v>0</v>
      </c>
      <c r="F323" s="5"/>
      <c r="G323" s="5"/>
      <c r="H323" s="5"/>
      <c r="I323" s="5"/>
      <c r="J323" s="5" t="s">
        <v>412</v>
      </c>
      <c r="K323" s="9"/>
      <c r="L323" s="6" t="str">
        <f>IF(E322=$AC$5,"CWT70H50/3,4NMC",IF(E322=$AC$6,"CWT70H50/2,4NMC",IF(E322=$AC$7,"CWT70H50/1,5NMC",IF(E322=$AC$8,"CWT70H50/1,5NMC",0))))</f>
        <v>CWT70H50/1,5NMC</v>
      </c>
      <c r="M323" s="14">
        <f>INDEX(cennik!$C$2:$L$529,MATCH($L323,cennik!$B$2:$B$522,0),MATCH(M$2,cennik!$C$1:$L$1,0))</f>
        <v>857815</v>
      </c>
      <c r="N323" s="14" t="str">
        <f>INDEX(cennik!$C$2:$L$529,MATCH($L323,cennik!$B$2:$B$522,0),MATCH(N$2,cennik!$C$1:$L$1,0))</f>
        <v>szt.</v>
      </c>
      <c r="O323" s="14">
        <f>O322/2</f>
        <v>2</v>
      </c>
      <c r="P323" s="22">
        <f>INDEX(cennik!$C$2:$L$529,MATCH($L323,cennik!$B$2:$B$522,0),MATCH(P$2,cennik!$C$1:$L$1,0))</f>
        <v>75.92</v>
      </c>
      <c r="Q323" s="22">
        <f t="shared" si="400"/>
        <v>151.84</v>
      </c>
      <c r="R323" s="23">
        <f t="shared" si="397"/>
        <v>0</v>
      </c>
      <c r="S323" s="22">
        <f t="shared" si="401"/>
        <v>75.92</v>
      </c>
      <c r="T323" s="22">
        <f t="shared" si="398"/>
        <v>151.84</v>
      </c>
      <c r="U323" s="22">
        <f>INDEX(cennik!$C$2:$L$529,MATCH($L323,cennik!$B$2:$B$522,0),MATCH(U$2,cennik!$C$1:$L$1,0))*O323</f>
        <v>11.28</v>
      </c>
      <c r="W323" s="189">
        <f>INDEX(($BI$323:$BU$327,$BI$331:$BU$335,$CI$323:$CU$327,$CI$331:$CU$335,$DP$323:$EB$327,$DP$330:$EB$334,$EQ$323:$FC$327,$EQ$330:$FC$334,$EQ$337:$FC$341),MATCH($L$334,$BH$323:$BH$327,0),MATCH($A321,$BI$322:$BU$322,0),MATCH($G$320,$AE$24:$AE$32,0))*$C321</f>
        <v>0</v>
      </c>
      <c r="X323" s="189">
        <f>INDEX(($BI$323:$BU$327,$BI$331:$BU$335,$CI$323:$CU$327,$CI$331:$CU$335,$DP$323:$EB$327,$DP$330:$EB$334,$EQ$323:$FC$327,$EQ$330:$FC$334,$EQ$337:$FC$341),MATCH($L$331,$BH$323:$BH$327,0),MATCH($A321,$BI$322:$BU$322,0),MATCH($G$320,$AE$24:$AE$32,0))*$C321</f>
        <v>0</v>
      </c>
      <c r="Y323" s="189">
        <f>INDEX(($BI$323:$BU$327,$BI$331:$BU$335,$CI$323:$CU$327,$CI$331:$CU$335,$DP$323:$EB$327,$DP$330:$EB$334,$EQ$323:$FC$327,$EQ$330:$FC$334,$EQ$337:$FC$341),MATCH($L$332,$BH$323:$BH$327,0),MATCH($A321,$BI$322:$BU$322,0),MATCH($G$320,$AE$24:$AE$32,0))*$C321</f>
        <v>0</v>
      </c>
      <c r="Z323" s="189">
        <f>INDEX(($BI$323:$BU$327,$BI$331:$BU$335,$CI$323:$CU$327,$CI$331:$CU$335,$DP$323:$EB$327,$DP$330:$EB$334,$EQ$323:$FC$327,$EQ$330:$FC$334,$EQ$337:$FC$341),MATCH($L$333,$BH$323:$BH$327,0),MATCH($A321,$BI$322:$BU$322,0),MATCH($G$320,$AE$24:$AE$32,0))*$C321</f>
        <v>0</v>
      </c>
      <c r="AA323" s="21">
        <f t="shared" si="399"/>
        <v>0</v>
      </c>
      <c r="AB323" s="21">
        <f t="shared" si="396"/>
        <v>0</v>
      </c>
      <c r="AC323" s="21"/>
      <c r="AO323" s="21">
        <f t="shared" si="395"/>
        <v>1</v>
      </c>
      <c r="AP323" s="21" t="s">
        <v>725</v>
      </c>
      <c r="AQ323" s="21">
        <v>2700</v>
      </c>
      <c r="AR323" s="21" t="s">
        <v>719</v>
      </c>
      <c r="AS323" s="21">
        <v>2000</v>
      </c>
      <c r="AT323" s="21" t="s">
        <v>719</v>
      </c>
      <c r="AU323" s="21">
        <v>1000</v>
      </c>
      <c r="BG323" s="21"/>
      <c r="BH323" s="180" t="s">
        <v>586</v>
      </c>
      <c r="BI323" s="180">
        <v>0</v>
      </c>
      <c r="BJ323" s="180">
        <v>0</v>
      </c>
      <c r="BK323" s="180">
        <f>EM85*2</f>
        <v>0</v>
      </c>
      <c r="BL323" s="180">
        <f t="shared" ref="BL323:BU327" si="402">EN85*2</f>
        <v>0</v>
      </c>
      <c r="BM323" s="180">
        <f t="shared" si="402"/>
        <v>8</v>
      </c>
      <c r="BN323" s="180">
        <f t="shared" si="402"/>
        <v>0</v>
      </c>
      <c r="BO323" s="180">
        <f t="shared" si="402"/>
        <v>0</v>
      </c>
      <c r="BP323" s="180">
        <f t="shared" si="402"/>
        <v>0</v>
      </c>
      <c r="BQ323" s="180">
        <f t="shared" si="402"/>
        <v>0</v>
      </c>
      <c r="BR323" s="180">
        <f t="shared" si="402"/>
        <v>0</v>
      </c>
      <c r="BS323" s="180">
        <f t="shared" si="402"/>
        <v>0</v>
      </c>
      <c r="BT323" s="180">
        <f t="shared" si="402"/>
        <v>0</v>
      </c>
      <c r="BU323" s="180">
        <f t="shared" si="402"/>
        <v>0</v>
      </c>
      <c r="CH323" s="180" t="s">
        <v>586</v>
      </c>
      <c r="CI323" s="180">
        <v>0</v>
      </c>
      <c r="CJ323" s="180">
        <v>0</v>
      </c>
      <c r="CK323" s="180">
        <f>FM85*2</f>
        <v>0</v>
      </c>
      <c r="CL323" s="180">
        <f t="shared" ref="CL323:CL327" si="403">FN85*2</f>
        <v>8</v>
      </c>
      <c r="CM323" s="180">
        <f t="shared" ref="CM323:CM327" si="404">FO85*2</f>
        <v>8</v>
      </c>
      <c r="CN323" s="180">
        <f t="shared" ref="CN323:CN327" si="405">FP85*2</f>
        <v>0</v>
      </c>
      <c r="CO323" s="180">
        <f t="shared" ref="CO323:CO327" si="406">FQ85*2</f>
        <v>0</v>
      </c>
      <c r="CP323" s="180">
        <f t="shared" ref="CP323:CP327" si="407">FR85*2</f>
        <v>0</v>
      </c>
      <c r="CQ323" s="180">
        <f t="shared" ref="CQ323:CQ327" si="408">FS85*2</f>
        <v>0</v>
      </c>
      <c r="CR323" s="180">
        <f t="shared" ref="CR323:CR327" si="409">FT85*2</f>
        <v>0</v>
      </c>
      <c r="CS323" s="180">
        <f t="shared" ref="CS323:CS327" si="410">FU85*2</f>
        <v>0</v>
      </c>
      <c r="CT323" s="180">
        <f t="shared" ref="CT323:CT327" si="411">FV85*2</f>
        <v>0</v>
      </c>
      <c r="CU323" s="180">
        <f t="shared" ref="CU323:CU327" si="412">FW85*2</f>
        <v>0</v>
      </c>
      <c r="DO323" s="180" t="s">
        <v>586</v>
      </c>
      <c r="DP323" s="180">
        <v>0</v>
      </c>
      <c r="DQ323" s="190">
        <v>0</v>
      </c>
      <c r="DR323" s="190">
        <f>GT85*2</f>
        <v>0</v>
      </c>
      <c r="DS323" s="190">
        <f t="shared" ref="DS323:DS327" si="413">GU85*2</f>
        <v>8</v>
      </c>
      <c r="DT323" s="180">
        <f t="shared" ref="DT323:DT327" si="414">GV85*2</f>
        <v>8</v>
      </c>
      <c r="DU323" s="180">
        <f t="shared" ref="DU323:DU327" si="415">GW85*2</f>
        <v>0</v>
      </c>
      <c r="DV323" s="180">
        <f t="shared" ref="DV323:DV327" si="416">GX85*2</f>
        <v>0</v>
      </c>
      <c r="DW323" s="180">
        <f t="shared" ref="DW323:DW327" si="417">GY85*2</f>
        <v>0</v>
      </c>
      <c r="DX323" s="180">
        <f t="shared" ref="DX323:DX327" si="418">GZ85*2</f>
        <v>0</v>
      </c>
      <c r="DY323" s="180">
        <f t="shared" ref="DY323:DY327" si="419">HA85*2</f>
        <v>0</v>
      </c>
      <c r="DZ323" s="180">
        <f t="shared" ref="DZ323:DZ327" si="420">HB85*2</f>
        <v>0</v>
      </c>
      <c r="EA323" s="180">
        <f t="shared" ref="EA323:EA327" si="421">HC85*2</f>
        <v>0</v>
      </c>
      <c r="EB323" s="180">
        <f t="shared" ref="EB323:EB327" si="422">HD85*2</f>
        <v>0</v>
      </c>
      <c r="EP323" s="180" t="s">
        <v>586</v>
      </c>
      <c r="EQ323" s="180">
        <v>0</v>
      </c>
      <c r="ER323" s="180">
        <v>0</v>
      </c>
      <c r="ES323" s="180">
        <f>HU85*2</f>
        <v>0</v>
      </c>
      <c r="ET323" s="180">
        <f t="shared" ref="ET323:ET327" si="423">HV85*2</f>
        <v>8</v>
      </c>
      <c r="EU323" s="180">
        <f t="shared" ref="EU323:EU327" si="424">HW85*2</f>
        <v>0</v>
      </c>
      <c r="EV323" s="180">
        <f t="shared" ref="EV323:EV327" si="425">HX85*2</f>
        <v>0</v>
      </c>
      <c r="EW323" s="180">
        <f t="shared" ref="EW323:EW327" si="426">HY85*2</f>
        <v>0</v>
      </c>
      <c r="EX323" s="180">
        <f t="shared" ref="EX323:EX327" si="427">HZ85*2</f>
        <v>0</v>
      </c>
      <c r="EY323" s="180">
        <f t="shared" ref="EY323:EY327" si="428">IA85*2</f>
        <v>0</v>
      </c>
      <c r="EZ323" s="180">
        <f t="shared" ref="EZ323:EZ327" si="429">IB85*2</f>
        <v>0</v>
      </c>
      <c r="FA323" s="180">
        <f t="shared" ref="FA323:FA327" si="430">IC85*2</f>
        <v>0</v>
      </c>
      <c r="FB323" s="180">
        <f t="shared" ref="FB323:FB327" si="431">ID85*2</f>
        <v>0</v>
      </c>
      <c r="FC323" s="180">
        <f t="shared" ref="FC323:FC327" si="432">IE85*2</f>
        <v>0</v>
      </c>
    </row>
    <row r="324" spans="1:159" x14ac:dyDescent="0.25">
      <c r="A324" s="8"/>
      <c r="B324" s="5" t="s">
        <v>116</v>
      </c>
      <c r="C324" s="8"/>
      <c r="D324" s="6" t="s">
        <v>162</v>
      </c>
      <c r="E324" s="8">
        <v>0</v>
      </c>
      <c r="F324" s="5"/>
      <c r="G324" s="5"/>
      <c r="H324" s="5"/>
      <c r="I324" s="5"/>
      <c r="J324" s="5" t="s">
        <v>163</v>
      </c>
      <c r="K324" s="9"/>
      <c r="L324" s="6" t="str">
        <f>IF(E320=$AE$33,"BDFCH120/3,6NMC",IF(E320=$AE$34,"BDFCH120/3,6NMC",IF(E320=$AE$35,"BDFCH120/3,6NMC",IF(E320=$AE$36,"BDFCH120/3,6NMC",IF(E320=$AE$37,"BDFCH120/3,6NMC",IF(E320=$AE$38,"BDFCH120/4,2NMC",IF(E320=$AE$39,"BDFCH120/4,2NMC",IF(E320=$AE$40,"BDFCH120/4,2NMC",IF(E320=$AE$41,"BDFCH120/4,2NMC",IF(E320=$AE$42,"BDFCH120/4,2NMC",IF(E320=$AE$43,"BDFCH120/4,2NMC",IF(E320=$AE$44,"BDFCH120/4,4NMC",IF(E320=$AE$45,"BDFCH120/4,4NMC",IF(E320=$AE$46,"BDFCH120/4,4NMC",IF(E320=$AE$47,"BDFCH120/4,8NMC",IF(E320=$AE$48,"BDFCH120/4,8NMC",IF(E320=$AE$49,"BDFCH120/4,8NMC",IF(E320=$AE$50,"BDFCH120/4,8NMC",0))))))))))))))))))</f>
        <v>BDFCH120/3,6NMC</v>
      </c>
      <c r="M324" s="14">
        <f>INDEX(cennik!$C$2:$L$529,MATCH($L324,cennik!$B$2:$B$522,0),MATCH(M$2,cennik!$C$1:$L$1,0))</f>
        <v>863335</v>
      </c>
      <c r="N324" s="14" t="str">
        <f>INDEX(cennik!$C$2:$L$529,MATCH($L324,cennik!$B$2:$B$522,0),MATCH(N$2,cennik!$C$1:$L$1,0))</f>
        <v>szt.</v>
      </c>
      <c r="O324" s="14">
        <f>O322</f>
        <v>4</v>
      </c>
      <c r="P324" s="22">
        <f>INDEX(cennik!$C$2:$L$529,MATCH($L324,cennik!$B$2:$B$522,0),MATCH(P$2,cennik!$C$1:$L$1,0))</f>
        <v>148.08000000000001</v>
      </c>
      <c r="Q324" s="22">
        <f t="shared" ref="Q324:Q329" si="433">O324*P324</f>
        <v>592.32000000000005</v>
      </c>
      <c r="R324" s="23">
        <f t="shared" si="397"/>
        <v>0</v>
      </c>
      <c r="S324" s="22">
        <f t="shared" si="401"/>
        <v>148.08000000000001</v>
      </c>
      <c r="T324" s="22">
        <f t="shared" si="398"/>
        <v>592.32000000000005</v>
      </c>
      <c r="U324" s="22">
        <f>INDEX(cennik!$C$2:$L$529,MATCH($L324,cennik!$B$2:$B$522,0),MATCH(U$2,cennik!$C$1:$L$1,0))*O324</f>
        <v>44.16</v>
      </c>
      <c r="W324" s="189">
        <f>INDEX(($BI$323:$BU$327,$BI$331:$BU$335,$CI$323:$CU$327,$CI$331:$CU$335,$DP$323:$EB$327,$DP$330:$EB$334,$EQ$323:$FC$327,$EQ$330:$FC$334,$EQ$337:$FC$341),MATCH($L$334,$BH$323:$BH$327,0),MATCH($A322,$BI$322:$BU$322,0),MATCH($G$320,$AE$24:$AE$32,0))*$C322</f>
        <v>0</v>
      </c>
      <c r="X324" s="189">
        <f>INDEX(($BI$323:$BU$327,$BI$331:$BU$335,$CI$323:$CU$327,$CI$331:$CU$335,$DP$323:$EB$327,$DP$330:$EB$334,$EQ$323:$FC$327,$EQ$330:$FC$334,$EQ$337:$FC$341),MATCH($L$331,$BH$323:$BH$327,0),MATCH($A322,$BI$322:$BU$322,0),MATCH($G$320,$AE$24:$AE$32,0))*$C322</f>
        <v>0</v>
      </c>
      <c r="Y324" s="189">
        <f>INDEX(($BI$323:$BU$327,$BI$331:$BU$335,$CI$323:$CU$327,$CI$331:$CU$335,$DP$323:$EB$327,$DP$330:$EB$334,$EQ$323:$FC$327,$EQ$330:$FC$334,$EQ$337:$FC$341),MATCH($L$332,$BH$323:$BH$327,0),MATCH($A322,$BI$322:$BU$322,0),MATCH($G$320,$AE$24:$AE$32,0))*$C322</f>
        <v>0</v>
      </c>
      <c r="Z324" s="189">
        <f>INDEX(($BI$323:$BU$327,$BI$331:$BU$335,$CI$323:$CU$327,$CI$331:$CU$335,$DP$323:$EB$327,$DP$330:$EB$334,$EQ$323:$FC$327,$EQ$330:$FC$334,$EQ$337:$FC$341),MATCH($L$333,$BH$323:$BH$327,0),MATCH($A322,$BI$322:$BU$322,0),MATCH($G$320,$AE$24:$AE$32,0))*$C322</f>
        <v>0</v>
      </c>
      <c r="AA324" s="21">
        <f t="shared" si="399"/>
        <v>0</v>
      </c>
      <c r="AB324" s="21">
        <f t="shared" si="396"/>
        <v>0</v>
      </c>
      <c r="AC324" s="21"/>
      <c r="AO324" s="21">
        <f t="shared" si="395"/>
        <v>1</v>
      </c>
      <c r="BG324" s="21"/>
      <c r="BH324" s="180" t="s">
        <v>522</v>
      </c>
      <c r="BI324" s="180">
        <v>0</v>
      </c>
      <c r="BJ324" s="180">
        <v>0</v>
      </c>
      <c r="BK324" s="180">
        <f t="shared" ref="BK324:BK327" si="434">EM86*2</f>
        <v>0</v>
      </c>
      <c r="BL324" s="180">
        <f t="shared" si="402"/>
        <v>8</v>
      </c>
      <c r="BM324" s="180">
        <f t="shared" si="402"/>
        <v>0</v>
      </c>
      <c r="BN324" s="180">
        <f t="shared" si="402"/>
        <v>0</v>
      </c>
      <c r="BO324" s="180">
        <f t="shared" si="402"/>
        <v>8</v>
      </c>
      <c r="BP324" s="180">
        <f t="shared" si="402"/>
        <v>16</v>
      </c>
      <c r="BQ324" s="180">
        <f t="shared" si="402"/>
        <v>0</v>
      </c>
      <c r="BR324" s="180">
        <f t="shared" si="402"/>
        <v>8</v>
      </c>
      <c r="BS324" s="180">
        <f t="shared" si="402"/>
        <v>16</v>
      </c>
      <c r="BT324" s="180">
        <f t="shared" si="402"/>
        <v>0</v>
      </c>
      <c r="BU324" s="180">
        <f t="shared" si="402"/>
        <v>8</v>
      </c>
      <c r="CH324" s="180" t="s">
        <v>522</v>
      </c>
      <c r="CI324" s="180">
        <v>0</v>
      </c>
      <c r="CJ324" s="180">
        <v>0</v>
      </c>
      <c r="CK324" s="180">
        <f t="shared" ref="CK324:CK327" si="435">FM86*2</f>
        <v>8</v>
      </c>
      <c r="CL324" s="180">
        <f t="shared" si="403"/>
        <v>0</v>
      </c>
      <c r="CM324" s="180">
        <f t="shared" si="404"/>
        <v>0</v>
      </c>
      <c r="CN324" s="180">
        <f t="shared" si="405"/>
        <v>8</v>
      </c>
      <c r="CO324" s="180">
        <f t="shared" si="406"/>
        <v>16</v>
      </c>
      <c r="CP324" s="180">
        <f t="shared" si="407"/>
        <v>0</v>
      </c>
      <c r="CQ324" s="180">
        <f t="shared" si="408"/>
        <v>8</v>
      </c>
      <c r="CR324" s="180">
        <f t="shared" si="409"/>
        <v>16</v>
      </c>
      <c r="CS324" s="180">
        <f t="shared" si="410"/>
        <v>0</v>
      </c>
      <c r="CT324" s="180">
        <f t="shared" si="411"/>
        <v>8</v>
      </c>
      <c r="CU324" s="180">
        <f t="shared" si="412"/>
        <v>16</v>
      </c>
      <c r="DO324" s="180" t="s">
        <v>522</v>
      </c>
      <c r="DP324" s="180">
        <v>0</v>
      </c>
      <c r="DQ324" s="190">
        <v>0</v>
      </c>
      <c r="DR324" s="190">
        <f t="shared" ref="DR324:DR327" si="436">GT86*2</f>
        <v>8</v>
      </c>
      <c r="DS324" s="190">
        <f t="shared" si="413"/>
        <v>0</v>
      </c>
      <c r="DT324" s="180">
        <f t="shared" si="414"/>
        <v>0</v>
      </c>
      <c r="DU324" s="180">
        <f t="shared" si="415"/>
        <v>8</v>
      </c>
      <c r="DV324" s="180">
        <f t="shared" si="416"/>
        <v>16</v>
      </c>
      <c r="DW324" s="180">
        <f t="shared" si="417"/>
        <v>0</v>
      </c>
      <c r="DX324" s="180">
        <f t="shared" si="418"/>
        <v>16</v>
      </c>
      <c r="DY324" s="180">
        <f t="shared" si="419"/>
        <v>24</v>
      </c>
      <c r="DZ324" s="180">
        <f t="shared" si="420"/>
        <v>8</v>
      </c>
      <c r="EA324" s="180">
        <f t="shared" si="421"/>
        <v>16</v>
      </c>
      <c r="EB324" s="180">
        <f t="shared" si="422"/>
        <v>24</v>
      </c>
      <c r="EP324" s="180" t="s">
        <v>522</v>
      </c>
      <c r="EQ324" s="180">
        <v>0</v>
      </c>
      <c r="ER324" s="180">
        <v>0</v>
      </c>
      <c r="ES324" s="180">
        <f t="shared" ref="ES324:ES327" si="437">HU86*2</f>
        <v>8</v>
      </c>
      <c r="ET324" s="180">
        <f t="shared" si="423"/>
        <v>0</v>
      </c>
      <c r="EU324" s="180">
        <f t="shared" si="424"/>
        <v>8</v>
      </c>
      <c r="EV324" s="180">
        <f t="shared" si="425"/>
        <v>16</v>
      </c>
      <c r="EW324" s="180">
        <f t="shared" si="426"/>
        <v>0</v>
      </c>
      <c r="EX324" s="180">
        <f t="shared" si="427"/>
        <v>8</v>
      </c>
      <c r="EY324" s="180">
        <f t="shared" si="428"/>
        <v>16</v>
      </c>
      <c r="EZ324" s="180">
        <f t="shared" si="429"/>
        <v>8</v>
      </c>
      <c r="FA324" s="180">
        <f t="shared" si="430"/>
        <v>16</v>
      </c>
      <c r="FB324" s="180">
        <f t="shared" si="431"/>
        <v>24</v>
      </c>
      <c r="FC324" s="180">
        <f t="shared" si="432"/>
        <v>32</v>
      </c>
    </row>
    <row r="325" spans="1:159" x14ac:dyDescent="0.25">
      <c r="A325" s="8"/>
      <c r="B325" s="5" t="s">
        <v>116</v>
      </c>
      <c r="C325" s="8"/>
      <c r="D325" s="6" t="s">
        <v>515</v>
      </c>
      <c r="E325" s="8">
        <v>0</v>
      </c>
      <c r="F325" s="5"/>
      <c r="G325" s="5"/>
      <c r="H325" s="5"/>
      <c r="I325" s="5"/>
      <c r="J325" s="5" t="s">
        <v>412</v>
      </c>
      <c r="K325" s="9"/>
      <c r="L325" s="148" t="s">
        <v>1243</v>
      </c>
      <c r="M325" s="14">
        <f>INDEX(cennik!$C$2:$L$529,MATCH($L325,cennik!$B$2:$B$522,0),MATCH(M$2,cennik!$C$1:$L$1,0))</f>
        <v>852003</v>
      </c>
      <c r="N325" s="14" t="str">
        <f>INDEX(cennik!$C$2:$L$529,MATCH($L325,cennik!$B$2:$B$522,0),MATCH(N$2,cennik!$C$1:$L$1,0))</f>
        <v>szt.</v>
      </c>
      <c r="O325" s="149">
        <f>O323</f>
        <v>2</v>
      </c>
      <c r="P325" s="22">
        <f>INDEX(cennik!$C$2:$L$529,MATCH($L325,cennik!$B$2:$B$522,0),MATCH(P$2,cennik!$C$1:$L$1,0))</f>
        <v>31</v>
      </c>
      <c r="Q325" s="22">
        <f t="shared" si="433"/>
        <v>62</v>
      </c>
      <c r="R325" s="23">
        <f t="shared" si="397"/>
        <v>0</v>
      </c>
      <c r="S325" s="22">
        <f t="shared" si="401"/>
        <v>31</v>
      </c>
      <c r="T325" s="22">
        <f t="shared" si="398"/>
        <v>62</v>
      </c>
      <c r="U325" s="22">
        <f>INDEX(cennik!$C$2:$L$529,MATCH($L325,cennik!$B$2:$B$522,0),MATCH(U$2,cennik!$C$1:$L$1,0))*O325</f>
        <v>2.2400000000000002</v>
      </c>
      <c r="W325" s="189">
        <f>INDEX(($BI$323:$BU$327,$BI$331:$BU$335,$CI$323:$CU$327,$CI$331:$CU$335,$DP$323:$EB$327,$DP$330:$EB$334,$EQ$323:$FC$327,$EQ$330:$FC$334,$EQ$337:$FC$341),MATCH($L$334,$BH$323:$BH$327,0),MATCH($A323,$BI$322:$BU$322,0),MATCH($G$320,$AE$24:$AE$32,0))*$C323</f>
        <v>0</v>
      </c>
      <c r="X325" s="189">
        <f>INDEX(($BI$323:$BU$327,$BI$331:$BU$335,$CI$323:$CU$327,$CI$331:$CU$335,$DP$323:$EB$327,$DP$330:$EB$334,$EQ$323:$FC$327,$EQ$330:$FC$334,$EQ$337:$FC$341),MATCH($L$331,$BH$323:$BH$327,0),MATCH($A323,$BI$322:$BU$322,0),MATCH($G$320,$AE$24:$AE$32,0))*$C323</f>
        <v>0</v>
      </c>
      <c r="Y325" s="189">
        <f>INDEX(($BI$323:$BU$327,$BI$331:$BU$335,$CI$323:$CU$327,$CI$331:$CU$335,$DP$323:$EB$327,$DP$330:$EB$334,$EQ$323:$FC$327,$EQ$330:$FC$334,$EQ$337:$FC$341),MATCH($L$332,$BH$323:$BH$327,0),MATCH($A323,$BI$322:$BU$322,0),MATCH($G$320,$AE$24:$AE$32,0))*$C323</f>
        <v>0</v>
      </c>
      <c r="Z325" s="189">
        <f>INDEX(($BI$323:$BU$327,$BI$331:$BU$335,$CI$323:$CU$327,$CI$331:$CU$335,$DP$323:$EB$327,$DP$330:$EB$334,$EQ$323:$FC$327,$EQ$330:$FC$334,$EQ$337:$FC$341),MATCH($L$333,$BH$323:$BH$327,0),MATCH($A323,$BI$322:$BU$322,0),MATCH($G$320,$AE$24:$AE$32,0))*$C323</f>
        <v>0</v>
      </c>
      <c r="AA325" s="21">
        <f t="shared" si="399"/>
        <v>0</v>
      </c>
      <c r="AB325" s="21">
        <f t="shared" si="396"/>
        <v>0</v>
      </c>
      <c r="AC325" s="21"/>
      <c r="AO325" s="21">
        <f t="shared" si="395"/>
        <v>1</v>
      </c>
      <c r="BG325" s="21"/>
      <c r="BH325" s="180" t="s">
        <v>523</v>
      </c>
      <c r="BI325" s="180">
        <v>0</v>
      </c>
      <c r="BJ325" s="180">
        <v>8</v>
      </c>
      <c r="BK325" s="180">
        <f t="shared" si="434"/>
        <v>8</v>
      </c>
      <c r="BL325" s="180">
        <f t="shared" si="402"/>
        <v>0</v>
      </c>
      <c r="BM325" s="180">
        <f t="shared" si="402"/>
        <v>0</v>
      </c>
      <c r="BN325" s="180">
        <f t="shared" si="402"/>
        <v>16</v>
      </c>
      <c r="BO325" s="180">
        <f t="shared" si="402"/>
        <v>8</v>
      </c>
      <c r="BP325" s="180">
        <f t="shared" si="402"/>
        <v>0</v>
      </c>
      <c r="BQ325" s="180">
        <f t="shared" si="402"/>
        <v>24</v>
      </c>
      <c r="BR325" s="180">
        <f t="shared" si="402"/>
        <v>16</v>
      </c>
      <c r="BS325" s="180">
        <f t="shared" si="402"/>
        <v>8</v>
      </c>
      <c r="BT325" s="180">
        <f t="shared" si="402"/>
        <v>32</v>
      </c>
      <c r="BU325" s="180">
        <f t="shared" si="402"/>
        <v>24</v>
      </c>
      <c r="CH325" s="180" t="s">
        <v>523</v>
      </c>
      <c r="CI325" s="180">
        <v>0</v>
      </c>
      <c r="CJ325" s="180">
        <v>8</v>
      </c>
      <c r="CK325" s="180">
        <f t="shared" si="435"/>
        <v>0</v>
      </c>
      <c r="CL325" s="180">
        <f t="shared" si="403"/>
        <v>0</v>
      </c>
      <c r="CM325" s="180">
        <f t="shared" si="404"/>
        <v>0</v>
      </c>
      <c r="CN325" s="180">
        <f t="shared" si="405"/>
        <v>8</v>
      </c>
      <c r="CO325" s="180">
        <f t="shared" si="406"/>
        <v>0</v>
      </c>
      <c r="CP325" s="180">
        <f t="shared" si="407"/>
        <v>24</v>
      </c>
      <c r="CQ325" s="180">
        <f t="shared" si="408"/>
        <v>16</v>
      </c>
      <c r="CR325" s="180">
        <f t="shared" si="409"/>
        <v>8</v>
      </c>
      <c r="CS325" s="180">
        <f t="shared" si="410"/>
        <v>32</v>
      </c>
      <c r="CT325" s="180">
        <f t="shared" si="411"/>
        <v>24</v>
      </c>
      <c r="CU325" s="180">
        <f t="shared" si="412"/>
        <v>16</v>
      </c>
      <c r="DO325" s="180" t="s">
        <v>523</v>
      </c>
      <c r="DP325" s="180">
        <v>0</v>
      </c>
      <c r="DQ325" s="190">
        <v>8</v>
      </c>
      <c r="DR325" s="190">
        <f t="shared" si="436"/>
        <v>0</v>
      </c>
      <c r="DS325" s="190">
        <f t="shared" si="413"/>
        <v>0</v>
      </c>
      <c r="DT325" s="180">
        <f t="shared" si="414"/>
        <v>0</v>
      </c>
      <c r="DU325" s="180">
        <f t="shared" si="415"/>
        <v>8</v>
      </c>
      <c r="DV325" s="180">
        <f t="shared" si="416"/>
        <v>0</v>
      </c>
      <c r="DW325" s="180">
        <f t="shared" si="417"/>
        <v>24</v>
      </c>
      <c r="DX325" s="180">
        <f t="shared" si="418"/>
        <v>8</v>
      </c>
      <c r="DY325" s="180">
        <f t="shared" si="419"/>
        <v>0</v>
      </c>
      <c r="DZ325" s="180">
        <f t="shared" si="420"/>
        <v>24</v>
      </c>
      <c r="EA325" s="180">
        <f t="shared" si="421"/>
        <v>16</v>
      </c>
      <c r="EB325" s="180">
        <f t="shared" si="422"/>
        <v>8</v>
      </c>
      <c r="EP325" s="180" t="s">
        <v>523</v>
      </c>
      <c r="EQ325" s="180">
        <v>0</v>
      </c>
      <c r="ER325" s="180">
        <v>8</v>
      </c>
      <c r="ES325" s="180">
        <f t="shared" si="437"/>
        <v>0</v>
      </c>
      <c r="ET325" s="180">
        <f t="shared" si="423"/>
        <v>0</v>
      </c>
      <c r="EU325" s="180">
        <f t="shared" si="424"/>
        <v>8</v>
      </c>
      <c r="EV325" s="180">
        <f t="shared" si="425"/>
        <v>0</v>
      </c>
      <c r="EW325" s="180">
        <f t="shared" si="426"/>
        <v>24</v>
      </c>
      <c r="EX325" s="180">
        <f t="shared" si="427"/>
        <v>16</v>
      </c>
      <c r="EY325" s="180">
        <f t="shared" si="428"/>
        <v>8</v>
      </c>
      <c r="EZ325" s="180">
        <f t="shared" si="429"/>
        <v>24</v>
      </c>
      <c r="FA325" s="180">
        <f t="shared" si="430"/>
        <v>16</v>
      </c>
      <c r="FB325" s="180">
        <f t="shared" si="431"/>
        <v>8</v>
      </c>
      <c r="FC325" s="180">
        <f t="shared" si="432"/>
        <v>0</v>
      </c>
    </row>
    <row r="326" spans="1:159" x14ac:dyDescent="0.25">
      <c r="A326" s="8"/>
      <c r="B326" s="5" t="s">
        <v>116</v>
      </c>
      <c r="C326" s="8"/>
      <c r="D326" s="6" t="s">
        <v>511</v>
      </c>
      <c r="E326" s="4"/>
      <c r="F326" s="6"/>
      <c r="G326" s="6"/>
      <c r="H326" s="6"/>
      <c r="I326" s="6"/>
      <c r="J326" s="1"/>
      <c r="K326" s="9"/>
      <c r="L326" s="6" t="s">
        <v>211</v>
      </c>
      <c r="M326" s="14">
        <f>INDEX(cennik!$C$2:$L$529,MATCH($L326,cennik!$B$2:$B$522,0),MATCH(M$2,cennik!$C$1:$L$1,0))</f>
        <v>6441205</v>
      </c>
      <c r="N326" s="14" t="str">
        <f>INDEX(cennik!$C$2:$L$529,MATCH($L326,cennik!$B$2:$B$522,0),MATCH(N$2,cennik!$C$1:$L$1,0))</f>
        <v>szt.</v>
      </c>
      <c r="O326" s="14">
        <f>O322</f>
        <v>4</v>
      </c>
      <c r="P326" s="22">
        <f>INDEX(cennik!$C$2:$L$529,MATCH($L326,cennik!$B$2:$B$522,0),MATCH(P$2,cennik!$C$1:$L$1,0))</f>
        <v>46.35</v>
      </c>
      <c r="Q326" s="22">
        <f t="shared" si="433"/>
        <v>185.4</v>
      </c>
      <c r="R326" s="23">
        <f t="shared" si="397"/>
        <v>0</v>
      </c>
      <c r="S326" s="22">
        <f t="shared" si="401"/>
        <v>46.35</v>
      </c>
      <c r="T326" s="22">
        <f t="shared" si="398"/>
        <v>185.4</v>
      </c>
      <c r="U326" s="22">
        <f>INDEX(cennik!$C$2:$L$529,MATCH($L326,cennik!$B$2:$B$522,0),MATCH(U$2,cennik!$C$1:$L$1,0))*O326</f>
        <v>10.56</v>
      </c>
      <c r="W326" s="189">
        <f>INDEX(($BI$323:$BU$327,$BI$331:$BU$335,$CI$323:$CU$327,$CI$331:$CU$335,$DP$323:$EB$327,$DP$330:$EB$334,$EQ$323:$FC$327,$EQ$330:$FC$334,$EQ$337:$FC$341),MATCH($L$334,$BH$323:$BH$327,0),MATCH($A324,$BI$322:$BU$322,0),MATCH($G$320,$AE$24:$AE$32,0))*$C324</f>
        <v>0</v>
      </c>
      <c r="X326" s="189">
        <f>INDEX(($BI$323:$BU$327,$BI$331:$BU$335,$CI$323:$CU$327,$CI$331:$CU$335,$DP$323:$EB$327,$DP$330:$EB$334,$EQ$323:$FC$327,$EQ$330:$FC$334,$EQ$337:$FC$341),MATCH($L$331,$BH$323:$BH$327,0),MATCH($A324,$BI$322:$BU$322,0),MATCH($G$320,$AE$24:$AE$32,0))*$C324</f>
        <v>0</v>
      </c>
      <c r="Y326" s="189">
        <f>INDEX(($BI$323:$BU$327,$BI$331:$BU$335,$CI$323:$CU$327,$CI$331:$CU$335,$DP$323:$EB$327,$DP$330:$EB$334,$EQ$323:$FC$327,$EQ$330:$FC$334,$EQ$337:$FC$341),MATCH($L$332,$BH$323:$BH$327,0),MATCH($A324,$BI$322:$BU$322,0),MATCH($G$320,$AE$24:$AE$32,0))*$C324</f>
        <v>0</v>
      </c>
      <c r="Z326" s="189">
        <f>INDEX(($BI$323:$BU$327,$BI$331:$BU$335,$CI$323:$CU$327,$CI$331:$CU$335,$DP$323:$EB$327,$DP$330:$EB$334,$EQ$323:$FC$327,$EQ$330:$FC$334,$EQ$337:$FC$341),MATCH($L$333,$BH$323:$BH$327,0),MATCH($A324,$BI$322:$BU$322,0),MATCH($G$320,$AE$24:$AE$32,0))*$C324</f>
        <v>0</v>
      </c>
      <c r="AA326" s="21">
        <f t="shared" si="399"/>
        <v>0</v>
      </c>
      <c r="AB326" s="21">
        <f t="shared" si="396"/>
        <v>0</v>
      </c>
      <c r="AC326" s="21"/>
      <c r="AO326" s="21">
        <f t="shared" si="395"/>
        <v>1</v>
      </c>
      <c r="BG326" s="21"/>
      <c r="BH326" s="180" t="s">
        <v>779</v>
      </c>
      <c r="BI326" s="180">
        <v>0</v>
      </c>
      <c r="BJ326" s="180">
        <v>0</v>
      </c>
      <c r="BK326" s="180">
        <f t="shared" si="434"/>
        <v>0</v>
      </c>
      <c r="BL326" s="180">
        <f t="shared" si="402"/>
        <v>0</v>
      </c>
      <c r="BM326" s="180">
        <f t="shared" si="402"/>
        <v>0</v>
      </c>
      <c r="BN326" s="180">
        <f t="shared" si="402"/>
        <v>8</v>
      </c>
      <c r="BO326" s="180">
        <f t="shared" si="402"/>
        <v>8</v>
      </c>
      <c r="BP326" s="180">
        <f t="shared" si="402"/>
        <v>8</v>
      </c>
      <c r="BQ326" s="180">
        <f t="shared" si="402"/>
        <v>16</v>
      </c>
      <c r="BR326" s="180">
        <f t="shared" si="402"/>
        <v>16</v>
      </c>
      <c r="BS326" s="180">
        <f t="shared" si="402"/>
        <v>16</v>
      </c>
      <c r="BT326" s="180">
        <f t="shared" si="402"/>
        <v>24</v>
      </c>
      <c r="BU326" s="180">
        <f t="shared" si="402"/>
        <v>24</v>
      </c>
      <c r="CH326" s="180" t="s">
        <v>524</v>
      </c>
      <c r="CI326" s="180">
        <v>0</v>
      </c>
      <c r="CJ326" s="180">
        <v>0</v>
      </c>
      <c r="CK326" s="180">
        <f t="shared" si="435"/>
        <v>0</v>
      </c>
      <c r="CL326" s="180">
        <f t="shared" si="403"/>
        <v>0</v>
      </c>
      <c r="CM326" s="180">
        <f t="shared" si="404"/>
        <v>0</v>
      </c>
      <c r="CN326" s="180">
        <f t="shared" si="405"/>
        <v>8</v>
      </c>
      <c r="CO326" s="180">
        <f t="shared" si="406"/>
        <v>8</v>
      </c>
      <c r="CP326" s="180">
        <f t="shared" si="407"/>
        <v>16</v>
      </c>
      <c r="CQ326" s="180">
        <f t="shared" si="408"/>
        <v>16</v>
      </c>
      <c r="CR326" s="180">
        <f t="shared" si="409"/>
        <v>16</v>
      </c>
      <c r="CS326" s="180">
        <f t="shared" si="410"/>
        <v>24</v>
      </c>
      <c r="CT326" s="180">
        <f t="shared" si="411"/>
        <v>24</v>
      </c>
      <c r="CU326" s="180">
        <f t="shared" si="412"/>
        <v>24</v>
      </c>
      <c r="DO326" s="180" t="s">
        <v>779</v>
      </c>
      <c r="DP326" s="180">
        <v>0</v>
      </c>
      <c r="DQ326" s="190">
        <v>0</v>
      </c>
      <c r="DR326" s="190">
        <f t="shared" si="436"/>
        <v>0</v>
      </c>
      <c r="DS326" s="190">
        <f t="shared" si="413"/>
        <v>0</v>
      </c>
      <c r="DT326" s="180">
        <f t="shared" si="414"/>
        <v>0</v>
      </c>
      <c r="DU326" s="180">
        <f t="shared" si="415"/>
        <v>8</v>
      </c>
      <c r="DV326" s="180">
        <f t="shared" si="416"/>
        <v>8</v>
      </c>
      <c r="DW326" s="180">
        <f t="shared" si="417"/>
        <v>16</v>
      </c>
      <c r="DX326" s="180">
        <f t="shared" si="418"/>
        <v>16</v>
      </c>
      <c r="DY326" s="180">
        <f t="shared" si="419"/>
        <v>16</v>
      </c>
      <c r="DZ326" s="180">
        <f t="shared" si="420"/>
        <v>24</v>
      </c>
      <c r="EA326" s="180">
        <f t="shared" si="421"/>
        <v>24</v>
      </c>
      <c r="EB326" s="180">
        <f t="shared" si="422"/>
        <v>24</v>
      </c>
      <c r="EP326" s="180" t="s">
        <v>524</v>
      </c>
      <c r="EQ326" s="180">
        <v>0</v>
      </c>
      <c r="ER326" s="180">
        <v>0</v>
      </c>
      <c r="ES326" s="180">
        <f t="shared" si="437"/>
        <v>0</v>
      </c>
      <c r="ET326" s="180">
        <f t="shared" si="423"/>
        <v>0</v>
      </c>
      <c r="EU326" s="180">
        <f t="shared" si="424"/>
        <v>8</v>
      </c>
      <c r="EV326" s="180">
        <f t="shared" si="425"/>
        <v>8</v>
      </c>
      <c r="EW326" s="180">
        <f t="shared" si="426"/>
        <v>16</v>
      </c>
      <c r="EX326" s="180">
        <f t="shared" si="427"/>
        <v>16</v>
      </c>
      <c r="EY326" s="180">
        <f t="shared" si="428"/>
        <v>16</v>
      </c>
      <c r="EZ326" s="180">
        <f t="shared" si="429"/>
        <v>24</v>
      </c>
      <c r="FA326" s="180">
        <f t="shared" si="430"/>
        <v>24</v>
      </c>
      <c r="FB326" s="180">
        <f t="shared" si="431"/>
        <v>24</v>
      </c>
      <c r="FC326" s="180">
        <f t="shared" si="432"/>
        <v>24</v>
      </c>
    </row>
    <row r="327" spans="1:159" x14ac:dyDescent="0.25">
      <c r="A327" s="8"/>
      <c r="B327" s="5" t="s">
        <v>116</v>
      </c>
      <c r="C327" s="8"/>
      <c r="D327" s="6" t="s">
        <v>787</v>
      </c>
      <c r="E327" s="8">
        <v>1</v>
      </c>
      <c r="F327" s="39" t="s">
        <v>789</v>
      </c>
      <c r="G327" s="6"/>
      <c r="H327" s="6"/>
      <c r="I327" s="6"/>
      <c r="J327" s="1"/>
      <c r="K327" s="9"/>
      <c r="L327" s="6" t="str">
        <f>IF($E$320=$AE$33,"-------",IF($E$320=$AE$34,"-------",IF($E$320=$AE$35,"-------",IF($E$320=$AE$36,"-------",IF($E$320=$AE$37,"-------",IF($E$320=$AE$38,"-------",IF($E$320=$AE$39,"-------",IF($E$320=$AE$40,"-------",IF($E$320=$AE$41,"-------",IF($E$320=$AE$42,"-------",IF($E$320=$AE$43,"-------",IF($E$320=$AE$44,"CMP41H41/1,2MC",IF($E$320=$AE$45,"CMP41H41/1,2MC",IF($E$320=$AE$46,"CMP41H41/1,2MC",IF($E$320=$AE$47,"CMP41H41/1,2MC",IF($E$320=$AE$48,"CMP41H41/1,2MC",IF($E$320=$AE$49,"CMP41H41/1,2MC",IF($E$320=$AE$50,"CMP41H41/1,2MC",0))))))))))))))))))</f>
        <v>-------</v>
      </c>
      <c r="M327" s="14" t="str">
        <f>INDEX(cennik!$C$2:$L$529,MATCH($L327,cennik!$B$2:$B$522,0),MATCH(M$2,cennik!$C$1:$L$1,0))</f>
        <v>-------</v>
      </c>
      <c r="N327" s="14">
        <f>INDEX(cennik!$C$2:$L$529,MATCH($L327,cennik!$B$2:$B$522,0),MATCH(N$2,cennik!$C$1:$L$1,0))</f>
        <v>0</v>
      </c>
      <c r="O327" s="14">
        <f>IF(L327="CMP41H41/1,2MC",O326,0)</f>
        <v>0</v>
      </c>
      <c r="P327" s="22">
        <f>INDEX(cennik!$C$2:$L$529,MATCH($L327,cennik!$B$2:$B$522,0),MATCH(P$2,cennik!$C$1:$L$1,0))</f>
        <v>0</v>
      </c>
      <c r="Q327" s="22">
        <f t="shared" si="433"/>
        <v>0</v>
      </c>
      <c r="R327" s="23">
        <f t="shared" si="397"/>
        <v>0</v>
      </c>
      <c r="S327" s="22">
        <f t="shared" si="401"/>
        <v>0</v>
      </c>
      <c r="T327" s="22">
        <f t="shared" si="398"/>
        <v>0</v>
      </c>
      <c r="U327" s="22">
        <f>INDEX(cennik!$C$2:$L$529,MATCH($L327,cennik!$B$2:$B$522,0),MATCH(U$2,cennik!$C$1:$L$1,0))*O327</f>
        <v>0</v>
      </c>
      <c r="W327" s="189">
        <f>INDEX(($BI$323:$BU$327,$BI$331:$BU$335,$CI$323:$CU$327,$CI$331:$CU$335,$DP$323:$EB$327,$DP$330:$EB$334,$EQ$323:$FC$327,$EQ$330:$FC$334,$EQ$337:$FC$341),MATCH($L$334,$BH$323:$BH$327,0),MATCH($A325,$BI$322:$BU$322,0),MATCH($G$320,$AE$24:$AE$32,0))*$C325</f>
        <v>0</v>
      </c>
      <c r="X327" s="189">
        <f>INDEX(($BI$323:$BU$327,$BI$331:$BU$335,$CI$323:$CU$327,$CI$331:$CU$335,$DP$323:$EB$327,$DP$330:$EB$334,$EQ$323:$FC$327,$EQ$330:$FC$334,$EQ$337:$FC$341),MATCH($L$331,$BH$323:$BH$327,0),MATCH($A325,$BI$322:$BU$322,0),MATCH($G$320,$AE$24:$AE$32,0))*$C325</f>
        <v>0</v>
      </c>
      <c r="Y327" s="189">
        <f>INDEX(($BI$323:$BU$327,$BI$331:$BU$335,$CI$323:$CU$327,$CI$331:$CU$335,$DP$323:$EB$327,$DP$330:$EB$334,$EQ$323:$FC$327,$EQ$330:$FC$334,$EQ$337:$FC$341),MATCH($L$332,$BH$323:$BH$327,0),MATCH($A325,$BI$322:$BU$322,0),MATCH($G$320,$AE$24:$AE$32,0))*$C325</f>
        <v>0</v>
      </c>
      <c r="Z327" s="189">
        <f>INDEX(($BI$323:$BU$327,$BI$331:$BU$335,$CI$323:$CU$327,$CI$331:$CU$335,$DP$323:$EB$327,$DP$330:$EB$334,$EQ$323:$FC$327,$EQ$330:$FC$334,$EQ$337:$FC$341),MATCH($L$333,$BH$323:$BH$327,0),MATCH($A325,$BI$322:$BU$322,0),MATCH($G$320,$AE$24:$AE$32,0))*$C325</f>
        <v>0</v>
      </c>
      <c r="AA327" s="21">
        <f t="shared" si="399"/>
        <v>0</v>
      </c>
      <c r="AB327" s="21">
        <f t="shared" si="396"/>
        <v>0</v>
      </c>
      <c r="AC327" s="21"/>
      <c r="AO327" s="21">
        <f t="shared" si="395"/>
        <v>1</v>
      </c>
      <c r="BG327" s="21"/>
      <c r="BH327" s="180" t="s">
        <v>700</v>
      </c>
      <c r="BI327" s="180">
        <v>0</v>
      </c>
      <c r="BJ327" s="180">
        <v>0</v>
      </c>
      <c r="BK327" s="180">
        <f t="shared" si="434"/>
        <v>0</v>
      </c>
      <c r="BL327" s="180">
        <f t="shared" si="402"/>
        <v>0</v>
      </c>
      <c r="BM327" s="180">
        <f t="shared" si="402"/>
        <v>0</v>
      </c>
      <c r="BN327" s="180">
        <f t="shared" si="402"/>
        <v>8</v>
      </c>
      <c r="BO327" s="180">
        <f t="shared" si="402"/>
        <v>8</v>
      </c>
      <c r="BP327" s="180">
        <f t="shared" si="402"/>
        <v>8</v>
      </c>
      <c r="BQ327" s="180">
        <f t="shared" si="402"/>
        <v>16</v>
      </c>
      <c r="BR327" s="180">
        <f t="shared" si="402"/>
        <v>16</v>
      </c>
      <c r="BS327" s="180">
        <f t="shared" si="402"/>
        <v>16</v>
      </c>
      <c r="BT327" s="180">
        <f t="shared" si="402"/>
        <v>24</v>
      </c>
      <c r="BU327" s="180">
        <f t="shared" si="402"/>
        <v>24</v>
      </c>
      <c r="CH327" s="180" t="s">
        <v>700</v>
      </c>
      <c r="CI327" s="180">
        <v>0</v>
      </c>
      <c r="CJ327" s="180">
        <v>0</v>
      </c>
      <c r="CK327" s="180">
        <f t="shared" si="435"/>
        <v>0</v>
      </c>
      <c r="CL327" s="180">
        <f t="shared" si="403"/>
        <v>0</v>
      </c>
      <c r="CM327" s="180">
        <f t="shared" si="404"/>
        <v>0</v>
      </c>
      <c r="CN327" s="180">
        <f t="shared" si="405"/>
        <v>8</v>
      </c>
      <c r="CO327" s="180">
        <f t="shared" si="406"/>
        <v>8</v>
      </c>
      <c r="CP327" s="180">
        <f t="shared" si="407"/>
        <v>16</v>
      </c>
      <c r="CQ327" s="180">
        <f t="shared" si="408"/>
        <v>16</v>
      </c>
      <c r="CR327" s="180">
        <f t="shared" si="409"/>
        <v>16</v>
      </c>
      <c r="CS327" s="180">
        <f t="shared" si="410"/>
        <v>24</v>
      </c>
      <c r="CT327" s="180">
        <f t="shared" si="411"/>
        <v>24</v>
      </c>
      <c r="CU327" s="180">
        <f t="shared" si="412"/>
        <v>24</v>
      </c>
      <c r="DO327" s="180" t="s">
        <v>700</v>
      </c>
      <c r="DP327" s="180">
        <v>0</v>
      </c>
      <c r="DQ327" s="190">
        <v>0</v>
      </c>
      <c r="DR327" s="190">
        <f t="shared" si="436"/>
        <v>0</v>
      </c>
      <c r="DS327" s="190">
        <f t="shared" si="413"/>
        <v>0</v>
      </c>
      <c r="DT327" s="180">
        <f t="shared" si="414"/>
        <v>0</v>
      </c>
      <c r="DU327" s="180">
        <f t="shared" si="415"/>
        <v>8</v>
      </c>
      <c r="DV327" s="180">
        <f t="shared" si="416"/>
        <v>8</v>
      </c>
      <c r="DW327" s="180">
        <f t="shared" si="417"/>
        <v>16</v>
      </c>
      <c r="DX327" s="180">
        <f t="shared" si="418"/>
        <v>16</v>
      </c>
      <c r="DY327" s="180">
        <f t="shared" si="419"/>
        <v>16</v>
      </c>
      <c r="DZ327" s="180">
        <f t="shared" si="420"/>
        <v>24</v>
      </c>
      <c r="EA327" s="180">
        <f t="shared" si="421"/>
        <v>24</v>
      </c>
      <c r="EB327" s="180">
        <f t="shared" si="422"/>
        <v>24</v>
      </c>
      <c r="EP327" s="180" t="s">
        <v>700</v>
      </c>
      <c r="EQ327" s="180">
        <v>0</v>
      </c>
      <c r="ER327" s="180">
        <v>0</v>
      </c>
      <c r="ES327" s="180">
        <f t="shared" si="437"/>
        <v>0</v>
      </c>
      <c r="ET327" s="180">
        <f t="shared" si="423"/>
        <v>0</v>
      </c>
      <c r="EU327" s="180">
        <f t="shared" si="424"/>
        <v>8</v>
      </c>
      <c r="EV327" s="180">
        <f t="shared" si="425"/>
        <v>8</v>
      </c>
      <c r="EW327" s="180">
        <f t="shared" si="426"/>
        <v>16</v>
      </c>
      <c r="EX327" s="180">
        <f t="shared" si="427"/>
        <v>16</v>
      </c>
      <c r="EY327" s="180">
        <f t="shared" si="428"/>
        <v>16</v>
      </c>
      <c r="EZ327" s="180">
        <f t="shared" si="429"/>
        <v>24</v>
      </c>
      <c r="FA327" s="180">
        <f t="shared" si="430"/>
        <v>24</v>
      </c>
      <c r="FB327" s="180">
        <f t="shared" si="431"/>
        <v>24</v>
      </c>
      <c r="FC327" s="180">
        <f t="shared" si="432"/>
        <v>24</v>
      </c>
    </row>
    <row r="328" spans="1:159" x14ac:dyDescent="0.25">
      <c r="A328" s="8"/>
      <c r="B328" s="5" t="s">
        <v>116</v>
      </c>
      <c r="C328" s="8"/>
      <c r="D328" s="6" t="s">
        <v>788</v>
      </c>
      <c r="E328" s="8" t="s">
        <v>1157</v>
      </c>
      <c r="F328" s="39" t="s">
        <v>790</v>
      </c>
      <c r="G328" s="17"/>
      <c r="H328" s="9"/>
      <c r="I328" s="9"/>
      <c r="J328" s="9"/>
      <c r="K328" s="9"/>
      <c r="L328" s="6" t="str">
        <f>IF(E329=$AS$23,"CMP41H41/3,5MC",IF(E329=$AU$23,"CMP41H41/3,5MC",IF(E329=$AT$24,"CMP41H41/3MC",IF(E329=$AW$25,"CMP41H41/2,2MC","-------"))))</f>
        <v>CMP41H41/3,5MC</v>
      </c>
      <c r="M328" s="14">
        <f>INDEX(cennik!$C$2:$L$529,MATCH($L328,cennik!$B$2:$B$522,0),MATCH(M$2,cennik!$C$1:$L$1,0))</f>
        <v>851135</v>
      </c>
      <c r="N328" s="14" t="str">
        <f>INDEX(cennik!$C$2:$L$529,MATCH($L328,cennik!$B$2:$B$522,0),MATCH(N$2,cennik!$C$1:$L$1,0))</f>
        <v>szt.</v>
      </c>
      <c r="O328" s="14">
        <f>SUM(AA319:AA334)</f>
        <v>2</v>
      </c>
      <c r="P328" s="22">
        <f>INDEX(cennik!$C$2:$L$529,MATCH($L328,cennik!$B$2:$B$522,0),MATCH(P$2,cennik!$C$1:$L$1,0))</f>
        <v>73.5</v>
      </c>
      <c r="Q328" s="22">
        <f t="shared" si="433"/>
        <v>147</v>
      </c>
      <c r="R328" s="23">
        <f t="shared" si="397"/>
        <v>0</v>
      </c>
      <c r="S328" s="22">
        <f t="shared" si="401"/>
        <v>73.5</v>
      </c>
      <c r="T328" s="22">
        <f t="shared" si="398"/>
        <v>147</v>
      </c>
      <c r="U328" s="22">
        <f>INDEX(cennik!$C$2:$L$529,MATCH($L328,cennik!$B$2:$B$522,0),MATCH(U$2,cennik!$C$1:$L$1,0))*O328</f>
        <v>10.62</v>
      </c>
      <c r="W328" s="189">
        <f>INDEX(($BI$323:$BU$327,$BI$331:$BU$335,$CI$323:$CU$327,$CI$331:$CU$335,$DP$323:$EB$327,$DP$330:$EB$334,$EQ$323:$FC$327,$EQ$330:$FC$334,$EQ$337:$FC$341),MATCH($L$334,$BH$323:$BH$327,0),MATCH($A326,$BI$322:$BU$322,0),MATCH($G$320,$AE$24:$AE$32,0))*$C326</f>
        <v>0</v>
      </c>
      <c r="X328" s="189">
        <f>INDEX(($BI$323:$BU$327,$BI$331:$BU$335,$CI$323:$CU$327,$CI$331:$CU$335,$DP$323:$EB$327,$DP$330:$EB$334,$EQ$323:$FC$327,$EQ$330:$FC$334,$EQ$337:$FC$341),MATCH($L$331,$BH$323:$BH$327,0),MATCH($A326,$BI$322:$BU$322,0),MATCH($G$320,$AE$24:$AE$32,0))*$C326</f>
        <v>0</v>
      </c>
      <c r="Y328" s="189">
        <f>INDEX(($BI$323:$BU$327,$BI$331:$BU$335,$CI$323:$CU$327,$CI$331:$CU$335,$DP$323:$EB$327,$DP$330:$EB$334,$EQ$323:$FC$327,$EQ$330:$FC$334,$EQ$337:$FC$341),MATCH($L$332,$BH$323:$BH$327,0),MATCH($A326,$BI$322:$BU$322,0),MATCH($G$320,$AE$24:$AE$32,0))*$C326</f>
        <v>0</v>
      </c>
      <c r="Z328" s="189">
        <f>INDEX(($BI$323:$BU$327,$BI$331:$BU$335,$CI$323:$CU$327,$CI$331:$CU$335,$DP$323:$EB$327,$DP$330:$EB$334,$EQ$323:$FC$327,$EQ$330:$FC$334,$EQ$337:$FC$341),MATCH($L$333,$BH$323:$BH$327,0),MATCH($A326,$BI$322:$BU$322,0),MATCH($G$320,$AE$24:$AE$32,0))*$C326</f>
        <v>0</v>
      </c>
      <c r="AA328" s="21">
        <f t="shared" si="399"/>
        <v>0</v>
      </c>
      <c r="AB328" s="21">
        <f t="shared" si="396"/>
        <v>0</v>
      </c>
      <c r="AC328" s="21"/>
      <c r="AD328" s="21"/>
      <c r="AO328" s="21">
        <f t="shared" si="395"/>
        <v>1</v>
      </c>
      <c r="BG328" s="21"/>
    </row>
    <row r="329" spans="1:159" x14ac:dyDescent="0.25">
      <c r="A329" s="8"/>
      <c r="B329" s="5" t="s">
        <v>116</v>
      </c>
      <c r="C329" s="8"/>
      <c r="D329" s="6" t="s">
        <v>718</v>
      </c>
      <c r="E329" s="32">
        <f>INDEX((AQ321:AU323),MATCH(E327,AP321:AP323,0),MATCH(E328,AQ320:AU320,0))</f>
        <v>2900</v>
      </c>
      <c r="F329" s="180"/>
      <c r="G329" s="9"/>
      <c r="H329" s="9"/>
      <c r="I329" s="9"/>
      <c r="J329" s="9"/>
      <c r="K329" s="9"/>
      <c r="L329" s="148" t="s">
        <v>1305</v>
      </c>
      <c r="M329" s="14">
        <f>INDEX(cennik!$C$2:$L$529,MATCH($L329,cennik!$B$2:$B$522,0),MATCH(M$2,cennik!$C$1:$L$1,0))</f>
        <v>850155</v>
      </c>
      <c r="N329" s="14" t="str">
        <f>INDEX(cennik!$C$2:$L$529,MATCH($L329,cennik!$B$2:$B$522,0),MATCH(N$2,cennik!$C$1:$L$1,0))</f>
        <v>szt.</v>
      </c>
      <c r="O329" s="149">
        <f>O323</f>
        <v>2</v>
      </c>
      <c r="P329" s="22">
        <f>INDEX(cennik!$C$2:$L$529,MATCH($L329,cennik!$B$2:$B$522,0),MATCH(P$2,cennik!$C$1:$L$1,0))</f>
        <v>14.23</v>
      </c>
      <c r="Q329" s="22">
        <f t="shared" si="433"/>
        <v>28.46</v>
      </c>
      <c r="R329" s="23">
        <f t="shared" si="397"/>
        <v>0</v>
      </c>
      <c r="S329" s="22">
        <f t="shared" si="401"/>
        <v>14.23</v>
      </c>
      <c r="T329" s="22">
        <f t="shared" ref="T329" si="438">O329*S329</f>
        <v>28.46</v>
      </c>
      <c r="U329" s="22">
        <f>INDEX(cennik!$C$2:$L$529,MATCH($L329,cennik!$B$2:$B$522,0),MATCH(U$2,cennik!$C$1:$L$1,0))*O329</f>
        <v>0.5</v>
      </c>
      <c r="W329" s="189">
        <f>INDEX(($BI$323:$BU$327,$BI$331:$BU$335,$CI$323:$CU$327,$CI$331:$CU$335,$DP$323:$EB$327,$DP$330:$EB$334,$EQ$323:$FC$327,$EQ$330:$FC$334,$EQ$337:$FC$341),MATCH($L$334,$BH$323:$BH$327,0),MATCH($A327,$BI$322:$BU$322,0),MATCH($G$320,$AE$24:$AE$32,0))*$C327</f>
        <v>0</v>
      </c>
      <c r="X329" s="189">
        <f>INDEX(($BI$323:$BU$327,$BI$331:$BU$335,$CI$323:$CU$327,$CI$331:$CU$335,$DP$323:$EB$327,$DP$330:$EB$334,$EQ$323:$FC$327,$EQ$330:$FC$334,$EQ$337:$FC$341),MATCH($L$331,$BH$323:$BH$327,0),MATCH($A327,$BI$322:$BU$322,0),MATCH($G$320,$AE$24:$AE$32,0))*$C327</f>
        <v>0</v>
      </c>
      <c r="Y329" s="189">
        <f>INDEX(($BI$323:$BU$327,$BI$331:$BU$335,$CI$323:$CU$327,$CI$331:$CU$335,$DP$323:$EB$327,$DP$330:$EB$334,$EQ$323:$FC$327,$EQ$330:$FC$334,$EQ$337:$FC$341),MATCH($L$332,$BH$323:$BH$327,0),MATCH($A327,$BI$322:$BU$322,0),MATCH($G$320,$AE$24:$AE$32,0))*$C327</f>
        <v>0</v>
      </c>
      <c r="Z329" s="189">
        <f>INDEX(($BI$323:$BU$327,$BI$331:$BU$335,$CI$323:$CU$327,$CI$331:$CU$335,$DP$323:$EB$327,$DP$330:$EB$334,$EQ$323:$FC$327,$EQ$330:$FC$334,$EQ$337:$FC$341),MATCH($L$333,$BH$323:$BH$327,0),MATCH($A327,$BI$322:$BU$322,0),MATCH($G$320,$AE$24:$AE$32,0))*$C327</f>
        <v>0</v>
      </c>
      <c r="AA329" s="21">
        <f t="shared" si="399"/>
        <v>0</v>
      </c>
      <c r="AB329" s="21">
        <f t="shared" si="396"/>
        <v>0</v>
      </c>
      <c r="AC329" s="21"/>
      <c r="AD329" s="21"/>
      <c r="AO329" s="21">
        <f t="shared" si="395"/>
        <v>1</v>
      </c>
      <c r="BG329" s="21"/>
      <c r="DO329" s="180" t="s">
        <v>714</v>
      </c>
      <c r="DP329" s="180">
        <v>0</v>
      </c>
      <c r="DQ329" s="190">
        <v>8</v>
      </c>
      <c r="DR329" s="190">
        <v>12</v>
      </c>
      <c r="DS329" s="190">
        <v>16</v>
      </c>
      <c r="DT329" s="180">
        <v>20</v>
      </c>
      <c r="DU329" s="180">
        <v>24</v>
      </c>
      <c r="DV329" s="180">
        <v>28</v>
      </c>
      <c r="DW329" s="180">
        <v>32</v>
      </c>
      <c r="DX329" s="180">
        <v>36</v>
      </c>
      <c r="DY329" s="180">
        <v>40</v>
      </c>
      <c r="DZ329" s="180">
        <v>44</v>
      </c>
      <c r="EA329" s="180">
        <v>48</v>
      </c>
      <c r="EB329" s="180">
        <v>52</v>
      </c>
      <c r="EP329" s="180" t="s">
        <v>762</v>
      </c>
      <c r="EQ329" s="180">
        <v>0</v>
      </c>
      <c r="ER329" s="180">
        <v>8</v>
      </c>
      <c r="ES329" s="180">
        <v>12</v>
      </c>
      <c r="ET329" s="180">
        <v>16</v>
      </c>
      <c r="EU329" s="180">
        <v>20</v>
      </c>
      <c r="EV329" s="180">
        <v>24</v>
      </c>
      <c r="EW329" s="180">
        <v>28</v>
      </c>
      <c r="EX329" s="180">
        <v>32</v>
      </c>
      <c r="EY329" s="180">
        <v>36</v>
      </c>
      <c r="EZ329" s="180">
        <v>40</v>
      </c>
      <c r="FA329" s="180">
        <v>44</v>
      </c>
      <c r="FB329" s="180">
        <v>48</v>
      </c>
      <c r="FC329" s="180">
        <v>52</v>
      </c>
    </row>
    <row r="330" spans="1:159" x14ac:dyDescent="0.25">
      <c r="A330" s="8"/>
      <c r="B330" s="5" t="s">
        <v>116</v>
      </c>
      <c r="C330" s="8"/>
      <c r="D330" s="6"/>
      <c r="E330" s="38">
        <v>2200</v>
      </c>
      <c r="F330" s="31"/>
      <c r="G330" s="31"/>
      <c r="H330" s="31"/>
      <c r="I330" s="31"/>
      <c r="J330" s="29" t="s">
        <v>119</v>
      </c>
      <c r="K330" s="9"/>
      <c r="L330" s="6" t="s">
        <v>1111</v>
      </c>
      <c r="M330" s="14">
        <f>INDEX(cennik!$C$2:$L$529,MATCH($L330,cennik!$B$2:$B$522,0),MATCH(M$2,cennik!$C$1:$L$1,0))</f>
        <v>850252</v>
      </c>
      <c r="N330" s="14" t="str">
        <f>INDEX(cennik!$C$2:$L$529,MATCH($L330,cennik!$B$2:$B$522,0),MATCH(N$2,cennik!$C$1:$L$1,0))</f>
        <v>szt.</v>
      </c>
      <c r="O330" s="14">
        <f>IF(L327="CMP41H41/1,2MC",O322,0)</f>
        <v>0</v>
      </c>
      <c r="P330" s="22">
        <f>INDEX(cennik!$C$2:$L$529,MATCH($L330,cennik!$B$2:$B$522,0),MATCH(P$2,cennik!$C$1:$L$1,0))</f>
        <v>6.06</v>
      </c>
      <c r="Q330" s="22">
        <f t="shared" ref="Q330:Q340" si="439">O330*P330</f>
        <v>0</v>
      </c>
      <c r="R330" s="23">
        <f t="shared" si="397"/>
        <v>0</v>
      </c>
      <c r="S330" s="22">
        <f t="shared" si="401"/>
        <v>6.06</v>
      </c>
      <c r="T330" s="22">
        <f t="shared" si="398"/>
        <v>0</v>
      </c>
      <c r="U330" s="22">
        <f>INDEX(cennik!$C$2:$L$529,MATCH($L330,cennik!$B$2:$B$522,0),MATCH(U$2,cennik!$C$1:$L$1,0))*O330</f>
        <v>0</v>
      </c>
      <c r="W330" s="189">
        <f>INDEX(($BI$323:$BU$327,$BI$331:$BU$335,$CI$323:$CU$327,$CI$331:$CU$335,$DP$323:$EB$327,$DP$330:$EB$334,$EQ$323:$FC$327,$EQ$330:$FC$334,$EQ$337:$FC$341),MATCH($L$334,$BH$323:$BH$327,0),MATCH($A328,$BI$322:$BU$322,0),MATCH($G$320,$AE$24:$AE$32,0))*$C328</f>
        <v>0</v>
      </c>
      <c r="X330" s="189">
        <f>INDEX(($BI$323:$BU$327,$BI$331:$BU$335,$CI$323:$CU$327,$CI$331:$CU$335,$DP$323:$EB$327,$DP$330:$EB$334,$EQ$323:$FC$327,$EQ$330:$FC$334,$EQ$337:$FC$341),MATCH($L$331,$BH$323:$BH$327,0),MATCH($A328,$BI$322:$BU$322,0),MATCH($G$320,$AE$24:$AE$32,0))*$C328</f>
        <v>0</v>
      </c>
      <c r="Y330" s="189">
        <f>INDEX(($BI$323:$BU$327,$BI$331:$BU$335,$CI$323:$CU$327,$CI$331:$CU$335,$DP$323:$EB$327,$DP$330:$EB$334,$EQ$323:$FC$327,$EQ$330:$FC$334,$EQ$337:$FC$341),MATCH($L$332,$BH$323:$BH$327,0),MATCH($A328,$BI$322:$BU$322,0),MATCH($G$320,$AE$24:$AE$32,0))*$C328</f>
        <v>0</v>
      </c>
      <c r="Z330" s="189">
        <f>INDEX(($BI$323:$BU$327,$BI$331:$BU$335,$CI$323:$CU$327,$CI$331:$CU$335,$DP$323:$EB$327,$DP$330:$EB$334,$EQ$323:$FC$327,$EQ$330:$FC$334,$EQ$337:$FC$341),MATCH($L$333,$BH$323:$BH$327,0),MATCH($A328,$BI$322:$BU$322,0),MATCH($G$320,$AE$24:$AE$32,0))*$C328</f>
        <v>0</v>
      </c>
      <c r="AA330" s="21">
        <f t="shared" si="399"/>
        <v>0</v>
      </c>
      <c r="AB330" s="21">
        <f t="shared" si="396"/>
        <v>0</v>
      </c>
      <c r="AC330" s="21"/>
      <c r="AD330" s="21"/>
      <c r="AO330" s="21">
        <f t="shared" si="395"/>
        <v>1</v>
      </c>
      <c r="BG330" s="21"/>
      <c r="BH330" s="180" t="s">
        <v>115</v>
      </c>
      <c r="BI330" s="180">
        <v>0</v>
      </c>
      <c r="BJ330" s="180">
        <v>8</v>
      </c>
      <c r="BK330" s="180">
        <v>12</v>
      </c>
      <c r="BL330" s="180">
        <v>16</v>
      </c>
      <c r="BM330" s="180">
        <v>20</v>
      </c>
      <c r="BN330" s="180">
        <v>24</v>
      </c>
      <c r="BO330" s="180">
        <v>28</v>
      </c>
      <c r="BP330" s="180">
        <v>32</v>
      </c>
      <c r="BQ330" s="180">
        <v>36</v>
      </c>
      <c r="BR330" s="180">
        <v>40</v>
      </c>
      <c r="BS330" s="180">
        <v>44</v>
      </c>
      <c r="BT330" s="180">
        <v>48</v>
      </c>
      <c r="BU330" s="180">
        <v>52</v>
      </c>
      <c r="CH330" s="180" t="s">
        <v>480</v>
      </c>
      <c r="CI330" s="180">
        <v>0</v>
      </c>
      <c r="CJ330" s="180">
        <v>8</v>
      </c>
      <c r="CK330" s="180">
        <v>12</v>
      </c>
      <c r="CL330" s="180">
        <v>16</v>
      </c>
      <c r="CM330" s="180">
        <v>20</v>
      </c>
      <c r="CN330" s="180">
        <v>24</v>
      </c>
      <c r="CO330" s="180">
        <v>28</v>
      </c>
      <c r="CP330" s="180">
        <v>32</v>
      </c>
      <c r="CQ330" s="180">
        <v>36</v>
      </c>
      <c r="CR330" s="180">
        <v>40</v>
      </c>
      <c r="CS330" s="180">
        <v>44</v>
      </c>
      <c r="CT330" s="180">
        <v>48</v>
      </c>
      <c r="CU330" s="180">
        <v>52</v>
      </c>
      <c r="DO330" s="180" t="s">
        <v>586</v>
      </c>
      <c r="DP330" s="180">
        <v>0</v>
      </c>
      <c r="DQ330" s="190">
        <v>0</v>
      </c>
      <c r="DR330" s="190">
        <f>GT92*2</f>
        <v>0</v>
      </c>
      <c r="DS330" s="190">
        <f t="shared" ref="DS330:DS334" si="440">GU92*2</f>
        <v>8</v>
      </c>
      <c r="DT330" s="180">
        <f t="shared" ref="DT330:DT334" si="441">GV92*2</f>
        <v>8</v>
      </c>
      <c r="DU330" s="180">
        <f t="shared" ref="DU330:DU334" si="442">GW92*2</f>
        <v>0</v>
      </c>
      <c r="DV330" s="180">
        <f t="shared" ref="DV330:DV334" si="443">GX92*2</f>
        <v>0</v>
      </c>
      <c r="DW330" s="180">
        <f t="shared" ref="DW330:DW334" si="444">GY92*2</f>
        <v>0</v>
      </c>
      <c r="DX330" s="180">
        <f t="shared" ref="DX330:DX334" si="445">GZ92*2</f>
        <v>0</v>
      </c>
      <c r="DY330" s="180">
        <f t="shared" ref="DY330:DY334" si="446">HA92*2</f>
        <v>0</v>
      </c>
      <c r="DZ330" s="180">
        <f t="shared" ref="DZ330:DZ334" si="447">HB92*2</f>
        <v>0</v>
      </c>
      <c r="EA330" s="180">
        <f t="shared" ref="EA330:EA334" si="448">HC92*2</f>
        <v>0</v>
      </c>
      <c r="EB330" s="180">
        <f t="shared" ref="EB330:EB334" si="449">HD92*2</f>
        <v>0</v>
      </c>
      <c r="EP330" s="180" t="s">
        <v>586</v>
      </c>
      <c r="EQ330" s="180">
        <v>0</v>
      </c>
      <c r="ER330" s="180">
        <v>0</v>
      </c>
      <c r="ES330" s="180">
        <f>HU92*2</f>
        <v>0</v>
      </c>
      <c r="ET330" s="180">
        <f t="shared" ref="ET330:ET334" si="450">HV92*2</f>
        <v>8</v>
      </c>
      <c r="EU330" s="180">
        <f t="shared" ref="EU330:EU334" si="451">HW92*2</f>
        <v>0</v>
      </c>
      <c r="EV330" s="180">
        <f t="shared" ref="EV330:EV334" si="452">HX92*2</f>
        <v>0</v>
      </c>
      <c r="EW330" s="180">
        <f t="shared" ref="EW330:EW334" si="453">HY92*2</f>
        <v>0</v>
      </c>
      <c r="EX330" s="180">
        <f t="shared" ref="EX330:EX334" si="454">HZ92*2</f>
        <v>0</v>
      </c>
      <c r="EY330" s="180">
        <f t="shared" ref="EY330:EY334" si="455">IA92*2</f>
        <v>0</v>
      </c>
      <c r="EZ330" s="180">
        <f t="shared" ref="EZ330:EZ334" si="456">IB92*2</f>
        <v>0</v>
      </c>
      <c r="FA330" s="180">
        <f t="shared" ref="FA330:FA334" si="457">IC92*2</f>
        <v>0</v>
      </c>
      <c r="FB330" s="180">
        <f t="shared" ref="FB330:FB334" si="458">ID92*2</f>
        <v>0</v>
      </c>
      <c r="FC330" s="180">
        <f t="shared" ref="FC330:FC334" si="459">IE92*2</f>
        <v>0</v>
      </c>
    </row>
    <row r="331" spans="1:159" x14ac:dyDescent="0.25">
      <c r="A331" s="8"/>
      <c r="B331" s="5" t="s">
        <v>116</v>
      </c>
      <c r="C331" s="8"/>
      <c r="D331" s="218"/>
      <c r="E331" s="9"/>
      <c r="F331" s="9"/>
      <c r="G331" s="9"/>
      <c r="H331" s="9"/>
      <c r="I331" s="9"/>
      <c r="J331" s="29" t="str">
        <f>IF(E322=$AC$8,"[mm]","")</f>
        <v/>
      </c>
      <c r="K331" s="9"/>
      <c r="L331" s="6" t="s">
        <v>586</v>
      </c>
      <c r="M331" s="14">
        <f>INDEX(cennik!$C$2:$L$529,MATCH($L331,cennik!$B$2:$B$522,0),MATCH(M$2,cennik!$C$1:$L$1,0))</f>
        <v>867566</v>
      </c>
      <c r="N331" s="14" t="str">
        <f>INDEX(cennik!$C$2:$L$529,MATCH($L331,cennik!$B$2:$B$522,0),MATCH(N$2,cennik!$C$1:$L$1,0))</f>
        <v>szt.</v>
      </c>
      <c r="O331" s="14">
        <f>SUM(X321:X336)</f>
        <v>0</v>
      </c>
      <c r="P331" s="22">
        <f>INDEX(cennik!$C$2:$L$529,MATCH($L331,cennik!$B$2:$B$522,0),MATCH(P$2,cennik!$C$1:$L$1,0))</f>
        <v>265.20999999999998</v>
      </c>
      <c r="Q331" s="22">
        <f t="shared" si="439"/>
        <v>0</v>
      </c>
      <c r="R331" s="23">
        <f t="shared" si="397"/>
        <v>0</v>
      </c>
      <c r="S331" s="22">
        <f t="shared" si="401"/>
        <v>265.20999999999998</v>
      </c>
      <c r="T331" s="22">
        <f t="shared" si="398"/>
        <v>0</v>
      </c>
      <c r="U331" s="22">
        <f>INDEX(cennik!$C$2:$L$529,MATCH($L331,cennik!$B$2:$B$522,0),MATCH(U$2,cennik!$C$1:$L$1,0))*O331</f>
        <v>0</v>
      </c>
      <c r="W331" s="189">
        <f>INDEX(($BI$323:$BU$327,$BI$331:$BU$335,$CI$323:$CU$327,$CI$331:$CU$335,$DP$323:$EB$327,$DP$330:$EB$334,$EQ$323:$FC$327,$EQ$330:$FC$334,$EQ$337:$FC$341),MATCH($L$334,$BH$323:$BH$327,0),MATCH($A329,$BI$322:$BU$322,0),MATCH($G$320,$AE$24:$AE$32,0))*$C329</f>
        <v>0</v>
      </c>
      <c r="X331" s="189">
        <f>INDEX(($BI$323:$BU$327,$BI$331:$BU$335,$CI$323:$CU$327,$CI$331:$CU$335,$DP$323:$EB$327,$DP$330:$EB$334,$EQ$323:$FC$327,$EQ$330:$FC$334,$EQ$337:$FC$341),MATCH($L$331,$BH$323:$BH$327,0),MATCH($A329,$BI$322:$BU$322,0),MATCH($G$320,$AE$24:$AE$32,0))*$C329</f>
        <v>0</v>
      </c>
      <c r="Y331" s="189">
        <f>INDEX(($BI$323:$BU$327,$BI$331:$BU$335,$CI$323:$CU$327,$CI$331:$CU$335,$DP$323:$EB$327,$DP$330:$EB$334,$EQ$323:$FC$327,$EQ$330:$FC$334,$EQ$337:$FC$341),MATCH($L$332,$BH$323:$BH$327,0),MATCH($A329,$BI$322:$BU$322,0),MATCH($G$320,$AE$24:$AE$32,0))*$C329</f>
        <v>0</v>
      </c>
      <c r="Z331" s="189">
        <f>INDEX(($BI$323:$BU$327,$BI$331:$BU$335,$CI$323:$CU$327,$CI$331:$CU$335,$DP$323:$EB$327,$DP$330:$EB$334,$EQ$323:$FC$327,$EQ$330:$FC$334,$EQ$337:$FC$341),MATCH($L$333,$BH$323:$BH$327,0),MATCH($A329,$BI$322:$BU$322,0),MATCH($G$320,$AE$24:$AE$32,0))*$C329</f>
        <v>0</v>
      </c>
      <c r="AA331" s="21">
        <f t="shared" si="399"/>
        <v>0</v>
      </c>
      <c r="AB331" s="21">
        <f t="shared" si="396"/>
        <v>0</v>
      </c>
      <c r="AC331" s="21"/>
      <c r="AO331" s="21"/>
      <c r="BG331" s="21"/>
      <c r="BH331" s="180" t="s">
        <v>586</v>
      </c>
      <c r="BI331" s="180">
        <v>0</v>
      </c>
      <c r="BJ331" s="180">
        <v>0</v>
      </c>
      <c r="BK331" s="180">
        <f>EM93*2</f>
        <v>0</v>
      </c>
      <c r="BL331" s="180">
        <f t="shared" ref="BL331:BL335" si="460">EN93*2</f>
        <v>0</v>
      </c>
      <c r="BM331" s="180">
        <f t="shared" ref="BM331:BM335" si="461">EO93*2</f>
        <v>8</v>
      </c>
      <c r="BN331" s="180">
        <f t="shared" ref="BN331:BN335" si="462">EP93*2</f>
        <v>0</v>
      </c>
      <c r="BO331" s="180">
        <f t="shared" ref="BO331:BO335" si="463">EQ93*2</f>
        <v>0</v>
      </c>
      <c r="BP331" s="180">
        <f t="shared" ref="BP331:BP335" si="464">ER93*2</f>
        <v>0</v>
      </c>
      <c r="BQ331" s="180">
        <f t="shared" ref="BQ331:BQ335" si="465">ES93*2</f>
        <v>0</v>
      </c>
      <c r="BR331" s="180">
        <f t="shared" ref="BR331:BR335" si="466">ET93*2</f>
        <v>0</v>
      </c>
      <c r="BS331" s="180">
        <f t="shared" ref="BS331:BS335" si="467">EU93*2</f>
        <v>0</v>
      </c>
      <c r="BT331" s="180">
        <f t="shared" ref="BT331:BT335" si="468">EV93*2</f>
        <v>0</v>
      </c>
      <c r="BU331" s="180">
        <f>EW93*2</f>
        <v>0</v>
      </c>
      <c r="CH331" s="180" t="s">
        <v>586</v>
      </c>
      <c r="CI331" s="180">
        <v>0</v>
      </c>
      <c r="CJ331" s="180">
        <v>0</v>
      </c>
      <c r="CK331" s="180">
        <f>FM93*2</f>
        <v>0</v>
      </c>
      <c r="CL331" s="180">
        <f t="shared" ref="CL331:CL335" si="469">FN93*2</f>
        <v>8</v>
      </c>
      <c r="CM331" s="180">
        <f t="shared" ref="CM331:CM335" si="470">FO93*2</f>
        <v>8</v>
      </c>
      <c r="CN331" s="180">
        <f t="shared" ref="CN331:CN335" si="471">FP93*2</f>
        <v>0</v>
      </c>
      <c r="CO331" s="180">
        <f t="shared" ref="CO331:CO335" si="472">FQ93*2</f>
        <v>0</v>
      </c>
      <c r="CP331" s="180">
        <f t="shared" ref="CP331:CP335" si="473">FR93*2</f>
        <v>0</v>
      </c>
      <c r="CQ331" s="180">
        <f t="shared" ref="CQ331:CQ335" si="474">FS93*2</f>
        <v>0</v>
      </c>
      <c r="CR331" s="180">
        <f t="shared" ref="CR331:CR335" si="475">FT93*2</f>
        <v>0</v>
      </c>
      <c r="CS331" s="180">
        <f t="shared" ref="CS331:CS335" si="476">FU93*2</f>
        <v>0</v>
      </c>
      <c r="CT331" s="180">
        <f t="shared" ref="CT331:CT335" si="477">FV93*2</f>
        <v>0</v>
      </c>
      <c r="CU331" s="180">
        <f t="shared" ref="CU331:CU335" si="478">FW93*2</f>
        <v>0</v>
      </c>
      <c r="DO331" s="180" t="s">
        <v>522</v>
      </c>
      <c r="DP331" s="180">
        <v>0</v>
      </c>
      <c r="DQ331" s="190">
        <v>0</v>
      </c>
      <c r="DR331" s="190">
        <f t="shared" ref="DR331:DR334" si="479">GT93*2</f>
        <v>8</v>
      </c>
      <c r="DS331" s="190">
        <f t="shared" si="440"/>
        <v>0</v>
      </c>
      <c r="DT331" s="180">
        <f t="shared" si="441"/>
        <v>0</v>
      </c>
      <c r="DU331" s="180">
        <f t="shared" si="442"/>
        <v>8</v>
      </c>
      <c r="DV331" s="180">
        <f t="shared" si="443"/>
        <v>0</v>
      </c>
      <c r="DW331" s="180">
        <f t="shared" si="444"/>
        <v>8</v>
      </c>
      <c r="DX331" s="180">
        <f t="shared" si="445"/>
        <v>16</v>
      </c>
      <c r="DY331" s="180">
        <f t="shared" si="446"/>
        <v>24</v>
      </c>
      <c r="DZ331" s="180">
        <f t="shared" si="447"/>
        <v>8</v>
      </c>
      <c r="EA331" s="180">
        <f t="shared" si="448"/>
        <v>16</v>
      </c>
      <c r="EB331" s="180">
        <f t="shared" si="449"/>
        <v>32</v>
      </c>
      <c r="EP331" s="180" t="s">
        <v>522</v>
      </c>
      <c r="EQ331" s="180">
        <v>0</v>
      </c>
      <c r="ER331" s="180">
        <v>0</v>
      </c>
      <c r="ES331" s="180">
        <f t="shared" ref="ES331:ES334" si="480">HU93*2</f>
        <v>8</v>
      </c>
      <c r="ET331" s="180">
        <f t="shared" si="450"/>
        <v>0</v>
      </c>
      <c r="EU331" s="180">
        <f t="shared" si="451"/>
        <v>8</v>
      </c>
      <c r="EV331" s="180">
        <f t="shared" si="452"/>
        <v>16</v>
      </c>
      <c r="EW331" s="180">
        <f t="shared" si="453"/>
        <v>0</v>
      </c>
      <c r="EX331" s="180">
        <f t="shared" si="454"/>
        <v>16</v>
      </c>
      <c r="EY331" s="180">
        <f t="shared" si="455"/>
        <v>24</v>
      </c>
      <c r="EZ331" s="180">
        <f t="shared" si="456"/>
        <v>8</v>
      </c>
      <c r="FA331" s="180">
        <f t="shared" si="457"/>
        <v>16</v>
      </c>
      <c r="FB331" s="180">
        <f t="shared" si="458"/>
        <v>32</v>
      </c>
      <c r="FC331" s="180">
        <f t="shared" si="459"/>
        <v>16</v>
      </c>
    </row>
    <row r="332" spans="1:159" x14ac:dyDescent="0.25">
      <c r="A332" s="8"/>
      <c r="B332" s="5" t="s">
        <v>116</v>
      </c>
      <c r="C332" s="8"/>
      <c r="D332" s="218"/>
      <c r="E332" s="9"/>
      <c r="F332" s="9"/>
      <c r="G332" s="9"/>
      <c r="H332" s="9"/>
      <c r="I332" s="9"/>
      <c r="J332" s="9"/>
      <c r="K332" s="9"/>
      <c r="L332" s="6" t="s">
        <v>522</v>
      </c>
      <c r="M332" s="14">
        <f>INDEX(cennik!$C$2:$L$529,MATCH($L332,cennik!$B$2:$B$522,0),MATCH(M$2,cennik!$C$1:$L$1,0))</f>
        <v>867644</v>
      </c>
      <c r="N332" s="14" t="str">
        <f>INDEX(cennik!$C$2:$L$529,MATCH($L332,cennik!$B$2:$B$522,0),MATCH(N$2,cennik!$C$1:$L$1,0))</f>
        <v>szt.</v>
      </c>
      <c r="O332" s="14">
        <f>SUM(Y321:Y336)</f>
        <v>8</v>
      </c>
      <c r="P332" s="22">
        <f>INDEX(cennik!$C$2:$L$529,MATCH($L332,cennik!$B$2:$B$522,0),MATCH(P$2,cennik!$C$1:$L$1,0))</f>
        <v>176.8</v>
      </c>
      <c r="Q332" s="22">
        <f t="shared" si="439"/>
        <v>1414.4</v>
      </c>
      <c r="R332" s="23">
        <f t="shared" si="397"/>
        <v>0</v>
      </c>
      <c r="S332" s="22">
        <f t="shared" si="401"/>
        <v>176.8</v>
      </c>
      <c r="T332" s="22">
        <f t="shared" si="398"/>
        <v>1414.4</v>
      </c>
      <c r="U332" s="22">
        <f>INDEX(cennik!$C$2:$L$529,MATCH($L332,cennik!$B$2:$B$522,0),MATCH(U$2,cennik!$C$1:$L$1,0))*O332</f>
        <v>105.04</v>
      </c>
      <c r="W332" s="189">
        <f>INDEX(($BI$323:$BU$327,$BI$331:$BU$335,$CI$323:$CU$327,$CI$331:$CU$335,$DP$323:$EB$327,$DP$330:$EB$334,$EQ$323:$FC$327,$EQ$330:$FC$334,$EQ$337:$FC$341),MATCH($L$334,$BH$323:$BH$327,0),MATCH($A330,$BI$322:$BU$322,0),MATCH($G$320,$AE$24:$AE$32,0))*$C330</f>
        <v>0</v>
      </c>
      <c r="X332" s="189">
        <f>INDEX(($BI$323:$BU$327,$BI$331:$BU$335,$CI$323:$CU$327,$CI$331:$CU$335,$DP$323:$EB$327,$DP$330:$EB$334,$EQ$323:$FC$327,$EQ$330:$FC$334,$EQ$337:$FC$341),MATCH($L$331,$BH$323:$BH$327,0),MATCH($A330,$BI$322:$BU$322,0),MATCH($G$320,$AE$24:$AE$32,0))*$C330</f>
        <v>0</v>
      </c>
      <c r="Y332" s="189">
        <f>INDEX(($BI$323:$BU$327,$BI$331:$BU$335,$CI$323:$CU$327,$CI$331:$CU$335,$DP$323:$EB$327,$DP$330:$EB$334,$EQ$323:$FC$327,$EQ$330:$FC$334,$EQ$337:$FC$341),MATCH($L$332,$BH$323:$BH$327,0),MATCH($A330,$BI$322:$BU$322,0),MATCH($G$320,$AE$24:$AE$32,0))*$C330</f>
        <v>0</v>
      </c>
      <c r="Z332" s="189">
        <f>INDEX(($BI$323:$BU$327,$BI$331:$BU$335,$CI$323:$CU$327,$CI$331:$CU$335,$DP$323:$EB$327,$DP$330:$EB$334,$EQ$323:$FC$327,$EQ$330:$FC$334,$EQ$337:$FC$341),MATCH($L$333,$BH$323:$BH$327,0),MATCH($A330,$BI$322:$BU$322,0),MATCH($G$320,$AE$24:$AE$32,0))*$C330</f>
        <v>0</v>
      </c>
      <c r="AA332" s="21">
        <f t="shared" si="399"/>
        <v>0</v>
      </c>
      <c r="AB332" s="21">
        <f t="shared" si="396"/>
        <v>0</v>
      </c>
      <c r="AC332" s="21"/>
      <c r="AO332" s="21"/>
      <c r="BG332" s="21"/>
      <c r="BH332" s="180" t="s">
        <v>522</v>
      </c>
      <c r="BI332" s="180">
        <v>0</v>
      </c>
      <c r="BJ332" s="180">
        <v>0</v>
      </c>
      <c r="BK332" s="180">
        <f t="shared" ref="BK332:BK335" si="481">EM94*2</f>
        <v>0</v>
      </c>
      <c r="BL332" s="180">
        <f t="shared" si="460"/>
        <v>8</v>
      </c>
      <c r="BM332" s="180">
        <f t="shared" si="461"/>
        <v>0</v>
      </c>
      <c r="BN332" s="180">
        <f t="shared" si="462"/>
        <v>0</v>
      </c>
      <c r="BO332" s="180">
        <f t="shared" si="463"/>
        <v>8</v>
      </c>
      <c r="BP332" s="180">
        <f t="shared" si="464"/>
        <v>0</v>
      </c>
      <c r="BQ332" s="180">
        <f t="shared" si="465"/>
        <v>0</v>
      </c>
      <c r="BR332" s="180">
        <f t="shared" si="466"/>
        <v>8</v>
      </c>
      <c r="BS332" s="180">
        <f t="shared" si="467"/>
        <v>16</v>
      </c>
      <c r="BT332" s="180">
        <f t="shared" si="468"/>
        <v>0</v>
      </c>
      <c r="BU332" s="180">
        <f t="shared" ref="BU332:BU335" si="482">EW94*2</f>
        <v>8</v>
      </c>
      <c r="CH332" s="180" t="s">
        <v>522</v>
      </c>
      <c r="CI332" s="180">
        <v>0</v>
      </c>
      <c r="CJ332" s="180">
        <v>0</v>
      </c>
      <c r="CK332" s="180">
        <f t="shared" ref="CK332:CK335" si="483">FM94*2</f>
        <v>8</v>
      </c>
      <c r="CL332" s="180">
        <f t="shared" si="469"/>
        <v>0</v>
      </c>
      <c r="CM332" s="180">
        <f t="shared" si="470"/>
        <v>0</v>
      </c>
      <c r="CN332" s="180">
        <f t="shared" si="471"/>
        <v>8</v>
      </c>
      <c r="CO332" s="180">
        <f t="shared" si="472"/>
        <v>16</v>
      </c>
      <c r="CP332" s="180">
        <f t="shared" si="473"/>
        <v>0</v>
      </c>
      <c r="CQ332" s="180">
        <f t="shared" si="474"/>
        <v>8</v>
      </c>
      <c r="CR332" s="180">
        <f t="shared" si="475"/>
        <v>16</v>
      </c>
      <c r="CS332" s="180">
        <f t="shared" si="476"/>
        <v>0</v>
      </c>
      <c r="CT332" s="180">
        <f t="shared" si="477"/>
        <v>8</v>
      </c>
      <c r="CU332" s="180">
        <f t="shared" si="478"/>
        <v>16</v>
      </c>
      <c r="DO332" s="180" t="s">
        <v>523</v>
      </c>
      <c r="DP332" s="180">
        <v>0</v>
      </c>
      <c r="DQ332" s="190">
        <v>8</v>
      </c>
      <c r="DR332" s="190">
        <f t="shared" si="479"/>
        <v>0</v>
      </c>
      <c r="DS332" s="190">
        <f t="shared" si="440"/>
        <v>0</v>
      </c>
      <c r="DT332" s="180">
        <f t="shared" si="441"/>
        <v>0</v>
      </c>
      <c r="DU332" s="180">
        <f t="shared" si="442"/>
        <v>8</v>
      </c>
      <c r="DV332" s="180">
        <f t="shared" si="443"/>
        <v>24</v>
      </c>
      <c r="DW332" s="180">
        <f t="shared" si="444"/>
        <v>16</v>
      </c>
      <c r="DX332" s="180">
        <f t="shared" si="445"/>
        <v>8</v>
      </c>
      <c r="DY332" s="180">
        <f t="shared" si="446"/>
        <v>0</v>
      </c>
      <c r="DZ332" s="180">
        <f t="shared" si="447"/>
        <v>24</v>
      </c>
      <c r="EA332" s="180">
        <f t="shared" si="448"/>
        <v>16</v>
      </c>
      <c r="EB332" s="180">
        <f t="shared" si="449"/>
        <v>0</v>
      </c>
      <c r="EP332" s="180" t="s">
        <v>523</v>
      </c>
      <c r="EQ332" s="180">
        <v>0</v>
      </c>
      <c r="ER332" s="180">
        <v>8</v>
      </c>
      <c r="ES332" s="180">
        <f t="shared" si="480"/>
        <v>0</v>
      </c>
      <c r="ET332" s="180">
        <f t="shared" si="450"/>
        <v>0</v>
      </c>
      <c r="EU332" s="180">
        <f t="shared" si="451"/>
        <v>8</v>
      </c>
      <c r="EV332" s="180">
        <f t="shared" si="452"/>
        <v>0</v>
      </c>
      <c r="EW332" s="180">
        <f t="shared" si="453"/>
        <v>24</v>
      </c>
      <c r="EX332" s="180">
        <f t="shared" si="454"/>
        <v>8</v>
      </c>
      <c r="EY332" s="180">
        <f t="shared" si="455"/>
        <v>0</v>
      </c>
      <c r="EZ332" s="180">
        <f t="shared" si="456"/>
        <v>24</v>
      </c>
      <c r="FA332" s="180">
        <f t="shared" si="457"/>
        <v>16</v>
      </c>
      <c r="FB332" s="180">
        <f t="shared" si="458"/>
        <v>0</v>
      </c>
      <c r="FC332" s="180">
        <f t="shared" si="459"/>
        <v>24</v>
      </c>
    </row>
    <row r="333" spans="1:159" x14ac:dyDescent="0.25">
      <c r="A333" s="8"/>
      <c r="B333" s="5" t="s">
        <v>116</v>
      </c>
      <c r="C333" s="8"/>
      <c r="D333" s="218"/>
      <c r="E333" s="9"/>
      <c r="F333" s="9"/>
      <c r="G333" s="9"/>
      <c r="H333" s="9"/>
      <c r="I333" s="9"/>
      <c r="J333" s="9"/>
      <c r="K333" s="9"/>
      <c r="L333" s="6" t="s">
        <v>523</v>
      </c>
      <c r="M333" s="14">
        <f>INDEX(cennik!$C$2:$L$529,MATCH($L333,cennik!$B$2:$B$522,0),MATCH(M$2,cennik!$C$1:$L$1,0))</f>
        <v>867633</v>
      </c>
      <c r="N333" s="14" t="str">
        <f>INDEX(cennik!$C$2:$L$529,MATCH($L333,cennik!$B$2:$B$522,0),MATCH(N$2,cennik!$C$1:$L$1,0))</f>
        <v>szt.</v>
      </c>
      <c r="O333" s="14">
        <f>SUM(Z321:Z336)</f>
        <v>0</v>
      </c>
      <c r="P333" s="22">
        <f>INDEX(cennik!$C$2:$L$529,MATCH($L333,cennik!$B$2:$B$522,0),MATCH(P$2,cennik!$C$1:$L$1,0))</f>
        <v>132.6</v>
      </c>
      <c r="Q333" s="22">
        <f t="shared" si="439"/>
        <v>0</v>
      </c>
      <c r="R333" s="23">
        <f t="shared" si="397"/>
        <v>0</v>
      </c>
      <c r="S333" s="22">
        <f t="shared" si="401"/>
        <v>132.6</v>
      </c>
      <c r="T333" s="22">
        <f t="shared" si="398"/>
        <v>0</v>
      </c>
      <c r="U333" s="22">
        <f>INDEX(cennik!$C$2:$L$529,MATCH($L333,cennik!$B$2:$B$522,0),MATCH(U$2,cennik!$C$1:$L$1,0))*O333</f>
        <v>0</v>
      </c>
      <c r="W333" s="189">
        <f>INDEX(($BI$323:$BU$327,$BI$331:$BU$335,$CI$323:$CU$327,$CI$331:$CU$335,$DP$323:$EB$327,$DP$330:$EB$334,$EQ$323:$FC$327,$EQ$330:$FC$334,$EQ$337:$FC$341),MATCH($L$334,$BH$323:$BH$327,0),MATCH($A331,$BI$322:$BU$322,0),MATCH($G$320,$AE$24:$AE$32,0))*$C331</f>
        <v>0</v>
      </c>
      <c r="X333" s="189">
        <f>INDEX(($BI$323:$BU$327,$BI$331:$BU$335,$CI$323:$CU$327,$CI$331:$CU$335,$DP$323:$EB$327,$DP$330:$EB$334,$EQ$323:$FC$327,$EQ$330:$FC$334,$EQ$337:$FC$341),MATCH($L$331,$BH$323:$BH$327,0),MATCH($A331,$BI$322:$BU$322,0),MATCH($G$320,$AE$24:$AE$32,0))*$C331</f>
        <v>0</v>
      </c>
      <c r="Y333" s="189">
        <f>INDEX(($BI$323:$BU$327,$BI$331:$BU$335,$CI$323:$CU$327,$CI$331:$CU$335,$DP$323:$EB$327,$DP$330:$EB$334,$EQ$323:$FC$327,$EQ$330:$FC$334,$EQ$337:$FC$341),MATCH($L$332,$BH$323:$BH$327,0),MATCH($A331,$BI$322:$BU$322,0),MATCH($G$320,$AE$24:$AE$32,0))*$C331</f>
        <v>0</v>
      </c>
      <c r="Z333" s="189">
        <f>INDEX(($BI$323:$BU$327,$BI$331:$BU$335,$CI$323:$CU$327,$CI$331:$CU$335,$DP$323:$EB$327,$DP$330:$EB$334,$EQ$323:$FC$327,$EQ$330:$FC$334,$EQ$337:$FC$341),MATCH($L$333,$BH$323:$BH$327,0),MATCH($A331,$BI$322:$BU$322,0),MATCH($G$320,$AE$24:$AE$32,0))*$C331</f>
        <v>0</v>
      </c>
      <c r="AA333" s="21">
        <f t="shared" si="399"/>
        <v>0</v>
      </c>
      <c r="AB333" s="21">
        <f t="shared" si="396"/>
        <v>0</v>
      </c>
      <c r="AC333" s="21"/>
      <c r="AO333" s="21"/>
      <c r="BG333" s="21"/>
      <c r="BH333" s="180" t="s">
        <v>523</v>
      </c>
      <c r="BI333" s="180">
        <v>0</v>
      </c>
      <c r="BJ333" s="180">
        <v>8</v>
      </c>
      <c r="BK333" s="180">
        <f t="shared" si="481"/>
        <v>8</v>
      </c>
      <c r="BL333" s="180">
        <f t="shared" si="460"/>
        <v>0</v>
      </c>
      <c r="BM333" s="180">
        <f t="shared" si="461"/>
        <v>0</v>
      </c>
      <c r="BN333" s="180">
        <f t="shared" si="462"/>
        <v>16</v>
      </c>
      <c r="BO333" s="180">
        <f t="shared" si="463"/>
        <v>8</v>
      </c>
      <c r="BP333" s="180">
        <f t="shared" si="464"/>
        <v>24</v>
      </c>
      <c r="BQ333" s="180">
        <f t="shared" si="465"/>
        <v>24</v>
      </c>
      <c r="BR333" s="180">
        <f t="shared" si="466"/>
        <v>16</v>
      </c>
      <c r="BS333" s="180">
        <f t="shared" si="467"/>
        <v>8</v>
      </c>
      <c r="BT333" s="180">
        <f t="shared" si="468"/>
        <v>32</v>
      </c>
      <c r="BU333" s="180">
        <f t="shared" si="482"/>
        <v>24</v>
      </c>
      <c r="CH333" s="180" t="s">
        <v>523</v>
      </c>
      <c r="CI333" s="180">
        <v>0</v>
      </c>
      <c r="CJ333" s="180">
        <v>8</v>
      </c>
      <c r="CK333" s="180">
        <f t="shared" si="483"/>
        <v>0</v>
      </c>
      <c r="CL333" s="180">
        <f t="shared" si="469"/>
        <v>0</v>
      </c>
      <c r="CM333" s="180">
        <f t="shared" si="470"/>
        <v>0</v>
      </c>
      <c r="CN333" s="180">
        <f t="shared" si="471"/>
        <v>8</v>
      </c>
      <c r="CO333" s="180">
        <f t="shared" si="472"/>
        <v>0</v>
      </c>
      <c r="CP333" s="180">
        <f t="shared" si="473"/>
        <v>24</v>
      </c>
      <c r="CQ333" s="180">
        <f t="shared" si="474"/>
        <v>16</v>
      </c>
      <c r="CR333" s="180">
        <f t="shared" si="475"/>
        <v>8</v>
      </c>
      <c r="CS333" s="180">
        <f t="shared" si="476"/>
        <v>32</v>
      </c>
      <c r="CT333" s="180">
        <f t="shared" si="477"/>
        <v>24</v>
      </c>
      <c r="CU333" s="180">
        <f t="shared" si="478"/>
        <v>16</v>
      </c>
      <c r="DO333" s="180" t="s">
        <v>779</v>
      </c>
      <c r="DP333" s="180">
        <v>0</v>
      </c>
      <c r="DQ333" s="190">
        <v>0</v>
      </c>
      <c r="DR333" s="190">
        <f t="shared" si="479"/>
        <v>0</v>
      </c>
      <c r="DS333" s="190">
        <f t="shared" si="440"/>
        <v>0</v>
      </c>
      <c r="DT333" s="180">
        <f t="shared" si="441"/>
        <v>0</v>
      </c>
      <c r="DU333" s="180">
        <f t="shared" si="442"/>
        <v>8</v>
      </c>
      <c r="DV333" s="180">
        <f t="shared" si="443"/>
        <v>16</v>
      </c>
      <c r="DW333" s="180">
        <f t="shared" si="444"/>
        <v>16</v>
      </c>
      <c r="DX333" s="180">
        <f t="shared" si="445"/>
        <v>16</v>
      </c>
      <c r="DY333" s="180">
        <f t="shared" si="446"/>
        <v>16</v>
      </c>
      <c r="DZ333" s="180">
        <f t="shared" si="447"/>
        <v>24</v>
      </c>
      <c r="EA333" s="180">
        <f t="shared" si="448"/>
        <v>24</v>
      </c>
      <c r="EB333" s="180">
        <f t="shared" si="449"/>
        <v>24</v>
      </c>
      <c r="EP333" s="180" t="s">
        <v>524</v>
      </c>
      <c r="EQ333" s="180">
        <v>0</v>
      </c>
      <c r="ER333" s="180">
        <v>0</v>
      </c>
      <c r="ES333" s="180">
        <f t="shared" si="480"/>
        <v>0</v>
      </c>
      <c r="ET333" s="180">
        <f t="shared" si="450"/>
        <v>0</v>
      </c>
      <c r="EU333" s="180">
        <f t="shared" si="451"/>
        <v>8</v>
      </c>
      <c r="EV333" s="180">
        <f t="shared" si="452"/>
        <v>8</v>
      </c>
      <c r="EW333" s="180">
        <f t="shared" si="453"/>
        <v>16</v>
      </c>
      <c r="EX333" s="180">
        <f t="shared" si="454"/>
        <v>16</v>
      </c>
      <c r="EY333" s="180">
        <f t="shared" si="455"/>
        <v>16</v>
      </c>
      <c r="EZ333" s="180">
        <f t="shared" si="456"/>
        <v>24</v>
      </c>
      <c r="FA333" s="180">
        <f t="shared" si="457"/>
        <v>24</v>
      </c>
      <c r="FB333" s="180">
        <f t="shared" si="458"/>
        <v>24</v>
      </c>
      <c r="FC333" s="180">
        <f t="shared" si="459"/>
        <v>32</v>
      </c>
    </row>
    <row r="334" spans="1:159" x14ac:dyDescent="0.25">
      <c r="A334" s="8"/>
      <c r="B334" s="5" t="s">
        <v>116</v>
      </c>
      <c r="C334" s="8"/>
      <c r="D334" s="218"/>
      <c r="E334" s="9"/>
      <c r="F334" s="9"/>
      <c r="G334" s="9"/>
      <c r="H334" s="9"/>
      <c r="I334" s="9"/>
      <c r="J334" s="9"/>
      <c r="K334" s="9"/>
      <c r="L334" s="6" t="s">
        <v>779</v>
      </c>
      <c r="M334" s="14">
        <f>INDEX(cennik!$C$2:$L$529,MATCH($L334,cennik!$B$2:$B$522,0),MATCH(M$2,cennik!$C$1:$L$1,0))</f>
        <v>856105</v>
      </c>
      <c r="N334" s="14" t="str">
        <f>INDEX(cennik!$C$2:$L$529,MATCH($L334,cennik!$B$2:$B$522,0),MATCH(N$2,cennik!$C$1:$L$1,0))</f>
        <v>szt.</v>
      </c>
      <c r="O334" s="14">
        <f>SUM(W321:W336)</f>
        <v>0</v>
      </c>
      <c r="P334" s="22">
        <f>INDEX(cennik!$C$2:$L$529,MATCH($L334,cennik!$B$2:$B$522,0),MATCH(P$2,cennik!$C$1:$L$1,0))</f>
        <v>21.81</v>
      </c>
      <c r="Q334" s="22">
        <f t="shared" si="439"/>
        <v>0</v>
      </c>
      <c r="R334" s="23">
        <f t="shared" si="397"/>
        <v>0</v>
      </c>
      <c r="S334" s="22">
        <f t="shared" si="401"/>
        <v>21.81</v>
      </c>
      <c r="T334" s="22">
        <f t="shared" si="398"/>
        <v>0</v>
      </c>
      <c r="U334" s="22">
        <f>INDEX(cennik!$C$2:$L$529,MATCH($L334,cennik!$B$2:$B$522,0),MATCH(U$2,cennik!$C$1:$L$1,0))*O334</f>
        <v>0</v>
      </c>
      <c r="W334" s="189">
        <f>INDEX(($BI$323:$BU$327,$BI$331:$BU$335,$CI$323:$CU$327,$CI$331:$CU$335,$DP$323:$EB$327,$DP$330:$EB$334,$EQ$323:$FC$327,$EQ$330:$FC$334,$EQ$337:$FC$341),MATCH($L$334,$BH$323:$BH$327,0),MATCH($A332,$BI$322:$BU$322,0),MATCH($G$320,$AE$24:$AE$32,0))*$C332</f>
        <v>0</v>
      </c>
      <c r="X334" s="189">
        <f>INDEX(($BI$323:$BU$327,$BI$331:$BU$335,$CI$323:$CU$327,$CI$331:$CU$335,$DP$323:$EB$327,$DP$330:$EB$334,$EQ$323:$FC$327,$EQ$330:$FC$334,$EQ$337:$FC$341),MATCH($L$331,$BH$323:$BH$327,0),MATCH($A332,$BI$322:$BU$322,0),MATCH($G$320,$AE$24:$AE$32,0))*$C332</f>
        <v>0</v>
      </c>
      <c r="Y334" s="189">
        <f>INDEX(($BI$323:$BU$327,$BI$331:$BU$335,$CI$323:$CU$327,$CI$331:$CU$335,$DP$323:$EB$327,$DP$330:$EB$334,$EQ$323:$FC$327,$EQ$330:$FC$334,$EQ$337:$FC$341),MATCH($L$332,$BH$323:$BH$327,0),MATCH($A332,$BI$322:$BU$322,0),MATCH($G$320,$AE$24:$AE$32,0))*$C332</f>
        <v>0</v>
      </c>
      <c r="Z334" s="189">
        <f>INDEX(($BI$323:$BU$327,$BI$331:$BU$335,$CI$323:$CU$327,$CI$331:$CU$335,$DP$323:$EB$327,$DP$330:$EB$334,$EQ$323:$FC$327,$EQ$330:$FC$334,$EQ$337:$FC$341),MATCH($L$333,$BH$323:$BH$327,0),MATCH($A332,$BI$322:$BU$322,0),MATCH($G$320,$AE$24:$AE$32,0))*$C332</f>
        <v>0</v>
      </c>
      <c r="AA334" s="21">
        <f t="shared" si="399"/>
        <v>0</v>
      </c>
      <c r="AB334" s="21">
        <f t="shared" si="396"/>
        <v>0</v>
      </c>
      <c r="AC334" s="21"/>
      <c r="AO334" s="21"/>
      <c r="BG334" s="21"/>
      <c r="BH334" s="180" t="s">
        <v>779</v>
      </c>
      <c r="BI334" s="180">
        <v>0</v>
      </c>
      <c r="BJ334" s="180">
        <v>0</v>
      </c>
      <c r="BK334" s="180">
        <f t="shared" si="481"/>
        <v>0</v>
      </c>
      <c r="BL334" s="180">
        <f t="shared" si="460"/>
        <v>0</v>
      </c>
      <c r="BM334" s="180">
        <f t="shared" si="461"/>
        <v>0</v>
      </c>
      <c r="BN334" s="180">
        <f t="shared" si="462"/>
        <v>8</v>
      </c>
      <c r="BO334" s="180">
        <f t="shared" si="463"/>
        <v>8</v>
      </c>
      <c r="BP334" s="180">
        <f t="shared" si="464"/>
        <v>16</v>
      </c>
      <c r="BQ334" s="180">
        <f t="shared" si="465"/>
        <v>16</v>
      </c>
      <c r="BR334" s="180">
        <f t="shared" si="466"/>
        <v>16</v>
      </c>
      <c r="BS334" s="180">
        <f t="shared" si="467"/>
        <v>16</v>
      </c>
      <c r="BT334" s="180">
        <f t="shared" si="468"/>
        <v>24</v>
      </c>
      <c r="BU334" s="180">
        <f t="shared" si="482"/>
        <v>24</v>
      </c>
      <c r="CH334" s="180" t="s">
        <v>524</v>
      </c>
      <c r="CI334" s="180">
        <v>0</v>
      </c>
      <c r="CJ334" s="180">
        <v>0</v>
      </c>
      <c r="CK334" s="180">
        <f t="shared" si="483"/>
        <v>0</v>
      </c>
      <c r="CL334" s="180">
        <f t="shared" si="469"/>
        <v>0</v>
      </c>
      <c r="CM334" s="180">
        <f t="shared" si="470"/>
        <v>0</v>
      </c>
      <c r="CN334" s="180">
        <f t="shared" si="471"/>
        <v>8</v>
      </c>
      <c r="CO334" s="180">
        <f t="shared" si="472"/>
        <v>8</v>
      </c>
      <c r="CP334" s="180">
        <f t="shared" si="473"/>
        <v>16</v>
      </c>
      <c r="CQ334" s="180">
        <f t="shared" si="474"/>
        <v>16</v>
      </c>
      <c r="CR334" s="180">
        <f t="shared" si="475"/>
        <v>16</v>
      </c>
      <c r="CS334" s="180">
        <f t="shared" si="476"/>
        <v>24</v>
      </c>
      <c r="CT334" s="180">
        <f t="shared" si="477"/>
        <v>24</v>
      </c>
      <c r="CU334" s="180">
        <f t="shared" si="478"/>
        <v>24</v>
      </c>
      <c r="DO334" s="180" t="s">
        <v>700</v>
      </c>
      <c r="DP334" s="180">
        <v>0</v>
      </c>
      <c r="DQ334" s="190">
        <v>0</v>
      </c>
      <c r="DR334" s="190">
        <f t="shared" si="479"/>
        <v>0</v>
      </c>
      <c r="DS334" s="190">
        <f t="shared" si="440"/>
        <v>0</v>
      </c>
      <c r="DT334" s="180">
        <f t="shared" si="441"/>
        <v>0</v>
      </c>
      <c r="DU334" s="180">
        <f t="shared" si="442"/>
        <v>8</v>
      </c>
      <c r="DV334" s="180">
        <f t="shared" si="443"/>
        <v>16</v>
      </c>
      <c r="DW334" s="180">
        <f t="shared" si="444"/>
        <v>16</v>
      </c>
      <c r="DX334" s="180">
        <f t="shared" si="445"/>
        <v>16</v>
      </c>
      <c r="DY334" s="180">
        <f t="shared" si="446"/>
        <v>16</v>
      </c>
      <c r="DZ334" s="180">
        <f t="shared" si="447"/>
        <v>24</v>
      </c>
      <c r="EA334" s="180">
        <f t="shared" si="448"/>
        <v>24</v>
      </c>
      <c r="EB334" s="180">
        <f t="shared" si="449"/>
        <v>24</v>
      </c>
      <c r="EP334" s="180" t="s">
        <v>700</v>
      </c>
      <c r="EQ334" s="180">
        <v>0</v>
      </c>
      <c r="ER334" s="180">
        <v>0</v>
      </c>
      <c r="ES334" s="180">
        <f t="shared" si="480"/>
        <v>0</v>
      </c>
      <c r="ET334" s="180">
        <f t="shared" si="450"/>
        <v>0</v>
      </c>
      <c r="EU334" s="180">
        <f t="shared" si="451"/>
        <v>8</v>
      </c>
      <c r="EV334" s="180">
        <f t="shared" si="452"/>
        <v>8</v>
      </c>
      <c r="EW334" s="180">
        <f t="shared" si="453"/>
        <v>16</v>
      </c>
      <c r="EX334" s="180">
        <f t="shared" si="454"/>
        <v>16</v>
      </c>
      <c r="EY334" s="180">
        <f t="shared" si="455"/>
        <v>16</v>
      </c>
      <c r="EZ334" s="180">
        <f t="shared" si="456"/>
        <v>24</v>
      </c>
      <c r="FA334" s="180">
        <f t="shared" si="457"/>
        <v>24</v>
      </c>
      <c r="FB334" s="180">
        <f t="shared" si="458"/>
        <v>24</v>
      </c>
      <c r="FC334" s="180">
        <f t="shared" si="459"/>
        <v>32</v>
      </c>
    </row>
    <row r="335" spans="1:159" x14ac:dyDescent="0.25">
      <c r="A335" s="9"/>
      <c r="B335" s="6"/>
      <c r="C335" s="9"/>
      <c r="D335" s="9"/>
      <c r="E335" s="9"/>
      <c r="F335" s="9"/>
      <c r="G335" s="9"/>
      <c r="H335" s="9"/>
      <c r="I335" s="9"/>
      <c r="J335" s="9"/>
      <c r="K335" s="9"/>
      <c r="L335" s="6" t="str">
        <f>INDEX(($AH$3:$AI$12),MATCH(I320,$AG$3:$AG$12,0),MATCH(E321,$AH$2:$AI$2,0))</f>
        <v>BUF35</v>
      </c>
      <c r="M335" s="14">
        <f>INDEX(cennik!$C$2:$L$529,MATCH($L335,cennik!$B$2:$B$522,0),MATCH(M$2,cennik!$C$1:$L$1,0))</f>
        <v>897335</v>
      </c>
      <c r="N335" s="14" t="str">
        <f>INDEX(cennik!$C$2:$L$529,MATCH($L335,cennik!$B$2:$B$522,0),MATCH(N$2,cennik!$C$1:$L$1,0))</f>
        <v>szt.</v>
      </c>
      <c r="O335" s="11">
        <f>SUM((C319*16),(C320*16),(C321*16),(C322*16),(C323*16),(C324*16),(C325*16),(C326*16),(C327*16),(C328*16),(C329*16),(C330*16),(C331*16),(C332*16),(C333*16),(C334*16))</f>
        <v>16</v>
      </c>
      <c r="P335" s="22">
        <f>INDEX(cennik!$C$2:$L$529,MATCH($L335,cennik!$B$2:$B$522,0),MATCH(P$2,cennik!$C$1:$L$1,0))</f>
        <v>1.92</v>
      </c>
      <c r="Q335" s="22">
        <f t="shared" si="439"/>
        <v>30.72</v>
      </c>
      <c r="R335" s="23">
        <f t="shared" si="397"/>
        <v>0</v>
      </c>
      <c r="S335" s="22">
        <f t="shared" si="401"/>
        <v>1.92</v>
      </c>
      <c r="T335" s="22">
        <f t="shared" si="398"/>
        <v>30.72</v>
      </c>
      <c r="U335" s="22">
        <f>INDEX(cennik!$C$2:$L$529,MATCH($L335,cennik!$B$2:$B$522,0),MATCH(U$2,cennik!$C$1:$L$1,0))*O335</f>
        <v>0.32</v>
      </c>
      <c r="W335" s="189">
        <f>INDEX(($BI$323:$BU$327,$BI$331:$BU$335,$CI$323:$CU$327,$CI$331:$CU$335,$DP$323:$EB$327,$DP$330:$EB$334,$EQ$323:$FC$327,$EQ$330:$FC$334,$EQ$337:$FC$341),MATCH($L$334,$BH$323:$BH$327,0),MATCH($A333,$BI$322:$BU$322,0),MATCH($G$320,$AE$24:$AE$32,0))*$C333</f>
        <v>0</v>
      </c>
      <c r="X335" s="189">
        <f>INDEX(($BI$323:$BU$327,$BI$331:$BU$335,$CI$323:$CU$327,$CI$331:$CU$335,$DP$323:$EB$327,$DP$330:$EB$334,$EQ$323:$FC$327,$EQ$330:$FC$334,$EQ$337:$FC$341),MATCH($L$331,$BH$323:$BH$327,0),MATCH($A333,$BI$322:$BU$322,0),MATCH($G$320,$AE$24:$AE$32,0))*$C333</f>
        <v>0</v>
      </c>
      <c r="Y335" s="189">
        <f>INDEX(($BI$323:$BU$327,$BI$331:$BU$335,$CI$323:$CU$327,$CI$331:$CU$335,$DP$323:$EB$327,$DP$330:$EB$334,$EQ$323:$FC$327,$EQ$330:$FC$334,$EQ$337:$FC$341),MATCH($L$332,$BH$323:$BH$327,0),MATCH($A333,$BI$322:$BU$322,0),MATCH($G$320,$AE$24:$AE$32,0))*$C333</f>
        <v>0</v>
      </c>
      <c r="Z335" s="189">
        <f>INDEX(($BI$323:$BU$327,$BI$331:$BU$335,$CI$323:$CU$327,$CI$331:$CU$335,$DP$323:$EB$327,$DP$330:$EB$334,$EQ$323:$FC$327,$EQ$330:$FC$334,$EQ$337:$FC$341),MATCH($L$333,$BH$323:$BH$327,0),MATCH($A333,$BI$322:$BU$322,0),MATCH($G$320,$AE$24:$AE$32,0))*$C333</f>
        <v>0</v>
      </c>
      <c r="AA335" s="21"/>
      <c r="AB335" s="21"/>
      <c r="AC335" s="21"/>
      <c r="AO335" s="21"/>
      <c r="BH335" s="180" t="s">
        <v>700</v>
      </c>
      <c r="BI335" s="180">
        <v>0</v>
      </c>
      <c r="BJ335" s="180">
        <v>0</v>
      </c>
      <c r="BK335" s="180">
        <f t="shared" si="481"/>
        <v>0</v>
      </c>
      <c r="BL335" s="180">
        <f t="shared" si="460"/>
        <v>0</v>
      </c>
      <c r="BM335" s="180">
        <f t="shared" si="461"/>
        <v>0</v>
      </c>
      <c r="BN335" s="180">
        <f t="shared" si="462"/>
        <v>8</v>
      </c>
      <c r="BO335" s="180">
        <f t="shared" si="463"/>
        <v>8</v>
      </c>
      <c r="BP335" s="180">
        <f t="shared" si="464"/>
        <v>16</v>
      </c>
      <c r="BQ335" s="180">
        <f t="shared" si="465"/>
        <v>16</v>
      </c>
      <c r="BR335" s="180">
        <f t="shared" si="466"/>
        <v>16</v>
      </c>
      <c r="BS335" s="180">
        <f t="shared" si="467"/>
        <v>16</v>
      </c>
      <c r="BT335" s="180">
        <f t="shared" si="468"/>
        <v>24</v>
      </c>
      <c r="BU335" s="180">
        <f t="shared" si="482"/>
        <v>24</v>
      </c>
      <c r="CH335" s="180" t="s">
        <v>700</v>
      </c>
      <c r="CI335" s="180">
        <v>0</v>
      </c>
      <c r="CJ335" s="180">
        <v>0</v>
      </c>
      <c r="CK335" s="180">
        <f t="shared" si="483"/>
        <v>0</v>
      </c>
      <c r="CL335" s="180">
        <f t="shared" si="469"/>
        <v>0</v>
      </c>
      <c r="CM335" s="180">
        <f t="shared" si="470"/>
        <v>0</v>
      </c>
      <c r="CN335" s="180">
        <f t="shared" si="471"/>
        <v>8</v>
      </c>
      <c r="CO335" s="180">
        <f t="shared" si="472"/>
        <v>8</v>
      </c>
      <c r="CP335" s="180">
        <f t="shared" si="473"/>
        <v>16</v>
      </c>
      <c r="CQ335" s="180">
        <f t="shared" si="474"/>
        <v>16</v>
      </c>
      <c r="CR335" s="180">
        <f t="shared" si="475"/>
        <v>16</v>
      </c>
      <c r="CS335" s="180">
        <f t="shared" si="476"/>
        <v>24</v>
      </c>
      <c r="CT335" s="180">
        <f t="shared" si="477"/>
        <v>24</v>
      </c>
      <c r="CU335" s="180">
        <f t="shared" si="478"/>
        <v>24</v>
      </c>
    </row>
    <row r="336" spans="1:159" x14ac:dyDescent="0.25">
      <c r="A336" s="1"/>
      <c r="B336" s="1"/>
      <c r="C336" s="1"/>
      <c r="D336" s="9"/>
      <c r="E336" s="9"/>
      <c r="F336" s="9"/>
      <c r="G336" s="9"/>
      <c r="H336" s="9"/>
      <c r="I336" s="9"/>
      <c r="J336" s="9"/>
      <c r="K336" s="1"/>
      <c r="L336" s="6" t="str">
        <f>INDEX(($AH$13:$AI$13),1,MATCH(E321,$AH$2:$AI$2,0))</f>
        <v>PUF</v>
      </c>
      <c r="M336" s="14">
        <f>INDEX(cennik!$C$2:$L$529,MATCH($L336,cennik!$B$2:$B$522,0),MATCH(M$2,cennik!$C$1:$L$1,0))</f>
        <v>897300</v>
      </c>
      <c r="N336" s="14" t="str">
        <f>INDEX(cennik!$C$2:$L$529,MATCH($L336,cennik!$B$2:$B$522,0),MATCH(N$2,cennik!$C$1:$L$1,0))</f>
        <v>szt.</v>
      </c>
      <c r="O336" s="11">
        <f>SUM((((A319/4)-1)*8)*C319,(((A320/4)-1)*8)*C320,(((A321/4)-1)*8)*C321,(((A322/4)-1)*8)*C322,(((A323/4)-1)*8)*C323,(((A324/4)-1)*8)*C324,(((A325/4)-1)*8)*C325,(((A326/4)-1)*8)*C326,(((A327/4)-1)*8)*C327,(((A328/4)-1)*8)*C328,(((A329/4)-1)*8)*C329,(((A330/4)-1)*8)*C330,(((A331/4)-1)*8)*C331,(((A332/4)-1)*8)*C332,(((A333/4)-1)*8)*C333,(((A334/4)-1)*8)*C334)</f>
        <v>16</v>
      </c>
      <c r="P336" s="22">
        <f>INDEX(cennik!$C$2:$L$529,MATCH($L336,cennik!$B$2:$B$522,0),MATCH(P$2,cennik!$C$1:$L$1,0))</f>
        <v>2.06</v>
      </c>
      <c r="Q336" s="22">
        <f t="shared" si="439"/>
        <v>32.96</v>
      </c>
      <c r="R336" s="23">
        <f t="shared" si="397"/>
        <v>0</v>
      </c>
      <c r="S336" s="22">
        <f t="shared" si="401"/>
        <v>2.06</v>
      </c>
      <c r="T336" s="22">
        <f t="shared" si="398"/>
        <v>32.96</v>
      </c>
      <c r="U336" s="22">
        <f>INDEX(cennik!$C$2:$L$529,MATCH($L336,cennik!$B$2:$B$522,0),MATCH(U$2,cennik!$C$1:$L$1,0))*O336</f>
        <v>0.32</v>
      </c>
      <c r="W336" s="189">
        <f>INDEX(($BI$323:$BU$327,$BI$331:$BU$335,$CI$323:$CU$327,$CI$331:$CU$335,$DP$323:$EB$327,$DP$330:$EB$334,$EQ$323:$FC$327,$EQ$330:$FC$334,$EQ$337:$FC$341),MATCH($L$334,$BH$323:$BH$327,0),MATCH($A334,$BI$322:$BU$322,0),MATCH($G$320,$AE$24:$AE$32,0))*$C334</f>
        <v>0</v>
      </c>
      <c r="X336" s="189">
        <f>INDEX(($BI$323:$BU$327,$BI$331:$BU$335,$CI$323:$CU$327,$CI$331:$CU$335,$DP$323:$EB$327,$DP$330:$EB$334,$EQ$323:$FC$327,$EQ$330:$FC$334,$EQ$337:$FC$341),MATCH($L$331,$BH$323:$BH$327,0),MATCH($A334,$BI$322:$BU$322,0),MATCH($G$320,$AE$24:$AE$32,0))*$C334</f>
        <v>0</v>
      </c>
      <c r="Y336" s="189">
        <f>INDEX(($BI$323:$BU$327,$BI$331:$BU$335,$CI$323:$CU$327,$CI$331:$CU$335,$DP$323:$EB$327,$DP$330:$EB$334,$EQ$323:$FC$327,$EQ$330:$FC$334,$EQ$337:$FC$341),MATCH($L$332,$BH$323:$BH$327,0),MATCH($A334,$BI$322:$BU$322,0),MATCH($G$320,$AE$24:$AE$32,0))*$C334</f>
        <v>0</v>
      </c>
      <c r="Z336" s="189">
        <f>INDEX(($BI$323:$BU$327,$BI$331:$BU$335,$CI$323:$CU$327,$CI$331:$CU$335,$DP$323:$EB$327,$DP$330:$EB$334,$EQ$323:$FC$327,$EQ$330:$FC$334,$EQ$337:$FC$341),MATCH($L$333,$BH$323:$BH$327,0),MATCH($A334,$BI$322:$BU$322,0),MATCH($G$320,$AE$24:$AE$32,0))*$C334</f>
        <v>0</v>
      </c>
      <c r="AA336" s="21"/>
      <c r="AB336" s="21"/>
      <c r="AC336" s="21"/>
      <c r="AO336" s="21"/>
      <c r="EP336" s="180" t="s">
        <v>767</v>
      </c>
      <c r="EQ336" s="180">
        <v>0</v>
      </c>
      <c r="ER336" s="180">
        <v>8</v>
      </c>
      <c r="ES336" s="180">
        <v>12</v>
      </c>
      <c r="ET336" s="180">
        <v>16</v>
      </c>
      <c r="EU336" s="180">
        <v>20</v>
      </c>
      <c r="EV336" s="180">
        <v>24</v>
      </c>
      <c r="EW336" s="180">
        <v>28</v>
      </c>
      <c r="EX336" s="180">
        <v>32</v>
      </c>
      <c r="EY336" s="180">
        <v>36</v>
      </c>
      <c r="EZ336" s="180">
        <v>40</v>
      </c>
      <c r="FA336" s="180">
        <v>44</v>
      </c>
      <c r="FB336" s="180">
        <v>48</v>
      </c>
      <c r="FC336" s="180">
        <v>52</v>
      </c>
    </row>
    <row r="337" spans="1:159" x14ac:dyDescent="0.25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6" t="str">
        <f>INDEX(($AJ$3:$AJ$12),MATCH(I320,$AG$3:$AG$12,0),1)</f>
        <v>SAM8X30E</v>
      </c>
      <c r="M337" s="14">
        <f>INDEX(cennik!$C$2:$L$529,MATCH($L337,cennik!$B$2:$B$522,0),MATCH(M$2,cennik!$C$1:$L$1,0))</f>
        <v>898530</v>
      </c>
      <c r="N337" s="14" t="str">
        <f>INDEX(cennik!$C$2:$L$529,MATCH($L337,cennik!$B$2:$B$522,0),MATCH(N$2,cennik!$C$1:$L$1,0))</f>
        <v>szt.</v>
      </c>
      <c r="O337" s="14">
        <f>SUM(O335:O336)</f>
        <v>32</v>
      </c>
      <c r="P337" s="22">
        <f>INDEX(cennik!$C$2:$L$529,MATCH($L337,cennik!$B$2:$B$522,0),MATCH(P$2,cennik!$C$1:$L$1,0))</f>
        <v>0.5</v>
      </c>
      <c r="Q337" s="22">
        <f t="shared" si="439"/>
        <v>16</v>
      </c>
      <c r="R337" s="23">
        <f t="shared" si="397"/>
        <v>0</v>
      </c>
      <c r="S337" s="22">
        <f t="shared" si="401"/>
        <v>0.5</v>
      </c>
      <c r="T337" s="22">
        <f t="shared" si="398"/>
        <v>16</v>
      </c>
      <c r="U337" s="22">
        <f>INDEX(cennik!$C$2:$L$529,MATCH($L337,cennik!$B$2:$B$522,0),MATCH(U$2,cennik!$C$1:$L$1,0))*O337</f>
        <v>1.6</v>
      </c>
      <c r="X337" s="21"/>
      <c r="Y337" s="21"/>
      <c r="Z337" s="21"/>
      <c r="AA337" s="21"/>
      <c r="AB337" s="21"/>
      <c r="AC337" s="21"/>
      <c r="AO337" s="21"/>
      <c r="EP337" s="180" t="s">
        <v>586</v>
      </c>
      <c r="EQ337" s="180">
        <v>0</v>
      </c>
      <c r="ER337" s="180">
        <v>0</v>
      </c>
      <c r="ES337" s="180">
        <f>HU99*2</f>
        <v>0</v>
      </c>
      <c r="ET337" s="180">
        <f t="shared" ref="ET337:ET341" si="484">HV99*2</f>
        <v>8</v>
      </c>
      <c r="EU337" s="180">
        <f t="shared" ref="EU337:EU341" si="485">HW99*2</f>
        <v>0</v>
      </c>
      <c r="EV337" s="180">
        <f t="shared" ref="EV337:EV341" si="486">HX99*2</f>
        <v>0</v>
      </c>
      <c r="EW337" s="180">
        <f t="shared" ref="EW337:EW341" si="487">HY99*2</f>
        <v>0</v>
      </c>
      <c r="EX337" s="180">
        <f t="shared" ref="EX337:EX341" si="488">HZ99*2</f>
        <v>0</v>
      </c>
      <c r="EY337" s="180">
        <f t="shared" ref="EY337:EY341" si="489">IA99*2</f>
        <v>0</v>
      </c>
      <c r="EZ337" s="180">
        <f t="shared" ref="EZ337:EZ341" si="490">IB99*2</f>
        <v>0</v>
      </c>
      <c r="FA337" s="180">
        <f t="shared" ref="FA337:FA341" si="491">IC99*2</f>
        <v>0</v>
      </c>
      <c r="FB337" s="180">
        <f t="shared" ref="FB337:FB341" si="492">ID99*2</f>
        <v>0</v>
      </c>
      <c r="FC337" s="180">
        <f t="shared" ref="FC337:FC341" si="493">IE99*2</f>
        <v>0</v>
      </c>
    </row>
    <row r="338" spans="1:159" x14ac:dyDescent="0.25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6" t="s">
        <v>1019</v>
      </c>
      <c r="M338" s="14">
        <f>INDEX(cennik!$C$2:$L$529,MATCH($L338,cennik!$B$2:$B$522,0),MATCH(M$2,cennik!$C$1:$L$1,0))</f>
        <v>166794</v>
      </c>
      <c r="N338" s="14" t="str">
        <f>INDEX(cennik!$C$2:$L$529,MATCH($L338,cennik!$B$2:$B$522,0),MATCH(N$2,cennik!$C$1:$L$1,0))</f>
        <v>100 szt.</v>
      </c>
      <c r="O338" s="14">
        <f>ROUNDUP(O337/100,0)</f>
        <v>1</v>
      </c>
      <c r="P338" s="22">
        <f>INDEX(cennik!$C$2:$L$529,MATCH($L338,cennik!$B$2:$B$522,0),MATCH(P$2,cennik!$C$1:$L$1,0))</f>
        <v>3.95</v>
      </c>
      <c r="Q338" s="22">
        <f t="shared" si="439"/>
        <v>3.95</v>
      </c>
      <c r="R338" s="23">
        <f t="shared" si="397"/>
        <v>0</v>
      </c>
      <c r="S338" s="22">
        <f t="shared" si="401"/>
        <v>3.95</v>
      </c>
      <c r="T338" s="22">
        <f t="shared" si="398"/>
        <v>3.95</v>
      </c>
      <c r="U338" s="22">
        <f>INDEX(cennik!$C$2:$L$529,MATCH($L338,cennik!$B$2:$B$522,0),MATCH(U$2,cennik!$C$1:$L$1,0))*O338</f>
        <v>0</v>
      </c>
      <c r="AO338" s="21"/>
      <c r="EP338" s="180" t="s">
        <v>522</v>
      </c>
      <c r="EQ338" s="180">
        <v>0</v>
      </c>
      <c r="ER338" s="180">
        <v>0</v>
      </c>
      <c r="ES338" s="180">
        <f t="shared" ref="ES338:ES341" si="494">HU100*2</f>
        <v>8</v>
      </c>
      <c r="ET338" s="180">
        <f t="shared" si="484"/>
        <v>0</v>
      </c>
      <c r="EU338" s="180">
        <f t="shared" si="485"/>
        <v>8</v>
      </c>
      <c r="EV338" s="180">
        <f t="shared" si="486"/>
        <v>16</v>
      </c>
      <c r="EW338" s="180">
        <f t="shared" si="487"/>
        <v>8</v>
      </c>
      <c r="EX338" s="180">
        <f t="shared" si="488"/>
        <v>16</v>
      </c>
      <c r="EY338" s="180">
        <f t="shared" si="489"/>
        <v>24</v>
      </c>
      <c r="EZ338" s="180">
        <f t="shared" si="490"/>
        <v>8</v>
      </c>
      <c r="FA338" s="180">
        <f t="shared" si="491"/>
        <v>24</v>
      </c>
      <c r="FB338" s="180">
        <f t="shared" si="492"/>
        <v>32</v>
      </c>
      <c r="FC338" s="180">
        <f t="shared" si="493"/>
        <v>16</v>
      </c>
    </row>
    <row r="339" spans="1:159" x14ac:dyDescent="0.25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6" t="s">
        <v>525</v>
      </c>
      <c r="M339" s="14">
        <f>INDEX(cennik!$C$2:$L$529,MATCH($L339,cennik!$B$2:$B$522,0),MATCH(M$2,cennik!$C$1:$L$1,0))</f>
        <v>660245</v>
      </c>
      <c r="N339" s="14" t="str">
        <f>INDEX(cennik!$C$2:$L$529,MATCH($L339,cennik!$B$2:$B$522,0),MATCH(N$2,cennik!$C$1:$L$1,0))</f>
        <v>szt.</v>
      </c>
      <c r="O339" s="14">
        <f>SUM(O335:O336)</f>
        <v>32</v>
      </c>
      <c r="P339" s="22">
        <f>INDEX(cennik!$C$2:$L$529,MATCH($L339,cennik!$B$2:$B$522,0),MATCH(P$2,cennik!$C$1:$L$1,0))</f>
        <v>1.56</v>
      </c>
      <c r="Q339" s="22">
        <f t="shared" si="439"/>
        <v>49.92</v>
      </c>
      <c r="R339" s="23">
        <f t="shared" si="397"/>
        <v>0</v>
      </c>
      <c r="S339" s="22">
        <f t="shared" si="401"/>
        <v>1.56</v>
      </c>
      <c r="T339" s="22">
        <f t="shared" si="398"/>
        <v>49.92</v>
      </c>
      <c r="U339" s="22">
        <f>INDEX(cennik!$C$2:$L$529,MATCH($L339,cennik!$B$2:$B$522,0),MATCH(U$2,cennik!$C$1:$L$1,0))*O339</f>
        <v>0</v>
      </c>
      <c r="AO339" s="21"/>
      <c r="EP339" s="180" t="s">
        <v>523</v>
      </c>
      <c r="EQ339" s="180">
        <v>0</v>
      </c>
      <c r="ER339" s="180">
        <v>8</v>
      </c>
      <c r="ES339" s="180">
        <f t="shared" si="494"/>
        <v>0</v>
      </c>
      <c r="ET339" s="180">
        <f t="shared" si="484"/>
        <v>0</v>
      </c>
      <c r="EU339" s="180">
        <f t="shared" si="485"/>
        <v>8</v>
      </c>
      <c r="EV339" s="180">
        <f t="shared" si="486"/>
        <v>0</v>
      </c>
      <c r="EW339" s="180">
        <f t="shared" si="487"/>
        <v>16</v>
      </c>
      <c r="EX339" s="180">
        <f t="shared" si="488"/>
        <v>8</v>
      </c>
      <c r="EY339" s="180">
        <f t="shared" si="489"/>
        <v>0</v>
      </c>
      <c r="EZ339" s="180">
        <f t="shared" si="490"/>
        <v>24</v>
      </c>
      <c r="FA339" s="180">
        <f t="shared" si="491"/>
        <v>8</v>
      </c>
      <c r="FB339" s="180">
        <f t="shared" si="492"/>
        <v>0</v>
      </c>
      <c r="FC339" s="180">
        <f t="shared" si="493"/>
        <v>24</v>
      </c>
    </row>
    <row r="340" spans="1:159" x14ac:dyDescent="0.25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6" t="s">
        <v>799</v>
      </c>
      <c r="M340" s="14">
        <f>INDEX(cennik!$C$2:$L$529,MATCH($L340,cennik!$B$2:$B$522,0),MATCH(M$2,cennik!$C$1:$L$1,0))</f>
        <v>6510443</v>
      </c>
      <c r="N340" s="14" t="str">
        <f>INDEX(cennik!$C$2:$L$529,MATCH($L340,cennik!$B$2:$B$522,0),MATCH(N$2,cennik!$C$1:$L$1,0))</f>
        <v>100 szt.</v>
      </c>
      <c r="O340" s="14">
        <f>O341</f>
        <v>2</v>
      </c>
      <c r="P340" s="22">
        <f>INDEX(cennik!$C$2:$L$529,MATCH($L340,cennik!$B$2:$B$522,0),MATCH(P$2,cennik!$C$1:$L$1,0))</f>
        <v>43.51</v>
      </c>
      <c r="Q340" s="22">
        <f t="shared" si="439"/>
        <v>87.02</v>
      </c>
      <c r="R340" s="23">
        <f t="shared" si="397"/>
        <v>0</v>
      </c>
      <c r="S340" s="22">
        <f t="shared" si="401"/>
        <v>43.51</v>
      </c>
      <c r="T340" s="22">
        <f t="shared" si="398"/>
        <v>87.02</v>
      </c>
      <c r="U340" s="22">
        <f>INDEX(cennik!$C$2:$L$529,MATCH($L340,cennik!$B$2:$B$522,0),MATCH(U$2,cennik!$C$1:$L$1,0))*O340</f>
        <v>0</v>
      </c>
      <c r="AI340" s="180" t="s">
        <v>1312</v>
      </c>
      <c r="AO340" s="21"/>
      <c r="EP340" s="180" t="s">
        <v>524</v>
      </c>
      <c r="EQ340" s="180">
        <v>0</v>
      </c>
      <c r="ER340" s="180">
        <v>0</v>
      </c>
      <c r="ES340" s="180">
        <f t="shared" si="494"/>
        <v>0</v>
      </c>
      <c r="ET340" s="180">
        <f t="shared" si="484"/>
        <v>0</v>
      </c>
      <c r="EU340" s="180">
        <f t="shared" si="485"/>
        <v>8</v>
      </c>
      <c r="EV340" s="180">
        <f t="shared" si="486"/>
        <v>8</v>
      </c>
      <c r="EW340" s="180">
        <f t="shared" si="487"/>
        <v>16</v>
      </c>
      <c r="EX340" s="180">
        <f t="shared" si="488"/>
        <v>16</v>
      </c>
      <c r="EY340" s="180">
        <f t="shared" si="489"/>
        <v>16</v>
      </c>
      <c r="EZ340" s="180">
        <f t="shared" si="490"/>
        <v>24</v>
      </c>
      <c r="FA340" s="180">
        <f t="shared" si="491"/>
        <v>24</v>
      </c>
      <c r="FB340" s="180">
        <f t="shared" si="492"/>
        <v>24</v>
      </c>
      <c r="FC340" s="180">
        <f t="shared" si="493"/>
        <v>32</v>
      </c>
    </row>
    <row r="341" spans="1:159" x14ac:dyDescent="0.25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6" t="s">
        <v>350</v>
      </c>
      <c r="M341" s="14">
        <f>INDEX(cennik!$C$2:$L$529,MATCH($L341,cennik!$B$2:$B$522,0),MATCH(M$2,cennik!$C$1:$L$1,0))</f>
        <v>651643</v>
      </c>
      <c r="N341" s="14" t="str">
        <f>INDEX(cennik!$C$2:$L$529,MATCH($L341,cennik!$B$2:$B$522,0),MATCH(N$2,cennik!$C$1:$L$1,0))</f>
        <v>100 szt.</v>
      </c>
      <c r="O341" s="14">
        <f>ROUNDUP(((O323*23)+(O328*2)+(O347*2)+(O334*8)+(O321*9)+(O343*2)+E325+(O327*3)+(O348*2))/100,0)</f>
        <v>2</v>
      </c>
      <c r="P341" s="22">
        <f>INDEX(cennik!$C$2:$L$529,MATCH($L341,cennik!$B$2:$B$522,0),MATCH(P$2,cennik!$C$1:$L$1,0))</f>
        <v>144.19</v>
      </c>
      <c r="Q341" s="22">
        <f>O341*P341</f>
        <v>288.38</v>
      </c>
      <c r="R341" s="23">
        <f t="shared" si="397"/>
        <v>0</v>
      </c>
      <c r="S341" s="22">
        <f t="shared" si="401"/>
        <v>144.19</v>
      </c>
      <c r="T341" s="22">
        <f t="shared" si="398"/>
        <v>288.38</v>
      </c>
      <c r="U341" s="22">
        <f>INDEX(cennik!$C$2:$L$529,MATCH($L341,cennik!$B$2:$B$522,0),MATCH(U$2,cennik!$C$1:$L$1,0))*O341</f>
        <v>6.6</v>
      </c>
      <c r="AI341" s="180" t="s">
        <v>1313</v>
      </c>
      <c r="AO341" s="21"/>
      <c r="EP341" s="180" t="s">
        <v>700</v>
      </c>
      <c r="EQ341" s="180">
        <v>0</v>
      </c>
      <c r="ER341" s="180">
        <v>0</v>
      </c>
      <c r="ES341" s="180">
        <f t="shared" si="494"/>
        <v>0</v>
      </c>
      <c r="ET341" s="180">
        <f t="shared" si="484"/>
        <v>0</v>
      </c>
      <c r="EU341" s="180">
        <f t="shared" si="485"/>
        <v>8</v>
      </c>
      <c r="EV341" s="180">
        <f t="shared" si="486"/>
        <v>8</v>
      </c>
      <c r="EW341" s="180">
        <f t="shared" si="487"/>
        <v>16</v>
      </c>
      <c r="EX341" s="180">
        <f t="shared" si="488"/>
        <v>16</v>
      </c>
      <c r="EY341" s="180">
        <f t="shared" si="489"/>
        <v>16</v>
      </c>
      <c r="EZ341" s="180">
        <f t="shared" si="490"/>
        <v>24</v>
      </c>
      <c r="FA341" s="180">
        <f t="shared" si="491"/>
        <v>24</v>
      </c>
      <c r="FB341" s="180">
        <f t="shared" si="492"/>
        <v>24</v>
      </c>
      <c r="FC341" s="180">
        <f t="shared" si="493"/>
        <v>32</v>
      </c>
    </row>
    <row r="342" spans="1:159" x14ac:dyDescent="0.25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6" t="s">
        <v>128</v>
      </c>
      <c r="M342" s="14">
        <f>INDEX(cennik!$C$2:$L$529,MATCH($L342,cennik!$B$2:$B$522,0),MATCH(M$2,cennik!$C$1:$L$1,0))</f>
        <v>897303</v>
      </c>
      <c r="N342" s="14" t="str">
        <f>INDEX(cennik!$C$2:$L$529,MATCH($L342,cennik!$B$2:$B$522,0),MATCH(N$2,cennik!$C$1:$L$1,0))</f>
        <v>szt.</v>
      </c>
      <c r="O342" s="11">
        <f>SUM((IF(MOD((A319/4),2)=0,(A319/4)/2,IF(MOD((A319/4),2)=1,FLOOR((A319/4)/2,1)+1,0))*C319*4),(IF(MOD((A320/4),2)=0,(A320/4)/2,IF(MOD((A320/4),2)=1,FLOOR((A320/4)/2,1)+1,0))*C320*4),(IF(MOD((A321/4),2)=0,(A321/4)/2,IF(MOD((A321/4),2)=1,FLOOR((A321/4)/2,1)+1,0))*C321*4),(IF(MOD((A322/4),2)=0,(A322/4)/2,IF(MOD((A322/4),2)=1,FLOOR((A322/4)/2,1)+1,0))*C322*4),(IF(MOD((A323/4),2)=0,(A323/4)/2,IF(MOD((A323/4),2)=1,FLOOR((A323/4)/2,1)+1,0))*C323*4),(IF(MOD((A324/4),2)=0,(A324/4)/2,IF(MOD((A324/4),2)=1,FLOOR((A324/4)/2,1)+1,0))*C324*4),(IF(MOD((A325/4),2)=0,(A325/4)/2,IF(MOD((A325/4),2)=1,FLOOR((A325/4)/2,1)+1,0))*C325*4),(IF(MOD((A326/4),2)=0,(A326/4)/2,IF(MOD((A326/4),2)=1,FLOOR((A326/4)/2,1)+1,0))*C326*4),(IF(MOD((A327/4),2)=0,(A327/4)/2,IF(MOD((A327/4),2)=1,FLOOR((A327/4)/2,1)+1,0))*C327*4),(IF(MOD((A328/4),2)=0,(A328/4)/2,IF(MOD((A328/4),2)=1,FLOOR((A328/4)/2,1)+1,0))*C328*4),(IF(MOD((A329/4),2)=0,(A329/4)/2,IF(MOD((A329/4),2)=1,FLOOR((A329/4)/2,1)+1,0))*C329*4),(IF(MOD((A330/4),2)=0,(A330/4)/2,IF(MOD((A330/4),2)=1,FLOOR((A330/4)/2,1)+1,0))*C330*4),(IF(MOD((A331/4),2)=0,(A331/4)/2,IF(MOD((A331/4),2)=1,FLOOR((A331/4)/2,1)+1,0))*C331*4),(IF(MOD((A332/4),2)=0,(A332/4)/2,IF(MOD((A332/4),2)=1,FLOOR((A332/4)/2,1)+1,0))*C332*4),(IF(MOD((A333/4),2)=0,(A333/4)/2,IF(MOD((A333/4),2)=1,FLOOR((A333/4)/2,1)+1,0))*C333*4),(IF(MOD((A334/4),2)=0,(A334/4)/2,IF(MOD((A334/4),2)=1,FLOOR((A334/4)/2,1)+1,0))*C334*4))</f>
        <v>8</v>
      </c>
      <c r="P342" s="22">
        <f>INDEX(cennik!$C$2:$L$529,MATCH($L342,cennik!$B$2:$B$522,0),MATCH(P$2,cennik!$C$1:$L$1,0))</f>
        <v>2.4</v>
      </c>
      <c r="Q342" s="22">
        <f>O342*P342</f>
        <v>19.2</v>
      </c>
      <c r="R342" s="23">
        <f t="shared" si="397"/>
        <v>0</v>
      </c>
      <c r="S342" s="22">
        <f t="shared" si="401"/>
        <v>2.4</v>
      </c>
      <c r="T342" s="22">
        <f t="shared" si="398"/>
        <v>19.2</v>
      </c>
      <c r="U342" s="22">
        <f>INDEX(cennik!$C$2:$L$529,MATCH($L342,cennik!$B$2:$B$522,0),MATCH(U$2,cennik!$C$1:$L$1,0))*O342</f>
        <v>0.128</v>
      </c>
      <c r="AO342" s="21"/>
    </row>
    <row r="343" spans="1:159" x14ac:dyDescent="0.25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6" t="s">
        <v>527</v>
      </c>
      <c r="M343" s="14">
        <f>INDEX(cennik!$C$2:$L$529,MATCH($L343,cennik!$B$2:$B$522,0),MATCH(M$2,cennik!$C$1:$L$1,0))</f>
        <v>897311</v>
      </c>
      <c r="N343" s="14" t="str">
        <f>INDEX(cennik!$C$2:$L$529,MATCH($L343,cennik!$B$2:$B$522,0),MATCH(N$2,cennik!$C$1:$L$1,0))</f>
        <v>szt.</v>
      </c>
      <c r="O343" s="11">
        <f>SUM(((INT(((A319/2)+1)/3))*4*C319),((INT(((A320/2)+1)/3))*4*C320),((INT(((A321/2)+1)/3))*4*C321),((INT(((A322/2)+1)/3))*4*C322),((INT(((A323/2)+1)/3))*4*C323),((INT(((A324/2)+1)/3))*4*C324),((INT(((A325/2)+1)/3))*4*C325),((INT(((A326/2)+1)/3))*4*C326),((INT(((A327/2)+1)/3))*4*C327),((INT(((A328/2)+1)/3))*4*C328),((INT(((A329/2)+1)/3))*4*C329),((INT(((A330/2)+1)/3))*4*C330),((INT(((A331/2)+1)/3))*4*C331),((INT(((A332/2)+1)/3))*4*C332),((INT(((A333/2)+1)/3))*4*C333),((INT(((A334/2)+1)/3))*4*C334))</f>
        <v>8</v>
      </c>
      <c r="P343" s="22">
        <f>INDEX(cennik!$C$2:$L$529,MATCH($L343,cennik!$B$2:$B$522,0),MATCH(P$2,cennik!$C$1:$L$1,0))</f>
        <v>5.49</v>
      </c>
      <c r="Q343" s="22">
        <f>O343*P343</f>
        <v>43.92</v>
      </c>
      <c r="R343" s="23">
        <f t="shared" si="397"/>
        <v>0</v>
      </c>
      <c r="S343" s="22">
        <f t="shared" si="401"/>
        <v>5.49</v>
      </c>
      <c r="T343" s="22">
        <f t="shared" si="398"/>
        <v>43.92</v>
      </c>
      <c r="U343" s="22">
        <f>INDEX(cennik!$C$2:$L$529,MATCH($L343,cennik!$B$2:$B$522,0),MATCH(U$2,cennik!$C$1:$L$1,0))*O343</f>
        <v>0.24</v>
      </c>
      <c r="AO343" s="21"/>
    </row>
    <row r="344" spans="1:159" x14ac:dyDescent="0.25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6" t="s">
        <v>319</v>
      </c>
      <c r="M344" s="14">
        <f>INDEX(cennik!$C$2:$L$529,MATCH($L344,cennik!$B$2:$B$522,0),MATCH(M$2,cennik!$C$1:$L$1,0))</f>
        <v>890111</v>
      </c>
      <c r="N344" s="14" t="str">
        <f>INDEX(cennik!$C$2:$L$529,MATCH($L344,cennik!$B$2:$B$522,0),MATCH(N$2,cennik!$C$1:$L$1,0))</f>
        <v>100 szt.</v>
      </c>
      <c r="O344" s="14">
        <f>ROUNDUP((O320*4)/100,0)</f>
        <v>0</v>
      </c>
      <c r="P344" s="22">
        <f>INDEX(cennik!$C$2:$L$529,MATCH($L344,cennik!$B$2:$B$522,0),MATCH(P$2,cennik!$C$1:$L$1,0))</f>
        <v>174.59</v>
      </c>
      <c r="Q344" s="22">
        <f>O344*P344</f>
        <v>0</v>
      </c>
      <c r="R344" s="23">
        <f t="shared" si="397"/>
        <v>0</v>
      </c>
      <c r="S344" s="22">
        <f t="shared" si="401"/>
        <v>174.59</v>
      </c>
      <c r="T344" s="22">
        <f t="shared" si="398"/>
        <v>0</v>
      </c>
      <c r="U344" s="22">
        <f>INDEX(cennik!$C$2:$L$529,MATCH($L344,cennik!$B$2:$B$522,0),MATCH(U$2,cennik!$C$1:$L$1,0))*O344</f>
        <v>0</v>
      </c>
      <c r="AO344" s="21"/>
    </row>
    <row r="345" spans="1:159" x14ac:dyDescent="0.25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6" t="s">
        <v>722</v>
      </c>
      <c r="M345" s="14">
        <f>INDEX(cennik!$C$2:$L$529,MATCH($L345,cennik!$B$2:$B$522,0),MATCH(M$2,cennik!$C$1:$L$1,0))</f>
        <v>890504</v>
      </c>
      <c r="N345" s="14" t="str">
        <f>INDEX(cennik!$C$2:$L$529,MATCH($L345,cennik!$B$2:$B$522,0),MATCH(N$2,cennik!$C$1:$L$1,0))</f>
        <v>szt.</v>
      </c>
      <c r="O345" s="14">
        <f>SUM(C319:C334)*16</f>
        <v>16</v>
      </c>
      <c r="P345" s="22">
        <f>INDEX(cennik!$C$2:$L$529,MATCH($L345,cennik!$B$2:$B$522,0),MATCH(P$2,cennik!$C$1:$L$1,0))</f>
        <v>4.58</v>
      </c>
      <c r="Q345" s="22">
        <f>O345*P345</f>
        <v>73.28</v>
      </c>
      <c r="R345" s="23">
        <f t="shared" si="397"/>
        <v>0</v>
      </c>
      <c r="S345" s="22">
        <f t="shared" si="401"/>
        <v>4.58</v>
      </c>
      <c r="T345" s="22">
        <f t="shared" si="398"/>
        <v>73.28</v>
      </c>
      <c r="U345" s="22">
        <f>INDEX(cennik!$C$2:$L$529,MATCH($L345,cennik!$B$2:$B$522,0),MATCH(U$2,cennik!$C$1:$L$1,0))*O345</f>
        <v>0.48</v>
      </c>
      <c r="AO345" s="21"/>
    </row>
    <row r="346" spans="1:159" x14ac:dyDescent="0.25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6" t="s">
        <v>316</v>
      </c>
      <c r="M346" s="14"/>
      <c r="N346" s="14"/>
      <c r="O346" s="14"/>
      <c r="P346" s="22"/>
      <c r="Q346" s="22"/>
      <c r="R346" s="23"/>
      <c r="S346" s="22"/>
      <c r="T346" s="22"/>
      <c r="U346" s="22"/>
      <c r="AO346" s="21"/>
    </row>
    <row r="347" spans="1:159" x14ac:dyDescent="0.25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6" t="str">
        <f>IF(E329=AS340,"CWT70H50/3,2NMC",IF(E329=AU340,"CWT70H50/3NMC",IF(E329=AT341,"CWT70H50/2,4NMC",IF(E329=AW342,"CWT70H50/2NMC","-------"))))</f>
        <v>-------</v>
      </c>
      <c r="M347" s="14" t="str">
        <f>INDEX(cennik!$C$2:$L$529,MATCH($L347,cennik!$B$2:$B$522,0),MATCH(M$2,cennik!$C$1:$L$1,0))</f>
        <v>-------</v>
      </c>
      <c r="N347" s="14">
        <f>INDEX(cennik!$C$2:$L$529,MATCH($L347,cennik!$B$2:$B$522,0),MATCH(N$2,cennik!$C$1:$L$1,0))</f>
        <v>0</v>
      </c>
      <c r="O347" s="14">
        <f>E323*2</f>
        <v>0</v>
      </c>
      <c r="P347" s="22">
        <f>INDEX(cennik!$C$2:$L$529,MATCH($L347,cennik!$B$2:$B$522,0),MATCH(P$2,cennik!$C$1:$L$1,0))</f>
        <v>0</v>
      </c>
      <c r="Q347" s="22">
        <f>O347*P347</f>
        <v>0</v>
      </c>
      <c r="R347" s="23">
        <f t="shared" si="397"/>
        <v>0</v>
      </c>
      <c r="S347" s="22">
        <f t="shared" si="401"/>
        <v>0</v>
      </c>
      <c r="T347" s="22">
        <f t="shared" ref="T347:T348" si="495">O347*S347</f>
        <v>0</v>
      </c>
      <c r="U347" s="22">
        <f>INDEX(cennik!$C$2:$L$529,MATCH($L347,cennik!$B$2:$B$522,0),MATCH(U$2,cennik!$C$1:$L$1,0))*O347</f>
        <v>0</v>
      </c>
    </row>
    <row r="348" spans="1:159" x14ac:dyDescent="0.25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6" t="s">
        <v>591</v>
      </c>
      <c r="M348" s="14">
        <f>INDEX(cennik!$C$2:$L$529,MATCH($L348,cennik!$B$2:$B$522,0),MATCH(M$2,cennik!$C$1:$L$1,0))</f>
        <v>867810</v>
      </c>
      <c r="N348" s="14" t="str">
        <f>INDEX(cennik!$C$2:$L$529,MATCH($L348,cennik!$B$2:$B$522,0),MATCH(N$2,cennik!$C$1:$L$1,0))</f>
        <v>szt.</v>
      </c>
      <c r="O348" s="14">
        <f>E323*4</f>
        <v>0</v>
      </c>
      <c r="P348" s="22">
        <f>INDEX(cennik!$C$2:$L$529,MATCH($L348,cennik!$B$2:$B$522,0),MATCH(P$2,cennik!$C$1:$L$1,0))</f>
        <v>50.61</v>
      </c>
      <c r="Q348" s="22">
        <f>O348*P348</f>
        <v>0</v>
      </c>
      <c r="R348" s="23">
        <f t="shared" si="397"/>
        <v>0</v>
      </c>
      <c r="S348" s="22">
        <f t="shared" si="401"/>
        <v>50.61</v>
      </c>
      <c r="T348" s="22">
        <f t="shared" si="495"/>
        <v>0</v>
      </c>
      <c r="U348" s="22">
        <f>INDEX(cennik!$C$2:$L$529,MATCH($L348,cennik!$B$2:$B$522,0),MATCH(U$2,cennik!$C$1:$L$1,0))*O348</f>
        <v>0</v>
      </c>
    </row>
    <row r="349" spans="1:159" x14ac:dyDescent="0.25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4"/>
      <c r="N349" s="14"/>
      <c r="O349" s="14"/>
      <c r="P349" s="14"/>
      <c r="Q349" s="14"/>
      <c r="R349" s="14"/>
      <c r="S349" s="14"/>
      <c r="T349" s="22">
        <f>SUM(T320:T348)</f>
        <v>4127.49</v>
      </c>
      <c r="U349" s="22">
        <f>SUM(U320:U348)</f>
        <v>235.04799999999997</v>
      </c>
    </row>
    <row r="350" spans="1:159" x14ac:dyDescent="0.25"/>
    <row r="351" spans="1:159" x14ac:dyDescent="0.25"/>
    <row r="352" spans="1:159" x14ac:dyDescent="0.25"/>
    <row r="353" x14ac:dyDescent="0.25"/>
    <row r="354" x14ac:dyDescent="0.25"/>
    <row r="355" x14ac:dyDescent="0.25"/>
    <row r="356" x14ac:dyDescent="0.25"/>
    <row r="357" x14ac:dyDescent="0.25"/>
    <row r="358" x14ac:dyDescent="0.25"/>
    <row r="359" x14ac:dyDescent="0.25"/>
    <row r="360" x14ac:dyDescent="0.25"/>
  </sheetData>
  <sheetProtection algorithmName="SHA-512" hashValue="NGOX+c1v/Rwoqmw47clUYX7o64bNvPeFOzFt1OXyCR2R8wgoIcVmO95aPAI7cbrPrcvt1dWjQNKBArxhLha0RQ==" saltValue="oyME3+lGQN59wNfP5Ng2SA==" spinCount="100000" sheet="1" objects="1" scenarios="1"/>
  <mergeCells count="11">
    <mergeCell ref="L191:U191"/>
    <mergeCell ref="L318:U318"/>
    <mergeCell ref="L218:U218"/>
    <mergeCell ref="L253:U253"/>
    <mergeCell ref="L284:U284"/>
    <mergeCell ref="L161:U161"/>
    <mergeCell ref="L1:U1"/>
    <mergeCell ref="L33:U33"/>
    <mergeCell ref="L65:U65"/>
    <mergeCell ref="L97:U97"/>
    <mergeCell ref="L129:U129"/>
  </mergeCells>
  <conditionalFormatting sqref="E14">
    <cfRule type="expression" dxfId="12" priority="11">
      <formula>IF($E$5="wkręcana",1)</formula>
    </cfRule>
  </conditionalFormatting>
  <conditionalFormatting sqref="E45">
    <cfRule type="expression" dxfId="11" priority="10">
      <formula>IF($E$37="wkręcana",1)</formula>
    </cfRule>
  </conditionalFormatting>
  <conditionalFormatting sqref="E77">
    <cfRule type="expression" dxfId="10" priority="9">
      <formula>IF($E$69="wkręcana",1)</formula>
    </cfRule>
  </conditionalFormatting>
  <conditionalFormatting sqref="E110">
    <cfRule type="expression" dxfId="9" priority="8">
      <formula>IF($E$101="wkręcana",1)</formula>
    </cfRule>
  </conditionalFormatting>
  <conditionalFormatting sqref="E141">
    <cfRule type="expression" dxfId="8" priority="7">
      <formula>IF($E$133="wkręcana",1)</formula>
    </cfRule>
  </conditionalFormatting>
  <conditionalFormatting sqref="E174">
    <cfRule type="expression" dxfId="7" priority="6">
      <formula>IF($E$165="wkręcana",1)</formula>
    </cfRule>
  </conditionalFormatting>
  <conditionalFormatting sqref="E231">
    <cfRule type="expression" dxfId="6" priority="5">
      <formula>IF($E$222="wkręcana",1)</formula>
    </cfRule>
  </conditionalFormatting>
  <conditionalFormatting sqref="E266">
    <cfRule type="expression" dxfId="5" priority="4">
      <formula>IF($E$257="wkręcana",1)</formula>
    </cfRule>
  </conditionalFormatting>
  <conditionalFormatting sqref="E296">
    <cfRule type="expression" dxfId="4" priority="3">
      <formula>IF($E$288="wkręcana",1)</formula>
    </cfRule>
  </conditionalFormatting>
  <conditionalFormatting sqref="E330">
    <cfRule type="expression" dxfId="3" priority="1">
      <formula>IF($E$322="wkręcana",1)</formula>
    </cfRule>
  </conditionalFormatting>
  <dataValidations count="39">
    <dataValidation type="list" allowBlank="1" showInputMessage="1" showErrorMessage="1" sqref="E99 E320" xr:uid="{A59A40CD-E95E-40A4-BEB0-416B724D4B9C}">
      <formula1>$AE$33:$AE$50</formula1>
    </dataValidation>
    <dataValidation type="list" allowBlank="1" showInputMessage="1" showErrorMessage="1" sqref="E106 E10 E170 E227" xr:uid="{4D41D41A-1464-422D-861A-9E2F3EEF49DA}">
      <formula1>$DS$6:$DS$7</formula1>
    </dataValidation>
    <dataValidation type="list" allowBlank="1" showInputMessage="1" showErrorMessage="1" sqref="E14 E266 E231 E174 E141 E110 E77 E45 E296 E330" xr:uid="{EAC86AE2-07F7-4A0F-AD85-5565708BE657}">
      <formula1>$DS$10:$DS$11</formula1>
    </dataValidation>
    <dataValidation type="list" allowBlank="1" showInputMessage="1" showErrorMessage="1" sqref="G255 G99 G131 G286 G320" xr:uid="{DEE44848-F74E-4135-A102-B91CB91DA826}">
      <formula1>$AE$24:$AE$32</formula1>
    </dataValidation>
    <dataValidation type="list" allowBlank="1" showInputMessage="1" showErrorMessage="1" sqref="E220" xr:uid="{06C81BE2-2100-481F-A527-8D627B550B9E}">
      <formula1>$AE$33:$AE$47</formula1>
    </dataValidation>
    <dataValidation type="list" allowBlank="1" showInputMessage="1" showErrorMessage="1" sqref="E131" xr:uid="{7CFD169C-1CE4-4323-BB90-D3CA245D5A92}">
      <formula1>$AE$33:$AE$41</formula1>
    </dataValidation>
    <dataValidation type="list" allowBlank="1" showInputMessage="1" showErrorMessage="1" sqref="AL192" xr:uid="{2F08F67A-E3D0-4C72-AF62-D7F33EDCAEC5}">
      <formula1>$AF$33:$AF$46</formula1>
    </dataValidation>
    <dataValidation type="list" allowBlank="1" showInputMessage="1" showErrorMessage="1" sqref="E163" xr:uid="{6BBEC4D6-9F70-48D7-82C6-8470EBAC978F}">
      <formula1>$AE$33:$AE$35</formula1>
    </dataValidation>
    <dataValidation type="list" allowBlank="1" showInputMessage="1" showErrorMessage="1" sqref="E193 E255 E3 E67 E35 E286" xr:uid="{B314F911-CF2F-4A3F-B6CB-DEE3157133FD}">
      <formula1>$AE$33:$AE$46</formula1>
    </dataValidation>
    <dataValidation type="list" allowBlank="1" showInputMessage="1" showErrorMessage="1" sqref="AI170" xr:uid="{8758D34B-4EB9-4C2D-AF5F-51548114580C}">
      <formula1>$AF$33:$AF$44</formula1>
    </dataValidation>
    <dataValidation type="list" allowBlank="1" showInputMessage="1" showErrorMessage="1" sqref="AK20" xr:uid="{FF2C96F1-DE46-423D-A1C3-46F33CA25FDC}">
      <formula1>$AF$45:$AF$46</formula1>
    </dataValidation>
    <dataValidation type="list" allowBlank="1" showInputMessage="1" showErrorMessage="1" sqref="E12 E264 E172 E139 E108 E75 E43 E229 E294 E328" xr:uid="{EB5F6D01-BB92-47D5-9106-D005D8568122}">
      <formula1>$DS$15:$DS$19</formula1>
    </dataValidation>
    <dataValidation type="list" allowBlank="1" showInputMessage="1" showErrorMessage="1" sqref="E11 E263 E171 E138 E107 E74 E42 E228 E293 E327" xr:uid="{6F077F9D-283B-45C6-A95A-7D9034F21F8A}">
      <formula1>$DS$21:$DS$23</formula1>
    </dataValidation>
    <dataValidation type="list" allowBlank="1" showInputMessage="1" showErrorMessage="1" sqref="G3 G220" xr:uid="{19387EC1-AD13-4B68-B3C6-B560717FAA10}">
      <formula1>$AE$24:$AE$30</formula1>
    </dataValidation>
    <dataValidation type="list" allowBlank="1" showInputMessage="1" showErrorMessage="1" sqref="G193 G163 G35" xr:uid="{6A79363F-A101-41B6-8DF5-FB76DA059179}">
      <formula1>$AE$24:$AE$27</formula1>
    </dataValidation>
    <dataValidation type="list" allowBlank="1" showInputMessage="1" showErrorMessage="1" sqref="G67" xr:uid="{7706A475-4AAD-4350-A2F2-A9F11A3ECE31}">
      <formula1>$AE$24:$AE$26</formula1>
    </dataValidation>
    <dataValidation type="list" allowBlank="1" showInputMessage="1" showErrorMessage="1" sqref="AK192" xr:uid="{A6C62EE1-2785-4062-8AA6-599CFA40DC0C}">
      <formula1>$BI$184:$BU$184</formula1>
    </dataValidation>
    <dataValidation type="list" allowBlank="1" showInputMessage="1" showErrorMessage="1" sqref="E4 E36 E68 E100 E132 E164 E194 E221 E256 E287 E321" xr:uid="{5069D24E-E448-40E0-A011-1DA42A48365D}">
      <formula1>$AC$2:$AC$3</formula1>
    </dataValidation>
    <dataValidation type="list" allowBlank="1" showInputMessage="1" showErrorMessage="1" sqref="E5 E37 E69 E101 E133 E165 E195 E222 E257 E288 E322" xr:uid="{CC90908D-C7FD-446A-B96E-19D48886C9C1}">
      <formula1>$AC$5:$AC$8</formula1>
    </dataValidation>
    <dataValidation type="custom" showInputMessage="1" showErrorMessage="1" error="W pierwszej kolejności należy uzupełnić ilość modułów w rzędzie" sqref="C192:C207" xr:uid="{53D3E820-3180-4586-A497-C797BA8B3461}">
      <formula1>A192&gt;0</formula1>
    </dataValidation>
    <dataValidation type="custom" showInputMessage="1" showErrorMessage="1" error="W pierwszej kolejności należy uzupełnić ilość modułów na stole" sqref="C2:C17 C98:C113 C130:C145 C162:C177 C219:C234 C254:C269 C34:C49 C66:C81 C285:C300 C319:C334" xr:uid="{8B6AB210-F87A-4973-9474-658EDD133C14}">
      <formula1>A2&gt;0</formula1>
    </dataValidation>
    <dataValidation type="list" allowBlank="1" showInputMessage="1" showErrorMessage="1" sqref="AI86" xr:uid="{95161890-4848-4B36-987A-B158E4E8ED1A}">
      <formula1>$CO$84:$DL$84</formula1>
    </dataValidation>
    <dataValidation type="list" allowBlank="1" showInputMessage="1" showErrorMessage="1" sqref="A35:A49" xr:uid="{403DCF3E-B35E-4296-9444-164B47B675EE}">
      <formula1>$DR$29:$DR$41</formula1>
    </dataValidation>
    <dataValidation type="list" allowBlank="1" showInputMessage="1" showErrorMessage="1" sqref="A67:A81" xr:uid="{448430D8-E9E3-4ACE-B635-06760AE6BB5A}">
      <formula1>$DR$56:$DR$68</formula1>
    </dataValidation>
    <dataValidation type="list" allowBlank="1" showInputMessage="1" showErrorMessage="1" sqref="A254:A269 A98:A113" xr:uid="{188D8373-772D-4C8C-97E3-63F00F46B639}">
      <formula1>$DR$83:$DR$106</formula1>
    </dataValidation>
    <dataValidation type="list" allowBlank="1" showInputMessage="1" showErrorMessage="1" sqref="A130:A145" xr:uid="{0B972E81-F927-42DC-B076-98FE5FD0D444}">
      <formula1>$DR$110:$DR$133</formula1>
    </dataValidation>
    <dataValidation type="list" allowBlank="1" showInputMessage="1" showErrorMessage="1" sqref="A192:A207" xr:uid="{61C6F7F5-0279-4776-80BE-2759CD9EEA71}">
      <formula1>$DR$165:$DR$177</formula1>
    </dataValidation>
    <dataValidation type="list" allowBlank="1" showInputMessage="1" showErrorMessage="1" sqref="A34" xr:uid="{86104C7F-5DC4-42F1-87FB-A692E93699F4}">
      <formula1>$DR$30:$DR$41</formula1>
    </dataValidation>
    <dataValidation type="list" allowBlank="1" showInputMessage="1" showErrorMessage="1" sqref="A66" xr:uid="{1DB2B4E7-040B-4AA2-B327-C7180F3923EC}">
      <formula1>$DR$57:$DR$68</formula1>
    </dataValidation>
    <dataValidation type="list" allowBlank="1" showInputMessage="1" showErrorMessage="1" sqref="A2:A17 A219:A234" xr:uid="{C12C13CB-C529-4665-B0B7-3CE17277E343}">
      <formula1>$DR$1:$DR$13</formula1>
    </dataValidation>
    <dataValidation type="list" allowBlank="1" showInputMessage="1" showErrorMessage="1" sqref="AJ20" xr:uid="{4F6CFBE0-DEE5-410A-AF1F-A23019911044}">
      <formula1>$DR$2:$DR$13</formula1>
    </dataValidation>
    <dataValidation type="list" allowBlank="1" showInputMessage="1" showErrorMessage="1" sqref="A162:A177" xr:uid="{4184FE4C-965E-4D34-BA35-AAFCFBAE9551}">
      <formula1>$DR$137:$DR$160</formula1>
    </dataValidation>
    <dataValidation type="list" allowBlank="1" showInputMessage="1" showErrorMessage="1" sqref="AH113" xr:uid="{2600211D-188E-4D28-8FF7-98CE934CA89B}">
      <formula1>$BJ$111:$CF$111</formula1>
    </dataValidation>
    <dataValidation type="list" allowBlank="1" showInputMessage="1" showErrorMessage="1" sqref="AH139" xr:uid="{81EB405C-77E5-4849-9B7C-D3F102033D3A}">
      <formula1>$BJ$138:$CF$138</formula1>
    </dataValidation>
    <dataValidation type="list" allowBlank="1" showInputMessage="1" showErrorMessage="1" sqref="AH170" xr:uid="{A4A75AD4-D218-49CF-B4EB-F904CDE9B937}">
      <formula1>$BJ$166:$BU$166</formula1>
    </dataValidation>
    <dataValidation type="whole" allowBlank="1" showInputMessage="1" showErrorMessage="1" sqref="E8 E168 E40 E72 E104 E136 E198 E225 E260 E291 E325" xr:uid="{22161B5B-FDE1-4A84-BB21-4ADEE4B9526D}">
      <formula1>0</formula1>
      <formula2>5000</formula2>
    </dataValidation>
    <dataValidation type="list" allowBlank="1" showInputMessage="1" showErrorMessage="1" sqref="I3 I255 I220 I35 I67 I99 I131 I163 I193 I286 I320" xr:uid="{0562B717-B91A-4684-9210-75E14130F763}">
      <formula1>$DR$19:$DR$26</formula1>
    </dataValidation>
    <dataValidation type="list" allowBlank="1" showInputMessage="1" showErrorMessage="1" sqref="A285:A300" xr:uid="{4FADF537-05C2-4CD5-9C96-A4624CC1E2F7}">
      <formula1>$DR$285:$DR$294</formula1>
    </dataValidation>
    <dataValidation type="list" allowBlank="1" showInputMessage="1" showErrorMessage="1" sqref="A319:A334" xr:uid="{4467B5CF-8F0A-4942-A705-43DF6BB0D352}">
      <formula1>$DR$304:$DR$316</formula1>
    </dataValidation>
  </dataValidations>
  <hyperlinks>
    <hyperlink ref="D15" r:id="rId1" xr:uid="{F9A1665F-2801-4210-81CB-F7BC4FC5D2C6}"/>
    <hyperlink ref="D16" r:id="rId2" xr:uid="{9A29C324-3B06-48E1-B2D5-C5BF72DA1739}"/>
    <hyperlink ref="D18" r:id="rId3" xr:uid="{FBF04F83-2912-4FE4-9462-EE77570BB8ED}"/>
    <hyperlink ref="D46" r:id="rId4" xr:uid="{0395FCE0-9137-473E-A020-D27A58350D23}"/>
    <hyperlink ref="D47" r:id="rId5" xr:uid="{B4467FE6-3EF1-4F7D-9FFC-0A0098BC59A1}"/>
    <hyperlink ref="D48" r:id="rId6" xr:uid="{EBBDC6B7-7474-40D3-968E-70093AE8E5B8}"/>
    <hyperlink ref="D49" r:id="rId7" xr:uid="{F5E6613A-C760-4458-9BEA-8541C5086CDB}"/>
    <hyperlink ref="D78" r:id="rId8" xr:uid="{9DD4EFD5-E5BF-4DA9-B331-6228D1717FDB}"/>
    <hyperlink ref="D79" r:id="rId9" xr:uid="{9FF1F32F-18D6-4A8B-AD8F-74605A046841}"/>
    <hyperlink ref="D80" r:id="rId10" xr:uid="{5A619C07-0F59-4A62-B419-B3C6AF7F7381}"/>
    <hyperlink ref="D81" r:id="rId11" xr:uid="{49DF7377-BC8D-4C98-AE4E-9ECCECF77BD0}"/>
    <hyperlink ref="D111" r:id="rId12" xr:uid="{EDA64B93-AB5E-4695-B772-A79717A2F6B1}"/>
    <hyperlink ref="D112" r:id="rId13" xr:uid="{EE47BAA9-2E61-4D6B-B1BE-E5E2CAA409AC}"/>
    <hyperlink ref="D113" r:id="rId14" xr:uid="{B2C6C1B9-9F15-4C5D-8645-B5067B9BBE96}"/>
    <hyperlink ref="D114" r:id="rId15" xr:uid="{F7124425-3415-4AC9-B4A6-030C1C19D6D8}"/>
    <hyperlink ref="D142" r:id="rId16" xr:uid="{BA6C7B5F-C1D6-462D-9CB0-B153803A8AFF}"/>
    <hyperlink ref="D143" r:id="rId17" xr:uid="{0A5CE6C4-DD49-41DC-BE9F-696C012B7968}"/>
    <hyperlink ref="D144" r:id="rId18" xr:uid="{AD66D489-98EC-4C1D-96BB-7A3F0D9D3812}"/>
    <hyperlink ref="D145" r:id="rId19" xr:uid="{6B0A265F-96F5-4DBF-BBC5-1E2D05AD6693}"/>
    <hyperlink ref="D175" r:id="rId20" xr:uid="{BC1EAB11-F01A-4BBA-A5DD-C515D2C29641}"/>
    <hyperlink ref="D176" r:id="rId21" xr:uid="{3D1372F8-C2D5-4358-9237-B126DA2762A1}"/>
    <hyperlink ref="D177" r:id="rId22" xr:uid="{74B4098B-A734-4B76-A06A-C2C5FBE49995}"/>
    <hyperlink ref="D178" r:id="rId23" xr:uid="{30CD51BB-CAE5-47D6-870C-015E17DBAC08}"/>
    <hyperlink ref="D232" r:id="rId24" xr:uid="{97B5E0D9-1530-4E71-8E43-4AFEC66B34C8}"/>
    <hyperlink ref="D233" r:id="rId25" xr:uid="{28D5F410-F030-4B28-B292-8C0410A8F849}"/>
    <hyperlink ref="D234" r:id="rId26" xr:uid="{5E9127CA-9B57-4760-AFB0-FF11C261784E}"/>
    <hyperlink ref="D235" r:id="rId27" xr:uid="{4029F894-9CF4-4AB2-8AEC-2C1A4CC5C194}"/>
    <hyperlink ref="D267" r:id="rId28" xr:uid="{82E6F02C-2136-4EF9-B962-E19CE5DB3CFF}"/>
    <hyperlink ref="D268" r:id="rId29" xr:uid="{A8C23FEF-CD1D-43C2-968E-BD1FF73BC12A}"/>
    <hyperlink ref="D269" r:id="rId30" xr:uid="{FF8E7308-6258-46A0-93E5-D42C2216CCD1}"/>
    <hyperlink ref="D270" r:id="rId31" xr:uid="{A9E83157-30C1-4C98-A552-7287E2A04A73}"/>
    <hyperlink ref="D17" r:id="rId32" xr:uid="{5978E491-920B-4286-B3F8-7FE64C898C2A}"/>
  </hyperlinks>
  <pageMargins left="0.7" right="0.7" top="0.75" bottom="0.75" header="0.3" footer="0.3"/>
  <pageSetup paperSize="9" orientation="portrait" r:id="rId33"/>
  <drawing r:id="rId34"/>
  <legacyDrawing r:id="rId35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Arkusz1"/>
  <dimension ref="A1:CM94"/>
  <sheetViews>
    <sheetView showGridLines="0" zoomScale="70" zoomScaleNormal="70" workbookViewId="0">
      <selection activeCell="A2" sqref="A2"/>
    </sheetView>
  </sheetViews>
  <sheetFormatPr defaultColWidth="0" defaultRowHeight="15" zeroHeight="1" x14ac:dyDescent="0.25"/>
  <cols>
    <col min="1" max="1" width="10.5703125" style="1" customWidth="1"/>
    <col min="2" max="2" width="1.85546875" style="1" bestFit="1" customWidth="1"/>
    <col min="3" max="3" width="9.140625" style="1" customWidth="1"/>
    <col min="4" max="4" width="25.85546875" style="1" bestFit="1" customWidth="1"/>
    <col min="5" max="5" width="9.7109375" style="1" bestFit="1" customWidth="1"/>
    <col min="6" max="6" width="1.85546875" style="1" bestFit="1" customWidth="1"/>
    <col min="7" max="7" width="8.5703125" style="1" bestFit="1" customWidth="1"/>
    <col min="8" max="8" width="1.85546875" style="1" bestFit="1" customWidth="1"/>
    <col min="9" max="9" width="3" style="1" bestFit="1" customWidth="1"/>
    <col min="10" max="10" width="5.28515625" style="1" bestFit="1" customWidth="1"/>
    <col min="11" max="11" width="9.140625" style="1" customWidth="1"/>
    <col min="12" max="12" width="17.28515625" style="1" bestFit="1" customWidth="1"/>
    <col min="13" max="13" width="12.28515625" style="1" bestFit="1" customWidth="1"/>
    <col min="14" max="14" width="7" style="1" bestFit="1" customWidth="1"/>
    <col min="15" max="15" width="5.42578125" style="24" bestFit="1" customWidth="1"/>
    <col min="16" max="16" width="12" style="1" bestFit="1" customWidth="1"/>
    <col min="17" max="17" width="14.7109375" style="1" bestFit="1" customWidth="1"/>
    <col min="18" max="18" width="5.42578125" style="1" bestFit="1" customWidth="1"/>
    <col min="19" max="19" width="20.7109375" style="1" bestFit="1" customWidth="1"/>
    <col min="20" max="20" width="23.42578125" style="1" bestFit="1" customWidth="1"/>
    <col min="21" max="21" width="13.5703125" style="1" customWidth="1"/>
    <col min="22" max="31" width="9.140625" style="21" customWidth="1"/>
    <col min="32" max="39" width="9.140625" style="21" hidden="1" customWidth="1"/>
    <col min="40" max="40" width="15.7109375" style="21" hidden="1" customWidth="1"/>
    <col min="41" max="49" width="2.140625" style="21" hidden="1" customWidth="1"/>
    <col min="50" max="53" width="3.140625" style="21" hidden="1" customWidth="1"/>
    <col min="54" max="54" width="3.140625" style="87" hidden="1" customWidth="1"/>
    <col min="55" max="91" width="3.140625" style="21" hidden="1" customWidth="1"/>
    <col min="92" max="16384" width="9.140625" style="21" hidden="1"/>
  </cols>
  <sheetData>
    <row r="1" spans="1:91" ht="51.75" x14ac:dyDescent="0.25">
      <c r="A1" s="3" t="s">
        <v>120</v>
      </c>
      <c r="B1" s="6"/>
      <c r="C1" s="3" t="s">
        <v>121</v>
      </c>
      <c r="D1" s="4"/>
      <c r="E1" s="4"/>
      <c r="F1" s="4"/>
      <c r="G1" s="4"/>
      <c r="H1" s="4"/>
      <c r="I1" s="4"/>
      <c r="J1" s="4"/>
      <c r="K1" s="4"/>
      <c r="L1" s="360" t="str">
        <f>IF(E4=AI17,"KONSTRUKCJA E-VKRN",IF(E4=AI18,"KONSTRUKCJA E-HKRN",0))</f>
        <v>KONSTRUKCJA E-VKRN</v>
      </c>
      <c r="M1" s="360"/>
      <c r="N1" s="360"/>
      <c r="O1" s="360"/>
      <c r="P1" s="360"/>
      <c r="Q1" s="360"/>
      <c r="R1" s="360"/>
      <c r="S1" s="360"/>
      <c r="T1" s="360"/>
      <c r="U1" s="360"/>
    </row>
    <row r="2" spans="1:91" x14ac:dyDescent="0.25">
      <c r="A2" s="8"/>
      <c r="B2" s="6" t="s">
        <v>116</v>
      </c>
      <c r="C2" s="8"/>
      <c r="D2" s="4"/>
      <c r="E2" s="4"/>
      <c r="F2" s="4"/>
      <c r="G2" s="4"/>
      <c r="H2" s="4"/>
      <c r="I2" s="4"/>
      <c r="J2" s="4"/>
      <c r="K2" s="4"/>
      <c r="L2" s="5" t="s">
        <v>103</v>
      </c>
      <c r="M2" s="5" t="s">
        <v>104</v>
      </c>
      <c r="N2" s="5" t="s">
        <v>107</v>
      </c>
      <c r="O2" s="5" t="s">
        <v>290</v>
      </c>
      <c r="P2" s="5" t="s">
        <v>446</v>
      </c>
      <c r="Q2" s="5" t="s">
        <v>448</v>
      </c>
      <c r="R2" s="5" t="s">
        <v>409</v>
      </c>
      <c r="S2" s="5" t="s">
        <v>447</v>
      </c>
      <c r="T2" s="5" t="s">
        <v>449</v>
      </c>
      <c r="U2" s="5" t="s">
        <v>106</v>
      </c>
      <c r="W2" s="25" t="s">
        <v>11</v>
      </c>
      <c r="X2" s="20" t="s">
        <v>210</v>
      </c>
      <c r="Y2" s="20" t="s">
        <v>9</v>
      </c>
      <c r="Z2" s="25" t="s">
        <v>208</v>
      </c>
      <c r="AA2" s="25" t="s">
        <v>211</v>
      </c>
      <c r="AB2" s="25" t="s">
        <v>293</v>
      </c>
      <c r="AC2" s="25" t="s">
        <v>10</v>
      </c>
      <c r="AD2" s="25" t="s">
        <v>212</v>
      </c>
      <c r="AE2" s="25" t="s">
        <v>214</v>
      </c>
      <c r="AG2" s="20" t="s">
        <v>130</v>
      </c>
      <c r="AH2" s="20" t="s">
        <v>125</v>
      </c>
      <c r="AI2" s="20" t="s">
        <v>144</v>
      </c>
      <c r="AJ2" s="27"/>
      <c r="AK2" s="27"/>
    </row>
    <row r="3" spans="1:91" x14ac:dyDescent="0.25">
      <c r="A3" s="8"/>
      <c r="B3" s="6" t="s">
        <v>116</v>
      </c>
      <c r="C3" s="8"/>
      <c r="D3" s="6" t="s">
        <v>118</v>
      </c>
      <c r="E3" s="8" t="s">
        <v>132</v>
      </c>
      <c r="F3" s="5" t="s">
        <v>116</v>
      </c>
      <c r="G3" s="8" t="s">
        <v>115</v>
      </c>
      <c r="H3" s="5" t="s">
        <v>116</v>
      </c>
      <c r="I3" s="8">
        <v>30</v>
      </c>
      <c r="J3" s="5" t="s">
        <v>119</v>
      </c>
      <c r="K3" s="4"/>
      <c r="L3" s="6" t="s">
        <v>210</v>
      </c>
      <c r="M3" s="14">
        <f>INDEX(cennik!$C$2:$L$529,MATCH($L3,cennik!$B$2:$B$522,0),MATCH(M$2,cennik!$C$1:$L$1,0))</f>
        <v>6441105</v>
      </c>
      <c r="N3" s="14" t="str">
        <f>INDEX(cennik!$C$2:$L$529,MATCH($L3,cennik!$B$2:$B$522,0),MATCH(N$2,cennik!$C$1:$L$1,0))</f>
        <v>szt.</v>
      </c>
      <c r="O3" s="14">
        <f>SUM(X3:X18)</f>
        <v>0</v>
      </c>
      <c r="P3" s="22">
        <f>INDEX(cennik!$C$2:$L$529,MATCH($L3,cennik!$B$2:$B$522,0),MATCH(P$2,cennik!$C$1:$L$1,0))</f>
        <v>24.55</v>
      </c>
      <c r="Q3" s="22">
        <f>O3*P3</f>
        <v>0</v>
      </c>
      <c r="R3" s="23">
        <f>$E$6</f>
        <v>0</v>
      </c>
      <c r="S3" s="22">
        <f>P3*((100-$E$6)/100)</f>
        <v>24.55</v>
      </c>
      <c r="T3" s="22">
        <f>O3*S3</f>
        <v>0</v>
      </c>
      <c r="U3" s="22">
        <f>INDEX(cennik!$C$2:$L$529,MATCH($L3,cennik!$B$2:$B$522,0),MATCH(U$2,cennik!$C$1:$L$1,0))*O3</f>
        <v>0</v>
      </c>
      <c r="W3" s="20">
        <f>(INDEX(($AO$5:$AY$13,$AO$17:$AY$25,$AO$30:$AY$38,$AO$42:$AY$50,$AO$54:$AY$62,$AO$66:$AY$74,$BI$5:$BS$13,$BI$17:$BS$25,$BI$29:$BS$37,$BI$41:$BS$49,$BI$53:$BS$61,$BI$65:$BS$73,$BY$5:$CI$13,$BY$17:$CI$25),MATCH($L$11,$AN$5:$AN$13,0),MATCH(A2,$AO$4:$AY$4,0),MATCH($AG$16,$AL$18:$AL$31,0)))*C2</f>
        <v>0</v>
      </c>
      <c r="X3" s="20">
        <f>(INDEX(($AO$5:$AY$13,$AO$17:$AY$25,$AO$30:$AY$38,$AO$42:$AY$50,$AO$54:$AY$62,$AO$66:$AY$74,$BI$5:$BS$13,$BI$17:$BS$25,$BI$29:$BS$37,$BI$41:$BS$49,$BI$53:$BS$61,$BI$65:$BS$73,$BY$5:$CI$13,$BY$17:$CI$25),MATCH($L$3,$AN$5:$AN$13,0),MATCH(A2,$AO$4:$AY$4,0),MATCH($AG$16,$AL$18:$AL$31,0)))*C2</f>
        <v>0</v>
      </c>
      <c r="Y3" s="20">
        <f>(INDEX(($AO$5:$AY$13,$AO$17:$AY$25,$AO$30:$AY$38,$AO$42:$AY$50,$AO$54:$AY$62,$AO$66:$AY$74,$BI$5:$BS$13,$BI$17:$BS$25,$BI$29:$BS$37,$BI$41:$BS$49,$BI$53:$BS$61,$BI$65:$BS$73,$BY$5:$CI$13,$BY$17:$CI$25),MATCH($L$4,$AN$5:$AN$13,0),MATCH(A2,$AO$4:$AY$4,0),MATCH($AG$16,$AL$18:$AL$31,0)))*C2</f>
        <v>0</v>
      </c>
      <c r="Z3" s="20">
        <f>(INDEX(($AO$5:$AY$13,$AO$17:$AY$25,$AO$30:$AY$38,$AO$42:$AY$50,$AO$54:$AY$62,$AO$66:$AY$74,$BI$5:$BS$13,$BI$17:$BS$25,$BI$29:$BS$37,$BI$41:$BS$49,$BI$53:$BS$61,$BI$65:$BS$73,$BY$5:$CI$13,$BY$17:$CI$25),MATCH($L$5,$AN$5:$AN$13,0),MATCH(A2,$AO$4:$AY$4,0),MATCH($AG$16,$AL$18:$AL$31,0)))*C2</f>
        <v>0</v>
      </c>
      <c r="AA3" s="20">
        <f>(INDEX(($AO$5:$AY$13,$AO$17:$AY$25,$AO$30:$AY$38,$AO$42:$AY$50,$AO$54:$AY$62,$AO$66:$AY$74,$BI$5:$BS$13,$BI$17:$BS$25,$BI$29:$BS$37,$BI$41:$BS$49,$BI$53:$BS$61,$BI$65:$BS$73,$BY$5:$CI$13,$BY$17:$CI$25),MATCH($L$6,$AN$5:$AN$13,0),MATCH(A2,$AO$4:$AY$4,0),MATCH($AG$16,$AL$18:$AL$31,0)))*C2</f>
        <v>0</v>
      </c>
      <c r="AB3" s="20">
        <f>(INDEX(($AO$5:$AY$13,$AO$17:$AY$25,$AO$30:$AY$38,$AO$42:$AY$50,$AO$54:$AY$62,$AO$66:$AY$74,$BI$5:$BS$13,$BI$17:$BS$25,$BI$29:$BS$37,$BI$41:$BS$49,$BI$53:$BS$61,$BI$65:$BS$73,$BY$5:$CI$13,$BY$17:$CI$25),MATCH($L$7,$AN$5:$AN$13,0),MATCH(A2,$AO$4:$AY$4,0),MATCH($AG$16,$AL$18:$AL$31,0)))*C2</f>
        <v>0</v>
      </c>
      <c r="AC3" s="20">
        <f>(INDEX(($AO$5:$AY$13,$AO$17:$AY$25,$AO$30:$AY$38,$AO$42:$AY$50,$AO$54:$AY$62,$AO$66:$AY$74,$BI$5:$BS$13,$BI$17:$BS$25,$BI$29:$BS$37,$BI$41:$BS$49,$BI$53:$BS$61,$BI$65:$BS$73,$BY$5:$CI$13,$BY$17:$CI$25),MATCH($L$8,$AN$5:$AN$13,0),MATCH(A2,$AO$4:$AY$4,0),MATCH($AG$16,$AL$18:$AL$31,0)))*C2</f>
        <v>0</v>
      </c>
      <c r="AD3" s="20">
        <f>(INDEX(($AO$5:$AY$13,$AO$17:$AY$25,$AO$30:$AY$38,$AO$42:$AY$50,$AO$54:$AY$62,$AO$66:$AY$74,$BI$5:$BS$13,$BI$17:$BS$25,$BI$29:$BS$37,$BI$41:$BS$49,$BI$53:$BS$61,$BI$65:$BS$73,$BY$5:$CI$13,$BY$17:$CI$25),MATCH($L$9,$AN$5:$AN$13,0),MATCH(A2,$AO$4:$AY$4,0),MATCH($AG$16,$AL$18:$AL$31,0)))*C2</f>
        <v>0</v>
      </c>
      <c r="AE3" s="20">
        <f>(INDEX(($AO$5:$AY$13,$AO$17:$AY$25,$AO$30:$AY$38,$AO$42:$AY$50,$AO$54:$AY$62,$AO$66:$AY$74,$BI$5:$BS$13,$BI$17:$BS$25,$BI$29:$BS$37,$BI$41:$BS$49,$BI$53:$BS$61,$BI$65:$BS$73,$BY$5:$CI$13,$BY$17:$CI$25),MATCH($L$10,$AN$5:$AN$13,0),MATCH(A2,$AO$4:$AY$4,0),MATCH($AG$16,$AL$18:$AL$31,0)))*C2</f>
        <v>0</v>
      </c>
      <c r="AG3" s="26">
        <v>30</v>
      </c>
      <c r="AH3" s="20" t="s">
        <v>475</v>
      </c>
      <c r="AI3" s="20" t="s">
        <v>476</v>
      </c>
      <c r="AJ3" s="20" t="s">
        <v>477</v>
      </c>
      <c r="AK3" s="20" t="s">
        <v>67</v>
      </c>
      <c r="AN3" s="20" t="s">
        <v>114</v>
      </c>
      <c r="AO3" s="20"/>
      <c r="AP3" s="20"/>
      <c r="AQ3" s="20"/>
      <c r="AR3" s="20"/>
      <c r="AS3" s="20"/>
      <c r="AT3" s="20"/>
      <c r="AU3" s="20"/>
      <c r="AV3" s="20"/>
      <c r="AW3" s="20"/>
      <c r="AX3" s="20"/>
      <c r="AY3" s="20"/>
      <c r="AZ3" s="20"/>
      <c r="BA3" s="20"/>
      <c r="BB3" s="54"/>
      <c r="BC3" s="20"/>
      <c r="BD3" s="20"/>
      <c r="BE3" s="20"/>
      <c r="BF3" s="20"/>
      <c r="BG3" s="20"/>
      <c r="BH3" s="20" t="s">
        <v>132</v>
      </c>
      <c r="BI3" s="20"/>
      <c r="BJ3" s="20"/>
      <c r="BK3" s="20"/>
      <c r="BL3" s="20"/>
      <c r="BM3" s="20"/>
      <c r="BN3" s="20"/>
      <c r="BO3" s="20"/>
      <c r="BP3" s="20"/>
      <c r="BQ3" s="20"/>
      <c r="BR3" s="20"/>
      <c r="BS3" s="20"/>
      <c r="BT3" s="20"/>
      <c r="BU3" s="20"/>
      <c r="BV3" s="20"/>
      <c r="BW3" s="20"/>
      <c r="BX3" s="20" t="s">
        <v>137</v>
      </c>
      <c r="BY3" s="20"/>
      <c r="BZ3" s="20"/>
      <c r="CA3" s="20"/>
      <c r="CB3" s="20"/>
      <c r="CC3" s="20"/>
      <c r="CD3" s="20"/>
      <c r="CE3" s="20"/>
      <c r="CF3" s="20"/>
      <c r="CG3" s="20"/>
      <c r="CH3" s="20"/>
      <c r="CI3" s="20"/>
      <c r="CJ3" s="20"/>
      <c r="CK3" s="20"/>
      <c r="CL3" s="20"/>
      <c r="CM3" s="20"/>
    </row>
    <row r="4" spans="1:91" x14ac:dyDescent="0.25">
      <c r="A4" s="8"/>
      <c r="B4" s="6" t="s">
        <v>116</v>
      </c>
      <c r="C4" s="8"/>
      <c r="D4" s="6" t="s">
        <v>122</v>
      </c>
      <c r="E4" s="8" t="s">
        <v>123</v>
      </c>
      <c r="F4" s="5"/>
      <c r="G4" s="5"/>
      <c r="H4" s="5"/>
      <c r="I4" s="5"/>
      <c r="J4" s="5"/>
      <c r="K4" s="4"/>
      <c r="L4" s="6" t="s">
        <v>9</v>
      </c>
      <c r="M4" s="14">
        <f>INDEX(cennik!$C$2:$L$529,MATCH($L4,cennik!$B$2:$B$522,0),MATCH(M$2,cennik!$C$1:$L$1,0))</f>
        <v>856211</v>
      </c>
      <c r="N4" s="14" t="str">
        <f>INDEX(cennik!$C$2:$L$529,MATCH($L4,cennik!$B$2:$B$522,0),MATCH(N$2,cennik!$C$1:$L$1,0))</f>
        <v>szt.</v>
      </c>
      <c r="O4" s="14">
        <f>SUM(Y3:Y18)</f>
        <v>0</v>
      </c>
      <c r="P4" s="22">
        <f>INDEX(cennik!$C$2:$L$529,MATCH($L4,cennik!$B$2:$B$522,0),MATCH(P$2,cennik!$C$1:$L$1,0))</f>
        <v>25.2</v>
      </c>
      <c r="Q4" s="22">
        <f t="shared" ref="Q4:Q18" si="0">O4*P4</f>
        <v>0</v>
      </c>
      <c r="R4" s="23">
        <f>$E$6</f>
        <v>0</v>
      </c>
      <c r="S4" s="22">
        <f t="shared" ref="S4:S20" si="1">P4*((100-$E$6)/100)</f>
        <v>25.2</v>
      </c>
      <c r="T4" s="22">
        <f t="shared" ref="T4:T18" si="2">O4*S4</f>
        <v>0</v>
      </c>
      <c r="U4" s="22">
        <f>INDEX(cennik!$C$2:$L$529,MATCH($L4,cennik!$B$2:$B$522,0),MATCH(U$2,cennik!$C$1:$L$1,0))*O4</f>
        <v>0</v>
      </c>
      <c r="W4" s="20">
        <f>(INDEX(($AO$5:$AY$13,$AO$17:$AY$25,$AO$30:$AY$38,$AO$42:$AY$50,$AO$54:$AY$62,$AO$66:$AY$74,$BI$5:$BS$13,$BI$17:$BS$25,$BI$29:$BS$37,$BI$41:$BS$49,$BI$53:$BS$61,$BI$65:$BS$73,$BY$5:$CI$13,$BY$17:$CI$25),MATCH($L$11,$AN$5:$AN$13,0),MATCH(A3,$AO$4:$AY$4,0),MATCH($AG$16,$AL$18:$AL$31,0)))*C3</f>
        <v>0</v>
      </c>
      <c r="X4" s="20">
        <f>(INDEX(($AO$5:$AY$13,$AO$17:$AY$25,$AO$30:$AY$38,$AO$42:$AY$50,$AO$54:$AY$62,$AO$66:$AY$74,$BI$5:$BS$13,$BI$17:$BS$25,$BI$29:$BS$37,$BI$41:$BS$49,$BI$53:$BS$61,$BI$65:$BS$73,$BY$5:$CI$13,$BY$17:$CI$25),MATCH($L$3,$AN$5:$AN$13,0),MATCH(A3,$AO$4:$AY$4,0),MATCH($AG$16,$AL$18:$AL$31,0)))*C3</f>
        <v>0</v>
      </c>
      <c r="Y4" s="20">
        <f>(INDEX(($AO$5:$AY$13,$AO$17:$AY$25,$AO$30:$AY$38,$AO$42:$AY$50,$AO$54:$AY$62,$AO$66:$AY$74,$BI$5:$BS$13,$BI$17:$BS$25,$BI$29:$BS$37,$BI$41:$BS$49,$BI$53:$BS$61,$BI$65:$BS$73,$BY$5:$CI$13,$BY$17:$CI$25),MATCH($L$4,$AN$5:$AN$13,0),MATCH(A3,$AO$4:$AY$4,0),MATCH($AG$16,$AL$18:$AL$31,0)))*C3</f>
        <v>0</v>
      </c>
      <c r="Z4" s="20">
        <f>(INDEX(($AO$5:$AY$13,$AO$17:$AY$25,$AO$30:$AY$38,$AO$42:$AY$50,$AO$54:$AY$62,$AO$66:$AY$74,$BI$5:$BS$13,$BI$17:$BS$25,$BI$29:$BS$37,$BI$41:$BS$49,$BI$53:$BS$61,$BI$65:$BS$73,$BY$5:$CI$13,$BY$17:$CI$25),MATCH($L$5,$AN$5:$AN$13,0),MATCH(A3,$AO$4:$AY$4,0),MATCH($AG$16,$AL$18:$AL$31,0)))*C3</f>
        <v>0</v>
      </c>
      <c r="AA4" s="20">
        <f>(INDEX(($AO$5:$AY$13,$AO$17:$AY$25,$AO$30:$AY$38,$AO$42:$AY$50,$AO$54:$AY$62,$AO$66:$AY$74,$BI$5:$BS$13,$BI$17:$BS$25,$BI$29:$BS$37,$BI$41:$BS$49,$BI$53:$BS$61,$BI$65:$BS$73,$BY$5:$CI$13,$BY$17:$CI$25),MATCH($L$6,$AN$5:$AN$13,0),MATCH(A3,$AO$4:$AY$4,0),MATCH($AG$16,$AL$18:$AL$31,0)))*C3</f>
        <v>0</v>
      </c>
      <c r="AB4" s="20">
        <f>(INDEX(($AO$5:$AY$13,$AO$17:$AY$25,$AO$30:$AY$38,$AO$42:$AY$50,$AO$54:$AY$62,$AO$66:$AY$74,$BI$5:$BS$13,$BI$17:$BS$25,$BI$29:$BS$37,$BI$41:$BS$49,$BI$53:$BS$61,$BI$65:$BS$73,$BY$5:$CI$13,$BY$17:$CI$25),MATCH($L$7,$AN$5:$AN$13,0),MATCH(A3,$AO$4:$AY$4,0),MATCH($AG$16,$AL$18:$AL$31,0)))*C3</f>
        <v>0</v>
      </c>
      <c r="AC4" s="20">
        <f>(INDEX(($AO$5:$AY$13,$AO$17:$AY$25,$AO$30:$AY$38,$AO$42:$AY$50,$AO$54:$AY$62,$AO$66:$AY$74,$BI$5:$BS$13,$BI$17:$BS$25,$BI$29:$BS$37,$BI$41:$BS$49,$BI$53:$BS$61,$BI$65:$BS$73,$BY$5:$CI$13,$BY$17:$CI$25),MATCH($L$8,$AN$5:$AN$13,0),MATCH(A3,$AO$4:$AY$4,0),MATCH($AG$16,$AL$18:$AL$31,0)))*C3</f>
        <v>0</v>
      </c>
      <c r="AD4" s="20">
        <f>(INDEX(($AO$5:$AY$13,$AO$17:$AY$25,$AO$30:$AY$38,$AO$42:$AY$50,$AO$54:$AY$62,$AO$66:$AY$74,$BI$5:$BS$13,$BI$17:$BS$25,$BI$29:$BS$37,$BI$41:$BS$49,$BI$53:$BS$61,$BI$65:$BS$73,$BY$5:$CI$13,$BY$17:$CI$25),MATCH($L$9,$AN$5:$AN$13,0),MATCH(A3,$AO$4:$AY$4,0),MATCH($AG$16,$AL$18:$AL$31,0)))*C3</f>
        <v>0</v>
      </c>
      <c r="AE4" s="20">
        <f>(INDEX(($AO$5:$AY$13,$AO$17:$AY$25,$AO$30:$AY$38,$AO$42:$AY$50,$AO$54:$AY$62,$AO$66:$AY$74,$BI$5:$BS$13,$BI$17:$BS$25,$BI$29:$BS$37,$BI$41:$BS$49,$BI$53:$BS$61,$BI$65:$BS$73,$BY$5:$CI$13,$BY$17:$CI$25),MATCH($L$10,$AN$5:$AN$13,0),MATCH(A3,$AO$4:$AY$4,0),MATCH($AG$16,$AL$18:$AL$31,0)))*C3</f>
        <v>0</v>
      </c>
      <c r="AG4" s="26">
        <v>32</v>
      </c>
      <c r="AH4" s="20" t="s">
        <v>26</v>
      </c>
      <c r="AI4" s="20" t="s">
        <v>27</v>
      </c>
      <c r="AJ4" s="20" t="s">
        <v>110</v>
      </c>
      <c r="AK4" s="20" t="s">
        <v>67</v>
      </c>
      <c r="AN4" s="20"/>
      <c r="AO4" s="20">
        <v>0</v>
      </c>
      <c r="AP4" s="20">
        <v>1</v>
      </c>
      <c r="AQ4" s="20">
        <v>2</v>
      </c>
      <c r="AR4" s="20">
        <v>3</v>
      </c>
      <c r="AS4" s="20">
        <v>4</v>
      </c>
      <c r="AT4" s="20">
        <v>5</v>
      </c>
      <c r="AU4" s="20">
        <v>6</v>
      </c>
      <c r="AV4" s="20">
        <v>7</v>
      </c>
      <c r="AW4" s="20">
        <v>8</v>
      </c>
      <c r="AX4" s="20">
        <v>9</v>
      </c>
      <c r="AY4" s="20">
        <v>10</v>
      </c>
      <c r="AZ4" s="20"/>
      <c r="BA4" s="20"/>
      <c r="BB4" s="54">
        <v>0</v>
      </c>
      <c r="BC4" s="20"/>
      <c r="BD4" s="20"/>
      <c r="BE4" s="20"/>
      <c r="BF4" s="20"/>
      <c r="BG4" s="20"/>
      <c r="BH4" s="20"/>
      <c r="BI4" s="20">
        <v>0</v>
      </c>
      <c r="BJ4" s="20">
        <v>1</v>
      </c>
      <c r="BK4" s="20">
        <v>2</v>
      </c>
      <c r="BL4" s="20">
        <v>3</v>
      </c>
      <c r="BM4" s="20">
        <v>4</v>
      </c>
      <c r="BN4" s="20">
        <v>5</v>
      </c>
      <c r="BO4" s="20">
        <v>6</v>
      </c>
      <c r="BP4" s="20">
        <v>7</v>
      </c>
      <c r="BQ4" s="20">
        <v>8</v>
      </c>
      <c r="BR4" s="20">
        <v>9</v>
      </c>
      <c r="BS4" s="20">
        <v>10</v>
      </c>
      <c r="BT4" s="20"/>
      <c r="BU4" s="20"/>
      <c r="BV4" s="20"/>
      <c r="BW4" s="20"/>
      <c r="BX4" s="20"/>
      <c r="BY4" s="20">
        <v>0</v>
      </c>
      <c r="BZ4" s="20">
        <v>1</v>
      </c>
      <c r="CA4" s="20">
        <v>2</v>
      </c>
      <c r="CB4" s="20">
        <v>3</v>
      </c>
      <c r="CC4" s="20">
        <v>4</v>
      </c>
      <c r="CD4" s="20">
        <v>5</v>
      </c>
      <c r="CE4" s="20">
        <v>6</v>
      </c>
      <c r="CF4" s="20">
        <v>7</v>
      </c>
      <c r="CG4" s="20">
        <v>8</v>
      </c>
      <c r="CH4" s="20">
        <v>9</v>
      </c>
      <c r="CI4" s="20">
        <v>10</v>
      </c>
      <c r="CJ4" s="20"/>
      <c r="CK4" s="20"/>
      <c r="CL4" s="20"/>
      <c r="CM4" s="20"/>
    </row>
    <row r="5" spans="1:91" x14ac:dyDescent="0.25">
      <c r="A5" s="8"/>
      <c r="B5" s="6" t="s">
        <v>116</v>
      </c>
      <c r="C5" s="8"/>
      <c r="D5" s="6" t="s">
        <v>124</v>
      </c>
      <c r="E5" s="8" t="s">
        <v>125</v>
      </c>
      <c r="F5" s="5"/>
      <c r="G5" s="5"/>
      <c r="H5" s="5"/>
      <c r="I5" s="5"/>
      <c r="J5" s="5"/>
      <c r="K5" s="4"/>
      <c r="L5" s="6" t="s">
        <v>208</v>
      </c>
      <c r="M5" s="14">
        <f>INDEX(cennik!$C$2:$L$529,MATCH($L5,cennik!$B$2:$B$522,0),MATCH(M$2,cennik!$C$1:$L$1,0))</f>
        <v>851117</v>
      </c>
      <c r="N5" s="14" t="str">
        <f>INDEX(cennik!$C$2:$L$529,MATCH($L5,cennik!$B$2:$B$522,0),MATCH(N$2,cennik!$C$1:$L$1,0))</f>
        <v>szt.</v>
      </c>
      <c r="O5" s="14">
        <f>SUM(Z3:Z18)</f>
        <v>0</v>
      </c>
      <c r="P5" s="22">
        <f>INDEX(cennik!$C$2:$L$529,MATCH($L5,cennik!$B$2:$B$522,0),MATCH(P$2,cennik!$C$1:$L$1,0))</f>
        <v>35.700000000000003</v>
      </c>
      <c r="Q5" s="22">
        <f t="shared" si="0"/>
        <v>0</v>
      </c>
      <c r="R5" s="23">
        <f t="shared" ref="R5:R19" si="3">$E$6</f>
        <v>0</v>
      </c>
      <c r="S5" s="22">
        <f t="shared" si="1"/>
        <v>35.700000000000003</v>
      </c>
      <c r="T5" s="22">
        <f t="shared" si="2"/>
        <v>0</v>
      </c>
      <c r="U5" s="22">
        <f>INDEX(cennik!$C$2:$L$529,MATCH($L5,cennik!$B$2:$B$522,0),MATCH(U$2,cennik!$C$1:$L$1,0))*O5</f>
        <v>0</v>
      </c>
      <c r="W5" s="20">
        <f>(INDEX(($AO$5:$AY$13,$AO$17:$AY$25,$AO$30:$AY$38,$AO$42:$AY$50,$AO$54:$AY$62,$AO$66:$AY$74,$BI$5:$BS$13,$BI$17:$BS$25,$BI$29:$BS$37,$BI$41:$BS$49,$BI$53:$BS$61,$BI$65:$BS$73,$BY$5:$CI$13,$BY$17:$CI$25),MATCH($L$11,$AN$5:$AN$13,0),MATCH(A4,$AO$4:$AY$4,0),MATCH($AG$16,$AL$18:$AL$31,0)))*C4</f>
        <v>0</v>
      </c>
      <c r="X5" s="20">
        <f>(INDEX(($AO$5:$AY$13,$AO$17:$AY$25,$AO$30:$AY$38,$AO$42:$AY$50,$AO$54:$AY$62,$AO$66:$AY$74,$BI$5:$BS$13,$BI$17:$BS$25,$BI$29:$BS$37,$BI$41:$BS$49,$BI$53:$BS$61,$BI$65:$BS$73,$BY$5:$CI$13,$BY$17:$CI$25),MATCH($L$3,$AN$5:$AN$13,0),MATCH(A4,$AO$4:$AY$4,0),MATCH($AG$16,$AL$18:$AL$31,0)))*C4</f>
        <v>0</v>
      </c>
      <c r="Y5" s="20">
        <f>(INDEX(($AO$5:$AY$13,$AO$17:$AY$25,$AO$30:$AY$38,$AO$42:$AY$50,$AO$54:$AY$62,$AO$66:$AY$74,$BI$5:$BS$13,$BI$17:$BS$25,$BI$29:$BS$37,$BI$41:$BS$49,$BI$53:$BS$61,$BI$65:$BS$73,$BY$5:$CI$13,$BY$17:$CI$25),MATCH($L$4,$AN$5:$AN$13,0),MATCH(A4,$AO$4:$AY$4,0),MATCH($AG$16,$AL$18:$AL$31,0)))*C4</f>
        <v>0</v>
      </c>
      <c r="Z5" s="20">
        <f>(INDEX(($AO$5:$AY$13,$AO$17:$AY$25,$AO$30:$AY$38,$AO$42:$AY$50,$AO$54:$AY$62,$AO$66:$AY$74,$BI$5:$BS$13,$BI$17:$BS$25,$BI$29:$BS$37,$BI$41:$BS$49,$BI$53:$BS$61,$BI$65:$BS$73,$BY$5:$CI$13,$BY$17:$CI$25),MATCH($L$5,$AN$5:$AN$13,0),MATCH(A4,$AO$4:$AY$4,0),MATCH($AG$16,$AL$18:$AL$31,0)))*C4</f>
        <v>0</v>
      </c>
      <c r="AA5" s="20">
        <f>(INDEX(($AO$5:$AY$13,$AO$17:$AY$25,$AO$30:$AY$38,$AO$42:$AY$50,$AO$54:$AY$62,$AO$66:$AY$74,$BI$5:$BS$13,$BI$17:$BS$25,$BI$29:$BS$37,$BI$41:$BS$49,$BI$53:$BS$61,$BI$65:$BS$73,$BY$5:$CI$13,$BY$17:$CI$25),MATCH($L$6,$AN$5:$AN$13,0),MATCH(A4,$AO$4:$AY$4,0),MATCH($AG$16,$AL$18:$AL$31,0)))*C4</f>
        <v>0</v>
      </c>
      <c r="AB5" s="20">
        <f>(INDEX(($AO$5:$AY$13,$AO$17:$AY$25,$AO$30:$AY$38,$AO$42:$AY$50,$AO$54:$AY$62,$AO$66:$AY$74,$BI$5:$BS$13,$BI$17:$BS$25,$BI$29:$BS$37,$BI$41:$BS$49,$BI$53:$BS$61,$BI$65:$BS$73,$BY$5:$CI$13,$BY$17:$CI$25),MATCH($L$7,$AN$5:$AN$13,0),MATCH(A4,$AO$4:$AY$4,0),MATCH($AG$16,$AL$18:$AL$31,0)))*C4</f>
        <v>0</v>
      </c>
      <c r="AC5" s="20">
        <f>(INDEX(($AO$5:$AY$13,$AO$17:$AY$25,$AO$30:$AY$38,$AO$42:$AY$50,$AO$54:$AY$62,$AO$66:$AY$74,$BI$5:$BS$13,$BI$17:$BS$25,$BI$29:$BS$37,$BI$41:$BS$49,$BI$53:$BS$61,$BI$65:$BS$73,$BY$5:$CI$13,$BY$17:$CI$25),MATCH($L$8,$AN$5:$AN$13,0),MATCH(A4,$AO$4:$AY$4,0),MATCH($AG$16,$AL$18:$AL$31,0)))*C4</f>
        <v>0</v>
      </c>
      <c r="AD5" s="20">
        <f>(INDEX(($AO$5:$AY$13,$AO$17:$AY$25,$AO$30:$AY$38,$AO$42:$AY$50,$AO$54:$AY$62,$AO$66:$AY$74,$BI$5:$BS$13,$BI$17:$BS$25,$BI$29:$BS$37,$BI$41:$BS$49,$BI$53:$BS$61,$BI$65:$BS$73,$BY$5:$CI$13,$BY$17:$CI$25),MATCH($L$9,$AN$5:$AN$13,0),MATCH(A4,$AO$4:$AY$4,0),MATCH($AG$16,$AL$18:$AL$31,0)))*C4</f>
        <v>0</v>
      </c>
      <c r="AE5" s="20">
        <f>(INDEX(($AO$5:$AY$13,$AO$17:$AY$25,$AO$30:$AY$38,$AO$42:$AY$50,$AO$54:$AY$62,$AO$66:$AY$74,$BI$5:$BS$13,$BI$17:$BS$25,$BI$29:$BS$37,$BI$41:$BS$49,$BI$53:$BS$61,$BI$65:$BS$73,$BY$5:$CI$13,$BY$17:$CI$25),MATCH($L$10,$AN$5:$AN$13,0),MATCH(A4,$AO$4:$AY$4,0),MATCH($AG$16,$AL$18:$AL$31,0)))*C4</f>
        <v>0</v>
      </c>
      <c r="AG5" s="26">
        <v>33</v>
      </c>
      <c r="AH5" s="20" t="s">
        <v>28</v>
      </c>
      <c r="AI5" s="20"/>
      <c r="AJ5" s="20" t="s">
        <v>110</v>
      </c>
      <c r="AK5" s="20" t="s">
        <v>67</v>
      </c>
      <c r="AN5" s="20" t="s">
        <v>210</v>
      </c>
      <c r="AO5" s="20">
        <v>0</v>
      </c>
      <c r="AP5" s="20">
        <v>0</v>
      </c>
      <c r="AQ5" s="20">
        <v>0</v>
      </c>
      <c r="AR5" s="20">
        <v>0</v>
      </c>
      <c r="AS5" s="20">
        <v>0</v>
      </c>
      <c r="AT5" s="20">
        <v>0</v>
      </c>
      <c r="AU5" s="20">
        <v>0</v>
      </c>
      <c r="AV5" s="20">
        <v>0</v>
      </c>
      <c r="AW5" s="20">
        <v>2</v>
      </c>
      <c r="AX5" s="20">
        <v>0</v>
      </c>
      <c r="AY5" s="20">
        <v>0</v>
      </c>
      <c r="AZ5" s="20"/>
      <c r="BA5" s="20"/>
      <c r="BB5" s="54">
        <v>1</v>
      </c>
      <c r="BC5" s="20"/>
      <c r="BD5" s="20"/>
      <c r="BE5" s="20"/>
      <c r="BF5" s="20"/>
      <c r="BG5" s="20"/>
      <c r="BH5" s="20" t="s">
        <v>210</v>
      </c>
      <c r="BI5" s="20">
        <v>0</v>
      </c>
      <c r="BJ5" s="20">
        <v>0</v>
      </c>
      <c r="BK5" s="20">
        <v>0</v>
      </c>
      <c r="BL5" s="20">
        <v>0</v>
      </c>
      <c r="BM5" s="20">
        <v>0</v>
      </c>
      <c r="BN5" s="20">
        <v>0</v>
      </c>
      <c r="BO5" s="20">
        <v>0</v>
      </c>
      <c r="BP5" s="20">
        <v>0</v>
      </c>
      <c r="BQ5" s="20">
        <v>0</v>
      </c>
      <c r="BR5" s="20">
        <v>0</v>
      </c>
      <c r="BS5" s="20">
        <v>0</v>
      </c>
      <c r="BT5" s="20"/>
      <c r="BU5" s="20"/>
      <c r="BV5" s="20"/>
      <c r="BW5" s="20"/>
      <c r="BX5" s="20" t="s">
        <v>210</v>
      </c>
      <c r="BY5" s="20">
        <v>0</v>
      </c>
      <c r="BZ5" s="20">
        <v>0</v>
      </c>
      <c r="CA5" s="20">
        <v>0</v>
      </c>
      <c r="CB5" s="20">
        <v>0</v>
      </c>
      <c r="CC5" s="20">
        <v>2</v>
      </c>
      <c r="CD5" s="20">
        <v>0</v>
      </c>
      <c r="CE5" s="20">
        <v>0</v>
      </c>
      <c r="CF5" s="20">
        <v>0</v>
      </c>
      <c r="CG5" s="20">
        <v>0</v>
      </c>
      <c r="CH5" s="20">
        <v>0</v>
      </c>
      <c r="CI5" s="20">
        <v>0</v>
      </c>
      <c r="CJ5" s="20"/>
      <c r="CK5" s="20"/>
      <c r="CL5" s="20"/>
      <c r="CM5" s="20"/>
    </row>
    <row r="6" spans="1:91" x14ac:dyDescent="0.25">
      <c r="A6" s="8"/>
      <c r="B6" s="6" t="s">
        <v>116</v>
      </c>
      <c r="C6" s="8"/>
      <c r="D6" s="6" t="s">
        <v>162</v>
      </c>
      <c r="E6" s="8">
        <v>0</v>
      </c>
      <c r="F6" s="5"/>
      <c r="G6" s="5"/>
      <c r="H6" s="5"/>
      <c r="I6" s="5"/>
      <c r="J6" s="5" t="s">
        <v>163</v>
      </c>
      <c r="K6" s="4"/>
      <c r="L6" s="6" t="s">
        <v>211</v>
      </c>
      <c r="M6" s="14">
        <f>INDEX(cennik!$C$2:$L$529,MATCH($L6,cennik!$B$2:$B$522,0),MATCH(M$2,cennik!$C$1:$L$1,0))</f>
        <v>6441205</v>
      </c>
      <c r="N6" s="14" t="str">
        <f>INDEX(cennik!$C$2:$L$529,MATCH($L6,cennik!$B$2:$B$522,0),MATCH(N$2,cennik!$C$1:$L$1,0))</f>
        <v>szt.</v>
      </c>
      <c r="O6" s="14">
        <f>SUM(AA3:AA18)</f>
        <v>0</v>
      </c>
      <c r="P6" s="22">
        <f>INDEX(cennik!$C$2:$L$529,MATCH($L6,cennik!$B$2:$B$522,0),MATCH(P$2,cennik!$C$1:$L$1,0))</f>
        <v>46.35</v>
      </c>
      <c r="Q6" s="22">
        <f t="shared" si="0"/>
        <v>0</v>
      </c>
      <c r="R6" s="23">
        <f t="shared" si="3"/>
        <v>0</v>
      </c>
      <c r="S6" s="22">
        <f t="shared" si="1"/>
        <v>46.35</v>
      </c>
      <c r="T6" s="22">
        <f t="shared" si="2"/>
        <v>0</v>
      </c>
      <c r="U6" s="22">
        <f>INDEX(cennik!$C$2:$L$529,MATCH($L6,cennik!$B$2:$B$522,0),MATCH(U$2,cennik!$C$1:$L$1,0))*O6</f>
        <v>0</v>
      </c>
      <c r="W6" s="20">
        <f>(INDEX(($AO$5:$AY$13,$AO$17:$AY$25,$AO$30:$AY$38,$AO$42:$AY$50,$AO$54:$AY$62,$AO$66:$AY$74,$BI$5:$BS$13,$BI$17:$BS$25,$BI$29:$BS$37,$BI$41:$BS$49,$BI$53:$BS$61,$BI$65:$BS$73,$BY$5:$CI$13,$BY$17:$CI$25),MATCH($L$11,$AN$5:$AN$13,0),MATCH(A5,$AO$4:$AY$4,0),MATCH($AG$16,$AL$18:$AL$31,0)))*C5</f>
        <v>0</v>
      </c>
      <c r="X6" s="20">
        <f>(INDEX(($AO$5:$AY$13,$AO$17:$AY$25,$AO$30:$AY$38,$AO$42:$AY$50,$AO$54:$AY$62,$AO$66:$AY$74,$BI$5:$BS$13,$BI$17:$BS$25,$BI$29:$BS$37,$BI$41:$BS$49,$BI$53:$BS$61,$BI$65:$BS$73,$BY$5:$CI$13,$BY$17:$CI$25),MATCH($L$3,$AN$5:$AN$13,0),MATCH(A5,$AO$4:$AY$4,0),MATCH($AG$16,$AL$18:$AL$31,0)))*C5</f>
        <v>0</v>
      </c>
      <c r="Y6" s="20">
        <f>(INDEX(($AO$5:$AY$13,$AO$17:$AY$25,$AO$30:$AY$38,$AO$42:$AY$50,$AO$54:$AY$62,$AO$66:$AY$74,$BI$5:$BS$13,$BI$17:$BS$25,$BI$29:$BS$37,$BI$41:$BS$49,$BI$53:$BS$61,$BI$65:$BS$73,$BY$5:$CI$13,$BY$17:$CI$25),MATCH($L$4,$AN$5:$AN$13,0),MATCH(A5,$AO$4:$AY$4,0),MATCH($AG$16,$AL$18:$AL$31,0)))*C5</f>
        <v>0</v>
      </c>
      <c r="Z6" s="20">
        <f>(INDEX(($AO$5:$AY$13,$AO$17:$AY$25,$AO$30:$AY$38,$AO$42:$AY$50,$AO$54:$AY$62,$AO$66:$AY$74,$BI$5:$BS$13,$BI$17:$BS$25,$BI$29:$BS$37,$BI$41:$BS$49,$BI$53:$BS$61,$BI$65:$BS$73,$BY$5:$CI$13,$BY$17:$CI$25),MATCH($L$5,$AN$5:$AN$13,0),MATCH(A5,$AO$4:$AY$4,0),MATCH($AG$16,$AL$18:$AL$31,0)))*C5</f>
        <v>0</v>
      </c>
      <c r="AA6" s="20">
        <f>(INDEX(($AO$5:$AY$13,$AO$17:$AY$25,$AO$30:$AY$38,$AO$42:$AY$50,$AO$54:$AY$62,$AO$66:$AY$74,$BI$5:$BS$13,$BI$17:$BS$25,$BI$29:$BS$37,$BI$41:$BS$49,$BI$53:$BS$61,$BI$65:$BS$73,$BY$5:$CI$13,$BY$17:$CI$25),MATCH($L$6,$AN$5:$AN$13,0),MATCH(A5,$AO$4:$AY$4,0),MATCH($AG$16,$AL$18:$AL$31,0)))*C5</f>
        <v>0</v>
      </c>
      <c r="AB6" s="20">
        <f>(INDEX(($AO$5:$AY$13,$AO$17:$AY$25,$AO$30:$AY$38,$AO$42:$AY$50,$AO$54:$AY$62,$AO$66:$AY$74,$BI$5:$BS$13,$BI$17:$BS$25,$BI$29:$BS$37,$BI$41:$BS$49,$BI$53:$BS$61,$BI$65:$BS$73,$BY$5:$CI$13,$BY$17:$CI$25),MATCH($L$7,$AN$5:$AN$13,0),MATCH(A5,$AO$4:$AY$4,0),MATCH($AG$16,$AL$18:$AL$31,0)))*C5</f>
        <v>0</v>
      </c>
      <c r="AC6" s="20">
        <f>(INDEX(($AO$5:$AY$13,$AO$17:$AY$25,$AO$30:$AY$38,$AO$42:$AY$50,$AO$54:$AY$62,$AO$66:$AY$74,$BI$5:$BS$13,$BI$17:$BS$25,$BI$29:$BS$37,$BI$41:$BS$49,$BI$53:$BS$61,$BI$65:$BS$73,$BY$5:$CI$13,$BY$17:$CI$25),MATCH($L$8,$AN$5:$AN$13,0),MATCH(A5,$AO$4:$AY$4,0),MATCH($AG$16,$AL$18:$AL$31,0)))*C5</f>
        <v>0</v>
      </c>
      <c r="AD6" s="20">
        <f>(INDEX(($AO$5:$AY$13,$AO$17:$AY$25,$AO$30:$AY$38,$AO$42:$AY$50,$AO$54:$AY$62,$AO$66:$AY$74,$BI$5:$BS$13,$BI$17:$BS$25,$BI$29:$BS$37,$BI$41:$BS$49,$BI$53:$BS$61,$BI$65:$BS$73,$BY$5:$CI$13,$BY$17:$CI$25),MATCH($L$9,$AN$5:$AN$13,0),MATCH(A5,$AO$4:$AY$4,0),MATCH($AG$16,$AL$18:$AL$31,0)))*C5</f>
        <v>0</v>
      </c>
      <c r="AE6" s="20">
        <f>(INDEX(($AO$5:$AY$13,$AO$17:$AY$25,$AO$30:$AY$38,$AO$42:$AY$50,$AO$54:$AY$62,$AO$66:$AY$74,$BI$5:$BS$13,$BI$17:$BS$25,$BI$29:$BS$37,$BI$41:$BS$49,$BI$53:$BS$61,$BI$65:$BS$73,$BY$5:$CI$13,$BY$17:$CI$25),MATCH($L$10,$AN$5:$AN$13,0),MATCH(A5,$AO$4:$AY$4,0),MATCH($AG$16,$AL$18:$AL$31,0)))*C5</f>
        <v>0</v>
      </c>
      <c r="AG6" s="26">
        <v>34</v>
      </c>
      <c r="AH6" s="20"/>
      <c r="AI6" s="20"/>
      <c r="AJ6" s="20" t="s">
        <v>110</v>
      </c>
      <c r="AK6" s="20" t="s">
        <v>67</v>
      </c>
      <c r="AN6" s="20" t="s">
        <v>9</v>
      </c>
      <c r="AO6" s="20">
        <v>0</v>
      </c>
      <c r="AP6" s="20">
        <v>2</v>
      </c>
      <c r="AQ6" s="20">
        <v>0</v>
      </c>
      <c r="AR6" s="20">
        <v>0</v>
      </c>
      <c r="AS6" s="20">
        <v>2</v>
      </c>
      <c r="AT6" s="20">
        <v>0</v>
      </c>
      <c r="AU6" s="20">
        <v>0</v>
      </c>
      <c r="AV6" s="20">
        <v>0</v>
      </c>
      <c r="AW6" s="20">
        <v>0</v>
      </c>
      <c r="AX6" s="20">
        <v>0</v>
      </c>
      <c r="AY6" s="20">
        <v>0</v>
      </c>
      <c r="AZ6" s="20"/>
      <c r="BA6" s="20"/>
      <c r="BB6" s="54">
        <v>2</v>
      </c>
      <c r="BC6" s="20"/>
      <c r="BD6" s="20"/>
      <c r="BE6" s="20"/>
      <c r="BF6" s="20"/>
      <c r="BG6" s="20"/>
      <c r="BH6" s="20" t="s">
        <v>9</v>
      </c>
      <c r="BI6" s="20">
        <v>0</v>
      </c>
      <c r="BJ6" s="20">
        <v>0</v>
      </c>
      <c r="BK6" s="20">
        <v>0</v>
      </c>
      <c r="BL6" s="20">
        <v>0</v>
      </c>
      <c r="BM6" s="20">
        <v>0</v>
      </c>
      <c r="BN6" s="20">
        <v>0</v>
      </c>
      <c r="BO6" s="20">
        <v>0</v>
      </c>
      <c r="BP6" s="20">
        <v>0</v>
      </c>
      <c r="BQ6" s="20">
        <v>0</v>
      </c>
      <c r="BR6" s="20">
        <v>0</v>
      </c>
      <c r="BS6" s="20">
        <v>0</v>
      </c>
      <c r="BT6" s="20"/>
      <c r="BU6" s="20"/>
      <c r="BV6" s="20"/>
      <c r="BW6" s="20"/>
      <c r="BX6" s="20" t="s">
        <v>9</v>
      </c>
      <c r="BY6" s="20">
        <v>0</v>
      </c>
      <c r="BZ6" s="20">
        <v>0</v>
      </c>
      <c r="CA6" s="20">
        <v>2</v>
      </c>
      <c r="CB6" s="20">
        <v>0</v>
      </c>
      <c r="CC6" s="20">
        <v>0</v>
      </c>
      <c r="CD6" s="20">
        <v>0</v>
      </c>
      <c r="CE6" s="20">
        <v>0</v>
      </c>
      <c r="CF6" s="20">
        <v>0</v>
      </c>
      <c r="CG6" s="20">
        <v>0</v>
      </c>
      <c r="CH6" s="20">
        <v>0</v>
      </c>
      <c r="CI6" s="20">
        <v>0</v>
      </c>
      <c r="CJ6" s="20"/>
      <c r="CK6" s="20"/>
      <c r="CL6" s="20"/>
      <c r="CM6" s="20"/>
    </row>
    <row r="7" spans="1:91" x14ac:dyDescent="0.25">
      <c r="A7" s="8"/>
      <c r="B7" s="6" t="s">
        <v>116</v>
      </c>
      <c r="C7" s="8"/>
      <c r="D7" s="6" t="s">
        <v>510</v>
      </c>
      <c r="E7" s="8">
        <v>10</v>
      </c>
      <c r="F7" s="5"/>
      <c r="G7" s="5"/>
      <c r="H7" s="5"/>
      <c r="I7" s="5"/>
      <c r="J7" s="5" t="s">
        <v>509</v>
      </c>
      <c r="K7" s="4"/>
      <c r="L7" s="6" t="s">
        <v>293</v>
      </c>
      <c r="M7" s="14">
        <f>INDEX(cennik!$C$2:$L$529,MATCH($L7,cennik!$B$2:$B$522,0),MATCH(M$2,cennik!$C$1:$L$1,0))</f>
        <v>851122</v>
      </c>
      <c r="N7" s="14" t="str">
        <f>INDEX(cennik!$C$2:$L$529,MATCH($L7,cennik!$B$2:$B$522,0),MATCH(N$2,cennik!$C$1:$L$1,0))</f>
        <v>szt.</v>
      </c>
      <c r="O7" s="14">
        <f>SUM(AB3:AB18)</f>
        <v>0</v>
      </c>
      <c r="P7" s="22">
        <f>INDEX(cennik!$C$2:$L$529,MATCH($L7,cennik!$B$2:$B$522,0),MATCH(P$2,cennik!$C$1:$L$1,0))</f>
        <v>46.2</v>
      </c>
      <c r="Q7" s="22">
        <f t="shared" si="0"/>
        <v>0</v>
      </c>
      <c r="R7" s="23">
        <f t="shared" si="3"/>
        <v>0</v>
      </c>
      <c r="S7" s="22">
        <f t="shared" si="1"/>
        <v>46.2</v>
      </c>
      <c r="T7" s="22">
        <f t="shared" si="2"/>
        <v>0</v>
      </c>
      <c r="U7" s="22">
        <f>INDEX(cennik!$C$2:$L$529,MATCH($L7,cennik!$B$2:$B$522,0),MATCH(U$2,cennik!$C$1:$L$1,0))*O7</f>
        <v>0</v>
      </c>
      <c r="W7" s="20">
        <f>(INDEX(($AO$5:$AY$13,$AO$17:$AY$25,$AO$30:$AY$38,$AO$42:$AY$50,$AO$54:$AY$62,$AO$66:$AY$74,$BI$5:$BS$13,$BI$17:$BS$25,$BI$29:$BS$37,$BI$41:$BS$49,$BI$53:$BS$61,$BI$65:$BS$73,$BY$5:$CI$13,$BY$17:$CI$25),MATCH($L$11,$AN$5:$AN$13,0),MATCH(A6,$AO$4:$AY$4,0),MATCH($AG$16,$AL$18:$AL$31,0)))*C6</f>
        <v>0</v>
      </c>
      <c r="X7" s="20">
        <f>(INDEX(($AO$5:$AY$13,$AO$17:$AY$25,$AO$30:$AY$38,$AO$42:$AY$50,$AO$54:$AY$62,$AO$66:$AY$74,$BI$5:$BS$13,$BI$17:$BS$25,$BI$29:$BS$37,$BI$41:$BS$49,$BI$53:$BS$61,$BI$65:$BS$73,$BY$5:$CI$13,$BY$17:$CI$25),MATCH($L$3,$AN$5:$AN$13,0),MATCH(A6,$AO$4:$AY$4,0),MATCH($AG$16,$AL$18:$AL$31,0)))*C6</f>
        <v>0</v>
      </c>
      <c r="Y7" s="20">
        <f>(INDEX(($AO$5:$AY$13,$AO$17:$AY$25,$AO$30:$AY$38,$AO$42:$AY$50,$AO$54:$AY$62,$AO$66:$AY$74,$BI$5:$BS$13,$BI$17:$BS$25,$BI$29:$BS$37,$BI$41:$BS$49,$BI$53:$BS$61,$BI$65:$BS$73,$BY$5:$CI$13,$BY$17:$CI$25),MATCH($L$4,$AN$5:$AN$13,0),MATCH(A6,$AO$4:$AY$4,0),MATCH($AG$16,$AL$18:$AL$31,0)))*C6</f>
        <v>0</v>
      </c>
      <c r="Z7" s="20">
        <f>(INDEX(($AO$5:$AY$13,$AO$17:$AY$25,$AO$30:$AY$38,$AO$42:$AY$50,$AO$54:$AY$62,$AO$66:$AY$74,$BI$5:$BS$13,$BI$17:$BS$25,$BI$29:$BS$37,$BI$41:$BS$49,$BI$53:$BS$61,$BI$65:$BS$73,$BY$5:$CI$13,$BY$17:$CI$25),MATCH($L$5,$AN$5:$AN$13,0),MATCH(A6,$AO$4:$AY$4,0),MATCH($AG$16,$AL$18:$AL$31,0)))*C6</f>
        <v>0</v>
      </c>
      <c r="AA7" s="20">
        <f>(INDEX(($AO$5:$AY$13,$AO$17:$AY$25,$AO$30:$AY$38,$AO$42:$AY$50,$AO$54:$AY$62,$AO$66:$AY$74,$BI$5:$BS$13,$BI$17:$BS$25,$BI$29:$BS$37,$BI$41:$BS$49,$BI$53:$BS$61,$BI$65:$BS$73,$BY$5:$CI$13,$BY$17:$CI$25),MATCH($L$6,$AN$5:$AN$13,0),MATCH(A6,$AO$4:$AY$4,0),MATCH($AG$16,$AL$18:$AL$31,0)))*C6</f>
        <v>0</v>
      </c>
      <c r="AB7" s="20">
        <f>(INDEX(($AO$5:$AY$13,$AO$17:$AY$25,$AO$30:$AY$38,$AO$42:$AY$50,$AO$54:$AY$62,$AO$66:$AY$74,$BI$5:$BS$13,$BI$17:$BS$25,$BI$29:$BS$37,$BI$41:$BS$49,$BI$53:$BS$61,$BI$65:$BS$73,$BY$5:$CI$13,$BY$17:$CI$25),MATCH($L$7,$AN$5:$AN$13,0),MATCH(A6,$AO$4:$AY$4,0),MATCH($AG$16,$AL$18:$AL$31,0)))*C6</f>
        <v>0</v>
      </c>
      <c r="AC7" s="20">
        <f>(INDEX(($AO$5:$AY$13,$AO$17:$AY$25,$AO$30:$AY$38,$AO$42:$AY$50,$AO$54:$AY$62,$AO$66:$AY$74,$BI$5:$BS$13,$BI$17:$BS$25,$BI$29:$BS$37,$BI$41:$BS$49,$BI$53:$BS$61,$BI$65:$BS$73,$BY$5:$CI$13,$BY$17:$CI$25),MATCH($L$8,$AN$5:$AN$13,0),MATCH(A6,$AO$4:$AY$4,0),MATCH($AG$16,$AL$18:$AL$31,0)))*C6</f>
        <v>0</v>
      </c>
      <c r="AD7" s="20">
        <f>(INDEX(($AO$5:$AY$13,$AO$17:$AY$25,$AO$30:$AY$38,$AO$42:$AY$50,$AO$54:$AY$62,$AO$66:$AY$74,$BI$5:$BS$13,$BI$17:$BS$25,$BI$29:$BS$37,$BI$41:$BS$49,$BI$53:$BS$61,$BI$65:$BS$73,$BY$5:$CI$13,$BY$17:$CI$25),MATCH($L$9,$AN$5:$AN$13,0),MATCH(A6,$AO$4:$AY$4,0),MATCH($AG$16,$AL$18:$AL$31,0)))*C6</f>
        <v>0</v>
      </c>
      <c r="AE7" s="20">
        <f>(INDEX(($AO$5:$AY$13,$AO$17:$AY$25,$AO$30:$AY$38,$AO$42:$AY$50,$AO$54:$AY$62,$AO$66:$AY$74,$BI$5:$BS$13,$BI$17:$BS$25,$BI$29:$BS$37,$BI$41:$BS$49,$BI$53:$BS$61,$BI$65:$BS$73,$BY$5:$CI$13,$BY$17:$CI$25),MATCH($L$10,$AN$5:$AN$13,0),MATCH(A6,$AO$4:$AY$4,0),MATCH($AG$16,$AL$18:$AL$31,0)))*C6</f>
        <v>0</v>
      </c>
      <c r="AG7" s="26">
        <v>35</v>
      </c>
      <c r="AH7" s="20" t="s">
        <v>29</v>
      </c>
      <c r="AI7" s="20" t="s">
        <v>30</v>
      </c>
      <c r="AJ7" s="20" t="s">
        <v>110</v>
      </c>
      <c r="AK7" s="20" t="s">
        <v>67</v>
      </c>
      <c r="AN7" s="20" t="s">
        <v>208</v>
      </c>
      <c r="AO7" s="20">
        <v>0</v>
      </c>
      <c r="AP7" s="20">
        <v>0</v>
      </c>
      <c r="AQ7" s="20">
        <v>0</v>
      </c>
      <c r="AR7" s="20">
        <v>0</v>
      </c>
      <c r="AS7" s="20">
        <v>0</v>
      </c>
      <c r="AT7" s="20">
        <v>2</v>
      </c>
      <c r="AU7" s="20">
        <v>0</v>
      </c>
      <c r="AV7" s="20">
        <v>0</v>
      </c>
      <c r="AW7" s="20">
        <v>0</v>
      </c>
      <c r="AX7" s="20">
        <v>0</v>
      </c>
      <c r="AY7" s="20">
        <v>0</v>
      </c>
      <c r="AZ7" s="20"/>
      <c r="BA7" s="20"/>
      <c r="BB7" s="54">
        <v>3</v>
      </c>
      <c r="BC7" s="20"/>
      <c r="BD7" s="20"/>
      <c r="BE7" s="20"/>
      <c r="BF7" s="20"/>
      <c r="BG7" s="20"/>
      <c r="BH7" s="20" t="s">
        <v>208</v>
      </c>
      <c r="BI7" s="20">
        <v>0</v>
      </c>
      <c r="BJ7" s="20">
        <v>0</v>
      </c>
      <c r="BK7" s="20">
        <v>0</v>
      </c>
      <c r="BL7" s="20">
        <v>2</v>
      </c>
      <c r="BM7" s="20">
        <v>0</v>
      </c>
      <c r="BN7" s="20">
        <v>0</v>
      </c>
      <c r="BO7" s="20">
        <v>0</v>
      </c>
      <c r="BP7" s="20">
        <v>0</v>
      </c>
      <c r="BQ7" s="20">
        <v>0</v>
      </c>
      <c r="BR7" s="20">
        <v>0</v>
      </c>
      <c r="BS7" s="20">
        <v>0</v>
      </c>
      <c r="BT7" s="20"/>
      <c r="BU7" s="20"/>
      <c r="BV7" s="20"/>
      <c r="BW7" s="20"/>
      <c r="BX7" s="20" t="s">
        <v>208</v>
      </c>
      <c r="BY7" s="20">
        <v>0</v>
      </c>
      <c r="BZ7" s="20">
        <v>0</v>
      </c>
      <c r="CA7" s="20">
        <v>0</v>
      </c>
      <c r="CB7" s="20">
        <v>0</v>
      </c>
      <c r="CC7" s="20">
        <v>0</v>
      </c>
      <c r="CD7" s="20">
        <v>0</v>
      </c>
      <c r="CE7" s="20">
        <v>0</v>
      </c>
      <c r="CF7" s="20">
        <v>0</v>
      </c>
      <c r="CG7" s="20">
        <v>0</v>
      </c>
      <c r="CH7" s="20">
        <v>0</v>
      </c>
      <c r="CI7" s="20">
        <v>0</v>
      </c>
      <c r="CJ7" s="20"/>
      <c r="CK7" s="20"/>
      <c r="CL7" s="20"/>
      <c r="CM7" s="20"/>
    </row>
    <row r="8" spans="1:91" x14ac:dyDescent="0.25">
      <c r="A8" s="8"/>
      <c r="B8" s="6" t="s">
        <v>116</v>
      </c>
      <c r="C8" s="8"/>
      <c r="D8" s="6" t="s">
        <v>511</v>
      </c>
      <c r="E8" s="4"/>
      <c r="F8" s="5"/>
      <c r="G8" s="5"/>
      <c r="H8" s="5"/>
      <c r="I8" s="5"/>
      <c r="K8" s="4"/>
      <c r="L8" s="6" t="s">
        <v>10</v>
      </c>
      <c r="M8" s="14">
        <f>INDEX(cennik!$C$2:$L$529,MATCH($L8,cennik!$B$2:$B$522,0),MATCH(M$2,cennik!$C$1:$L$1,0))</f>
        <v>6441305</v>
      </c>
      <c r="N8" s="14" t="str">
        <f>INDEX(cennik!$C$2:$L$529,MATCH($L8,cennik!$B$2:$B$522,0),MATCH(N$2,cennik!$C$1:$L$1,0))</f>
        <v>szt.</v>
      </c>
      <c r="O8" s="14">
        <f>SUM(AC3:AC18)</f>
        <v>0</v>
      </c>
      <c r="P8" s="22">
        <f>INDEX(cennik!$C$2:$L$529,MATCH($L8,cennik!$B$2:$B$522,0),MATCH(P$2,cennik!$C$1:$L$1,0))</f>
        <v>69.55</v>
      </c>
      <c r="Q8" s="22">
        <f t="shared" si="0"/>
        <v>0</v>
      </c>
      <c r="R8" s="23">
        <f t="shared" si="3"/>
        <v>0</v>
      </c>
      <c r="S8" s="22">
        <f t="shared" si="1"/>
        <v>69.55</v>
      </c>
      <c r="T8" s="22">
        <f t="shared" si="2"/>
        <v>0</v>
      </c>
      <c r="U8" s="22">
        <f>INDEX(cennik!$C$2:$L$529,MATCH($L8,cennik!$B$2:$B$522,0),MATCH(U$2,cennik!$C$1:$L$1,0))*O8</f>
        <v>0</v>
      </c>
      <c r="W8" s="20">
        <f>(INDEX(($AO$5:$AY$13,$AO$17:$AY$25,$AO$30:$AY$38,$AO$42:$AY$50,$AO$54:$AY$62,$AO$66:$AY$74,$BI$5:$BS$13,$BI$17:$BS$25,$BI$29:$BS$37,$BI$41:$BS$49,$BI$53:$BS$61,$BI$65:$BS$73,$BY$5:$CI$13,$BY$17:$CI$25),MATCH($L$11,$AN$5:$AN$13,0),MATCH(A7,$AO$4:$AY$4,0),MATCH($AG$16,$AL$18:$AL$31,0)))*C7</f>
        <v>0</v>
      </c>
      <c r="X8" s="20">
        <f>(INDEX(($AO$5:$AY$13,$AO$17:$AY$25,$AO$30:$AY$38,$AO$42:$AY$50,$AO$54:$AY$62,$AO$66:$AY$74,$BI$5:$BS$13,$BI$17:$BS$25,$BI$29:$BS$37,$BI$41:$BS$49,$BI$53:$BS$61,$BI$65:$BS$73,$BY$5:$CI$13,$BY$17:$CI$25),MATCH($L$3,$AN$5:$AN$13,0),MATCH(A7,$AO$4:$AY$4,0),MATCH($AG$16,$AL$18:$AL$31,0)))*C7</f>
        <v>0</v>
      </c>
      <c r="Y8" s="20">
        <f>(INDEX(($AO$5:$AY$13,$AO$17:$AY$25,$AO$30:$AY$38,$AO$42:$AY$50,$AO$54:$AY$62,$AO$66:$AY$74,$BI$5:$BS$13,$BI$17:$BS$25,$BI$29:$BS$37,$BI$41:$BS$49,$BI$53:$BS$61,$BI$65:$BS$73,$BY$5:$CI$13,$BY$17:$CI$25),MATCH($L$4,$AN$5:$AN$13,0),MATCH(A7,$AO$4:$AY$4,0),MATCH($AG$16,$AL$18:$AL$31,0)))*C7</f>
        <v>0</v>
      </c>
      <c r="Z8" s="20">
        <f>(INDEX(($AO$5:$AY$13,$AO$17:$AY$25,$AO$30:$AY$38,$AO$42:$AY$50,$AO$54:$AY$62,$AO$66:$AY$74,$BI$5:$BS$13,$BI$17:$BS$25,$BI$29:$BS$37,$BI$41:$BS$49,$BI$53:$BS$61,$BI$65:$BS$73,$BY$5:$CI$13,$BY$17:$CI$25),MATCH($L$5,$AN$5:$AN$13,0),MATCH(A7,$AO$4:$AY$4,0),MATCH($AG$16,$AL$18:$AL$31,0)))*C7</f>
        <v>0</v>
      </c>
      <c r="AA8" s="20">
        <f>(INDEX(($AO$5:$AY$13,$AO$17:$AY$25,$AO$30:$AY$38,$AO$42:$AY$50,$AO$54:$AY$62,$AO$66:$AY$74,$BI$5:$BS$13,$BI$17:$BS$25,$BI$29:$BS$37,$BI$41:$BS$49,$BI$53:$BS$61,$BI$65:$BS$73,$BY$5:$CI$13,$BY$17:$CI$25),MATCH($L$6,$AN$5:$AN$13,0),MATCH(A7,$AO$4:$AY$4,0),MATCH($AG$16,$AL$18:$AL$31,0)))*C7</f>
        <v>0</v>
      </c>
      <c r="AB8" s="20">
        <f>(INDEX(($AO$5:$AY$13,$AO$17:$AY$25,$AO$30:$AY$38,$AO$42:$AY$50,$AO$54:$AY$62,$AO$66:$AY$74,$BI$5:$BS$13,$BI$17:$BS$25,$BI$29:$BS$37,$BI$41:$BS$49,$BI$53:$BS$61,$BI$65:$BS$73,$BY$5:$CI$13,$BY$17:$CI$25),MATCH($L$7,$AN$5:$AN$13,0),MATCH(A7,$AO$4:$AY$4,0),MATCH($AG$16,$AL$18:$AL$31,0)))*C7</f>
        <v>0</v>
      </c>
      <c r="AC8" s="20">
        <f>(INDEX(($AO$5:$AY$13,$AO$17:$AY$25,$AO$30:$AY$38,$AO$42:$AY$50,$AO$54:$AY$62,$AO$66:$AY$74,$BI$5:$BS$13,$BI$17:$BS$25,$BI$29:$BS$37,$BI$41:$BS$49,$BI$53:$BS$61,$BI$65:$BS$73,$BY$5:$CI$13,$BY$17:$CI$25),MATCH($L$8,$AN$5:$AN$13,0),MATCH(A7,$AO$4:$AY$4,0),MATCH($AG$16,$AL$18:$AL$31,0)))*C7</f>
        <v>0</v>
      </c>
      <c r="AD8" s="20">
        <f>(INDEX(($AO$5:$AY$13,$AO$17:$AY$25,$AO$30:$AY$38,$AO$42:$AY$50,$AO$54:$AY$62,$AO$66:$AY$74,$BI$5:$BS$13,$BI$17:$BS$25,$BI$29:$BS$37,$BI$41:$BS$49,$BI$53:$BS$61,$BI$65:$BS$73,$BY$5:$CI$13,$BY$17:$CI$25),MATCH($L$9,$AN$5:$AN$13,0),MATCH(A7,$AO$4:$AY$4,0),MATCH($AG$16,$AL$18:$AL$31,0)))*C7</f>
        <v>0</v>
      </c>
      <c r="AE8" s="20">
        <f>(INDEX(($AO$5:$AY$13,$AO$17:$AY$25,$AO$30:$AY$38,$AO$42:$AY$50,$AO$54:$AY$62,$AO$66:$AY$74,$BI$5:$BS$13,$BI$17:$BS$25,$BI$29:$BS$37,$BI$41:$BS$49,$BI$53:$BS$61,$BI$65:$BS$73,$BY$5:$CI$13,$BY$17:$CI$25),MATCH($L$10,$AN$5:$AN$13,0),MATCH(A7,$AO$4:$AY$4,0),MATCH($AG$16,$AL$18:$AL$31,0)))*C7</f>
        <v>0</v>
      </c>
      <c r="AG8" s="26">
        <v>38</v>
      </c>
      <c r="AH8" s="20" t="s">
        <v>31</v>
      </c>
      <c r="AI8" s="20"/>
      <c r="AJ8" s="20" t="s">
        <v>110</v>
      </c>
      <c r="AK8" s="20" t="s">
        <v>67</v>
      </c>
      <c r="AN8" s="20" t="s">
        <v>211</v>
      </c>
      <c r="AO8" s="20">
        <v>0</v>
      </c>
      <c r="AP8" s="20">
        <v>0</v>
      </c>
      <c r="AQ8" s="20">
        <v>0</v>
      </c>
      <c r="AR8" s="20">
        <v>0</v>
      </c>
      <c r="AS8" s="20">
        <v>0</v>
      </c>
      <c r="AT8" s="20">
        <v>0</v>
      </c>
      <c r="AU8" s="20">
        <v>0</v>
      </c>
      <c r="AV8" s="20">
        <v>0</v>
      </c>
      <c r="AW8" s="20">
        <v>0</v>
      </c>
      <c r="AX8" s="20">
        <v>2</v>
      </c>
      <c r="AY8" s="20">
        <v>0</v>
      </c>
      <c r="AZ8" s="20"/>
      <c r="BA8" s="20"/>
      <c r="BB8" s="54">
        <v>4</v>
      </c>
      <c r="BC8" s="20"/>
      <c r="BD8" s="20"/>
      <c r="BE8" s="20"/>
      <c r="BF8" s="20"/>
      <c r="BG8" s="20"/>
      <c r="BH8" s="20" t="s">
        <v>211</v>
      </c>
      <c r="BI8" s="20">
        <v>0</v>
      </c>
      <c r="BJ8" s="20">
        <v>2</v>
      </c>
      <c r="BK8" s="20">
        <v>0</v>
      </c>
      <c r="BL8" s="20">
        <v>0</v>
      </c>
      <c r="BM8" s="20">
        <v>0</v>
      </c>
      <c r="BN8" s="20">
        <v>0</v>
      </c>
      <c r="BO8" s="20">
        <v>0</v>
      </c>
      <c r="BP8" s="20">
        <v>0</v>
      </c>
      <c r="BQ8" s="20">
        <v>0</v>
      </c>
      <c r="BR8" s="20">
        <v>0</v>
      </c>
      <c r="BS8" s="20">
        <v>0</v>
      </c>
      <c r="BT8" s="20"/>
      <c r="BU8" s="20"/>
      <c r="BV8" s="20"/>
      <c r="BW8" s="20"/>
      <c r="BX8" s="20" t="s">
        <v>211</v>
      </c>
      <c r="BY8" s="20">
        <v>0</v>
      </c>
      <c r="BZ8" s="20">
        <v>0</v>
      </c>
      <c r="CA8" s="20">
        <v>0</v>
      </c>
      <c r="CB8" s="20">
        <v>0</v>
      </c>
      <c r="CC8" s="20">
        <v>0</v>
      </c>
      <c r="CD8" s="20">
        <v>0</v>
      </c>
      <c r="CE8" s="20">
        <v>0</v>
      </c>
      <c r="CF8" s="20">
        <v>0</v>
      </c>
      <c r="CG8" s="20">
        <v>0</v>
      </c>
      <c r="CH8" s="20">
        <v>0</v>
      </c>
      <c r="CI8" s="20">
        <v>0</v>
      </c>
      <c r="CJ8" s="20"/>
      <c r="CK8" s="20"/>
      <c r="CL8" s="20"/>
      <c r="CM8" s="20"/>
    </row>
    <row r="9" spans="1:91" x14ac:dyDescent="0.25">
      <c r="A9" s="8"/>
      <c r="B9" s="6" t="s">
        <v>116</v>
      </c>
      <c r="C9" s="8"/>
      <c r="E9" s="4"/>
      <c r="F9" s="4"/>
      <c r="G9" s="4"/>
      <c r="H9" s="4"/>
      <c r="I9" s="4"/>
      <c r="K9" s="4"/>
      <c r="L9" s="6" t="s">
        <v>212</v>
      </c>
      <c r="M9" s="14">
        <f>INDEX(cennik!$C$2:$L$529,MATCH($L9,cennik!$B$2:$B$522,0),MATCH(M$2,cennik!$C$1:$L$1,0))</f>
        <v>851135</v>
      </c>
      <c r="N9" s="14" t="str">
        <f>INDEX(cennik!$C$2:$L$529,MATCH($L9,cennik!$B$2:$B$522,0),MATCH(N$2,cennik!$C$1:$L$1,0))</f>
        <v>szt.</v>
      </c>
      <c r="O9" s="14">
        <f>SUM(AD3:AD18)</f>
        <v>0</v>
      </c>
      <c r="P9" s="22">
        <f>INDEX(cennik!$C$2:$L$529,MATCH($L9,cennik!$B$2:$B$522,0),MATCH(P$2,cennik!$C$1:$L$1,0))</f>
        <v>73.5</v>
      </c>
      <c r="Q9" s="22">
        <f t="shared" si="0"/>
        <v>0</v>
      </c>
      <c r="R9" s="23">
        <f t="shared" si="3"/>
        <v>0</v>
      </c>
      <c r="S9" s="22">
        <f t="shared" si="1"/>
        <v>73.5</v>
      </c>
      <c r="T9" s="22">
        <f t="shared" si="2"/>
        <v>0</v>
      </c>
      <c r="U9" s="22">
        <f>INDEX(cennik!$C$2:$L$529,MATCH($L9,cennik!$B$2:$B$522,0),MATCH(U$2,cennik!$C$1:$L$1,0))*O9</f>
        <v>0</v>
      </c>
      <c r="W9" s="20">
        <f>(INDEX(($AO$5:$AY$13,$AO$17:$AY$25,$AO$30:$AY$38,$AO$42:$AY$50,$AO$54:$AY$62,$AO$66:$AY$74,$BI$5:$BS$13,$BI$17:$BS$25,$BI$29:$BS$37,$BI$41:$BS$49,$BI$53:$BS$61,$BI$65:$BS$73,$BY$5:$CI$13,$BY$17:$CI$25),MATCH($L$11,$AN$5:$AN$13,0),MATCH(A8,$AO$4:$AY$4,0),MATCH($AG$16,$AL$18:$AL$31,0)))*C8</f>
        <v>0</v>
      </c>
      <c r="X9" s="20">
        <f>(INDEX(($AO$5:$AY$13,$AO$17:$AY$25,$AO$30:$AY$38,$AO$42:$AY$50,$AO$54:$AY$62,$AO$66:$AY$74,$BI$5:$BS$13,$BI$17:$BS$25,$BI$29:$BS$37,$BI$41:$BS$49,$BI$53:$BS$61,$BI$65:$BS$73,$BY$5:$CI$13,$BY$17:$CI$25),MATCH($L$3,$AN$5:$AN$13,0),MATCH(A8,$AO$4:$AY$4,0),MATCH($AG$16,$AL$18:$AL$31,0)))*C8</f>
        <v>0</v>
      </c>
      <c r="Y9" s="20">
        <f>(INDEX(($AO$5:$AY$13,$AO$17:$AY$25,$AO$30:$AY$38,$AO$42:$AY$50,$AO$54:$AY$62,$AO$66:$AY$74,$BI$5:$BS$13,$BI$17:$BS$25,$BI$29:$BS$37,$BI$41:$BS$49,$BI$53:$BS$61,$BI$65:$BS$73,$BY$5:$CI$13,$BY$17:$CI$25),MATCH($L$4,$AN$5:$AN$13,0),MATCH(A8,$AO$4:$AY$4,0),MATCH($AG$16,$AL$18:$AL$31,0)))*C8</f>
        <v>0</v>
      </c>
      <c r="Z9" s="20">
        <f>(INDEX(($AO$5:$AY$13,$AO$17:$AY$25,$AO$30:$AY$38,$AO$42:$AY$50,$AO$54:$AY$62,$AO$66:$AY$74,$BI$5:$BS$13,$BI$17:$BS$25,$BI$29:$BS$37,$BI$41:$BS$49,$BI$53:$BS$61,$BI$65:$BS$73,$BY$5:$CI$13,$BY$17:$CI$25),MATCH($L$5,$AN$5:$AN$13,0),MATCH(A8,$AO$4:$AY$4,0),MATCH($AG$16,$AL$18:$AL$31,0)))*C8</f>
        <v>0</v>
      </c>
      <c r="AA9" s="20">
        <f>(INDEX(($AO$5:$AY$13,$AO$17:$AY$25,$AO$30:$AY$38,$AO$42:$AY$50,$AO$54:$AY$62,$AO$66:$AY$74,$BI$5:$BS$13,$BI$17:$BS$25,$BI$29:$BS$37,$BI$41:$BS$49,$BI$53:$BS$61,$BI$65:$BS$73,$BY$5:$CI$13,$BY$17:$CI$25),MATCH($L$6,$AN$5:$AN$13,0),MATCH(A8,$AO$4:$AY$4,0),MATCH($AG$16,$AL$18:$AL$31,0)))*C8</f>
        <v>0</v>
      </c>
      <c r="AB9" s="20">
        <f>(INDEX(($AO$5:$AY$13,$AO$17:$AY$25,$AO$30:$AY$38,$AO$42:$AY$50,$AO$54:$AY$62,$AO$66:$AY$74,$BI$5:$BS$13,$BI$17:$BS$25,$BI$29:$BS$37,$BI$41:$BS$49,$BI$53:$BS$61,$BI$65:$BS$73,$BY$5:$CI$13,$BY$17:$CI$25),MATCH($L$7,$AN$5:$AN$13,0),MATCH(A8,$AO$4:$AY$4,0),MATCH($AG$16,$AL$18:$AL$31,0)))*C8</f>
        <v>0</v>
      </c>
      <c r="AC9" s="20">
        <f>(INDEX(($AO$5:$AY$13,$AO$17:$AY$25,$AO$30:$AY$38,$AO$42:$AY$50,$AO$54:$AY$62,$AO$66:$AY$74,$BI$5:$BS$13,$BI$17:$BS$25,$BI$29:$BS$37,$BI$41:$BS$49,$BI$53:$BS$61,$BI$65:$BS$73,$BY$5:$CI$13,$BY$17:$CI$25),MATCH($L$8,$AN$5:$AN$13,0),MATCH(A8,$AO$4:$AY$4,0),MATCH($AG$16,$AL$18:$AL$31,0)))*C8</f>
        <v>0</v>
      </c>
      <c r="AD9" s="20">
        <f>(INDEX(($AO$5:$AY$13,$AO$17:$AY$25,$AO$30:$AY$38,$AO$42:$AY$50,$AO$54:$AY$62,$AO$66:$AY$74,$BI$5:$BS$13,$BI$17:$BS$25,$BI$29:$BS$37,$BI$41:$BS$49,$BI$53:$BS$61,$BI$65:$BS$73,$BY$5:$CI$13,$BY$17:$CI$25),MATCH($L$9,$AN$5:$AN$13,0),MATCH(A8,$AO$4:$AY$4,0),MATCH($AG$16,$AL$18:$AL$31,0)))*C8</f>
        <v>0</v>
      </c>
      <c r="AE9" s="20">
        <f>(INDEX(($AO$5:$AY$13,$AO$17:$AY$25,$AO$30:$AY$38,$AO$42:$AY$50,$AO$54:$AY$62,$AO$66:$AY$74,$BI$5:$BS$13,$BI$17:$BS$25,$BI$29:$BS$37,$BI$41:$BS$49,$BI$53:$BS$61,$BI$65:$BS$73,$BY$5:$CI$13,$BY$17:$CI$25),MATCH($L$10,$AN$5:$AN$13,0),MATCH(A8,$AO$4:$AY$4,0),MATCH($AG$16,$AL$18:$AL$31,0)))*C8</f>
        <v>0</v>
      </c>
      <c r="AG9" s="26">
        <v>40</v>
      </c>
      <c r="AH9" s="20" t="s">
        <v>32</v>
      </c>
      <c r="AI9" s="20" t="s">
        <v>33</v>
      </c>
      <c r="AJ9" s="20" t="s">
        <v>109</v>
      </c>
      <c r="AK9" s="20" t="s">
        <v>67</v>
      </c>
      <c r="AN9" s="20" t="s">
        <v>293</v>
      </c>
      <c r="AO9" s="20">
        <v>0</v>
      </c>
      <c r="AP9" s="20">
        <v>0</v>
      </c>
      <c r="AQ9" s="20">
        <v>2</v>
      </c>
      <c r="AR9" s="20">
        <v>0</v>
      </c>
      <c r="AS9" s="20">
        <v>0</v>
      </c>
      <c r="AT9" s="20">
        <v>0</v>
      </c>
      <c r="AU9" s="20">
        <v>0</v>
      </c>
      <c r="AV9" s="20">
        <v>0</v>
      </c>
      <c r="AW9" s="20">
        <v>0</v>
      </c>
      <c r="AX9" s="20">
        <v>0</v>
      </c>
      <c r="AY9" s="20">
        <v>0</v>
      </c>
      <c r="AZ9" s="20"/>
      <c r="BA9" s="20"/>
      <c r="BB9" s="54">
        <v>5</v>
      </c>
      <c r="BC9" s="20"/>
      <c r="BD9" s="20"/>
      <c r="BE9" s="20"/>
      <c r="BF9" s="20"/>
      <c r="BG9" s="20"/>
      <c r="BH9" s="20" t="s">
        <v>293</v>
      </c>
      <c r="BI9" s="20">
        <v>0</v>
      </c>
      <c r="BJ9" s="20">
        <v>0</v>
      </c>
      <c r="BK9" s="20">
        <v>0</v>
      </c>
      <c r="BL9" s="20">
        <v>0</v>
      </c>
      <c r="BM9" s="20">
        <v>0</v>
      </c>
      <c r="BN9" s="20">
        <v>0</v>
      </c>
      <c r="BO9" s="20">
        <v>0</v>
      </c>
      <c r="BP9" s="20">
        <v>0</v>
      </c>
      <c r="BQ9" s="20">
        <v>0</v>
      </c>
      <c r="BR9" s="20">
        <v>0</v>
      </c>
      <c r="BS9" s="20">
        <v>0</v>
      </c>
      <c r="BT9" s="20"/>
      <c r="BU9" s="20"/>
      <c r="BV9" s="20"/>
      <c r="BW9" s="20"/>
      <c r="BX9" s="20" t="s">
        <v>293</v>
      </c>
      <c r="BY9" s="20">
        <v>0</v>
      </c>
      <c r="BZ9" s="20">
        <v>2</v>
      </c>
      <c r="CA9" s="20">
        <v>0</v>
      </c>
      <c r="CB9" s="20">
        <v>0</v>
      </c>
      <c r="CC9" s="20">
        <v>0</v>
      </c>
      <c r="CD9" s="20">
        <v>0</v>
      </c>
      <c r="CE9" s="20">
        <v>0</v>
      </c>
      <c r="CF9" s="20">
        <v>0</v>
      </c>
      <c r="CG9" s="20">
        <v>0</v>
      </c>
      <c r="CH9" s="20">
        <v>0</v>
      </c>
      <c r="CI9" s="20">
        <v>0</v>
      </c>
      <c r="CJ9" s="20"/>
      <c r="CK9" s="20"/>
      <c r="CL9" s="20"/>
      <c r="CM9" s="20"/>
    </row>
    <row r="10" spans="1:91" x14ac:dyDescent="0.25">
      <c r="A10" s="8"/>
      <c r="B10" s="6" t="s">
        <v>116</v>
      </c>
      <c r="C10" s="8"/>
      <c r="D10" s="17" t="s">
        <v>564</v>
      </c>
      <c r="E10" s="4"/>
      <c r="F10" s="4"/>
      <c r="G10" s="4"/>
      <c r="H10" s="4"/>
      <c r="I10" s="4"/>
      <c r="J10" s="4"/>
      <c r="K10" s="4"/>
      <c r="L10" s="6" t="s">
        <v>214</v>
      </c>
      <c r="M10" s="14">
        <f>INDEX(cennik!$C$2:$L$529,MATCH($L10,cennik!$B$2:$B$522,0),MATCH(M$2,cennik!$C$1:$L$1,0))</f>
        <v>852137</v>
      </c>
      <c r="N10" s="14" t="str">
        <f>INDEX(cennik!$C$2:$L$529,MATCH($L10,cennik!$B$2:$B$522,0),MATCH(N$2,cennik!$C$1:$L$1,0))</f>
        <v>szt.</v>
      </c>
      <c r="O10" s="14">
        <f>SUM(AE3:AE18)</f>
        <v>0</v>
      </c>
      <c r="P10" s="22">
        <f>INDEX(cennik!$C$2:$L$529,MATCH($L10,cennik!$B$2:$B$522,0),MATCH(P$2,cennik!$C$1:$L$1,0))</f>
        <v>77.7</v>
      </c>
      <c r="Q10" s="22">
        <f t="shared" si="0"/>
        <v>0</v>
      </c>
      <c r="R10" s="23">
        <f t="shared" si="3"/>
        <v>0</v>
      </c>
      <c r="S10" s="22">
        <f t="shared" si="1"/>
        <v>77.7</v>
      </c>
      <c r="T10" s="22">
        <f t="shared" si="2"/>
        <v>0</v>
      </c>
      <c r="U10" s="22">
        <f>INDEX(cennik!$C$2:$L$529,MATCH($L10,cennik!$B$2:$B$522,0),MATCH(U$2,cennik!$C$1:$L$1,0))*O10</f>
        <v>0</v>
      </c>
      <c r="W10" s="20">
        <f>(INDEX(($AO$5:$AY$13,$AO$17:$AY$25,$AO$30:$AY$38,$AO$42:$AY$50,$AO$54:$AY$62,$AO$66:$AY$74,$BI$5:$BS$13,$BI$17:$BS$25,$BI$29:$BS$37,$BI$41:$BS$49,$BI$53:$BS$61,$BI$65:$BS$73,$BY$5:$CI$13,$BY$17:$CI$25),MATCH($L$11,$AN$5:$AN$13,0),MATCH(A9,$AO$4:$AY$4,0),MATCH($AG$16,$AL$18:$AL$31,0)))*C9</f>
        <v>0</v>
      </c>
      <c r="X10" s="20">
        <f>(INDEX(($AO$5:$AY$13,$AO$17:$AY$25,$AO$30:$AY$38,$AO$42:$AY$50,$AO$54:$AY$62,$AO$66:$AY$74,$BI$5:$BS$13,$BI$17:$BS$25,$BI$29:$BS$37,$BI$41:$BS$49,$BI$53:$BS$61,$BI$65:$BS$73,$BY$5:$CI$13,$BY$17:$CI$25),MATCH($L$3,$AN$5:$AN$13,0),MATCH(A9,$AO$4:$AY$4,0),MATCH($AG$16,$AL$18:$AL$31,0)))*C9</f>
        <v>0</v>
      </c>
      <c r="Y10" s="20">
        <f>(INDEX(($AO$5:$AY$13,$AO$17:$AY$25,$AO$30:$AY$38,$AO$42:$AY$50,$AO$54:$AY$62,$AO$66:$AY$74,$BI$5:$BS$13,$BI$17:$BS$25,$BI$29:$BS$37,$BI$41:$BS$49,$BI$53:$BS$61,$BI$65:$BS$73,$BY$5:$CI$13,$BY$17:$CI$25),MATCH($L$4,$AN$5:$AN$13,0),MATCH(A9,$AO$4:$AY$4,0),MATCH($AG$16,$AL$18:$AL$31,0)))*C9</f>
        <v>0</v>
      </c>
      <c r="Z10" s="20">
        <f>(INDEX(($AO$5:$AY$13,$AO$17:$AY$25,$AO$30:$AY$38,$AO$42:$AY$50,$AO$54:$AY$62,$AO$66:$AY$74,$BI$5:$BS$13,$BI$17:$BS$25,$BI$29:$BS$37,$BI$41:$BS$49,$BI$53:$BS$61,$BI$65:$BS$73,$BY$5:$CI$13,$BY$17:$CI$25),MATCH($L$5,$AN$5:$AN$13,0),MATCH(A9,$AO$4:$AY$4,0),MATCH($AG$16,$AL$18:$AL$31,0)))*C9</f>
        <v>0</v>
      </c>
      <c r="AA10" s="20">
        <f>(INDEX(($AO$5:$AY$13,$AO$17:$AY$25,$AO$30:$AY$38,$AO$42:$AY$50,$AO$54:$AY$62,$AO$66:$AY$74,$BI$5:$BS$13,$BI$17:$BS$25,$BI$29:$BS$37,$BI$41:$BS$49,$BI$53:$BS$61,$BI$65:$BS$73,$BY$5:$CI$13,$BY$17:$CI$25),MATCH($L$6,$AN$5:$AN$13,0),MATCH(A9,$AO$4:$AY$4,0),MATCH($AG$16,$AL$18:$AL$31,0)))*C9</f>
        <v>0</v>
      </c>
      <c r="AB10" s="20">
        <f>(INDEX(($AO$5:$AY$13,$AO$17:$AY$25,$AO$30:$AY$38,$AO$42:$AY$50,$AO$54:$AY$62,$AO$66:$AY$74,$BI$5:$BS$13,$BI$17:$BS$25,$BI$29:$BS$37,$BI$41:$BS$49,$BI$53:$BS$61,$BI$65:$BS$73,$BY$5:$CI$13,$BY$17:$CI$25),MATCH($L$7,$AN$5:$AN$13,0),MATCH(A9,$AO$4:$AY$4,0),MATCH($AG$16,$AL$18:$AL$31,0)))*C9</f>
        <v>0</v>
      </c>
      <c r="AC10" s="20">
        <f>(INDEX(($AO$5:$AY$13,$AO$17:$AY$25,$AO$30:$AY$38,$AO$42:$AY$50,$AO$54:$AY$62,$AO$66:$AY$74,$BI$5:$BS$13,$BI$17:$BS$25,$BI$29:$BS$37,$BI$41:$BS$49,$BI$53:$BS$61,$BI$65:$BS$73,$BY$5:$CI$13,$BY$17:$CI$25),MATCH($L$8,$AN$5:$AN$13,0),MATCH(A9,$AO$4:$AY$4,0),MATCH($AG$16,$AL$18:$AL$31,0)))*C9</f>
        <v>0</v>
      </c>
      <c r="AD10" s="20">
        <f>(INDEX(($AO$5:$AY$13,$AO$17:$AY$25,$AO$30:$AY$38,$AO$42:$AY$50,$AO$54:$AY$62,$AO$66:$AY$74,$BI$5:$BS$13,$BI$17:$BS$25,$BI$29:$BS$37,$BI$41:$BS$49,$BI$53:$BS$61,$BI$65:$BS$73,$BY$5:$CI$13,$BY$17:$CI$25),MATCH($L$9,$AN$5:$AN$13,0),MATCH(A9,$AO$4:$AY$4,0),MATCH($AG$16,$AL$18:$AL$31,0)))*C9</f>
        <v>0</v>
      </c>
      <c r="AE10" s="20">
        <f>(INDEX(($AO$5:$AY$13,$AO$17:$AY$25,$AO$30:$AY$38,$AO$42:$AY$50,$AO$54:$AY$62,$AO$66:$AY$74,$BI$5:$BS$13,$BI$17:$BS$25,$BI$29:$BS$37,$BI$41:$BS$49,$BI$53:$BS$61,$BI$65:$BS$73,$BY$5:$CI$13,$BY$17:$CI$25),MATCH($L$10,$AN$5:$AN$13,0),MATCH(A9,$AO$4:$AY$4,0),MATCH($AG$16,$AL$18:$AL$31,0)))*C9</f>
        <v>0</v>
      </c>
      <c r="AG10" s="26">
        <v>42</v>
      </c>
      <c r="AH10" s="20" t="s">
        <v>34</v>
      </c>
      <c r="AI10" s="20"/>
      <c r="AJ10" s="20" t="s">
        <v>109</v>
      </c>
      <c r="AK10" s="20" t="s">
        <v>67</v>
      </c>
      <c r="AN10" s="20" t="s">
        <v>10</v>
      </c>
      <c r="AO10" s="20">
        <v>0</v>
      </c>
      <c r="AP10" s="20">
        <v>0</v>
      </c>
      <c r="AQ10" s="20">
        <v>0</v>
      </c>
      <c r="AR10" s="20">
        <v>0</v>
      </c>
      <c r="AS10" s="20">
        <v>2</v>
      </c>
      <c r="AT10" s="20">
        <v>0</v>
      </c>
      <c r="AU10" s="20">
        <v>2</v>
      </c>
      <c r="AV10" s="20">
        <v>0</v>
      </c>
      <c r="AW10" s="20">
        <v>0</v>
      </c>
      <c r="AX10" s="20">
        <v>0</v>
      </c>
      <c r="AY10" s="20">
        <v>2</v>
      </c>
      <c r="AZ10" s="20"/>
      <c r="BA10" s="20"/>
      <c r="BB10" s="54">
        <v>6</v>
      </c>
      <c r="BC10" s="20"/>
      <c r="BD10" s="20"/>
      <c r="BE10" s="20"/>
      <c r="BF10" s="20"/>
      <c r="BG10" s="20"/>
      <c r="BH10" s="20" t="s">
        <v>10</v>
      </c>
      <c r="BI10" s="20">
        <v>0</v>
      </c>
      <c r="BJ10" s="20">
        <v>0</v>
      </c>
      <c r="BK10" s="20">
        <v>0</v>
      </c>
      <c r="BL10" s="20">
        <v>0</v>
      </c>
      <c r="BM10" s="20">
        <v>0</v>
      </c>
      <c r="BN10" s="20">
        <v>6</v>
      </c>
      <c r="BO10" s="20">
        <v>0</v>
      </c>
      <c r="BP10" s="20">
        <v>6</v>
      </c>
      <c r="BQ10" s="20">
        <v>0</v>
      </c>
      <c r="BR10" s="20">
        <v>6</v>
      </c>
      <c r="BS10" s="20">
        <v>0</v>
      </c>
      <c r="BT10" s="20"/>
      <c r="BU10" s="20"/>
      <c r="BV10" s="20"/>
      <c r="BW10" s="20"/>
      <c r="BX10" s="20" t="s">
        <v>10</v>
      </c>
      <c r="BY10" s="20">
        <v>0</v>
      </c>
      <c r="BZ10" s="20">
        <v>0</v>
      </c>
      <c r="CA10" s="20">
        <v>2</v>
      </c>
      <c r="CB10" s="20">
        <v>2</v>
      </c>
      <c r="CC10" s="20">
        <v>0</v>
      </c>
      <c r="CD10" s="20">
        <v>0</v>
      </c>
      <c r="CE10" s="20">
        <v>6</v>
      </c>
      <c r="CF10" s="20">
        <v>0</v>
      </c>
      <c r="CG10" s="20">
        <v>4</v>
      </c>
      <c r="CH10" s="20">
        <v>10</v>
      </c>
      <c r="CI10" s="20">
        <v>2</v>
      </c>
      <c r="CJ10" s="20"/>
      <c r="CK10" s="20"/>
      <c r="CL10" s="20"/>
      <c r="CM10" s="20"/>
    </row>
    <row r="11" spans="1:91" x14ac:dyDescent="0.25">
      <c r="A11" s="8"/>
      <c r="B11" s="6" t="s">
        <v>116</v>
      </c>
      <c r="C11" s="8"/>
      <c r="D11" s="17" t="s">
        <v>565</v>
      </c>
      <c r="E11" s="4"/>
      <c r="F11" s="4"/>
      <c r="G11" s="4"/>
      <c r="H11" s="4"/>
      <c r="I11" s="4"/>
      <c r="J11" s="4"/>
      <c r="K11" s="4"/>
      <c r="L11" s="6" t="s">
        <v>11</v>
      </c>
      <c r="M11" s="14">
        <f>INDEX(cennik!$C$2:$L$529,MATCH($L11,cennik!$B$2:$B$522,0),MATCH(M$2,cennik!$C$1:$L$1,0))</f>
        <v>6444115</v>
      </c>
      <c r="N11" s="14" t="str">
        <f>INDEX(cennik!$C$2:$L$529,MATCH($L11,cennik!$B$2:$B$522,0),MATCH(N$2,cennik!$C$1:$L$1,0))</f>
        <v>szt.</v>
      </c>
      <c r="O11" s="14">
        <f>SUM(W3:W18)</f>
        <v>0</v>
      </c>
      <c r="P11" s="22">
        <f>INDEX(cennik!$C$2:$L$529,MATCH($L11,cennik!$B$2:$B$522,0),MATCH(P$2,cennik!$C$1:$L$1,0))</f>
        <v>6.03</v>
      </c>
      <c r="Q11" s="22">
        <f t="shared" si="0"/>
        <v>0</v>
      </c>
      <c r="R11" s="23">
        <f t="shared" si="3"/>
        <v>0</v>
      </c>
      <c r="S11" s="22">
        <f t="shared" si="1"/>
        <v>6.03</v>
      </c>
      <c r="T11" s="22">
        <f t="shared" si="2"/>
        <v>0</v>
      </c>
      <c r="U11" s="22">
        <f>INDEX(cennik!$C$2:$L$529,MATCH($L11,cennik!$B$2:$B$522,0),MATCH(U$2,cennik!$C$1:$L$1,0))*O11</f>
        <v>0</v>
      </c>
      <c r="W11" s="20">
        <f>(INDEX(($AO$5:$AY$13,$AO$17:$AY$25,$AO$30:$AY$38,$AO$42:$AY$50,$AO$54:$AY$62,$AO$66:$AY$74,$BI$5:$BS$13,$BI$17:$BS$25,$BI$29:$BS$37,$BI$41:$BS$49,$BI$53:$BS$61,$BI$65:$BS$73,$BY$5:$CI$13,$BY$17:$CI$25),MATCH($L$11,$AN$5:$AN$13,0),MATCH(A10,$AO$4:$AY$4,0),MATCH($AG$16,$AL$18:$AL$31,0)))*C10</f>
        <v>0</v>
      </c>
      <c r="X11" s="20">
        <f>(INDEX(($AO$5:$AY$13,$AO$17:$AY$25,$AO$30:$AY$38,$AO$42:$AY$50,$AO$54:$AY$62,$AO$66:$AY$74,$BI$5:$BS$13,$BI$17:$BS$25,$BI$29:$BS$37,$BI$41:$BS$49,$BI$53:$BS$61,$BI$65:$BS$73,$BY$5:$CI$13,$BY$17:$CI$25),MATCH($L$3,$AN$5:$AN$13,0),MATCH(A10,$AO$4:$AY$4,0),MATCH($AG$16,$AL$18:$AL$31,0)))*C10</f>
        <v>0</v>
      </c>
      <c r="Y11" s="20">
        <f>(INDEX(($AO$5:$AY$13,$AO$17:$AY$25,$AO$30:$AY$38,$AO$42:$AY$50,$AO$54:$AY$62,$AO$66:$AY$74,$BI$5:$BS$13,$BI$17:$BS$25,$BI$29:$BS$37,$BI$41:$BS$49,$BI$53:$BS$61,$BI$65:$BS$73,$BY$5:$CI$13,$BY$17:$CI$25),MATCH($L$4,$AN$5:$AN$13,0),MATCH(A10,$AO$4:$AY$4,0),MATCH($AG$16,$AL$18:$AL$31,0)))*C10</f>
        <v>0</v>
      </c>
      <c r="Z11" s="20">
        <f>(INDEX(($AO$5:$AY$13,$AO$17:$AY$25,$AO$30:$AY$38,$AO$42:$AY$50,$AO$54:$AY$62,$AO$66:$AY$74,$BI$5:$BS$13,$BI$17:$BS$25,$BI$29:$BS$37,$BI$41:$BS$49,$BI$53:$BS$61,$BI$65:$BS$73,$BY$5:$CI$13,$BY$17:$CI$25),MATCH($L$5,$AN$5:$AN$13,0),MATCH(A10,$AO$4:$AY$4,0),MATCH($AG$16,$AL$18:$AL$31,0)))*C10</f>
        <v>0</v>
      </c>
      <c r="AA11" s="20">
        <f>(INDEX(($AO$5:$AY$13,$AO$17:$AY$25,$AO$30:$AY$38,$AO$42:$AY$50,$AO$54:$AY$62,$AO$66:$AY$74,$BI$5:$BS$13,$BI$17:$BS$25,$BI$29:$BS$37,$BI$41:$BS$49,$BI$53:$BS$61,$BI$65:$BS$73,$BY$5:$CI$13,$BY$17:$CI$25),MATCH($L$6,$AN$5:$AN$13,0),MATCH(A10,$AO$4:$AY$4,0),MATCH($AG$16,$AL$18:$AL$31,0)))*C10</f>
        <v>0</v>
      </c>
      <c r="AB11" s="20">
        <f>(INDEX(($AO$5:$AY$13,$AO$17:$AY$25,$AO$30:$AY$38,$AO$42:$AY$50,$AO$54:$AY$62,$AO$66:$AY$74,$BI$5:$BS$13,$BI$17:$BS$25,$BI$29:$BS$37,$BI$41:$BS$49,$BI$53:$BS$61,$BI$65:$BS$73,$BY$5:$CI$13,$BY$17:$CI$25),MATCH($L$7,$AN$5:$AN$13,0),MATCH(A10,$AO$4:$AY$4,0),MATCH($AG$16,$AL$18:$AL$31,0)))*C10</f>
        <v>0</v>
      </c>
      <c r="AC11" s="20">
        <f>(INDEX(($AO$5:$AY$13,$AO$17:$AY$25,$AO$30:$AY$38,$AO$42:$AY$50,$AO$54:$AY$62,$AO$66:$AY$74,$BI$5:$BS$13,$BI$17:$BS$25,$BI$29:$BS$37,$BI$41:$BS$49,$BI$53:$BS$61,$BI$65:$BS$73,$BY$5:$CI$13,$BY$17:$CI$25),MATCH($L$8,$AN$5:$AN$13,0),MATCH(A10,$AO$4:$AY$4,0),MATCH($AG$16,$AL$18:$AL$31,0)))*C10</f>
        <v>0</v>
      </c>
      <c r="AD11" s="20">
        <f>(INDEX(($AO$5:$AY$13,$AO$17:$AY$25,$AO$30:$AY$38,$AO$42:$AY$50,$AO$54:$AY$62,$AO$66:$AY$74,$BI$5:$BS$13,$BI$17:$BS$25,$BI$29:$BS$37,$BI$41:$BS$49,$BI$53:$BS$61,$BI$65:$BS$73,$BY$5:$CI$13,$BY$17:$CI$25),MATCH($L$9,$AN$5:$AN$13,0),MATCH(A10,$AO$4:$AY$4,0),MATCH($AG$16,$AL$18:$AL$31,0)))*C10</f>
        <v>0</v>
      </c>
      <c r="AE11" s="20">
        <f>(INDEX(($AO$5:$AY$13,$AO$17:$AY$25,$AO$30:$AY$38,$AO$42:$AY$50,$AO$54:$AY$62,$AO$66:$AY$74,$BI$5:$BS$13,$BI$17:$BS$25,$BI$29:$BS$37,$BI$41:$BS$49,$BI$53:$BS$61,$BI$65:$BS$73,$BY$5:$CI$13,$BY$17:$CI$25),MATCH($L$10,$AN$5:$AN$13,0),MATCH(A10,$AO$4:$AY$4,0),MATCH($AG$16,$AL$18:$AL$31,0)))*C10</f>
        <v>0</v>
      </c>
      <c r="AG11" s="26">
        <v>45</v>
      </c>
      <c r="AH11" s="20" t="s">
        <v>35</v>
      </c>
      <c r="AI11" s="20"/>
      <c r="AJ11" s="20" t="s">
        <v>149</v>
      </c>
      <c r="AK11" s="20" t="s">
        <v>67</v>
      </c>
      <c r="AN11" s="20" t="s">
        <v>212</v>
      </c>
      <c r="AO11" s="20">
        <v>0</v>
      </c>
      <c r="AP11" s="20">
        <v>0</v>
      </c>
      <c r="AQ11" s="20">
        <v>0</v>
      </c>
      <c r="AR11" s="20">
        <v>2</v>
      </c>
      <c r="AS11" s="20">
        <v>0</v>
      </c>
      <c r="AT11" s="20">
        <v>2</v>
      </c>
      <c r="AU11" s="20">
        <v>2</v>
      </c>
      <c r="AV11" s="20">
        <v>2</v>
      </c>
      <c r="AW11" s="20">
        <v>0</v>
      </c>
      <c r="AX11" s="20">
        <v>0</v>
      </c>
      <c r="AY11" s="20">
        <v>0</v>
      </c>
      <c r="AZ11" s="20"/>
      <c r="BA11" s="20"/>
      <c r="BB11" s="54">
        <v>7</v>
      </c>
      <c r="BC11" s="20"/>
      <c r="BD11" s="20"/>
      <c r="BE11" s="20"/>
      <c r="BF11" s="20"/>
      <c r="BG11" s="20"/>
      <c r="BH11" s="20" t="s">
        <v>212</v>
      </c>
      <c r="BI11" s="20">
        <v>0</v>
      </c>
      <c r="BJ11" s="20">
        <v>0</v>
      </c>
      <c r="BK11" s="20">
        <v>0</v>
      </c>
      <c r="BL11" s="20">
        <v>0</v>
      </c>
      <c r="BM11" s="20">
        <v>2</v>
      </c>
      <c r="BN11" s="20">
        <v>0</v>
      </c>
      <c r="BO11" s="20">
        <v>4</v>
      </c>
      <c r="BP11" s="20">
        <v>2</v>
      </c>
      <c r="BQ11" s="20">
        <v>4</v>
      </c>
      <c r="BR11" s="20">
        <v>4</v>
      </c>
      <c r="BS11" s="20">
        <v>6</v>
      </c>
      <c r="BT11" s="20"/>
      <c r="BU11" s="20"/>
      <c r="BV11" s="20"/>
      <c r="BW11" s="20"/>
      <c r="BX11" s="20" t="s">
        <v>212</v>
      </c>
      <c r="BY11" s="20">
        <v>0</v>
      </c>
      <c r="BZ11" s="20">
        <v>0</v>
      </c>
      <c r="CA11" s="20">
        <v>0</v>
      </c>
      <c r="CB11" s="20">
        <v>2</v>
      </c>
      <c r="CC11" s="20">
        <v>0</v>
      </c>
      <c r="CD11" s="20">
        <v>6</v>
      </c>
      <c r="CE11" s="20">
        <v>2</v>
      </c>
      <c r="CF11" s="20">
        <v>2</v>
      </c>
      <c r="CG11" s="20">
        <v>4</v>
      </c>
      <c r="CH11" s="20">
        <v>0</v>
      </c>
      <c r="CI11" s="20">
        <v>6</v>
      </c>
      <c r="CJ11" s="20"/>
      <c r="CK11" s="20"/>
      <c r="CL11" s="20"/>
      <c r="CM11" s="20"/>
    </row>
    <row r="12" spans="1:91" x14ac:dyDescent="0.25">
      <c r="A12" s="8"/>
      <c r="B12" s="6" t="s">
        <v>116</v>
      </c>
      <c r="C12" s="8"/>
      <c r="D12" s="40" t="s">
        <v>944</v>
      </c>
      <c r="E12" s="4"/>
      <c r="F12" s="4"/>
      <c r="G12" s="4"/>
      <c r="H12" s="4"/>
      <c r="I12" s="4"/>
      <c r="J12" s="4"/>
      <c r="K12" s="4"/>
      <c r="L12" s="6" t="str">
        <f>INDEX(($AH$3:$AI$12),MATCH(I3,$AG$3:$AG$12,0),MATCH(E5,$AH$2:$AI$2,0))</f>
        <v>BUF30</v>
      </c>
      <c r="M12" s="14">
        <f>INDEX(cennik!$C$2:$L$529,MATCH($L12,cennik!$B$2:$B$522,0),MATCH(M$2,cennik!$C$1:$L$1,0))</f>
        <v>897330</v>
      </c>
      <c r="N12" s="14" t="str">
        <f>INDEX(cennik!$C$2:$L$529,MATCH($L12,cennik!$B$2:$B$522,0),MATCH(N$2,cennik!$C$1:$L$1,0))</f>
        <v>szt.</v>
      </c>
      <c r="O12" s="14">
        <f>SUM(IF(A2=0,0,IF((A2&gt;0),C2*4)),IF(A3=0,0,IF((A3&gt;0),C3*4)),IF(A4=0,0,IF((A4&gt;0),C4*4)),IF(A5=0,0,IF((A5&gt;0),C5*4)),IF(A6=0,0,IF((A6&gt;0),C6*4)),IF(A7=0,0,IF((A7&gt;0),C7*4)),IF(A8=0,0,IF((A8&gt;0),C8*4)),IF(A9=0,0,IF((A9&gt;0),C9*4)),IF(A10=0,0,IF((A10&gt;0),C10*4)),IF(A11=0,0,IF((A11&gt;0),C11*4)),IF(A12=0,0,IF((A12&gt;0),C12*4)),IF(A13=0,0,IF((A13&gt;0),C13*4)),IF(A14=0,0,IF((A14&gt;0),C14*4)),IF(A15=0,0,IF((A15&gt;0),C15*4)),IF(A16=0,0,IF((A16&gt;0),C16*4)),,IF(A17=0,0,IF((A17&gt;0),C17*4)))</f>
        <v>0</v>
      </c>
      <c r="P12" s="22">
        <f>INDEX(cennik!$C$2:$L$529,MATCH($L12,cennik!$B$2:$B$522,0),MATCH(P$2,cennik!$C$1:$L$1,0))</f>
        <v>1.92</v>
      </c>
      <c r="Q12" s="22">
        <f t="shared" si="0"/>
        <v>0</v>
      </c>
      <c r="R12" s="23">
        <f t="shared" si="3"/>
        <v>0</v>
      </c>
      <c r="S12" s="22">
        <f t="shared" si="1"/>
        <v>1.92</v>
      </c>
      <c r="T12" s="22">
        <f t="shared" si="2"/>
        <v>0</v>
      </c>
      <c r="U12" s="22">
        <f>INDEX(cennik!$C$2:$L$529,MATCH($L12,cennik!$B$2:$B$522,0),MATCH(U$2,cennik!$C$1:$L$1,0))*O12</f>
        <v>0</v>
      </c>
      <c r="W12" s="20">
        <f>(INDEX(($AO$5:$AY$13,$AO$17:$AY$25,$AO$30:$AY$38,$AO$42:$AY$50,$AO$54:$AY$62,$AO$66:$AY$74,$BI$5:$BS$13,$BI$17:$BS$25,$BI$29:$BS$37,$BI$41:$BS$49,$BI$53:$BS$61,$BI$65:$BS$73,$BY$5:$CI$13,$BY$17:$CI$25),MATCH($L$11,$AN$5:$AN$13,0),MATCH(A11,$AO$4:$AY$4,0),MATCH($AG$16,$AL$18:$AL$31,0)))*C11</f>
        <v>0</v>
      </c>
      <c r="X12" s="20">
        <f>(INDEX(($AO$5:$AY$13,$AO$17:$AY$25,$AO$30:$AY$38,$AO$42:$AY$50,$AO$54:$AY$62,$AO$66:$AY$74,$BI$5:$BS$13,$BI$17:$BS$25,$BI$29:$BS$37,$BI$41:$BS$49,$BI$53:$BS$61,$BI$65:$BS$73,$BY$5:$CI$13,$BY$17:$CI$25),MATCH($L$3,$AN$5:$AN$13,0),MATCH(A11,$AO$4:$AY$4,0),MATCH($AG$16,$AL$18:$AL$31,0)))*C11</f>
        <v>0</v>
      </c>
      <c r="Y12" s="20">
        <f>(INDEX(($AO$5:$AY$13,$AO$17:$AY$25,$AO$30:$AY$38,$AO$42:$AY$50,$AO$54:$AY$62,$AO$66:$AY$74,$BI$5:$BS$13,$BI$17:$BS$25,$BI$29:$BS$37,$BI$41:$BS$49,$BI$53:$BS$61,$BI$65:$BS$73,$BY$5:$CI$13,$BY$17:$CI$25),MATCH($L$4,$AN$5:$AN$13,0),MATCH(A11,$AO$4:$AY$4,0),MATCH($AG$16,$AL$18:$AL$31,0)))*C11</f>
        <v>0</v>
      </c>
      <c r="Z12" s="20">
        <f>(INDEX(($AO$5:$AY$13,$AO$17:$AY$25,$AO$30:$AY$38,$AO$42:$AY$50,$AO$54:$AY$62,$AO$66:$AY$74,$BI$5:$BS$13,$BI$17:$BS$25,$BI$29:$BS$37,$BI$41:$BS$49,$BI$53:$BS$61,$BI$65:$BS$73,$BY$5:$CI$13,$BY$17:$CI$25),MATCH($L$5,$AN$5:$AN$13,0),MATCH(A11,$AO$4:$AY$4,0),MATCH($AG$16,$AL$18:$AL$31,0)))*C11</f>
        <v>0</v>
      </c>
      <c r="AA12" s="20">
        <f>(INDEX(($AO$5:$AY$13,$AO$17:$AY$25,$AO$30:$AY$38,$AO$42:$AY$50,$AO$54:$AY$62,$AO$66:$AY$74,$BI$5:$BS$13,$BI$17:$BS$25,$BI$29:$BS$37,$BI$41:$BS$49,$BI$53:$BS$61,$BI$65:$BS$73,$BY$5:$CI$13,$BY$17:$CI$25),MATCH($L$6,$AN$5:$AN$13,0),MATCH(A11,$AO$4:$AY$4,0),MATCH($AG$16,$AL$18:$AL$31,0)))*C11</f>
        <v>0</v>
      </c>
      <c r="AB12" s="20">
        <f>(INDEX(($AO$5:$AY$13,$AO$17:$AY$25,$AO$30:$AY$38,$AO$42:$AY$50,$AO$54:$AY$62,$AO$66:$AY$74,$BI$5:$BS$13,$BI$17:$BS$25,$BI$29:$BS$37,$BI$41:$BS$49,$BI$53:$BS$61,$BI$65:$BS$73,$BY$5:$CI$13,$BY$17:$CI$25),MATCH($L$7,$AN$5:$AN$13,0),MATCH(A11,$AO$4:$AY$4,0),MATCH($AG$16,$AL$18:$AL$31,0)))*C11</f>
        <v>0</v>
      </c>
      <c r="AC12" s="20">
        <f>(INDEX(($AO$5:$AY$13,$AO$17:$AY$25,$AO$30:$AY$38,$AO$42:$AY$50,$AO$54:$AY$62,$AO$66:$AY$74,$BI$5:$BS$13,$BI$17:$BS$25,$BI$29:$BS$37,$BI$41:$BS$49,$BI$53:$BS$61,$BI$65:$BS$73,$BY$5:$CI$13,$BY$17:$CI$25),MATCH($L$8,$AN$5:$AN$13,0),MATCH(A11,$AO$4:$AY$4,0),MATCH($AG$16,$AL$18:$AL$31,0)))*C11</f>
        <v>0</v>
      </c>
      <c r="AD12" s="20">
        <f>(INDEX(($AO$5:$AY$13,$AO$17:$AY$25,$AO$30:$AY$38,$AO$42:$AY$50,$AO$54:$AY$62,$AO$66:$AY$74,$BI$5:$BS$13,$BI$17:$BS$25,$BI$29:$BS$37,$BI$41:$BS$49,$BI$53:$BS$61,$BI$65:$BS$73,$BY$5:$CI$13,$BY$17:$CI$25),MATCH($L$9,$AN$5:$AN$13,0),MATCH(A11,$AO$4:$AY$4,0),MATCH($AG$16,$AL$18:$AL$31,0)))*C11</f>
        <v>0</v>
      </c>
      <c r="AE12" s="20">
        <f>(INDEX(($AO$5:$AY$13,$AO$17:$AY$25,$AO$30:$AY$38,$AO$42:$AY$50,$AO$54:$AY$62,$AO$66:$AY$74,$BI$5:$BS$13,$BI$17:$BS$25,$BI$29:$BS$37,$BI$41:$BS$49,$BI$53:$BS$61,$BI$65:$BS$73,$BY$5:$CI$13,$BY$17:$CI$25),MATCH($L$10,$AN$5:$AN$13,0),MATCH(A11,$AO$4:$AY$4,0),MATCH($AG$16,$AL$18:$AL$31,0)))*C11</f>
        <v>0</v>
      </c>
      <c r="AG12" s="26">
        <v>50</v>
      </c>
      <c r="AH12" s="20" t="s">
        <v>36</v>
      </c>
      <c r="AI12" s="20" t="s">
        <v>37</v>
      </c>
      <c r="AJ12" s="20" t="s">
        <v>150</v>
      </c>
      <c r="AK12" s="20" t="s">
        <v>67</v>
      </c>
      <c r="AN12" s="20" t="s">
        <v>214</v>
      </c>
      <c r="AO12" s="20">
        <v>0</v>
      </c>
      <c r="AP12" s="20">
        <v>0</v>
      </c>
      <c r="AQ12" s="20">
        <v>0</v>
      </c>
      <c r="AR12" s="20">
        <v>0</v>
      </c>
      <c r="AS12" s="20">
        <v>0</v>
      </c>
      <c r="AT12" s="20">
        <v>0</v>
      </c>
      <c r="AU12" s="20">
        <v>0</v>
      </c>
      <c r="AV12" s="20">
        <v>2</v>
      </c>
      <c r="AW12" s="20">
        <v>4</v>
      </c>
      <c r="AX12" s="20">
        <v>4</v>
      </c>
      <c r="AY12" s="20">
        <v>4</v>
      </c>
      <c r="AZ12" s="20"/>
      <c r="BA12" s="20"/>
      <c r="BB12" s="54">
        <v>8</v>
      </c>
      <c r="BC12" s="20"/>
      <c r="BD12" s="20"/>
      <c r="BE12" s="20"/>
      <c r="BF12" s="20"/>
      <c r="BG12" s="20"/>
      <c r="BH12" s="20" t="s">
        <v>214</v>
      </c>
      <c r="BI12" s="20">
        <v>0</v>
      </c>
      <c r="BJ12" s="20">
        <v>0</v>
      </c>
      <c r="BK12" s="20">
        <v>2</v>
      </c>
      <c r="BL12" s="20">
        <v>2</v>
      </c>
      <c r="BM12" s="20">
        <v>2</v>
      </c>
      <c r="BN12" s="20">
        <v>0</v>
      </c>
      <c r="BO12" s="20">
        <v>2</v>
      </c>
      <c r="BP12" s="20">
        <v>0</v>
      </c>
      <c r="BQ12" s="20">
        <v>4</v>
      </c>
      <c r="BR12" s="20">
        <v>0</v>
      </c>
      <c r="BS12" s="20">
        <v>4</v>
      </c>
      <c r="BT12" s="20"/>
      <c r="BU12" s="20"/>
      <c r="BV12" s="20"/>
      <c r="BW12" s="20"/>
      <c r="BX12" s="20" t="s">
        <v>214</v>
      </c>
      <c r="BY12" s="20">
        <v>0</v>
      </c>
      <c r="BZ12" s="20">
        <v>0</v>
      </c>
      <c r="CA12" s="20">
        <v>0</v>
      </c>
      <c r="CB12" s="20">
        <v>0</v>
      </c>
      <c r="CC12" s="20">
        <v>4</v>
      </c>
      <c r="CD12" s="20">
        <v>0</v>
      </c>
      <c r="CE12" s="20">
        <v>0</v>
      </c>
      <c r="CF12" s="20">
        <v>6</v>
      </c>
      <c r="CG12" s="20">
        <v>2</v>
      </c>
      <c r="CH12" s="20">
        <v>2</v>
      </c>
      <c r="CI12" s="20">
        <v>4</v>
      </c>
      <c r="CJ12" s="20"/>
      <c r="CK12" s="20"/>
      <c r="CL12" s="20"/>
      <c r="CM12" s="20"/>
    </row>
    <row r="13" spans="1:91" x14ac:dyDescent="0.25">
      <c r="A13" s="8"/>
      <c r="B13" s="6" t="s">
        <v>116</v>
      </c>
      <c r="C13" s="8"/>
      <c r="D13" s="4"/>
      <c r="E13" s="4"/>
      <c r="F13" s="4"/>
      <c r="G13" s="4"/>
      <c r="H13" s="4"/>
      <c r="I13" s="4"/>
      <c r="J13" s="4"/>
      <c r="K13" s="4"/>
      <c r="L13" s="6" t="str">
        <f>INDEX(($AH$13:$AI$13),1,MATCH(E5,$AH$2:$AI$2,0))</f>
        <v>PUF</v>
      </c>
      <c r="M13" s="14">
        <f>INDEX(cennik!$C$2:$L$529,MATCH($L13,cennik!$B$2:$B$522,0),MATCH(M$2,cennik!$C$1:$L$1,0))</f>
        <v>897300</v>
      </c>
      <c r="N13" s="14" t="str">
        <f>INDEX(cennik!$C$2:$L$529,MATCH($L13,cennik!$B$2:$B$522,0),MATCH(N$2,cennik!$C$1:$L$1,0))</f>
        <v>szt.</v>
      </c>
      <c r="O13" s="14">
        <f>SUM(IF(A2=0,0,IF(A2&gt;0,(A2-1)*2*C2)),IF(A3=0,0,IF(A3&gt;0,(A3-1)*2*C3)),IF(A4=0,0,IF(A4&gt;0,(A4-1)*2*C4)),IF(A5=0,0,IF(A5&gt;0,(A5-1)*2*C5)),IF(A6=0,0,IF(A6&gt;0,(A6-1)*2*C6)),IF(A7=0,0,IF(A7&gt;0,(A7-1)*2*C7)),IF(A8=0,0,IF(A8&gt;0,(A8-1)*2*C8)),IF(A9=0,0,IF(A9&gt;0,(A9-1)*2*C9)),IF(A10=0,0,IF(A10&gt;0,(A10-1)*2*C10)),IF(A11=0,0,IF(A11&gt;0,(A11-1)*2*C11)),IF(A12=0,0,IF(A12&gt;0,(A12-1)*2*C12)),IF(A13=0,0,IF(A13&gt;0,(A13-1)*2*C13)),IF(A14=0,0,IF(A14&gt;0,(A14-1)*2*C14)),IF(A15=0,0,IF(A15&gt;0,(A15-1)*2*C15)),IF(A16=0,0,IF(A16&gt;0,(A16-1)*2*C16)),IF(A17=0,0,IF(A17&gt;0,(A17-1)*2*C17)))</f>
        <v>0</v>
      </c>
      <c r="P13" s="22">
        <f>INDEX(cennik!$C$2:$L$529,MATCH($L13,cennik!$B$2:$B$522,0),MATCH(P$2,cennik!$C$1:$L$1,0))</f>
        <v>2.06</v>
      </c>
      <c r="Q13" s="22">
        <f t="shared" si="0"/>
        <v>0</v>
      </c>
      <c r="R13" s="23">
        <f t="shared" si="3"/>
        <v>0</v>
      </c>
      <c r="S13" s="22">
        <f t="shared" si="1"/>
        <v>2.06</v>
      </c>
      <c r="T13" s="22">
        <f t="shared" si="2"/>
        <v>0</v>
      </c>
      <c r="U13" s="22">
        <f>INDEX(cennik!$C$2:$L$529,MATCH($L13,cennik!$B$2:$B$522,0),MATCH(U$2,cennik!$C$1:$L$1,0))*O13</f>
        <v>0</v>
      </c>
      <c r="W13" s="20">
        <f>(INDEX(($AO$5:$AY$13,$AO$17:$AY$25,$AO$30:$AY$38,$AO$42:$AY$50,$AO$54:$AY$62,$AO$66:$AY$74,$BI$5:$BS$13,$BI$17:$BS$25,$BI$29:$BS$37,$BI$41:$BS$49,$BI$53:$BS$61,$BI$65:$BS$73,$BY$5:$CI$13,$BY$17:$CI$25),MATCH($L$11,$AN$5:$AN$13,0),MATCH(A12,$AO$4:$AY$4,0),MATCH($AG$16,$AL$18:$AL$31,0)))*C12</f>
        <v>0</v>
      </c>
      <c r="X13" s="20">
        <f>(INDEX(($AO$5:$AY$13,$AO$17:$AY$25,$AO$30:$AY$38,$AO$42:$AY$50,$AO$54:$AY$62,$AO$66:$AY$74,$BI$5:$BS$13,$BI$17:$BS$25,$BI$29:$BS$37,$BI$41:$BS$49,$BI$53:$BS$61,$BI$65:$BS$73,$BY$5:$CI$13,$BY$17:$CI$25),MATCH($L$3,$AN$5:$AN$13,0),MATCH(A12,$AO$4:$AY$4,0),MATCH($AG$16,$AL$18:$AL$31,0)))*C12</f>
        <v>0</v>
      </c>
      <c r="Y13" s="20">
        <f>(INDEX(($AO$5:$AY$13,$AO$17:$AY$25,$AO$30:$AY$38,$AO$42:$AY$50,$AO$54:$AY$62,$AO$66:$AY$74,$BI$5:$BS$13,$BI$17:$BS$25,$BI$29:$BS$37,$BI$41:$BS$49,$BI$53:$BS$61,$BI$65:$BS$73,$BY$5:$CI$13,$BY$17:$CI$25),MATCH($L$4,$AN$5:$AN$13,0),MATCH(A12,$AO$4:$AY$4,0),MATCH($AG$16,$AL$18:$AL$31,0)))*C12</f>
        <v>0</v>
      </c>
      <c r="Z13" s="20">
        <f>(INDEX(($AO$5:$AY$13,$AO$17:$AY$25,$AO$30:$AY$38,$AO$42:$AY$50,$AO$54:$AY$62,$AO$66:$AY$74,$BI$5:$BS$13,$BI$17:$BS$25,$BI$29:$BS$37,$BI$41:$BS$49,$BI$53:$BS$61,$BI$65:$BS$73,$BY$5:$CI$13,$BY$17:$CI$25),MATCH($L$5,$AN$5:$AN$13,0),MATCH(A12,$AO$4:$AY$4,0),MATCH($AG$16,$AL$18:$AL$31,0)))*C12</f>
        <v>0</v>
      </c>
      <c r="AA13" s="20">
        <f>(INDEX(($AO$5:$AY$13,$AO$17:$AY$25,$AO$30:$AY$38,$AO$42:$AY$50,$AO$54:$AY$62,$AO$66:$AY$74,$BI$5:$BS$13,$BI$17:$BS$25,$BI$29:$BS$37,$BI$41:$BS$49,$BI$53:$BS$61,$BI$65:$BS$73,$BY$5:$CI$13,$BY$17:$CI$25),MATCH($L$6,$AN$5:$AN$13,0),MATCH(A12,$AO$4:$AY$4,0),MATCH($AG$16,$AL$18:$AL$31,0)))*C12</f>
        <v>0</v>
      </c>
      <c r="AB13" s="20">
        <f>(INDEX(($AO$5:$AY$13,$AO$17:$AY$25,$AO$30:$AY$38,$AO$42:$AY$50,$AO$54:$AY$62,$AO$66:$AY$74,$BI$5:$BS$13,$BI$17:$BS$25,$BI$29:$BS$37,$BI$41:$BS$49,$BI$53:$BS$61,$BI$65:$BS$73,$BY$5:$CI$13,$BY$17:$CI$25),MATCH($L$7,$AN$5:$AN$13,0),MATCH(A12,$AO$4:$AY$4,0),MATCH($AG$16,$AL$18:$AL$31,0)))*C12</f>
        <v>0</v>
      </c>
      <c r="AC13" s="20">
        <f>(INDEX(($AO$5:$AY$13,$AO$17:$AY$25,$AO$30:$AY$38,$AO$42:$AY$50,$AO$54:$AY$62,$AO$66:$AY$74,$BI$5:$BS$13,$BI$17:$BS$25,$BI$29:$BS$37,$BI$41:$BS$49,$BI$53:$BS$61,$BI$65:$BS$73,$BY$5:$CI$13,$BY$17:$CI$25),MATCH($L$8,$AN$5:$AN$13,0),MATCH(A12,$AO$4:$AY$4,0),MATCH($AG$16,$AL$18:$AL$31,0)))*C12</f>
        <v>0</v>
      </c>
      <c r="AD13" s="20">
        <f>(INDEX(($AO$5:$AY$13,$AO$17:$AY$25,$AO$30:$AY$38,$AO$42:$AY$50,$AO$54:$AY$62,$AO$66:$AY$74,$BI$5:$BS$13,$BI$17:$BS$25,$BI$29:$BS$37,$BI$41:$BS$49,$BI$53:$BS$61,$BI$65:$BS$73,$BY$5:$CI$13,$BY$17:$CI$25),MATCH($L$9,$AN$5:$AN$13,0),MATCH(A12,$AO$4:$AY$4,0),MATCH($AG$16,$AL$18:$AL$31,0)))*C12</f>
        <v>0</v>
      </c>
      <c r="AE13" s="20">
        <f>(INDEX(($AO$5:$AY$13,$AO$17:$AY$25,$AO$30:$AY$38,$AO$42:$AY$50,$AO$54:$AY$62,$AO$66:$AY$74,$BI$5:$BS$13,$BI$17:$BS$25,$BI$29:$BS$37,$BI$41:$BS$49,$BI$53:$BS$61,$BI$65:$BS$73,$BY$5:$CI$13,$BY$17:$CI$25),MATCH($L$10,$AN$5:$AN$13,0),MATCH(A12,$AO$4:$AY$4,0),MATCH($AG$16,$AL$18:$AL$31,0)))*C12</f>
        <v>0</v>
      </c>
      <c r="AG13" s="26"/>
      <c r="AH13" s="20" t="s">
        <v>13</v>
      </c>
      <c r="AI13" s="20" t="s">
        <v>77</v>
      </c>
      <c r="AJ13" s="20"/>
      <c r="AK13" s="20"/>
      <c r="AN13" s="20" t="s">
        <v>11</v>
      </c>
      <c r="AO13" s="20">
        <v>0</v>
      </c>
      <c r="AP13" s="20">
        <v>0</v>
      </c>
      <c r="AQ13" s="20">
        <v>0</v>
      </c>
      <c r="AR13" s="20">
        <v>0</v>
      </c>
      <c r="AS13" s="20">
        <v>2</v>
      </c>
      <c r="AT13" s="20">
        <v>2</v>
      </c>
      <c r="AU13" s="20">
        <v>2</v>
      </c>
      <c r="AV13" s="20">
        <v>2</v>
      </c>
      <c r="AW13" s="20">
        <v>4</v>
      </c>
      <c r="AX13" s="20">
        <v>4</v>
      </c>
      <c r="AY13" s="20">
        <v>4</v>
      </c>
      <c r="AZ13" s="20"/>
      <c r="BA13" s="20"/>
      <c r="BB13" s="54">
        <v>9</v>
      </c>
      <c r="BC13" s="20"/>
      <c r="BD13" s="20"/>
      <c r="BE13" s="20"/>
      <c r="BF13" s="20"/>
      <c r="BG13" s="20"/>
      <c r="BH13" s="20" t="s">
        <v>11</v>
      </c>
      <c r="BI13" s="20">
        <v>0</v>
      </c>
      <c r="BJ13" s="20">
        <v>0</v>
      </c>
      <c r="BK13" s="20">
        <v>0</v>
      </c>
      <c r="BL13" s="20">
        <v>2</v>
      </c>
      <c r="BM13" s="20">
        <v>2</v>
      </c>
      <c r="BN13" s="20">
        <v>4</v>
      </c>
      <c r="BO13" s="20">
        <v>4</v>
      </c>
      <c r="BP13" s="20">
        <v>6</v>
      </c>
      <c r="BQ13" s="20">
        <v>6</v>
      </c>
      <c r="BR13" s="20">
        <v>8</v>
      </c>
      <c r="BS13" s="20">
        <v>8</v>
      </c>
      <c r="BT13" s="20"/>
      <c r="BU13" s="20"/>
      <c r="BV13" s="20"/>
      <c r="BW13" s="20"/>
      <c r="BX13" s="20" t="s">
        <v>11</v>
      </c>
      <c r="BY13" s="20">
        <v>0</v>
      </c>
      <c r="BZ13" s="20">
        <v>0</v>
      </c>
      <c r="CA13" s="20">
        <v>2</v>
      </c>
      <c r="CB13" s="20">
        <v>2</v>
      </c>
      <c r="CC13" s="20">
        <v>4</v>
      </c>
      <c r="CD13" s="20">
        <v>4</v>
      </c>
      <c r="CE13" s="20">
        <v>6</v>
      </c>
      <c r="CF13" s="20">
        <v>6</v>
      </c>
      <c r="CG13" s="20">
        <v>8</v>
      </c>
      <c r="CH13" s="20">
        <v>10</v>
      </c>
      <c r="CI13" s="20">
        <v>10</v>
      </c>
      <c r="CJ13" s="20"/>
      <c r="CK13" s="20"/>
      <c r="CL13" s="20"/>
      <c r="CM13" s="20"/>
    </row>
    <row r="14" spans="1:91" x14ac:dyDescent="0.25">
      <c r="A14" s="8"/>
      <c r="B14" s="6" t="s">
        <v>116</v>
      </c>
      <c r="C14" s="8"/>
      <c r="D14" s="4"/>
      <c r="E14" s="4"/>
      <c r="F14" s="4"/>
      <c r="G14" s="4"/>
      <c r="H14" s="4"/>
      <c r="I14" s="4"/>
      <c r="J14" s="4"/>
      <c r="K14" s="4"/>
      <c r="L14" s="6" t="str">
        <f>INDEX(($AJ$3:$AJ$12),MATCH(I3,$AG$3:$AG$12,0),1)</f>
        <v>SAM8X25E</v>
      </c>
      <c r="M14" s="14">
        <f>INDEX(cennik!$C$2:$L$529,MATCH($L14,cennik!$B$2:$B$522,0),MATCH(M$2,cennik!$C$1:$L$1,0))</f>
        <v>898525</v>
      </c>
      <c r="N14" s="14" t="str">
        <f>INDEX(cennik!$C$2:$L$529,MATCH($L14,cennik!$B$2:$B$522,0),MATCH(N$2,cennik!$C$1:$L$1,0))</f>
        <v>szt.</v>
      </c>
      <c r="O14" s="14">
        <f>SUM(O12:O13)</f>
        <v>0</v>
      </c>
      <c r="P14" s="22">
        <f>INDEX(cennik!$C$2:$L$529,MATCH($L14,cennik!$B$2:$B$522,0),MATCH(P$2,cennik!$C$1:$L$1,0))</f>
        <v>0.45</v>
      </c>
      <c r="Q14" s="22">
        <f t="shared" si="0"/>
        <v>0</v>
      </c>
      <c r="R14" s="23">
        <f t="shared" si="3"/>
        <v>0</v>
      </c>
      <c r="S14" s="22">
        <f t="shared" si="1"/>
        <v>0.45</v>
      </c>
      <c r="T14" s="22">
        <f t="shared" si="2"/>
        <v>0</v>
      </c>
      <c r="U14" s="22">
        <f>INDEX(cennik!$C$2:$L$529,MATCH($L14,cennik!$B$2:$B$522,0),MATCH(U$2,cennik!$C$1:$L$1,0))*O14</f>
        <v>0</v>
      </c>
      <c r="W14" s="20">
        <f>(INDEX(($AO$5:$AY$13,$AO$17:$AY$25,$AO$30:$AY$38,$AO$42:$AY$50,$AO$54:$AY$62,$AO$66:$AY$74,$BI$5:$BS$13,$BI$17:$BS$25,$BI$29:$BS$37,$BI$41:$BS$49,$BI$53:$BS$61,$BI$65:$BS$73,$BY$5:$CI$13,$BY$17:$CI$25),MATCH($L$11,$AN$5:$AN$13,0),MATCH(A13,$AO$4:$AY$4,0),MATCH($AG$16,$AL$18:$AL$31,0)))*C13</f>
        <v>0</v>
      </c>
      <c r="X14" s="20">
        <f>(INDEX(($AO$5:$AY$13,$AO$17:$AY$25,$AO$30:$AY$38,$AO$42:$AY$50,$AO$54:$AY$62,$AO$66:$AY$74,$BI$5:$BS$13,$BI$17:$BS$25,$BI$29:$BS$37,$BI$41:$BS$49,$BI$53:$BS$61,$BI$65:$BS$73,$BY$5:$CI$13,$BY$17:$CI$25),MATCH($L$3,$AN$5:$AN$13,0),MATCH(A13,$AO$4:$AY$4,0),MATCH($AG$16,$AL$18:$AL$31,0)))*C13</f>
        <v>0</v>
      </c>
      <c r="Y14" s="20">
        <f>(INDEX(($AO$5:$AY$13,$AO$17:$AY$25,$AO$30:$AY$38,$AO$42:$AY$50,$AO$54:$AY$62,$AO$66:$AY$74,$BI$5:$BS$13,$BI$17:$BS$25,$BI$29:$BS$37,$BI$41:$BS$49,$BI$53:$BS$61,$BI$65:$BS$73,$BY$5:$CI$13,$BY$17:$CI$25),MATCH($L$4,$AN$5:$AN$13,0),MATCH(A13,$AO$4:$AY$4,0),MATCH($AG$16,$AL$18:$AL$31,0)))*C13</f>
        <v>0</v>
      </c>
      <c r="Z14" s="20">
        <f>(INDEX(($AO$5:$AY$13,$AO$17:$AY$25,$AO$30:$AY$38,$AO$42:$AY$50,$AO$54:$AY$62,$AO$66:$AY$74,$BI$5:$BS$13,$BI$17:$BS$25,$BI$29:$BS$37,$BI$41:$BS$49,$BI$53:$BS$61,$BI$65:$BS$73,$BY$5:$CI$13,$BY$17:$CI$25),MATCH($L$5,$AN$5:$AN$13,0),MATCH(A13,$AO$4:$AY$4,0),MATCH($AG$16,$AL$18:$AL$31,0)))*C13</f>
        <v>0</v>
      </c>
      <c r="AA14" s="20">
        <f>(INDEX(($AO$5:$AY$13,$AO$17:$AY$25,$AO$30:$AY$38,$AO$42:$AY$50,$AO$54:$AY$62,$AO$66:$AY$74,$BI$5:$BS$13,$BI$17:$BS$25,$BI$29:$BS$37,$BI$41:$BS$49,$BI$53:$BS$61,$BI$65:$BS$73,$BY$5:$CI$13,$BY$17:$CI$25),MATCH($L$6,$AN$5:$AN$13,0),MATCH(A13,$AO$4:$AY$4,0),MATCH($AG$16,$AL$18:$AL$31,0)))*C13</f>
        <v>0</v>
      </c>
      <c r="AB14" s="20">
        <f>(INDEX(($AO$5:$AY$13,$AO$17:$AY$25,$AO$30:$AY$38,$AO$42:$AY$50,$AO$54:$AY$62,$AO$66:$AY$74,$BI$5:$BS$13,$BI$17:$BS$25,$BI$29:$BS$37,$BI$41:$BS$49,$BI$53:$BS$61,$BI$65:$BS$73,$BY$5:$CI$13,$BY$17:$CI$25),MATCH($L$7,$AN$5:$AN$13,0),MATCH(A13,$AO$4:$AY$4,0),MATCH($AG$16,$AL$18:$AL$31,0)))*C13</f>
        <v>0</v>
      </c>
      <c r="AC14" s="20">
        <f>(INDEX(($AO$5:$AY$13,$AO$17:$AY$25,$AO$30:$AY$38,$AO$42:$AY$50,$AO$54:$AY$62,$AO$66:$AY$74,$BI$5:$BS$13,$BI$17:$BS$25,$BI$29:$BS$37,$BI$41:$BS$49,$BI$53:$BS$61,$BI$65:$BS$73,$BY$5:$CI$13,$BY$17:$CI$25),MATCH($L$8,$AN$5:$AN$13,0),MATCH(A13,$AO$4:$AY$4,0),MATCH($AG$16,$AL$18:$AL$31,0)))*C13</f>
        <v>0</v>
      </c>
      <c r="AD14" s="20">
        <f>(INDEX(($AO$5:$AY$13,$AO$17:$AY$25,$AO$30:$AY$38,$AO$42:$AY$50,$AO$54:$AY$62,$AO$66:$AY$74,$BI$5:$BS$13,$BI$17:$BS$25,$BI$29:$BS$37,$BI$41:$BS$49,$BI$53:$BS$61,$BI$65:$BS$73,$BY$5:$CI$13,$BY$17:$CI$25),MATCH($L$9,$AN$5:$AN$13,0),MATCH(A13,$AO$4:$AY$4,0),MATCH($AG$16,$AL$18:$AL$31,0)))*C13</f>
        <v>0</v>
      </c>
      <c r="AE14" s="20">
        <f>(INDEX(($AO$5:$AY$13,$AO$17:$AY$25,$AO$30:$AY$38,$AO$42:$AY$50,$AO$54:$AY$62,$AO$66:$AY$74,$BI$5:$BS$13,$BI$17:$BS$25,$BI$29:$BS$37,$BI$41:$BS$49,$BI$53:$BS$61,$BI$65:$BS$73,$BY$5:$CI$13,$BY$17:$CI$25),MATCH($L$10,$AN$5:$AN$13,0),MATCH(A13,$AO$4:$AY$4,0),MATCH($AG$16,$AL$18:$AL$31,0)))*C13</f>
        <v>0</v>
      </c>
      <c r="AN14" s="20"/>
      <c r="AO14" s="20"/>
      <c r="AP14" s="20"/>
      <c r="AQ14" s="20"/>
      <c r="AR14" s="20"/>
      <c r="AS14" s="20"/>
      <c r="AT14" s="20"/>
      <c r="AU14" s="20"/>
      <c r="AV14" s="20"/>
      <c r="AW14" s="20"/>
      <c r="AX14" s="20"/>
      <c r="AY14" s="20"/>
      <c r="AZ14" s="20"/>
      <c r="BA14" s="20"/>
      <c r="BB14" s="54">
        <v>10</v>
      </c>
      <c r="BC14" s="20"/>
      <c r="BD14" s="20"/>
      <c r="BE14" s="20"/>
      <c r="BF14" s="20"/>
      <c r="BG14" s="20"/>
      <c r="BT14" s="20"/>
      <c r="BU14" s="20"/>
      <c r="BV14" s="20"/>
      <c r="BW14" s="20"/>
      <c r="CJ14" s="20"/>
      <c r="CK14" s="20"/>
      <c r="CL14" s="20"/>
      <c r="CM14" s="20"/>
    </row>
    <row r="15" spans="1:91" x14ac:dyDescent="0.25">
      <c r="A15" s="8"/>
      <c r="B15" s="6" t="s">
        <v>116</v>
      </c>
      <c r="C15" s="8"/>
      <c r="D15" s="4"/>
      <c r="E15" s="4"/>
      <c r="F15" s="4"/>
      <c r="G15" s="4"/>
      <c r="H15" s="4"/>
      <c r="I15" s="4"/>
      <c r="J15" s="4"/>
      <c r="K15" s="4"/>
      <c r="L15" s="6" t="s">
        <v>1019</v>
      </c>
      <c r="M15" s="14">
        <f>INDEX(cennik!$C$2:$L$529,MATCH($L15,cennik!$B$2:$B$522,0),MATCH(M$2,cennik!$C$1:$L$1,0))</f>
        <v>166794</v>
      </c>
      <c r="N15" s="14" t="str">
        <f>INDEX(cennik!$C$2:$L$529,MATCH($L15,cennik!$B$2:$B$522,0),MATCH(N$2,cennik!$C$1:$L$1,0))</f>
        <v>100 szt.</v>
      </c>
      <c r="O15" s="14">
        <f>ROUNDUP(O14/100,0)</f>
        <v>0</v>
      </c>
      <c r="P15" s="22">
        <f>INDEX(cennik!$C$2:$L$529,MATCH($L15,cennik!$B$2:$B$522,0),MATCH(P$2,cennik!$C$1:$L$1,0))</f>
        <v>3.95</v>
      </c>
      <c r="Q15" s="22">
        <f t="shared" si="0"/>
        <v>0</v>
      </c>
      <c r="R15" s="23">
        <f t="shared" si="3"/>
        <v>0</v>
      </c>
      <c r="S15" s="22">
        <f t="shared" si="1"/>
        <v>3.95</v>
      </c>
      <c r="T15" s="22">
        <f t="shared" si="2"/>
        <v>0</v>
      </c>
      <c r="U15" s="22">
        <f>INDEX(cennik!$C$2:$L$529,MATCH($L15,cennik!$B$2:$B$522,0),MATCH(U$2,cennik!$C$1:$L$1,0))*O15</f>
        <v>0</v>
      </c>
      <c r="W15" s="20">
        <f>(INDEX(($AO$5:$AY$13,$AO$17:$AY$25,$AO$30:$AY$38,$AO$42:$AY$50,$AO$54:$AY$62,$AO$66:$AY$74,$BI$5:$BS$13,$BI$17:$BS$25,$BI$29:$BS$37,$BI$41:$BS$49,$BI$53:$BS$61,$BI$65:$BS$73,$BY$5:$CI$13,$BY$17:$CI$25),MATCH($L$11,$AN$5:$AN$13,0),MATCH(A14,$AO$4:$AY$4,0),MATCH($AG$16,$AL$18:$AL$31,0)))*C14</f>
        <v>0</v>
      </c>
      <c r="X15" s="20">
        <f>(INDEX(($AO$5:$AY$13,$AO$17:$AY$25,$AO$30:$AY$38,$AO$42:$AY$50,$AO$54:$AY$62,$AO$66:$AY$74,$BI$5:$BS$13,$BI$17:$BS$25,$BI$29:$BS$37,$BI$41:$BS$49,$BI$53:$BS$61,$BI$65:$BS$73,$BY$5:$CI$13,$BY$17:$CI$25),MATCH($L$3,$AN$5:$AN$13,0),MATCH(A14,$AO$4:$AY$4,0),MATCH($AG$16,$AL$18:$AL$31,0)))*C14</f>
        <v>0</v>
      </c>
      <c r="Y15" s="20">
        <f>(INDEX(($AO$5:$AY$13,$AO$17:$AY$25,$AO$30:$AY$38,$AO$42:$AY$50,$AO$54:$AY$62,$AO$66:$AY$74,$BI$5:$BS$13,$BI$17:$BS$25,$BI$29:$BS$37,$BI$41:$BS$49,$BI$53:$BS$61,$BI$65:$BS$73,$BY$5:$CI$13,$BY$17:$CI$25),MATCH($L$4,$AN$5:$AN$13,0),MATCH(A14,$AO$4:$AY$4,0),MATCH($AG$16,$AL$18:$AL$31,0)))*C14</f>
        <v>0</v>
      </c>
      <c r="Z15" s="20">
        <f>(INDEX(($AO$5:$AY$13,$AO$17:$AY$25,$AO$30:$AY$38,$AO$42:$AY$50,$AO$54:$AY$62,$AO$66:$AY$74,$BI$5:$BS$13,$BI$17:$BS$25,$BI$29:$BS$37,$BI$41:$BS$49,$BI$53:$BS$61,$BI$65:$BS$73,$BY$5:$CI$13,$BY$17:$CI$25),MATCH($L$5,$AN$5:$AN$13,0),MATCH(A14,$AO$4:$AY$4,0),MATCH($AG$16,$AL$18:$AL$31,0)))*C14</f>
        <v>0</v>
      </c>
      <c r="AA15" s="20">
        <f>(INDEX(($AO$5:$AY$13,$AO$17:$AY$25,$AO$30:$AY$38,$AO$42:$AY$50,$AO$54:$AY$62,$AO$66:$AY$74,$BI$5:$BS$13,$BI$17:$BS$25,$BI$29:$BS$37,$BI$41:$BS$49,$BI$53:$BS$61,$BI$65:$BS$73,$BY$5:$CI$13,$BY$17:$CI$25),MATCH($L$6,$AN$5:$AN$13,0),MATCH(A14,$AO$4:$AY$4,0),MATCH($AG$16,$AL$18:$AL$31,0)))*C14</f>
        <v>0</v>
      </c>
      <c r="AB15" s="20">
        <f>(INDEX(($AO$5:$AY$13,$AO$17:$AY$25,$AO$30:$AY$38,$AO$42:$AY$50,$AO$54:$AY$62,$AO$66:$AY$74,$BI$5:$BS$13,$BI$17:$BS$25,$BI$29:$BS$37,$BI$41:$BS$49,$BI$53:$BS$61,$BI$65:$BS$73,$BY$5:$CI$13,$BY$17:$CI$25),MATCH($L$7,$AN$5:$AN$13,0),MATCH(A14,$AO$4:$AY$4,0),MATCH($AG$16,$AL$18:$AL$31,0)))*C14</f>
        <v>0</v>
      </c>
      <c r="AC15" s="20">
        <f>(INDEX(($AO$5:$AY$13,$AO$17:$AY$25,$AO$30:$AY$38,$AO$42:$AY$50,$AO$54:$AY$62,$AO$66:$AY$74,$BI$5:$BS$13,$BI$17:$BS$25,$BI$29:$BS$37,$BI$41:$BS$49,$BI$53:$BS$61,$BI$65:$BS$73,$BY$5:$CI$13,$BY$17:$CI$25),MATCH($L$8,$AN$5:$AN$13,0),MATCH(A14,$AO$4:$AY$4,0),MATCH($AG$16,$AL$18:$AL$31,0)))*C14</f>
        <v>0</v>
      </c>
      <c r="AD15" s="20">
        <f>(INDEX(($AO$5:$AY$13,$AO$17:$AY$25,$AO$30:$AY$38,$AO$42:$AY$50,$AO$54:$AY$62,$AO$66:$AY$74,$BI$5:$BS$13,$BI$17:$BS$25,$BI$29:$BS$37,$BI$41:$BS$49,$BI$53:$BS$61,$BI$65:$BS$73,$BY$5:$CI$13,$BY$17:$CI$25),MATCH($L$9,$AN$5:$AN$13,0),MATCH(A14,$AO$4:$AY$4,0),MATCH($AG$16,$AL$18:$AL$31,0)))*C14</f>
        <v>0</v>
      </c>
      <c r="AE15" s="20">
        <f>(INDEX(($AO$5:$AY$13,$AO$17:$AY$25,$AO$30:$AY$38,$AO$42:$AY$50,$AO$54:$AY$62,$AO$66:$AY$74,$BI$5:$BS$13,$BI$17:$BS$25,$BI$29:$BS$37,$BI$41:$BS$49,$BI$53:$BS$61,$BI$65:$BS$73,$BY$5:$CI$13,$BY$17:$CI$25),MATCH($L$10,$AN$5:$AN$13,0),MATCH(A14,$AO$4:$AY$4,0),MATCH($AG$16,$AL$18:$AL$31,0)))*C14</f>
        <v>0</v>
      </c>
      <c r="AN15" s="20" t="s">
        <v>115</v>
      </c>
      <c r="AO15" s="20"/>
      <c r="AP15" s="20"/>
      <c r="AQ15" s="20"/>
      <c r="AR15" s="20"/>
      <c r="AS15" s="20"/>
      <c r="AT15" s="20"/>
      <c r="AU15" s="20"/>
      <c r="AV15" s="20"/>
      <c r="AW15" s="20"/>
      <c r="AX15" s="20"/>
      <c r="AY15" s="20"/>
      <c r="AZ15" s="20"/>
      <c r="BA15" s="20"/>
      <c r="BB15" s="54"/>
      <c r="BC15" s="20"/>
      <c r="BD15" s="20"/>
      <c r="BE15" s="20"/>
      <c r="BF15" s="20"/>
      <c r="BG15" s="20"/>
      <c r="BH15" s="20" t="s">
        <v>470</v>
      </c>
      <c r="BI15" s="20"/>
      <c r="BJ15" s="20"/>
      <c r="BK15" s="20"/>
      <c r="BL15" s="20"/>
      <c r="BM15" s="20"/>
      <c r="BN15" s="20"/>
      <c r="BO15" s="20"/>
      <c r="BP15" s="20"/>
      <c r="BQ15" s="20"/>
      <c r="BR15" s="20"/>
      <c r="BS15" s="20"/>
      <c r="BT15" s="20"/>
      <c r="BU15" s="20"/>
      <c r="BV15" s="20"/>
      <c r="BW15" s="20"/>
      <c r="BX15" s="20" t="s">
        <v>138</v>
      </c>
      <c r="BY15" s="20"/>
      <c r="BZ15" s="20"/>
      <c r="CA15" s="20"/>
      <c r="CB15" s="20"/>
      <c r="CC15" s="20"/>
      <c r="CD15" s="20"/>
      <c r="CE15" s="20"/>
      <c r="CF15" s="20"/>
      <c r="CG15" s="20"/>
      <c r="CH15" s="20"/>
      <c r="CI15" s="20"/>
      <c r="CJ15" s="20"/>
      <c r="CK15" s="20"/>
      <c r="CL15" s="20"/>
      <c r="CM15" s="20"/>
    </row>
    <row r="16" spans="1:91" x14ac:dyDescent="0.25">
      <c r="A16" s="8"/>
      <c r="B16" s="6" t="s">
        <v>116</v>
      </c>
      <c r="C16" s="8"/>
      <c r="F16" s="4"/>
      <c r="G16" s="4"/>
      <c r="H16" s="4"/>
      <c r="I16" s="4"/>
      <c r="J16" s="4"/>
      <c r="K16" s="4"/>
      <c r="L16" s="15" t="s">
        <v>321</v>
      </c>
      <c r="M16" s="14">
        <f>INDEX(cennik!$C$2:$L$529,MATCH($L16,cennik!$B$2:$B$522,0),MATCH(M$2,cennik!$C$1:$L$1,0))</f>
        <v>890101</v>
      </c>
      <c r="N16" s="14" t="str">
        <f>INDEX(cennik!$C$2:$L$529,MATCH($L16,cennik!$B$2:$B$522,0),MATCH(N$2,cennik!$C$1:$L$1,0))</f>
        <v>szt.</v>
      </c>
      <c r="O16" s="14">
        <f>O14</f>
        <v>0</v>
      </c>
      <c r="P16" s="22">
        <f>INDEX(cennik!$C$2:$L$529,MATCH($L16,cennik!$B$2:$B$522,0),MATCH(P$2,cennik!$C$1:$L$1,0))</f>
        <v>1.99</v>
      </c>
      <c r="Q16" s="22">
        <f t="shared" si="0"/>
        <v>0</v>
      </c>
      <c r="R16" s="23">
        <f t="shared" si="3"/>
        <v>0</v>
      </c>
      <c r="S16" s="22">
        <f t="shared" si="1"/>
        <v>1.99</v>
      </c>
      <c r="T16" s="22">
        <f t="shared" si="2"/>
        <v>0</v>
      </c>
      <c r="U16" s="22">
        <f>INDEX(cennik!$C$2:$L$529,MATCH($L16,cennik!$B$2:$B$522,0),MATCH(U$2,cennik!$C$1:$L$1,0))*O16</f>
        <v>0</v>
      </c>
      <c r="W16" s="20">
        <f>(INDEX(($AO$5:$AY$13,$AO$17:$AY$25,$AO$30:$AY$38,$AO$42:$AY$50,$AO$54:$AY$62,$AO$66:$AY$74,$BI$5:$BS$13,$BI$17:$BS$25,$BI$29:$BS$37,$BI$41:$BS$49,$BI$53:$BS$61,$BI$65:$BS$73,$BY$5:$CI$13,$BY$17:$CI$25),MATCH($L$11,$AN$5:$AN$13,0),MATCH(A15,$AO$4:$AY$4,0),MATCH($AG$16,$AL$18:$AL$31,0)))*C15</f>
        <v>0</v>
      </c>
      <c r="X16" s="20">
        <f>(INDEX(($AO$5:$AY$13,$AO$17:$AY$25,$AO$30:$AY$38,$AO$42:$AY$50,$AO$54:$AY$62,$AO$66:$AY$74,$BI$5:$BS$13,$BI$17:$BS$25,$BI$29:$BS$37,$BI$41:$BS$49,$BI$53:$BS$61,$BI$65:$BS$73,$BY$5:$CI$13,$BY$17:$CI$25),MATCH($L$3,$AN$5:$AN$13,0),MATCH(A15,$AO$4:$AY$4,0),MATCH($AG$16,$AL$18:$AL$31,0)))*C15</f>
        <v>0</v>
      </c>
      <c r="Y16" s="20">
        <f>(INDEX(($AO$5:$AY$13,$AO$17:$AY$25,$AO$30:$AY$38,$AO$42:$AY$50,$AO$54:$AY$62,$AO$66:$AY$74,$BI$5:$BS$13,$BI$17:$BS$25,$BI$29:$BS$37,$BI$41:$BS$49,$BI$53:$BS$61,$BI$65:$BS$73,$BY$5:$CI$13,$BY$17:$CI$25),MATCH($L$4,$AN$5:$AN$13,0),MATCH(A15,$AO$4:$AY$4,0),MATCH($AG$16,$AL$18:$AL$31,0)))*C15</f>
        <v>0</v>
      </c>
      <c r="Z16" s="20">
        <f>(INDEX(($AO$5:$AY$13,$AO$17:$AY$25,$AO$30:$AY$38,$AO$42:$AY$50,$AO$54:$AY$62,$AO$66:$AY$74,$BI$5:$BS$13,$BI$17:$BS$25,$BI$29:$BS$37,$BI$41:$BS$49,$BI$53:$BS$61,$BI$65:$BS$73,$BY$5:$CI$13,$BY$17:$CI$25),MATCH($L$5,$AN$5:$AN$13,0),MATCH(A15,$AO$4:$AY$4,0),MATCH($AG$16,$AL$18:$AL$31,0)))*C15</f>
        <v>0</v>
      </c>
      <c r="AA16" s="20">
        <f>(INDEX(($AO$5:$AY$13,$AO$17:$AY$25,$AO$30:$AY$38,$AO$42:$AY$50,$AO$54:$AY$62,$AO$66:$AY$74,$BI$5:$BS$13,$BI$17:$BS$25,$BI$29:$BS$37,$BI$41:$BS$49,$BI$53:$BS$61,$BI$65:$BS$73,$BY$5:$CI$13,$BY$17:$CI$25),MATCH($L$6,$AN$5:$AN$13,0),MATCH(A15,$AO$4:$AY$4,0),MATCH($AG$16,$AL$18:$AL$31,0)))*C15</f>
        <v>0</v>
      </c>
      <c r="AB16" s="20">
        <f>(INDEX(($AO$5:$AY$13,$AO$17:$AY$25,$AO$30:$AY$38,$AO$42:$AY$50,$AO$54:$AY$62,$AO$66:$AY$74,$BI$5:$BS$13,$BI$17:$BS$25,$BI$29:$BS$37,$BI$41:$BS$49,$BI$53:$BS$61,$BI$65:$BS$73,$BY$5:$CI$13,$BY$17:$CI$25),MATCH($L$7,$AN$5:$AN$13,0),MATCH(A15,$AO$4:$AY$4,0),MATCH($AG$16,$AL$18:$AL$31,0)))*C15</f>
        <v>0</v>
      </c>
      <c r="AC16" s="20">
        <f>(INDEX(($AO$5:$AY$13,$AO$17:$AY$25,$AO$30:$AY$38,$AO$42:$AY$50,$AO$54:$AY$62,$AO$66:$AY$74,$BI$5:$BS$13,$BI$17:$BS$25,$BI$29:$BS$37,$BI$41:$BS$49,$BI$53:$BS$61,$BI$65:$BS$73,$BY$5:$CI$13,$BY$17:$CI$25),MATCH($L$8,$AN$5:$AN$13,0),MATCH(A15,$AO$4:$AY$4,0),MATCH($AG$16,$AL$18:$AL$31,0)))*C15</f>
        <v>0</v>
      </c>
      <c r="AD16" s="20">
        <f>(INDEX(($AO$5:$AY$13,$AO$17:$AY$25,$AO$30:$AY$38,$AO$42:$AY$50,$AO$54:$AY$62,$AO$66:$AY$74,$BI$5:$BS$13,$BI$17:$BS$25,$BI$29:$BS$37,$BI$41:$BS$49,$BI$53:$BS$61,$BI$65:$BS$73,$BY$5:$CI$13,$BY$17:$CI$25),MATCH($L$9,$AN$5:$AN$13,0),MATCH(A15,$AO$4:$AY$4,0),MATCH($AG$16,$AL$18:$AL$31,0)))*C15</f>
        <v>0</v>
      </c>
      <c r="AE16" s="20">
        <f>(INDEX(($AO$5:$AY$13,$AO$17:$AY$25,$AO$30:$AY$38,$AO$42:$AY$50,$AO$54:$AY$62,$AO$66:$AY$74,$BI$5:$BS$13,$BI$17:$BS$25,$BI$29:$BS$37,$BI$41:$BS$49,$BI$53:$BS$61,$BI$65:$BS$73,$BY$5:$CI$13,$BY$17:$CI$25),MATCH($L$10,$AN$5:$AN$13,0),MATCH(A15,$AO$4:$AY$4,0),MATCH($AG$16,$AL$18:$AL$31,0)))*C15</f>
        <v>0</v>
      </c>
      <c r="AG16" s="21" t="str">
        <f>IF(E4="WERTYKALNY",G3,IF(E4="HORYZONTALNY",E3,0))</f>
        <v>1000-1050</v>
      </c>
      <c r="AN16" s="20"/>
      <c r="AO16" s="20">
        <v>0</v>
      </c>
      <c r="AP16" s="20">
        <v>1</v>
      </c>
      <c r="AQ16" s="20">
        <v>2</v>
      </c>
      <c r="AR16" s="20">
        <v>3</v>
      </c>
      <c r="AS16" s="20">
        <v>4</v>
      </c>
      <c r="AT16" s="20">
        <v>5</v>
      </c>
      <c r="AU16" s="20">
        <v>6</v>
      </c>
      <c r="AV16" s="20">
        <v>7</v>
      </c>
      <c r="AW16" s="20">
        <v>8</v>
      </c>
      <c r="AX16" s="20">
        <v>9</v>
      </c>
      <c r="AY16" s="20">
        <v>10</v>
      </c>
      <c r="AZ16" s="20"/>
      <c r="BA16" s="20"/>
      <c r="BB16" s="54">
        <v>30</v>
      </c>
      <c r="BC16" s="20"/>
      <c r="BD16" s="20"/>
      <c r="BE16" s="20"/>
      <c r="BF16" s="20"/>
      <c r="BG16" s="20"/>
      <c r="BH16" s="20"/>
      <c r="BI16" s="20">
        <v>0</v>
      </c>
      <c r="BJ16" s="20">
        <v>1</v>
      </c>
      <c r="BK16" s="20">
        <v>2</v>
      </c>
      <c r="BL16" s="20">
        <v>3</v>
      </c>
      <c r="BM16" s="20">
        <v>4</v>
      </c>
      <c r="BN16" s="20">
        <v>5</v>
      </c>
      <c r="BO16" s="20">
        <v>6</v>
      </c>
      <c r="BP16" s="20">
        <v>7</v>
      </c>
      <c r="BQ16" s="20">
        <v>8</v>
      </c>
      <c r="BR16" s="20">
        <v>9</v>
      </c>
      <c r="BS16" s="20">
        <v>10</v>
      </c>
      <c r="BT16" s="20"/>
      <c r="BU16" s="20"/>
      <c r="BV16" s="20"/>
      <c r="BW16" s="20"/>
      <c r="BX16" s="20"/>
      <c r="BY16" s="20">
        <v>0</v>
      </c>
      <c r="BZ16" s="20">
        <v>1</v>
      </c>
      <c r="CA16" s="20">
        <v>2</v>
      </c>
      <c r="CB16" s="20">
        <v>3</v>
      </c>
      <c r="CC16" s="20">
        <v>4</v>
      </c>
      <c r="CD16" s="20">
        <v>5</v>
      </c>
      <c r="CE16" s="20">
        <v>6</v>
      </c>
      <c r="CF16" s="20">
        <v>7</v>
      </c>
      <c r="CG16" s="20">
        <v>8</v>
      </c>
      <c r="CH16" s="20">
        <v>9</v>
      </c>
      <c r="CI16" s="20">
        <v>10</v>
      </c>
      <c r="CJ16" s="20"/>
      <c r="CK16" s="20"/>
      <c r="CL16" s="20"/>
      <c r="CM16" s="20"/>
    </row>
    <row r="17" spans="1:91" x14ac:dyDescent="0.25">
      <c r="A17" s="8"/>
      <c r="B17" s="6" t="s">
        <v>116</v>
      </c>
      <c r="C17" s="8"/>
      <c r="F17" s="4"/>
      <c r="G17" s="4"/>
      <c r="H17" s="4"/>
      <c r="I17" s="4"/>
      <c r="J17" s="4"/>
      <c r="K17" s="4"/>
      <c r="L17" s="6" t="s">
        <v>407</v>
      </c>
      <c r="M17" s="14">
        <f>INDEX(cennik!$C$2:$L$529,MATCH($L17,cennik!$B$2:$B$522,0),MATCH(M$2,cennik!$C$1:$L$1,0))</f>
        <v>651643</v>
      </c>
      <c r="N17" s="14" t="str">
        <f>INDEX(cennik!$C$2:$L$529,MATCH($L17,cennik!$B$2:$B$522,0),MATCH(N$2,cennik!$C$1:$L$1,0))</f>
        <v>100 szt.</v>
      </c>
      <c r="O17" s="14">
        <f>ROUNDUP(((O11*12))/100,0)</f>
        <v>0</v>
      </c>
      <c r="P17" s="22">
        <f>INDEX(cennik!$C$2:$L$529,MATCH($L17,cennik!$B$2:$B$522,0),MATCH(P$2,cennik!$C$1:$L$1,0))</f>
        <v>144.19</v>
      </c>
      <c r="Q17" s="22">
        <f t="shared" si="0"/>
        <v>0</v>
      </c>
      <c r="R17" s="23">
        <f t="shared" si="3"/>
        <v>0</v>
      </c>
      <c r="S17" s="22">
        <f t="shared" si="1"/>
        <v>144.19</v>
      </c>
      <c r="T17" s="22">
        <f t="shared" si="2"/>
        <v>0</v>
      </c>
      <c r="U17" s="22">
        <f>INDEX(cennik!$C$2:$L$529,MATCH($L17,cennik!$B$2:$B$522,0),MATCH(U$2,cennik!$C$1:$L$1,0))*O17</f>
        <v>0</v>
      </c>
      <c r="W17" s="20">
        <f>(INDEX(($AO$5:$AY$13,$AO$17:$AY$25,$AO$30:$AY$38,$AO$42:$AY$50,$AO$54:$AY$62,$AO$66:$AY$74,$BI$5:$BS$13,$BI$17:$BS$25,$BI$29:$BS$37,$BI$41:$BS$49,$BI$53:$BS$61,$BI$65:$BS$73,$BY$5:$CI$13,$BY$17:$CI$25),MATCH($L$11,$AN$5:$AN$13,0),MATCH(A16,$AO$4:$AY$4,0),MATCH($AG$16,$AL$18:$AL$31,0)))*C16</f>
        <v>0</v>
      </c>
      <c r="X17" s="20">
        <f>(INDEX(($AO$5:$AY$13,$AO$17:$AY$25,$AO$30:$AY$38,$AO$42:$AY$50,$AO$54:$AY$62,$AO$66:$AY$74,$BI$5:$BS$13,$BI$17:$BS$25,$BI$29:$BS$37,$BI$41:$BS$49,$BI$53:$BS$61,$BI$65:$BS$73,$BY$5:$CI$13,$BY$17:$CI$25),MATCH($L$3,$AN$5:$AN$13,0),MATCH(A16,$AO$4:$AY$4,0),MATCH($AG$16,$AL$18:$AL$31,0)))*C16</f>
        <v>0</v>
      </c>
      <c r="Y17" s="20">
        <f>(INDEX(($AO$5:$AY$13,$AO$17:$AY$25,$AO$30:$AY$38,$AO$42:$AY$50,$AO$54:$AY$62,$AO$66:$AY$74,$BI$5:$BS$13,$BI$17:$BS$25,$BI$29:$BS$37,$BI$41:$BS$49,$BI$53:$BS$61,$BI$65:$BS$73,$BY$5:$CI$13,$BY$17:$CI$25),MATCH($L$4,$AN$5:$AN$13,0),MATCH(A16,$AO$4:$AY$4,0),MATCH($AG$16,$AL$18:$AL$31,0)))*C16</f>
        <v>0</v>
      </c>
      <c r="Z17" s="20">
        <f>(INDEX(($AO$5:$AY$13,$AO$17:$AY$25,$AO$30:$AY$38,$AO$42:$AY$50,$AO$54:$AY$62,$AO$66:$AY$74,$BI$5:$BS$13,$BI$17:$BS$25,$BI$29:$BS$37,$BI$41:$BS$49,$BI$53:$BS$61,$BI$65:$BS$73,$BY$5:$CI$13,$BY$17:$CI$25),MATCH($L$5,$AN$5:$AN$13,0),MATCH(A16,$AO$4:$AY$4,0),MATCH($AG$16,$AL$18:$AL$31,0)))*C16</f>
        <v>0</v>
      </c>
      <c r="AA17" s="20">
        <f>(INDEX(($AO$5:$AY$13,$AO$17:$AY$25,$AO$30:$AY$38,$AO$42:$AY$50,$AO$54:$AY$62,$AO$66:$AY$74,$BI$5:$BS$13,$BI$17:$BS$25,$BI$29:$BS$37,$BI$41:$BS$49,$BI$53:$BS$61,$BI$65:$BS$73,$BY$5:$CI$13,$BY$17:$CI$25),MATCH($L$6,$AN$5:$AN$13,0),MATCH(A16,$AO$4:$AY$4,0),MATCH($AG$16,$AL$18:$AL$31,0)))*C16</f>
        <v>0</v>
      </c>
      <c r="AB17" s="20">
        <f>(INDEX(($AO$5:$AY$13,$AO$17:$AY$25,$AO$30:$AY$38,$AO$42:$AY$50,$AO$54:$AY$62,$AO$66:$AY$74,$BI$5:$BS$13,$BI$17:$BS$25,$BI$29:$BS$37,$BI$41:$BS$49,$BI$53:$BS$61,$BI$65:$BS$73,$BY$5:$CI$13,$BY$17:$CI$25),MATCH($L$7,$AN$5:$AN$13,0),MATCH(A16,$AO$4:$AY$4,0),MATCH($AG$16,$AL$18:$AL$31,0)))*C16</f>
        <v>0</v>
      </c>
      <c r="AC17" s="20">
        <f>(INDEX(($AO$5:$AY$13,$AO$17:$AY$25,$AO$30:$AY$38,$AO$42:$AY$50,$AO$54:$AY$62,$AO$66:$AY$74,$BI$5:$BS$13,$BI$17:$BS$25,$BI$29:$BS$37,$BI$41:$BS$49,$BI$53:$BS$61,$BI$65:$BS$73,$BY$5:$CI$13,$BY$17:$CI$25),MATCH($L$8,$AN$5:$AN$13,0),MATCH(A16,$AO$4:$AY$4,0),MATCH($AG$16,$AL$18:$AL$31,0)))*C16</f>
        <v>0</v>
      </c>
      <c r="AD17" s="20">
        <f>(INDEX(($AO$5:$AY$13,$AO$17:$AY$25,$AO$30:$AY$38,$AO$42:$AY$50,$AO$54:$AY$62,$AO$66:$AY$74,$BI$5:$BS$13,$BI$17:$BS$25,$BI$29:$BS$37,$BI$41:$BS$49,$BI$53:$BS$61,$BI$65:$BS$73,$BY$5:$CI$13,$BY$17:$CI$25),MATCH($L$9,$AN$5:$AN$13,0),MATCH(A16,$AO$4:$AY$4,0),MATCH($AG$16,$AL$18:$AL$31,0)))*C16</f>
        <v>0</v>
      </c>
      <c r="AE17" s="20">
        <f>(INDEX(($AO$5:$AY$13,$AO$17:$AY$25,$AO$30:$AY$38,$AO$42:$AY$50,$AO$54:$AY$62,$AO$66:$AY$74,$BI$5:$BS$13,$BI$17:$BS$25,$BI$29:$BS$37,$BI$41:$BS$49,$BI$53:$BS$61,$BI$65:$BS$73,$BY$5:$CI$13,$BY$17:$CI$25),MATCH($L$10,$AN$5:$AN$13,0),MATCH(A16,$AO$4:$AY$4,0),MATCH($AG$16,$AL$18:$AL$31,0)))*C16</f>
        <v>0</v>
      </c>
      <c r="AI17" s="21" t="s">
        <v>123</v>
      </c>
      <c r="AN17" s="20" t="s">
        <v>210</v>
      </c>
      <c r="AO17" s="20">
        <v>0</v>
      </c>
      <c r="AP17" s="20">
        <v>0</v>
      </c>
      <c r="AQ17" s="20">
        <v>0</v>
      </c>
      <c r="AR17" s="20">
        <v>0</v>
      </c>
      <c r="AS17" s="20">
        <v>2</v>
      </c>
      <c r="AT17" s="20">
        <v>0</v>
      </c>
      <c r="AU17" s="20">
        <v>0</v>
      </c>
      <c r="AV17" s="20">
        <v>2</v>
      </c>
      <c r="AW17" s="20">
        <v>0</v>
      </c>
      <c r="AX17" s="20">
        <v>0</v>
      </c>
      <c r="AY17" s="20">
        <v>0</v>
      </c>
      <c r="AZ17" s="20"/>
      <c r="BA17" s="20"/>
      <c r="BB17" s="54">
        <v>32</v>
      </c>
      <c r="BC17" s="20"/>
      <c r="BD17" s="20"/>
      <c r="BE17" s="20"/>
      <c r="BF17" s="20"/>
      <c r="BG17" s="20"/>
      <c r="BH17" s="20" t="s">
        <v>210</v>
      </c>
      <c r="BI17" s="20">
        <v>0</v>
      </c>
      <c r="BJ17" s="20">
        <v>0</v>
      </c>
      <c r="BK17" s="20">
        <v>0</v>
      </c>
      <c r="BL17" s="20">
        <v>0</v>
      </c>
      <c r="BM17" s="20">
        <v>0</v>
      </c>
      <c r="BN17" s="20">
        <v>0</v>
      </c>
      <c r="BO17" s="20">
        <v>0</v>
      </c>
      <c r="BP17" s="20">
        <v>0</v>
      </c>
      <c r="BQ17" s="20">
        <v>0</v>
      </c>
      <c r="BR17" s="20">
        <v>0</v>
      </c>
      <c r="BS17" s="20">
        <v>0</v>
      </c>
      <c r="BT17" s="20"/>
      <c r="BU17" s="20"/>
      <c r="BV17" s="20"/>
      <c r="BW17" s="20"/>
      <c r="BX17" s="20" t="s">
        <v>210</v>
      </c>
      <c r="BY17" s="20">
        <v>0</v>
      </c>
      <c r="BZ17" s="20">
        <v>0</v>
      </c>
      <c r="CA17" s="20">
        <v>2</v>
      </c>
      <c r="CB17" s="20">
        <v>0</v>
      </c>
      <c r="CC17" s="20">
        <v>0</v>
      </c>
      <c r="CD17" s="20">
        <v>0</v>
      </c>
      <c r="CE17" s="20">
        <v>0</v>
      </c>
      <c r="CF17" s="20">
        <v>0</v>
      </c>
      <c r="CG17" s="20">
        <v>0</v>
      </c>
      <c r="CH17" s="20">
        <v>0</v>
      </c>
      <c r="CI17" s="20">
        <v>0</v>
      </c>
      <c r="CJ17" s="20"/>
      <c r="CK17" s="20"/>
      <c r="CL17" s="20"/>
      <c r="CM17" s="20"/>
    </row>
    <row r="18" spans="1:91" x14ac:dyDescent="0.25">
      <c r="L18" s="6" t="s">
        <v>128</v>
      </c>
      <c r="M18" s="14">
        <f>INDEX(cennik!$C$2:$L$529,MATCH($L18,cennik!$B$2:$B$522,0),MATCH(M$2,cennik!$C$1:$L$1,0))</f>
        <v>897303</v>
      </c>
      <c r="N18" s="14" t="str">
        <f>INDEX(cennik!$C$2:$L$529,MATCH($L18,cennik!$B$2:$B$522,0),MATCH(N$2,cennik!$C$1:$L$1,0))</f>
        <v>szt.</v>
      </c>
      <c r="O18" s="14">
        <f>SUM((IF(MOD(A2,2)=0,A2/2,IF(MOD(A2,2)=1,FLOOR(A2/2,1)+1,0))*C2),(IF(MOD(A3,2)=0,A3/2,IF(MOD(A3,2)=1,FLOOR(A3/2,1)+1,0))*C3),(IF(MOD(A4,2)=0,A4/2,IF(MOD(A4,2)=1,FLOOR(A4/2,1)+1,0))*C4),(IF(MOD(A5,2)=0,A5/2,IF(MOD(A5,2)=1,FLOOR(A5/2,1)+1,0))*C5),(IF(MOD(A6,2)=0,A6/2,IF(MOD(A6,2)=1,FLOOR(A6/2,1)+1,0))*C6),(IF(MOD(A7,2)=0,A7/2,IF(MOD(A7,2)=1,FLOOR(A7/2,1)+1,0))*C7),(IF(MOD(A8,2)=0,A8/2,IF(MOD(A8,2)=1,FLOOR(A8/2,1)+1,0))*C8),(IF(MOD(A9,2)=0,A9/2,IF(MOD(A9,2)=1,FLOOR(A9/2,1)+1,0))*C9),(IF(MOD(A10,2)=0,A10/2,IF(MOD(A10,2)=1,FLOOR(A10/2,1)+1,0))*C10),(IF(MOD(A11,2)=0,A11/2,IF(MOD(A11,2)=1,FLOOR(A11/2,1)+1,0))*C11),(IF(MOD(A12,2)=0,A12/2,IF(MOD(A12,2)=1,FLOOR(A12/2,1)+1,0))*C12),(IF(MOD(A13,2)=0,A13/2,IF(MOD(A13,2)=1,FLOOR(A13/2,1)+1,0))*C13),(IF(MOD(A14,2)=0,A14/2,IF(MOD(A14,2)=1,FLOOR(A14/2,1)+1,0))*C14),(IF(MOD(A15,2)=0,A15/2,IF(MOD(A15,2)=1,FLOOR(A15/2,1)+1,0))*C15),(IF(MOD(A16,2)=0,A16/2,IF(MOD(A16,2)=1,FLOOR(A16/2,1)+1,0))*C16),(IF(MOD(A17,2)=0,A17/2,IF(MOD(A17,2)=1,FLOOR(A17/2,1)+1,0))*C17))</f>
        <v>0</v>
      </c>
      <c r="P18" s="22">
        <f>INDEX(cennik!$C$2:$L$529,MATCH($L18,cennik!$B$2:$B$522,0),MATCH(P$2,cennik!$C$1:$L$1,0))</f>
        <v>2.4</v>
      </c>
      <c r="Q18" s="22">
        <f t="shared" si="0"/>
        <v>0</v>
      </c>
      <c r="R18" s="23">
        <f t="shared" si="3"/>
        <v>0</v>
      </c>
      <c r="S18" s="22">
        <f t="shared" si="1"/>
        <v>2.4</v>
      </c>
      <c r="T18" s="22">
        <f t="shared" si="2"/>
        <v>0</v>
      </c>
      <c r="U18" s="22">
        <f>INDEX(cennik!$C$2:$L$529,MATCH($L18,cennik!$B$2:$B$522,0),MATCH(U$2,cennik!$C$1:$L$1,0))*O18</f>
        <v>0</v>
      </c>
      <c r="W18" s="20">
        <f>(INDEX(($AO$5:$AY$13,$AO$17:$AY$25,$AO$30:$AY$38,$AO$42:$AY$50,$AO$54:$AY$62,$AO$66:$AY$74,$BI$5:$BS$13,$BI$17:$BS$25,$BI$29:$BS$37,$BI$41:$BS$49,$BI$53:$BS$61,$BI$65:$BS$73,$BY$5:$CI$13,$BY$17:$CI$25),MATCH($L$11,$AN$5:$AN$13,0),MATCH(A17,$AO$4:$AY$4,0),MATCH($AG$16,$AL$18:$AL$31,0)))*C17</f>
        <v>0</v>
      </c>
      <c r="X18" s="20">
        <f>(INDEX(($AO$5:$AY$13,$AO$17:$AY$25,$AO$30:$AY$38,$AO$42:$AY$50,$AO$54:$AY$62,$AO$66:$AY$74,$BI$5:$BS$13,$BI$17:$BS$25,$BI$29:$BS$37,$BI$41:$BS$49,$BI$53:$BS$61,$BI$65:$BS$73,$BY$5:$CI$13,$BY$17:$CI$25),MATCH($L$3,$AN$5:$AN$13,0),MATCH(A17,$AO$4:$AY$4,0),MATCH($AG$16,$AL$18:$AL$31,0)))*C17</f>
        <v>0</v>
      </c>
      <c r="Y18" s="20">
        <f>(INDEX(($AO$5:$AY$13,$AO$17:$AY$25,$AO$30:$AY$38,$AO$42:$AY$50,$AO$54:$AY$62,$AO$66:$AY$74,$BI$5:$BS$13,$BI$17:$BS$25,$BI$29:$BS$37,$BI$41:$BS$49,$BI$53:$BS$61,$BI$65:$BS$73,$BY$5:$CI$13,$BY$17:$CI$25),MATCH($L$4,$AN$5:$AN$13,0),MATCH(A17,$AO$4:$AY$4,0),MATCH($AG$16,$AL$18:$AL$31,0)))*C17</f>
        <v>0</v>
      </c>
      <c r="Z18" s="20">
        <f>(INDEX(($AO$5:$AY$13,$AO$17:$AY$25,$AO$30:$AY$38,$AO$42:$AY$50,$AO$54:$AY$62,$AO$66:$AY$74,$BI$5:$BS$13,$BI$17:$BS$25,$BI$29:$BS$37,$BI$41:$BS$49,$BI$53:$BS$61,$BI$65:$BS$73,$BY$5:$CI$13,$BY$17:$CI$25),MATCH($L$5,$AN$5:$AN$13,0),MATCH(A17,$AO$4:$AY$4,0),MATCH($AG$16,$AL$18:$AL$31,0)))*C17</f>
        <v>0</v>
      </c>
      <c r="AA18" s="20">
        <f>(INDEX(($AO$5:$AY$13,$AO$17:$AY$25,$AO$30:$AY$38,$AO$42:$AY$50,$AO$54:$AY$62,$AO$66:$AY$74,$BI$5:$BS$13,$BI$17:$BS$25,$BI$29:$BS$37,$BI$41:$BS$49,$BI$53:$BS$61,$BI$65:$BS$73,$BY$5:$CI$13,$BY$17:$CI$25),MATCH($L$6,$AN$5:$AN$13,0),MATCH(A17,$AO$4:$AY$4,0),MATCH($AG$16,$AL$18:$AL$31,0)))*C17</f>
        <v>0</v>
      </c>
      <c r="AB18" s="20">
        <f>(INDEX(($AO$5:$AY$13,$AO$17:$AY$25,$AO$30:$AY$38,$AO$42:$AY$50,$AO$54:$AY$62,$AO$66:$AY$74,$BI$5:$BS$13,$BI$17:$BS$25,$BI$29:$BS$37,$BI$41:$BS$49,$BI$53:$BS$61,$BI$65:$BS$73,$BY$5:$CI$13,$BY$17:$CI$25),MATCH($L$7,$AN$5:$AN$13,0),MATCH(A17,$AO$4:$AY$4,0),MATCH($AG$16,$AL$18:$AL$31,0)))*C17</f>
        <v>0</v>
      </c>
      <c r="AC18" s="20">
        <f>(INDEX(($AO$5:$AY$13,$AO$17:$AY$25,$AO$30:$AY$38,$AO$42:$AY$50,$AO$54:$AY$62,$AO$66:$AY$74,$BI$5:$BS$13,$BI$17:$BS$25,$BI$29:$BS$37,$BI$41:$BS$49,$BI$53:$BS$61,$BI$65:$BS$73,$BY$5:$CI$13,$BY$17:$CI$25),MATCH($L$8,$AN$5:$AN$13,0),MATCH(A17,$AO$4:$AY$4,0),MATCH($AG$16,$AL$18:$AL$31,0)))*C17</f>
        <v>0</v>
      </c>
      <c r="AD18" s="20">
        <f>(INDEX(($AO$5:$AY$13,$AO$17:$AY$25,$AO$30:$AY$38,$AO$42:$AY$50,$AO$54:$AY$62,$AO$66:$AY$74,$BI$5:$BS$13,$BI$17:$BS$25,$BI$29:$BS$37,$BI$41:$BS$49,$BI$53:$BS$61,$BI$65:$BS$73,$BY$5:$CI$13,$BY$17:$CI$25),MATCH($L$9,$AN$5:$AN$13,0),MATCH(A17,$AO$4:$AY$4,0),MATCH($AG$16,$AL$18:$AL$31,0)))*C17</f>
        <v>0</v>
      </c>
      <c r="AE18" s="20">
        <f>(INDEX(($AO$5:$AY$13,$AO$17:$AY$25,$AO$30:$AY$38,$AO$42:$AY$50,$AO$54:$AY$62,$AO$66:$AY$74,$BI$5:$BS$13,$BI$17:$BS$25,$BI$29:$BS$37,$BI$41:$BS$49,$BI$53:$BS$61,$BI$65:$BS$73,$BY$5:$CI$13,$BY$17:$CI$25),MATCH($L$10,$AN$5:$AN$13,0),MATCH(A17,$AO$4:$AY$4,0),MATCH($AG$16,$AL$18:$AL$31,0)))*C17</f>
        <v>0</v>
      </c>
      <c r="AI18" s="21" t="s">
        <v>133</v>
      </c>
      <c r="AL18" s="20" t="s">
        <v>114</v>
      </c>
      <c r="AN18" s="20" t="s">
        <v>9</v>
      </c>
      <c r="AO18" s="20">
        <v>0</v>
      </c>
      <c r="AP18" s="20">
        <v>2</v>
      </c>
      <c r="AQ18" s="20">
        <v>0</v>
      </c>
      <c r="AR18" s="20">
        <v>0</v>
      </c>
      <c r="AS18" s="20">
        <v>0</v>
      </c>
      <c r="AT18" s="20">
        <v>0</v>
      </c>
      <c r="AU18" s="20">
        <v>0</v>
      </c>
      <c r="AV18" s="20">
        <v>0</v>
      </c>
      <c r="AW18" s="20">
        <v>0</v>
      </c>
      <c r="AX18" s="20">
        <v>0</v>
      </c>
      <c r="AY18" s="20">
        <v>0</v>
      </c>
      <c r="AZ18" s="20"/>
      <c r="BA18" s="20"/>
      <c r="BB18" s="54">
        <v>35</v>
      </c>
      <c r="BC18" s="20"/>
      <c r="BD18" s="20"/>
      <c r="BE18" s="20"/>
      <c r="BF18" s="20"/>
      <c r="BG18" s="20"/>
      <c r="BH18" s="20" t="s">
        <v>9</v>
      </c>
      <c r="BI18" s="20">
        <v>0</v>
      </c>
      <c r="BJ18" s="20">
        <v>0</v>
      </c>
      <c r="BK18" s="20">
        <v>0</v>
      </c>
      <c r="BL18" s="20">
        <v>0</v>
      </c>
      <c r="BM18" s="20">
        <v>0</v>
      </c>
      <c r="BN18" s="20">
        <v>0</v>
      </c>
      <c r="BO18" s="20">
        <v>0</v>
      </c>
      <c r="BP18" s="20">
        <v>0</v>
      </c>
      <c r="BQ18" s="20">
        <v>0</v>
      </c>
      <c r="BR18" s="20">
        <v>0</v>
      </c>
      <c r="BS18" s="20">
        <v>0</v>
      </c>
      <c r="BT18" s="20"/>
      <c r="BU18" s="20"/>
      <c r="BV18" s="20"/>
      <c r="BW18" s="20"/>
      <c r="BX18" s="20" t="s">
        <v>9</v>
      </c>
      <c r="BY18" s="20">
        <v>0</v>
      </c>
      <c r="BZ18" s="20">
        <v>0</v>
      </c>
      <c r="CA18" s="20">
        <v>0</v>
      </c>
      <c r="CB18" s="20">
        <v>0</v>
      </c>
      <c r="CC18" s="20">
        <v>2</v>
      </c>
      <c r="CD18" s="20">
        <v>0</v>
      </c>
      <c r="CE18" s="20">
        <v>0</v>
      </c>
      <c r="CF18" s="20">
        <v>0</v>
      </c>
      <c r="CG18" s="20">
        <v>0</v>
      </c>
      <c r="CH18" s="20">
        <v>0</v>
      </c>
      <c r="CI18" s="20">
        <v>0</v>
      </c>
      <c r="CJ18" s="20"/>
      <c r="CK18" s="20"/>
      <c r="CL18" s="20"/>
      <c r="CM18" s="20"/>
    </row>
    <row r="19" spans="1:91" x14ac:dyDescent="0.25">
      <c r="L19" s="6" t="s">
        <v>20</v>
      </c>
      <c r="M19" s="14">
        <f>INDEX(cennik!$C$2:$L$529,MATCH($L19,cennik!$B$2:$B$522,0),MATCH(M$2,cennik!$C$1:$L$1,0))</f>
        <v>6506513</v>
      </c>
      <c r="N19" s="14" t="str">
        <f>INDEX(cennik!$C$2:$L$529,MATCH($L19,cennik!$B$2:$B$522,0),MATCH(N$2,cennik!$C$1:$L$1,0))</f>
        <v>szt.</v>
      </c>
      <c r="O19" s="14">
        <f>O20+E7</f>
        <v>10</v>
      </c>
      <c r="P19" s="22">
        <f>INDEX(cennik!$C$2:$L$529,MATCH($L19,cennik!$B$2:$B$522,0),MATCH(P$2,cennik!$C$1:$L$1,0))</f>
        <v>4.1900000000000004</v>
      </c>
      <c r="Q19" s="22">
        <f>O19*P19</f>
        <v>41.900000000000006</v>
      </c>
      <c r="R19" s="23">
        <f t="shared" si="3"/>
        <v>0</v>
      </c>
      <c r="S19" s="22">
        <f t="shared" si="1"/>
        <v>4.1900000000000004</v>
      </c>
      <c r="T19" s="22">
        <f>O19*S19</f>
        <v>41.900000000000006</v>
      </c>
      <c r="U19" s="22">
        <f>INDEX(cennik!$C$2:$L$529,MATCH($L19,cennik!$B$2:$B$522,0),MATCH(U$2,cennik!$C$1:$L$1,0))*O19</f>
        <v>0.6</v>
      </c>
      <c r="AE19" s="20"/>
      <c r="AL19" s="20" t="s">
        <v>115</v>
      </c>
      <c r="AN19" s="20" t="s">
        <v>208</v>
      </c>
      <c r="AO19" s="20">
        <v>0</v>
      </c>
      <c r="AP19" s="20">
        <v>0</v>
      </c>
      <c r="AQ19" s="20">
        <v>0</v>
      </c>
      <c r="AR19" s="20">
        <v>0</v>
      </c>
      <c r="AS19" s="20">
        <v>0</v>
      </c>
      <c r="AT19" s="20">
        <v>0</v>
      </c>
      <c r="AU19" s="20">
        <v>0</v>
      </c>
      <c r="AV19" s="20">
        <v>0</v>
      </c>
      <c r="AW19" s="20">
        <v>2</v>
      </c>
      <c r="AX19" s="20">
        <v>0</v>
      </c>
      <c r="AY19" s="20">
        <v>0</v>
      </c>
      <c r="AZ19" s="20"/>
      <c r="BA19" s="20"/>
      <c r="BB19" s="54">
        <v>38</v>
      </c>
      <c r="BC19" s="20"/>
      <c r="BD19" s="20"/>
      <c r="BE19" s="20"/>
      <c r="BF19" s="20"/>
      <c r="BG19" s="20"/>
      <c r="BH19" s="20" t="s">
        <v>208</v>
      </c>
      <c r="BI19" s="20">
        <v>0</v>
      </c>
      <c r="BJ19" s="20">
        <v>0</v>
      </c>
      <c r="BK19" s="20">
        <v>0</v>
      </c>
      <c r="BL19" s="20">
        <v>0</v>
      </c>
      <c r="BM19" s="20">
        <v>0</v>
      </c>
      <c r="BN19" s="20">
        <v>0</v>
      </c>
      <c r="BO19" s="20">
        <v>0</v>
      </c>
      <c r="BP19" s="20">
        <v>2</v>
      </c>
      <c r="BQ19" s="20">
        <v>0</v>
      </c>
      <c r="BR19" s="20">
        <v>0</v>
      </c>
      <c r="BS19" s="20">
        <v>0</v>
      </c>
      <c r="BT19" s="20"/>
      <c r="BU19" s="20"/>
      <c r="BV19" s="20"/>
      <c r="BW19" s="20"/>
      <c r="BX19" s="20" t="s">
        <v>208</v>
      </c>
      <c r="BY19" s="20">
        <v>0</v>
      </c>
      <c r="BZ19" s="20">
        <v>0</v>
      </c>
      <c r="CA19" s="20">
        <v>0</v>
      </c>
      <c r="CB19" s="20">
        <v>0</v>
      </c>
      <c r="CC19" s="20">
        <v>0</v>
      </c>
      <c r="CD19" s="20">
        <v>0</v>
      </c>
      <c r="CE19" s="20">
        <v>0</v>
      </c>
      <c r="CF19" s="20">
        <v>0</v>
      </c>
      <c r="CG19" s="20">
        <v>0</v>
      </c>
      <c r="CH19" s="20">
        <v>0</v>
      </c>
      <c r="CI19" s="20">
        <v>0</v>
      </c>
      <c r="CJ19" s="20"/>
      <c r="CK19" s="20"/>
      <c r="CL19" s="20"/>
      <c r="CM19" s="20"/>
    </row>
    <row r="20" spans="1:91" x14ac:dyDescent="0.25">
      <c r="L20" s="6" t="s">
        <v>563</v>
      </c>
      <c r="M20" s="14">
        <f>INDEX(cennik!$C$2:$L$529,MATCH($L20,cennik!$B$2:$B$522,0),MATCH(M$2,cennik!$C$1:$L$1,0))</f>
        <v>892525</v>
      </c>
      <c r="N20" s="14" t="str">
        <f>INDEX(cennik!$C$2:$L$529,MATCH($L20,cennik!$B$2:$B$522,0),MATCH(N$2,cennik!$C$1:$L$1,0))</f>
        <v>szt.</v>
      </c>
      <c r="O20" s="14">
        <f>SUM((A2*C2),(A3*C3),(A4*C4),(A5*C5),(A6*C6),(A7*C7),(A8*C8),(A9*C9),(A10*C10),(A11*C11),(A12*C12),(A13*C13),(A14*C14),(A15*C15),(A16*C16),(A17*C17))</f>
        <v>0</v>
      </c>
      <c r="P20" s="22">
        <f>INDEX(cennik!$C$2:$L$529,MATCH($L20,cennik!$B$2:$B$522,0),MATCH(P$2,cennik!$C$1:$L$1,0))</f>
        <v>15.7</v>
      </c>
      <c r="Q20" s="22">
        <f>O20*P20</f>
        <v>0</v>
      </c>
      <c r="R20" s="23">
        <f>$E$6</f>
        <v>0</v>
      </c>
      <c r="S20" s="22">
        <f t="shared" si="1"/>
        <v>15.7</v>
      </c>
      <c r="T20" s="22">
        <f>O20*S20</f>
        <v>0</v>
      </c>
      <c r="U20" s="22">
        <f>INDEX(cennik!$C$2:$L$529,MATCH($L20,cennik!$B$2:$B$522,0),MATCH(U$2,cennik!$C$1:$L$1,0))*O20</f>
        <v>0</v>
      </c>
      <c r="AE20" s="20"/>
      <c r="AL20" s="20" t="s">
        <v>474</v>
      </c>
      <c r="AN20" s="20" t="s">
        <v>211</v>
      </c>
      <c r="AO20" s="20">
        <v>0</v>
      </c>
      <c r="AP20" s="20">
        <v>0</v>
      </c>
      <c r="AQ20" s="20">
        <v>0</v>
      </c>
      <c r="AR20" s="20">
        <v>0</v>
      </c>
      <c r="AS20" s="20">
        <v>0</v>
      </c>
      <c r="AT20" s="20">
        <v>2</v>
      </c>
      <c r="AU20" s="20">
        <v>0</v>
      </c>
      <c r="AV20" s="20">
        <v>0</v>
      </c>
      <c r="AW20" s="20">
        <v>0</v>
      </c>
      <c r="AX20" s="20">
        <v>0</v>
      </c>
      <c r="AY20" s="20">
        <v>0</v>
      </c>
      <c r="AZ20" s="20"/>
      <c r="BA20" s="20"/>
      <c r="BB20" s="54">
        <v>40</v>
      </c>
      <c r="BC20" s="20"/>
      <c r="BD20" s="20"/>
      <c r="BE20" s="20"/>
      <c r="BF20" s="20"/>
      <c r="BG20" s="20"/>
      <c r="BH20" s="20" t="s">
        <v>211</v>
      </c>
      <c r="BI20" s="20">
        <v>0</v>
      </c>
      <c r="BJ20" s="20">
        <v>2</v>
      </c>
      <c r="BK20" s="20">
        <v>0</v>
      </c>
      <c r="BL20" s="20">
        <v>2</v>
      </c>
      <c r="BM20" s="20">
        <v>0</v>
      </c>
      <c r="BN20" s="20">
        <v>2</v>
      </c>
      <c r="BO20" s="20">
        <v>0</v>
      </c>
      <c r="BP20" s="20">
        <v>0</v>
      </c>
      <c r="BQ20" s="20">
        <v>0</v>
      </c>
      <c r="BR20" s="20">
        <v>0</v>
      </c>
      <c r="BS20" s="20">
        <v>0</v>
      </c>
      <c r="BT20" s="20"/>
      <c r="BU20" s="20"/>
      <c r="BV20" s="20"/>
      <c r="BW20" s="20"/>
      <c r="BX20" s="20" t="s">
        <v>211</v>
      </c>
      <c r="BY20" s="20">
        <v>0</v>
      </c>
      <c r="BZ20" s="20">
        <v>0</v>
      </c>
      <c r="CA20" s="20">
        <v>0</v>
      </c>
      <c r="CB20" s="20">
        <v>0</v>
      </c>
      <c r="CC20" s="20">
        <v>0</v>
      </c>
      <c r="CD20" s="20">
        <v>0</v>
      </c>
      <c r="CE20" s="20">
        <v>0</v>
      </c>
      <c r="CF20" s="20">
        <v>0</v>
      </c>
      <c r="CG20" s="20">
        <v>0</v>
      </c>
      <c r="CH20" s="20">
        <v>0</v>
      </c>
      <c r="CI20" s="20">
        <v>0</v>
      </c>
      <c r="CJ20" s="20"/>
      <c r="CK20" s="20"/>
      <c r="CL20" s="20"/>
      <c r="CM20" s="20"/>
    </row>
    <row r="21" spans="1:91" x14ac:dyDescent="0.25">
      <c r="L21" s="6" t="s">
        <v>396</v>
      </c>
      <c r="M21" s="14">
        <f>INDEX(cennik!$C$2:$L$529,MATCH($L21,cennik!$B$2:$B$522,0),MATCH(M$2,cennik!$C$1:$L$1,0))</f>
        <v>890404</v>
      </c>
      <c r="N21" s="14" t="str">
        <f>INDEX(cennik!$C$2:$L$529,MATCH($L21,cennik!$B$2:$B$522,0),MATCH(N$2,cennik!$C$1:$L$1,0))</f>
        <v>szt.</v>
      </c>
      <c r="O21" s="14">
        <f>SUM(C2:C17)*4</f>
        <v>0</v>
      </c>
      <c r="P21" s="22">
        <f>INDEX(cennik!$C$2:$L$529,MATCH($L21,cennik!$B$2:$B$522,0),MATCH(P$2,cennik!$C$1:$L$1,0))</f>
        <v>0.7</v>
      </c>
      <c r="Q21" s="22">
        <f>O21*P21</f>
        <v>0</v>
      </c>
      <c r="R21" s="23">
        <f>$E$6</f>
        <v>0</v>
      </c>
      <c r="S21" s="22">
        <f t="shared" ref="S21" si="4">P21*((100-$E$6)/100)</f>
        <v>0.7</v>
      </c>
      <c r="T21" s="22">
        <f>O21*S21</f>
        <v>0</v>
      </c>
      <c r="U21" s="22">
        <f>INDEX(cennik!$C$2:$L$529,MATCH($L21,cennik!$B$2:$B$522,0),MATCH(U$2,cennik!$C$1:$L$1,0))*O21</f>
        <v>0</v>
      </c>
      <c r="AE21" s="20"/>
      <c r="AL21" s="20" t="s">
        <v>480</v>
      </c>
      <c r="AN21" s="20" t="s">
        <v>293</v>
      </c>
      <c r="AO21" s="20">
        <v>0</v>
      </c>
      <c r="AP21" s="20">
        <v>0</v>
      </c>
      <c r="AQ21" s="20">
        <v>2</v>
      </c>
      <c r="AR21" s="20">
        <v>0</v>
      </c>
      <c r="AS21" s="20">
        <v>0</v>
      </c>
      <c r="AT21" s="20">
        <v>0</v>
      </c>
      <c r="AU21" s="20">
        <v>0</v>
      </c>
      <c r="AV21" s="20">
        <v>0</v>
      </c>
      <c r="AW21" s="20">
        <v>0</v>
      </c>
      <c r="AX21" s="20">
        <v>0</v>
      </c>
      <c r="AY21" s="20">
        <v>0</v>
      </c>
      <c r="AZ21" s="20"/>
      <c r="BA21" s="20"/>
      <c r="BB21" s="54">
        <v>42</v>
      </c>
      <c r="BC21" s="20"/>
      <c r="BD21" s="20"/>
      <c r="BE21" s="20"/>
      <c r="BF21" s="20"/>
      <c r="BG21" s="20"/>
      <c r="BH21" s="20" t="s">
        <v>293</v>
      </c>
      <c r="BI21" s="20">
        <v>0</v>
      </c>
      <c r="BJ21" s="20">
        <v>0</v>
      </c>
      <c r="BK21" s="20">
        <v>0</v>
      </c>
      <c r="BL21" s="20">
        <v>0</v>
      </c>
      <c r="BM21" s="20">
        <v>0</v>
      </c>
      <c r="BN21" s="20">
        <v>0</v>
      </c>
      <c r="BO21" s="20">
        <v>0</v>
      </c>
      <c r="BP21" s="20">
        <v>0</v>
      </c>
      <c r="BQ21" s="20">
        <v>0</v>
      </c>
      <c r="BR21" s="20">
        <v>0</v>
      </c>
      <c r="BS21" s="20">
        <v>0</v>
      </c>
      <c r="BT21" s="20"/>
      <c r="BU21" s="20"/>
      <c r="BV21" s="20"/>
      <c r="BW21" s="20"/>
      <c r="BX21" s="20" t="s">
        <v>293</v>
      </c>
      <c r="BY21" s="20">
        <v>0</v>
      </c>
      <c r="BZ21" s="20">
        <v>2</v>
      </c>
      <c r="CA21" s="20">
        <v>0</v>
      </c>
      <c r="CB21" s="20">
        <v>0</v>
      </c>
      <c r="CC21" s="20">
        <v>0</v>
      </c>
      <c r="CD21" s="20">
        <v>0</v>
      </c>
      <c r="CE21" s="20">
        <v>0</v>
      </c>
      <c r="CF21" s="20">
        <v>2</v>
      </c>
      <c r="CG21" s="20">
        <v>0</v>
      </c>
      <c r="CH21" s="20">
        <v>0</v>
      </c>
      <c r="CI21" s="20">
        <v>0</v>
      </c>
      <c r="CJ21" s="20"/>
      <c r="CK21" s="20"/>
      <c r="CL21" s="20"/>
      <c r="CM21" s="20"/>
    </row>
    <row r="22" spans="1:91" x14ac:dyDescent="0.25">
      <c r="T22" s="22">
        <f>SUM(T3:T21)</f>
        <v>41.900000000000006</v>
      </c>
      <c r="U22" s="22">
        <f>SUM(U3:U21)</f>
        <v>0.6</v>
      </c>
      <c r="AE22" s="20"/>
      <c r="AL22" s="20" t="s">
        <v>111</v>
      </c>
      <c r="AN22" s="20" t="s">
        <v>10</v>
      </c>
      <c r="AO22" s="20">
        <v>0</v>
      </c>
      <c r="AP22" s="20">
        <v>0</v>
      </c>
      <c r="AQ22" s="20">
        <v>0</v>
      </c>
      <c r="AR22" s="20">
        <v>0</v>
      </c>
      <c r="AS22" s="20">
        <v>0</v>
      </c>
      <c r="AT22" s="20">
        <v>0</v>
      </c>
      <c r="AU22" s="20">
        <v>2</v>
      </c>
      <c r="AV22" s="20">
        <v>2</v>
      </c>
      <c r="AW22" s="20">
        <v>0</v>
      </c>
      <c r="AX22" s="20">
        <v>4</v>
      </c>
      <c r="AY22" s="20">
        <v>0</v>
      </c>
      <c r="AZ22" s="20"/>
      <c r="BA22" s="20"/>
      <c r="BB22" s="54">
        <v>45</v>
      </c>
      <c r="BC22" s="20"/>
      <c r="BD22" s="20"/>
      <c r="BE22" s="20"/>
      <c r="BF22" s="20"/>
      <c r="BG22" s="20"/>
      <c r="BH22" s="20" t="s">
        <v>10</v>
      </c>
      <c r="BI22" s="20">
        <v>0</v>
      </c>
      <c r="BJ22" s="20">
        <v>0</v>
      </c>
      <c r="BK22" s="20">
        <v>0</v>
      </c>
      <c r="BL22" s="20">
        <v>0</v>
      </c>
      <c r="BM22" s="20">
        <v>0</v>
      </c>
      <c r="BN22" s="20">
        <v>0</v>
      </c>
      <c r="BO22" s="20">
        <v>0</v>
      </c>
      <c r="BP22" s="20">
        <v>0</v>
      </c>
      <c r="BQ22" s="20">
        <v>0</v>
      </c>
      <c r="BR22" s="20">
        <v>4</v>
      </c>
      <c r="BS22" s="20">
        <v>0</v>
      </c>
      <c r="BT22" s="20"/>
      <c r="BU22" s="20"/>
      <c r="BV22" s="20"/>
      <c r="BW22" s="20"/>
      <c r="BX22" s="20" t="s">
        <v>10</v>
      </c>
      <c r="BY22" s="20">
        <v>0</v>
      </c>
      <c r="BZ22" s="20">
        <v>0</v>
      </c>
      <c r="CA22" s="20">
        <v>0</v>
      </c>
      <c r="CB22" s="20">
        <v>2</v>
      </c>
      <c r="CC22" s="20">
        <v>0</v>
      </c>
      <c r="CD22" s="20">
        <v>0</v>
      </c>
      <c r="CE22" s="20">
        <v>4</v>
      </c>
      <c r="CF22" s="20">
        <v>6</v>
      </c>
      <c r="CG22" s="20">
        <v>4</v>
      </c>
      <c r="CH22" s="20">
        <v>8</v>
      </c>
      <c r="CI22" s="20">
        <v>0</v>
      </c>
      <c r="CJ22" s="20"/>
      <c r="CK22" s="20"/>
      <c r="CL22" s="20"/>
      <c r="CM22" s="20"/>
    </row>
    <row r="23" spans="1:91" ht="51.75" x14ac:dyDescent="0.25">
      <c r="A23" s="3" t="s">
        <v>120</v>
      </c>
      <c r="B23" s="6"/>
      <c r="C23" s="3" t="s">
        <v>121</v>
      </c>
      <c r="D23" s="4"/>
      <c r="E23" s="4"/>
      <c r="F23" s="4"/>
      <c r="G23" s="4"/>
      <c r="H23" s="4"/>
      <c r="I23" s="4"/>
      <c r="J23" s="4"/>
      <c r="K23" s="4"/>
      <c r="L23" s="360" t="s">
        <v>566</v>
      </c>
      <c r="M23" s="360"/>
      <c r="N23" s="360"/>
      <c r="O23" s="360"/>
      <c r="P23" s="360"/>
      <c r="Q23" s="360"/>
      <c r="R23" s="360"/>
      <c r="S23" s="360"/>
      <c r="T23" s="360"/>
      <c r="U23" s="360"/>
      <c r="AL23" s="20" t="s">
        <v>112</v>
      </c>
      <c r="AN23" s="20" t="s">
        <v>212</v>
      </c>
      <c r="AO23" s="20">
        <v>0</v>
      </c>
      <c r="AP23" s="20">
        <v>0</v>
      </c>
      <c r="AQ23" s="20">
        <v>0</v>
      </c>
      <c r="AR23" s="20">
        <v>2</v>
      </c>
      <c r="AS23" s="20">
        <v>2</v>
      </c>
      <c r="AT23" s="20">
        <v>2</v>
      </c>
      <c r="AU23" s="20">
        <v>2</v>
      </c>
      <c r="AV23" s="20">
        <v>0</v>
      </c>
      <c r="AW23" s="20">
        <v>4</v>
      </c>
      <c r="AX23" s="20">
        <v>0</v>
      </c>
      <c r="AY23" s="20">
        <v>2</v>
      </c>
      <c r="AZ23" s="20"/>
      <c r="BA23" s="20"/>
      <c r="BB23" s="54">
        <v>50</v>
      </c>
      <c r="BC23" s="20"/>
      <c r="BD23" s="20"/>
      <c r="BE23" s="20"/>
      <c r="BF23" s="20"/>
      <c r="BG23" s="20"/>
      <c r="BH23" s="20" t="s">
        <v>212</v>
      </c>
      <c r="BI23" s="20">
        <v>0</v>
      </c>
      <c r="BJ23" s="20">
        <v>0</v>
      </c>
      <c r="BK23" s="20">
        <v>0</v>
      </c>
      <c r="BL23" s="20">
        <v>0</v>
      </c>
      <c r="BM23" s="20">
        <v>0</v>
      </c>
      <c r="BN23" s="20">
        <v>2</v>
      </c>
      <c r="BO23" s="20">
        <v>0</v>
      </c>
      <c r="BP23" s="20">
        <v>0</v>
      </c>
      <c r="BQ23" s="20">
        <v>0</v>
      </c>
      <c r="BR23" s="20">
        <v>6</v>
      </c>
      <c r="BS23" s="20">
        <v>2</v>
      </c>
      <c r="BT23" s="20"/>
      <c r="BU23" s="20"/>
      <c r="BV23" s="20"/>
      <c r="BW23" s="20"/>
      <c r="BX23" s="20" t="s">
        <v>212</v>
      </c>
      <c r="BY23" s="20">
        <v>0</v>
      </c>
      <c r="BZ23" s="20">
        <v>0</v>
      </c>
      <c r="CA23" s="20">
        <v>2</v>
      </c>
      <c r="CB23" s="20">
        <v>2</v>
      </c>
      <c r="CC23" s="20">
        <v>0</v>
      </c>
      <c r="CD23" s="20">
        <v>4</v>
      </c>
      <c r="CE23" s="20">
        <v>4</v>
      </c>
      <c r="CF23" s="20">
        <v>0</v>
      </c>
      <c r="CG23" s="20">
        <v>0</v>
      </c>
      <c r="CH23" s="20">
        <v>2</v>
      </c>
      <c r="CI23" s="20">
        <v>8</v>
      </c>
      <c r="CJ23" s="20"/>
      <c r="CK23" s="20"/>
      <c r="CL23" s="20"/>
      <c r="CM23" s="20"/>
    </row>
    <row r="24" spans="1:91" x14ac:dyDescent="0.25">
      <c r="A24" s="8"/>
      <c r="B24" s="6" t="s">
        <v>116</v>
      </c>
      <c r="C24" s="8"/>
      <c r="D24" s="4"/>
      <c r="E24" s="4"/>
      <c r="F24" s="4"/>
      <c r="G24" s="4"/>
      <c r="H24" s="4"/>
      <c r="I24" s="4"/>
      <c r="J24" s="4"/>
      <c r="K24" s="4"/>
      <c r="L24" s="5" t="s">
        <v>103</v>
      </c>
      <c r="M24" s="5" t="s">
        <v>104</v>
      </c>
      <c r="N24" s="5" t="s">
        <v>107</v>
      </c>
      <c r="O24" s="5" t="s">
        <v>290</v>
      </c>
      <c r="P24" s="5" t="s">
        <v>446</v>
      </c>
      <c r="Q24" s="5" t="s">
        <v>448</v>
      </c>
      <c r="R24" s="5" t="s">
        <v>409</v>
      </c>
      <c r="S24" s="5" t="s">
        <v>447</v>
      </c>
      <c r="T24" s="5" t="s">
        <v>449</v>
      </c>
      <c r="U24" s="5" t="s">
        <v>106</v>
      </c>
      <c r="W24" s="25" t="s">
        <v>11</v>
      </c>
      <c r="X24" s="20" t="s">
        <v>210</v>
      </c>
      <c r="Y24" s="20" t="s">
        <v>9</v>
      </c>
      <c r="Z24" s="25" t="s">
        <v>208</v>
      </c>
      <c r="AA24" s="25" t="s">
        <v>211</v>
      </c>
      <c r="AB24" s="25" t="s">
        <v>293</v>
      </c>
      <c r="AC24" s="25" t="s">
        <v>10</v>
      </c>
      <c r="AD24" s="25" t="s">
        <v>212</v>
      </c>
      <c r="AE24" s="25" t="s">
        <v>214</v>
      </c>
      <c r="AF24" s="27"/>
      <c r="AG24" s="27"/>
      <c r="AL24" s="20" t="s">
        <v>132</v>
      </c>
      <c r="AN24" s="20" t="s">
        <v>214</v>
      </c>
      <c r="AO24" s="20">
        <v>0</v>
      </c>
      <c r="AP24" s="20">
        <v>0</v>
      </c>
      <c r="AQ24" s="20">
        <v>0</v>
      </c>
      <c r="AR24" s="20">
        <v>0</v>
      </c>
      <c r="AS24" s="20">
        <v>0</v>
      </c>
      <c r="AT24" s="20">
        <v>0</v>
      </c>
      <c r="AU24" s="20">
        <v>0</v>
      </c>
      <c r="AV24" s="20">
        <v>2</v>
      </c>
      <c r="AW24" s="20">
        <v>0</v>
      </c>
      <c r="AX24" s="20">
        <v>2</v>
      </c>
      <c r="AY24" s="20">
        <v>4</v>
      </c>
      <c r="AZ24" s="20"/>
      <c r="BA24" s="20"/>
      <c r="BC24" s="20"/>
      <c r="BD24" s="20"/>
      <c r="BE24" s="20"/>
      <c r="BF24" s="20"/>
      <c r="BG24" s="20"/>
      <c r="BH24" s="20" t="s">
        <v>214</v>
      </c>
      <c r="BI24" s="20">
        <v>0</v>
      </c>
      <c r="BJ24" s="20">
        <v>0</v>
      </c>
      <c r="BK24" s="20">
        <v>2</v>
      </c>
      <c r="BL24" s="20">
        <v>2</v>
      </c>
      <c r="BM24" s="20">
        <v>4</v>
      </c>
      <c r="BN24" s="20">
        <v>2</v>
      </c>
      <c r="BO24" s="20">
        <v>6</v>
      </c>
      <c r="BP24" s="20">
        <v>6</v>
      </c>
      <c r="BQ24" s="20">
        <v>8</v>
      </c>
      <c r="BR24" s="20">
        <v>0</v>
      </c>
      <c r="BS24" s="20">
        <v>8</v>
      </c>
      <c r="BT24" s="20"/>
      <c r="BU24" s="20"/>
      <c r="BV24" s="20"/>
      <c r="BW24" s="20"/>
      <c r="BX24" s="20" t="s">
        <v>214</v>
      </c>
      <c r="BY24" s="20">
        <v>0</v>
      </c>
      <c r="BZ24" s="20">
        <v>0</v>
      </c>
      <c r="CA24" s="20">
        <v>0</v>
      </c>
      <c r="CB24" s="20">
        <v>0</v>
      </c>
      <c r="CC24" s="20">
        <v>4</v>
      </c>
      <c r="CD24" s="20">
        <v>2</v>
      </c>
      <c r="CE24" s="20">
        <v>0</v>
      </c>
      <c r="CF24" s="20">
        <v>2</v>
      </c>
      <c r="CG24" s="20">
        <v>6</v>
      </c>
      <c r="CH24" s="20">
        <v>2</v>
      </c>
      <c r="CI24" s="20">
        <v>4</v>
      </c>
      <c r="CJ24" s="20"/>
      <c r="CK24" s="20"/>
      <c r="CL24" s="20"/>
      <c r="CM24" s="20"/>
    </row>
    <row r="25" spans="1:91" x14ac:dyDescent="0.25">
      <c r="A25" s="8"/>
      <c r="B25" s="6" t="s">
        <v>116</v>
      </c>
      <c r="C25" s="8"/>
      <c r="D25" s="6" t="s">
        <v>118</v>
      </c>
      <c r="E25" s="8" t="s">
        <v>111</v>
      </c>
      <c r="F25" s="5" t="s">
        <v>116</v>
      </c>
      <c r="G25" s="8" t="s">
        <v>114</v>
      </c>
      <c r="H25" s="5" t="s">
        <v>116</v>
      </c>
      <c r="I25" s="8">
        <v>35</v>
      </c>
      <c r="J25" s="5" t="s">
        <v>119</v>
      </c>
      <c r="K25" s="4"/>
      <c r="L25" s="6" t="s">
        <v>210</v>
      </c>
      <c r="M25" s="14">
        <f>INDEX(cennik!$C$2:$L$529,MATCH($L25,cennik!$B$2:$B$522,0),MATCH(M$2,cennik!$C$1:$L$1,0))</f>
        <v>6441105</v>
      </c>
      <c r="N25" s="14" t="str">
        <f>INDEX(cennik!$C$2:$L$529,MATCH($L25,cennik!$B$2:$B$522,0),MATCH(N$2,cennik!$C$1:$L$1,0))</f>
        <v>szt.</v>
      </c>
      <c r="O25" s="14">
        <f>SUM(X25:X40)</f>
        <v>0</v>
      </c>
      <c r="P25" s="22">
        <f>INDEX(cennik!$C$2:$L$529,MATCH($L25,cennik!$B$2:$B$522,0),MATCH(P$2,cennik!$C$1:$L$1,0))</f>
        <v>24.55</v>
      </c>
      <c r="Q25" s="22">
        <f>O25*P25</f>
        <v>0</v>
      </c>
      <c r="R25" s="23">
        <f>$E$27</f>
        <v>0</v>
      </c>
      <c r="S25" s="22">
        <f>P25*((100-$E$27)/100)</f>
        <v>24.55</v>
      </c>
      <c r="T25" s="22">
        <f>O25*S25</f>
        <v>0</v>
      </c>
      <c r="U25" s="22">
        <f>INDEX(cennik!$C$2:$L$529,MATCH($L25,cennik!$B$2:$B$522,0),MATCH(U$2,cennik!$C$1:$L$1,0))*O25</f>
        <v>0</v>
      </c>
      <c r="W25" s="20">
        <f>(INDEX(($AO$5:$AY$13,$AO$17:$AY$25,$AO$30:$AY$38,$AO$42:$AY$50,$AO$54:$AY$62,$AO$66:$AY$74,$BI$5:$BS$13,$BI$17:$BS$25,$BI$29:$BS$37,$BI$41:$BS$49,$BI$53:$BS$61,$BI$65:$BS$73,$BY$5:$CI$13,$BY$17:$CI$25),MATCH($L$33,$AN$5:$AN$13,0),MATCH(A24,$AO$4:$AY$4,0),MATCH($G$25,$AL$18:$AL$31,0)))*C24</f>
        <v>0</v>
      </c>
      <c r="X25" s="20">
        <f>(INDEX(($AO$5:$AY$13,$AO$17:$AY$25,$AO$30:$AY$38,$AO$42:$AY$50,$AO$54:$AY$62,$AO$66:$AY$74,$BI$5:$BS$13,$BI$17:$BS$25,$BI$29:$BS$37,$BI$41:$BS$49,$BI$53:$BS$61,$BI$65:$BS$73,$BY$5:$CI$13,$BY$17:$CI$25),MATCH($L$25,$AN$5:$AN$13,0),MATCH(A24,$AO$4:$AY$4,0),MATCH($G$25,$AL$18:$AL$31,0)))*C24</f>
        <v>0</v>
      </c>
      <c r="Y25" s="20">
        <f>(INDEX(($AO$5:$AY$13,$AO$17:$AY$25,$AO$30:$AY$38,$AO$42:$AY$50,$AO$54:$AY$62,$AO$66:$AY$74,$BI$5:$BS$13,$BI$17:$BS$25,$BI$29:$BS$37,$BI$41:$BS$49,$BI$53:$BS$61,$BI$65:$BS$73,$BY$5:$CI$13,$BY$17:$CI$25),MATCH($L$26,$AN$5:$AN$13,0),MATCH(A24,$AO$4:$AY$4,0),MATCH($G$25,$AL$18:$AL$31,0)))*C24</f>
        <v>0</v>
      </c>
      <c r="Z25" s="20">
        <f>(INDEX(($AO$5:$AY$13,$AO$17:$AY$25,$AO$30:$AY$38,$AO$42:$AY$50,$AO$54:$AY$62,$AO$66:$AY$74,$BI$5:$BS$13,$BI$17:$BS$25,$BI$29:$BS$37,$BI$41:$BS$49,$BI$53:$BS$61,$BI$65:$BS$73,$BY$5:$CI$13,$BY$17:$CI$25),MATCH($L$27,$AN$5:$AN$13,0),MATCH(A24,$AO$4:$AY$4,0),MATCH($G$25,$AL$18:$AL$31,0)))*C24</f>
        <v>0</v>
      </c>
      <c r="AA25" s="20">
        <f>(INDEX(($AO$5:$AY$13,$AO$17:$AY$25,$AO$30:$AY$38,$AO$42:$AY$50,$AO$54:$AY$62,$AO$66:$AY$74,$BI$5:$BS$13,$BI$17:$BS$25,$BI$29:$BS$37,$BI$41:$BS$49,$BI$53:$BS$61,$BI$65:$BS$73,$BY$5:$CI$13,$BY$17:$CI$25),MATCH($L$28,$AN$5:$AN$13,0),MATCH(A24,$AO$4:$AY$4,0),MATCH($G$25,$AL$18:$AL$31,0)))*C24</f>
        <v>0</v>
      </c>
      <c r="AB25" s="20">
        <f>(INDEX(($AO$5:$AY$13,$AO$17:$AY$25,$AO$30:$AY$38,$AO$42:$AY$50,$AO$54:$AY$62,$AO$66:$AY$74,$BI$5:$BS$13,$BI$17:$BS$25,$BI$29:$BS$37,$BI$41:$BS$49,$BI$53:$BS$61,$BI$65:$BS$73,$BY$5:$CI$13,$BY$17:$CI$25),MATCH($L$29,$AN$5:$AN$13,0),MATCH(A24,$AO$4:$AY$4,0),MATCH($G$25,$AL$18:$AL$31,0)))*C24</f>
        <v>0</v>
      </c>
      <c r="AC25" s="20">
        <f>(INDEX(($AO$5:$AY$13,$AO$17:$AY$25,$AO$30:$AY$38,$AO$42:$AY$50,$AO$54:$AY$62,$AO$66:$AY$74,$BI$5:$BS$13,$BI$17:$BS$25,$BI$29:$BS$37,$BI$41:$BS$49,$BI$53:$BS$61,$BI$65:$BS$73,$BY$5:$CI$13,$BY$17:$CI$25),MATCH($L$30,$AN$5:$AN$13,0),MATCH(A24,$AO$4:$AY$4,0),MATCH($G$25,$AL$18:$AL$31,0)))*C24</f>
        <v>0</v>
      </c>
      <c r="AD25" s="20">
        <f>(INDEX(($AO$5:$AY$13,$AO$17:$AY$25,$AO$30:$AY$38,$AO$42:$AY$50,$AO$54:$AY$62,$AO$66:$AY$74,$BI$5:$BS$13,$BI$17:$BS$25,$BI$29:$BS$37,$BI$41:$BS$49,$BI$53:$BS$61,$BI$65:$BS$73,$BY$5:$CI$13,$BY$17:$CI$25),MATCH($L$31,$AN$5:$AN$13,0),MATCH(A24,$AO$4:$AY$4,0),MATCH($G$25,$AL$18:$AL$31,0)))*C24</f>
        <v>0</v>
      </c>
      <c r="AE25" s="20">
        <f>(INDEX(($AO$5:$AY$13,$AO$17:$AY$25,$AO$30:$AY$38,$AO$42:$AY$50,$AO$54:$AY$62,$AO$66:$AY$74,$BI$5:$BS$13,$BI$17:$BS$25,$BI$29:$BS$37,$BI$41:$BS$49,$BI$53:$BS$61,$BI$65:$BS$73,$BY$5:$CI$13,$BY$17:$CI$25),MATCH($L$32,$AN$5:$AN$13,0),MATCH(A24,$AO$4:$AY$4,0),MATCH($G$25,$AL$18:$AL$31,0)))*C24</f>
        <v>0</v>
      </c>
      <c r="AL25" s="20" t="s">
        <v>470</v>
      </c>
      <c r="AN25" s="20" t="s">
        <v>11</v>
      </c>
      <c r="AO25" s="20">
        <v>0</v>
      </c>
      <c r="AP25" s="20">
        <v>0</v>
      </c>
      <c r="AQ25" s="20">
        <v>0</v>
      </c>
      <c r="AR25" s="20">
        <v>0</v>
      </c>
      <c r="AS25" s="20">
        <v>2</v>
      </c>
      <c r="AT25" s="20">
        <v>2</v>
      </c>
      <c r="AU25" s="20">
        <v>2</v>
      </c>
      <c r="AV25" s="20">
        <v>4</v>
      </c>
      <c r="AW25" s="20">
        <v>4</v>
      </c>
      <c r="AX25" s="20">
        <v>4</v>
      </c>
      <c r="AY25" s="20">
        <v>4</v>
      </c>
      <c r="AZ25" s="20"/>
      <c r="BA25" s="20"/>
      <c r="BB25" s="87">
        <v>25</v>
      </c>
      <c r="BC25" s="20"/>
      <c r="BD25" s="20"/>
      <c r="BE25" s="20"/>
      <c r="BF25" s="20"/>
      <c r="BG25" s="20"/>
      <c r="BH25" s="20" t="s">
        <v>11</v>
      </c>
      <c r="BI25" s="20">
        <v>0</v>
      </c>
      <c r="BJ25" s="20">
        <v>0</v>
      </c>
      <c r="BK25" s="20">
        <v>0</v>
      </c>
      <c r="BL25" s="20">
        <v>2</v>
      </c>
      <c r="BM25" s="20">
        <v>2</v>
      </c>
      <c r="BN25" s="20">
        <v>4</v>
      </c>
      <c r="BO25" s="20">
        <v>4</v>
      </c>
      <c r="BP25" s="20">
        <v>6</v>
      </c>
      <c r="BQ25" s="20">
        <v>6</v>
      </c>
      <c r="BR25" s="20">
        <v>8</v>
      </c>
      <c r="BS25" s="20">
        <v>8</v>
      </c>
      <c r="BT25" s="20"/>
      <c r="BU25" s="20"/>
      <c r="BV25" s="20"/>
      <c r="BW25" s="20"/>
      <c r="BX25" s="20" t="s">
        <v>11</v>
      </c>
      <c r="BY25" s="20">
        <v>0</v>
      </c>
      <c r="BZ25" s="20">
        <v>0</v>
      </c>
      <c r="CA25" s="20">
        <v>2</v>
      </c>
      <c r="CB25" s="20">
        <v>2</v>
      </c>
      <c r="CC25" s="20">
        <v>4</v>
      </c>
      <c r="CD25" s="20">
        <v>4</v>
      </c>
      <c r="CE25" s="20">
        <v>6</v>
      </c>
      <c r="CF25" s="20">
        <v>8</v>
      </c>
      <c r="CG25" s="20">
        <v>8</v>
      </c>
      <c r="CH25" s="20">
        <v>10</v>
      </c>
      <c r="CI25" s="20">
        <v>10</v>
      </c>
      <c r="CJ25" s="20"/>
      <c r="CK25" s="20"/>
      <c r="CL25" s="20"/>
      <c r="CM25" s="20"/>
    </row>
    <row r="26" spans="1:91" x14ac:dyDescent="0.25">
      <c r="A26" s="8"/>
      <c r="B26" s="6" t="s">
        <v>116</v>
      </c>
      <c r="C26" s="8"/>
      <c r="D26" s="6" t="s">
        <v>124</v>
      </c>
      <c r="E26" s="8" t="s">
        <v>125</v>
      </c>
      <c r="F26" s="5"/>
      <c r="G26" s="5"/>
      <c r="H26" s="5"/>
      <c r="I26" s="5"/>
      <c r="J26" s="5"/>
      <c r="K26" s="4"/>
      <c r="L26" s="6" t="s">
        <v>9</v>
      </c>
      <c r="M26" s="14">
        <f>INDEX(cennik!$C$2:$L$529,MATCH($L26,cennik!$B$2:$B$522,0),MATCH(M$2,cennik!$C$1:$L$1,0))</f>
        <v>856211</v>
      </c>
      <c r="N26" s="14" t="str">
        <f>INDEX(cennik!$C$2:$L$529,MATCH($L26,cennik!$B$2:$B$522,0),MATCH(N$2,cennik!$C$1:$L$1,0))</f>
        <v>szt.</v>
      </c>
      <c r="O26" s="14">
        <f>SUM(Y25:Y40)</f>
        <v>0</v>
      </c>
      <c r="P26" s="22">
        <f>INDEX(cennik!$C$2:$L$529,MATCH($L26,cennik!$B$2:$B$522,0),MATCH(P$2,cennik!$C$1:$L$1,0))</f>
        <v>25.2</v>
      </c>
      <c r="Q26" s="22">
        <f t="shared" ref="Q26:Q45" si="5">O26*P26</f>
        <v>0</v>
      </c>
      <c r="R26" s="23">
        <f t="shared" ref="R26:R46" si="6">$E$27</f>
        <v>0</v>
      </c>
      <c r="S26" s="22">
        <f t="shared" ref="S26:S45" si="7">P26*((100-$E$27)/100)</f>
        <v>25.2</v>
      </c>
      <c r="T26" s="22">
        <f t="shared" ref="T26:T45" si="8">O26*S26</f>
        <v>0</v>
      </c>
      <c r="U26" s="22">
        <f>INDEX(cennik!$C$2:$L$529,MATCH($L26,cennik!$B$2:$B$522,0),MATCH(U$2,cennik!$C$1:$L$1,0))*O26</f>
        <v>0</v>
      </c>
      <c r="W26" s="20">
        <f>(INDEX(($AO$5:$AY$13,$AO$17:$AY$25,$AO$30:$AY$38,$AO$42:$AY$50,$AO$54:$AY$62,$AO$66:$AY$74,$BI$5:$BS$13,$BI$17:$BS$25,$BI$29:$BS$37,$BI$41:$BS$49,$BI$53:$BS$61,$BI$65:$BS$73,$BY$5:$CI$13,$BY$17:$CI$25),MATCH($L$33,$AN$5:$AN$13,0),MATCH(A25,$AO$4:$AY$4,0),MATCH($G$25,$AL$18:$AL$31,0)))*C25</f>
        <v>0</v>
      </c>
      <c r="X26" s="20">
        <f>(INDEX(($AO$5:$AY$13,$AO$17:$AY$25,$AO$30:$AY$38,$AO$42:$AY$50,$AO$54:$AY$62,$AO$66:$AY$74,$BI$5:$BS$13,$BI$17:$BS$25,$BI$29:$BS$37,$BI$41:$BS$49,$BI$53:$BS$61,$BI$65:$BS$73,$BY$5:$CI$13,$BY$17:$CI$25),MATCH($L$25,$AN$5:$AN$13,0),MATCH(A25,$AO$4:$AY$4,0),MATCH($G$25,$AL$18:$AL$31,0)))*C25</f>
        <v>0</v>
      </c>
      <c r="Y26" s="20">
        <f>(INDEX(($AO$5:$AY$13,$AO$17:$AY$25,$AO$30:$AY$38,$AO$42:$AY$50,$AO$54:$AY$62,$AO$66:$AY$74,$BI$5:$BS$13,$BI$17:$BS$25,$BI$29:$BS$37,$BI$41:$BS$49,$BI$53:$BS$61,$BI$65:$BS$73,$BY$5:$CI$13,$BY$17:$CI$25),MATCH($L$26,$AN$5:$AN$13,0),MATCH(A25,$AO$4:$AY$4,0),MATCH($G$25,$AL$18:$AL$31,0)))*C25</f>
        <v>0</v>
      </c>
      <c r="Z26" s="20">
        <f>(INDEX(($AO$5:$AY$13,$AO$17:$AY$25,$AO$30:$AY$38,$AO$42:$AY$50,$AO$54:$AY$62,$AO$66:$AY$74,$BI$5:$BS$13,$BI$17:$BS$25,$BI$29:$BS$37,$BI$41:$BS$49,$BI$53:$BS$61,$BI$65:$BS$73,$BY$5:$CI$13,$BY$17:$CI$25),MATCH($L$27,$AN$5:$AN$13,0),MATCH(A25,$AO$4:$AY$4,0),MATCH($G$25,$AL$18:$AL$31,0)))*C25</f>
        <v>0</v>
      </c>
      <c r="AA26" s="20">
        <f>(INDEX(($AO$5:$AY$13,$AO$17:$AY$25,$AO$30:$AY$38,$AO$42:$AY$50,$AO$54:$AY$62,$AO$66:$AY$74,$BI$5:$BS$13,$BI$17:$BS$25,$BI$29:$BS$37,$BI$41:$BS$49,$BI$53:$BS$61,$BI$65:$BS$73,$BY$5:$CI$13,$BY$17:$CI$25),MATCH($L$28,$AN$5:$AN$13,0),MATCH(A25,$AO$4:$AY$4,0),MATCH($G$25,$AL$18:$AL$31,0)))*C25</f>
        <v>0</v>
      </c>
      <c r="AB26" s="20">
        <f>(INDEX(($AO$5:$AY$13,$AO$17:$AY$25,$AO$30:$AY$38,$AO$42:$AY$50,$AO$54:$AY$62,$AO$66:$AY$74,$BI$5:$BS$13,$BI$17:$BS$25,$BI$29:$BS$37,$BI$41:$BS$49,$BI$53:$BS$61,$BI$65:$BS$73,$BY$5:$CI$13,$BY$17:$CI$25),MATCH($L$29,$AN$5:$AN$13,0),MATCH(A25,$AO$4:$AY$4,0),MATCH($G$25,$AL$18:$AL$31,0)))*C25</f>
        <v>0</v>
      </c>
      <c r="AC26" s="20">
        <f>(INDEX(($AO$5:$AY$13,$AO$17:$AY$25,$AO$30:$AY$38,$AO$42:$AY$50,$AO$54:$AY$62,$AO$66:$AY$74,$BI$5:$BS$13,$BI$17:$BS$25,$BI$29:$BS$37,$BI$41:$BS$49,$BI$53:$BS$61,$BI$65:$BS$73,$BY$5:$CI$13,$BY$17:$CI$25),MATCH($L$30,$AN$5:$AN$13,0),MATCH(A25,$AO$4:$AY$4,0),MATCH($G$25,$AL$18:$AL$31,0)))*C25</f>
        <v>0</v>
      </c>
      <c r="AD26" s="20">
        <f>(INDEX(($AO$5:$AY$13,$AO$17:$AY$25,$AO$30:$AY$38,$AO$42:$AY$50,$AO$54:$AY$62,$AO$66:$AY$74,$BI$5:$BS$13,$BI$17:$BS$25,$BI$29:$BS$37,$BI$41:$BS$49,$BI$53:$BS$61,$BI$65:$BS$73,$BY$5:$CI$13,$BY$17:$CI$25),MATCH($L$31,$AN$5:$AN$13,0),MATCH(A25,$AO$4:$AY$4,0),MATCH($G$25,$AL$18:$AL$31,0)))*C25</f>
        <v>0</v>
      </c>
      <c r="AE26" s="20">
        <f>(INDEX(($AO$5:$AY$13,$AO$17:$AY$25,$AO$30:$AY$38,$AO$42:$AY$50,$AO$54:$AY$62,$AO$66:$AY$74,$BI$5:$BS$13,$BI$17:$BS$25,$BI$29:$BS$37,$BI$41:$BS$49,$BI$53:$BS$61,$BI$65:$BS$73,$BY$5:$CI$13,$BY$17:$CI$25),MATCH($L$32,$AN$5:$AN$13,0),MATCH(A25,$AO$4:$AY$4,0),MATCH($G$25,$AL$18:$AL$31,0)))*C25</f>
        <v>0</v>
      </c>
      <c r="AL26" s="20" t="s">
        <v>472</v>
      </c>
      <c r="AN26" s="20"/>
      <c r="AO26" s="20"/>
      <c r="AP26" s="20"/>
      <c r="AQ26" s="20"/>
      <c r="AR26" s="20"/>
      <c r="AS26" s="20"/>
      <c r="AT26" s="20"/>
      <c r="AU26" s="20"/>
      <c r="AV26" s="20"/>
      <c r="AW26" s="20"/>
      <c r="AX26" s="20"/>
      <c r="AY26" s="20"/>
      <c r="AZ26" s="20"/>
      <c r="BA26" s="20"/>
      <c r="BB26" s="87">
        <v>30</v>
      </c>
      <c r="BC26" s="20"/>
      <c r="BD26" s="20"/>
      <c r="BE26" s="20"/>
      <c r="BF26" s="20"/>
      <c r="BG26" s="20"/>
      <c r="BT26" s="20"/>
      <c r="BU26" s="20"/>
      <c r="BV26" s="20"/>
      <c r="BW26" s="20"/>
      <c r="BX26" s="20"/>
      <c r="BY26" s="20"/>
      <c r="BZ26" s="20"/>
      <c r="CA26" s="20"/>
      <c r="CB26" s="20"/>
      <c r="CC26" s="20"/>
      <c r="CD26" s="20"/>
      <c r="CE26" s="20"/>
      <c r="CF26" s="20"/>
      <c r="CG26" s="20"/>
      <c r="CH26" s="20"/>
      <c r="CI26" s="20"/>
      <c r="CJ26" s="20"/>
      <c r="CK26" s="20"/>
      <c r="CL26" s="20"/>
      <c r="CM26" s="20"/>
    </row>
    <row r="27" spans="1:91" x14ac:dyDescent="0.25">
      <c r="A27" s="8"/>
      <c r="B27" s="6" t="s">
        <v>116</v>
      </c>
      <c r="C27" s="8"/>
      <c r="D27" s="6" t="s">
        <v>162</v>
      </c>
      <c r="E27" s="8">
        <v>0</v>
      </c>
      <c r="F27" s="5"/>
      <c r="G27" s="5"/>
      <c r="H27" s="5"/>
      <c r="I27" s="5"/>
      <c r="J27" s="5" t="s">
        <v>163</v>
      </c>
      <c r="K27" s="4"/>
      <c r="L27" s="6" t="s">
        <v>208</v>
      </c>
      <c r="M27" s="14">
        <f>INDEX(cennik!$C$2:$L$529,MATCH($L27,cennik!$B$2:$B$522,0),MATCH(M$2,cennik!$C$1:$L$1,0))</f>
        <v>851117</v>
      </c>
      <c r="N27" s="14" t="str">
        <f>INDEX(cennik!$C$2:$L$529,MATCH($L27,cennik!$B$2:$B$522,0),MATCH(N$2,cennik!$C$1:$L$1,0))</f>
        <v>szt.</v>
      </c>
      <c r="O27" s="14">
        <f>SUM(Z25:Z40)</f>
        <v>0</v>
      </c>
      <c r="P27" s="22">
        <f>INDEX(cennik!$C$2:$L$529,MATCH($L27,cennik!$B$2:$B$522,0),MATCH(P$2,cennik!$C$1:$L$1,0))</f>
        <v>35.700000000000003</v>
      </c>
      <c r="Q27" s="22">
        <f t="shared" si="5"/>
        <v>0</v>
      </c>
      <c r="R27" s="23">
        <f t="shared" si="6"/>
        <v>0</v>
      </c>
      <c r="S27" s="22">
        <f t="shared" si="7"/>
        <v>35.700000000000003</v>
      </c>
      <c r="T27" s="22">
        <f t="shared" si="8"/>
        <v>0</v>
      </c>
      <c r="U27" s="22">
        <f>INDEX(cennik!$C$2:$L$529,MATCH($L27,cennik!$B$2:$B$522,0),MATCH(U$2,cennik!$C$1:$L$1,0))*O27</f>
        <v>0</v>
      </c>
      <c r="W27" s="20">
        <f>(INDEX(($AO$5:$AY$13,$AO$17:$AY$25,$AO$30:$AY$38,$AO$42:$AY$50,$AO$54:$AY$62,$AO$66:$AY$74,$BI$5:$BS$13,$BI$17:$BS$25,$BI$29:$BS$37,$BI$41:$BS$49,$BI$53:$BS$61,$BI$65:$BS$73,$BY$5:$CI$13,$BY$17:$CI$25),MATCH($L$33,$AN$5:$AN$13,0),MATCH(A26,$AO$4:$AY$4,0),MATCH($G$25,$AL$18:$AL$31,0)))*C26</f>
        <v>0</v>
      </c>
      <c r="X27" s="20">
        <f>(INDEX(($AO$5:$AY$13,$AO$17:$AY$25,$AO$30:$AY$38,$AO$42:$AY$50,$AO$54:$AY$62,$AO$66:$AY$74,$BI$5:$BS$13,$BI$17:$BS$25,$BI$29:$BS$37,$BI$41:$BS$49,$BI$53:$BS$61,$BI$65:$BS$73,$BY$5:$CI$13,$BY$17:$CI$25),MATCH($L$25,$AN$5:$AN$13,0),MATCH(A26,$AO$4:$AY$4,0),MATCH($G$25,$AL$18:$AL$31,0)))*C26</f>
        <v>0</v>
      </c>
      <c r="Y27" s="20">
        <f>(INDEX(($AO$5:$AY$13,$AO$17:$AY$25,$AO$30:$AY$38,$AO$42:$AY$50,$AO$54:$AY$62,$AO$66:$AY$74,$BI$5:$BS$13,$BI$17:$BS$25,$BI$29:$BS$37,$BI$41:$BS$49,$BI$53:$BS$61,$BI$65:$BS$73,$BY$5:$CI$13,$BY$17:$CI$25),MATCH($L$26,$AN$5:$AN$13,0),MATCH(A26,$AO$4:$AY$4,0),MATCH($G$25,$AL$18:$AL$31,0)))*C26</f>
        <v>0</v>
      </c>
      <c r="Z27" s="20">
        <f>(INDEX(($AO$5:$AY$13,$AO$17:$AY$25,$AO$30:$AY$38,$AO$42:$AY$50,$AO$54:$AY$62,$AO$66:$AY$74,$BI$5:$BS$13,$BI$17:$BS$25,$BI$29:$BS$37,$BI$41:$BS$49,$BI$53:$BS$61,$BI$65:$BS$73,$BY$5:$CI$13,$BY$17:$CI$25),MATCH($L$27,$AN$5:$AN$13,0),MATCH(A26,$AO$4:$AY$4,0),MATCH($G$25,$AL$18:$AL$31,0)))*C26</f>
        <v>0</v>
      </c>
      <c r="AA27" s="20">
        <f>(INDEX(($AO$5:$AY$13,$AO$17:$AY$25,$AO$30:$AY$38,$AO$42:$AY$50,$AO$54:$AY$62,$AO$66:$AY$74,$BI$5:$BS$13,$BI$17:$BS$25,$BI$29:$BS$37,$BI$41:$BS$49,$BI$53:$BS$61,$BI$65:$BS$73,$BY$5:$CI$13,$BY$17:$CI$25),MATCH($L$28,$AN$5:$AN$13,0),MATCH(A26,$AO$4:$AY$4,0),MATCH($G$25,$AL$18:$AL$31,0)))*C26</f>
        <v>0</v>
      </c>
      <c r="AB27" s="20">
        <f>(INDEX(($AO$5:$AY$13,$AO$17:$AY$25,$AO$30:$AY$38,$AO$42:$AY$50,$AO$54:$AY$62,$AO$66:$AY$74,$BI$5:$BS$13,$BI$17:$BS$25,$BI$29:$BS$37,$BI$41:$BS$49,$BI$53:$BS$61,$BI$65:$BS$73,$BY$5:$CI$13,$BY$17:$CI$25),MATCH($L$29,$AN$5:$AN$13,0),MATCH(A26,$AO$4:$AY$4,0),MATCH($G$25,$AL$18:$AL$31,0)))*C26</f>
        <v>0</v>
      </c>
      <c r="AC27" s="20">
        <f>(INDEX(($AO$5:$AY$13,$AO$17:$AY$25,$AO$30:$AY$38,$AO$42:$AY$50,$AO$54:$AY$62,$AO$66:$AY$74,$BI$5:$BS$13,$BI$17:$BS$25,$BI$29:$BS$37,$BI$41:$BS$49,$BI$53:$BS$61,$BI$65:$BS$73,$BY$5:$CI$13,$BY$17:$CI$25),MATCH($L$30,$AN$5:$AN$13,0),MATCH(A26,$AO$4:$AY$4,0),MATCH($G$25,$AL$18:$AL$31,0)))*C26</f>
        <v>0</v>
      </c>
      <c r="AD27" s="20">
        <f>(INDEX(($AO$5:$AY$13,$AO$17:$AY$25,$AO$30:$AY$38,$AO$42:$AY$50,$AO$54:$AY$62,$AO$66:$AY$74,$BI$5:$BS$13,$BI$17:$BS$25,$BI$29:$BS$37,$BI$41:$BS$49,$BI$53:$BS$61,$BI$65:$BS$73,$BY$5:$CI$13,$BY$17:$CI$25),MATCH($L$31,$AN$5:$AN$13,0),MATCH(A26,$AO$4:$AY$4,0),MATCH($G$25,$AL$18:$AL$31,0)))*C26</f>
        <v>0</v>
      </c>
      <c r="AE27" s="20">
        <f>(INDEX(($AO$5:$AY$13,$AO$17:$AY$25,$AO$30:$AY$38,$AO$42:$AY$50,$AO$54:$AY$62,$AO$66:$AY$74,$BI$5:$BS$13,$BI$17:$BS$25,$BI$29:$BS$37,$BI$41:$BS$49,$BI$53:$BS$61,$BI$65:$BS$73,$BY$5:$CI$13,$BY$17:$CI$25),MATCH($L$32,$AN$5:$AN$13,0),MATCH(A26,$AO$4:$AY$4,0),MATCH($G$25,$AL$18:$AL$31,0)))*C26</f>
        <v>0</v>
      </c>
      <c r="AL27" s="20" t="s">
        <v>471</v>
      </c>
      <c r="AN27" s="20"/>
      <c r="AO27" s="20"/>
      <c r="AP27" s="20"/>
      <c r="AQ27" s="20"/>
      <c r="AR27" s="20"/>
      <c r="AS27" s="20"/>
      <c r="AT27" s="20"/>
      <c r="AU27" s="20"/>
      <c r="AV27" s="20"/>
      <c r="AW27" s="20"/>
      <c r="AX27" s="20"/>
      <c r="AY27" s="20"/>
      <c r="AZ27" s="20"/>
      <c r="BA27" s="20"/>
      <c r="BB27" s="54"/>
      <c r="BC27" s="20"/>
      <c r="BD27" s="20"/>
      <c r="BE27" s="20"/>
      <c r="BF27" s="20"/>
      <c r="BG27" s="20"/>
      <c r="BH27" s="20" t="s">
        <v>472</v>
      </c>
      <c r="BI27" s="20"/>
      <c r="BJ27" s="20"/>
      <c r="BK27" s="20"/>
      <c r="BL27" s="20"/>
      <c r="BM27" s="20"/>
      <c r="BN27" s="20"/>
      <c r="BO27" s="20"/>
      <c r="BP27" s="20"/>
      <c r="BQ27" s="20"/>
      <c r="BR27" s="20"/>
      <c r="BS27" s="20"/>
      <c r="BT27" s="20"/>
      <c r="BU27" s="20"/>
      <c r="BV27" s="20"/>
      <c r="BW27" s="20"/>
      <c r="BX27" s="20"/>
      <c r="BY27" s="20"/>
      <c r="BZ27" s="20"/>
      <c r="CA27" s="20"/>
      <c r="CB27" s="20"/>
      <c r="CC27" s="20"/>
      <c r="CD27" s="20"/>
      <c r="CE27" s="20"/>
      <c r="CF27" s="20"/>
      <c r="CG27" s="20"/>
      <c r="CH27" s="20"/>
      <c r="CI27" s="20"/>
      <c r="CJ27" s="20"/>
      <c r="CK27" s="20"/>
      <c r="CL27" s="20"/>
      <c r="CM27" s="20"/>
    </row>
    <row r="28" spans="1:91" x14ac:dyDescent="0.25">
      <c r="A28" s="8"/>
      <c r="B28" s="6" t="s">
        <v>116</v>
      </c>
      <c r="C28" s="8"/>
      <c r="D28" s="6" t="s">
        <v>567</v>
      </c>
      <c r="E28" s="8">
        <v>30</v>
      </c>
      <c r="F28" s="5"/>
      <c r="G28" s="5"/>
      <c r="H28" s="5"/>
      <c r="I28" s="5"/>
      <c r="J28" s="5"/>
      <c r="K28" s="4"/>
      <c r="L28" s="6" t="s">
        <v>211</v>
      </c>
      <c r="M28" s="14">
        <f>INDEX(cennik!$C$2:$L$529,MATCH($L28,cennik!$B$2:$B$522,0),MATCH(M$2,cennik!$C$1:$L$1,0))</f>
        <v>6441205</v>
      </c>
      <c r="N28" s="14" t="str">
        <f>INDEX(cennik!$C$2:$L$529,MATCH($L28,cennik!$B$2:$B$522,0),MATCH(N$2,cennik!$C$1:$L$1,0))</f>
        <v>szt.</v>
      </c>
      <c r="O28" s="14">
        <f>SUM(AA25:AA40)</f>
        <v>0</v>
      </c>
      <c r="P28" s="22">
        <f>INDEX(cennik!$C$2:$L$529,MATCH($L28,cennik!$B$2:$B$522,0),MATCH(P$2,cennik!$C$1:$L$1,0))</f>
        <v>46.35</v>
      </c>
      <c r="Q28" s="22">
        <f t="shared" si="5"/>
        <v>0</v>
      </c>
      <c r="R28" s="23">
        <f t="shared" si="6"/>
        <v>0</v>
      </c>
      <c r="S28" s="22">
        <f t="shared" si="7"/>
        <v>46.35</v>
      </c>
      <c r="T28" s="22">
        <f t="shared" si="8"/>
        <v>0</v>
      </c>
      <c r="U28" s="22">
        <f>INDEX(cennik!$C$2:$L$529,MATCH($L28,cennik!$B$2:$B$522,0),MATCH(U$2,cennik!$C$1:$L$1,0))*O28</f>
        <v>0</v>
      </c>
      <c r="W28" s="20">
        <f>(INDEX(($AO$5:$AY$13,$AO$17:$AY$25,$AO$30:$AY$38,$AO$42:$AY$50,$AO$54:$AY$62,$AO$66:$AY$74,$BI$5:$BS$13,$BI$17:$BS$25,$BI$29:$BS$37,$BI$41:$BS$49,$BI$53:$BS$61,$BI$65:$BS$73,$BY$5:$CI$13,$BY$17:$CI$25),MATCH($L$33,$AN$5:$AN$13,0),MATCH(A27,$AO$4:$AY$4,0),MATCH($G$25,$AL$18:$AL$31,0)))*C27</f>
        <v>0</v>
      </c>
      <c r="X28" s="20">
        <f>(INDEX(($AO$5:$AY$13,$AO$17:$AY$25,$AO$30:$AY$38,$AO$42:$AY$50,$AO$54:$AY$62,$AO$66:$AY$74,$BI$5:$BS$13,$BI$17:$BS$25,$BI$29:$BS$37,$BI$41:$BS$49,$BI$53:$BS$61,$BI$65:$BS$73,$BY$5:$CI$13,$BY$17:$CI$25),MATCH($L$25,$AN$5:$AN$13,0),MATCH(A27,$AO$4:$AY$4,0),MATCH($G$25,$AL$18:$AL$31,0)))*C27</f>
        <v>0</v>
      </c>
      <c r="Y28" s="20">
        <f>(INDEX(($AO$5:$AY$13,$AO$17:$AY$25,$AO$30:$AY$38,$AO$42:$AY$50,$AO$54:$AY$62,$AO$66:$AY$74,$BI$5:$BS$13,$BI$17:$BS$25,$BI$29:$BS$37,$BI$41:$BS$49,$BI$53:$BS$61,$BI$65:$BS$73,$BY$5:$CI$13,$BY$17:$CI$25),MATCH($L$26,$AN$5:$AN$13,0),MATCH(A27,$AO$4:$AY$4,0),MATCH($G$25,$AL$18:$AL$31,0)))*C27</f>
        <v>0</v>
      </c>
      <c r="Z28" s="20">
        <f>(INDEX(($AO$5:$AY$13,$AO$17:$AY$25,$AO$30:$AY$38,$AO$42:$AY$50,$AO$54:$AY$62,$AO$66:$AY$74,$BI$5:$BS$13,$BI$17:$BS$25,$BI$29:$BS$37,$BI$41:$BS$49,$BI$53:$BS$61,$BI$65:$BS$73,$BY$5:$CI$13,$BY$17:$CI$25),MATCH($L$27,$AN$5:$AN$13,0),MATCH(A27,$AO$4:$AY$4,0),MATCH($G$25,$AL$18:$AL$31,0)))*C27</f>
        <v>0</v>
      </c>
      <c r="AA28" s="20">
        <f>(INDEX(($AO$5:$AY$13,$AO$17:$AY$25,$AO$30:$AY$38,$AO$42:$AY$50,$AO$54:$AY$62,$AO$66:$AY$74,$BI$5:$BS$13,$BI$17:$BS$25,$BI$29:$BS$37,$BI$41:$BS$49,$BI$53:$BS$61,$BI$65:$BS$73,$BY$5:$CI$13,$BY$17:$CI$25),MATCH($L$28,$AN$5:$AN$13,0),MATCH(A27,$AO$4:$AY$4,0),MATCH($G$25,$AL$18:$AL$31,0)))*C27</f>
        <v>0</v>
      </c>
      <c r="AB28" s="20">
        <f>(INDEX(($AO$5:$AY$13,$AO$17:$AY$25,$AO$30:$AY$38,$AO$42:$AY$50,$AO$54:$AY$62,$AO$66:$AY$74,$BI$5:$BS$13,$BI$17:$BS$25,$BI$29:$BS$37,$BI$41:$BS$49,$BI$53:$BS$61,$BI$65:$BS$73,$BY$5:$CI$13,$BY$17:$CI$25),MATCH($L$29,$AN$5:$AN$13,0),MATCH(A27,$AO$4:$AY$4,0),MATCH($G$25,$AL$18:$AL$31,0)))*C27</f>
        <v>0</v>
      </c>
      <c r="AC28" s="20">
        <f>(INDEX(($AO$5:$AY$13,$AO$17:$AY$25,$AO$30:$AY$38,$AO$42:$AY$50,$AO$54:$AY$62,$AO$66:$AY$74,$BI$5:$BS$13,$BI$17:$BS$25,$BI$29:$BS$37,$BI$41:$BS$49,$BI$53:$BS$61,$BI$65:$BS$73,$BY$5:$CI$13,$BY$17:$CI$25),MATCH($L$30,$AN$5:$AN$13,0),MATCH(A27,$AO$4:$AY$4,0),MATCH($G$25,$AL$18:$AL$31,0)))*C27</f>
        <v>0</v>
      </c>
      <c r="AD28" s="20">
        <f>(INDEX(($AO$5:$AY$13,$AO$17:$AY$25,$AO$30:$AY$38,$AO$42:$AY$50,$AO$54:$AY$62,$AO$66:$AY$74,$BI$5:$BS$13,$BI$17:$BS$25,$BI$29:$BS$37,$BI$41:$BS$49,$BI$53:$BS$61,$BI$65:$BS$73,$BY$5:$CI$13,$BY$17:$CI$25),MATCH($L$31,$AN$5:$AN$13,0),MATCH(A27,$AO$4:$AY$4,0),MATCH($G$25,$AL$18:$AL$31,0)))*C27</f>
        <v>0</v>
      </c>
      <c r="AE28" s="20">
        <f>(INDEX(($AO$5:$AY$13,$AO$17:$AY$25,$AO$30:$AY$38,$AO$42:$AY$50,$AO$54:$AY$62,$AO$66:$AY$74,$BI$5:$BS$13,$BI$17:$BS$25,$BI$29:$BS$37,$BI$41:$BS$49,$BI$53:$BS$61,$BI$65:$BS$73,$BY$5:$CI$13,$BY$17:$CI$25),MATCH($L$32,$AN$5:$AN$13,0),MATCH(A27,$AO$4:$AY$4,0),MATCH($G$25,$AL$18:$AL$31,0)))*C27</f>
        <v>0</v>
      </c>
      <c r="AL28" s="20" t="s">
        <v>473</v>
      </c>
      <c r="AN28" s="20" t="s">
        <v>474</v>
      </c>
      <c r="AO28" s="20"/>
      <c r="AP28" s="20"/>
      <c r="AQ28" s="20"/>
      <c r="AR28" s="20"/>
      <c r="AS28" s="20"/>
      <c r="AT28" s="20"/>
      <c r="AU28" s="20"/>
      <c r="AV28" s="20"/>
      <c r="AW28" s="20"/>
      <c r="AX28" s="20"/>
      <c r="AY28" s="20"/>
      <c r="AZ28" s="20"/>
      <c r="BA28" s="20"/>
      <c r="BB28" s="54"/>
      <c r="BC28" s="20"/>
      <c r="BD28" s="20"/>
      <c r="BE28" s="20"/>
      <c r="BF28" s="20"/>
      <c r="BG28" s="20"/>
      <c r="BH28" s="20"/>
      <c r="BI28" s="20">
        <v>0</v>
      </c>
      <c r="BJ28" s="20">
        <v>1</v>
      </c>
      <c r="BK28" s="20">
        <v>2</v>
      </c>
      <c r="BL28" s="20">
        <v>3</v>
      </c>
      <c r="BM28" s="20">
        <v>4</v>
      </c>
      <c r="BN28" s="20">
        <v>5</v>
      </c>
      <c r="BO28" s="20">
        <v>6</v>
      </c>
      <c r="BP28" s="20">
        <v>7</v>
      </c>
      <c r="BQ28" s="20">
        <v>8</v>
      </c>
      <c r="BR28" s="20">
        <v>9</v>
      </c>
      <c r="BS28" s="20">
        <v>10</v>
      </c>
      <c r="BT28" s="20"/>
      <c r="BU28" s="20"/>
      <c r="BV28" s="20"/>
      <c r="BW28" s="20"/>
      <c r="BX28" s="20"/>
      <c r="BY28" s="20"/>
      <c r="BZ28" s="20"/>
      <c r="CA28" s="20"/>
      <c r="CB28" s="20"/>
      <c r="CC28" s="20"/>
      <c r="CD28" s="20"/>
      <c r="CE28" s="20"/>
      <c r="CF28" s="20"/>
      <c r="CG28" s="20"/>
      <c r="CH28" s="20"/>
      <c r="CI28" s="20"/>
      <c r="CJ28" s="20"/>
      <c r="CK28" s="20"/>
      <c r="CL28" s="20"/>
      <c r="CM28" s="20"/>
    </row>
    <row r="29" spans="1:91" x14ac:dyDescent="0.25">
      <c r="A29" s="8"/>
      <c r="B29" s="6" t="s">
        <v>116</v>
      </c>
      <c r="C29" s="8"/>
      <c r="D29" s="6" t="s">
        <v>515</v>
      </c>
      <c r="E29" s="8">
        <v>0</v>
      </c>
      <c r="F29" s="5"/>
      <c r="G29" s="5"/>
      <c r="H29" s="5"/>
      <c r="I29" s="5"/>
      <c r="J29" s="5" t="s">
        <v>509</v>
      </c>
      <c r="K29" s="4"/>
      <c r="L29" s="6" t="s">
        <v>293</v>
      </c>
      <c r="M29" s="14">
        <f>INDEX(cennik!$C$2:$L$529,MATCH($L29,cennik!$B$2:$B$522,0),MATCH(M$2,cennik!$C$1:$L$1,0))</f>
        <v>851122</v>
      </c>
      <c r="N29" s="14" t="str">
        <f>INDEX(cennik!$C$2:$L$529,MATCH($L29,cennik!$B$2:$B$522,0),MATCH(N$2,cennik!$C$1:$L$1,0))</f>
        <v>szt.</v>
      </c>
      <c r="O29" s="14">
        <f>SUM(AB25:AB40)</f>
        <v>0</v>
      </c>
      <c r="P29" s="22">
        <f>INDEX(cennik!$C$2:$L$529,MATCH($L29,cennik!$B$2:$B$522,0),MATCH(P$2,cennik!$C$1:$L$1,0))</f>
        <v>46.2</v>
      </c>
      <c r="Q29" s="22">
        <f t="shared" si="5"/>
        <v>0</v>
      </c>
      <c r="R29" s="23">
        <f t="shared" si="6"/>
        <v>0</v>
      </c>
      <c r="S29" s="22">
        <f t="shared" si="7"/>
        <v>46.2</v>
      </c>
      <c r="T29" s="22">
        <f t="shared" si="8"/>
        <v>0</v>
      </c>
      <c r="U29" s="22">
        <f>INDEX(cennik!$C$2:$L$529,MATCH($L29,cennik!$B$2:$B$522,0),MATCH(U$2,cennik!$C$1:$L$1,0))*O29</f>
        <v>0</v>
      </c>
      <c r="W29" s="20">
        <f>(INDEX(($AO$5:$AY$13,$AO$17:$AY$25,$AO$30:$AY$38,$AO$42:$AY$50,$AO$54:$AY$62,$AO$66:$AY$74,$BI$5:$BS$13,$BI$17:$BS$25,$BI$29:$BS$37,$BI$41:$BS$49,$BI$53:$BS$61,$BI$65:$BS$73,$BY$5:$CI$13,$BY$17:$CI$25),MATCH($L$33,$AN$5:$AN$13,0),MATCH(A28,$AO$4:$AY$4,0),MATCH($G$25,$AL$18:$AL$31,0)))*C28</f>
        <v>0</v>
      </c>
      <c r="X29" s="20">
        <f>(INDEX(($AO$5:$AY$13,$AO$17:$AY$25,$AO$30:$AY$38,$AO$42:$AY$50,$AO$54:$AY$62,$AO$66:$AY$74,$BI$5:$BS$13,$BI$17:$BS$25,$BI$29:$BS$37,$BI$41:$BS$49,$BI$53:$BS$61,$BI$65:$BS$73,$BY$5:$CI$13,$BY$17:$CI$25),MATCH($L$25,$AN$5:$AN$13,0),MATCH(A28,$AO$4:$AY$4,0),MATCH($G$25,$AL$18:$AL$31,0)))*C28</f>
        <v>0</v>
      </c>
      <c r="Y29" s="20">
        <f>(INDEX(($AO$5:$AY$13,$AO$17:$AY$25,$AO$30:$AY$38,$AO$42:$AY$50,$AO$54:$AY$62,$AO$66:$AY$74,$BI$5:$BS$13,$BI$17:$BS$25,$BI$29:$BS$37,$BI$41:$BS$49,$BI$53:$BS$61,$BI$65:$BS$73,$BY$5:$CI$13,$BY$17:$CI$25),MATCH($L$26,$AN$5:$AN$13,0),MATCH(A28,$AO$4:$AY$4,0),MATCH($G$25,$AL$18:$AL$31,0)))*C28</f>
        <v>0</v>
      </c>
      <c r="Z29" s="20">
        <f>(INDEX(($AO$5:$AY$13,$AO$17:$AY$25,$AO$30:$AY$38,$AO$42:$AY$50,$AO$54:$AY$62,$AO$66:$AY$74,$BI$5:$BS$13,$BI$17:$BS$25,$BI$29:$BS$37,$BI$41:$BS$49,$BI$53:$BS$61,$BI$65:$BS$73,$BY$5:$CI$13,$BY$17:$CI$25),MATCH($L$27,$AN$5:$AN$13,0),MATCH(A28,$AO$4:$AY$4,0),MATCH($G$25,$AL$18:$AL$31,0)))*C28</f>
        <v>0</v>
      </c>
      <c r="AA29" s="20">
        <f>(INDEX(($AO$5:$AY$13,$AO$17:$AY$25,$AO$30:$AY$38,$AO$42:$AY$50,$AO$54:$AY$62,$AO$66:$AY$74,$BI$5:$BS$13,$BI$17:$BS$25,$BI$29:$BS$37,$BI$41:$BS$49,$BI$53:$BS$61,$BI$65:$BS$73,$BY$5:$CI$13,$BY$17:$CI$25),MATCH($L$28,$AN$5:$AN$13,0),MATCH(A28,$AO$4:$AY$4,0),MATCH($G$25,$AL$18:$AL$31,0)))*C28</f>
        <v>0</v>
      </c>
      <c r="AB29" s="20">
        <f>(INDEX(($AO$5:$AY$13,$AO$17:$AY$25,$AO$30:$AY$38,$AO$42:$AY$50,$AO$54:$AY$62,$AO$66:$AY$74,$BI$5:$BS$13,$BI$17:$BS$25,$BI$29:$BS$37,$BI$41:$BS$49,$BI$53:$BS$61,$BI$65:$BS$73,$BY$5:$CI$13,$BY$17:$CI$25),MATCH($L$29,$AN$5:$AN$13,0),MATCH(A28,$AO$4:$AY$4,0),MATCH($G$25,$AL$18:$AL$31,0)))*C28</f>
        <v>0</v>
      </c>
      <c r="AC29" s="20">
        <f>(INDEX(($AO$5:$AY$13,$AO$17:$AY$25,$AO$30:$AY$38,$AO$42:$AY$50,$AO$54:$AY$62,$AO$66:$AY$74,$BI$5:$BS$13,$BI$17:$BS$25,$BI$29:$BS$37,$BI$41:$BS$49,$BI$53:$BS$61,$BI$65:$BS$73,$BY$5:$CI$13,$BY$17:$CI$25),MATCH($L$30,$AN$5:$AN$13,0),MATCH(A28,$AO$4:$AY$4,0),MATCH($G$25,$AL$18:$AL$31,0)))*C28</f>
        <v>0</v>
      </c>
      <c r="AD29" s="20">
        <f>(INDEX(($AO$5:$AY$13,$AO$17:$AY$25,$AO$30:$AY$38,$AO$42:$AY$50,$AO$54:$AY$62,$AO$66:$AY$74,$BI$5:$BS$13,$BI$17:$BS$25,$BI$29:$BS$37,$BI$41:$BS$49,$BI$53:$BS$61,$BI$65:$BS$73,$BY$5:$CI$13,$BY$17:$CI$25),MATCH($L$31,$AN$5:$AN$13,0),MATCH(A28,$AO$4:$AY$4,0),MATCH($G$25,$AL$18:$AL$31,0)))*C28</f>
        <v>0</v>
      </c>
      <c r="AE29" s="20">
        <f>(INDEX(($AO$5:$AY$13,$AO$17:$AY$25,$AO$30:$AY$38,$AO$42:$AY$50,$AO$54:$AY$62,$AO$66:$AY$74,$BI$5:$BS$13,$BI$17:$BS$25,$BI$29:$BS$37,$BI$41:$BS$49,$BI$53:$BS$61,$BI$65:$BS$73,$BY$5:$CI$13,$BY$17:$CI$25),MATCH($L$32,$AN$5:$AN$13,0),MATCH(A28,$AO$4:$AY$4,0),MATCH($G$25,$AL$18:$AL$31,0)))*C28</f>
        <v>0</v>
      </c>
      <c r="AL29" s="20" t="s">
        <v>113</v>
      </c>
      <c r="AN29" s="20"/>
      <c r="AO29" s="20">
        <v>0</v>
      </c>
      <c r="AP29" s="20">
        <v>1</v>
      </c>
      <c r="AQ29" s="20">
        <v>2</v>
      </c>
      <c r="AR29" s="20">
        <v>3</v>
      </c>
      <c r="AS29" s="20">
        <v>4</v>
      </c>
      <c r="AT29" s="20">
        <v>5</v>
      </c>
      <c r="AU29" s="20">
        <v>6</v>
      </c>
      <c r="AV29" s="20">
        <v>7</v>
      </c>
      <c r="AW29" s="20">
        <v>8</v>
      </c>
      <c r="AX29" s="20">
        <v>9</v>
      </c>
      <c r="AY29" s="20">
        <v>10</v>
      </c>
      <c r="AZ29" s="20"/>
      <c r="BA29" s="20"/>
      <c r="BB29" s="54"/>
      <c r="BC29" s="20"/>
      <c r="BD29" s="20"/>
      <c r="BE29" s="20"/>
      <c r="BF29" s="20"/>
      <c r="BG29" s="20"/>
      <c r="BH29" s="20" t="s">
        <v>210</v>
      </c>
      <c r="BI29" s="20">
        <v>0</v>
      </c>
      <c r="BJ29" s="20">
        <v>0</v>
      </c>
      <c r="BK29" s="20">
        <v>2</v>
      </c>
      <c r="BL29" s="20">
        <v>0</v>
      </c>
      <c r="BM29" s="20">
        <v>2</v>
      </c>
      <c r="BN29" s="20">
        <v>0</v>
      </c>
      <c r="BO29" s="20">
        <v>2</v>
      </c>
      <c r="BP29" s="20">
        <v>0</v>
      </c>
      <c r="BQ29" s="20">
        <v>2</v>
      </c>
      <c r="BR29" s="20">
        <v>0</v>
      </c>
      <c r="BS29" s="20">
        <v>2</v>
      </c>
      <c r="BT29" s="20"/>
      <c r="BU29" s="20"/>
      <c r="BV29" s="20"/>
      <c r="BW29" s="20"/>
      <c r="BX29" s="20"/>
      <c r="BY29" s="20"/>
      <c r="BZ29" s="20"/>
      <c r="CA29" s="20"/>
      <c r="CB29" s="20"/>
      <c r="CC29" s="20"/>
      <c r="CD29" s="20"/>
      <c r="CE29" s="20"/>
      <c r="CF29" s="20"/>
      <c r="CG29" s="20"/>
      <c r="CH29" s="20"/>
      <c r="CI29" s="20"/>
      <c r="CJ29" s="20"/>
      <c r="CK29" s="20"/>
      <c r="CL29" s="20"/>
      <c r="CM29" s="20"/>
    </row>
    <row r="30" spans="1:91" x14ac:dyDescent="0.25">
      <c r="A30" s="8"/>
      <c r="B30" s="6" t="s">
        <v>116</v>
      </c>
      <c r="C30" s="8"/>
      <c r="D30" s="6" t="s">
        <v>511</v>
      </c>
      <c r="E30" s="4"/>
      <c r="F30" s="5"/>
      <c r="G30" s="5"/>
      <c r="H30" s="5"/>
      <c r="I30" s="5"/>
      <c r="K30" s="4"/>
      <c r="L30" s="6" t="s">
        <v>10</v>
      </c>
      <c r="M30" s="14">
        <f>INDEX(cennik!$C$2:$L$529,MATCH($L30,cennik!$B$2:$B$522,0),MATCH(M$2,cennik!$C$1:$L$1,0))</f>
        <v>6441305</v>
      </c>
      <c r="N30" s="14" t="str">
        <f>INDEX(cennik!$C$2:$L$529,MATCH($L30,cennik!$B$2:$B$522,0),MATCH(N$2,cennik!$C$1:$L$1,0))</f>
        <v>szt.</v>
      </c>
      <c r="O30" s="14">
        <f>SUM(AC25:AC40)</f>
        <v>0</v>
      </c>
      <c r="P30" s="22">
        <f>INDEX(cennik!$C$2:$L$529,MATCH($L30,cennik!$B$2:$B$522,0),MATCH(P$2,cennik!$C$1:$L$1,0))</f>
        <v>69.55</v>
      </c>
      <c r="Q30" s="22">
        <f t="shared" si="5"/>
        <v>0</v>
      </c>
      <c r="R30" s="23">
        <f t="shared" si="6"/>
        <v>0</v>
      </c>
      <c r="S30" s="22">
        <f t="shared" si="7"/>
        <v>69.55</v>
      </c>
      <c r="T30" s="22">
        <f t="shared" si="8"/>
        <v>0</v>
      </c>
      <c r="U30" s="22">
        <f>INDEX(cennik!$C$2:$L$529,MATCH($L30,cennik!$B$2:$B$522,0),MATCH(U$2,cennik!$C$1:$L$1,0))*O30</f>
        <v>0</v>
      </c>
      <c r="W30" s="20">
        <f>(INDEX(($AO$5:$AY$13,$AO$17:$AY$25,$AO$30:$AY$38,$AO$42:$AY$50,$AO$54:$AY$62,$AO$66:$AY$74,$BI$5:$BS$13,$BI$17:$BS$25,$BI$29:$BS$37,$BI$41:$BS$49,$BI$53:$BS$61,$BI$65:$BS$73,$BY$5:$CI$13,$BY$17:$CI$25),MATCH($L$33,$AN$5:$AN$13,0),MATCH(A29,$AO$4:$AY$4,0),MATCH($G$25,$AL$18:$AL$31,0)))*C29</f>
        <v>0</v>
      </c>
      <c r="X30" s="20">
        <f>(INDEX(($AO$5:$AY$13,$AO$17:$AY$25,$AO$30:$AY$38,$AO$42:$AY$50,$AO$54:$AY$62,$AO$66:$AY$74,$BI$5:$BS$13,$BI$17:$BS$25,$BI$29:$BS$37,$BI$41:$BS$49,$BI$53:$BS$61,$BI$65:$BS$73,$BY$5:$CI$13,$BY$17:$CI$25),MATCH($L$25,$AN$5:$AN$13,0),MATCH(A29,$AO$4:$AY$4,0),MATCH($G$25,$AL$18:$AL$31,0)))*C29</f>
        <v>0</v>
      </c>
      <c r="Y30" s="20">
        <f>(INDEX(($AO$5:$AY$13,$AO$17:$AY$25,$AO$30:$AY$38,$AO$42:$AY$50,$AO$54:$AY$62,$AO$66:$AY$74,$BI$5:$BS$13,$BI$17:$BS$25,$BI$29:$BS$37,$BI$41:$BS$49,$BI$53:$BS$61,$BI$65:$BS$73,$BY$5:$CI$13,$BY$17:$CI$25),MATCH($L$26,$AN$5:$AN$13,0),MATCH(A29,$AO$4:$AY$4,0),MATCH($G$25,$AL$18:$AL$31,0)))*C29</f>
        <v>0</v>
      </c>
      <c r="Z30" s="20">
        <f>(INDEX(($AO$5:$AY$13,$AO$17:$AY$25,$AO$30:$AY$38,$AO$42:$AY$50,$AO$54:$AY$62,$AO$66:$AY$74,$BI$5:$BS$13,$BI$17:$BS$25,$BI$29:$BS$37,$BI$41:$BS$49,$BI$53:$BS$61,$BI$65:$BS$73,$BY$5:$CI$13,$BY$17:$CI$25),MATCH($L$27,$AN$5:$AN$13,0),MATCH(A29,$AO$4:$AY$4,0),MATCH($G$25,$AL$18:$AL$31,0)))*C29</f>
        <v>0</v>
      </c>
      <c r="AA30" s="20">
        <f>(INDEX(($AO$5:$AY$13,$AO$17:$AY$25,$AO$30:$AY$38,$AO$42:$AY$50,$AO$54:$AY$62,$AO$66:$AY$74,$BI$5:$BS$13,$BI$17:$BS$25,$BI$29:$BS$37,$BI$41:$BS$49,$BI$53:$BS$61,$BI$65:$BS$73,$BY$5:$CI$13,$BY$17:$CI$25),MATCH($L$28,$AN$5:$AN$13,0),MATCH(A29,$AO$4:$AY$4,0),MATCH($G$25,$AL$18:$AL$31,0)))*C29</f>
        <v>0</v>
      </c>
      <c r="AB30" s="20">
        <f>(INDEX(($AO$5:$AY$13,$AO$17:$AY$25,$AO$30:$AY$38,$AO$42:$AY$50,$AO$54:$AY$62,$AO$66:$AY$74,$BI$5:$BS$13,$BI$17:$BS$25,$BI$29:$BS$37,$BI$41:$BS$49,$BI$53:$BS$61,$BI$65:$BS$73,$BY$5:$CI$13,$BY$17:$CI$25),MATCH($L$29,$AN$5:$AN$13,0),MATCH(A29,$AO$4:$AY$4,0),MATCH($G$25,$AL$18:$AL$31,0)))*C29</f>
        <v>0</v>
      </c>
      <c r="AC30" s="20">
        <f>(INDEX(($AO$5:$AY$13,$AO$17:$AY$25,$AO$30:$AY$38,$AO$42:$AY$50,$AO$54:$AY$62,$AO$66:$AY$74,$BI$5:$BS$13,$BI$17:$BS$25,$BI$29:$BS$37,$BI$41:$BS$49,$BI$53:$BS$61,$BI$65:$BS$73,$BY$5:$CI$13,$BY$17:$CI$25),MATCH($L$30,$AN$5:$AN$13,0),MATCH(A29,$AO$4:$AY$4,0),MATCH($G$25,$AL$18:$AL$31,0)))*C29</f>
        <v>0</v>
      </c>
      <c r="AD30" s="20">
        <f>(INDEX(($AO$5:$AY$13,$AO$17:$AY$25,$AO$30:$AY$38,$AO$42:$AY$50,$AO$54:$AY$62,$AO$66:$AY$74,$BI$5:$BS$13,$BI$17:$BS$25,$BI$29:$BS$37,$BI$41:$BS$49,$BI$53:$BS$61,$BI$65:$BS$73,$BY$5:$CI$13,$BY$17:$CI$25),MATCH($L$31,$AN$5:$AN$13,0),MATCH(A29,$AO$4:$AY$4,0),MATCH($G$25,$AL$18:$AL$31,0)))*C29</f>
        <v>0</v>
      </c>
      <c r="AE30" s="20">
        <f>(INDEX(($AO$5:$AY$13,$AO$17:$AY$25,$AO$30:$AY$38,$AO$42:$AY$50,$AO$54:$AY$62,$AO$66:$AY$74,$BI$5:$BS$13,$BI$17:$BS$25,$BI$29:$BS$37,$BI$41:$BS$49,$BI$53:$BS$61,$BI$65:$BS$73,$BY$5:$CI$13,$BY$17:$CI$25),MATCH($L$32,$AN$5:$AN$13,0),MATCH(A29,$AO$4:$AY$4,0),MATCH($G$25,$AL$18:$AL$31,0)))*C29</f>
        <v>0</v>
      </c>
      <c r="AL30" s="20" t="s">
        <v>137</v>
      </c>
      <c r="AN30" s="20" t="s">
        <v>210</v>
      </c>
      <c r="AO30" s="20">
        <v>0</v>
      </c>
      <c r="AP30" s="20">
        <v>0</v>
      </c>
      <c r="AQ30" s="20">
        <v>0</v>
      </c>
      <c r="AR30" s="20">
        <v>0</v>
      </c>
      <c r="AS30" s="20">
        <v>2</v>
      </c>
      <c r="AT30" s="20">
        <v>0</v>
      </c>
      <c r="AU30" s="20">
        <v>0</v>
      </c>
      <c r="AV30" s="20">
        <v>0</v>
      </c>
      <c r="AW30" s="20">
        <v>0</v>
      </c>
      <c r="AX30" s="20">
        <v>0</v>
      </c>
      <c r="AY30" s="20">
        <v>2</v>
      </c>
      <c r="AZ30" s="20"/>
      <c r="BA30" s="20"/>
      <c r="BB30" s="54"/>
      <c r="BC30" s="20"/>
      <c r="BD30" s="20"/>
      <c r="BE30" s="20"/>
      <c r="BF30" s="20"/>
      <c r="BG30" s="20"/>
      <c r="BH30" s="20" t="s">
        <v>9</v>
      </c>
      <c r="BI30" s="20">
        <v>0</v>
      </c>
      <c r="BJ30" s="20">
        <v>0</v>
      </c>
      <c r="BK30" s="20">
        <v>0</v>
      </c>
      <c r="BL30" s="20">
        <v>0</v>
      </c>
      <c r="BM30" s="20">
        <v>0</v>
      </c>
      <c r="BN30" s="20">
        <v>0</v>
      </c>
      <c r="BO30" s="20">
        <v>0</v>
      </c>
      <c r="BP30" s="20">
        <v>0</v>
      </c>
      <c r="BQ30" s="20">
        <v>0</v>
      </c>
      <c r="BR30" s="20">
        <v>0</v>
      </c>
      <c r="BS30" s="20">
        <v>0</v>
      </c>
      <c r="BT30" s="20"/>
      <c r="BU30" s="20"/>
      <c r="BV30" s="20"/>
      <c r="BW30" s="20"/>
      <c r="BX30" s="20"/>
      <c r="BY30" s="20"/>
      <c r="BZ30" s="20"/>
      <c r="CA30" s="20"/>
      <c r="CB30" s="20"/>
      <c r="CC30" s="20"/>
      <c r="CD30" s="20"/>
      <c r="CE30" s="20"/>
      <c r="CF30" s="20"/>
      <c r="CG30" s="20"/>
      <c r="CH30" s="20"/>
      <c r="CI30" s="20"/>
      <c r="CJ30" s="20"/>
      <c r="CK30" s="20"/>
      <c r="CL30" s="20"/>
      <c r="CM30" s="20"/>
    </row>
    <row r="31" spans="1:91" x14ac:dyDescent="0.25">
      <c r="A31" s="8"/>
      <c r="B31" s="6" t="s">
        <v>116</v>
      </c>
      <c r="C31" s="8"/>
      <c r="E31" s="4"/>
      <c r="F31" s="4"/>
      <c r="G31" s="4"/>
      <c r="H31" s="4"/>
      <c r="I31" s="4"/>
      <c r="K31" s="4"/>
      <c r="L31" s="6" t="s">
        <v>212</v>
      </c>
      <c r="M31" s="14">
        <f>INDEX(cennik!$C$2:$L$529,MATCH($L31,cennik!$B$2:$B$522,0),MATCH(M$2,cennik!$C$1:$L$1,0))</f>
        <v>851135</v>
      </c>
      <c r="N31" s="14" t="str">
        <f>INDEX(cennik!$C$2:$L$529,MATCH($L31,cennik!$B$2:$B$522,0),MATCH(N$2,cennik!$C$1:$L$1,0))</f>
        <v>szt.</v>
      </c>
      <c r="O31" s="14">
        <f>SUM(AD25:AD40)</f>
        <v>0</v>
      </c>
      <c r="P31" s="22">
        <f>INDEX(cennik!$C$2:$L$529,MATCH($L31,cennik!$B$2:$B$522,0),MATCH(P$2,cennik!$C$1:$L$1,0))</f>
        <v>73.5</v>
      </c>
      <c r="Q31" s="22">
        <f t="shared" si="5"/>
        <v>0</v>
      </c>
      <c r="R31" s="23">
        <f t="shared" si="6"/>
        <v>0</v>
      </c>
      <c r="S31" s="22">
        <f t="shared" si="7"/>
        <v>73.5</v>
      </c>
      <c r="T31" s="22">
        <f t="shared" si="8"/>
        <v>0</v>
      </c>
      <c r="U31" s="22">
        <f>INDEX(cennik!$C$2:$L$529,MATCH($L31,cennik!$B$2:$B$522,0),MATCH(U$2,cennik!$C$1:$L$1,0))*O31</f>
        <v>0</v>
      </c>
      <c r="W31" s="20">
        <f>(INDEX(($AO$5:$AY$13,$AO$17:$AY$25,$AO$30:$AY$38,$AO$42:$AY$50,$AO$54:$AY$62,$AO$66:$AY$74,$BI$5:$BS$13,$BI$17:$BS$25,$BI$29:$BS$37,$BI$41:$BS$49,$BI$53:$BS$61,$BI$65:$BS$73,$BY$5:$CI$13,$BY$17:$CI$25),MATCH($L$33,$AN$5:$AN$13,0),MATCH(A30,$AO$4:$AY$4,0),MATCH($G$25,$AL$18:$AL$31,0)))*C30</f>
        <v>0</v>
      </c>
      <c r="X31" s="20">
        <f>(INDEX(($AO$5:$AY$13,$AO$17:$AY$25,$AO$30:$AY$38,$AO$42:$AY$50,$AO$54:$AY$62,$AO$66:$AY$74,$BI$5:$BS$13,$BI$17:$BS$25,$BI$29:$BS$37,$BI$41:$BS$49,$BI$53:$BS$61,$BI$65:$BS$73,$BY$5:$CI$13,$BY$17:$CI$25),MATCH($L$25,$AN$5:$AN$13,0),MATCH(A30,$AO$4:$AY$4,0),MATCH($G$25,$AL$18:$AL$31,0)))*C30</f>
        <v>0</v>
      </c>
      <c r="Y31" s="20">
        <f>(INDEX(($AO$5:$AY$13,$AO$17:$AY$25,$AO$30:$AY$38,$AO$42:$AY$50,$AO$54:$AY$62,$AO$66:$AY$74,$BI$5:$BS$13,$BI$17:$BS$25,$BI$29:$BS$37,$BI$41:$BS$49,$BI$53:$BS$61,$BI$65:$BS$73,$BY$5:$CI$13,$BY$17:$CI$25),MATCH($L$26,$AN$5:$AN$13,0),MATCH(A30,$AO$4:$AY$4,0),MATCH($G$25,$AL$18:$AL$31,0)))*C30</f>
        <v>0</v>
      </c>
      <c r="Z31" s="20">
        <f>(INDEX(($AO$5:$AY$13,$AO$17:$AY$25,$AO$30:$AY$38,$AO$42:$AY$50,$AO$54:$AY$62,$AO$66:$AY$74,$BI$5:$BS$13,$BI$17:$BS$25,$BI$29:$BS$37,$BI$41:$BS$49,$BI$53:$BS$61,$BI$65:$BS$73,$BY$5:$CI$13,$BY$17:$CI$25),MATCH($L$27,$AN$5:$AN$13,0),MATCH(A30,$AO$4:$AY$4,0),MATCH($G$25,$AL$18:$AL$31,0)))*C30</f>
        <v>0</v>
      </c>
      <c r="AA31" s="20">
        <f>(INDEX(($AO$5:$AY$13,$AO$17:$AY$25,$AO$30:$AY$38,$AO$42:$AY$50,$AO$54:$AY$62,$AO$66:$AY$74,$BI$5:$BS$13,$BI$17:$BS$25,$BI$29:$BS$37,$BI$41:$BS$49,$BI$53:$BS$61,$BI$65:$BS$73,$BY$5:$CI$13,$BY$17:$CI$25),MATCH($L$28,$AN$5:$AN$13,0),MATCH(A30,$AO$4:$AY$4,0),MATCH($G$25,$AL$18:$AL$31,0)))*C30</f>
        <v>0</v>
      </c>
      <c r="AB31" s="20">
        <f>(INDEX(($AO$5:$AY$13,$AO$17:$AY$25,$AO$30:$AY$38,$AO$42:$AY$50,$AO$54:$AY$62,$AO$66:$AY$74,$BI$5:$BS$13,$BI$17:$BS$25,$BI$29:$BS$37,$BI$41:$BS$49,$BI$53:$BS$61,$BI$65:$BS$73,$BY$5:$CI$13,$BY$17:$CI$25),MATCH($L$29,$AN$5:$AN$13,0),MATCH(A30,$AO$4:$AY$4,0),MATCH($G$25,$AL$18:$AL$31,0)))*C30</f>
        <v>0</v>
      </c>
      <c r="AC31" s="20">
        <f>(INDEX(($AO$5:$AY$13,$AO$17:$AY$25,$AO$30:$AY$38,$AO$42:$AY$50,$AO$54:$AY$62,$AO$66:$AY$74,$BI$5:$BS$13,$BI$17:$BS$25,$BI$29:$BS$37,$BI$41:$BS$49,$BI$53:$BS$61,$BI$65:$BS$73,$BY$5:$CI$13,$BY$17:$CI$25),MATCH($L$30,$AN$5:$AN$13,0),MATCH(A30,$AO$4:$AY$4,0),MATCH($G$25,$AL$18:$AL$31,0)))*C30</f>
        <v>0</v>
      </c>
      <c r="AD31" s="20">
        <f>(INDEX(($AO$5:$AY$13,$AO$17:$AY$25,$AO$30:$AY$38,$AO$42:$AY$50,$AO$54:$AY$62,$AO$66:$AY$74,$BI$5:$BS$13,$BI$17:$BS$25,$BI$29:$BS$37,$BI$41:$BS$49,$BI$53:$BS$61,$BI$65:$BS$73,$BY$5:$CI$13,$BY$17:$CI$25),MATCH($L$31,$AN$5:$AN$13,0),MATCH(A30,$AO$4:$AY$4,0),MATCH($G$25,$AL$18:$AL$31,0)))*C30</f>
        <v>0</v>
      </c>
      <c r="AE31" s="20">
        <f>(INDEX(($AO$5:$AY$13,$AO$17:$AY$25,$AO$30:$AY$38,$AO$42:$AY$50,$AO$54:$AY$62,$AO$66:$AY$74,$BI$5:$BS$13,$BI$17:$BS$25,$BI$29:$BS$37,$BI$41:$BS$49,$BI$53:$BS$61,$BI$65:$BS$73,$BY$5:$CI$13,$BY$17:$CI$25),MATCH($L$32,$AN$5:$AN$13,0),MATCH(A30,$AO$4:$AY$4,0),MATCH($G$25,$AL$18:$AL$31,0)))*C30</f>
        <v>0</v>
      </c>
      <c r="AL31" s="20" t="s">
        <v>138</v>
      </c>
      <c r="AN31" s="20" t="s">
        <v>9</v>
      </c>
      <c r="AO31" s="20">
        <v>0</v>
      </c>
      <c r="AP31" s="20">
        <v>2</v>
      </c>
      <c r="AQ31" s="20">
        <v>4</v>
      </c>
      <c r="AR31" s="20">
        <v>0</v>
      </c>
      <c r="AS31" s="20">
        <v>0</v>
      </c>
      <c r="AT31" s="20">
        <v>0</v>
      </c>
      <c r="AU31" s="20">
        <v>0</v>
      </c>
      <c r="AV31" s="20">
        <v>2</v>
      </c>
      <c r="AW31" s="20">
        <v>0</v>
      </c>
      <c r="AX31" s="20">
        <v>0</v>
      </c>
      <c r="AY31" s="20">
        <v>0</v>
      </c>
      <c r="AZ31" s="20"/>
      <c r="BA31" s="20"/>
      <c r="BB31" s="54"/>
      <c r="BC31" s="20"/>
      <c r="BD31" s="20"/>
      <c r="BE31" s="20"/>
      <c r="BF31" s="20"/>
      <c r="BG31" s="20"/>
      <c r="BH31" s="20" t="s">
        <v>208</v>
      </c>
      <c r="BI31" s="20">
        <v>0</v>
      </c>
      <c r="BJ31" s="20">
        <v>0</v>
      </c>
      <c r="BK31" s="20">
        <v>0</v>
      </c>
      <c r="BL31" s="20">
        <v>0</v>
      </c>
      <c r="BM31" s="20">
        <v>0</v>
      </c>
      <c r="BN31" s="20">
        <v>0</v>
      </c>
      <c r="BO31" s="20">
        <v>0</v>
      </c>
      <c r="BP31" s="20">
        <v>0</v>
      </c>
      <c r="BQ31" s="20">
        <v>0</v>
      </c>
      <c r="BR31" s="20">
        <v>0</v>
      </c>
      <c r="BS31" s="20">
        <v>0</v>
      </c>
      <c r="BT31" s="20"/>
      <c r="BU31" s="20"/>
      <c r="BV31" s="20"/>
      <c r="BW31" s="20"/>
      <c r="BX31" s="20"/>
      <c r="BY31" s="20"/>
      <c r="BZ31" s="20"/>
      <c r="CA31" s="20"/>
      <c r="CB31" s="20"/>
      <c r="CC31" s="20"/>
      <c r="CD31" s="20"/>
      <c r="CE31" s="20"/>
      <c r="CF31" s="20"/>
      <c r="CG31" s="20"/>
      <c r="CH31" s="20"/>
      <c r="CI31" s="20"/>
      <c r="CJ31" s="20"/>
      <c r="CK31" s="20"/>
      <c r="CL31" s="20"/>
      <c r="CM31" s="20"/>
    </row>
    <row r="32" spans="1:91" x14ac:dyDescent="0.25">
      <c r="A32" s="8"/>
      <c r="B32" s="6" t="s">
        <v>116</v>
      </c>
      <c r="C32" s="8"/>
      <c r="D32" s="17" t="s">
        <v>564</v>
      </c>
      <c r="E32" s="4"/>
      <c r="F32" s="4"/>
      <c r="G32" s="4"/>
      <c r="H32" s="4"/>
      <c r="I32" s="4"/>
      <c r="J32" s="4"/>
      <c r="K32" s="4"/>
      <c r="L32" s="6" t="s">
        <v>214</v>
      </c>
      <c r="M32" s="14">
        <f>INDEX(cennik!$C$2:$L$529,MATCH($L32,cennik!$B$2:$B$522,0),MATCH(M$2,cennik!$C$1:$L$1,0))</f>
        <v>852137</v>
      </c>
      <c r="N32" s="14" t="str">
        <f>INDEX(cennik!$C$2:$L$529,MATCH($L32,cennik!$B$2:$B$522,0),MATCH(N$2,cennik!$C$1:$L$1,0))</f>
        <v>szt.</v>
      </c>
      <c r="O32" s="14">
        <f>SUM(AE25:AE40)</f>
        <v>0</v>
      </c>
      <c r="P32" s="22">
        <f>INDEX(cennik!$C$2:$L$529,MATCH($L32,cennik!$B$2:$B$522,0),MATCH(P$2,cennik!$C$1:$L$1,0))</f>
        <v>77.7</v>
      </c>
      <c r="Q32" s="22">
        <f t="shared" si="5"/>
        <v>0</v>
      </c>
      <c r="R32" s="23">
        <f t="shared" si="6"/>
        <v>0</v>
      </c>
      <c r="S32" s="22">
        <f t="shared" si="7"/>
        <v>77.7</v>
      </c>
      <c r="T32" s="22">
        <f t="shared" si="8"/>
        <v>0</v>
      </c>
      <c r="U32" s="22">
        <f>INDEX(cennik!$C$2:$L$529,MATCH($L32,cennik!$B$2:$B$522,0),MATCH(U$2,cennik!$C$1:$L$1,0))*O32</f>
        <v>0</v>
      </c>
      <c r="W32" s="20">
        <f>(INDEX(($AO$5:$AY$13,$AO$17:$AY$25,$AO$30:$AY$38,$AO$42:$AY$50,$AO$54:$AY$62,$AO$66:$AY$74,$BI$5:$BS$13,$BI$17:$BS$25,$BI$29:$BS$37,$BI$41:$BS$49,$BI$53:$BS$61,$BI$65:$BS$73,$BY$5:$CI$13,$BY$17:$CI$25),MATCH($L$33,$AN$5:$AN$13,0),MATCH(A31,$AO$4:$AY$4,0),MATCH($G$25,$AL$18:$AL$31,0)))*C31</f>
        <v>0</v>
      </c>
      <c r="X32" s="20">
        <f>(INDEX(($AO$5:$AY$13,$AO$17:$AY$25,$AO$30:$AY$38,$AO$42:$AY$50,$AO$54:$AY$62,$AO$66:$AY$74,$BI$5:$BS$13,$BI$17:$BS$25,$BI$29:$BS$37,$BI$41:$BS$49,$BI$53:$BS$61,$BI$65:$BS$73,$BY$5:$CI$13,$BY$17:$CI$25),MATCH($L$25,$AN$5:$AN$13,0),MATCH(A31,$AO$4:$AY$4,0),MATCH($G$25,$AL$18:$AL$31,0)))*C31</f>
        <v>0</v>
      </c>
      <c r="Y32" s="20">
        <f>(INDEX(($AO$5:$AY$13,$AO$17:$AY$25,$AO$30:$AY$38,$AO$42:$AY$50,$AO$54:$AY$62,$AO$66:$AY$74,$BI$5:$BS$13,$BI$17:$BS$25,$BI$29:$BS$37,$BI$41:$BS$49,$BI$53:$BS$61,$BI$65:$BS$73,$BY$5:$CI$13,$BY$17:$CI$25),MATCH($L$26,$AN$5:$AN$13,0),MATCH(A31,$AO$4:$AY$4,0),MATCH($G$25,$AL$18:$AL$31,0)))*C31</f>
        <v>0</v>
      </c>
      <c r="Z32" s="20">
        <f>(INDEX(($AO$5:$AY$13,$AO$17:$AY$25,$AO$30:$AY$38,$AO$42:$AY$50,$AO$54:$AY$62,$AO$66:$AY$74,$BI$5:$BS$13,$BI$17:$BS$25,$BI$29:$BS$37,$BI$41:$BS$49,$BI$53:$BS$61,$BI$65:$BS$73,$BY$5:$CI$13,$BY$17:$CI$25),MATCH($L$27,$AN$5:$AN$13,0),MATCH(A31,$AO$4:$AY$4,0),MATCH($G$25,$AL$18:$AL$31,0)))*C31</f>
        <v>0</v>
      </c>
      <c r="AA32" s="20">
        <f>(INDEX(($AO$5:$AY$13,$AO$17:$AY$25,$AO$30:$AY$38,$AO$42:$AY$50,$AO$54:$AY$62,$AO$66:$AY$74,$BI$5:$BS$13,$BI$17:$BS$25,$BI$29:$BS$37,$BI$41:$BS$49,$BI$53:$BS$61,$BI$65:$BS$73,$BY$5:$CI$13,$BY$17:$CI$25),MATCH($L$28,$AN$5:$AN$13,0),MATCH(A31,$AO$4:$AY$4,0),MATCH($G$25,$AL$18:$AL$31,0)))*C31</f>
        <v>0</v>
      </c>
      <c r="AB32" s="20">
        <f>(INDEX(($AO$5:$AY$13,$AO$17:$AY$25,$AO$30:$AY$38,$AO$42:$AY$50,$AO$54:$AY$62,$AO$66:$AY$74,$BI$5:$BS$13,$BI$17:$BS$25,$BI$29:$BS$37,$BI$41:$BS$49,$BI$53:$BS$61,$BI$65:$BS$73,$BY$5:$CI$13,$BY$17:$CI$25),MATCH($L$29,$AN$5:$AN$13,0),MATCH(A31,$AO$4:$AY$4,0),MATCH($G$25,$AL$18:$AL$31,0)))*C31</f>
        <v>0</v>
      </c>
      <c r="AC32" s="20">
        <f>(INDEX(($AO$5:$AY$13,$AO$17:$AY$25,$AO$30:$AY$38,$AO$42:$AY$50,$AO$54:$AY$62,$AO$66:$AY$74,$BI$5:$BS$13,$BI$17:$BS$25,$BI$29:$BS$37,$BI$41:$BS$49,$BI$53:$BS$61,$BI$65:$BS$73,$BY$5:$CI$13,$BY$17:$CI$25),MATCH($L$30,$AN$5:$AN$13,0),MATCH(A31,$AO$4:$AY$4,0),MATCH($G$25,$AL$18:$AL$31,0)))*C31</f>
        <v>0</v>
      </c>
      <c r="AD32" s="20">
        <f>(INDEX(($AO$5:$AY$13,$AO$17:$AY$25,$AO$30:$AY$38,$AO$42:$AY$50,$AO$54:$AY$62,$AO$66:$AY$74,$BI$5:$BS$13,$BI$17:$BS$25,$BI$29:$BS$37,$BI$41:$BS$49,$BI$53:$BS$61,$BI$65:$BS$73,$BY$5:$CI$13,$BY$17:$CI$25),MATCH($L$31,$AN$5:$AN$13,0),MATCH(A31,$AO$4:$AY$4,0),MATCH($G$25,$AL$18:$AL$31,0)))*C31</f>
        <v>0</v>
      </c>
      <c r="AE32" s="20">
        <f>(INDEX(($AO$5:$AY$13,$AO$17:$AY$25,$AO$30:$AY$38,$AO$42:$AY$50,$AO$54:$AY$62,$AO$66:$AY$74,$BI$5:$BS$13,$BI$17:$BS$25,$BI$29:$BS$37,$BI$41:$BS$49,$BI$53:$BS$61,$BI$65:$BS$73,$BY$5:$CI$13,$BY$17:$CI$25),MATCH($L$32,$AN$5:$AN$13,0),MATCH(A31,$AO$4:$AY$4,0),MATCH($G$25,$AL$18:$AL$31,0)))*C31</f>
        <v>0</v>
      </c>
      <c r="AL32" s="20" t="s">
        <v>478</v>
      </c>
      <c r="AN32" s="20" t="s">
        <v>208</v>
      </c>
      <c r="AO32" s="20">
        <v>0</v>
      </c>
      <c r="AP32" s="20">
        <v>0</v>
      </c>
      <c r="AQ32" s="20">
        <v>0</v>
      </c>
      <c r="AR32" s="20">
        <v>0</v>
      </c>
      <c r="AS32" s="20">
        <v>0</v>
      </c>
      <c r="AT32" s="20">
        <v>0</v>
      </c>
      <c r="AU32" s="20">
        <v>0</v>
      </c>
      <c r="AV32" s="20">
        <v>0</v>
      </c>
      <c r="AW32" s="20">
        <v>2</v>
      </c>
      <c r="AX32" s="20">
        <v>0</v>
      </c>
      <c r="AY32" s="20">
        <v>0</v>
      </c>
      <c r="AZ32" s="20"/>
      <c r="BA32" s="20"/>
      <c r="BB32" s="54"/>
      <c r="BC32" s="20"/>
      <c r="BD32" s="20"/>
      <c r="BE32" s="20"/>
      <c r="BF32" s="20"/>
      <c r="BG32" s="20"/>
      <c r="BH32" s="20" t="s">
        <v>211</v>
      </c>
      <c r="BI32" s="20">
        <v>0</v>
      </c>
      <c r="BJ32" s="20">
        <v>2</v>
      </c>
      <c r="BK32" s="20">
        <v>0</v>
      </c>
      <c r="BL32" s="20">
        <v>2</v>
      </c>
      <c r="BM32" s="20">
        <v>0</v>
      </c>
      <c r="BN32" s="20">
        <v>0</v>
      </c>
      <c r="BO32" s="20">
        <v>0</v>
      </c>
      <c r="BP32" s="20">
        <v>0</v>
      </c>
      <c r="BQ32" s="20">
        <v>0</v>
      </c>
      <c r="BR32" s="20">
        <v>0</v>
      </c>
      <c r="BS32" s="20">
        <v>0</v>
      </c>
      <c r="BT32" s="20"/>
      <c r="BU32" s="20"/>
      <c r="BV32" s="20"/>
      <c r="BW32" s="20"/>
      <c r="BX32" s="20"/>
      <c r="BY32" s="20"/>
      <c r="BZ32" s="20"/>
      <c r="CA32" s="20"/>
      <c r="CB32" s="20"/>
      <c r="CC32" s="20"/>
      <c r="CD32" s="20"/>
      <c r="CE32" s="20"/>
      <c r="CF32" s="20"/>
      <c r="CG32" s="20"/>
      <c r="CH32" s="20"/>
      <c r="CI32" s="20"/>
      <c r="CJ32" s="20"/>
      <c r="CK32" s="20"/>
      <c r="CL32" s="20"/>
      <c r="CM32" s="20"/>
    </row>
    <row r="33" spans="1:91" x14ac:dyDescent="0.25">
      <c r="A33" s="8"/>
      <c r="B33" s="6" t="s">
        <v>116</v>
      </c>
      <c r="C33" s="8"/>
      <c r="D33" s="17" t="s">
        <v>565</v>
      </c>
      <c r="E33" s="4"/>
      <c r="F33" s="4"/>
      <c r="G33" s="4"/>
      <c r="H33" s="4"/>
      <c r="I33" s="4"/>
      <c r="J33" s="4"/>
      <c r="K33" s="4"/>
      <c r="L33" s="6" t="s">
        <v>11</v>
      </c>
      <c r="M33" s="14">
        <f>INDEX(cennik!$C$2:$L$529,MATCH($L33,cennik!$B$2:$B$522,0),MATCH(M$2,cennik!$C$1:$L$1,0))</f>
        <v>6444115</v>
      </c>
      <c r="N33" s="14" t="str">
        <f>INDEX(cennik!$C$2:$L$529,MATCH($L33,cennik!$B$2:$B$522,0),MATCH(N$2,cennik!$C$1:$L$1,0))</f>
        <v>szt.</v>
      </c>
      <c r="O33" s="14">
        <f>SUM(W25:W40)</f>
        <v>0</v>
      </c>
      <c r="P33" s="22">
        <f>INDEX(cennik!$C$2:$L$529,MATCH($L33,cennik!$B$2:$B$522,0),MATCH(P$2,cennik!$C$1:$L$1,0))</f>
        <v>6.03</v>
      </c>
      <c r="Q33" s="22">
        <f t="shared" si="5"/>
        <v>0</v>
      </c>
      <c r="R33" s="23">
        <f t="shared" si="6"/>
        <v>0</v>
      </c>
      <c r="S33" s="22">
        <f t="shared" si="7"/>
        <v>6.03</v>
      </c>
      <c r="T33" s="22">
        <f t="shared" si="8"/>
        <v>0</v>
      </c>
      <c r="U33" s="22">
        <f>INDEX(cennik!$C$2:$L$529,MATCH($L33,cennik!$B$2:$B$522,0),MATCH(U$2,cennik!$C$1:$L$1,0))*O33</f>
        <v>0</v>
      </c>
      <c r="W33" s="20">
        <f>(INDEX(($AO$5:$AY$13,$AO$17:$AY$25,$AO$30:$AY$38,$AO$42:$AY$50,$AO$54:$AY$62,$AO$66:$AY$74,$BI$5:$BS$13,$BI$17:$BS$25,$BI$29:$BS$37,$BI$41:$BS$49,$BI$53:$BS$61,$BI$65:$BS$73,$BY$5:$CI$13,$BY$17:$CI$25),MATCH($L$33,$AN$5:$AN$13,0),MATCH(A32,$AO$4:$AY$4,0),MATCH($G$25,$AL$18:$AL$31,0)))*C32</f>
        <v>0</v>
      </c>
      <c r="X33" s="20">
        <f>(INDEX(($AO$5:$AY$13,$AO$17:$AY$25,$AO$30:$AY$38,$AO$42:$AY$50,$AO$54:$AY$62,$AO$66:$AY$74,$BI$5:$BS$13,$BI$17:$BS$25,$BI$29:$BS$37,$BI$41:$BS$49,$BI$53:$BS$61,$BI$65:$BS$73,$BY$5:$CI$13,$BY$17:$CI$25),MATCH($L$25,$AN$5:$AN$13,0),MATCH(A32,$AO$4:$AY$4,0),MATCH($G$25,$AL$18:$AL$31,0)))*C32</f>
        <v>0</v>
      </c>
      <c r="Y33" s="20">
        <f>(INDEX(($AO$5:$AY$13,$AO$17:$AY$25,$AO$30:$AY$38,$AO$42:$AY$50,$AO$54:$AY$62,$AO$66:$AY$74,$BI$5:$BS$13,$BI$17:$BS$25,$BI$29:$BS$37,$BI$41:$BS$49,$BI$53:$BS$61,$BI$65:$BS$73,$BY$5:$CI$13,$BY$17:$CI$25),MATCH($L$26,$AN$5:$AN$13,0),MATCH(A32,$AO$4:$AY$4,0),MATCH($G$25,$AL$18:$AL$31,0)))*C32</f>
        <v>0</v>
      </c>
      <c r="Z33" s="20">
        <f>(INDEX(($AO$5:$AY$13,$AO$17:$AY$25,$AO$30:$AY$38,$AO$42:$AY$50,$AO$54:$AY$62,$AO$66:$AY$74,$BI$5:$BS$13,$BI$17:$BS$25,$BI$29:$BS$37,$BI$41:$BS$49,$BI$53:$BS$61,$BI$65:$BS$73,$BY$5:$CI$13,$BY$17:$CI$25),MATCH($L$27,$AN$5:$AN$13,0),MATCH(A32,$AO$4:$AY$4,0),MATCH($G$25,$AL$18:$AL$31,0)))*C32</f>
        <v>0</v>
      </c>
      <c r="AA33" s="20">
        <f>(INDEX(($AO$5:$AY$13,$AO$17:$AY$25,$AO$30:$AY$38,$AO$42:$AY$50,$AO$54:$AY$62,$AO$66:$AY$74,$BI$5:$BS$13,$BI$17:$BS$25,$BI$29:$BS$37,$BI$41:$BS$49,$BI$53:$BS$61,$BI$65:$BS$73,$BY$5:$CI$13,$BY$17:$CI$25),MATCH($L$28,$AN$5:$AN$13,0),MATCH(A32,$AO$4:$AY$4,0),MATCH($G$25,$AL$18:$AL$31,0)))*C32</f>
        <v>0</v>
      </c>
      <c r="AB33" s="20">
        <f>(INDEX(($AO$5:$AY$13,$AO$17:$AY$25,$AO$30:$AY$38,$AO$42:$AY$50,$AO$54:$AY$62,$AO$66:$AY$74,$BI$5:$BS$13,$BI$17:$BS$25,$BI$29:$BS$37,$BI$41:$BS$49,$BI$53:$BS$61,$BI$65:$BS$73,$BY$5:$CI$13,$BY$17:$CI$25),MATCH($L$29,$AN$5:$AN$13,0),MATCH(A32,$AO$4:$AY$4,0),MATCH($G$25,$AL$18:$AL$31,0)))*C32</f>
        <v>0</v>
      </c>
      <c r="AC33" s="20">
        <f>(INDEX(($AO$5:$AY$13,$AO$17:$AY$25,$AO$30:$AY$38,$AO$42:$AY$50,$AO$54:$AY$62,$AO$66:$AY$74,$BI$5:$BS$13,$BI$17:$BS$25,$BI$29:$BS$37,$BI$41:$BS$49,$BI$53:$BS$61,$BI$65:$BS$73,$BY$5:$CI$13,$BY$17:$CI$25),MATCH($L$30,$AN$5:$AN$13,0),MATCH(A32,$AO$4:$AY$4,0),MATCH($G$25,$AL$18:$AL$31,0)))*C32</f>
        <v>0</v>
      </c>
      <c r="AD33" s="20">
        <f>(INDEX(($AO$5:$AY$13,$AO$17:$AY$25,$AO$30:$AY$38,$AO$42:$AY$50,$AO$54:$AY$62,$AO$66:$AY$74,$BI$5:$BS$13,$BI$17:$BS$25,$BI$29:$BS$37,$BI$41:$BS$49,$BI$53:$BS$61,$BI$65:$BS$73,$BY$5:$CI$13,$BY$17:$CI$25),MATCH($L$31,$AN$5:$AN$13,0),MATCH(A32,$AO$4:$AY$4,0),MATCH($G$25,$AL$18:$AL$31,0)))*C32</f>
        <v>0</v>
      </c>
      <c r="AE33" s="20">
        <f>(INDEX(($AO$5:$AY$13,$AO$17:$AY$25,$AO$30:$AY$38,$AO$42:$AY$50,$AO$54:$AY$62,$AO$66:$AY$74,$BI$5:$BS$13,$BI$17:$BS$25,$BI$29:$BS$37,$BI$41:$BS$49,$BI$53:$BS$61,$BI$65:$BS$73,$BY$5:$CI$13,$BY$17:$CI$25),MATCH($L$32,$AN$5:$AN$13,0),MATCH(A32,$AO$4:$AY$4,0),MATCH($G$25,$AL$18:$AL$31,0)))*C32</f>
        <v>0</v>
      </c>
      <c r="AL33" s="20" t="s">
        <v>479</v>
      </c>
      <c r="AN33" s="20" t="s">
        <v>211</v>
      </c>
      <c r="AO33" s="20">
        <v>0</v>
      </c>
      <c r="AP33" s="20">
        <v>0</v>
      </c>
      <c r="AQ33" s="20">
        <v>0</v>
      </c>
      <c r="AR33" s="20">
        <v>0</v>
      </c>
      <c r="AS33" s="20">
        <v>0</v>
      </c>
      <c r="AT33" s="20">
        <v>2</v>
      </c>
      <c r="AU33" s="20">
        <v>0</v>
      </c>
      <c r="AV33" s="20">
        <v>0</v>
      </c>
      <c r="AW33" s="20">
        <v>0</v>
      </c>
      <c r="AX33" s="20">
        <v>0</v>
      </c>
      <c r="AY33" s="20">
        <v>0</v>
      </c>
      <c r="AZ33" s="20"/>
      <c r="BA33" s="20"/>
      <c r="BB33" s="54"/>
      <c r="BC33" s="20"/>
      <c r="BD33" s="20"/>
      <c r="BE33" s="20"/>
      <c r="BF33" s="20"/>
      <c r="BG33" s="20"/>
      <c r="BH33" s="20" t="s">
        <v>293</v>
      </c>
      <c r="BI33" s="20">
        <v>0</v>
      </c>
      <c r="BJ33" s="20">
        <v>0</v>
      </c>
      <c r="BK33" s="20">
        <v>0</v>
      </c>
      <c r="BL33" s="20">
        <v>0</v>
      </c>
      <c r="BM33" s="20">
        <v>0</v>
      </c>
      <c r="BN33" s="20">
        <v>0</v>
      </c>
      <c r="BO33" s="20">
        <v>0</v>
      </c>
      <c r="BP33" s="20">
        <v>0</v>
      </c>
      <c r="BQ33" s="20">
        <v>0</v>
      </c>
      <c r="BR33" s="20">
        <v>0</v>
      </c>
      <c r="BS33" s="20">
        <v>0</v>
      </c>
      <c r="BT33" s="20"/>
      <c r="BU33" s="20"/>
      <c r="BV33" s="20"/>
      <c r="BW33" s="20"/>
      <c r="BX33" s="20"/>
      <c r="BY33" s="20"/>
      <c r="BZ33" s="20"/>
      <c r="CA33" s="20"/>
      <c r="CB33" s="20"/>
      <c r="CC33" s="20"/>
      <c r="CD33" s="20"/>
      <c r="CE33" s="20"/>
      <c r="CF33" s="20"/>
      <c r="CG33" s="20"/>
      <c r="CH33" s="20"/>
      <c r="CI33" s="20"/>
      <c r="CJ33" s="20"/>
      <c r="CK33" s="20"/>
      <c r="CL33" s="20"/>
      <c r="CM33" s="20"/>
    </row>
    <row r="34" spans="1:91" x14ac:dyDescent="0.25">
      <c r="A34" s="8"/>
      <c r="B34" s="6" t="s">
        <v>116</v>
      </c>
      <c r="C34" s="8"/>
      <c r="D34" s="40" t="s">
        <v>944</v>
      </c>
      <c r="E34" s="4"/>
      <c r="F34" s="4"/>
      <c r="G34" s="4"/>
      <c r="H34" s="4"/>
      <c r="I34" s="4"/>
      <c r="J34" s="4"/>
      <c r="K34" s="4"/>
      <c r="L34" s="6" t="s">
        <v>824</v>
      </c>
      <c r="M34" s="14">
        <f>INDEX(cennik!$C$2:$L$529,MATCH($L34,cennik!$B$2:$B$522,0),MATCH(M$2,cennik!$C$1:$L$1,0))</f>
        <v>895414</v>
      </c>
      <c r="N34" s="14" t="str">
        <f>INDEX(cennik!$C$2:$L$529,MATCH($L34,cennik!$B$2:$B$522,0),MATCH(N$2,cennik!$C$1:$L$1,0))</f>
        <v>szt.</v>
      </c>
      <c r="O34" s="14">
        <f>SUM(((A24+1)*C24),((A25+1)*C25),((A26+1)*C26),((A27+1)*C27),((A28+1)*C28),((A29+1)*C29),((A30+1)*C30),((A31+1)*C31),((A32+1)*C32),((A33+1)*C33),((A34+1)*C34),((A35+1)*C35),((A36+1)*C36),((A37+1)*C37),((A38+1)*C38),((A39+1)*C39))</f>
        <v>0</v>
      </c>
      <c r="P34" s="22">
        <f>INDEX(cennik!$C$2:$L$529,MATCH($L34,cennik!$B$2:$B$522,0),MATCH(P$2,cennik!$C$1:$L$1,0))</f>
        <v>41.71</v>
      </c>
      <c r="Q34" s="22">
        <f>O34*P34</f>
        <v>0</v>
      </c>
      <c r="R34" s="23">
        <f t="shared" si="6"/>
        <v>0</v>
      </c>
      <c r="S34" s="22">
        <f t="shared" si="7"/>
        <v>41.71</v>
      </c>
      <c r="T34" s="22">
        <f>O34*S34</f>
        <v>0</v>
      </c>
      <c r="U34" s="22">
        <f>INDEX(cennik!$C$2:$L$529,MATCH($L34,cennik!$B$2:$B$522,0),MATCH(U$2,cennik!$C$1:$L$1,0))*O34</f>
        <v>0</v>
      </c>
      <c r="W34" s="20">
        <f>(INDEX(($AO$5:$AY$13,$AO$17:$AY$25,$AO$30:$AY$38,$AO$42:$AY$50,$AO$54:$AY$62,$AO$66:$AY$74,$BI$5:$BS$13,$BI$17:$BS$25,$BI$29:$BS$37,$BI$41:$BS$49,$BI$53:$BS$61,$BI$65:$BS$73,$BY$5:$CI$13,$BY$17:$CI$25),MATCH($L$33,$AN$5:$AN$13,0),MATCH(A33,$AO$4:$AY$4,0),MATCH($G$25,$AL$18:$AL$31,0)))*C33</f>
        <v>0</v>
      </c>
      <c r="X34" s="20">
        <f>(INDEX(($AO$5:$AY$13,$AO$17:$AY$25,$AO$30:$AY$38,$AO$42:$AY$50,$AO$54:$AY$62,$AO$66:$AY$74,$BI$5:$BS$13,$BI$17:$BS$25,$BI$29:$BS$37,$BI$41:$BS$49,$BI$53:$BS$61,$BI$65:$BS$73,$BY$5:$CI$13,$BY$17:$CI$25),MATCH($L$25,$AN$5:$AN$13,0),MATCH(A33,$AO$4:$AY$4,0),MATCH($G$25,$AL$18:$AL$31,0)))*C33</f>
        <v>0</v>
      </c>
      <c r="Y34" s="20">
        <f>(INDEX(($AO$5:$AY$13,$AO$17:$AY$25,$AO$30:$AY$38,$AO$42:$AY$50,$AO$54:$AY$62,$AO$66:$AY$74,$BI$5:$BS$13,$BI$17:$BS$25,$BI$29:$BS$37,$BI$41:$BS$49,$BI$53:$BS$61,$BI$65:$BS$73,$BY$5:$CI$13,$BY$17:$CI$25),MATCH($L$26,$AN$5:$AN$13,0),MATCH(A33,$AO$4:$AY$4,0),MATCH($G$25,$AL$18:$AL$31,0)))*C33</f>
        <v>0</v>
      </c>
      <c r="Z34" s="20">
        <f>(INDEX(($AO$5:$AY$13,$AO$17:$AY$25,$AO$30:$AY$38,$AO$42:$AY$50,$AO$54:$AY$62,$AO$66:$AY$74,$BI$5:$BS$13,$BI$17:$BS$25,$BI$29:$BS$37,$BI$41:$BS$49,$BI$53:$BS$61,$BI$65:$BS$73,$BY$5:$CI$13,$BY$17:$CI$25),MATCH($L$27,$AN$5:$AN$13,0),MATCH(A33,$AO$4:$AY$4,0),MATCH($G$25,$AL$18:$AL$31,0)))*C33</f>
        <v>0</v>
      </c>
      <c r="AA34" s="20">
        <f>(INDEX(($AO$5:$AY$13,$AO$17:$AY$25,$AO$30:$AY$38,$AO$42:$AY$50,$AO$54:$AY$62,$AO$66:$AY$74,$BI$5:$BS$13,$BI$17:$BS$25,$BI$29:$BS$37,$BI$41:$BS$49,$BI$53:$BS$61,$BI$65:$BS$73,$BY$5:$CI$13,$BY$17:$CI$25),MATCH($L$28,$AN$5:$AN$13,0),MATCH(A33,$AO$4:$AY$4,0),MATCH($G$25,$AL$18:$AL$31,0)))*C33</f>
        <v>0</v>
      </c>
      <c r="AB34" s="20">
        <f>(INDEX(($AO$5:$AY$13,$AO$17:$AY$25,$AO$30:$AY$38,$AO$42:$AY$50,$AO$54:$AY$62,$AO$66:$AY$74,$BI$5:$BS$13,$BI$17:$BS$25,$BI$29:$BS$37,$BI$41:$BS$49,$BI$53:$BS$61,$BI$65:$BS$73,$BY$5:$CI$13,$BY$17:$CI$25),MATCH($L$29,$AN$5:$AN$13,0),MATCH(A33,$AO$4:$AY$4,0),MATCH($G$25,$AL$18:$AL$31,0)))*C33</f>
        <v>0</v>
      </c>
      <c r="AC34" s="20">
        <f>(INDEX(($AO$5:$AY$13,$AO$17:$AY$25,$AO$30:$AY$38,$AO$42:$AY$50,$AO$54:$AY$62,$AO$66:$AY$74,$BI$5:$BS$13,$BI$17:$BS$25,$BI$29:$BS$37,$BI$41:$BS$49,$BI$53:$BS$61,$BI$65:$BS$73,$BY$5:$CI$13,$BY$17:$CI$25),MATCH($L$30,$AN$5:$AN$13,0),MATCH(A33,$AO$4:$AY$4,0),MATCH($G$25,$AL$18:$AL$31,0)))*C33</f>
        <v>0</v>
      </c>
      <c r="AD34" s="20">
        <f>(INDEX(($AO$5:$AY$13,$AO$17:$AY$25,$AO$30:$AY$38,$AO$42:$AY$50,$AO$54:$AY$62,$AO$66:$AY$74,$BI$5:$BS$13,$BI$17:$BS$25,$BI$29:$BS$37,$BI$41:$BS$49,$BI$53:$BS$61,$BI$65:$BS$73,$BY$5:$CI$13,$BY$17:$CI$25),MATCH($L$31,$AN$5:$AN$13,0),MATCH(A33,$AO$4:$AY$4,0),MATCH($G$25,$AL$18:$AL$31,0)))*C33</f>
        <v>0</v>
      </c>
      <c r="AE34" s="20">
        <f>(INDEX(($AO$5:$AY$13,$AO$17:$AY$25,$AO$30:$AY$38,$AO$42:$AY$50,$AO$54:$AY$62,$AO$66:$AY$74,$BI$5:$BS$13,$BI$17:$BS$25,$BI$29:$BS$37,$BI$41:$BS$49,$BI$53:$BS$61,$BI$65:$BS$73,$BY$5:$CI$13,$BY$17:$CI$25),MATCH($L$32,$AN$5:$AN$13,0),MATCH(A33,$AO$4:$AY$4,0),MATCH($G$25,$AL$18:$AL$31,0)))*C33</f>
        <v>0</v>
      </c>
      <c r="AL34" s="20" t="s">
        <v>508</v>
      </c>
      <c r="AN34" s="20" t="s">
        <v>293</v>
      </c>
      <c r="AO34" s="20">
        <v>0</v>
      </c>
      <c r="AP34" s="20">
        <v>0</v>
      </c>
      <c r="AQ34" s="20">
        <v>0</v>
      </c>
      <c r="AR34" s="20">
        <v>0</v>
      </c>
      <c r="AS34" s="20">
        <v>0</v>
      </c>
      <c r="AT34" s="20">
        <v>0</v>
      </c>
      <c r="AU34" s="20">
        <v>0</v>
      </c>
      <c r="AV34" s="20">
        <v>0</v>
      </c>
      <c r="AW34" s="20">
        <v>0</v>
      </c>
      <c r="AX34" s="20">
        <v>0</v>
      </c>
      <c r="AY34" s="20">
        <v>0</v>
      </c>
      <c r="AZ34" s="20"/>
      <c r="BA34" s="20"/>
      <c r="BB34" s="54"/>
      <c r="BC34" s="20"/>
      <c r="BD34" s="20"/>
      <c r="BE34" s="20"/>
      <c r="BF34" s="20"/>
      <c r="BG34" s="20"/>
      <c r="BH34" s="20" t="s">
        <v>10</v>
      </c>
      <c r="BI34" s="20">
        <v>0</v>
      </c>
      <c r="BJ34" s="20">
        <v>0</v>
      </c>
      <c r="BK34" s="20">
        <v>2</v>
      </c>
      <c r="BL34" s="20">
        <v>0</v>
      </c>
      <c r="BM34" s="20">
        <v>2</v>
      </c>
      <c r="BN34" s="20">
        <v>4</v>
      </c>
      <c r="BO34" s="20">
        <v>2</v>
      </c>
      <c r="BP34" s="20">
        <v>4</v>
      </c>
      <c r="BQ34" s="20">
        <v>2</v>
      </c>
      <c r="BR34" s="20">
        <v>2</v>
      </c>
      <c r="BS34" s="20">
        <v>0</v>
      </c>
      <c r="BT34" s="20"/>
      <c r="BU34" s="20"/>
      <c r="BV34" s="20"/>
      <c r="BW34" s="20"/>
      <c r="BX34" s="20"/>
      <c r="BY34" s="20"/>
      <c r="BZ34" s="20"/>
      <c r="CA34" s="20"/>
      <c r="CB34" s="20"/>
      <c r="CC34" s="20"/>
      <c r="CD34" s="20"/>
      <c r="CE34" s="20"/>
      <c r="CF34" s="20"/>
      <c r="CG34" s="20"/>
      <c r="CH34" s="20"/>
      <c r="CI34" s="20"/>
      <c r="CJ34" s="20"/>
      <c r="CK34" s="20"/>
      <c r="CL34" s="20"/>
      <c r="CM34" s="20"/>
    </row>
    <row r="35" spans="1:91" x14ac:dyDescent="0.25">
      <c r="A35" s="8"/>
      <c r="B35" s="6" t="s">
        <v>116</v>
      </c>
      <c r="C35" s="8"/>
      <c r="D35" s="4"/>
      <c r="E35" s="4"/>
      <c r="F35" s="4"/>
      <c r="G35" s="4"/>
      <c r="H35" s="4"/>
      <c r="I35" s="4"/>
      <c r="J35" s="4"/>
      <c r="K35" s="4"/>
      <c r="L35" s="6" t="s">
        <v>823</v>
      </c>
      <c r="M35" s="14">
        <f>INDEX(cennik!$C$2:$L$529,MATCH($L35,cennik!$B$2:$B$522,0),MATCH(M$2,cennik!$C$1:$L$1,0))</f>
        <v>895413</v>
      </c>
      <c r="N35" s="14" t="str">
        <f>INDEX(cennik!$C$2:$L$529,MATCH($L35,cennik!$B$2:$B$522,0),MATCH(N$2,cennik!$C$1:$L$1,0))</f>
        <v>szt.</v>
      </c>
      <c r="O35" s="14">
        <f>O34</f>
        <v>0</v>
      </c>
      <c r="P35" s="22">
        <f>INDEX(cennik!$C$2:$L$529,MATCH($L35,cennik!$B$2:$B$522,0),MATCH(P$2,cennik!$C$1:$L$1,0))</f>
        <v>38.74</v>
      </c>
      <c r="Q35" s="22">
        <f>O35*P35</f>
        <v>0</v>
      </c>
      <c r="R35" s="23">
        <f t="shared" si="6"/>
        <v>0</v>
      </c>
      <c r="S35" s="22">
        <f t="shared" si="7"/>
        <v>38.74</v>
      </c>
      <c r="T35" s="22">
        <f>O35*S35</f>
        <v>0</v>
      </c>
      <c r="U35" s="22">
        <f>INDEX(cennik!$C$2:$L$529,MATCH($L35,cennik!$B$2:$B$522,0),MATCH(U$2,cennik!$C$1:$L$1,0))*O35</f>
        <v>0</v>
      </c>
      <c r="W35" s="20">
        <f>(INDEX(($AO$5:$AY$13,$AO$17:$AY$25,$AO$30:$AY$38,$AO$42:$AY$50,$AO$54:$AY$62,$AO$66:$AY$74,$BI$5:$BS$13,$BI$17:$BS$25,$BI$29:$BS$37,$BI$41:$BS$49,$BI$53:$BS$61,$BI$65:$BS$73,$BY$5:$CI$13,$BY$17:$CI$25),MATCH($L$33,$AN$5:$AN$13,0),MATCH(A34,$AO$4:$AY$4,0),MATCH($G$25,$AL$18:$AL$31,0)))*C34</f>
        <v>0</v>
      </c>
      <c r="X35" s="20">
        <f>(INDEX(($AO$5:$AY$13,$AO$17:$AY$25,$AO$30:$AY$38,$AO$42:$AY$50,$AO$54:$AY$62,$AO$66:$AY$74,$BI$5:$BS$13,$BI$17:$BS$25,$BI$29:$BS$37,$BI$41:$BS$49,$BI$53:$BS$61,$BI$65:$BS$73,$BY$5:$CI$13,$BY$17:$CI$25),MATCH($L$25,$AN$5:$AN$13,0),MATCH(A34,$AO$4:$AY$4,0),MATCH($G$25,$AL$18:$AL$31,0)))*C34</f>
        <v>0</v>
      </c>
      <c r="Y35" s="20">
        <f>(INDEX(($AO$5:$AY$13,$AO$17:$AY$25,$AO$30:$AY$38,$AO$42:$AY$50,$AO$54:$AY$62,$AO$66:$AY$74,$BI$5:$BS$13,$BI$17:$BS$25,$BI$29:$BS$37,$BI$41:$BS$49,$BI$53:$BS$61,$BI$65:$BS$73,$BY$5:$CI$13,$BY$17:$CI$25),MATCH($L$26,$AN$5:$AN$13,0),MATCH(A34,$AO$4:$AY$4,0),MATCH($G$25,$AL$18:$AL$31,0)))*C34</f>
        <v>0</v>
      </c>
      <c r="Z35" s="20">
        <f>(INDEX(($AO$5:$AY$13,$AO$17:$AY$25,$AO$30:$AY$38,$AO$42:$AY$50,$AO$54:$AY$62,$AO$66:$AY$74,$BI$5:$BS$13,$BI$17:$BS$25,$BI$29:$BS$37,$BI$41:$BS$49,$BI$53:$BS$61,$BI$65:$BS$73,$BY$5:$CI$13,$BY$17:$CI$25),MATCH($L$27,$AN$5:$AN$13,0),MATCH(A34,$AO$4:$AY$4,0),MATCH($G$25,$AL$18:$AL$31,0)))*C34</f>
        <v>0</v>
      </c>
      <c r="AA35" s="20">
        <f>(INDEX(($AO$5:$AY$13,$AO$17:$AY$25,$AO$30:$AY$38,$AO$42:$AY$50,$AO$54:$AY$62,$AO$66:$AY$74,$BI$5:$BS$13,$BI$17:$BS$25,$BI$29:$BS$37,$BI$41:$BS$49,$BI$53:$BS$61,$BI$65:$BS$73,$BY$5:$CI$13,$BY$17:$CI$25),MATCH($L$28,$AN$5:$AN$13,0),MATCH(A34,$AO$4:$AY$4,0),MATCH($G$25,$AL$18:$AL$31,0)))*C34</f>
        <v>0</v>
      </c>
      <c r="AB35" s="20">
        <f>(INDEX(($AO$5:$AY$13,$AO$17:$AY$25,$AO$30:$AY$38,$AO$42:$AY$50,$AO$54:$AY$62,$AO$66:$AY$74,$BI$5:$BS$13,$BI$17:$BS$25,$BI$29:$BS$37,$BI$41:$BS$49,$BI$53:$BS$61,$BI$65:$BS$73,$BY$5:$CI$13,$BY$17:$CI$25),MATCH($L$29,$AN$5:$AN$13,0),MATCH(A34,$AO$4:$AY$4,0),MATCH($G$25,$AL$18:$AL$31,0)))*C34</f>
        <v>0</v>
      </c>
      <c r="AC35" s="20">
        <f>(INDEX(($AO$5:$AY$13,$AO$17:$AY$25,$AO$30:$AY$38,$AO$42:$AY$50,$AO$54:$AY$62,$AO$66:$AY$74,$BI$5:$BS$13,$BI$17:$BS$25,$BI$29:$BS$37,$BI$41:$BS$49,$BI$53:$BS$61,$BI$65:$BS$73,$BY$5:$CI$13,$BY$17:$CI$25),MATCH($L$30,$AN$5:$AN$13,0),MATCH(A34,$AO$4:$AY$4,0),MATCH($G$25,$AL$18:$AL$31,0)))*C34</f>
        <v>0</v>
      </c>
      <c r="AD35" s="20">
        <f>(INDEX(($AO$5:$AY$13,$AO$17:$AY$25,$AO$30:$AY$38,$AO$42:$AY$50,$AO$54:$AY$62,$AO$66:$AY$74,$BI$5:$BS$13,$BI$17:$BS$25,$BI$29:$BS$37,$BI$41:$BS$49,$BI$53:$BS$61,$BI$65:$BS$73,$BY$5:$CI$13,$BY$17:$CI$25),MATCH($L$31,$AN$5:$AN$13,0),MATCH(A34,$AO$4:$AY$4,0),MATCH($G$25,$AL$18:$AL$31,0)))*C34</f>
        <v>0</v>
      </c>
      <c r="AE35" s="20">
        <f>(INDEX(($AO$5:$AY$13,$AO$17:$AY$25,$AO$30:$AY$38,$AO$42:$AY$50,$AO$54:$AY$62,$AO$66:$AY$74,$BI$5:$BS$13,$BI$17:$BS$25,$BI$29:$BS$37,$BI$41:$BS$49,$BI$53:$BS$61,$BI$65:$BS$73,$BY$5:$CI$13,$BY$17:$CI$25),MATCH($L$32,$AN$5:$AN$13,0),MATCH(A34,$AO$4:$AY$4,0),MATCH($G$25,$AL$18:$AL$31,0)))*C34</f>
        <v>0</v>
      </c>
      <c r="AL35" s="20" t="s">
        <v>507</v>
      </c>
      <c r="AN35" s="20" t="s">
        <v>10</v>
      </c>
      <c r="AO35" s="20">
        <v>0</v>
      </c>
      <c r="AP35" s="20">
        <v>0</v>
      </c>
      <c r="AQ35" s="20">
        <v>0</v>
      </c>
      <c r="AR35" s="20">
        <v>0</v>
      </c>
      <c r="AS35" s="20">
        <v>0</v>
      </c>
      <c r="AT35" s="20">
        <v>0</v>
      </c>
      <c r="AU35" s="20">
        <v>0</v>
      </c>
      <c r="AV35" s="20">
        <v>2</v>
      </c>
      <c r="AW35" s="20">
        <v>0</v>
      </c>
      <c r="AX35" s="20">
        <v>2</v>
      </c>
      <c r="AY35" s="20">
        <v>2</v>
      </c>
      <c r="AZ35" s="20"/>
      <c r="BA35" s="20"/>
      <c r="BB35" s="54"/>
      <c r="BC35" s="20"/>
      <c r="BD35" s="20"/>
      <c r="BE35" s="20"/>
      <c r="BF35" s="20"/>
      <c r="BG35" s="20"/>
      <c r="BH35" s="20" t="s">
        <v>212</v>
      </c>
      <c r="BI35" s="20">
        <v>0</v>
      </c>
      <c r="BJ35" s="20">
        <v>0</v>
      </c>
      <c r="BK35" s="20">
        <v>0</v>
      </c>
      <c r="BL35" s="20">
        <v>0</v>
      </c>
      <c r="BM35" s="20">
        <v>0</v>
      </c>
      <c r="BN35" s="20">
        <v>2</v>
      </c>
      <c r="BO35" s="20">
        <v>0</v>
      </c>
      <c r="BP35" s="20">
        <v>2</v>
      </c>
      <c r="BQ35" s="20">
        <v>0</v>
      </c>
      <c r="BR35" s="20">
        <v>8</v>
      </c>
      <c r="BS35" s="20">
        <v>6</v>
      </c>
      <c r="BT35" s="20"/>
      <c r="BU35" s="20"/>
      <c r="BV35" s="20"/>
      <c r="BW35" s="20"/>
      <c r="BX35" s="20"/>
      <c r="BY35" s="20"/>
      <c r="BZ35" s="20"/>
      <c r="CA35" s="20"/>
      <c r="CB35" s="20"/>
      <c r="CC35" s="20"/>
      <c r="CD35" s="20"/>
      <c r="CE35" s="20"/>
      <c r="CF35" s="20"/>
      <c r="CG35" s="20"/>
      <c r="CH35" s="20"/>
      <c r="CI35" s="20"/>
      <c r="CJ35" s="20"/>
      <c r="CK35" s="20"/>
      <c r="CL35" s="20"/>
      <c r="CM35" s="20"/>
    </row>
    <row r="36" spans="1:91" x14ac:dyDescent="0.25">
      <c r="A36" s="8"/>
      <c r="B36" s="6" t="s">
        <v>116</v>
      </c>
      <c r="C36" s="8"/>
      <c r="D36" s="4"/>
      <c r="E36" s="4"/>
      <c r="F36" s="4"/>
      <c r="G36" s="4"/>
      <c r="H36" s="4"/>
      <c r="I36" s="4"/>
      <c r="J36" s="4"/>
      <c r="K36" s="4"/>
      <c r="L36" s="6" t="str">
        <f>IF(E28=BB25,"CC55H50/0,6NMC",IF(E28=BB26,"CC55H50/0,7NMC",0))</f>
        <v>CC55H50/0,7NMC</v>
      </c>
      <c r="M36" s="14">
        <f>INDEX(cennik!$C$2:$L$529,MATCH($L36,cennik!$B$2:$B$522,0),MATCH(M$2,cennik!$C$1:$L$1,0))</f>
        <v>895407</v>
      </c>
      <c r="N36" s="14" t="str">
        <f>INDEX(cennik!$C$2:$L$529,MATCH($L36,cennik!$B$2:$B$522,0),MATCH(N$2,cennik!$C$1:$L$1,0))</f>
        <v>szt.</v>
      </c>
      <c r="O36" s="14">
        <f>O35</f>
        <v>0</v>
      </c>
      <c r="P36" s="22">
        <f>INDEX(cennik!$C$2:$L$529,MATCH($L36,cennik!$B$2:$B$522,0),MATCH(P$2,cennik!$C$1:$L$1,0))</f>
        <v>22.87</v>
      </c>
      <c r="Q36" s="22">
        <f>O36*P36</f>
        <v>0</v>
      </c>
      <c r="R36" s="23">
        <f t="shared" si="6"/>
        <v>0</v>
      </c>
      <c r="S36" s="22">
        <f t="shared" si="7"/>
        <v>22.87</v>
      </c>
      <c r="T36" s="22">
        <f>O36*S36</f>
        <v>0</v>
      </c>
      <c r="U36" s="22">
        <f>INDEX(cennik!$C$2:$L$529,MATCH($L36,cennik!$B$2:$B$522,0),MATCH(U$2,cennik!$C$1:$L$1,0))*O36</f>
        <v>0</v>
      </c>
      <c r="W36" s="20">
        <f>(INDEX(($AO$5:$AY$13,$AO$17:$AY$25,$AO$30:$AY$38,$AO$42:$AY$50,$AO$54:$AY$62,$AO$66:$AY$74,$BI$5:$BS$13,$BI$17:$BS$25,$BI$29:$BS$37,$BI$41:$BS$49,$BI$53:$BS$61,$BI$65:$BS$73,$BY$5:$CI$13,$BY$17:$CI$25),MATCH($L$33,$AN$5:$AN$13,0),MATCH(A35,$AO$4:$AY$4,0),MATCH($G$25,$AL$18:$AL$31,0)))*C35</f>
        <v>0</v>
      </c>
      <c r="X36" s="20">
        <f>(INDEX(($AO$5:$AY$13,$AO$17:$AY$25,$AO$30:$AY$38,$AO$42:$AY$50,$AO$54:$AY$62,$AO$66:$AY$74,$BI$5:$BS$13,$BI$17:$BS$25,$BI$29:$BS$37,$BI$41:$BS$49,$BI$53:$BS$61,$BI$65:$BS$73,$BY$5:$CI$13,$BY$17:$CI$25),MATCH($L$25,$AN$5:$AN$13,0),MATCH(A35,$AO$4:$AY$4,0),MATCH($G$25,$AL$18:$AL$31,0)))*C35</f>
        <v>0</v>
      </c>
      <c r="Y36" s="20">
        <f>(INDEX(($AO$5:$AY$13,$AO$17:$AY$25,$AO$30:$AY$38,$AO$42:$AY$50,$AO$54:$AY$62,$AO$66:$AY$74,$BI$5:$BS$13,$BI$17:$BS$25,$BI$29:$BS$37,$BI$41:$BS$49,$BI$53:$BS$61,$BI$65:$BS$73,$BY$5:$CI$13,$BY$17:$CI$25),MATCH($L$26,$AN$5:$AN$13,0),MATCH(A35,$AO$4:$AY$4,0),MATCH($G$25,$AL$18:$AL$31,0)))*C35</f>
        <v>0</v>
      </c>
      <c r="Z36" s="20">
        <f>(INDEX(($AO$5:$AY$13,$AO$17:$AY$25,$AO$30:$AY$38,$AO$42:$AY$50,$AO$54:$AY$62,$AO$66:$AY$74,$BI$5:$BS$13,$BI$17:$BS$25,$BI$29:$BS$37,$BI$41:$BS$49,$BI$53:$BS$61,$BI$65:$BS$73,$BY$5:$CI$13,$BY$17:$CI$25),MATCH($L$27,$AN$5:$AN$13,0),MATCH(A35,$AO$4:$AY$4,0),MATCH($G$25,$AL$18:$AL$31,0)))*C35</f>
        <v>0</v>
      </c>
      <c r="AA36" s="20">
        <f>(INDEX(($AO$5:$AY$13,$AO$17:$AY$25,$AO$30:$AY$38,$AO$42:$AY$50,$AO$54:$AY$62,$AO$66:$AY$74,$BI$5:$BS$13,$BI$17:$BS$25,$BI$29:$BS$37,$BI$41:$BS$49,$BI$53:$BS$61,$BI$65:$BS$73,$BY$5:$CI$13,$BY$17:$CI$25),MATCH($L$28,$AN$5:$AN$13,0),MATCH(A35,$AO$4:$AY$4,0),MATCH($G$25,$AL$18:$AL$31,0)))*C35</f>
        <v>0</v>
      </c>
      <c r="AB36" s="20">
        <f>(INDEX(($AO$5:$AY$13,$AO$17:$AY$25,$AO$30:$AY$38,$AO$42:$AY$50,$AO$54:$AY$62,$AO$66:$AY$74,$BI$5:$BS$13,$BI$17:$BS$25,$BI$29:$BS$37,$BI$41:$BS$49,$BI$53:$BS$61,$BI$65:$BS$73,$BY$5:$CI$13,$BY$17:$CI$25),MATCH($L$29,$AN$5:$AN$13,0),MATCH(A35,$AO$4:$AY$4,0),MATCH($G$25,$AL$18:$AL$31,0)))*C35</f>
        <v>0</v>
      </c>
      <c r="AC36" s="20">
        <f>(INDEX(($AO$5:$AY$13,$AO$17:$AY$25,$AO$30:$AY$38,$AO$42:$AY$50,$AO$54:$AY$62,$AO$66:$AY$74,$BI$5:$BS$13,$BI$17:$BS$25,$BI$29:$BS$37,$BI$41:$BS$49,$BI$53:$BS$61,$BI$65:$BS$73,$BY$5:$CI$13,$BY$17:$CI$25),MATCH($L$30,$AN$5:$AN$13,0),MATCH(A35,$AO$4:$AY$4,0),MATCH($G$25,$AL$18:$AL$31,0)))*C35</f>
        <v>0</v>
      </c>
      <c r="AD36" s="20">
        <f>(INDEX(($AO$5:$AY$13,$AO$17:$AY$25,$AO$30:$AY$38,$AO$42:$AY$50,$AO$54:$AY$62,$AO$66:$AY$74,$BI$5:$BS$13,$BI$17:$BS$25,$BI$29:$BS$37,$BI$41:$BS$49,$BI$53:$BS$61,$BI$65:$BS$73,$BY$5:$CI$13,$BY$17:$CI$25),MATCH($L$31,$AN$5:$AN$13,0),MATCH(A35,$AO$4:$AY$4,0),MATCH($G$25,$AL$18:$AL$31,0)))*C35</f>
        <v>0</v>
      </c>
      <c r="AE36" s="20">
        <f>(INDEX(($AO$5:$AY$13,$AO$17:$AY$25,$AO$30:$AY$38,$AO$42:$AY$50,$AO$54:$AY$62,$AO$66:$AY$74,$BI$5:$BS$13,$BI$17:$BS$25,$BI$29:$BS$37,$BI$41:$BS$49,$BI$53:$BS$61,$BI$65:$BS$73,$BY$5:$CI$13,$BY$17:$CI$25),MATCH($L$32,$AN$5:$AN$13,0),MATCH(A35,$AO$4:$AY$4,0),MATCH($G$25,$AL$18:$AL$31,0)))*C35</f>
        <v>0</v>
      </c>
      <c r="AN36" s="20" t="s">
        <v>212</v>
      </c>
      <c r="AO36" s="20">
        <v>0</v>
      </c>
      <c r="AP36" s="20">
        <v>0</v>
      </c>
      <c r="AQ36" s="20">
        <v>0</v>
      </c>
      <c r="AR36" s="20">
        <v>2</v>
      </c>
      <c r="AS36" s="20">
        <v>0</v>
      </c>
      <c r="AT36" s="20">
        <v>0</v>
      </c>
      <c r="AU36" s="20">
        <v>4</v>
      </c>
      <c r="AV36" s="20">
        <v>0</v>
      </c>
      <c r="AW36" s="20">
        <v>0</v>
      </c>
      <c r="AX36" s="20">
        <v>2</v>
      </c>
      <c r="AY36" s="20">
        <v>0</v>
      </c>
      <c r="AZ36" s="20"/>
      <c r="BA36" s="20"/>
      <c r="BB36" s="54"/>
      <c r="BC36" s="20"/>
      <c r="BD36" s="20"/>
      <c r="BE36" s="20"/>
      <c r="BF36" s="20"/>
      <c r="BG36" s="20"/>
      <c r="BH36" s="20" t="s">
        <v>214</v>
      </c>
      <c r="BI36" s="20">
        <v>0</v>
      </c>
      <c r="BJ36" s="20">
        <v>0</v>
      </c>
      <c r="BK36" s="20">
        <v>0</v>
      </c>
      <c r="BL36" s="20">
        <v>2</v>
      </c>
      <c r="BM36" s="20">
        <v>2</v>
      </c>
      <c r="BN36" s="20">
        <v>0</v>
      </c>
      <c r="BO36" s="20">
        <v>4</v>
      </c>
      <c r="BP36" s="20">
        <v>2</v>
      </c>
      <c r="BQ36" s="20">
        <v>6</v>
      </c>
      <c r="BR36" s="20">
        <v>0</v>
      </c>
      <c r="BS36" s="20">
        <v>4</v>
      </c>
      <c r="BT36" s="20"/>
      <c r="BU36" s="20"/>
      <c r="BV36" s="20"/>
      <c r="BW36" s="20"/>
      <c r="BX36" s="20"/>
      <c r="BY36" s="20"/>
      <c r="BZ36" s="20"/>
      <c r="CA36" s="20"/>
      <c r="CB36" s="20"/>
      <c r="CC36" s="20"/>
      <c r="CD36" s="20"/>
      <c r="CE36" s="20"/>
      <c r="CF36" s="20"/>
      <c r="CG36" s="20"/>
      <c r="CH36" s="20"/>
      <c r="CI36" s="20"/>
      <c r="CJ36" s="20"/>
      <c r="CK36" s="20"/>
      <c r="CL36" s="20"/>
      <c r="CM36" s="20"/>
    </row>
    <row r="37" spans="1:91" x14ac:dyDescent="0.25">
      <c r="A37" s="8"/>
      <c r="B37" s="6" t="s">
        <v>116</v>
      </c>
      <c r="C37" s="8"/>
      <c r="D37" s="4"/>
      <c r="E37" s="4"/>
      <c r="F37" s="4"/>
      <c r="G37" s="4"/>
      <c r="H37" s="4"/>
      <c r="I37" s="4"/>
      <c r="J37" s="4"/>
      <c r="K37" s="4"/>
      <c r="L37" s="6" t="str">
        <f>INDEX(($AH$3:$AI$12),MATCH(I25,$AG$3:$AG$12,0),MATCH(E26,$AH$2:$AI$2,0))</f>
        <v>BUF35</v>
      </c>
      <c r="M37" s="14">
        <f>INDEX(cennik!$C$2:$L$529,MATCH($L37,cennik!$B$2:$B$522,0),MATCH(M$2,cennik!$C$1:$L$1,0))</f>
        <v>897335</v>
      </c>
      <c r="N37" s="14" t="str">
        <f>INDEX(cennik!$C$2:$L$529,MATCH($L37,cennik!$B$2:$B$522,0),MATCH(N$2,cennik!$C$1:$L$1,0))</f>
        <v>szt.</v>
      </c>
      <c r="O37" s="14">
        <f>SUM(IF(A24=0,0,IF((A24&gt;0),C24*4)),IF(A25=0,0,IF((A25&gt;0),C25*4)),IF(A26=0,0,IF((A26&gt;0),C26*4)),IF(A27=0,0,IF((A27&gt;0),C27*4)),IF(A28=0,0,IF((A28&gt;0),C28*4)),IF(A29=0,0,IF((A29&gt;0),C29*4)),IF(A30=0,0,IF((A30&gt;0),C30*4)),IF(A31=0,0,IF((A31&gt;0),C31*4)),IF(A32=0,0,IF((A32&gt;0),C32*4)),IF(A33=0,0,IF((A33&gt;0),C33*4)),IF(A34=0,0,IF((A34&gt;0),C34*4)),IF(A35=0,0,IF((A35&gt;0),C35*4)),IF(A36=0,0,IF((A36&gt;0),C36*4)),IF(A37=0,0,IF((A37&gt;0),C37*4)),IF(A38=0,0,IF((A38&gt;0),C38*4)),,IF(A39=0,0,IF((A39&gt;0),C39*4)))</f>
        <v>0</v>
      </c>
      <c r="P37" s="22">
        <f>INDEX(cennik!$C$2:$L$529,MATCH($L37,cennik!$B$2:$B$522,0),MATCH(P$2,cennik!$C$1:$L$1,0))</f>
        <v>1.92</v>
      </c>
      <c r="Q37" s="22">
        <f t="shared" si="5"/>
        <v>0</v>
      </c>
      <c r="R37" s="23">
        <f t="shared" si="6"/>
        <v>0</v>
      </c>
      <c r="S37" s="22">
        <f t="shared" si="7"/>
        <v>1.92</v>
      </c>
      <c r="T37" s="22">
        <f t="shared" si="8"/>
        <v>0</v>
      </c>
      <c r="U37" s="22">
        <f>INDEX(cennik!$C$2:$L$529,MATCH($L37,cennik!$B$2:$B$522,0),MATCH(U$2,cennik!$C$1:$L$1,0))*O37</f>
        <v>0</v>
      </c>
      <c r="W37" s="20">
        <f>(INDEX(($AO$5:$AY$13,$AO$17:$AY$25,$AO$30:$AY$38,$AO$42:$AY$50,$AO$54:$AY$62,$AO$66:$AY$74,$BI$5:$BS$13,$BI$17:$BS$25,$BI$29:$BS$37,$BI$41:$BS$49,$BI$53:$BS$61,$BI$65:$BS$73,$BY$5:$CI$13,$BY$17:$CI$25),MATCH($L$33,$AN$5:$AN$13,0),MATCH(A36,$AO$4:$AY$4,0),MATCH($G$25,$AL$18:$AL$31,0)))*C36</f>
        <v>0</v>
      </c>
      <c r="X37" s="20">
        <f>(INDEX(($AO$5:$AY$13,$AO$17:$AY$25,$AO$30:$AY$38,$AO$42:$AY$50,$AO$54:$AY$62,$AO$66:$AY$74,$BI$5:$BS$13,$BI$17:$BS$25,$BI$29:$BS$37,$BI$41:$BS$49,$BI$53:$BS$61,$BI$65:$BS$73,$BY$5:$CI$13,$BY$17:$CI$25),MATCH($L$25,$AN$5:$AN$13,0),MATCH(A36,$AO$4:$AY$4,0),MATCH($G$25,$AL$18:$AL$31,0)))*C36</f>
        <v>0</v>
      </c>
      <c r="Y37" s="20">
        <f>(INDEX(($AO$5:$AY$13,$AO$17:$AY$25,$AO$30:$AY$38,$AO$42:$AY$50,$AO$54:$AY$62,$AO$66:$AY$74,$BI$5:$BS$13,$BI$17:$BS$25,$BI$29:$BS$37,$BI$41:$BS$49,$BI$53:$BS$61,$BI$65:$BS$73,$BY$5:$CI$13,$BY$17:$CI$25),MATCH($L$26,$AN$5:$AN$13,0),MATCH(A36,$AO$4:$AY$4,0),MATCH($G$25,$AL$18:$AL$31,0)))*C36</f>
        <v>0</v>
      </c>
      <c r="Z37" s="20">
        <f>(INDEX(($AO$5:$AY$13,$AO$17:$AY$25,$AO$30:$AY$38,$AO$42:$AY$50,$AO$54:$AY$62,$AO$66:$AY$74,$BI$5:$BS$13,$BI$17:$BS$25,$BI$29:$BS$37,$BI$41:$BS$49,$BI$53:$BS$61,$BI$65:$BS$73,$BY$5:$CI$13,$BY$17:$CI$25),MATCH($L$27,$AN$5:$AN$13,0),MATCH(A36,$AO$4:$AY$4,0),MATCH($G$25,$AL$18:$AL$31,0)))*C36</f>
        <v>0</v>
      </c>
      <c r="AA37" s="20">
        <f>(INDEX(($AO$5:$AY$13,$AO$17:$AY$25,$AO$30:$AY$38,$AO$42:$AY$50,$AO$54:$AY$62,$AO$66:$AY$74,$BI$5:$BS$13,$BI$17:$BS$25,$BI$29:$BS$37,$BI$41:$BS$49,$BI$53:$BS$61,$BI$65:$BS$73,$BY$5:$CI$13,$BY$17:$CI$25),MATCH($L$28,$AN$5:$AN$13,0),MATCH(A36,$AO$4:$AY$4,0),MATCH($G$25,$AL$18:$AL$31,0)))*C36</f>
        <v>0</v>
      </c>
      <c r="AB37" s="20">
        <f>(INDEX(($AO$5:$AY$13,$AO$17:$AY$25,$AO$30:$AY$38,$AO$42:$AY$50,$AO$54:$AY$62,$AO$66:$AY$74,$BI$5:$BS$13,$BI$17:$BS$25,$BI$29:$BS$37,$BI$41:$BS$49,$BI$53:$BS$61,$BI$65:$BS$73,$BY$5:$CI$13,$BY$17:$CI$25),MATCH($L$29,$AN$5:$AN$13,0),MATCH(A36,$AO$4:$AY$4,0),MATCH($G$25,$AL$18:$AL$31,0)))*C36</f>
        <v>0</v>
      </c>
      <c r="AC37" s="20">
        <f>(INDEX(($AO$5:$AY$13,$AO$17:$AY$25,$AO$30:$AY$38,$AO$42:$AY$50,$AO$54:$AY$62,$AO$66:$AY$74,$BI$5:$BS$13,$BI$17:$BS$25,$BI$29:$BS$37,$BI$41:$BS$49,$BI$53:$BS$61,$BI$65:$BS$73,$BY$5:$CI$13,$BY$17:$CI$25),MATCH($L$30,$AN$5:$AN$13,0),MATCH(A36,$AO$4:$AY$4,0),MATCH($G$25,$AL$18:$AL$31,0)))*C36</f>
        <v>0</v>
      </c>
      <c r="AD37" s="20">
        <f>(INDEX(($AO$5:$AY$13,$AO$17:$AY$25,$AO$30:$AY$38,$AO$42:$AY$50,$AO$54:$AY$62,$AO$66:$AY$74,$BI$5:$BS$13,$BI$17:$BS$25,$BI$29:$BS$37,$BI$41:$BS$49,$BI$53:$BS$61,$BI$65:$BS$73,$BY$5:$CI$13,$BY$17:$CI$25),MATCH($L$31,$AN$5:$AN$13,0),MATCH(A36,$AO$4:$AY$4,0),MATCH($G$25,$AL$18:$AL$31,0)))*C36</f>
        <v>0</v>
      </c>
      <c r="AE37" s="20">
        <f>(INDEX(($AO$5:$AY$13,$AO$17:$AY$25,$AO$30:$AY$38,$AO$42:$AY$50,$AO$54:$AY$62,$AO$66:$AY$74,$BI$5:$BS$13,$BI$17:$BS$25,$BI$29:$BS$37,$BI$41:$BS$49,$BI$53:$BS$61,$BI$65:$BS$73,$BY$5:$CI$13,$BY$17:$CI$25),MATCH($L$32,$AN$5:$AN$13,0),MATCH(A36,$AO$4:$AY$4,0),MATCH($G$25,$AL$18:$AL$31,0)))*C36</f>
        <v>0</v>
      </c>
      <c r="AN37" s="20" t="s">
        <v>214</v>
      </c>
      <c r="AO37" s="20">
        <v>0</v>
      </c>
      <c r="AP37" s="20">
        <v>0</v>
      </c>
      <c r="AQ37" s="20">
        <v>0</v>
      </c>
      <c r="AR37" s="20">
        <v>0</v>
      </c>
      <c r="AS37" s="20">
        <v>2</v>
      </c>
      <c r="AT37" s="20">
        <v>2</v>
      </c>
      <c r="AU37" s="20">
        <v>0</v>
      </c>
      <c r="AV37" s="20">
        <v>2</v>
      </c>
      <c r="AW37" s="20">
        <v>4</v>
      </c>
      <c r="AX37" s="20">
        <v>2</v>
      </c>
      <c r="AY37" s="20">
        <v>4</v>
      </c>
      <c r="AZ37" s="20"/>
      <c r="BA37" s="20"/>
      <c r="BB37" s="54"/>
      <c r="BC37" s="20"/>
      <c r="BD37" s="20"/>
      <c r="BE37" s="20"/>
      <c r="BF37" s="20"/>
      <c r="BG37" s="20"/>
      <c r="BH37" s="20" t="s">
        <v>11</v>
      </c>
      <c r="BI37" s="20">
        <v>0</v>
      </c>
      <c r="BJ37" s="20">
        <v>0</v>
      </c>
      <c r="BK37" s="20">
        <v>2</v>
      </c>
      <c r="BL37" s="20">
        <v>2</v>
      </c>
      <c r="BM37" s="20">
        <v>4</v>
      </c>
      <c r="BN37" s="20">
        <v>4</v>
      </c>
      <c r="BO37" s="20">
        <v>6</v>
      </c>
      <c r="BP37" s="20">
        <v>6</v>
      </c>
      <c r="BQ37" s="20">
        <v>8</v>
      </c>
      <c r="BR37" s="20">
        <v>8</v>
      </c>
      <c r="BS37" s="20">
        <v>10</v>
      </c>
      <c r="BT37" s="20"/>
      <c r="BU37" s="20"/>
      <c r="BV37" s="20"/>
      <c r="BW37" s="20"/>
      <c r="BX37" s="20"/>
      <c r="BY37" s="20"/>
      <c r="BZ37" s="20"/>
      <c r="CA37" s="20"/>
      <c r="CB37" s="20"/>
      <c r="CC37" s="20"/>
      <c r="CD37" s="20"/>
      <c r="CE37" s="20"/>
      <c r="CF37" s="20"/>
      <c r="CG37" s="20"/>
      <c r="CH37" s="20"/>
      <c r="CI37" s="20"/>
      <c r="CJ37" s="20"/>
      <c r="CK37" s="20"/>
      <c r="CL37" s="20"/>
      <c r="CM37" s="20"/>
    </row>
    <row r="38" spans="1:91" x14ac:dyDescent="0.25">
      <c r="A38" s="8"/>
      <c r="B38" s="6" t="s">
        <v>116</v>
      </c>
      <c r="C38" s="8"/>
      <c r="F38" s="4"/>
      <c r="G38" s="4"/>
      <c r="H38" s="4"/>
      <c r="I38" s="4"/>
      <c r="J38" s="4"/>
      <c r="K38" s="4"/>
      <c r="L38" s="6" t="str">
        <f>INDEX(($AH$13:$AI$13),1,MATCH(E26,$AH$2:$AI$2,0))</f>
        <v>PUF</v>
      </c>
      <c r="M38" s="14">
        <f>INDEX(cennik!$C$2:$L$529,MATCH($L38,cennik!$B$2:$B$522,0),MATCH(M$2,cennik!$C$1:$L$1,0))</f>
        <v>897300</v>
      </c>
      <c r="N38" s="14" t="str">
        <f>INDEX(cennik!$C$2:$L$529,MATCH($L38,cennik!$B$2:$B$522,0),MATCH(N$2,cennik!$C$1:$L$1,0))</f>
        <v>szt.</v>
      </c>
      <c r="O38" s="14">
        <f>SUM(IF(A24=0,0,IF(A24&gt;0,(A24-1)*2*C24)),IF(A25=0,0,IF(A25&gt;0,(A25-1)*2*C25)),IF(A26=0,0,IF(A26&gt;0,(A26-1)*2*C26)),IF(A27=0,0,IF(A27&gt;0,(A27-1)*2*C27)),IF(A28=0,0,IF(A28&gt;0,(A28-1)*2*C28)),IF(A29=0,0,IF(A29&gt;0,(A29-1)*2*C29)),IF(A30=0,0,IF(A30&gt;0,(A30-1)*2*C30)),IF(A31=0,0,IF(A31&gt;0,(A31-1)*2*C31)),IF(A32=0,0,IF(A32&gt;0,(A32-1)*2*C32)),IF(A33=0,0,IF(A33&gt;0,(A33-1)*2*C33)),IF(A34=0,0,IF(A34&gt;0,(A34-1)*2*C34)),IF(A35=0,0,IF(A35&gt;0,(A35-1)*2*C35)),IF(A36=0,0,IF(A36&gt;0,(A36-1)*2*C36)),IF(A37=0,0,IF(A37&gt;0,(A37-1)*2*C37)),IF(A38=0,0,IF(A38&gt;0,(A38-1)*2*C38)),IF(A39=0,0,IF(A39&gt;0,(A39-1)*2*C39)))</f>
        <v>0</v>
      </c>
      <c r="P38" s="22">
        <f>INDEX(cennik!$C$2:$L$529,MATCH($L38,cennik!$B$2:$B$522,0),MATCH(P$2,cennik!$C$1:$L$1,0))</f>
        <v>2.06</v>
      </c>
      <c r="Q38" s="22">
        <f t="shared" si="5"/>
        <v>0</v>
      </c>
      <c r="R38" s="23">
        <f t="shared" si="6"/>
        <v>0</v>
      </c>
      <c r="S38" s="22">
        <f t="shared" si="7"/>
        <v>2.06</v>
      </c>
      <c r="T38" s="22">
        <f t="shared" si="8"/>
        <v>0</v>
      </c>
      <c r="U38" s="22">
        <f>INDEX(cennik!$C$2:$L$529,MATCH($L38,cennik!$B$2:$B$522,0),MATCH(U$2,cennik!$C$1:$L$1,0))*O38</f>
        <v>0</v>
      </c>
      <c r="W38" s="20">
        <f>(INDEX(($AO$5:$AY$13,$AO$17:$AY$25,$AO$30:$AY$38,$AO$42:$AY$50,$AO$54:$AY$62,$AO$66:$AY$74,$BI$5:$BS$13,$BI$17:$BS$25,$BI$29:$BS$37,$BI$41:$BS$49,$BI$53:$BS$61,$BI$65:$BS$73,$BY$5:$CI$13,$BY$17:$CI$25),MATCH($L$33,$AN$5:$AN$13,0),MATCH(A37,$AO$4:$AY$4,0),MATCH($G$25,$AL$18:$AL$31,0)))*C37</f>
        <v>0</v>
      </c>
      <c r="X38" s="20">
        <f>(INDEX(($AO$5:$AY$13,$AO$17:$AY$25,$AO$30:$AY$38,$AO$42:$AY$50,$AO$54:$AY$62,$AO$66:$AY$74,$BI$5:$BS$13,$BI$17:$BS$25,$BI$29:$BS$37,$BI$41:$BS$49,$BI$53:$BS$61,$BI$65:$BS$73,$BY$5:$CI$13,$BY$17:$CI$25),MATCH($L$25,$AN$5:$AN$13,0),MATCH(A37,$AO$4:$AY$4,0),MATCH($G$25,$AL$18:$AL$31,0)))*C37</f>
        <v>0</v>
      </c>
      <c r="Y38" s="20">
        <f>(INDEX(($AO$5:$AY$13,$AO$17:$AY$25,$AO$30:$AY$38,$AO$42:$AY$50,$AO$54:$AY$62,$AO$66:$AY$74,$BI$5:$BS$13,$BI$17:$BS$25,$BI$29:$BS$37,$BI$41:$BS$49,$BI$53:$BS$61,$BI$65:$BS$73,$BY$5:$CI$13,$BY$17:$CI$25),MATCH($L$26,$AN$5:$AN$13,0),MATCH(A37,$AO$4:$AY$4,0),MATCH($G$25,$AL$18:$AL$31,0)))*C37</f>
        <v>0</v>
      </c>
      <c r="Z38" s="20">
        <f>(INDEX(($AO$5:$AY$13,$AO$17:$AY$25,$AO$30:$AY$38,$AO$42:$AY$50,$AO$54:$AY$62,$AO$66:$AY$74,$BI$5:$BS$13,$BI$17:$BS$25,$BI$29:$BS$37,$BI$41:$BS$49,$BI$53:$BS$61,$BI$65:$BS$73,$BY$5:$CI$13,$BY$17:$CI$25),MATCH($L$27,$AN$5:$AN$13,0),MATCH(A37,$AO$4:$AY$4,0),MATCH($G$25,$AL$18:$AL$31,0)))*C37</f>
        <v>0</v>
      </c>
      <c r="AA38" s="20">
        <f>(INDEX(($AO$5:$AY$13,$AO$17:$AY$25,$AO$30:$AY$38,$AO$42:$AY$50,$AO$54:$AY$62,$AO$66:$AY$74,$BI$5:$BS$13,$BI$17:$BS$25,$BI$29:$BS$37,$BI$41:$BS$49,$BI$53:$BS$61,$BI$65:$BS$73,$BY$5:$CI$13,$BY$17:$CI$25),MATCH($L$28,$AN$5:$AN$13,0),MATCH(A37,$AO$4:$AY$4,0),MATCH($G$25,$AL$18:$AL$31,0)))*C37</f>
        <v>0</v>
      </c>
      <c r="AB38" s="20">
        <f>(INDEX(($AO$5:$AY$13,$AO$17:$AY$25,$AO$30:$AY$38,$AO$42:$AY$50,$AO$54:$AY$62,$AO$66:$AY$74,$BI$5:$BS$13,$BI$17:$BS$25,$BI$29:$BS$37,$BI$41:$BS$49,$BI$53:$BS$61,$BI$65:$BS$73,$BY$5:$CI$13,$BY$17:$CI$25),MATCH($L$29,$AN$5:$AN$13,0),MATCH(A37,$AO$4:$AY$4,0),MATCH($G$25,$AL$18:$AL$31,0)))*C37</f>
        <v>0</v>
      </c>
      <c r="AC38" s="20">
        <f>(INDEX(($AO$5:$AY$13,$AO$17:$AY$25,$AO$30:$AY$38,$AO$42:$AY$50,$AO$54:$AY$62,$AO$66:$AY$74,$BI$5:$BS$13,$BI$17:$BS$25,$BI$29:$BS$37,$BI$41:$BS$49,$BI$53:$BS$61,$BI$65:$BS$73,$BY$5:$CI$13,$BY$17:$CI$25),MATCH($L$30,$AN$5:$AN$13,0),MATCH(A37,$AO$4:$AY$4,0),MATCH($G$25,$AL$18:$AL$31,0)))*C37</f>
        <v>0</v>
      </c>
      <c r="AD38" s="20">
        <f>(INDEX(($AO$5:$AY$13,$AO$17:$AY$25,$AO$30:$AY$38,$AO$42:$AY$50,$AO$54:$AY$62,$AO$66:$AY$74,$BI$5:$BS$13,$BI$17:$BS$25,$BI$29:$BS$37,$BI$41:$BS$49,$BI$53:$BS$61,$BI$65:$BS$73,$BY$5:$CI$13,$BY$17:$CI$25),MATCH($L$31,$AN$5:$AN$13,0),MATCH(A37,$AO$4:$AY$4,0),MATCH($G$25,$AL$18:$AL$31,0)))*C37</f>
        <v>0</v>
      </c>
      <c r="AE38" s="20">
        <f>(INDEX(($AO$5:$AY$13,$AO$17:$AY$25,$AO$30:$AY$38,$AO$42:$AY$50,$AO$54:$AY$62,$AO$66:$AY$74,$BI$5:$BS$13,$BI$17:$BS$25,$BI$29:$BS$37,$BI$41:$BS$49,$BI$53:$BS$61,$BI$65:$BS$73,$BY$5:$CI$13,$BY$17:$CI$25),MATCH($L$32,$AN$5:$AN$13,0),MATCH(A37,$AO$4:$AY$4,0),MATCH($G$25,$AL$18:$AL$31,0)))*C37</f>
        <v>0</v>
      </c>
      <c r="AN38" s="20" t="s">
        <v>11</v>
      </c>
      <c r="AO38" s="20">
        <v>0</v>
      </c>
      <c r="AP38" s="20">
        <v>0</v>
      </c>
      <c r="AQ38" s="20">
        <v>2</v>
      </c>
      <c r="AR38" s="20">
        <v>0</v>
      </c>
      <c r="AS38" s="20">
        <v>2</v>
      </c>
      <c r="AT38" s="20">
        <v>2</v>
      </c>
      <c r="AU38" s="20">
        <v>2</v>
      </c>
      <c r="AV38" s="20">
        <v>4</v>
      </c>
      <c r="AW38" s="20">
        <v>4</v>
      </c>
      <c r="AX38" s="20">
        <v>4</v>
      </c>
      <c r="AY38" s="20">
        <v>6</v>
      </c>
      <c r="AZ38" s="20"/>
      <c r="BA38" s="20"/>
      <c r="BB38" s="54"/>
      <c r="BC38" s="20"/>
      <c r="BD38" s="20"/>
      <c r="BE38" s="20"/>
      <c r="BF38" s="20"/>
      <c r="BG38" s="20"/>
      <c r="BT38" s="20"/>
      <c r="BU38" s="20"/>
      <c r="BV38" s="20"/>
      <c r="BW38" s="20"/>
      <c r="BX38" s="20"/>
      <c r="BY38" s="20"/>
      <c r="BZ38" s="20"/>
      <c r="CA38" s="20"/>
      <c r="CB38" s="20"/>
      <c r="CC38" s="20"/>
      <c r="CD38" s="20"/>
      <c r="CE38" s="20"/>
      <c r="CF38" s="20"/>
      <c r="CG38" s="20"/>
      <c r="CH38" s="20"/>
      <c r="CI38" s="20"/>
      <c r="CJ38" s="20"/>
      <c r="CK38" s="20"/>
      <c r="CL38" s="20"/>
      <c r="CM38" s="20"/>
    </row>
    <row r="39" spans="1:91" x14ac:dyDescent="0.25">
      <c r="A39" s="8"/>
      <c r="B39" s="6" t="s">
        <v>116</v>
      </c>
      <c r="C39" s="8"/>
      <c r="F39" s="4"/>
      <c r="G39" s="4"/>
      <c r="H39" s="4"/>
      <c r="I39" s="4"/>
      <c r="J39" s="4"/>
      <c r="K39" s="4"/>
      <c r="L39" s="6" t="str">
        <f>INDEX(($AJ$3:$AJ$12),MATCH(I25,$AG$3:$AG$12,0),1)</f>
        <v>SAM8X30E</v>
      </c>
      <c r="M39" s="14">
        <f>INDEX(cennik!$C$2:$L$529,MATCH($L39,cennik!$B$2:$B$522,0),MATCH(M$2,cennik!$C$1:$L$1,0))</f>
        <v>898530</v>
      </c>
      <c r="N39" s="14" t="str">
        <f>INDEX(cennik!$C$2:$L$529,MATCH($L39,cennik!$B$2:$B$522,0),MATCH(N$2,cennik!$C$1:$L$1,0))</f>
        <v>szt.</v>
      </c>
      <c r="O39" s="14">
        <f>SUM(O37:O38)</f>
        <v>0</v>
      </c>
      <c r="P39" s="22">
        <f>INDEX(cennik!$C$2:$L$529,MATCH($L39,cennik!$B$2:$B$522,0),MATCH(P$2,cennik!$C$1:$L$1,0))</f>
        <v>0.5</v>
      </c>
      <c r="Q39" s="22">
        <f t="shared" si="5"/>
        <v>0</v>
      </c>
      <c r="R39" s="23">
        <f t="shared" si="6"/>
        <v>0</v>
      </c>
      <c r="S39" s="22">
        <f t="shared" si="7"/>
        <v>0.5</v>
      </c>
      <c r="T39" s="22">
        <f t="shared" si="8"/>
        <v>0</v>
      </c>
      <c r="U39" s="22">
        <f>INDEX(cennik!$C$2:$L$529,MATCH($L39,cennik!$B$2:$B$522,0),MATCH(U$2,cennik!$C$1:$L$1,0))*O39</f>
        <v>0</v>
      </c>
      <c r="W39" s="20">
        <f>(INDEX(($AO$5:$AY$13,$AO$17:$AY$25,$AO$30:$AY$38,$AO$42:$AY$50,$AO$54:$AY$62,$AO$66:$AY$74,$BI$5:$BS$13,$BI$17:$BS$25,$BI$29:$BS$37,$BI$41:$BS$49,$BI$53:$BS$61,$BI$65:$BS$73,$BY$5:$CI$13,$BY$17:$CI$25),MATCH($L$33,$AN$5:$AN$13,0),MATCH(A38,$AO$4:$AY$4,0),MATCH($G$25,$AL$18:$AL$31,0)))*C38</f>
        <v>0</v>
      </c>
      <c r="X39" s="20">
        <f>(INDEX(($AO$5:$AY$13,$AO$17:$AY$25,$AO$30:$AY$38,$AO$42:$AY$50,$AO$54:$AY$62,$AO$66:$AY$74,$BI$5:$BS$13,$BI$17:$BS$25,$BI$29:$BS$37,$BI$41:$BS$49,$BI$53:$BS$61,$BI$65:$BS$73,$BY$5:$CI$13,$BY$17:$CI$25),MATCH($L$25,$AN$5:$AN$13,0),MATCH(A38,$AO$4:$AY$4,0),MATCH($G$25,$AL$18:$AL$31,0)))*C38</f>
        <v>0</v>
      </c>
      <c r="Y39" s="20">
        <f>(INDEX(($AO$5:$AY$13,$AO$17:$AY$25,$AO$30:$AY$38,$AO$42:$AY$50,$AO$54:$AY$62,$AO$66:$AY$74,$BI$5:$BS$13,$BI$17:$BS$25,$BI$29:$BS$37,$BI$41:$BS$49,$BI$53:$BS$61,$BI$65:$BS$73,$BY$5:$CI$13,$BY$17:$CI$25),MATCH($L$26,$AN$5:$AN$13,0),MATCH(A38,$AO$4:$AY$4,0),MATCH($G$25,$AL$18:$AL$31,0)))*C38</f>
        <v>0</v>
      </c>
      <c r="Z39" s="20">
        <f>(INDEX(($AO$5:$AY$13,$AO$17:$AY$25,$AO$30:$AY$38,$AO$42:$AY$50,$AO$54:$AY$62,$AO$66:$AY$74,$BI$5:$BS$13,$BI$17:$BS$25,$BI$29:$BS$37,$BI$41:$BS$49,$BI$53:$BS$61,$BI$65:$BS$73,$BY$5:$CI$13,$BY$17:$CI$25),MATCH($L$27,$AN$5:$AN$13,0),MATCH(A38,$AO$4:$AY$4,0),MATCH($G$25,$AL$18:$AL$31,0)))*C38</f>
        <v>0</v>
      </c>
      <c r="AA39" s="20">
        <f>(INDEX(($AO$5:$AY$13,$AO$17:$AY$25,$AO$30:$AY$38,$AO$42:$AY$50,$AO$54:$AY$62,$AO$66:$AY$74,$BI$5:$BS$13,$BI$17:$BS$25,$BI$29:$BS$37,$BI$41:$BS$49,$BI$53:$BS$61,$BI$65:$BS$73,$BY$5:$CI$13,$BY$17:$CI$25),MATCH($L$28,$AN$5:$AN$13,0),MATCH(A38,$AO$4:$AY$4,0),MATCH($G$25,$AL$18:$AL$31,0)))*C38</f>
        <v>0</v>
      </c>
      <c r="AB39" s="20">
        <f>(INDEX(($AO$5:$AY$13,$AO$17:$AY$25,$AO$30:$AY$38,$AO$42:$AY$50,$AO$54:$AY$62,$AO$66:$AY$74,$BI$5:$BS$13,$BI$17:$BS$25,$BI$29:$BS$37,$BI$41:$BS$49,$BI$53:$BS$61,$BI$65:$BS$73,$BY$5:$CI$13,$BY$17:$CI$25),MATCH($L$29,$AN$5:$AN$13,0),MATCH(A38,$AO$4:$AY$4,0),MATCH($G$25,$AL$18:$AL$31,0)))*C38</f>
        <v>0</v>
      </c>
      <c r="AC39" s="20">
        <f>(INDEX(($AO$5:$AY$13,$AO$17:$AY$25,$AO$30:$AY$38,$AO$42:$AY$50,$AO$54:$AY$62,$AO$66:$AY$74,$BI$5:$BS$13,$BI$17:$BS$25,$BI$29:$BS$37,$BI$41:$BS$49,$BI$53:$BS$61,$BI$65:$BS$73,$BY$5:$CI$13,$BY$17:$CI$25),MATCH($L$30,$AN$5:$AN$13,0),MATCH(A38,$AO$4:$AY$4,0),MATCH($G$25,$AL$18:$AL$31,0)))*C38</f>
        <v>0</v>
      </c>
      <c r="AD39" s="20">
        <f>(INDEX(($AO$5:$AY$13,$AO$17:$AY$25,$AO$30:$AY$38,$AO$42:$AY$50,$AO$54:$AY$62,$AO$66:$AY$74,$BI$5:$BS$13,$BI$17:$BS$25,$BI$29:$BS$37,$BI$41:$BS$49,$BI$53:$BS$61,$BI$65:$BS$73,$BY$5:$CI$13,$BY$17:$CI$25),MATCH($L$31,$AN$5:$AN$13,0),MATCH(A38,$AO$4:$AY$4,0),MATCH($G$25,$AL$18:$AL$31,0)))*C38</f>
        <v>0</v>
      </c>
      <c r="AE39" s="20">
        <f>(INDEX(($AO$5:$AY$13,$AO$17:$AY$25,$AO$30:$AY$38,$AO$42:$AY$50,$AO$54:$AY$62,$AO$66:$AY$74,$BI$5:$BS$13,$BI$17:$BS$25,$BI$29:$BS$37,$BI$41:$BS$49,$BI$53:$BS$61,$BI$65:$BS$73,$BY$5:$CI$13,$BY$17:$CI$25),MATCH($L$32,$AN$5:$AN$13,0),MATCH(A38,$AO$4:$AY$4,0),MATCH($G$25,$AL$18:$AL$31,0)))*C38</f>
        <v>0</v>
      </c>
      <c r="AN39" s="20"/>
      <c r="AO39" s="20"/>
      <c r="AP39" s="20"/>
      <c r="AQ39" s="20"/>
      <c r="AR39" s="20"/>
      <c r="AS39" s="20"/>
      <c r="AT39" s="20"/>
      <c r="AU39" s="20"/>
      <c r="AV39" s="20"/>
      <c r="AW39" s="20"/>
      <c r="AX39" s="20"/>
      <c r="AY39" s="20"/>
      <c r="AZ39" s="20"/>
      <c r="BA39" s="20"/>
      <c r="BB39" s="54"/>
      <c r="BC39" s="20"/>
      <c r="BD39" s="20"/>
      <c r="BE39" s="20"/>
      <c r="BF39" s="20"/>
      <c r="BG39" s="20"/>
      <c r="BH39" s="20" t="s">
        <v>471</v>
      </c>
      <c r="BI39" s="20"/>
      <c r="BJ39" s="20"/>
      <c r="BK39" s="20"/>
      <c r="BL39" s="20"/>
      <c r="BM39" s="20"/>
      <c r="BN39" s="20"/>
      <c r="BO39" s="20"/>
      <c r="BP39" s="20"/>
      <c r="BQ39" s="20"/>
      <c r="BR39" s="20"/>
      <c r="BS39" s="20"/>
      <c r="BT39" s="20"/>
      <c r="BU39" s="20"/>
      <c r="BV39" s="20"/>
      <c r="BW39" s="20"/>
      <c r="BX39" s="20"/>
      <c r="BY39" s="20"/>
      <c r="BZ39" s="20"/>
      <c r="CA39" s="20"/>
      <c r="CB39" s="20"/>
      <c r="CC39" s="20"/>
      <c r="CD39" s="20"/>
      <c r="CE39" s="20"/>
      <c r="CF39" s="20"/>
      <c r="CG39" s="20"/>
      <c r="CH39" s="20"/>
      <c r="CI39" s="20"/>
      <c r="CJ39" s="20"/>
      <c r="CK39" s="20"/>
      <c r="CL39" s="20"/>
      <c r="CM39" s="20"/>
    </row>
    <row r="40" spans="1:91" x14ac:dyDescent="0.25">
      <c r="L40" s="6" t="s">
        <v>1019</v>
      </c>
      <c r="M40" s="14">
        <f>INDEX(cennik!$C$2:$L$529,MATCH($L40,cennik!$B$2:$B$522,0),MATCH(M$2,cennik!$C$1:$L$1,0))</f>
        <v>166794</v>
      </c>
      <c r="N40" s="14" t="str">
        <f>INDEX(cennik!$C$2:$L$529,MATCH($L40,cennik!$B$2:$B$522,0),MATCH(N$2,cennik!$C$1:$L$1,0))</f>
        <v>100 szt.</v>
      </c>
      <c r="O40" s="14">
        <f>ROUNDUP(O39/100,0)</f>
        <v>0</v>
      </c>
      <c r="P40" s="22">
        <f>INDEX(cennik!$C$2:$L$529,MATCH($L40,cennik!$B$2:$B$522,0),MATCH(P$2,cennik!$C$1:$L$1,0))</f>
        <v>3.95</v>
      </c>
      <c r="Q40" s="22">
        <f t="shared" si="5"/>
        <v>0</v>
      </c>
      <c r="R40" s="23">
        <f t="shared" si="6"/>
        <v>0</v>
      </c>
      <c r="S40" s="22">
        <f t="shared" si="7"/>
        <v>3.95</v>
      </c>
      <c r="T40" s="22">
        <f t="shared" si="8"/>
        <v>0</v>
      </c>
      <c r="U40" s="22">
        <f>INDEX(cennik!$C$2:$L$529,MATCH($L40,cennik!$B$2:$B$522,0),MATCH(U$2,cennik!$C$1:$L$1,0))*O40</f>
        <v>0</v>
      </c>
      <c r="W40" s="20">
        <f>(INDEX(($AO$5:$AY$13,$AO$17:$AY$25,$AO$30:$AY$38,$AO$42:$AY$50,$AO$54:$AY$62,$AO$66:$AY$74,$BI$5:$BS$13,$BI$17:$BS$25,$BI$29:$BS$37,$BI$41:$BS$49,$BI$53:$BS$61,$BI$65:$BS$73,$BY$5:$CI$13,$BY$17:$CI$25),MATCH($L$33,$AN$5:$AN$13,0),MATCH(A39,$AO$4:$AY$4,0),MATCH($G$25,$AL$18:$AL$31,0)))*C39</f>
        <v>0</v>
      </c>
      <c r="X40" s="20">
        <f>(INDEX(($AO$5:$AY$13,$AO$17:$AY$25,$AO$30:$AY$38,$AO$42:$AY$50,$AO$54:$AY$62,$AO$66:$AY$74,$BI$5:$BS$13,$BI$17:$BS$25,$BI$29:$BS$37,$BI$41:$BS$49,$BI$53:$BS$61,$BI$65:$BS$73,$BY$5:$CI$13,$BY$17:$CI$25),MATCH($L$25,$AN$5:$AN$13,0),MATCH(A39,$AO$4:$AY$4,0),MATCH($G$25,$AL$18:$AL$31,0)))*C39</f>
        <v>0</v>
      </c>
      <c r="Y40" s="20">
        <f>(INDEX(($AO$5:$AY$13,$AO$17:$AY$25,$AO$30:$AY$38,$AO$42:$AY$50,$AO$54:$AY$62,$AO$66:$AY$74,$BI$5:$BS$13,$BI$17:$BS$25,$BI$29:$BS$37,$BI$41:$BS$49,$BI$53:$BS$61,$BI$65:$BS$73,$BY$5:$CI$13,$BY$17:$CI$25),MATCH($L$26,$AN$5:$AN$13,0),MATCH(A39,$AO$4:$AY$4,0),MATCH($G$25,$AL$18:$AL$31,0)))*C39</f>
        <v>0</v>
      </c>
      <c r="Z40" s="20">
        <f>(INDEX(($AO$5:$AY$13,$AO$17:$AY$25,$AO$30:$AY$38,$AO$42:$AY$50,$AO$54:$AY$62,$AO$66:$AY$74,$BI$5:$BS$13,$BI$17:$BS$25,$BI$29:$BS$37,$BI$41:$BS$49,$BI$53:$BS$61,$BI$65:$BS$73,$BY$5:$CI$13,$BY$17:$CI$25),MATCH($L$27,$AN$5:$AN$13,0),MATCH(A39,$AO$4:$AY$4,0),MATCH($G$25,$AL$18:$AL$31,0)))*C39</f>
        <v>0</v>
      </c>
      <c r="AA40" s="20">
        <f>(INDEX(($AO$5:$AY$13,$AO$17:$AY$25,$AO$30:$AY$38,$AO$42:$AY$50,$AO$54:$AY$62,$AO$66:$AY$74,$BI$5:$BS$13,$BI$17:$BS$25,$BI$29:$BS$37,$BI$41:$BS$49,$BI$53:$BS$61,$BI$65:$BS$73,$BY$5:$CI$13,$BY$17:$CI$25),MATCH($L$28,$AN$5:$AN$13,0),MATCH(A39,$AO$4:$AY$4,0),MATCH($G$25,$AL$18:$AL$31,0)))*C39</f>
        <v>0</v>
      </c>
      <c r="AB40" s="20">
        <f>(INDEX(($AO$5:$AY$13,$AO$17:$AY$25,$AO$30:$AY$38,$AO$42:$AY$50,$AO$54:$AY$62,$AO$66:$AY$74,$BI$5:$BS$13,$BI$17:$BS$25,$BI$29:$BS$37,$BI$41:$BS$49,$BI$53:$BS$61,$BI$65:$BS$73,$BY$5:$CI$13,$BY$17:$CI$25),MATCH($L$29,$AN$5:$AN$13,0),MATCH(A39,$AO$4:$AY$4,0),MATCH($G$25,$AL$18:$AL$31,0)))*C39</f>
        <v>0</v>
      </c>
      <c r="AC40" s="20">
        <f>(INDEX(($AO$5:$AY$13,$AO$17:$AY$25,$AO$30:$AY$38,$AO$42:$AY$50,$AO$54:$AY$62,$AO$66:$AY$74,$BI$5:$BS$13,$BI$17:$BS$25,$BI$29:$BS$37,$BI$41:$BS$49,$BI$53:$BS$61,$BI$65:$BS$73,$BY$5:$CI$13,$BY$17:$CI$25),MATCH($L$30,$AN$5:$AN$13,0),MATCH(A39,$AO$4:$AY$4,0),MATCH($G$25,$AL$18:$AL$31,0)))*C39</f>
        <v>0</v>
      </c>
      <c r="AD40" s="20">
        <f>(INDEX(($AO$5:$AY$13,$AO$17:$AY$25,$AO$30:$AY$38,$AO$42:$AY$50,$AO$54:$AY$62,$AO$66:$AY$74,$BI$5:$BS$13,$BI$17:$BS$25,$BI$29:$BS$37,$BI$41:$BS$49,$BI$53:$BS$61,$BI$65:$BS$73,$BY$5:$CI$13,$BY$17:$CI$25),MATCH($L$31,$AN$5:$AN$13,0),MATCH(A39,$AO$4:$AY$4,0),MATCH($G$25,$AL$18:$AL$31,0)))*C39</f>
        <v>0</v>
      </c>
      <c r="AE40" s="20">
        <f>(INDEX(($AO$5:$AY$13,$AO$17:$AY$25,$AO$30:$AY$38,$AO$42:$AY$50,$AO$54:$AY$62,$AO$66:$AY$74,$BI$5:$BS$13,$BI$17:$BS$25,$BI$29:$BS$37,$BI$41:$BS$49,$BI$53:$BS$61,$BI$65:$BS$73,$BY$5:$CI$13,$BY$17:$CI$25),MATCH($L$32,$AN$5:$AN$13,0),MATCH(A39,$AO$4:$AY$4,0),MATCH($G$25,$AL$18:$AL$31,0)))*C39</f>
        <v>0</v>
      </c>
      <c r="AN40" s="20" t="s">
        <v>480</v>
      </c>
      <c r="AO40" s="20"/>
      <c r="AP40" s="20"/>
      <c r="AQ40" s="20"/>
      <c r="AR40" s="20"/>
      <c r="AS40" s="20"/>
      <c r="AT40" s="20"/>
      <c r="AU40" s="20"/>
      <c r="AV40" s="20"/>
      <c r="AW40" s="20"/>
      <c r="AX40" s="20"/>
      <c r="AY40" s="20"/>
      <c r="AZ40" s="20"/>
      <c r="BA40" s="20"/>
      <c r="BB40" s="54"/>
      <c r="BC40" s="20"/>
      <c r="BD40" s="20"/>
      <c r="BE40" s="20"/>
      <c r="BF40" s="20"/>
      <c r="BG40" s="20"/>
      <c r="BH40" s="20"/>
      <c r="BI40" s="20">
        <v>0</v>
      </c>
      <c r="BJ40" s="20">
        <v>1</v>
      </c>
      <c r="BK40" s="20">
        <v>2</v>
      </c>
      <c r="BL40" s="20">
        <v>3</v>
      </c>
      <c r="BM40" s="20">
        <v>4</v>
      </c>
      <c r="BN40" s="20">
        <v>5</v>
      </c>
      <c r="BO40" s="20">
        <v>6</v>
      </c>
      <c r="BP40" s="20">
        <v>7</v>
      </c>
      <c r="BQ40" s="20">
        <v>8</v>
      </c>
      <c r="BR40" s="20">
        <v>9</v>
      </c>
      <c r="BS40" s="20">
        <v>10</v>
      </c>
      <c r="BT40" s="20"/>
      <c r="BU40" s="20"/>
      <c r="BV40" s="20"/>
      <c r="BW40" s="20"/>
      <c r="BX40" s="20"/>
      <c r="BY40" s="20"/>
      <c r="BZ40" s="20"/>
      <c r="CA40" s="20"/>
      <c r="CB40" s="20"/>
      <c r="CC40" s="20"/>
      <c r="CD40" s="20"/>
      <c r="CE40" s="20"/>
      <c r="CF40" s="20"/>
      <c r="CG40" s="20"/>
      <c r="CH40" s="20"/>
      <c r="CI40" s="20"/>
      <c r="CJ40" s="20"/>
      <c r="CK40" s="20"/>
      <c r="CL40" s="20"/>
      <c r="CM40" s="20"/>
    </row>
    <row r="41" spans="1:91" x14ac:dyDescent="0.25">
      <c r="L41" s="15" t="s">
        <v>321</v>
      </c>
      <c r="M41" s="14">
        <f>INDEX(cennik!$C$2:$L$529,MATCH($L41,cennik!$B$2:$B$522,0),MATCH(M$2,cennik!$C$1:$L$1,0))</f>
        <v>890101</v>
      </c>
      <c r="N41" s="14" t="str">
        <f>INDEX(cennik!$C$2:$L$529,MATCH($L41,cennik!$B$2:$B$522,0),MATCH(N$2,cennik!$C$1:$L$1,0))</f>
        <v>szt.</v>
      </c>
      <c r="O41" s="14">
        <f>O39</f>
        <v>0</v>
      </c>
      <c r="P41" s="22">
        <f>INDEX(cennik!$C$2:$L$529,MATCH($L41,cennik!$B$2:$B$522,0),MATCH(P$2,cennik!$C$1:$L$1,0))</f>
        <v>1.99</v>
      </c>
      <c r="Q41" s="22">
        <f t="shared" si="5"/>
        <v>0</v>
      </c>
      <c r="R41" s="23">
        <f t="shared" si="6"/>
        <v>0</v>
      </c>
      <c r="S41" s="22">
        <f t="shared" si="7"/>
        <v>1.99</v>
      </c>
      <c r="T41" s="22">
        <f t="shared" si="8"/>
        <v>0</v>
      </c>
      <c r="U41" s="22">
        <f>INDEX(cennik!$C$2:$L$529,MATCH($L41,cennik!$B$2:$B$522,0),MATCH(U$2,cennik!$C$1:$L$1,0))*O41</f>
        <v>0</v>
      </c>
      <c r="AE41" s="20"/>
      <c r="AN41" s="20"/>
      <c r="AO41" s="20">
        <v>0</v>
      </c>
      <c r="AP41" s="20">
        <v>1</v>
      </c>
      <c r="AQ41" s="20">
        <v>2</v>
      </c>
      <c r="AR41" s="20">
        <v>3</v>
      </c>
      <c r="AS41" s="20">
        <v>4</v>
      </c>
      <c r="AT41" s="20">
        <v>5</v>
      </c>
      <c r="AU41" s="20">
        <v>6</v>
      </c>
      <c r="AV41" s="20">
        <v>7</v>
      </c>
      <c r="AW41" s="20">
        <v>8</v>
      </c>
      <c r="AX41" s="20">
        <v>9</v>
      </c>
      <c r="AY41" s="20">
        <v>10</v>
      </c>
      <c r="AZ41" s="20"/>
      <c r="BA41" s="20"/>
      <c r="BB41" s="54"/>
      <c r="BC41" s="20"/>
      <c r="BD41" s="20"/>
      <c r="BE41" s="20"/>
      <c r="BF41" s="20"/>
      <c r="BG41" s="20"/>
      <c r="BH41" s="20" t="s">
        <v>210</v>
      </c>
      <c r="BI41" s="20">
        <v>0</v>
      </c>
      <c r="BJ41" s="20">
        <v>0</v>
      </c>
      <c r="BK41" s="20">
        <v>2</v>
      </c>
      <c r="BL41" s="20">
        <v>0</v>
      </c>
      <c r="BM41" s="20">
        <v>0</v>
      </c>
      <c r="BN41" s="20">
        <v>0</v>
      </c>
      <c r="BO41" s="20">
        <v>2</v>
      </c>
      <c r="BP41" s="20">
        <v>0</v>
      </c>
      <c r="BQ41" s="20">
        <v>0</v>
      </c>
      <c r="BR41" s="20">
        <v>0</v>
      </c>
      <c r="BS41" s="20">
        <v>0</v>
      </c>
      <c r="BT41" s="20"/>
      <c r="BU41" s="20"/>
      <c r="BV41" s="20"/>
      <c r="BW41" s="20"/>
      <c r="BX41" s="20"/>
      <c r="BY41" s="20"/>
      <c r="BZ41" s="20"/>
      <c r="CA41" s="20"/>
      <c r="CB41" s="20"/>
      <c r="CC41" s="20"/>
      <c r="CD41" s="20"/>
      <c r="CE41" s="20"/>
      <c r="CF41" s="20"/>
      <c r="CG41" s="20"/>
      <c r="CH41" s="20"/>
      <c r="CI41" s="20"/>
      <c r="CJ41" s="20"/>
      <c r="CK41" s="20"/>
      <c r="CL41" s="20"/>
      <c r="CM41" s="20"/>
    </row>
    <row r="42" spans="1:91" x14ac:dyDescent="0.25">
      <c r="L42" s="6" t="s">
        <v>407</v>
      </c>
      <c r="M42" s="14">
        <f>INDEX(cennik!$C$2:$L$529,MATCH($L42,cennik!$B$2:$B$522,0),MATCH(M$2,cennik!$C$1:$L$1,0))</f>
        <v>651643</v>
      </c>
      <c r="N42" s="14" t="str">
        <f>INDEX(cennik!$C$2:$L$529,MATCH($L42,cennik!$B$2:$B$522,0),MATCH(N$2,cennik!$C$1:$L$1,0))</f>
        <v>100 szt.</v>
      </c>
      <c r="O42" s="14">
        <f>ROUNDUP(((O33*12)+E29+(8*O34))/100,0)</f>
        <v>0</v>
      </c>
      <c r="P42" s="22">
        <f>INDEX(cennik!$C$2:$L$529,MATCH($L42,cennik!$B$2:$B$522,0),MATCH(P$2,cennik!$C$1:$L$1,0))</f>
        <v>144.19</v>
      </c>
      <c r="Q42" s="22">
        <f t="shared" si="5"/>
        <v>0</v>
      </c>
      <c r="R42" s="23">
        <f t="shared" si="6"/>
        <v>0</v>
      </c>
      <c r="S42" s="22">
        <f t="shared" si="7"/>
        <v>144.19</v>
      </c>
      <c r="T42" s="22">
        <f t="shared" si="8"/>
        <v>0</v>
      </c>
      <c r="U42" s="22">
        <f>INDEX(cennik!$C$2:$L$529,MATCH($L42,cennik!$B$2:$B$522,0),MATCH(U$2,cennik!$C$1:$L$1,0))*O42</f>
        <v>0</v>
      </c>
      <c r="AE42" s="20"/>
      <c r="AN42" s="20" t="s">
        <v>210</v>
      </c>
      <c r="AO42" s="20">
        <v>0</v>
      </c>
      <c r="AP42" s="20">
        <v>0</v>
      </c>
      <c r="AQ42" s="20">
        <v>0</v>
      </c>
      <c r="AR42" s="20">
        <v>0</v>
      </c>
      <c r="AS42" s="20">
        <v>0</v>
      </c>
      <c r="AT42" s="20">
        <v>0</v>
      </c>
      <c r="AU42" s="20">
        <v>0</v>
      </c>
      <c r="AV42" s="20">
        <v>2</v>
      </c>
      <c r="AW42" s="20">
        <v>0</v>
      </c>
      <c r="AX42" s="20">
        <v>0</v>
      </c>
      <c r="AY42" s="20">
        <v>2</v>
      </c>
      <c r="AZ42" s="20"/>
      <c r="BA42" s="20"/>
      <c r="BB42" s="54"/>
      <c r="BC42" s="20"/>
      <c r="BD42" s="20"/>
      <c r="BE42" s="20"/>
      <c r="BF42" s="20"/>
      <c r="BG42" s="20"/>
      <c r="BH42" s="20" t="s">
        <v>9</v>
      </c>
      <c r="BI42" s="20">
        <v>0</v>
      </c>
      <c r="BJ42" s="20">
        <v>0</v>
      </c>
      <c r="BK42" s="20">
        <v>0</v>
      </c>
      <c r="BL42" s="20">
        <v>0</v>
      </c>
      <c r="BM42" s="20">
        <v>2</v>
      </c>
      <c r="BN42" s="20">
        <v>0</v>
      </c>
      <c r="BO42" s="20">
        <v>0</v>
      </c>
      <c r="BP42" s="20">
        <v>0</v>
      </c>
      <c r="BQ42" s="20">
        <v>0</v>
      </c>
      <c r="BR42" s="20">
        <v>0</v>
      </c>
      <c r="BS42" s="20">
        <v>0</v>
      </c>
      <c r="BT42" s="20"/>
      <c r="BU42" s="20"/>
      <c r="BV42" s="20"/>
      <c r="BW42" s="20"/>
      <c r="BX42" s="20"/>
      <c r="BY42" s="20"/>
      <c r="BZ42" s="20"/>
      <c r="CA42" s="20"/>
      <c r="CB42" s="20"/>
      <c r="CC42" s="20"/>
      <c r="CD42" s="20"/>
      <c r="CE42" s="20"/>
      <c r="CF42" s="20"/>
      <c r="CG42" s="20"/>
      <c r="CH42" s="20"/>
      <c r="CI42" s="20"/>
      <c r="CJ42" s="20"/>
      <c r="CK42" s="20"/>
      <c r="CL42" s="20"/>
      <c r="CM42" s="20"/>
    </row>
    <row r="43" spans="1:91" x14ac:dyDescent="0.25">
      <c r="L43" s="6" t="s">
        <v>128</v>
      </c>
      <c r="M43" s="14">
        <f>INDEX(cennik!$C$2:$L$529,MATCH($L43,cennik!$B$2:$B$522,0),MATCH(M$2,cennik!$C$1:$L$1,0))</f>
        <v>897303</v>
      </c>
      <c r="N43" s="14" t="str">
        <f>INDEX(cennik!$C$2:$L$529,MATCH($L43,cennik!$B$2:$B$522,0),MATCH(N$2,cennik!$C$1:$L$1,0))</f>
        <v>szt.</v>
      </c>
      <c r="O43" s="14">
        <f>SUM((IF(MOD(A24,2)=0,A24/2,IF(MOD(A24,2)=1,FLOOR(A24/2,1)+1,0))*C24),(IF(MOD(A25,2)=0,A25/2,IF(MOD(A25,2)=1,FLOOR(A25/2,1)+1,0))*C25),(IF(MOD(A26,2)=0,A26/2,IF(MOD(A26,2)=1,FLOOR(A26/2,1)+1,0))*C26),(IF(MOD(A27,2)=0,A27/2,IF(MOD(A27,2)=1,FLOOR(A27/2,1)+1,0))*C27),(IF(MOD(A28,2)=0,A28/2,IF(MOD(A28,2)=1,FLOOR(A28/2,1)+1,0))*C28),(IF(MOD(A29,2)=0,A29/2,IF(MOD(A29,2)=1,FLOOR(A29/2,1)+1,0))*C29),(IF(MOD(A30,2)=0,A30/2,IF(MOD(A30,2)=1,FLOOR(A30/2,1)+1,0))*C30),(IF(MOD(A31,2)=0,A31/2,IF(MOD(A31,2)=1,FLOOR(A31/2,1)+1,0))*C31),(IF(MOD(A32,2)=0,A32/2,IF(MOD(A32,2)=1,FLOOR(A32/2,1)+1,0))*C32),(IF(MOD(A33,2)=0,A33/2,IF(MOD(A33,2)=1,FLOOR(A33/2,1)+1,0))*C33),(IF(MOD(A34,2)=0,A34/2,IF(MOD(A34,2)=1,FLOOR(A34/2,1)+1,0))*C34),(IF(MOD(A35,2)=0,A35/2,IF(MOD(A35,2)=1,FLOOR(A35/2,1)+1,0))*C35),(IF(MOD(A36,2)=0,A36/2,IF(MOD(A36,2)=1,FLOOR(A36/2,1)+1,0))*C36),(IF(MOD(A37,2)=0,A37/2,IF(MOD(A37,2)=1,FLOOR(A37/2,1)+1,0))*C37),(IF(MOD(A38,2)=0,A38/2,IF(MOD(A38,2)=1,FLOOR(A38/2,1)+1,0))*C38),(IF(MOD(A39,2)=0,A39/2,IF(MOD(A39,2)=1,FLOOR(A39/2,1)+1,0))*C39))</f>
        <v>0</v>
      </c>
      <c r="P43" s="22">
        <f>INDEX(cennik!$C$2:$L$529,MATCH($L43,cennik!$B$2:$B$522,0),MATCH(P$2,cennik!$C$1:$L$1,0))</f>
        <v>2.4</v>
      </c>
      <c r="Q43" s="22">
        <f t="shared" si="5"/>
        <v>0</v>
      </c>
      <c r="R43" s="23">
        <f t="shared" si="6"/>
        <v>0</v>
      </c>
      <c r="S43" s="22">
        <f t="shared" si="7"/>
        <v>2.4</v>
      </c>
      <c r="T43" s="22">
        <f t="shared" si="8"/>
        <v>0</v>
      </c>
      <c r="U43" s="22">
        <f>INDEX(cennik!$C$2:$L$529,MATCH($L43,cennik!$B$2:$B$522,0),MATCH(U$2,cennik!$C$1:$L$1,0))*O43</f>
        <v>0</v>
      </c>
      <c r="AE43" s="20"/>
      <c r="AN43" s="20" t="s">
        <v>9</v>
      </c>
      <c r="AO43" s="20">
        <v>0</v>
      </c>
      <c r="AP43" s="20">
        <v>0</v>
      </c>
      <c r="AQ43" s="20">
        <v>4</v>
      </c>
      <c r="AR43" s="20">
        <v>0</v>
      </c>
      <c r="AS43" s="20">
        <v>2</v>
      </c>
      <c r="AT43" s="20">
        <v>0</v>
      </c>
      <c r="AU43" s="20">
        <v>0</v>
      </c>
      <c r="AV43" s="20">
        <v>0</v>
      </c>
      <c r="AW43" s="20">
        <v>0</v>
      </c>
      <c r="AX43" s="20">
        <v>0</v>
      </c>
      <c r="AY43" s="20">
        <v>0</v>
      </c>
      <c r="AZ43" s="20"/>
      <c r="BA43" s="20"/>
      <c r="BB43" s="54"/>
      <c r="BC43" s="20"/>
      <c r="BD43" s="20"/>
      <c r="BE43" s="20"/>
      <c r="BF43" s="20"/>
      <c r="BG43" s="20"/>
      <c r="BH43" s="20" t="s">
        <v>208</v>
      </c>
      <c r="BI43" s="20">
        <v>0</v>
      </c>
      <c r="BJ43" s="20">
        <v>0</v>
      </c>
      <c r="BK43" s="20">
        <v>0</v>
      </c>
      <c r="BL43" s="20">
        <v>0</v>
      </c>
      <c r="BM43" s="20">
        <v>0</v>
      </c>
      <c r="BN43" s="20">
        <v>0</v>
      </c>
      <c r="BO43" s="20">
        <v>0</v>
      </c>
      <c r="BP43" s="20">
        <v>0</v>
      </c>
      <c r="BQ43" s="20">
        <v>0</v>
      </c>
      <c r="BR43" s="20">
        <v>0</v>
      </c>
      <c r="BS43" s="20">
        <v>0</v>
      </c>
      <c r="BT43" s="20"/>
      <c r="BU43" s="20"/>
      <c r="BV43" s="20"/>
      <c r="BW43" s="20"/>
      <c r="BX43" s="20"/>
      <c r="BY43" s="20"/>
      <c r="BZ43" s="20"/>
      <c r="CA43" s="20"/>
      <c r="CB43" s="20"/>
      <c r="CC43" s="20"/>
      <c r="CD43" s="20"/>
      <c r="CE43" s="20"/>
      <c r="CF43" s="20"/>
      <c r="CG43" s="20"/>
      <c r="CH43" s="20"/>
      <c r="CI43" s="20"/>
      <c r="CJ43" s="20"/>
      <c r="CK43" s="20"/>
      <c r="CL43" s="20"/>
      <c r="CM43" s="20"/>
    </row>
    <row r="44" spans="1:91" x14ac:dyDescent="0.25">
      <c r="L44" s="6" t="s">
        <v>20</v>
      </c>
      <c r="M44" s="14">
        <f>INDEX(cennik!$C$2:$L$529,MATCH($L44,cennik!$B$2:$B$522,0),MATCH(M$2,cennik!$C$1:$L$1,0))</f>
        <v>6506513</v>
      </c>
      <c r="N44" s="14" t="str">
        <f>INDEX(cennik!$C$2:$L$529,MATCH($L44,cennik!$B$2:$B$522,0),MATCH(N$2,cennik!$C$1:$L$1,0))</f>
        <v>szt.</v>
      </c>
      <c r="O44" s="14">
        <f>O45</f>
        <v>0</v>
      </c>
      <c r="P44" s="22">
        <f>INDEX(cennik!$C$2:$L$529,MATCH($L44,cennik!$B$2:$B$522,0),MATCH(P$2,cennik!$C$1:$L$1,0))</f>
        <v>4.1900000000000004</v>
      </c>
      <c r="Q44" s="22">
        <f t="shared" si="5"/>
        <v>0</v>
      </c>
      <c r="R44" s="23">
        <f t="shared" si="6"/>
        <v>0</v>
      </c>
      <c r="S44" s="22">
        <f t="shared" si="7"/>
        <v>4.1900000000000004</v>
      </c>
      <c r="T44" s="22">
        <f t="shared" si="8"/>
        <v>0</v>
      </c>
      <c r="U44" s="22">
        <f>INDEX(cennik!$C$2:$L$529,MATCH($L44,cennik!$B$2:$B$522,0),MATCH(U$2,cennik!$C$1:$L$1,0))*O44</f>
        <v>0</v>
      </c>
      <c r="AN44" s="20" t="s">
        <v>208</v>
      </c>
      <c r="AO44" s="20">
        <v>0</v>
      </c>
      <c r="AP44" s="20">
        <v>2</v>
      </c>
      <c r="AQ44" s="20">
        <v>0</v>
      </c>
      <c r="AR44" s="20">
        <v>0</v>
      </c>
      <c r="AS44" s="20">
        <v>0</v>
      </c>
      <c r="AT44" s="20">
        <v>0</v>
      </c>
      <c r="AU44" s="20">
        <v>0</v>
      </c>
      <c r="AV44" s="20">
        <v>0</v>
      </c>
      <c r="AW44" s="20">
        <v>0</v>
      </c>
      <c r="AX44" s="20">
        <v>0</v>
      </c>
      <c r="AY44" s="20">
        <v>0</v>
      </c>
      <c r="AZ44" s="20"/>
      <c r="BA44" s="20"/>
      <c r="BB44" s="54"/>
      <c r="BC44" s="20"/>
      <c r="BD44" s="20"/>
      <c r="BE44" s="20"/>
      <c r="BF44" s="20"/>
      <c r="BG44" s="20"/>
      <c r="BH44" s="20" t="s">
        <v>211</v>
      </c>
      <c r="BI44" s="20">
        <v>0</v>
      </c>
      <c r="BJ44" s="20">
        <v>2</v>
      </c>
      <c r="BK44" s="20">
        <v>0</v>
      </c>
      <c r="BL44" s="20">
        <v>0</v>
      </c>
      <c r="BM44" s="20">
        <v>0</v>
      </c>
      <c r="BN44" s="20">
        <v>0</v>
      </c>
      <c r="BO44" s="20">
        <v>0</v>
      </c>
      <c r="BP44" s="20">
        <v>0</v>
      </c>
      <c r="BQ44" s="20">
        <v>0</v>
      </c>
      <c r="BR44" s="20">
        <v>0</v>
      </c>
      <c r="BS44" s="20">
        <v>0</v>
      </c>
      <c r="BT44" s="20"/>
      <c r="BU44" s="20"/>
      <c r="BV44" s="20"/>
      <c r="BW44" s="20"/>
      <c r="BX44" s="20"/>
      <c r="BY44" s="20"/>
      <c r="BZ44" s="20"/>
      <c r="CA44" s="20"/>
      <c r="CB44" s="20"/>
      <c r="CC44" s="20"/>
      <c r="CD44" s="20"/>
      <c r="CE44" s="20"/>
      <c r="CF44" s="20"/>
      <c r="CG44" s="20"/>
      <c r="CH44" s="20"/>
      <c r="CI44" s="20"/>
      <c r="CJ44" s="20"/>
      <c r="CK44" s="20"/>
      <c r="CL44" s="20"/>
      <c r="CM44" s="20"/>
    </row>
    <row r="45" spans="1:91" x14ac:dyDescent="0.25">
      <c r="L45" s="6" t="s">
        <v>563</v>
      </c>
      <c r="M45" s="14">
        <f>INDEX(cennik!$C$2:$L$529,MATCH($L45,cennik!$B$2:$B$522,0),MATCH(M$2,cennik!$C$1:$L$1,0))</f>
        <v>892525</v>
      </c>
      <c r="N45" s="14" t="str">
        <f>INDEX(cennik!$C$2:$L$529,MATCH($L45,cennik!$B$2:$B$522,0),MATCH(N$2,cennik!$C$1:$L$1,0))</f>
        <v>szt.</v>
      </c>
      <c r="O45" s="14">
        <f>SUM((A24*C24),(A25*C25),(A26*C26),(A27*C27),(A28*C28),(A29*C29),(A30*C30),(A31*C31),(A32*C32),(A33*C33),(A34*C34),(A35*C35),(A36*C36),(A37*C37),(A38*C38),(A39*C39))</f>
        <v>0</v>
      </c>
      <c r="P45" s="22">
        <f>INDEX(cennik!$C$2:$L$529,MATCH($L45,cennik!$B$2:$B$522,0),MATCH(P$2,cennik!$C$1:$L$1,0))</f>
        <v>15.7</v>
      </c>
      <c r="Q45" s="22">
        <f t="shared" si="5"/>
        <v>0</v>
      </c>
      <c r="R45" s="23">
        <f t="shared" si="6"/>
        <v>0</v>
      </c>
      <c r="S45" s="22">
        <f t="shared" si="7"/>
        <v>15.7</v>
      </c>
      <c r="T45" s="22">
        <f t="shared" si="8"/>
        <v>0</v>
      </c>
      <c r="U45" s="22">
        <f>INDEX(cennik!$C$2:$L$529,MATCH($L45,cennik!$B$2:$B$522,0),MATCH(U$2,cennik!$C$1:$L$1,0))*O45</f>
        <v>0</v>
      </c>
      <c r="AN45" s="20" t="s">
        <v>211</v>
      </c>
      <c r="AO45" s="20">
        <v>0</v>
      </c>
      <c r="AP45" s="20">
        <v>0</v>
      </c>
      <c r="AQ45" s="20">
        <v>0</v>
      </c>
      <c r="AR45" s="20">
        <v>0</v>
      </c>
      <c r="AS45" s="20">
        <v>0</v>
      </c>
      <c r="AT45" s="20">
        <v>0</v>
      </c>
      <c r="AU45" s="20">
        <v>0</v>
      </c>
      <c r="AV45" s="20">
        <v>0</v>
      </c>
      <c r="AW45" s="20">
        <v>0</v>
      </c>
      <c r="AX45" s="20">
        <v>0</v>
      </c>
      <c r="AY45" s="20">
        <v>0</v>
      </c>
      <c r="AZ45" s="20"/>
      <c r="BA45" s="20"/>
      <c r="BB45" s="54"/>
      <c r="BC45" s="20"/>
      <c r="BD45" s="20"/>
      <c r="BE45" s="20"/>
      <c r="BF45" s="20"/>
      <c r="BG45" s="20"/>
      <c r="BH45" s="20" t="s">
        <v>293</v>
      </c>
      <c r="BI45" s="20">
        <v>0</v>
      </c>
      <c r="BJ45" s="20">
        <v>0</v>
      </c>
      <c r="BK45" s="20">
        <v>0</v>
      </c>
      <c r="BL45" s="20">
        <v>0</v>
      </c>
      <c r="BM45" s="20">
        <v>0</v>
      </c>
      <c r="BN45" s="20">
        <v>0</v>
      </c>
      <c r="BO45" s="20">
        <v>0</v>
      </c>
      <c r="BP45" s="20">
        <v>0</v>
      </c>
      <c r="BQ45" s="20">
        <v>0</v>
      </c>
      <c r="BR45" s="20">
        <v>0</v>
      </c>
      <c r="BS45" s="20">
        <v>0</v>
      </c>
      <c r="BT45" s="20"/>
      <c r="BU45" s="20"/>
      <c r="BV45" s="20"/>
      <c r="BW45" s="20"/>
      <c r="BX45" s="20"/>
      <c r="BY45" s="20"/>
      <c r="BZ45" s="20"/>
      <c r="CA45" s="20"/>
      <c r="CB45" s="20"/>
      <c r="CC45" s="20"/>
      <c r="CD45" s="20"/>
      <c r="CE45" s="20"/>
      <c r="CF45" s="20"/>
      <c r="CG45" s="20"/>
      <c r="CH45" s="20"/>
      <c r="CI45" s="20"/>
      <c r="CJ45" s="20"/>
      <c r="CK45" s="20"/>
      <c r="CL45" s="20"/>
      <c r="CM45" s="20"/>
    </row>
    <row r="46" spans="1:91" x14ac:dyDescent="0.25">
      <c r="L46" s="6" t="s">
        <v>396</v>
      </c>
      <c r="M46" s="14">
        <f>INDEX(cennik!$C$2:$L$529,MATCH($L46,cennik!$B$2:$B$522,0),MATCH(M$2,cennik!$C$1:$L$1,0))</f>
        <v>890404</v>
      </c>
      <c r="N46" s="14" t="str">
        <f>INDEX(cennik!$C$2:$L$529,MATCH($L46,cennik!$B$2:$B$522,0),MATCH(N$2,cennik!$C$1:$L$1,0))</f>
        <v>szt.</v>
      </c>
      <c r="O46" s="14">
        <f>SUM(C24:C39)*4</f>
        <v>0</v>
      </c>
      <c r="P46" s="22">
        <f>INDEX(cennik!$C$2:$L$529,MATCH($L46,cennik!$B$2:$B$522,0),MATCH(P$2,cennik!$C$1:$L$1,0))</f>
        <v>0.7</v>
      </c>
      <c r="Q46" s="22">
        <f t="shared" ref="Q46" si="9">O46*P46</f>
        <v>0</v>
      </c>
      <c r="R46" s="23">
        <f t="shared" si="6"/>
        <v>0</v>
      </c>
      <c r="S46" s="22">
        <f t="shared" ref="S46" si="10">P46*((100-$E$27)/100)</f>
        <v>0.7</v>
      </c>
      <c r="T46" s="22">
        <f t="shared" ref="T46" si="11">O46*S46</f>
        <v>0</v>
      </c>
      <c r="U46" s="22">
        <f>INDEX(cennik!$C$2:$L$529,MATCH($L46,cennik!$B$2:$B$522,0),MATCH(U$2,cennik!$C$1:$L$1,0))*O46</f>
        <v>0</v>
      </c>
      <c r="AN46" s="20" t="s">
        <v>293</v>
      </c>
      <c r="AO46" s="20">
        <v>0</v>
      </c>
      <c r="AP46" s="20">
        <v>0</v>
      </c>
      <c r="AQ46" s="20">
        <v>0</v>
      </c>
      <c r="AR46" s="20">
        <v>0</v>
      </c>
      <c r="AS46" s="20">
        <v>0</v>
      </c>
      <c r="AT46" s="20">
        <v>0</v>
      </c>
      <c r="AU46" s="20">
        <v>0</v>
      </c>
      <c r="AV46" s="20">
        <v>0</v>
      </c>
      <c r="AW46" s="20">
        <v>0</v>
      </c>
      <c r="AX46" s="20">
        <v>0</v>
      </c>
      <c r="AY46" s="20">
        <v>0</v>
      </c>
      <c r="AZ46" s="20"/>
      <c r="BA46" s="20"/>
      <c r="BB46" s="54"/>
      <c r="BC46" s="20"/>
      <c r="BD46" s="20"/>
      <c r="BE46" s="20"/>
      <c r="BF46" s="20"/>
      <c r="BG46" s="20"/>
      <c r="BH46" s="20" t="s">
        <v>10</v>
      </c>
      <c r="BI46" s="20">
        <v>0</v>
      </c>
      <c r="BJ46" s="20">
        <v>0</v>
      </c>
      <c r="BK46" s="20">
        <v>2</v>
      </c>
      <c r="BL46" s="20">
        <v>4</v>
      </c>
      <c r="BM46" s="20">
        <v>2</v>
      </c>
      <c r="BN46" s="20">
        <v>4</v>
      </c>
      <c r="BO46" s="20">
        <v>0</v>
      </c>
      <c r="BP46" s="20">
        <v>2</v>
      </c>
      <c r="BQ46" s="20">
        <v>8</v>
      </c>
      <c r="BR46" s="20">
        <v>0</v>
      </c>
      <c r="BS46" s="20">
        <v>8</v>
      </c>
      <c r="BT46" s="20"/>
      <c r="BU46" s="20"/>
      <c r="BV46" s="20"/>
      <c r="BW46" s="20"/>
      <c r="BX46" s="20"/>
      <c r="BY46" s="20"/>
      <c r="BZ46" s="20"/>
      <c r="CA46" s="20"/>
      <c r="CB46" s="20"/>
      <c r="CC46" s="20"/>
      <c r="CD46" s="20"/>
      <c r="CE46" s="20"/>
      <c r="CF46" s="20"/>
      <c r="CG46" s="20"/>
      <c r="CH46" s="20"/>
      <c r="CI46" s="20"/>
      <c r="CJ46" s="20"/>
      <c r="CK46" s="20"/>
      <c r="CL46" s="20"/>
      <c r="CM46" s="20"/>
    </row>
    <row r="47" spans="1:91" x14ac:dyDescent="0.25">
      <c r="T47" s="22">
        <f>SUM(T25:T46)</f>
        <v>0</v>
      </c>
      <c r="U47" s="22">
        <f>SUM(U25:U46)</f>
        <v>0</v>
      </c>
      <c r="AN47" s="20" t="s">
        <v>10</v>
      </c>
      <c r="AO47" s="20">
        <v>0</v>
      </c>
      <c r="AP47" s="20">
        <v>0</v>
      </c>
      <c r="AQ47" s="20">
        <v>0</v>
      </c>
      <c r="AR47" s="20">
        <v>0</v>
      </c>
      <c r="AS47" s="20">
        <v>0</v>
      </c>
      <c r="AT47" s="20">
        <v>4</v>
      </c>
      <c r="AU47" s="20">
        <v>0</v>
      </c>
      <c r="AV47" s="20">
        <v>0</v>
      </c>
      <c r="AW47" s="20">
        <v>4</v>
      </c>
      <c r="AX47" s="20">
        <v>0</v>
      </c>
      <c r="AY47" s="20">
        <v>0</v>
      </c>
      <c r="AZ47" s="20"/>
      <c r="BA47" s="20"/>
      <c r="BB47" s="54"/>
      <c r="BC47" s="20"/>
      <c r="BD47" s="20"/>
      <c r="BE47" s="20"/>
      <c r="BF47" s="20"/>
      <c r="BG47" s="20"/>
      <c r="BH47" s="20" t="s">
        <v>212</v>
      </c>
      <c r="BI47" s="20">
        <v>0</v>
      </c>
      <c r="BJ47" s="20">
        <v>0</v>
      </c>
      <c r="BK47" s="20">
        <v>0</v>
      </c>
      <c r="BL47" s="20">
        <v>0</v>
      </c>
      <c r="BM47" s="20">
        <v>0</v>
      </c>
      <c r="BN47" s="20">
        <v>0</v>
      </c>
      <c r="BO47" s="20">
        <v>4</v>
      </c>
      <c r="BP47" s="20">
        <v>6</v>
      </c>
      <c r="BQ47" s="20">
        <v>2</v>
      </c>
      <c r="BR47" s="20">
        <v>10</v>
      </c>
      <c r="BS47" s="20">
        <v>0</v>
      </c>
      <c r="BT47" s="20"/>
      <c r="BU47" s="20"/>
      <c r="BV47" s="20"/>
      <c r="BW47" s="20"/>
      <c r="BX47" s="20"/>
      <c r="BY47" s="20"/>
      <c r="BZ47" s="20"/>
      <c r="CA47" s="20"/>
      <c r="CB47" s="20"/>
      <c r="CC47" s="20"/>
      <c r="CD47" s="20"/>
      <c r="CE47" s="20"/>
      <c r="CF47" s="20"/>
      <c r="CG47" s="20"/>
      <c r="CH47" s="20"/>
      <c r="CI47" s="20"/>
      <c r="CJ47" s="20"/>
      <c r="CK47" s="20"/>
      <c r="CL47" s="20"/>
      <c r="CM47" s="20"/>
    </row>
    <row r="48" spans="1:91" ht="51.75" x14ac:dyDescent="0.25">
      <c r="A48" s="3" t="s">
        <v>120</v>
      </c>
      <c r="B48" s="6"/>
      <c r="C48" s="3" t="s">
        <v>121</v>
      </c>
      <c r="D48" s="4"/>
      <c r="E48" s="4"/>
      <c r="F48" s="4"/>
      <c r="G48" s="4"/>
      <c r="H48" s="4"/>
      <c r="I48" s="4"/>
      <c r="J48" s="4"/>
      <c r="K48" s="4"/>
      <c r="L48" s="360" t="s">
        <v>572</v>
      </c>
      <c r="M48" s="360"/>
      <c r="N48" s="360"/>
      <c r="O48" s="360"/>
      <c r="P48" s="360"/>
      <c r="Q48" s="360"/>
      <c r="R48" s="360"/>
      <c r="S48" s="360"/>
      <c r="T48" s="360"/>
      <c r="U48" s="360"/>
      <c r="AN48" s="20" t="s">
        <v>212</v>
      </c>
      <c r="AO48" s="20">
        <v>0</v>
      </c>
      <c r="AP48" s="20">
        <v>0</v>
      </c>
      <c r="AQ48" s="20">
        <v>0</v>
      </c>
      <c r="AR48" s="20">
        <v>0</v>
      </c>
      <c r="AS48" s="20">
        <v>0</v>
      </c>
      <c r="AT48" s="20">
        <v>0</v>
      </c>
      <c r="AU48" s="20">
        <v>2</v>
      </c>
      <c r="AV48" s="20">
        <v>0</v>
      </c>
      <c r="AW48" s="20">
        <v>2</v>
      </c>
      <c r="AX48" s="20">
        <v>4</v>
      </c>
      <c r="AY48" s="20">
        <v>2</v>
      </c>
      <c r="AZ48" s="20"/>
      <c r="BA48" s="20"/>
      <c r="BB48" s="54"/>
      <c r="BC48" s="20"/>
      <c r="BD48" s="20"/>
      <c r="BE48" s="20"/>
      <c r="BF48" s="20"/>
      <c r="BG48" s="20"/>
      <c r="BH48" s="20" t="s">
        <v>214</v>
      </c>
      <c r="BI48" s="20">
        <v>0</v>
      </c>
      <c r="BJ48" s="20">
        <v>0</v>
      </c>
      <c r="BK48" s="20">
        <v>0</v>
      </c>
      <c r="BL48" s="20">
        <v>0</v>
      </c>
      <c r="BM48" s="20">
        <v>2</v>
      </c>
      <c r="BN48" s="20">
        <v>2</v>
      </c>
      <c r="BO48" s="20">
        <v>2</v>
      </c>
      <c r="BP48" s="20">
        <v>0</v>
      </c>
      <c r="BQ48" s="20">
        <v>0</v>
      </c>
      <c r="BR48" s="20">
        <v>0</v>
      </c>
      <c r="BS48" s="20">
        <v>4</v>
      </c>
      <c r="BT48" s="20"/>
      <c r="BU48" s="20"/>
      <c r="BV48" s="20"/>
      <c r="BW48" s="20"/>
      <c r="BX48" s="20"/>
      <c r="BY48" s="20"/>
      <c r="BZ48" s="20"/>
      <c r="CA48" s="20"/>
      <c r="CB48" s="20"/>
      <c r="CC48" s="20"/>
      <c r="CD48" s="20"/>
      <c r="CE48" s="20"/>
      <c r="CF48" s="20"/>
      <c r="CG48" s="20"/>
      <c r="CH48" s="20"/>
      <c r="CI48" s="20"/>
      <c r="CJ48" s="20"/>
      <c r="CK48" s="20"/>
      <c r="CL48" s="20"/>
      <c r="CM48" s="20"/>
    </row>
    <row r="49" spans="1:91" x14ac:dyDescent="0.25">
      <c r="A49" s="8"/>
      <c r="B49" s="6" t="s">
        <v>116</v>
      </c>
      <c r="C49" s="8"/>
      <c r="D49" s="4"/>
      <c r="E49" s="4"/>
      <c r="F49" s="4"/>
      <c r="G49" s="4"/>
      <c r="H49" s="4"/>
      <c r="I49" s="4"/>
      <c r="J49" s="4"/>
      <c r="K49" s="4"/>
      <c r="L49" s="5" t="s">
        <v>103</v>
      </c>
      <c r="M49" s="5" t="s">
        <v>104</v>
      </c>
      <c r="N49" s="5" t="s">
        <v>107</v>
      </c>
      <c r="O49" s="5" t="s">
        <v>290</v>
      </c>
      <c r="P49" s="5" t="s">
        <v>446</v>
      </c>
      <c r="Q49" s="5" t="s">
        <v>448</v>
      </c>
      <c r="R49" s="5" t="s">
        <v>409</v>
      </c>
      <c r="S49" s="5" t="s">
        <v>447</v>
      </c>
      <c r="T49" s="5" t="s">
        <v>449</v>
      </c>
      <c r="U49" s="5" t="s">
        <v>106</v>
      </c>
      <c r="W49" s="25" t="s">
        <v>11</v>
      </c>
      <c r="X49" s="20" t="s">
        <v>210</v>
      </c>
      <c r="Y49" s="20" t="s">
        <v>9</v>
      </c>
      <c r="Z49" s="25" t="s">
        <v>208</v>
      </c>
      <c r="AA49" s="25" t="s">
        <v>211</v>
      </c>
      <c r="AB49" s="25" t="s">
        <v>293</v>
      </c>
      <c r="AC49" s="25" t="s">
        <v>10</v>
      </c>
      <c r="AD49" s="25" t="s">
        <v>212</v>
      </c>
      <c r="AE49" s="25" t="s">
        <v>214</v>
      </c>
      <c r="AN49" s="20" t="s">
        <v>214</v>
      </c>
      <c r="AO49" s="20">
        <v>0</v>
      </c>
      <c r="AP49" s="20">
        <v>0</v>
      </c>
      <c r="AQ49" s="20">
        <v>0</v>
      </c>
      <c r="AR49" s="20">
        <v>2</v>
      </c>
      <c r="AS49" s="20">
        <v>2</v>
      </c>
      <c r="AT49" s="20">
        <v>0</v>
      </c>
      <c r="AU49" s="20">
        <v>2</v>
      </c>
      <c r="AV49" s="20">
        <v>4</v>
      </c>
      <c r="AW49" s="20">
        <v>0</v>
      </c>
      <c r="AX49" s="20">
        <v>2</v>
      </c>
      <c r="AY49" s="20">
        <v>4</v>
      </c>
      <c r="AZ49" s="20"/>
      <c r="BA49" s="20"/>
      <c r="BB49" s="54"/>
      <c r="BC49" s="20"/>
      <c r="BD49" s="20"/>
      <c r="BE49" s="20"/>
      <c r="BF49" s="20"/>
      <c r="BG49" s="20"/>
      <c r="BH49" s="20" t="s">
        <v>11</v>
      </c>
      <c r="BI49" s="20">
        <v>0</v>
      </c>
      <c r="BJ49" s="20">
        <v>0</v>
      </c>
      <c r="BK49" s="20">
        <v>2</v>
      </c>
      <c r="BL49" s="20">
        <v>2</v>
      </c>
      <c r="BM49" s="20">
        <v>4</v>
      </c>
      <c r="BN49" s="20">
        <v>4</v>
      </c>
      <c r="BO49" s="20">
        <v>6</v>
      </c>
      <c r="BP49" s="20">
        <v>6</v>
      </c>
      <c r="BQ49" s="20">
        <v>8</v>
      </c>
      <c r="BR49" s="20">
        <v>8</v>
      </c>
      <c r="BS49" s="20">
        <v>10</v>
      </c>
      <c r="BT49" s="20"/>
      <c r="BU49" s="20"/>
      <c r="BV49" s="20"/>
      <c r="BW49" s="20"/>
      <c r="BX49" s="20"/>
      <c r="BY49" s="20"/>
      <c r="BZ49" s="20"/>
      <c r="CA49" s="20"/>
      <c r="CB49" s="20"/>
      <c r="CC49" s="20"/>
      <c r="CD49" s="20"/>
      <c r="CE49" s="20"/>
      <c r="CF49" s="20"/>
      <c r="CG49" s="20"/>
      <c r="CH49" s="20"/>
      <c r="CI49" s="20"/>
      <c r="CJ49" s="20"/>
      <c r="CK49" s="20"/>
      <c r="CL49" s="20"/>
      <c r="CM49" s="20"/>
    </row>
    <row r="50" spans="1:91" x14ac:dyDescent="0.25">
      <c r="A50" s="8"/>
      <c r="B50" s="6" t="s">
        <v>116</v>
      </c>
      <c r="C50" s="8"/>
      <c r="D50" s="6" t="s">
        <v>118</v>
      </c>
      <c r="E50" s="8" t="s">
        <v>111</v>
      </c>
      <c r="F50" s="5" t="s">
        <v>116</v>
      </c>
      <c r="G50" s="8" t="s">
        <v>114</v>
      </c>
      <c r="H50" s="5" t="s">
        <v>116</v>
      </c>
      <c r="I50" s="8">
        <v>35</v>
      </c>
      <c r="J50" s="5" t="s">
        <v>119</v>
      </c>
      <c r="K50" s="4"/>
      <c r="L50" s="6" t="s">
        <v>210</v>
      </c>
      <c r="M50" s="14">
        <f>INDEX(cennik!$C$2:$L$529,MATCH($L50,cennik!$B$2:$B$522,0),MATCH(M$2,cennik!$C$1:$L$1,0))</f>
        <v>6441105</v>
      </c>
      <c r="N50" s="14" t="str">
        <f>INDEX(cennik!$C$2:$L$529,MATCH($L50,cennik!$B$2:$B$522,0),MATCH(N$2,cennik!$C$1:$L$1,0))</f>
        <v>szt.</v>
      </c>
      <c r="O50" s="14">
        <f>SUM(X50:X65)</f>
        <v>0</v>
      </c>
      <c r="P50" s="22">
        <f>INDEX(cennik!$C$2:$L$529,MATCH($L50,cennik!$B$2:$B$522,0),MATCH(P$2,cennik!$C$1:$L$1,0))</f>
        <v>24.55</v>
      </c>
      <c r="Q50" s="22">
        <f>O50*P50</f>
        <v>0</v>
      </c>
      <c r="R50" s="23">
        <f>$E$52</f>
        <v>0</v>
      </c>
      <c r="S50" s="22">
        <f>P50*((100-$E$52)/100)</f>
        <v>24.55</v>
      </c>
      <c r="T50" s="22">
        <f>O50*S50</f>
        <v>0</v>
      </c>
      <c r="U50" s="22">
        <f>INDEX(cennik!$C$2:$L$529,MATCH($L50,cennik!$B$2:$B$522,0),MATCH(U$2,cennik!$C$1:$L$1,0))*O50</f>
        <v>0</v>
      </c>
      <c r="W50" s="20">
        <f>(INDEX(($AO$5:$AY$13,$AO$17:$AY$25,$AO$30:$AY$38,$AO$42:$AY$50,$AO$54:$AY$62,$AO$66:$AY$74,$BI$5:$BS$13,$BI$17:$BS$25,$BI$29:$BS$37,$BI$41:$BS$49,$BI$53:$BS$61,$BI$65:$BS$73,$BY$5:$CI$13,$BY$17:$CI$25),MATCH($L$58,$AN$5:$AN$13,0),MATCH(A49,$AO$4:$AY$4,0),MATCH($G$50,$AL$18:$AL$31,0)))*C49</f>
        <v>0</v>
      </c>
      <c r="X50" s="20">
        <f>(INDEX(($AO$5:$AY$13,$AO$17:$AY$25,$AO$30:$AY$38,$AO$42:$AY$50,$AO$54:$AY$62,$AO$66:$AY$74,$BI$5:$BS$13,$BI$17:$BS$25,$BI$29:$BS$37,$BI$41:$BS$49,$BI$53:$BS$61,$BI$65:$BS$73,$BY$5:$CI$13,$BY$17:$CI$25),MATCH($L$50,$AN$5:$AN$13,0),MATCH(A49,$AO$4:$AY$4,0),MATCH($G$50,$AL$18:$AL$31,0)))*C49</f>
        <v>0</v>
      </c>
      <c r="Y50" s="20">
        <f>(INDEX(($AO$5:$AY$13,$AO$17:$AY$25,$AO$30:$AY$38,$AO$42:$AY$50,$AO$54:$AY$62,$AO$66:$AY$74,$BI$5:$BS$13,$BI$17:$BS$25,$BI$29:$BS$37,$BI$41:$BS$49,$BI$53:$BS$61,$BI$65:$BS$73,$BY$5:$CI$13,$BY$17:$CI$25),MATCH($L$51,$AN$5:$AN$13,0),MATCH(A49,$AO$4:$AY$4,0),MATCH($G$50,$AL$18:$AL$31,0)))*C49</f>
        <v>0</v>
      </c>
      <c r="Z50" s="20">
        <f>(INDEX(($AO$5:$AY$13,$AO$17:$AY$25,$AO$30:$AY$38,$AO$42:$AY$50,$AO$54:$AY$62,$AO$66:$AY$74,$BI$5:$BS$13,$BI$17:$BS$25,$BI$29:$BS$37,$BI$41:$BS$49,$BI$53:$BS$61,$BI$65:$BS$73,$BY$5:$CI$13,$BY$17:$CI$25),MATCH($L$52,$AN$5:$AN$13,0),MATCH(A49,$AO$4:$AY$4,0),MATCH($G$50,$AL$18:$AL$31,0)))*C49</f>
        <v>0</v>
      </c>
      <c r="AA50" s="20">
        <f>(INDEX(($AO$5:$AY$13,$AO$17:$AY$25,$AO$30:$AY$38,$AO$42:$AY$50,$AO$54:$AY$62,$AO$66:$AY$74,$BI$5:$BS$13,$BI$17:$BS$25,$BI$29:$BS$37,$BI$41:$BS$49,$BI$53:$BS$61,$BI$65:$BS$73,$BY$5:$CI$13,$BY$17:$CI$25),MATCH($L$53,$AN$5:$AN$13,0),MATCH(A49,$AO$4:$AY$4,0),MATCH($G$50,$AL$18:$AL$31,0)))*C49</f>
        <v>0</v>
      </c>
      <c r="AB50" s="20">
        <f>(INDEX(($AO$5:$AY$13,$AO$17:$AY$25,$AO$30:$AY$38,$AO$42:$AY$50,$AO$54:$AY$62,$AO$66:$AY$74,$BI$5:$BS$13,$BI$17:$BS$25,$BI$29:$BS$37,$BI$41:$BS$49,$BI$53:$BS$61,$BI$65:$BS$73,$BY$5:$CI$13,$BY$17:$CI$25),MATCH($L$54,$AN$5:$AN$13,0),MATCH(A49,$AO$4:$AY$4,0),MATCH($G$50,$AL$18:$AL$31,0)))*C49</f>
        <v>0</v>
      </c>
      <c r="AC50" s="20">
        <f>(INDEX(($AO$5:$AY$13,$AO$17:$AY$25,$AO$30:$AY$38,$AO$42:$AY$50,$AO$54:$AY$62,$AO$66:$AY$74,$BI$5:$BS$13,$BI$17:$BS$25,$BI$29:$BS$37,$BI$41:$BS$49,$BI$53:$BS$61,$BI$65:$BS$73,$BY$5:$CI$13,$BY$17:$CI$25),MATCH($L$55,$AN$5:$AN$13,0),MATCH(A49,$AO$4:$AY$4,0),MATCH($G$50,$AL$18:$AL$31,0)))*C49</f>
        <v>0</v>
      </c>
      <c r="AD50" s="20">
        <f>(INDEX(($AO$5:$AY$13,$AO$17:$AY$25,$AO$30:$AY$38,$AO$42:$AY$50,$AO$54:$AY$62,$AO$66:$AY$74,$BI$5:$BS$13,$BI$17:$BS$25,$BI$29:$BS$37,$BI$41:$BS$49,$BI$53:$BS$61,$BI$65:$BS$73,$BY$5:$CI$13,$BY$17:$CI$25),MATCH($L$56,$AN$5:$AN$13,0),MATCH(A49,$AO$4:$AY$4,0),MATCH($G$50,$AL$18:$AL$31,0)))*C49</f>
        <v>0</v>
      </c>
      <c r="AE50" s="20">
        <f>(INDEX(($AO$5:$AY$13,$AO$17:$AY$25,$AO$30:$AY$38,$AO$42:$AY$50,$AO$54:$AY$62,$AO$66:$AY$74,$BI$5:$BS$13,$BI$17:$BS$25,$BI$29:$BS$37,$BI$41:$BS$49,$BI$53:$BS$61,$BI$65:$BS$73,$BY$5:$CI$13,$BY$17:$CI$25),MATCH($L$57,$AN$5:$AN$13,0),MATCH(A49,$AO$4:$AY$4,0),MATCH($G$50,$AL$18:$AL$31,0)))*C49</f>
        <v>0</v>
      </c>
      <c r="AN50" s="20" t="s">
        <v>11</v>
      </c>
      <c r="AO50" s="20">
        <v>0</v>
      </c>
      <c r="AP50" s="20">
        <v>0</v>
      </c>
      <c r="AQ50" s="20">
        <v>2</v>
      </c>
      <c r="AR50" s="20">
        <v>0</v>
      </c>
      <c r="AS50" s="20">
        <v>2</v>
      </c>
      <c r="AT50" s="20">
        <v>2</v>
      </c>
      <c r="AU50" s="20">
        <v>2</v>
      </c>
      <c r="AV50" s="20">
        <v>4</v>
      </c>
      <c r="AW50" s="20">
        <v>4</v>
      </c>
      <c r="AX50" s="20">
        <v>4</v>
      </c>
      <c r="AY50" s="20">
        <v>6</v>
      </c>
      <c r="AZ50" s="20"/>
      <c r="BA50" s="20"/>
      <c r="BB50" s="54"/>
      <c r="BC50" s="20"/>
      <c r="BD50" s="20"/>
      <c r="BE50" s="20"/>
      <c r="BF50" s="20"/>
      <c r="BG50" s="20"/>
      <c r="BT50" s="20"/>
      <c r="BU50" s="20"/>
      <c r="BV50" s="20"/>
      <c r="BW50" s="20"/>
      <c r="BX50" s="20"/>
      <c r="BY50" s="20"/>
      <c r="BZ50" s="20"/>
      <c r="CA50" s="20"/>
      <c r="CB50" s="20"/>
      <c r="CC50" s="20"/>
      <c r="CD50" s="20"/>
      <c r="CE50" s="20"/>
      <c r="CF50" s="20"/>
      <c r="CG50" s="20"/>
      <c r="CH50" s="20"/>
      <c r="CI50" s="20"/>
      <c r="CJ50" s="20"/>
      <c r="CK50" s="20"/>
      <c r="CL50" s="20"/>
      <c r="CM50" s="20"/>
    </row>
    <row r="51" spans="1:91" x14ac:dyDescent="0.25">
      <c r="A51" s="8"/>
      <c r="B51" s="6" t="s">
        <v>116</v>
      </c>
      <c r="C51" s="8"/>
      <c r="D51" s="6" t="s">
        <v>124</v>
      </c>
      <c r="E51" s="8" t="s">
        <v>125</v>
      </c>
      <c r="F51" s="5"/>
      <c r="G51" s="5"/>
      <c r="H51" s="5"/>
      <c r="I51" s="5"/>
      <c r="J51" s="5"/>
      <c r="K51" s="4"/>
      <c r="L51" s="6" t="s">
        <v>9</v>
      </c>
      <c r="M51" s="14">
        <f>INDEX(cennik!$C$2:$L$529,MATCH($L51,cennik!$B$2:$B$522,0),MATCH(M$2,cennik!$C$1:$L$1,0))</f>
        <v>856211</v>
      </c>
      <c r="N51" s="14" t="str">
        <f>INDEX(cennik!$C$2:$L$529,MATCH($L51,cennik!$B$2:$B$522,0),MATCH(N$2,cennik!$C$1:$L$1,0))</f>
        <v>szt.</v>
      </c>
      <c r="O51" s="14">
        <f>SUM(Y50:Y65)</f>
        <v>0</v>
      </c>
      <c r="P51" s="22">
        <f>INDEX(cennik!$C$2:$L$529,MATCH($L51,cennik!$B$2:$B$522,0),MATCH(P$2,cennik!$C$1:$L$1,0))</f>
        <v>25.2</v>
      </c>
      <c r="Q51" s="22">
        <f t="shared" ref="Q51:Q68" si="12">O51*P51</f>
        <v>0</v>
      </c>
      <c r="R51" s="23">
        <f t="shared" ref="R51:R69" si="13">$E$52</f>
        <v>0</v>
      </c>
      <c r="S51" s="22">
        <f t="shared" ref="S51:S68" si="14">P51*((100-$E$52)/100)</f>
        <v>25.2</v>
      </c>
      <c r="T51" s="22">
        <f t="shared" ref="T51:T68" si="15">O51*S51</f>
        <v>0</v>
      </c>
      <c r="U51" s="22">
        <f>INDEX(cennik!$C$2:$L$529,MATCH($L51,cennik!$B$2:$B$522,0),MATCH(U$2,cennik!$C$1:$L$1,0))*O51</f>
        <v>0</v>
      </c>
      <c r="W51" s="20">
        <f>(INDEX(($AO$5:$AY$13,$AO$17:$AY$25,$AO$30:$AY$38,$AO$42:$AY$50,$AO$54:$AY$62,$AO$66:$AY$74,$BI$5:$BS$13,$BI$17:$BS$25,$BI$29:$BS$37,$BI$41:$BS$49,$BI$53:$BS$61,$BI$65:$BS$73,$BY$5:$CI$13,$BY$17:$CI$25),MATCH($L$58,$AN$5:$AN$13,0),MATCH(A50,$AO$4:$AY$4,0),MATCH($G$50,$AL$18:$AL$31,0)))*C50</f>
        <v>0</v>
      </c>
      <c r="X51" s="20">
        <f>(INDEX(($AO$5:$AY$13,$AO$17:$AY$25,$AO$30:$AY$38,$AO$42:$AY$50,$AO$54:$AY$62,$AO$66:$AY$74,$BI$5:$BS$13,$BI$17:$BS$25,$BI$29:$BS$37,$BI$41:$BS$49,$BI$53:$BS$61,$BI$65:$BS$73,$BY$5:$CI$13,$BY$17:$CI$25),MATCH($L$50,$AN$5:$AN$13,0),MATCH(A50,$AO$4:$AY$4,0),MATCH($G$50,$AL$18:$AL$31,0)))*C50</f>
        <v>0</v>
      </c>
      <c r="Y51" s="20">
        <f>(INDEX(($AO$5:$AY$13,$AO$17:$AY$25,$AO$30:$AY$38,$AO$42:$AY$50,$AO$54:$AY$62,$AO$66:$AY$74,$BI$5:$BS$13,$BI$17:$BS$25,$BI$29:$BS$37,$BI$41:$BS$49,$BI$53:$BS$61,$BI$65:$BS$73,$BY$5:$CI$13,$BY$17:$CI$25),MATCH($L$51,$AN$5:$AN$13,0),MATCH(A50,$AO$4:$AY$4,0),MATCH($G$50,$AL$18:$AL$31,0)))*C50</f>
        <v>0</v>
      </c>
      <c r="Z51" s="20">
        <f>(INDEX(($AO$5:$AY$13,$AO$17:$AY$25,$AO$30:$AY$38,$AO$42:$AY$50,$AO$54:$AY$62,$AO$66:$AY$74,$BI$5:$BS$13,$BI$17:$BS$25,$BI$29:$BS$37,$BI$41:$BS$49,$BI$53:$BS$61,$BI$65:$BS$73,$BY$5:$CI$13,$BY$17:$CI$25),MATCH($L$52,$AN$5:$AN$13,0),MATCH(A50,$AO$4:$AY$4,0),MATCH($G$50,$AL$18:$AL$31,0)))*C50</f>
        <v>0</v>
      </c>
      <c r="AA51" s="20">
        <f>(INDEX(($AO$5:$AY$13,$AO$17:$AY$25,$AO$30:$AY$38,$AO$42:$AY$50,$AO$54:$AY$62,$AO$66:$AY$74,$BI$5:$BS$13,$BI$17:$BS$25,$BI$29:$BS$37,$BI$41:$BS$49,$BI$53:$BS$61,$BI$65:$BS$73,$BY$5:$CI$13,$BY$17:$CI$25),MATCH($L$53,$AN$5:$AN$13,0),MATCH(A50,$AO$4:$AY$4,0),MATCH($G$50,$AL$18:$AL$31,0)))*C50</f>
        <v>0</v>
      </c>
      <c r="AB51" s="20">
        <f>(INDEX(($AO$5:$AY$13,$AO$17:$AY$25,$AO$30:$AY$38,$AO$42:$AY$50,$AO$54:$AY$62,$AO$66:$AY$74,$BI$5:$BS$13,$BI$17:$BS$25,$BI$29:$BS$37,$BI$41:$BS$49,$BI$53:$BS$61,$BI$65:$BS$73,$BY$5:$CI$13,$BY$17:$CI$25),MATCH($L$54,$AN$5:$AN$13,0),MATCH(A50,$AO$4:$AY$4,0),MATCH($G$50,$AL$18:$AL$31,0)))*C50</f>
        <v>0</v>
      </c>
      <c r="AC51" s="20">
        <f>(INDEX(($AO$5:$AY$13,$AO$17:$AY$25,$AO$30:$AY$38,$AO$42:$AY$50,$AO$54:$AY$62,$AO$66:$AY$74,$BI$5:$BS$13,$BI$17:$BS$25,$BI$29:$BS$37,$BI$41:$BS$49,$BI$53:$BS$61,$BI$65:$BS$73,$BY$5:$CI$13,$BY$17:$CI$25),MATCH($L$55,$AN$5:$AN$13,0),MATCH(A50,$AO$4:$AY$4,0),MATCH($G$50,$AL$18:$AL$31,0)))*C50</f>
        <v>0</v>
      </c>
      <c r="AD51" s="20">
        <f>(INDEX(($AO$5:$AY$13,$AO$17:$AY$25,$AO$30:$AY$38,$AO$42:$AY$50,$AO$54:$AY$62,$AO$66:$AY$74,$BI$5:$BS$13,$BI$17:$BS$25,$BI$29:$BS$37,$BI$41:$BS$49,$BI$53:$BS$61,$BI$65:$BS$73,$BY$5:$CI$13,$BY$17:$CI$25),MATCH($L$56,$AN$5:$AN$13,0),MATCH(A50,$AO$4:$AY$4,0),MATCH($G$50,$AL$18:$AL$31,0)))*C50</f>
        <v>0</v>
      </c>
      <c r="AE51" s="20">
        <f>(INDEX(($AO$5:$AY$13,$AO$17:$AY$25,$AO$30:$AY$38,$AO$42:$AY$50,$AO$54:$AY$62,$AO$66:$AY$74,$BI$5:$BS$13,$BI$17:$BS$25,$BI$29:$BS$37,$BI$41:$BS$49,$BI$53:$BS$61,$BI$65:$BS$73,$BY$5:$CI$13,$BY$17:$CI$25),MATCH($L$57,$AN$5:$AN$13,0),MATCH(A50,$AO$4:$AY$4,0),MATCH($G$50,$AL$18:$AL$31,0)))*C50</f>
        <v>0</v>
      </c>
      <c r="BH51" s="20" t="s">
        <v>473</v>
      </c>
      <c r="BI51" s="20"/>
      <c r="BJ51" s="20"/>
      <c r="BK51" s="20"/>
      <c r="BL51" s="20"/>
      <c r="BM51" s="20"/>
      <c r="BN51" s="20"/>
      <c r="BO51" s="20"/>
      <c r="BP51" s="20"/>
      <c r="BQ51" s="20"/>
      <c r="BR51" s="20"/>
      <c r="BS51" s="20"/>
    </row>
    <row r="52" spans="1:91" x14ac:dyDescent="0.25">
      <c r="A52" s="8"/>
      <c r="B52" s="6" t="s">
        <v>116</v>
      </c>
      <c r="C52" s="8"/>
      <c r="D52" s="6" t="s">
        <v>162</v>
      </c>
      <c r="E52" s="8">
        <v>0</v>
      </c>
      <c r="F52" s="5"/>
      <c r="G52" s="5"/>
      <c r="H52" s="5"/>
      <c r="I52" s="5"/>
      <c r="J52" s="5" t="s">
        <v>163</v>
      </c>
      <c r="K52" s="4"/>
      <c r="L52" s="6" t="s">
        <v>208</v>
      </c>
      <c r="M52" s="14">
        <f>INDEX(cennik!$C$2:$L$529,MATCH($L52,cennik!$B$2:$B$522,0),MATCH(M$2,cennik!$C$1:$L$1,0))</f>
        <v>851117</v>
      </c>
      <c r="N52" s="14" t="str">
        <f>INDEX(cennik!$C$2:$L$529,MATCH($L52,cennik!$B$2:$B$522,0),MATCH(N$2,cennik!$C$1:$L$1,0))</f>
        <v>szt.</v>
      </c>
      <c r="O52" s="14">
        <f>SUM(Z50:Z65)</f>
        <v>0</v>
      </c>
      <c r="P52" s="22">
        <f>INDEX(cennik!$C$2:$L$529,MATCH($L52,cennik!$B$2:$B$522,0),MATCH(P$2,cennik!$C$1:$L$1,0))</f>
        <v>35.700000000000003</v>
      </c>
      <c r="Q52" s="22">
        <f t="shared" si="12"/>
        <v>0</v>
      </c>
      <c r="R52" s="23">
        <f t="shared" si="13"/>
        <v>0</v>
      </c>
      <c r="S52" s="22">
        <f t="shared" si="14"/>
        <v>35.700000000000003</v>
      </c>
      <c r="T52" s="22">
        <f t="shared" si="15"/>
        <v>0</v>
      </c>
      <c r="U52" s="22">
        <f>INDEX(cennik!$C$2:$L$529,MATCH($L52,cennik!$B$2:$B$522,0),MATCH(U$2,cennik!$C$1:$L$1,0))*O52</f>
        <v>0</v>
      </c>
      <c r="W52" s="20">
        <f>(INDEX(($AO$5:$AY$13,$AO$17:$AY$25,$AO$30:$AY$38,$AO$42:$AY$50,$AO$54:$AY$62,$AO$66:$AY$74,$BI$5:$BS$13,$BI$17:$BS$25,$BI$29:$BS$37,$BI$41:$BS$49,$BI$53:$BS$61,$BI$65:$BS$73,$BY$5:$CI$13,$BY$17:$CI$25),MATCH($L$58,$AN$5:$AN$13,0),MATCH(A51,$AO$4:$AY$4,0),MATCH($G$50,$AL$18:$AL$31,0)))*C51</f>
        <v>0</v>
      </c>
      <c r="X52" s="20">
        <f>(INDEX(($AO$5:$AY$13,$AO$17:$AY$25,$AO$30:$AY$38,$AO$42:$AY$50,$AO$54:$AY$62,$AO$66:$AY$74,$BI$5:$BS$13,$BI$17:$BS$25,$BI$29:$BS$37,$BI$41:$BS$49,$BI$53:$BS$61,$BI$65:$BS$73,$BY$5:$CI$13,$BY$17:$CI$25),MATCH($L$50,$AN$5:$AN$13,0),MATCH(A51,$AO$4:$AY$4,0),MATCH($G$50,$AL$18:$AL$31,0)))*C51</f>
        <v>0</v>
      </c>
      <c r="Y52" s="20">
        <f>(INDEX(($AO$5:$AY$13,$AO$17:$AY$25,$AO$30:$AY$38,$AO$42:$AY$50,$AO$54:$AY$62,$AO$66:$AY$74,$BI$5:$BS$13,$BI$17:$BS$25,$BI$29:$BS$37,$BI$41:$BS$49,$BI$53:$BS$61,$BI$65:$BS$73,$BY$5:$CI$13,$BY$17:$CI$25),MATCH($L$51,$AN$5:$AN$13,0),MATCH(A51,$AO$4:$AY$4,0),MATCH($G$50,$AL$18:$AL$31,0)))*C51</f>
        <v>0</v>
      </c>
      <c r="Z52" s="20">
        <f>(INDEX(($AO$5:$AY$13,$AO$17:$AY$25,$AO$30:$AY$38,$AO$42:$AY$50,$AO$54:$AY$62,$AO$66:$AY$74,$BI$5:$BS$13,$BI$17:$BS$25,$BI$29:$BS$37,$BI$41:$BS$49,$BI$53:$BS$61,$BI$65:$BS$73,$BY$5:$CI$13,$BY$17:$CI$25),MATCH($L$52,$AN$5:$AN$13,0),MATCH(A51,$AO$4:$AY$4,0),MATCH($G$50,$AL$18:$AL$31,0)))*C51</f>
        <v>0</v>
      </c>
      <c r="AA52" s="20">
        <f>(INDEX(($AO$5:$AY$13,$AO$17:$AY$25,$AO$30:$AY$38,$AO$42:$AY$50,$AO$54:$AY$62,$AO$66:$AY$74,$BI$5:$BS$13,$BI$17:$BS$25,$BI$29:$BS$37,$BI$41:$BS$49,$BI$53:$BS$61,$BI$65:$BS$73,$BY$5:$CI$13,$BY$17:$CI$25),MATCH($L$53,$AN$5:$AN$13,0),MATCH(A51,$AO$4:$AY$4,0),MATCH($G$50,$AL$18:$AL$31,0)))*C51</f>
        <v>0</v>
      </c>
      <c r="AB52" s="20">
        <f>(INDEX(($AO$5:$AY$13,$AO$17:$AY$25,$AO$30:$AY$38,$AO$42:$AY$50,$AO$54:$AY$62,$AO$66:$AY$74,$BI$5:$BS$13,$BI$17:$BS$25,$BI$29:$BS$37,$BI$41:$BS$49,$BI$53:$BS$61,$BI$65:$BS$73,$BY$5:$CI$13,$BY$17:$CI$25),MATCH($L$54,$AN$5:$AN$13,0),MATCH(A51,$AO$4:$AY$4,0),MATCH($G$50,$AL$18:$AL$31,0)))*C51</f>
        <v>0</v>
      </c>
      <c r="AC52" s="20">
        <f>(INDEX(($AO$5:$AY$13,$AO$17:$AY$25,$AO$30:$AY$38,$AO$42:$AY$50,$AO$54:$AY$62,$AO$66:$AY$74,$BI$5:$BS$13,$BI$17:$BS$25,$BI$29:$BS$37,$BI$41:$BS$49,$BI$53:$BS$61,$BI$65:$BS$73,$BY$5:$CI$13,$BY$17:$CI$25),MATCH($L$55,$AN$5:$AN$13,0),MATCH(A51,$AO$4:$AY$4,0),MATCH($G$50,$AL$18:$AL$31,0)))*C51</f>
        <v>0</v>
      </c>
      <c r="AD52" s="20">
        <f>(INDEX(($AO$5:$AY$13,$AO$17:$AY$25,$AO$30:$AY$38,$AO$42:$AY$50,$AO$54:$AY$62,$AO$66:$AY$74,$BI$5:$BS$13,$BI$17:$BS$25,$BI$29:$BS$37,$BI$41:$BS$49,$BI$53:$BS$61,$BI$65:$BS$73,$BY$5:$CI$13,$BY$17:$CI$25),MATCH($L$56,$AN$5:$AN$13,0),MATCH(A51,$AO$4:$AY$4,0),MATCH($G$50,$AL$18:$AL$31,0)))*C51</f>
        <v>0</v>
      </c>
      <c r="AE52" s="20">
        <f>(INDEX(($AO$5:$AY$13,$AO$17:$AY$25,$AO$30:$AY$38,$AO$42:$AY$50,$AO$54:$AY$62,$AO$66:$AY$74,$BI$5:$BS$13,$BI$17:$BS$25,$BI$29:$BS$37,$BI$41:$BS$49,$BI$53:$BS$61,$BI$65:$BS$73,$BY$5:$CI$13,$BY$17:$CI$25),MATCH($L$57,$AN$5:$AN$13,0),MATCH(A51,$AO$4:$AY$4,0),MATCH($G$50,$AL$18:$AL$31,0)))*C51</f>
        <v>0</v>
      </c>
      <c r="AN52" s="20" t="s">
        <v>111</v>
      </c>
      <c r="AO52" s="20"/>
      <c r="AP52" s="20"/>
      <c r="AQ52" s="20"/>
      <c r="AR52" s="20"/>
      <c r="AS52" s="20"/>
      <c r="AT52" s="20"/>
      <c r="AU52" s="20"/>
      <c r="AV52" s="20"/>
      <c r="AW52" s="20"/>
      <c r="AX52" s="20"/>
      <c r="AY52" s="20"/>
      <c r="BH52" s="20"/>
      <c r="BI52" s="20">
        <v>0</v>
      </c>
      <c r="BJ52" s="20">
        <v>1</v>
      </c>
      <c r="BK52" s="20">
        <v>2</v>
      </c>
      <c r="BL52" s="20">
        <v>3</v>
      </c>
      <c r="BM52" s="20">
        <v>4</v>
      </c>
      <c r="BN52" s="20">
        <v>5</v>
      </c>
      <c r="BO52" s="20">
        <v>6</v>
      </c>
      <c r="BP52" s="20">
        <v>7</v>
      </c>
      <c r="BQ52" s="20">
        <v>8</v>
      </c>
      <c r="BR52" s="20">
        <v>9</v>
      </c>
      <c r="BS52" s="20">
        <v>10</v>
      </c>
    </row>
    <row r="53" spans="1:91" x14ac:dyDescent="0.25">
      <c r="A53" s="8"/>
      <c r="B53" s="6" t="s">
        <v>116</v>
      </c>
      <c r="C53" s="8"/>
      <c r="D53" s="6" t="s">
        <v>568</v>
      </c>
      <c r="E53" s="8" t="s">
        <v>382</v>
      </c>
      <c r="F53" s="5"/>
      <c r="G53" s="5"/>
      <c r="H53" s="5"/>
      <c r="I53" s="5"/>
      <c r="J53" s="5"/>
      <c r="K53" s="4"/>
      <c r="L53" s="6" t="s">
        <v>211</v>
      </c>
      <c r="M53" s="14">
        <f>INDEX(cennik!$C$2:$L$529,MATCH($L53,cennik!$B$2:$B$522,0),MATCH(M$2,cennik!$C$1:$L$1,0))</f>
        <v>6441205</v>
      </c>
      <c r="N53" s="14" t="str">
        <f>INDEX(cennik!$C$2:$L$529,MATCH($L53,cennik!$B$2:$B$522,0),MATCH(N$2,cennik!$C$1:$L$1,0))</f>
        <v>szt.</v>
      </c>
      <c r="O53" s="14">
        <f>SUM(AA50:AA65)</f>
        <v>0</v>
      </c>
      <c r="P53" s="22">
        <f>INDEX(cennik!$C$2:$L$529,MATCH($L53,cennik!$B$2:$B$522,0),MATCH(P$2,cennik!$C$1:$L$1,0))</f>
        <v>46.35</v>
      </c>
      <c r="Q53" s="22">
        <f t="shared" si="12"/>
        <v>0</v>
      </c>
      <c r="R53" s="23">
        <f t="shared" si="13"/>
        <v>0</v>
      </c>
      <c r="S53" s="22">
        <f t="shared" si="14"/>
        <v>46.35</v>
      </c>
      <c r="T53" s="22">
        <f t="shared" si="15"/>
        <v>0</v>
      </c>
      <c r="U53" s="22">
        <f>INDEX(cennik!$C$2:$L$529,MATCH($L53,cennik!$B$2:$B$522,0),MATCH(U$2,cennik!$C$1:$L$1,0))*O53</f>
        <v>0</v>
      </c>
      <c r="W53" s="20">
        <f>(INDEX(($AO$5:$AY$13,$AO$17:$AY$25,$AO$30:$AY$38,$AO$42:$AY$50,$AO$54:$AY$62,$AO$66:$AY$74,$BI$5:$BS$13,$BI$17:$BS$25,$BI$29:$BS$37,$BI$41:$BS$49,$BI$53:$BS$61,$BI$65:$BS$73,$BY$5:$CI$13,$BY$17:$CI$25),MATCH($L$58,$AN$5:$AN$13,0),MATCH(A52,$AO$4:$AY$4,0),MATCH($G$50,$AL$18:$AL$31,0)))*C52</f>
        <v>0</v>
      </c>
      <c r="X53" s="20">
        <f>(INDEX(($AO$5:$AY$13,$AO$17:$AY$25,$AO$30:$AY$38,$AO$42:$AY$50,$AO$54:$AY$62,$AO$66:$AY$74,$BI$5:$BS$13,$BI$17:$BS$25,$BI$29:$BS$37,$BI$41:$BS$49,$BI$53:$BS$61,$BI$65:$BS$73,$BY$5:$CI$13,$BY$17:$CI$25),MATCH($L$50,$AN$5:$AN$13,0),MATCH(A52,$AO$4:$AY$4,0),MATCH($G$50,$AL$18:$AL$31,0)))*C52</f>
        <v>0</v>
      </c>
      <c r="Y53" s="20">
        <f>(INDEX(($AO$5:$AY$13,$AO$17:$AY$25,$AO$30:$AY$38,$AO$42:$AY$50,$AO$54:$AY$62,$AO$66:$AY$74,$BI$5:$BS$13,$BI$17:$BS$25,$BI$29:$BS$37,$BI$41:$BS$49,$BI$53:$BS$61,$BI$65:$BS$73,$BY$5:$CI$13,$BY$17:$CI$25),MATCH($L$51,$AN$5:$AN$13,0),MATCH(A52,$AO$4:$AY$4,0),MATCH($G$50,$AL$18:$AL$31,0)))*C52</f>
        <v>0</v>
      </c>
      <c r="Z53" s="20">
        <f>(INDEX(($AO$5:$AY$13,$AO$17:$AY$25,$AO$30:$AY$38,$AO$42:$AY$50,$AO$54:$AY$62,$AO$66:$AY$74,$BI$5:$BS$13,$BI$17:$BS$25,$BI$29:$BS$37,$BI$41:$BS$49,$BI$53:$BS$61,$BI$65:$BS$73,$BY$5:$CI$13,$BY$17:$CI$25),MATCH($L$52,$AN$5:$AN$13,0),MATCH(A52,$AO$4:$AY$4,0),MATCH($G$50,$AL$18:$AL$31,0)))*C52</f>
        <v>0</v>
      </c>
      <c r="AA53" s="20">
        <f>(INDEX(($AO$5:$AY$13,$AO$17:$AY$25,$AO$30:$AY$38,$AO$42:$AY$50,$AO$54:$AY$62,$AO$66:$AY$74,$BI$5:$BS$13,$BI$17:$BS$25,$BI$29:$BS$37,$BI$41:$BS$49,$BI$53:$BS$61,$BI$65:$BS$73,$BY$5:$CI$13,$BY$17:$CI$25),MATCH($L$53,$AN$5:$AN$13,0),MATCH(A52,$AO$4:$AY$4,0),MATCH($G$50,$AL$18:$AL$31,0)))*C52</f>
        <v>0</v>
      </c>
      <c r="AB53" s="20">
        <f>(INDEX(($AO$5:$AY$13,$AO$17:$AY$25,$AO$30:$AY$38,$AO$42:$AY$50,$AO$54:$AY$62,$AO$66:$AY$74,$BI$5:$BS$13,$BI$17:$BS$25,$BI$29:$BS$37,$BI$41:$BS$49,$BI$53:$BS$61,$BI$65:$BS$73,$BY$5:$CI$13,$BY$17:$CI$25),MATCH($L$54,$AN$5:$AN$13,0),MATCH(A52,$AO$4:$AY$4,0),MATCH($G$50,$AL$18:$AL$31,0)))*C52</f>
        <v>0</v>
      </c>
      <c r="AC53" s="20">
        <f>(INDEX(($AO$5:$AY$13,$AO$17:$AY$25,$AO$30:$AY$38,$AO$42:$AY$50,$AO$54:$AY$62,$AO$66:$AY$74,$BI$5:$BS$13,$BI$17:$BS$25,$BI$29:$BS$37,$BI$41:$BS$49,$BI$53:$BS$61,$BI$65:$BS$73,$BY$5:$CI$13,$BY$17:$CI$25),MATCH($L$55,$AN$5:$AN$13,0),MATCH(A52,$AO$4:$AY$4,0),MATCH($G$50,$AL$18:$AL$31,0)))*C52</f>
        <v>0</v>
      </c>
      <c r="AD53" s="20">
        <f>(INDEX(($AO$5:$AY$13,$AO$17:$AY$25,$AO$30:$AY$38,$AO$42:$AY$50,$AO$54:$AY$62,$AO$66:$AY$74,$BI$5:$BS$13,$BI$17:$BS$25,$BI$29:$BS$37,$BI$41:$BS$49,$BI$53:$BS$61,$BI$65:$BS$73,$BY$5:$CI$13,$BY$17:$CI$25),MATCH($L$56,$AN$5:$AN$13,0),MATCH(A52,$AO$4:$AY$4,0),MATCH($G$50,$AL$18:$AL$31,0)))*C52</f>
        <v>0</v>
      </c>
      <c r="AE53" s="20">
        <f>(INDEX(($AO$5:$AY$13,$AO$17:$AY$25,$AO$30:$AY$38,$AO$42:$AY$50,$AO$54:$AY$62,$AO$66:$AY$74,$BI$5:$BS$13,$BI$17:$BS$25,$BI$29:$BS$37,$BI$41:$BS$49,$BI$53:$BS$61,$BI$65:$BS$73,$BY$5:$CI$13,$BY$17:$CI$25),MATCH($L$57,$AN$5:$AN$13,0),MATCH(A52,$AO$4:$AY$4,0),MATCH($G$50,$AL$18:$AL$31,0)))*C52</f>
        <v>0</v>
      </c>
      <c r="AH53" s="21" t="s">
        <v>380</v>
      </c>
      <c r="AN53" s="20"/>
      <c r="AO53" s="20">
        <v>0</v>
      </c>
      <c r="AP53" s="20">
        <v>1</v>
      </c>
      <c r="AQ53" s="20">
        <v>2</v>
      </c>
      <c r="AR53" s="20">
        <v>3</v>
      </c>
      <c r="AS53" s="20">
        <v>4</v>
      </c>
      <c r="AT53" s="20">
        <v>5</v>
      </c>
      <c r="AU53" s="20">
        <v>6</v>
      </c>
      <c r="AV53" s="20">
        <v>7</v>
      </c>
      <c r="AW53" s="20">
        <v>8</v>
      </c>
      <c r="AX53" s="20">
        <v>9</v>
      </c>
      <c r="AY53" s="20">
        <v>10</v>
      </c>
      <c r="BH53" s="20" t="s">
        <v>210</v>
      </c>
      <c r="BI53" s="20">
        <v>0</v>
      </c>
      <c r="BJ53" s="20">
        <v>0</v>
      </c>
      <c r="BK53" s="20">
        <v>2</v>
      </c>
      <c r="BL53" s="20">
        <v>0</v>
      </c>
      <c r="BM53" s="20">
        <v>2</v>
      </c>
      <c r="BN53" s="20">
        <v>0</v>
      </c>
      <c r="BO53" s="20">
        <v>0</v>
      </c>
      <c r="BP53" s="20">
        <v>0</v>
      </c>
      <c r="BQ53" s="20">
        <v>0</v>
      </c>
      <c r="BR53" s="20">
        <v>0</v>
      </c>
      <c r="BS53" s="20">
        <v>0</v>
      </c>
    </row>
    <row r="54" spans="1:91" x14ac:dyDescent="0.25">
      <c r="A54" s="8"/>
      <c r="B54" s="6" t="s">
        <v>116</v>
      </c>
      <c r="C54" s="8"/>
      <c r="D54" s="6" t="s">
        <v>571</v>
      </c>
      <c r="E54" s="8">
        <v>0</v>
      </c>
      <c r="F54" s="5"/>
      <c r="G54" s="5"/>
      <c r="H54" s="5"/>
      <c r="I54" s="5"/>
      <c r="J54" s="5" t="s">
        <v>509</v>
      </c>
      <c r="K54" s="4"/>
      <c r="L54" s="6" t="s">
        <v>293</v>
      </c>
      <c r="M54" s="14">
        <f>INDEX(cennik!$C$2:$L$529,MATCH($L54,cennik!$B$2:$B$522,0),MATCH(M$2,cennik!$C$1:$L$1,0))</f>
        <v>851122</v>
      </c>
      <c r="N54" s="14" t="str">
        <f>INDEX(cennik!$C$2:$L$529,MATCH($L54,cennik!$B$2:$B$522,0),MATCH(N$2,cennik!$C$1:$L$1,0))</f>
        <v>szt.</v>
      </c>
      <c r="O54" s="14">
        <f>SUM(AB50:AB65)</f>
        <v>0</v>
      </c>
      <c r="P54" s="22">
        <f>INDEX(cennik!$C$2:$L$529,MATCH($L54,cennik!$B$2:$B$522,0),MATCH(P$2,cennik!$C$1:$L$1,0))</f>
        <v>46.2</v>
      </c>
      <c r="Q54" s="22">
        <f t="shared" si="12"/>
        <v>0</v>
      </c>
      <c r="R54" s="23">
        <f t="shared" si="13"/>
        <v>0</v>
      </c>
      <c r="S54" s="22">
        <f t="shared" si="14"/>
        <v>46.2</v>
      </c>
      <c r="T54" s="22">
        <f t="shared" si="15"/>
        <v>0</v>
      </c>
      <c r="U54" s="22">
        <f>INDEX(cennik!$C$2:$L$529,MATCH($L54,cennik!$B$2:$B$522,0),MATCH(U$2,cennik!$C$1:$L$1,0))*O54</f>
        <v>0</v>
      </c>
      <c r="W54" s="20">
        <f>(INDEX(($AO$5:$AY$13,$AO$17:$AY$25,$AO$30:$AY$38,$AO$42:$AY$50,$AO$54:$AY$62,$AO$66:$AY$74,$BI$5:$BS$13,$BI$17:$BS$25,$BI$29:$BS$37,$BI$41:$BS$49,$BI$53:$BS$61,$BI$65:$BS$73,$BY$5:$CI$13,$BY$17:$CI$25),MATCH($L$58,$AN$5:$AN$13,0),MATCH(A53,$AO$4:$AY$4,0),MATCH($G$50,$AL$18:$AL$31,0)))*C53</f>
        <v>0</v>
      </c>
      <c r="X54" s="20">
        <f>(INDEX(($AO$5:$AY$13,$AO$17:$AY$25,$AO$30:$AY$38,$AO$42:$AY$50,$AO$54:$AY$62,$AO$66:$AY$74,$BI$5:$BS$13,$BI$17:$BS$25,$BI$29:$BS$37,$BI$41:$BS$49,$BI$53:$BS$61,$BI$65:$BS$73,$BY$5:$CI$13,$BY$17:$CI$25),MATCH($L$50,$AN$5:$AN$13,0),MATCH(A53,$AO$4:$AY$4,0),MATCH($G$50,$AL$18:$AL$31,0)))*C53</f>
        <v>0</v>
      </c>
      <c r="Y54" s="20">
        <f>(INDEX(($AO$5:$AY$13,$AO$17:$AY$25,$AO$30:$AY$38,$AO$42:$AY$50,$AO$54:$AY$62,$AO$66:$AY$74,$BI$5:$BS$13,$BI$17:$BS$25,$BI$29:$BS$37,$BI$41:$BS$49,$BI$53:$BS$61,$BI$65:$BS$73,$BY$5:$CI$13,$BY$17:$CI$25),MATCH($L$51,$AN$5:$AN$13,0),MATCH(A53,$AO$4:$AY$4,0),MATCH($G$50,$AL$18:$AL$31,0)))*C53</f>
        <v>0</v>
      </c>
      <c r="Z54" s="20">
        <f>(INDEX(($AO$5:$AY$13,$AO$17:$AY$25,$AO$30:$AY$38,$AO$42:$AY$50,$AO$54:$AY$62,$AO$66:$AY$74,$BI$5:$BS$13,$BI$17:$BS$25,$BI$29:$BS$37,$BI$41:$BS$49,$BI$53:$BS$61,$BI$65:$BS$73,$BY$5:$CI$13,$BY$17:$CI$25),MATCH($L$52,$AN$5:$AN$13,0),MATCH(A53,$AO$4:$AY$4,0),MATCH($G$50,$AL$18:$AL$31,0)))*C53</f>
        <v>0</v>
      </c>
      <c r="AA54" s="20">
        <f>(INDEX(($AO$5:$AY$13,$AO$17:$AY$25,$AO$30:$AY$38,$AO$42:$AY$50,$AO$54:$AY$62,$AO$66:$AY$74,$BI$5:$BS$13,$BI$17:$BS$25,$BI$29:$BS$37,$BI$41:$BS$49,$BI$53:$BS$61,$BI$65:$BS$73,$BY$5:$CI$13,$BY$17:$CI$25),MATCH($L$53,$AN$5:$AN$13,0),MATCH(A53,$AO$4:$AY$4,0),MATCH($G$50,$AL$18:$AL$31,0)))*C53</f>
        <v>0</v>
      </c>
      <c r="AB54" s="20">
        <f>(INDEX(($AO$5:$AY$13,$AO$17:$AY$25,$AO$30:$AY$38,$AO$42:$AY$50,$AO$54:$AY$62,$AO$66:$AY$74,$BI$5:$BS$13,$BI$17:$BS$25,$BI$29:$BS$37,$BI$41:$BS$49,$BI$53:$BS$61,$BI$65:$BS$73,$BY$5:$CI$13,$BY$17:$CI$25),MATCH($L$54,$AN$5:$AN$13,0),MATCH(A53,$AO$4:$AY$4,0),MATCH($G$50,$AL$18:$AL$31,0)))*C53</f>
        <v>0</v>
      </c>
      <c r="AC54" s="20">
        <f>(INDEX(($AO$5:$AY$13,$AO$17:$AY$25,$AO$30:$AY$38,$AO$42:$AY$50,$AO$54:$AY$62,$AO$66:$AY$74,$BI$5:$BS$13,$BI$17:$BS$25,$BI$29:$BS$37,$BI$41:$BS$49,$BI$53:$BS$61,$BI$65:$BS$73,$BY$5:$CI$13,$BY$17:$CI$25),MATCH($L$55,$AN$5:$AN$13,0),MATCH(A53,$AO$4:$AY$4,0),MATCH($G$50,$AL$18:$AL$31,0)))*C53</f>
        <v>0</v>
      </c>
      <c r="AD54" s="20">
        <f>(INDEX(($AO$5:$AY$13,$AO$17:$AY$25,$AO$30:$AY$38,$AO$42:$AY$50,$AO$54:$AY$62,$AO$66:$AY$74,$BI$5:$BS$13,$BI$17:$BS$25,$BI$29:$BS$37,$BI$41:$BS$49,$BI$53:$BS$61,$BI$65:$BS$73,$BY$5:$CI$13,$BY$17:$CI$25),MATCH($L$56,$AN$5:$AN$13,0),MATCH(A53,$AO$4:$AY$4,0),MATCH($G$50,$AL$18:$AL$31,0)))*C53</f>
        <v>0</v>
      </c>
      <c r="AE54" s="20">
        <f>(INDEX(($AO$5:$AY$13,$AO$17:$AY$25,$AO$30:$AY$38,$AO$42:$AY$50,$AO$54:$AY$62,$AO$66:$AY$74,$BI$5:$BS$13,$BI$17:$BS$25,$BI$29:$BS$37,$BI$41:$BS$49,$BI$53:$BS$61,$BI$65:$BS$73,$BY$5:$CI$13,$BY$17:$CI$25),MATCH($L$57,$AN$5:$AN$13,0),MATCH(A53,$AO$4:$AY$4,0),MATCH($G$50,$AL$18:$AL$31,0)))*C53</f>
        <v>0</v>
      </c>
      <c r="AH54" s="21" t="s">
        <v>382</v>
      </c>
      <c r="AN54" s="20" t="s">
        <v>210</v>
      </c>
      <c r="AO54" s="20">
        <v>0</v>
      </c>
      <c r="AP54" s="20">
        <v>0</v>
      </c>
      <c r="AQ54" s="20">
        <v>0</v>
      </c>
      <c r="AR54" s="20">
        <v>0</v>
      </c>
      <c r="AS54" s="20">
        <v>0</v>
      </c>
      <c r="AT54" s="20">
        <v>0</v>
      </c>
      <c r="AU54" s="20">
        <v>0</v>
      </c>
      <c r="AV54" s="20">
        <v>2</v>
      </c>
      <c r="AW54" s="20">
        <v>0</v>
      </c>
      <c r="AX54" s="20">
        <v>0</v>
      </c>
      <c r="AY54" s="20">
        <v>0</v>
      </c>
      <c r="BH54" s="20" t="s">
        <v>9</v>
      </c>
      <c r="BI54" s="20">
        <v>0</v>
      </c>
      <c r="BJ54" s="20">
        <v>0</v>
      </c>
      <c r="BK54" s="20">
        <v>0</v>
      </c>
      <c r="BL54" s="20">
        <v>0</v>
      </c>
      <c r="BM54" s="20">
        <v>0</v>
      </c>
      <c r="BN54" s="20">
        <v>0</v>
      </c>
      <c r="BO54" s="20">
        <v>0</v>
      </c>
      <c r="BP54" s="20">
        <v>0</v>
      </c>
      <c r="BQ54" s="20">
        <v>0</v>
      </c>
      <c r="BR54" s="20">
        <v>0</v>
      </c>
      <c r="BS54" s="20">
        <v>0</v>
      </c>
    </row>
    <row r="55" spans="1:91" x14ac:dyDescent="0.25">
      <c r="A55" s="8"/>
      <c r="B55" s="6" t="s">
        <v>116</v>
      </c>
      <c r="C55" s="8"/>
      <c r="D55" s="6" t="s">
        <v>510</v>
      </c>
      <c r="E55" s="8">
        <v>0</v>
      </c>
      <c r="F55" s="5"/>
      <c r="G55" s="5"/>
      <c r="H55" s="5"/>
      <c r="I55" s="5"/>
      <c r="J55" s="5" t="s">
        <v>509</v>
      </c>
      <c r="K55" s="4"/>
      <c r="L55" s="6" t="s">
        <v>10</v>
      </c>
      <c r="M55" s="14">
        <f>INDEX(cennik!$C$2:$L$529,MATCH($L55,cennik!$B$2:$B$522,0),MATCH(M$2,cennik!$C$1:$L$1,0))</f>
        <v>6441305</v>
      </c>
      <c r="N55" s="14" t="str">
        <f>INDEX(cennik!$C$2:$L$529,MATCH($L55,cennik!$B$2:$B$522,0),MATCH(N$2,cennik!$C$1:$L$1,0))</f>
        <v>szt.</v>
      </c>
      <c r="O55" s="14">
        <f>SUM(AC50:AC65)</f>
        <v>0</v>
      </c>
      <c r="P55" s="22">
        <f>INDEX(cennik!$C$2:$L$529,MATCH($L55,cennik!$B$2:$B$522,0),MATCH(P$2,cennik!$C$1:$L$1,0))</f>
        <v>69.55</v>
      </c>
      <c r="Q55" s="22">
        <f t="shared" si="12"/>
        <v>0</v>
      </c>
      <c r="R55" s="23">
        <f t="shared" si="13"/>
        <v>0</v>
      </c>
      <c r="S55" s="22">
        <f t="shared" si="14"/>
        <v>69.55</v>
      </c>
      <c r="T55" s="22">
        <f t="shared" si="15"/>
        <v>0</v>
      </c>
      <c r="U55" s="22">
        <f>INDEX(cennik!$C$2:$L$529,MATCH($L55,cennik!$B$2:$B$522,0),MATCH(U$2,cennik!$C$1:$L$1,0))*O55</f>
        <v>0</v>
      </c>
      <c r="W55" s="20">
        <f>(INDEX(($AO$5:$AY$13,$AO$17:$AY$25,$AO$30:$AY$38,$AO$42:$AY$50,$AO$54:$AY$62,$AO$66:$AY$74,$BI$5:$BS$13,$BI$17:$BS$25,$BI$29:$BS$37,$BI$41:$BS$49,$BI$53:$BS$61,$BI$65:$BS$73,$BY$5:$CI$13,$BY$17:$CI$25),MATCH($L$58,$AN$5:$AN$13,0),MATCH(A54,$AO$4:$AY$4,0),MATCH($G$50,$AL$18:$AL$31,0)))*C54</f>
        <v>0</v>
      </c>
      <c r="X55" s="20">
        <f>(INDEX(($AO$5:$AY$13,$AO$17:$AY$25,$AO$30:$AY$38,$AO$42:$AY$50,$AO$54:$AY$62,$AO$66:$AY$74,$BI$5:$BS$13,$BI$17:$BS$25,$BI$29:$BS$37,$BI$41:$BS$49,$BI$53:$BS$61,$BI$65:$BS$73,$BY$5:$CI$13,$BY$17:$CI$25),MATCH($L$50,$AN$5:$AN$13,0),MATCH(A54,$AO$4:$AY$4,0),MATCH($G$50,$AL$18:$AL$31,0)))*C54</f>
        <v>0</v>
      </c>
      <c r="Y55" s="20">
        <f>(INDEX(($AO$5:$AY$13,$AO$17:$AY$25,$AO$30:$AY$38,$AO$42:$AY$50,$AO$54:$AY$62,$AO$66:$AY$74,$BI$5:$BS$13,$BI$17:$BS$25,$BI$29:$BS$37,$BI$41:$BS$49,$BI$53:$BS$61,$BI$65:$BS$73,$BY$5:$CI$13,$BY$17:$CI$25),MATCH($L$51,$AN$5:$AN$13,0),MATCH(A54,$AO$4:$AY$4,0),MATCH($G$50,$AL$18:$AL$31,0)))*C54</f>
        <v>0</v>
      </c>
      <c r="Z55" s="20">
        <f>(INDEX(($AO$5:$AY$13,$AO$17:$AY$25,$AO$30:$AY$38,$AO$42:$AY$50,$AO$54:$AY$62,$AO$66:$AY$74,$BI$5:$BS$13,$BI$17:$BS$25,$BI$29:$BS$37,$BI$41:$BS$49,$BI$53:$BS$61,$BI$65:$BS$73,$BY$5:$CI$13,$BY$17:$CI$25),MATCH($L$52,$AN$5:$AN$13,0),MATCH(A54,$AO$4:$AY$4,0),MATCH($G$50,$AL$18:$AL$31,0)))*C54</f>
        <v>0</v>
      </c>
      <c r="AA55" s="20">
        <f>(INDEX(($AO$5:$AY$13,$AO$17:$AY$25,$AO$30:$AY$38,$AO$42:$AY$50,$AO$54:$AY$62,$AO$66:$AY$74,$BI$5:$BS$13,$BI$17:$BS$25,$BI$29:$BS$37,$BI$41:$BS$49,$BI$53:$BS$61,$BI$65:$BS$73,$BY$5:$CI$13,$BY$17:$CI$25),MATCH($L$53,$AN$5:$AN$13,0),MATCH(A54,$AO$4:$AY$4,0),MATCH($G$50,$AL$18:$AL$31,0)))*C54</f>
        <v>0</v>
      </c>
      <c r="AB55" s="20">
        <f>(INDEX(($AO$5:$AY$13,$AO$17:$AY$25,$AO$30:$AY$38,$AO$42:$AY$50,$AO$54:$AY$62,$AO$66:$AY$74,$BI$5:$BS$13,$BI$17:$BS$25,$BI$29:$BS$37,$BI$41:$BS$49,$BI$53:$BS$61,$BI$65:$BS$73,$BY$5:$CI$13,$BY$17:$CI$25),MATCH($L$54,$AN$5:$AN$13,0),MATCH(A54,$AO$4:$AY$4,0),MATCH($G$50,$AL$18:$AL$31,0)))*C54</f>
        <v>0</v>
      </c>
      <c r="AC55" s="20">
        <f>(INDEX(($AO$5:$AY$13,$AO$17:$AY$25,$AO$30:$AY$38,$AO$42:$AY$50,$AO$54:$AY$62,$AO$66:$AY$74,$BI$5:$BS$13,$BI$17:$BS$25,$BI$29:$BS$37,$BI$41:$BS$49,$BI$53:$BS$61,$BI$65:$BS$73,$BY$5:$CI$13,$BY$17:$CI$25),MATCH($L$55,$AN$5:$AN$13,0),MATCH(A54,$AO$4:$AY$4,0),MATCH($G$50,$AL$18:$AL$31,0)))*C54</f>
        <v>0</v>
      </c>
      <c r="AD55" s="20">
        <f>(INDEX(($AO$5:$AY$13,$AO$17:$AY$25,$AO$30:$AY$38,$AO$42:$AY$50,$AO$54:$AY$62,$AO$66:$AY$74,$BI$5:$BS$13,$BI$17:$BS$25,$BI$29:$BS$37,$BI$41:$BS$49,$BI$53:$BS$61,$BI$65:$BS$73,$BY$5:$CI$13,$BY$17:$CI$25),MATCH($L$56,$AN$5:$AN$13,0),MATCH(A54,$AO$4:$AY$4,0),MATCH($G$50,$AL$18:$AL$31,0)))*C54</f>
        <v>0</v>
      </c>
      <c r="AE55" s="20">
        <f>(INDEX(($AO$5:$AY$13,$AO$17:$AY$25,$AO$30:$AY$38,$AO$42:$AY$50,$AO$54:$AY$62,$AO$66:$AY$74,$BI$5:$BS$13,$BI$17:$BS$25,$BI$29:$BS$37,$BI$41:$BS$49,$BI$53:$BS$61,$BI$65:$BS$73,$BY$5:$CI$13,$BY$17:$CI$25),MATCH($L$57,$AN$5:$AN$13,0),MATCH(A54,$AO$4:$AY$4,0),MATCH($G$50,$AL$18:$AL$31,0)))*C54</f>
        <v>0</v>
      </c>
      <c r="AH55" s="21" t="s">
        <v>384</v>
      </c>
      <c r="AN55" s="20" t="s">
        <v>9</v>
      </c>
      <c r="AO55" s="20">
        <v>0</v>
      </c>
      <c r="AP55" s="20">
        <v>0</v>
      </c>
      <c r="AQ55" s="20">
        <v>0</v>
      </c>
      <c r="AR55" s="20">
        <v>0</v>
      </c>
      <c r="AS55" s="20">
        <v>0</v>
      </c>
      <c r="AT55" s="20">
        <v>0</v>
      </c>
      <c r="AU55" s="20">
        <v>0</v>
      </c>
      <c r="AV55" s="20">
        <v>0</v>
      </c>
      <c r="AW55" s="20">
        <v>0</v>
      </c>
      <c r="AX55" s="20">
        <v>2</v>
      </c>
      <c r="AY55" s="20">
        <v>0</v>
      </c>
      <c r="BH55" s="20" t="s">
        <v>208</v>
      </c>
      <c r="BI55" s="20">
        <v>0</v>
      </c>
      <c r="BJ55" s="20">
        <v>0</v>
      </c>
      <c r="BK55" s="20">
        <v>0</v>
      </c>
      <c r="BL55" s="20">
        <v>0</v>
      </c>
      <c r="BM55" s="20">
        <v>0</v>
      </c>
      <c r="BN55" s="20">
        <v>0</v>
      </c>
      <c r="BO55" s="20">
        <v>0</v>
      </c>
      <c r="BP55" s="20">
        <v>0</v>
      </c>
      <c r="BQ55" s="20">
        <v>0</v>
      </c>
      <c r="BR55" s="20">
        <v>0</v>
      </c>
      <c r="BS55" s="20">
        <v>0</v>
      </c>
    </row>
    <row r="56" spans="1:91" x14ac:dyDescent="0.25">
      <c r="A56" s="8"/>
      <c r="B56" s="6" t="s">
        <v>116</v>
      </c>
      <c r="C56" s="8"/>
      <c r="D56" s="6" t="s">
        <v>511</v>
      </c>
      <c r="E56" s="4"/>
      <c r="F56" s="5"/>
      <c r="G56" s="5"/>
      <c r="H56" s="5"/>
      <c r="I56" s="5"/>
      <c r="K56" s="4"/>
      <c r="L56" s="6" t="s">
        <v>212</v>
      </c>
      <c r="M56" s="14">
        <f>INDEX(cennik!$C$2:$L$529,MATCH($L56,cennik!$B$2:$B$522,0),MATCH(M$2,cennik!$C$1:$L$1,0))</f>
        <v>851135</v>
      </c>
      <c r="N56" s="14" t="str">
        <f>INDEX(cennik!$C$2:$L$529,MATCH($L56,cennik!$B$2:$B$522,0),MATCH(N$2,cennik!$C$1:$L$1,0))</f>
        <v>szt.</v>
      </c>
      <c r="O56" s="14">
        <f>SUM(AD50:AD65)</f>
        <v>0</v>
      </c>
      <c r="P56" s="22">
        <f>INDEX(cennik!$C$2:$L$529,MATCH($L56,cennik!$B$2:$B$522,0),MATCH(P$2,cennik!$C$1:$L$1,0))</f>
        <v>73.5</v>
      </c>
      <c r="Q56" s="22">
        <f t="shared" si="12"/>
        <v>0</v>
      </c>
      <c r="R56" s="23">
        <f t="shared" si="13"/>
        <v>0</v>
      </c>
      <c r="S56" s="22">
        <f t="shared" si="14"/>
        <v>73.5</v>
      </c>
      <c r="T56" s="22">
        <f t="shared" si="15"/>
        <v>0</v>
      </c>
      <c r="U56" s="22">
        <f>INDEX(cennik!$C$2:$L$529,MATCH($L56,cennik!$B$2:$B$522,0),MATCH(U$2,cennik!$C$1:$L$1,0))*O56</f>
        <v>0</v>
      </c>
      <c r="W56" s="20">
        <f>(INDEX(($AO$5:$AY$13,$AO$17:$AY$25,$AO$30:$AY$38,$AO$42:$AY$50,$AO$54:$AY$62,$AO$66:$AY$74,$BI$5:$BS$13,$BI$17:$BS$25,$BI$29:$BS$37,$BI$41:$BS$49,$BI$53:$BS$61,$BI$65:$BS$73,$BY$5:$CI$13,$BY$17:$CI$25),MATCH($L$58,$AN$5:$AN$13,0),MATCH(A55,$AO$4:$AY$4,0),MATCH($G$50,$AL$18:$AL$31,0)))*C55</f>
        <v>0</v>
      </c>
      <c r="X56" s="20">
        <f>(INDEX(($AO$5:$AY$13,$AO$17:$AY$25,$AO$30:$AY$38,$AO$42:$AY$50,$AO$54:$AY$62,$AO$66:$AY$74,$BI$5:$BS$13,$BI$17:$BS$25,$BI$29:$BS$37,$BI$41:$BS$49,$BI$53:$BS$61,$BI$65:$BS$73,$BY$5:$CI$13,$BY$17:$CI$25),MATCH($L$50,$AN$5:$AN$13,0),MATCH(A55,$AO$4:$AY$4,0),MATCH($G$50,$AL$18:$AL$31,0)))*C55</f>
        <v>0</v>
      </c>
      <c r="Y56" s="20">
        <f>(INDEX(($AO$5:$AY$13,$AO$17:$AY$25,$AO$30:$AY$38,$AO$42:$AY$50,$AO$54:$AY$62,$AO$66:$AY$74,$BI$5:$BS$13,$BI$17:$BS$25,$BI$29:$BS$37,$BI$41:$BS$49,$BI$53:$BS$61,$BI$65:$BS$73,$BY$5:$CI$13,$BY$17:$CI$25),MATCH($L$51,$AN$5:$AN$13,0),MATCH(A55,$AO$4:$AY$4,0),MATCH($G$50,$AL$18:$AL$31,0)))*C55</f>
        <v>0</v>
      </c>
      <c r="Z56" s="20">
        <f>(INDEX(($AO$5:$AY$13,$AO$17:$AY$25,$AO$30:$AY$38,$AO$42:$AY$50,$AO$54:$AY$62,$AO$66:$AY$74,$BI$5:$BS$13,$BI$17:$BS$25,$BI$29:$BS$37,$BI$41:$BS$49,$BI$53:$BS$61,$BI$65:$BS$73,$BY$5:$CI$13,$BY$17:$CI$25),MATCH($L$52,$AN$5:$AN$13,0),MATCH(A55,$AO$4:$AY$4,0),MATCH($G$50,$AL$18:$AL$31,0)))*C55</f>
        <v>0</v>
      </c>
      <c r="AA56" s="20">
        <f>(INDEX(($AO$5:$AY$13,$AO$17:$AY$25,$AO$30:$AY$38,$AO$42:$AY$50,$AO$54:$AY$62,$AO$66:$AY$74,$BI$5:$BS$13,$BI$17:$BS$25,$BI$29:$BS$37,$BI$41:$BS$49,$BI$53:$BS$61,$BI$65:$BS$73,$BY$5:$CI$13,$BY$17:$CI$25),MATCH($L$53,$AN$5:$AN$13,0),MATCH(A55,$AO$4:$AY$4,0),MATCH($G$50,$AL$18:$AL$31,0)))*C55</f>
        <v>0</v>
      </c>
      <c r="AB56" s="20">
        <f>(INDEX(($AO$5:$AY$13,$AO$17:$AY$25,$AO$30:$AY$38,$AO$42:$AY$50,$AO$54:$AY$62,$AO$66:$AY$74,$BI$5:$BS$13,$BI$17:$BS$25,$BI$29:$BS$37,$BI$41:$BS$49,$BI$53:$BS$61,$BI$65:$BS$73,$BY$5:$CI$13,$BY$17:$CI$25),MATCH($L$54,$AN$5:$AN$13,0),MATCH(A55,$AO$4:$AY$4,0),MATCH($G$50,$AL$18:$AL$31,0)))*C55</f>
        <v>0</v>
      </c>
      <c r="AC56" s="20">
        <f>(INDEX(($AO$5:$AY$13,$AO$17:$AY$25,$AO$30:$AY$38,$AO$42:$AY$50,$AO$54:$AY$62,$AO$66:$AY$74,$BI$5:$BS$13,$BI$17:$BS$25,$BI$29:$BS$37,$BI$41:$BS$49,$BI$53:$BS$61,$BI$65:$BS$73,$BY$5:$CI$13,$BY$17:$CI$25),MATCH($L$55,$AN$5:$AN$13,0),MATCH(A55,$AO$4:$AY$4,0),MATCH($G$50,$AL$18:$AL$31,0)))*C55</f>
        <v>0</v>
      </c>
      <c r="AD56" s="20">
        <f>(INDEX(($AO$5:$AY$13,$AO$17:$AY$25,$AO$30:$AY$38,$AO$42:$AY$50,$AO$54:$AY$62,$AO$66:$AY$74,$BI$5:$BS$13,$BI$17:$BS$25,$BI$29:$BS$37,$BI$41:$BS$49,$BI$53:$BS$61,$BI$65:$BS$73,$BY$5:$CI$13,$BY$17:$CI$25),MATCH($L$56,$AN$5:$AN$13,0),MATCH(A55,$AO$4:$AY$4,0),MATCH($G$50,$AL$18:$AL$31,0)))*C55</f>
        <v>0</v>
      </c>
      <c r="AE56" s="20">
        <f>(INDEX(($AO$5:$AY$13,$AO$17:$AY$25,$AO$30:$AY$38,$AO$42:$AY$50,$AO$54:$AY$62,$AO$66:$AY$74,$BI$5:$BS$13,$BI$17:$BS$25,$BI$29:$BS$37,$BI$41:$BS$49,$BI$53:$BS$61,$BI$65:$BS$73,$BY$5:$CI$13,$BY$17:$CI$25),MATCH($L$57,$AN$5:$AN$13,0),MATCH(A55,$AO$4:$AY$4,0),MATCH($G$50,$AL$18:$AL$31,0)))*C55</f>
        <v>0</v>
      </c>
      <c r="AH56" s="21" t="s">
        <v>386</v>
      </c>
      <c r="AN56" s="20" t="s">
        <v>208</v>
      </c>
      <c r="AO56" s="20">
        <v>0</v>
      </c>
      <c r="AP56" s="20">
        <v>0</v>
      </c>
      <c r="AQ56" s="20">
        <v>0</v>
      </c>
      <c r="AR56" s="20">
        <v>2</v>
      </c>
      <c r="AS56" s="20">
        <v>0</v>
      </c>
      <c r="AT56" s="20">
        <v>0</v>
      </c>
      <c r="AU56" s="20">
        <v>0</v>
      </c>
      <c r="AV56" s="20">
        <v>0</v>
      </c>
      <c r="AW56" s="20">
        <v>0</v>
      </c>
      <c r="AX56" s="20">
        <v>0</v>
      </c>
      <c r="AY56" s="20">
        <v>0</v>
      </c>
      <c r="BH56" s="20" t="s">
        <v>211</v>
      </c>
      <c r="BI56" s="20">
        <v>0</v>
      </c>
      <c r="BJ56" s="20">
        <v>0</v>
      </c>
      <c r="BK56" s="20">
        <v>0</v>
      </c>
      <c r="BL56" s="20">
        <v>0</v>
      </c>
      <c r="BM56" s="20">
        <v>0</v>
      </c>
      <c r="BN56" s="20">
        <v>0</v>
      </c>
      <c r="BO56" s="20">
        <v>0</v>
      </c>
      <c r="BP56" s="20">
        <v>0</v>
      </c>
      <c r="BQ56" s="20">
        <v>0</v>
      </c>
      <c r="BR56" s="20">
        <v>0</v>
      </c>
      <c r="BS56" s="20">
        <v>0</v>
      </c>
    </row>
    <row r="57" spans="1:91" x14ac:dyDescent="0.25">
      <c r="A57" s="8"/>
      <c r="B57" s="6" t="s">
        <v>116</v>
      </c>
      <c r="C57" s="8"/>
      <c r="E57" s="4"/>
      <c r="F57" s="4"/>
      <c r="G57" s="4"/>
      <c r="H57" s="4"/>
      <c r="I57" s="4"/>
      <c r="K57" s="4"/>
      <c r="L57" s="6" t="s">
        <v>214</v>
      </c>
      <c r="M57" s="14">
        <f>INDEX(cennik!$C$2:$L$529,MATCH($L57,cennik!$B$2:$B$522,0),MATCH(M$2,cennik!$C$1:$L$1,0))</f>
        <v>852137</v>
      </c>
      <c r="N57" s="14" t="str">
        <f>INDEX(cennik!$C$2:$L$529,MATCH($L57,cennik!$B$2:$B$522,0),MATCH(N$2,cennik!$C$1:$L$1,0))</f>
        <v>szt.</v>
      </c>
      <c r="O57" s="14">
        <f>SUM(AE50:AE65)</f>
        <v>0</v>
      </c>
      <c r="P57" s="22">
        <f>INDEX(cennik!$C$2:$L$529,MATCH($L57,cennik!$B$2:$B$522,0),MATCH(P$2,cennik!$C$1:$L$1,0))</f>
        <v>77.7</v>
      </c>
      <c r="Q57" s="22">
        <f t="shared" si="12"/>
        <v>0</v>
      </c>
      <c r="R57" s="23">
        <f t="shared" si="13"/>
        <v>0</v>
      </c>
      <c r="S57" s="22">
        <f t="shared" si="14"/>
        <v>77.7</v>
      </c>
      <c r="T57" s="22">
        <f t="shared" si="15"/>
        <v>0</v>
      </c>
      <c r="U57" s="22">
        <f>INDEX(cennik!$C$2:$L$529,MATCH($L57,cennik!$B$2:$B$522,0),MATCH(U$2,cennik!$C$1:$L$1,0))*O57</f>
        <v>0</v>
      </c>
      <c r="W57" s="20">
        <f>(INDEX(($AO$5:$AY$13,$AO$17:$AY$25,$AO$30:$AY$38,$AO$42:$AY$50,$AO$54:$AY$62,$AO$66:$AY$74,$BI$5:$BS$13,$BI$17:$BS$25,$BI$29:$BS$37,$BI$41:$BS$49,$BI$53:$BS$61,$BI$65:$BS$73,$BY$5:$CI$13,$BY$17:$CI$25),MATCH($L$58,$AN$5:$AN$13,0),MATCH(A56,$AO$4:$AY$4,0),MATCH($G$50,$AL$18:$AL$31,0)))*C56</f>
        <v>0</v>
      </c>
      <c r="X57" s="20">
        <f>(INDEX(($AO$5:$AY$13,$AO$17:$AY$25,$AO$30:$AY$38,$AO$42:$AY$50,$AO$54:$AY$62,$AO$66:$AY$74,$BI$5:$BS$13,$BI$17:$BS$25,$BI$29:$BS$37,$BI$41:$BS$49,$BI$53:$BS$61,$BI$65:$BS$73,$BY$5:$CI$13,$BY$17:$CI$25),MATCH($L$50,$AN$5:$AN$13,0),MATCH(A56,$AO$4:$AY$4,0),MATCH($G$50,$AL$18:$AL$31,0)))*C56</f>
        <v>0</v>
      </c>
      <c r="Y57" s="20">
        <f>(INDEX(($AO$5:$AY$13,$AO$17:$AY$25,$AO$30:$AY$38,$AO$42:$AY$50,$AO$54:$AY$62,$AO$66:$AY$74,$BI$5:$BS$13,$BI$17:$BS$25,$BI$29:$BS$37,$BI$41:$BS$49,$BI$53:$BS$61,$BI$65:$BS$73,$BY$5:$CI$13,$BY$17:$CI$25),MATCH($L$51,$AN$5:$AN$13,0),MATCH(A56,$AO$4:$AY$4,0),MATCH($G$50,$AL$18:$AL$31,0)))*C56</f>
        <v>0</v>
      </c>
      <c r="Z57" s="20">
        <f>(INDEX(($AO$5:$AY$13,$AO$17:$AY$25,$AO$30:$AY$38,$AO$42:$AY$50,$AO$54:$AY$62,$AO$66:$AY$74,$BI$5:$BS$13,$BI$17:$BS$25,$BI$29:$BS$37,$BI$41:$BS$49,$BI$53:$BS$61,$BI$65:$BS$73,$BY$5:$CI$13,$BY$17:$CI$25),MATCH($L$52,$AN$5:$AN$13,0),MATCH(A56,$AO$4:$AY$4,0),MATCH($G$50,$AL$18:$AL$31,0)))*C56</f>
        <v>0</v>
      </c>
      <c r="AA57" s="20">
        <f>(INDEX(($AO$5:$AY$13,$AO$17:$AY$25,$AO$30:$AY$38,$AO$42:$AY$50,$AO$54:$AY$62,$AO$66:$AY$74,$BI$5:$BS$13,$BI$17:$BS$25,$BI$29:$BS$37,$BI$41:$BS$49,$BI$53:$BS$61,$BI$65:$BS$73,$BY$5:$CI$13,$BY$17:$CI$25),MATCH($L$53,$AN$5:$AN$13,0),MATCH(A56,$AO$4:$AY$4,0),MATCH($G$50,$AL$18:$AL$31,0)))*C56</f>
        <v>0</v>
      </c>
      <c r="AB57" s="20">
        <f>(INDEX(($AO$5:$AY$13,$AO$17:$AY$25,$AO$30:$AY$38,$AO$42:$AY$50,$AO$54:$AY$62,$AO$66:$AY$74,$BI$5:$BS$13,$BI$17:$BS$25,$BI$29:$BS$37,$BI$41:$BS$49,$BI$53:$BS$61,$BI$65:$BS$73,$BY$5:$CI$13,$BY$17:$CI$25),MATCH($L$54,$AN$5:$AN$13,0),MATCH(A56,$AO$4:$AY$4,0),MATCH($G$50,$AL$18:$AL$31,0)))*C56</f>
        <v>0</v>
      </c>
      <c r="AC57" s="20">
        <f>(INDEX(($AO$5:$AY$13,$AO$17:$AY$25,$AO$30:$AY$38,$AO$42:$AY$50,$AO$54:$AY$62,$AO$66:$AY$74,$BI$5:$BS$13,$BI$17:$BS$25,$BI$29:$BS$37,$BI$41:$BS$49,$BI$53:$BS$61,$BI$65:$BS$73,$BY$5:$CI$13,$BY$17:$CI$25),MATCH($L$55,$AN$5:$AN$13,0),MATCH(A56,$AO$4:$AY$4,0),MATCH($G$50,$AL$18:$AL$31,0)))*C56</f>
        <v>0</v>
      </c>
      <c r="AD57" s="20">
        <f>(INDEX(($AO$5:$AY$13,$AO$17:$AY$25,$AO$30:$AY$38,$AO$42:$AY$50,$AO$54:$AY$62,$AO$66:$AY$74,$BI$5:$BS$13,$BI$17:$BS$25,$BI$29:$BS$37,$BI$41:$BS$49,$BI$53:$BS$61,$BI$65:$BS$73,$BY$5:$CI$13,$BY$17:$CI$25),MATCH($L$56,$AN$5:$AN$13,0),MATCH(A56,$AO$4:$AY$4,0),MATCH($G$50,$AL$18:$AL$31,0)))*C56</f>
        <v>0</v>
      </c>
      <c r="AE57" s="20">
        <f>(INDEX(($AO$5:$AY$13,$AO$17:$AY$25,$AO$30:$AY$38,$AO$42:$AY$50,$AO$54:$AY$62,$AO$66:$AY$74,$BI$5:$BS$13,$BI$17:$BS$25,$BI$29:$BS$37,$BI$41:$BS$49,$BI$53:$BS$61,$BI$65:$BS$73,$BY$5:$CI$13,$BY$17:$CI$25),MATCH($L$57,$AN$5:$AN$13,0),MATCH(A56,$AO$4:$AY$4,0),MATCH($G$50,$AL$18:$AL$31,0)))*C56</f>
        <v>0</v>
      </c>
      <c r="AH57" s="21" t="s">
        <v>569</v>
      </c>
      <c r="AN57" s="20" t="s">
        <v>211</v>
      </c>
      <c r="AO57" s="20">
        <v>0</v>
      </c>
      <c r="AP57" s="20">
        <v>2</v>
      </c>
      <c r="AQ57" s="20">
        <v>0</v>
      </c>
      <c r="AR57" s="20">
        <v>0</v>
      </c>
      <c r="AS57" s="20">
        <v>0</v>
      </c>
      <c r="AT57" s="20">
        <v>2</v>
      </c>
      <c r="AU57" s="20">
        <v>0</v>
      </c>
      <c r="AV57" s="20">
        <v>0</v>
      </c>
      <c r="AW57" s="20">
        <v>0</v>
      </c>
      <c r="AX57" s="20">
        <v>0</v>
      </c>
      <c r="AY57" s="20">
        <v>0</v>
      </c>
      <c r="BH57" s="20" t="s">
        <v>293</v>
      </c>
      <c r="BI57" s="20">
        <v>0</v>
      </c>
      <c r="BJ57" s="20">
        <v>2</v>
      </c>
      <c r="BK57" s="20">
        <v>0</v>
      </c>
      <c r="BL57" s="20">
        <v>0</v>
      </c>
      <c r="BM57" s="20">
        <v>0</v>
      </c>
      <c r="BN57" s="20">
        <v>0</v>
      </c>
      <c r="BO57" s="20">
        <v>0</v>
      </c>
      <c r="BP57" s="20">
        <v>0</v>
      </c>
      <c r="BQ57" s="20">
        <v>0</v>
      </c>
      <c r="BR57" s="20">
        <v>0</v>
      </c>
      <c r="BS57" s="20">
        <v>0</v>
      </c>
    </row>
    <row r="58" spans="1:91" x14ac:dyDescent="0.25">
      <c r="A58" s="8"/>
      <c r="B58" s="6" t="s">
        <v>116</v>
      </c>
      <c r="C58" s="8"/>
      <c r="D58" s="17"/>
      <c r="E58" s="4"/>
      <c r="F58" s="4"/>
      <c r="G58" s="4"/>
      <c r="H58" s="4"/>
      <c r="I58" s="4"/>
      <c r="J58" s="4"/>
      <c r="K58" s="4"/>
      <c r="L58" s="6" t="s">
        <v>11</v>
      </c>
      <c r="M58" s="14">
        <f>INDEX(cennik!$C$2:$L$529,MATCH($L58,cennik!$B$2:$B$522,0),MATCH(M$2,cennik!$C$1:$L$1,0))</f>
        <v>6444115</v>
      </c>
      <c r="N58" s="14" t="str">
        <f>INDEX(cennik!$C$2:$L$529,MATCH($L58,cennik!$B$2:$B$522,0),MATCH(N$2,cennik!$C$1:$L$1,0))</f>
        <v>szt.</v>
      </c>
      <c r="O58" s="14">
        <f>SUM(W50:W65)</f>
        <v>0</v>
      </c>
      <c r="P58" s="22">
        <f>INDEX(cennik!$C$2:$L$529,MATCH($L58,cennik!$B$2:$B$522,0),MATCH(P$2,cennik!$C$1:$L$1,0))</f>
        <v>6.03</v>
      </c>
      <c r="Q58" s="22">
        <f t="shared" si="12"/>
        <v>0</v>
      </c>
      <c r="R58" s="23">
        <f t="shared" si="13"/>
        <v>0</v>
      </c>
      <c r="S58" s="22">
        <f t="shared" si="14"/>
        <v>6.03</v>
      </c>
      <c r="T58" s="22">
        <f t="shared" si="15"/>
        <v>0</v>
      </c>
      <c r="U58" s="22">
        <f>INDEX(cennik!$C$2:$L$529,MATCH($L58,cennik!$B$2:$B$522,0),MATCH(U$2,cennik!$C$1:$L$1,0))*O58</f>
        <v>0</v>
      </c>
      <c r="W58" s="20">
        <f>(INDEX(($AO$5:$AY$13,$AO$17:$AY$25,$AO$30:$AY$38,$AO$42:$AY$50,$AO$54:$AY$62,$AO$66:$AY$74,$BI$5:$BS$13,$BI$17:$BS$25,$BI$29:$BS$37,$BI$41:$BS$49,$BI$53:$BS$61,$BI$65:$BS$73,$BY$5:$CI$13,$BY$17:$CI$25),MATCH($L$58,$AN$5:$AN$13,0),MATCH(A57,$AO$4:$AY$4,0),MATCH($G$50,$AL$18:$AL$31,0)))*C57</f>
        <v>0</v>
      </c>
      <c r="X58" s="20">
        <f>(INDEX(($AO$5:$AY$13,$AO$17:$AY$25,$AO$30:$AY$38,$AO$42:$AY$50,$AO$54:$AY$62,$AO$66:$AY$74,$BI$5:$BS$13,$BI$17:$BS$25,$BI$29:$BS$37,$BI$41:$BS$49,$BI$53:$BS$61,$BI$65:$BS$73,$BY$5:$CI$13,$BY$17:$CI$25),MATCH($L$50,$AN$5:$AN$13,0),MATCH(A57,$AO$4:$AY$4,0),MATCH($G$50,$AL$18:$AL$31,0)))*C57</f>
        <v>0</v>
      </c>
      <c r="Y58" s="20">
        <f>(INDEX(($AO$5:$AY$13,$AO$17:$AY$25,$AO$30:$AY$38,$AO$42:$AY$50,$AO$54:$AY$62,$AO$66:$AY$74,$BI$5:$BS$13,$BI$17:$BS$25,$BI$29:$BS$37,$BI$41:$BS$49,$BI$53:$BS$61,$BI$65:$BS$73,$BY$5:$CI$13,$BY$17:$CI$25),MATCH($L$51,$AN$5:$AN$13,0),MATCH(A57,$AO$4:$AY$4,0),MATCH($G$50,$AL$18:$AL$31,0)))*C57</f>
        <v>0</v>
      </c>
      <c r="Z58" s="20">
        <f>(INDEX(($AO$5:$AY$13,$AO$17:$AY$25,$AO$30:$AY$38,$AO$42:$AY$50,$AO$54:$AY$62,$AO$66:$AY$74,$BI$5:$BS$13,$BI$17:$BS$25,$BI$29:$BS$37,$BI$41:$BS$49,$BI$53:$BS$61,$BI$65:$BS$73,$BY$5:$CI$13,$BY$17:$CI$25),MATCH($L$52,$AN$5:$AN$13,0),MATCH(A57,$AO$4:$AY$4,0),MATCH($G$50,$AL$18:$AL$31,0)))*C57</f>
        <v>0</v>
      </c>
      <c r="AA58" s="20">
        <f>(INDEX(($AO$5:$AY$13,$AO$17:$AY$25,$AO$30:$AY$38,$AO$42:$AY$50,$AO$54:$AY$62,$AO$66:$AY$74,$BI$5:$BS$13,$BI$17:$BS$25,$BI$29:$BS$37,$BI$41:$BS$49,$BI$53:$BS$61,$BI$65:$BS$73,$BY$5:$CI$13,$BY$17:$CI$25),MATCH($L$53,$AN$5:$AN$13,0),MATCH(A57,$AO$4:$AY$4,0),MATCH($G$50,$AL$18:$AL$31,0)))*C57</f>
        <v>0</v>
      </c>
      <c r="AB58" s="20">
        <f>(INDEX(($AO$5:$AY$13,$AO$17:$AY$25,$AO$30:$AY$38,$AO$42:$AY$50,$AO$54:$AY$62,$AO$66:$AY$74,$BI$5:$BS$13,$BI$17:$BS$25,$BI$29:$BS$37,$BI$41:$BS$49,$BI$53:$BS$61,$BI$65:$BS$73,$BY$5:$CI$13,$BY$17:$CI$25),MATCH($L$54,$AN$5:$AN$13,0),MATCH(A57,$AO$4:$AY$4,0),MATCH($G$50,$AL$18:$AL$31,0)))*C57</f>
        <v>0</v>
      </c>
      <c r="AC58" s="20">
        <f>(INDEX(($AO$5:$AY$13,$AO$17:$AY$25,$AO$30:$AY$38,$AO$42:$AY$50,$AO$54:$AY$62,$AO$66:$AY$74,$BI$5:$BS$13,$BI$17:$BS$25,$BI$29:$BS$37,$BI$41:$BS$49,$BI$53:$BS$61,$BI$65:$BS$73,$BY$5:$CI$13,$BY$17:$CI$25),MATCH($L$55,$AN$5:$AN$13,0),MATCH(A57,$AO$4:$AY$4,0),MATCH($G$50,$AL$18:$AL$31,0)))*C57</f>
        <v>0</v>
      </c>
      <c r="AD58" s="20">
        <f>(INDEX(($AO$5:$AY$13,$AO$17:$AY$25,$AO$30:$AY$38,$AO$42:$AY$50,$AO$54:$AY$62,$AO$66:$AY$74,$BI$5:$BS$13,$BI$17:$BS$25,$BI$29:$BS$37,$BI$41:$BS$49,$BI$53:$BS$61,$BI$65:$BS$73,$BY$5:$CI$13,$BY$17:$CI$25),MATCH($L$56,$AN$5:$AN$13,0),MATCH(A57,$AO$4:$AY$4,0),MATCH($G$50,$AL$18:$AL$31,0)))*C57</f>
        <v>0</v>
      </c>
      <c r="AE58" s="20">
        <f>(INDEX(($AO$5:$AY$13,$AO$17:$AY$25,$AO$30:$AY$38,$AO$42:$AY$50,$AO$54:$AY$62,$AO$66:$AY$74,$BI$5:$BS$13,$BI$17:$BS$25,$BI$29:$BS$37,$BI$41:$BS$49,$BI$53:$BS$61,$BI$65:$BS$73,$BY$5:$CI$13,$BY$17:$CI$25),MATCH($L$57,$AN$5:$AN$13,0),MATCH(A57,$AO$4:$AY$4,0),MATCH($G$50,$AL$18:$AL$31,0)))*C57</f>
        <v>0</v>
      </c>
      <c r="AH58" s="21" t="s">
        <v>390</v>
      </c>
      <c r="AN58" s="20" t="s">
        <v>293</v>
      </c>
      <c r="AO58" s="20">
        <v>0</v>
      </c>
      <c r="AP58" s="20">
        <v>0</v>
      </c>
      <c r="AQ58" s="20">
        <v>0</v>
      </c>
      <c r="AR58" s="20">
        <v>0</v>
      </c>
      <c r="AS58" s="20">
        <v>0</v>
      </c>
      <c r="AT58" s="20">
        <v>0</v>
      </c>
      <c r="AU58" s="20">
        <v>0</v>
      </c>
      <c r="AV58" s="20">
        <v>0</v>
      </c>
      <c r="AW58" s="20">
        <v>0</v>
      </c>
      <c r="AX58" s="20">
        <v>0</v>
      </c>
      <c r="AY58" s="20">
        <v>0</v>
      </c>
      <c r="BH58" s="20" t="s">
        <v>10</v>
      </c>
      <c r="BI58" s="20">
        <v>0</v>
      </c>
      <c r="BJ58" s="20">
        <v>0</v>
      </c>
      <c r="BK58" s="20">
        <v>2</v>
      </c>
      <c r="BL58" s="20">
        <v>4</v>
      </c>
      <c r="BM58" s="20">
        <v>0</v>
      </c>
      <c r="BN58" s="20">
        <v>2</v>
      </c>
      <c r="BO58" s="20">
        <v>8</v>
      </c>
      <c r="BP58" s="20">
        <v>2</v>
      </c>
      <c r="BQ58" s="20">
        <v>6</v>
      </c>
      <c r="BR58" s="20">
        <v>0</v>
      </c>
      <c r="BS58" s="20">
        <v>6</v>
      </c>
    </row>
    <row r="59" spans="1:91" x14ac:dyDescent="0.25">
      <c r="A59" s="8"/>
      <c r="B59" s="6" t="s">
        <v>116</v>
      </c>
      <c r="C59" s="8"/>
      <c r="D59" s="17"/>
      <c r="E59" s="4"/>
      <c r="F59" s="4"/>
      <c r="G59" s="4"/>
      <c r="H59" s="4"/>
      <c r="I59" s="4"/>
      <c r="J59" s="4"/>
      <c r="K59" s="4"/>
      <c r="L59" s="6" t="str">
        <f>E53</f>
        <v>CYB20E</v>
      </c>
      <c r="M59" s="14">
        <f>INDEX(cennik!$C$2:$L$529,MATCH($L59,cennik!$B$2:$B$522,0),MATCH(M$2,cennik!$C$1:$L$1,0))</f>
        <v>899920</v>
      </c>
      <c r="N59" s="14" t="str">
        <f>INDEX(cennik!$C$2:$L$529,MATCH($L59,cennik!$B$2:$B$522,0),MATCH(N$2,cennik!$C$1:$L$1,0))</f>
        <v>szt.</v>
      </c>
      <c r="O59" s="14">
        <f>E54</f>
        <v>0</v>
      </c>
      <c r="P59" s="89">
        <f>INDEX(cennik!$C$2:$L$529,MATCH($L59,cennik!$B$2:$B$522,0),MATCH(P$2,cennik!$C$1:$L$1,0))</f>
        <v>7.86</v>
      </c>
      <c r="Q59" s="22">
        <f>0</f>
        <v>0</v>
      </c>
      <c r="R59" s="23">
        <f t="shared" si="13"/>
        <v>0</v>
      </c>
      <c r="S59" s="22">
        <v>0</v>
      </c>
      <c r="T59" s="22">
        <f>O59*S59</f>
        <v>0</v>
      </c>
      <c r="U59" s="22">
        <f>INDEX(cennik!$C$2:$L$529,MATCH($L59,cennik!$B$2:$B$522,0),MATCH(U$2,cennik!$C$1:$L$1,0))*O59</f>
        <v>0</v>
      </c>
      <c r="W59" s="20">
        <f>(INDEX(($AO$5:$AY$13,$AO$17:$AY$25,$AO$30:$AY$38,$AO$42:$AY$50,$AO$54:$AY$62,$AO$66:$AY$74,$BI$5:$BS$13,$BI$17:$BS$25,$BI$29:$BS$37,$BI$41:$BS$49,$BI$53:$BS$61,$BI$65:$BS$73,$BY$5:$CI$13,$BY$17:$CI$25),MATCH($L$58,$AN$5:$AN$13,0),MATCH(A58,$AO$4:$AY$4,0),MATCH($G$50,$AL$18:$AL$31,0)))*C58</f>
        <v>0</v>
      </c>
      <c r="X59" s="20">
        <f>(INDEX(($AO$5:$AY$13,$AO$17:$AY$25,$AO$30:$AY$38,$AO$42:$AY$50,$AO$54:$AY$62,$AO$66:$AY$74,$BI$5:$BS$13,$BI$17:$BS$25,$BI$29:$BS$37,$BI$41:$BS$49,$BI$53:$BS$61,$BI$65:$BS$73,$BY$5:$CI$13,$BY$17:$CI$25),MATCH($L$50,$AN$5:$AN$13,0),MATCH(A58,$AO$4:$AY$4,0),MATCH($G$50,$AL$18:$AL$31,0)))*C58</f>
        <v>0</v>
      </c>
      <c r="Y59" s="20">
        <f>(INDEX(($AO$5:$AY$13,$AO$17:$AY$25,$AO$30:$AY$38,$AO$42:$AY$50,$AO$54:$AY$62,$AO$66:$AY$74,$BI$5:$BS$13,$BI$17:$BS$25,$BI$29:$BS$37,$BI$41:$BS$49,$BI$53:$BS$61,$BI$65:$BS$73,$BY$5:$CI$13,$BY$17:$CI$25),MATCH($L$51,$AN$5:$AN$13,0),MATCH(A58,$AO$4:$AY$4,0),MATCH($G$50,$AL$18:$AL$31,0)))*C58</f>
        <v>0</v>
      </c>
      <c r="Z59" s="20">
        <f>(INDEX(($AO$5:$AY$13,$AO$17:$AY$25,$AO$30:$AY$38,$AO$42:$AY$50,$AO$54:$AY$62,$AO$66:$AY$74,$BI$5:$BS$13,$BI$17:$BS$25,$BI$29:$BS$37,$BI$41:$BS$49,$BI$53:$BS$61,$BI$65:$BS$73,$BY$5:$CI$13,$BY$17:$CI$25),MATCH($L$52,$AN$5:$AN$13,0),MATCH(A58,$AO$4:$AY$4,0),MATCH($G$50,$AL$18:$AL$31,0)))*C58</f>
        <v>0</v>
      </c>
      <c r="AA59" s="20">
        <f>(INDEX(($AO$5:$AY$13,$AO$17:$AY$25,$AO$30:$AY$38,$AO$42:$AY$50,$AO$54:$AY$62,$AO$66:$AY$74,$BI$5:$BS$13,$BI$17:$BS$25,$BI$29:$BS$37,$BI$41:$BS$49,$BI$53:$BS$61,$BI$65:$BS$73,$BY$5:$CI$13,$BY$17:$CI$25),MATCH($L$53,$AN$5:$AN$13,0),MATCH(A58,$AO$4:$AY$4,0),MATCH($G$50,$AL$18:$AL$31,0)))*C58</f>
        <v>0</v>
      </c>
      <c r="AB59" s="20">
        <f>(INDEX(($AO$5:$AY$13,$AO$17:$AY$25,$AO$30:$AY$38,$AO$42:$AY$50,$AO$54:$AY$62,$AO$66:$AY$74,$BI$5:$BS$13,$BI$17:$BS$25,$BI$29:$BS$37,$BI$41:$BS$49,$BI$53:$BS$61,$BI$65:$BS$73,$BY$5:$CI$13,$BY$17:$CI$25),MATCH($L$54,$AN$5:$AN$13,0),MATCH(A58,$AO$4:$AY$4,0),MATCH($G$50,$AL$18:$AL$31,0)))*C58</f>
        <v>0</v>
      </c>
      <c r="AC59" s="20">
        <f>(INDEX(($AO$5:$AY$13,$AO$17:$AY$25,$AO$30:$AY$38,$AO$42:$AY$50,$AO$54:$AY$62,$AO$66:$AY$74,$BI$5:$BS$13,$BI$17:$BS$25,$BI$29:$BS$37,$BI$41:$BS$49,$BI$53:$BS$61,$BI$65:$BS$73,$BY$5:$CI$13,$BY$17:$CI$25),MATCH($L$55,$AN$5:$AN$13,0),MATCH(A58,$AO$4:$AY$4,0),MATCH($G$50,$AL$18:$AL$31,0)))*C58</f>
        <v>0</v>
      </c>
      <c r="AD59" s="20">
        <f>(INDEX(($AO$5:$AY$13,$AO$17:$AY$25,$AO$30:$AY$38,$AO$42:$AY$50,$AO$54:$AY$62,$AO$66:$AY$74,$BI$5:$BS$13,$BI$17:$BS$25,$BI$29:$BS$37,$BI$41:$BS$49,$BI$53:$BS$61,$BI$65:$BS$73,$BY$5:$CI$13,$BY$17:$CI$25),MATCH($L$56,$AN$5:$AN$13,0),MATCH(A58,$AO$4:$AY$4,0),MATCH($G$50,$AL$18:$AL$31,0)))*C58</f>
        <v>0</v>
      </c>
      <c r="AE59" s="20">
        <f>(INDEX(($AO$5:$AY$13,$AO$17:$AY$25,$AO$30:$AY$38,$AO$42:$AY$50,$AO$54:$AY$62,$AO$66:$AY$74,$BI$5:$BS$13,$BI$17:$BS$25,$BI$29:$BS$37,$BI$41:$BS$49,$BI$53:$BS$61,$BI$65:$BS$73,$BY$5:$CI$13,$BY$17:$CI$25),MATCH($L$57,$AN$5:$AN$13,0),MATCH(A58,$AO$4:$AY$4,0),MATCH($G$50,$AL$18:$AL$31,0)))*C58</f>
        <v>0</v>
      </c>
      <c r="AH59" s="21" t="s">
        <v>392</v>
      </c>
      <c r="AN59" s="20" t="s">
        <v>10</v>
      </c>
      <c r="AO59" s="20">
        <v>0</v>
      </c>
      <c r="AP59" s="20">
        <v>0</v>
      </c>
      <c r="AQ59" s="20">
        <v>0</v>
      </c>
      <c r="AR59" s="20">
        <v>0</v>
      </c>
      <c r="AS59" s="20">
        <v>0</v>
      </c>
      <c r="AT59" s="20">
        <v>2</v>
      </c>
      <c r="AU59" s="20">
        <v>2</v>
      </c>
      <c r="AV59" s="20">
        <v>0</v>
      </c>
      <c r="AW59" s="20">
        <v>2</v>
      </c>
      <c r="AX59" s="20">
        <v>0</v>
      </c>
      <c r="AY59" s="20">
        <v>4</v>
      </c>
      <c r="BH59" s="20" t="s">
        <v>212</v>
      </c>
      <c r="BI59" s="20">
        <v>0</v>
      </c>
      <c r="BJ59" s="20">
        <v>0</v>
      </c>
      <c r="BK59" s="20">
        <v>0</v>
      </c>
      <c r="BL59" s="20">
        <v>0</v>
      </c>
      <c r="BM59" s="20">
        <v>4</v>
      </c>
      <c r="BN59" s="20">
        <v>4</v>
      </c>
      <c r="BO59" s="20">
        <v>0</v>
      </c>
      <c r="BP59" s="20">
        <v>2</v>
      </c>
      <c r="BQ59" s="20">
        <v>4</v>
      </c>
      <c r="BR59" s="20">
        <v>6</v>
      </c>
      <c r="BS59" s="20">
        <v>2</v>
      </c>
    </row>
    <row r="60" spans="1:91" x14ac:dyDescent="0.25">
      <c r="A60" s="8"/>
      <c r="B60" s="6" t="s">
        <v>116</v>
      </c>
      <c r="C60" s="8"/>
      <c r="D60" s="4"/>
      <c r="E60" s="4"/>
      <c r="F60" s="4"/>
      <c r="G60" s="4"/>
      <c r="H60" s="4"/>
      <c r="I60" s="4"/>
      <c r="J60" s="4"/>
      <c r="K60" s="4"/>
      <c r="L60" s="6" t="str">
        <f>INDEX(($AH$3:$AI$12),MATCH(I50,$AG$3:$AG$12,0),MATCH(E51,$AH$2:$AI$2,0))</f>
        <v>BUF35</v>
      </c>
      <c r="M60" s="14">
        <f>INDEX(cennik!$C$2:$L$529,MATCH($L60,cennik!$B$2:$B$522,0),MATCH(M$2,cennik!$C$1:$L$1,0))</f>
        <v>897335</v>
      </c>
      <c r="N60" s="14" t="str">
        <f>INDEX(cennik!$C$2:$L$529,MATCH($L60,cennik!$B$2:$B$522,0),MATCH(N$2,cennik!$C$1:$L$1,0))</f>
        <v>szt.</v>
      </c>
      <c r="O60" s="14">
        <f>SUM(IF(A49=0,0,IF((A49&gt;0),C49*4)),IF(A50=0,0,IF((A50&gt;0),C50*4)),IF(A51=0,0,IF((A51&gt;0),C51*4)),IF(A52=0,0,IF((A52&gt;0),C52*4)),IF(A53=0,0,IF((A53&gt;0),C53*4)),IF(A54=0,0,IF((A54&gt;0),C54*4)),IF(A55=0,0,IF((A55&gt;0),C55*4)),IF(A56=0,0,IF((A56&gt;0),C56*4)),IF(A57=0,0,IF((A57&gt;0),C57*4)),IF(A58=0,0,IF((A58&gt;0),C58*4)),IF(A59=0,0,IF((A59&gt;0),C59*4)),IF(A60=0,0,IF((A60&gt;0),C60*4)),IF(A61=0,0,IF((A61&gt;0),C61*4)),IF(A62=0,0,IF((A62&gt;0),C62*4)),IF(A63=0,0,IF((A63&gt;0),C63*4)),,IF(A64=0,0,IF((A64&gt;0),C64*4)))</f>
        <v>0</v>
      </c>
      <c r="P60" s="22">
        <f>INDEX(cennik!$C$2:$L$529,MATCH($L60,cennik!$B$2:$B$522,0),MATCH(P$2,cennik!$C$1:$L$1,0))</f>
        <v>1.92</v>
      </c>
      <c r="Q60" s="22">
        <f t="shared" si="12"/>
        <v>0</v>
      </c>
      <c r="R60" s="23">
        <f t="shared" si="13"/>
        <v>0</v>
      </c>
      <c r="S60" s="22">
        <f t="shared" si="14"/>
        <v>1.92</v>
      </c>
      <c r="T60" s="22">
        <f t="shared" si="15"/>
        <v>0</v>
      </c>
      <c r="U60" s="22">
        <f>INDEX(cennik!$C$2:$L$529,MATCH($L60,cennik!$B$2:$B$522,0),MATCH(U$2,cennik!$C$1:$L$1,0))*O60</f>
        <v>0</v>
      </c>
      <c r="W60" s="20">
        <f>(INDEX(($AO$5:$AY$13,$AO$17:$AY$25,$AO$30:$AY$38,$AO$42:$AY$50,$AO$54:$AY$62,$AO$66:$AY$74,$BI$5:$BS$13,$BI$17:$BS$25,$BI$29:$BS$37,$BI$41:$BS$49,$BI$53:$BS$61,$BI$65:$BS$73,$BY$5:$CI$13,$BY$17:$CI$25),MATCH($L$58,$AN$5:$AN$13,0),MATCH(A59,$AO$4:$AY$4,0),MATCH($G$50,$AL$18:$AL$31,0)))*C59</f>
        <v>0</v>
      </c>
      <c r="X60" s="20">
        <f>(INDEX(($AO$5:$AY$13,$AO$17:$AY$25,$AO$30:$AY$38,$AO$42:$AY$50,$AO$54:$AY$62,$AO$66:$AY$74,$BI$5:$BS$13,$BI$17:$BS$25,$BI$29:$BS$37,$BI$41:$BS$49,$BI$53:$BS$61,$BI$65:$BS$73,$BY$5:$CI$13,$BY$17:$CI$25),MATCH($L$50,$AN$5:$AN$13,0),MATCH(A59,$AO$4:$AY$4,0),MATCH($G$50,$AL$18:$AL$31,0)))*C59</f>
        <v>0</v>
      </c>
      <c r="Y60" s="20">
        <f>(INDEX(($AO$5:$AY$13,$AO$17:$AY$25,$AO$30:$AY$38,$AO$42:$AY$50,$AO$54:$AY$62,$AO$66:$AY$74,$BI$5:$BS$13,$BI$17:$BS$25,$BI$29:$BS$37,$BI$41:$BS$49,$BI$53:$BS$61,$BI$65:$BS$73,$BY$5:$CI$13,$BY$17:$CI$25),MATCH($L$51,$AN$5:$AN$13,0),MATCH(A59,$AO$4:$AY$4,0),MATCH($G$50,$AL$18:$AL$31,0)))*C59</f>
        <v>0</v>
      </c>
      <c r="Z60" s="20">
        <f>(INDEX(($AO$5:$AY$13,$AO$17:$AY$25,$AO$30:$AY$38,$AO$42:$AY$50,$AO$54:$AY$62,$AO$66:$AY$74,$BI$5:$BS$13,$BI$17:$BS$25,$BI$29:$BS$37,$BI$41:$BS$49,$BI$53:$BS$61,$BI$65:$BS$73,$BY$5:$CI$13,$BY$17:$CI$25),MATCH($L$52,$AN$5:$AN$13,0),MATCH(A59,$AO$4:$AY$4,0),MATCH($G$50,$AL$18:$AL$31,0)))*C59</f>
        <v>0</v>
      </c>
      <c r="AA60" s="20">
        <f>(INDEX(($AO$5:$AY$13,$AO$17:$AY$25,$AO$30:$AY$38,$AO$42:$AY$50,$AO$54:$AY$62,$AO$66:$AY$74,$BI$5:$BS$13,$BI$17:$BS$25,$BI$29:$BS$37,$BI$41:$BS$49,$BI$53:$BS$61,$BI$65:$BS$73,$BY$5:$CI$13,$BY$17:$CI$25),MATCH($L$53,$AN$5:$AN$13,0),MATCH(A59,$AO$4:$AY$4,0),MATCH($G$50,$AL$18:$AL$31,0)))*C59</f>
        <v>0</v>
      </c>
      <c r="AB60" s="20">
        <f>(INDEX(($AO$5:$AY$13,$AO$17:$AY$25,$AO$30:$AY$38,$AO$42:$AY$50,$AO$54:$AY$62,$AO$66:$AY$74,$BI$5:$BS$13,$BI$17:$BS$25,$BI$29:$BS$37,$BI$41:$BS$49,$BI$53:$BS$61,$BI$65:$BS$73,$BY$5:$CI$13,$BY$17:$CI$25),MATCH($L$54,$AN$5:$AN$13,0),MATCH(A59,$AO$4:$AY$4,0),MATCH($G$50,$AL$18:$AL$31,0)))*C59</f>
        <v>0</v>
      </c>
      <c r="AC60" s="20">
        <f>(INDEX(($AO$5:$AY$13,$AO$17:$AY$25,$AO$30:$AY$38,$AO$42:$AY$50,$AO$54:$AY$62,$AO$66:$AY$74,$BI$5:$BS$13,$BI$17:$BS$25,$BI$29:$BS$37,$BI$41:$BS$49,$BI$53:$BS$61,$BI$65:$BS$73,$BY$5:$CI$13,$BY$17:$CI$25),MATCH($L$55,$AN$5:$AN$13,0),MATCH(A59,$AO$4:$AY$4,0),MATCH($G$50,$AL$18:$AL$31,0)))*C59</f>
        <v>0</v>
      </c>
      <c r="AD60" s="20">
        <f>(INDEX(($AO$5:$AY$13,$AO$17:$AY$25,$AO$30:$AY$38,$AO$42:$AY$50,$AO$54:$AY$62,$AO$66:$AY$74,$BI$5:$BS$13,$BI$17:$BS$25,$BI$29:$BS$37,$BI$41:$BS$49,$BI$53:$BS$61,$BI$65:$BS$73,$BY$5:$CI$13,$BY$17:$CI$25),MATCH($L$56,$AN$5:$AN$13,0),MATCH(A59,$AO$4:$AY$4,0),MATCH($G$50,$AL$18:$AL$31,0)))*C59</f>
        <v>0</v>
      </c>
      <c r="AE60" s="20">
        <f>(INDEX(($AO$5:$AY$13,$AO$17:$AY$25,$AO$30:$AY$38,$AO$42:$AY$50,$AO$54:$AY$62,$AO$66:$AY$74,$BI$5:$BS$13,$BI$17:$BS$25,$BI$29:$BS$37,$BI$41:$BS$49,$BI$53:$BS$61,$BI$65:$BS$73,$BY$5:$CI$13,$BY$17:$CI$25),MATCH($L$57,$AN$5:$AN$13,0),MATCH(A59,$AO$4:$AY$4,0),MATCH($G$50,$AL$18:$AL$31,0)))*C59</f>
        <v>0</v>
      </c>
      <c r="AH60" s="21" t="s">
        <v>394</v>
      </c>
      <c r="AN60" s="20" t="s">
        <v>212</v>
      </c>
      <c r="AO60" s="20">
        <v>0</v>
      </c>
      <c r="AP60" s="20">
        <v>0</v>
      </c>
      <c r="AQ60" s="20">
        <v>2</v>
      </c>
      <c r="AR60" s="20">
        <v>2</v>
      </c>
      <c r="AS60" s="20">
        <v>4</v>
      </c>
      <c r="AT60" s="20">
        <v>2</v>
      </c>
      <c r="AU60" s="20">
        <v>2</v>
      </c>
      <c r="AV60" s="20">
        <v>2</v>
      </c>
      <c r="AW60" s="20">
        <v>6</v>
      </c>
      <c r="AX60" s="20">
        <v>8</v>
      </c>
      <c r="AY60" s="20">
        <v>2</v>
      </c>
      <c r="BH60" s="20" t="s">
        <v>214</v>
      </c>
      <c r="BI60" s="20">
        <v>0</v>
      </c>
      <c r="BJ60" s="20">
        <v>0</v>
      </c>
      <c r="BK60" s="20">
        <v>0</v>
      </c>
      <c r="BL60" s="20">
        <v>0</v>
      </c>
      <c r="BM60" s="20">
        <v>0</v>
      </c>
      <c r="BN60" s="20">
        <v>0</v>
      </c>
      <c r="BO60" s="20">
        <v>0</v>
      </c>
      <c r="BP60" s="20">
        <v>4</v>
      </c>
      <c r="BQ60" s="20">
        <v>0</v>
      </c>
      <c r="BR60" s="20">
        <v>4</v>
      </c>
      <c r="BS60" s="20">
        <v>4</v>
      </c>
    </row>
    <row r="61" spans="1:91" x14ac:dyDescent="0.25">
      <c r="A61" s="8"/>
      <c r="B61" s="6" t="s">
        <v>116</v>
      </c>
      <c r="C61" s="8"/>
      <c r="D61" s="4"/>
      <c r="E61" s="4"/>
      <c r="F61" s="4"/>
      <c r="G61" s="4"/>
      <c r="H61" s="4"/>
      <c r="I61" s="4"/>
      <c r="J61" s="4"/>
      <c r="K61" s="4"/>
      <c r="L61" s="6" t="str">
        <f>INDEX(($AH$13:$AI$13),1,MATCH(E51,$AH$2:$AI$2,0))</f>
        <v>PUF</v>
      </c>
      <c r="M61" s="14">
        <f>INDEX(cennik!$C$2:$L$529,MATCH($L61,cennik!$B$2:$B$522,0),MATCH(M$2,cennik!$C$1:$L$1,0))</f>
        <v>897300</v>
      </c>
      <c r="N61" s="14" t="str">
        <f>INDEX(cennik!$C$2:$L$529,MATCH($L61,cennik!$B$2:$B$522,0),MATCH(N$2,cennik!$C$1:$L$1,0))</f>
        <v>szt.</v>
      </c>
      <c r="O61" s="14">
        <f>SUM(IF(A49=0,0,IF(A49&gt;0,(A49-1)*2*C49)),IF(A50=0,0,IF(A50&gt;0,(A50-1)*2*C50)),IF(A51=0,0,IF(A51&gt;0,(A51-1)*2*C51)),IF(A52=0,0,IF(A52&gt;0,(A52-1)*2*C52)),IF(A53=0,0,IF(A53&gt;0,(A53-1)*2*C53)),IF(A54=0,0,IF(A54&gt;0,(A54-1)*2*C54)),IF(A55=0,0,IF(A55&gt;0,(A55-1)*2*C55)),IF(A56=0,0,IF(A56&gt;0,(A56-1)*2*C56)),IF(A57=0,0,IF(A57&gt;0,(A57-1)*2*C57)),IF(A58=0,0,IF(A58&gt;0,(A58-1)*2*C58)),IF(A59=0,0,IF(A59&gt;0,(A59-1)*2*C59)),IF(A60=0,0,IF(A60&gt;0,(A60-1)*2*C60)),IF(A61=0,0,IF(A61&gt;0,(A61-1)*2*C61)),IF(A62=0,0,IF(A62&gt;0,(A62-1)*2*C62)),IF(A63=0,0,IF(A63&gt;0,(A63-1)*2*C63)),IF(A64=0,0,IF(A64&gt;0,(A64-1)*2*C64)))</f>
        <v>0</v>
      </c>
      <c r="P61" s="22">
        <f>INDEX(cennik!$C$2:$L$529,MATCH($L61,cennik!$B$2:$B$522,0),MATCH(P$2,cennik!$C$1:$L$1,0))</f>
        <v>2.06</v>
      </c>
      <c r="Q61" s="22">
        <f t="shared" si="12"/>
        <v>0</v>
      </c>
      <c r="R61" s="23">
        <f t="shared" si="13"/>
        <v>0</v>
      </c>
      <c r="S61" s="22">
        <f t="shared" si="14"/>
        <v>2.06</v>
      </c>
      <c r="T61" s="22">
        <f t="shared" si="15"/>
        <v>0</v>
      </c>
      <c r="U61" s="22">
        <f>INDEX(cennik!$C$2:$L$529,MATCH($L61,cennik!$B$2:$B$522,0),MATCH(U$2,cennik!$C$1:$L$1,0))*O61</f>
        <v>0</v>
      </c>
      <c r="W61" s="20">
        <f>(INDEX(($AO$5:$AY$13,$AO$17:$AY$25,$AO$30:$AY$38,$AO$42:$AY$50,$AO$54:$AY$62,$AO$66:$AY$74,$BI$5:$BS$13,$BI$17:$BS$25,$BI$29:$BS$37,$BI$41:$BS$49,$BI$53:$BS$61,$BI$65:$BS$73,$BY$5:$CI$13,$BY$17:$CI$25),MATCH($L$58,$AN$5:$AN$13,0),MATCH(A60,$AO$4:$AY$4,0),MATCH($G$50,$AL$18:$AL$31,0)))*C60</f>
        <v>0</v>
      </c>
      <c r="X61" s="20">
        <f>(INDEX(($AO$5:$AY$13,$AO$17:$AY$25,$AO$30:$AY$38,$AO$42:$AY$50,$AO$54:$AY$62,$AO$66:$AY$74,$BI$5:$BS$13,$BI$17:$BS$25,$BI$29:$BS$37,$BI$41:$BS$49,$BI$53:$BS$61,$BI$65:$BS$73,$BY$5:$CI$13,$BY$17:$CI$25),MATCH($L$50,$AN$5:$AN$13,0),MATCH(A60,$AO$4:$AY$4,0),MATCH($G$50,$AL$18:$AL$31,0)))*C60</f>
        <v>0</v>
      </c>
      <c r="Y61" s="20">
        <f>(INDEX(($AO$5:$AY$13,$AO$17:$AY$25,$AO$30:$AY$38,$AO$42:$AY$50,$AO$54:$AY$62,$AO$66:$AY$74,$BI$5:$BS$13,$BI$17:$BS$25,$BI$29:$BS$37,$BI$41:$BS$49,$BI$53:$BS$61,$BI$65:$BS$73,$BY$5:$CI$13,$BY$17:$CI$25),MATCH($L$51,$AN$5:$AN$13,0),MATCH(A60,$AO$4:$AY$4,0),MATCH($G$50,$AL$18:$AL$31,0)))*C60</f>
        <v>0</v>
      </c>
      <c r="Z61" s="20">
        <f>(INDEX(($AO$5:$AY$13,$AO$17:$AY$25,$AO$30:$AY$38,$AO$42:$AY$50,$AO$54:$AY$62,$AO$66:$AY$74,$BI$5:$BS$13,$BI$17:$BS$25,$BI$29:$BS$37,$BI$41:$BS$49,$BI$53:$BS$61,$BI$65:$BS$73,$BY$5:$CI$13,$BY$17:$CI$25),MATCH($L$52,$AN$5:$AN$13,0),MATCH(A60,$AO$4:$AY$4,0),MATCH($G$50,$AL$18:$AL$31,0)))*C60</f>
        <v>0</v>
      </c>
      <c r="AA61" s="20">
        <f>(INDEX(($AO$5:$AY$13,$AO$17:$AY$25,$AO$30:$AY$38,$AO$42:$AY$50,$AO$54:$AY$62,$AO$66:$AY$74,$BI$5:$BS$13,$BI$17:$BS$25,$BI$29:$BS$37,$BI$41:$BS$49,$BI$53:$BS$61,$BI$65:$BS$73,$BY$5:$CI$13,$BY$17:$CI$25),MATCH($L$53,$AN$5:$AN$13,0),MATCH(A60,$AO$4:$AY$4,0),MATCH($G$50,$AL$18:$AL$31,0)))*C60</f>
        <v>0</v>
      </c>
      <c r="AB61" s="20">
        <f>(INDEX(($AO$5:$AY$13,$AO$17:$AY$25,$AO$30:$AY$38,$AO$42:$AY$50,$AO$54:$AY$62,$AO$66:$AY$74,$BI$5:$BS$13,$BI$17:$BS$25,$BI$29:$BS$37,$BI$41:$BS$49,$BI$53:$BS$61,$BI$65:$BS$73,$BY$5:$CI$13,$BY$17:$CI$25),MATCH($L$54,$AN$5:$AN$13,0),MATCH(A60,$AO$4:$AY$4,0),MATCH($G$50,$AL$18:$AL$31,0)))*C60</f>
        <v>0</v>
      </c>
      <c r="AC61" s="20">
        <f>(INDEX(($AO$5:$AY$13,$AO$17:$AY$25,$AO$30:$AY$38,$AO$42:$AY$50,$AO$54:$AY$62,$AO$66:$AY$74,$BI$5:$BS$13,$BI$17:$BS$25,$BI$29:$BS$37,$BI$41:$BS$49,$BI$53:$BS$61,$BI$65:$BS$73,$BY$5:$CI$13,$BY$17:$CI$25),MATCH($L$55,$AN$5:$AN$13,0),MATCH(A60,$AO$4:$AY$4,0),MATCH($G$50,$AL$18:$AL$31,0)))*C60</f>
        <v>0</v>
      </c>
      <c r="AD61" s="20">
        <f>(INDEX(($AO$5:$AY$13,$AO$17:$AY$25,$AO$30:$AY$38,$AO$42:$AY$50,$AO$54:$AY$62,$AO$66:$AY$74,$BI$5:$BS$13,$BI$17:$BS$25,$BI$29:$BS$37,$BI$41:$BS$49,$BI$53:$BS$61,$BI$65:$BS$73,$BY$5:$CI$13,$BY$17:$CI$25),MATCH($L$56,$AN$5:$AN$13,0),MATCH(A60,$AO$4:$AY$4,0),MATCH($G$50,$AL$18:$AL$31,0)))*C60</f>
        <v>0</v>
      </c>
      <c r="AE61" s="20">
        <f>(INDEX(($AO$5:$AY$13,$AO$17:$AY$25,$AO$30:$AY$38,$AO$42:$AY$50,$AO$54:$AY$62,$AO$66:$AY$74,$BI$5:$BS$13,$BI$17:$BS$25,$BI$29:$BS$37,$BI$41:$BS$49,$BI$53:$BS$61,$BI$65:$BS$73,$BY$5:$CI$13,$BY$17:$CI$25),MATCH($L$57,$AN$5:$AN$13,0),MATCH(A60,$AO$4:$AY$4,0),MATCH($G$50,$AL$18:$AL$31,0)))*C60</f>
        <v>0</v>
      </c>
      <c r="AH61" s="21" t="s">
        <v>365</v>
      </c>
      <c r="AN61" s="20" t="s">
        <v>214</v>
      </c>
      <c r="AO61" s="20">
        <v>0</v>
      </c>
      <c r="AP61" s="20">
        <v>0</v>
      </c>
      <c r="AQ61" s="20">
        <v>0</v>
      </c>
      <c r="AR61" s="20">
        <v>0</v>
      </c>
      <c r="AS61" s="20">
        <v>0</v>
      </c>
      <c r="AT61" s="20">
        <v>0</v>
      </c>
      <c r="AU61" s="20">
        <v>2</v>
      </c>
      <c r="AV61" s="20">
        <v>4</v>
      </c>
      <c r="AW61" s="20">
        <v>0</v>
      </c>
      <c r="AX61" s="20">
        <v>0</v>
      </c>
      <c r="AY61" s="20">
        <v>4</v>
      </c>
      <c r="BH61" s="20" t="s">
        <v>11</v>
      </c>
      <c r="BI61" s="20">
        <v>0</v>
      </c>
      <c r="BJ61" s="20">
        <v>0</v>
      </c>
      <c r="BK61" s="20">
        <v>2</v>
      </c>
      <c r="BL61" s="20">
        <v>2</v>
      </c>
      <c r="BM61" s="20">
        <v>4</v>
      </c>
      <c r="BN61" s="20">
        <v>4</v>
      </c>
      <c r="BO61" s="20">
        <v>6</v>
      </c>
      <c r="BP61" s="20">
        <v>6</v>
      </c>
      <c r="BQ61" s="20">
        <v>8</v>
      </c>
      <c r="BR61" s="20">
        <v>8</v>
      </c>
      <c r="BS61" s="20">
        <v>10</v>
      </c>
    </row>
    <row r="62" spans="1:91" x14ac:dyDescent="0.25">
      <c r="A62" s="8"/>
      <c r="B62" s="6" t="s">
        <v>116</v>
      </c>
      <c r="C62" s="8"/>
      <c r="D62" s="4"/>
      <c r="E62" s="4"/>
      <c r="F62" s="4"/>
      <c r="G62" s="4"/>
      <c r="H62" s="4"/>
      <c r="I62" s="4"/>
      <c r="J62" s="4"/>
      <c r="K62" s="4"/>
      <c r="L62" s="6" t="str">
        <f>INDEX(($AJ$3:$AJ$12),MATCH(I50,$AG$3:$AG$12,0),1)</f>
        <v>SAM8X30E</v>
      </c>
      <c r="M62" s="14">
        <f>INDEX(cennik!$C$2:$L$529,MATCH($L62,cennik!$B$2:$B$522,0),MATCH(M$2,cennik!$C$1:$L$1,0))</f>
        <v>898530</v>
      </c>
      <c r="N62" s="14" t="str">
        <f>INDEX(cennik!$C$2:$L$529,MATCH($L62,cennik!$B$2:$B$522,0),MATCH(N$2,cennik!$C$1:$L$1,0))</f>
        <v>szt.</v>
      </c>
      <c r="O62" s="14">
        <f>SUM(O60:O61)</f>
        <v>0</v>
      </c>
      <c r="P62" s="22">
        <f>INDEX(cennik!$C$2:$L$529,MATCH($L62,cennik!$B$2:$B$522,0),MATCH(P$2,cennik!$C$1:$L$1,0))</f>
        <v>0.5</v>
      </c>
      <c r="Q62" s="22">
        <f t="shared" si="12"/>
        <v>0</v>
      </c>
      <c r="R62" s="23">
        <f t="shared" si="13"/>
        <v>0</v>
      </c>
      <c r="S62" s="22">
        <f t="shared" si="14"/>
        <v>0.5</v>
      </c>
      <c r="T62" s="22">
        <f t="shared" si="15"/>
        <v>0</v>
      </c>
      <c r="U62" s="22">
        <f>INDEX(cennik!$C$2:$L$529,MATCH($L62,cennik!$B$2:$B$522,0),MATCH(U$2,cennik!$C$1:$L$1,0))*O62</f>
        <v>0</v>
      </c>
      <c r="W62" s="20">
        <f>(INDEX(($AO$5:$AY$13,$AO$17:$AY$25,$AO$30:$AY$38,$AO$42:$AY$50,$AO$54:$AY$62,$AO$66:$AY$74,$BI$5:$BS$13,$BI$17:$BS$25,$BI$29:$BS$37,$BI$41:$BS$49,$BI$53:$BS$61,$BI$65:$BS$73,$BY$5:$CI$13,$BY$17:$CI$25),MATCH($L$58,$AN$5:$AN$13,0),MATCH(A61,$AO$4:$AY$4,0),MATCH($G$50,$AL$18:$AL$31,0)))*C61</f>
        <v>0</v>
      </c>
      <c r="X62" s="20">
        <f>(INDEX(($AO$5:$AY$13,$AO$17:$AY$25,$AO$30:$AY$38,$AO$42:$AY$50,$AO$54:$AY$62,$AO$66:$AY$74,$BI$5:$BS$13,$BI$17:$BS$25,$BI$29:$BS$37,$BI$41:$BS$49,$BI$53:$BS$61,$BI$65:$BS$73,$BY$5:$CI$13,$BY$17:$CI$25),MATCH($L$50,$AN$5:$AN$13,0),MATCH(A61,$AO$4:$AY$4,0),MATCH($G$50,$AL$18:$AL$31,0)))*C61</f>
        <v>0</v>
      </c>
      <c r="Y62" s="20">
        <f>(INDEX(($AO$5:$AY$13,$AO$17:$AY$25,$AO$30:$AY$38,$AO$42:$AY$50,$AO$54:$AY$62,$AO$66:$AY$74,$BI$5:$BS$13,$BI$17:$BS$25,$BI$29:$BS$37,$BI$41:$BS$49,$BI$53:$BS$61,$BI$65:$BS$73,$BY$5:$CI$13,$BY$17:$CI$25),MATCH($L$51,$AN$5:$AN$13,0),MATCH(A61,$AO$4:$AY$4,0),MATCH($G$50,$AL$18:$AL$31,0)))*C61</f>
        <v>0</v>
      </c>
      <c r="Z62" s="20">
        <f>(INDEX(($AO$5:$AY$13,$AO$17:$AY$25,$AO$30:$AY$38,$AO$42:$AY$50,$AO$54:$AY$62,$AO$66:$AY$74,$BI$5:$BS$13,$BI$17:$BS$25,$BI$29:$BS$37,$BI$41:$BS$49,$BI$53:$BS$61,$BI$65:$BS$73,$BY$5:$CI$13,$BY$17:$CI$25),MATCH($L$52,$AN$5:$AN$13,0),MATCH(A61,$AO$4:$AY$4,0),MATCH($G$50,$AL$18:$AL$31,0)))*C61</f>
        <v>0</v>
      </c>
      <c r="AA62" s="20">
        <f>(INDEX(($AO$5:$AY$13,$AO$17:$AY$25,$AO$30:$AY$38,$AO$42:$AY$50,$AO$54:$AY$62,$AO$66:$AY$74,$BI$5:$BS$13,$BI$17:$BS$25,$BI$29:$BS$37,$BI$41:$BS$49,$BI$53:$BS$61,$BI$65:$BS$73,$BY$5:$CI$13,$BY$17:$CI$25),MATCH($L$53,$AN$5:$AN$13,0),MATCH(A61,$AO$4:$AY$4,0),MATCH($G$50,$AL$18:$AL$31,0)))*C61</f>
        <v>0</v>
      </c>
      <c r="AB62" s="20">
        <f>(INDEX(($AO$5:$AY$13,$AO$17:$AY$25,$AO$30:$AY$38,$AO$42:$AY$50,$AO$54:$AY$62,$AO$66:$AY$74,$BI$5:$BS$13,$BI$17:$BS$25,$BI$29:$BS$37,$BI$41:$BS$49,$BI$53:$BS$61,$BI$65:$BS$73,$BY$5:$CI$13,$BY$17:$CI$25),MATCH($L$54,$AN$5:$AN$13,0),MATCH(A61,$AO$4:$AY$4,0),MATCH($G$50,$AL$18:$AL$31,0)))*C61</f>
        <v>0</v>
      </c>
      <c r="AC62" s="20">
        <f>(INDEX(($AO$5:$AY$13,$AO$17:$AY$25,$AO$30:$AY$38,$AO$42:$AY$50,$AO$54:$AY$62,$AO$66:$AY$74,$BI$5:$BS$13,$BI$17:$BS$25,$BI$29:$BS$37,$BI$41:$BS$49,$BI$53:$BS$61,$BI$65:$BS$73,$BY$5:$CI$13,$BY$17:$CI$25),MATCH($L$55,$AN$5:$AN$13,0),MATCH(A61,$AO$4:$AY$4,0),MATCH($G$50,$AL$18:$AL$31,0)))*C61</f>
        <v>0</v>
      </c>
      <c r="AD62" s="20">
        <f>(INDEX(($AO$5:$AY$13,$AO$17:$AY$25,$AO$30:$AY$38,$AO$42:$AY$50,$AO$54:$AY$62,$AO$66:$AY$74,$BI$5:$BS$13,$BI$17:$BS$25,$BI$29:$BS$37,$BI$41:$BS$49,$BI$53:$BS$61,$BI$65:$BS$73,$BY$5:$CI$13,$BY$17:$CI$25),MATCH($L$56,$AN$5:$AN$13,0),MATCH(A61,$AO$4:$AY$4,0),MATCH($G$50,$AL$18:$AL$31,0)))*C61</f>
        <v>0</v>
      </c>
      <c r="AE62" s="20">
        <f>(INDEX(($AO$5:$AY$13,$AO$17:$AY$25,$AO$30:$AY$38,$AO$42:$AY$50,$AO$54:$AY$62,$AO$66:$AY$74,$BI$5:$BS$13,$BI$17:$BS$25,$BI$29:$BS$37,$BI$41:$BS$49,$BI$53:$BS$61,$BI$65:$BS$73,$BY$5:$CI$13,$BY$17:$CI$25),MATCH($L$57,$AN$5:$AN$13,0),MATCH(A61,$AO$4:$AY$4,0),MATCH($G$50,$AL$18:$AL$31,0)))*C61</f>
        <v>0</v>
      </c>
      <c r="AH62" s="21" t="s">
        <v>367</v>
      </c>
      <c r="AN62" s="20" t="s">
        <v>11</v>
      </c>
      <c r="AO62" s="20">
        <v>0</v>
      </c>
      <c r="AP62" s="20">
        <v>0</v>
      </c>
      <c r="AQ62" s="20">
        <v>0</v>
      </c>
      <c r="AR62" s="20">
        <v>2</v>
      </c>
      <c r="AS62" s="20">
        <v>2</v>
      </c>
      <c r="AT62" s="20">
        <v>4</v>
      </c>
      <c r="AU62" s="20">
        <v>4</v>
      </c>
      <c r="AV62" s="20">
        <v>6</v>
      </c>
      <c r="AW62" s="20">
        <v>6</v>
      </c>
      <c r="AX62" s="20">
        <v>8</v>
      </c>
      <c r="AY62" s="20">
        <v>8</v>
      </c>
    </row>
    <row r="63" spans="1:91" x14ac:dyDescent="0.25">
      <c r="A63" s="8"/>
      <c r="B63" s="6" t="s">
        <v>116</v>
      </c>
      <c r="C63" s="8"/>
      <c r="D63" s="4"/>
      <c r="E63" s="4"/>
      <c r="F63" s="4"/>
      <c r="G63" s="4"/>
      <c r="H63" s="4"/>
      <c r="I63" s="4"/>
      <c r="J63" s="4"/>
      <c r="K63" s="4"/>
      <c r="L63" s="6" t="s">
        <v>1019</v>
      </c>
      <c r="M63" s="14">
        <f>INDEX(cennik!$C$2:$L$529,MATCH($L63,cennik!$B$2:$B$522,0),MATCH(M$2,cennik!$C$1:$L$1,0))</f>
        <v>166794</v>
      </c>
      <c r="N63" s="14" t="str">
        <f>INDEX(cennik!$C$2:$L$529,MATCH($L63,cennik!$B$2:$B$522,0),MATCH(N$2,cennik!$C$1:$L$1,0))</f>
        <v>100 szt.</v>
      </c>
      <c r="O63" s="14">
        <f>ROUNDUP(O62/100,0)</f>
        <v>0</v>
      </c>
      <c r="P63" s="22">
        <f>INDEX(cennik!$C$2:$L$529,MATCH($L63,cennik!$B$2:$B$522,0),MATCH(P$2,cennik!$C$1:$L$1,0))</f>
        <v>3.95</v>
      </c>
      <c r="Q63" s="22">
        <f t="shared" si="12"/>
        <v>0</v>
      </c>
      <c r="R63" s="23">
        <f t="shared" si="13"/>
        <v>0</v>
      </c>
      <c r="S63" s="22">
        <f t="shared" si="14"/>
        <v>3.95</v>
      </c>
      <c r="T63" s="22">
        <f t="shared" si="15"/>
        <v>0</v>
      </c>
      <c r="U63" s="22">
        <f>INDEX(cennik!$C$2:$L$529,MATCH($L63,cennik!$B$2:$B$522,0),MATCH(U$2,cennik!$C$1:$L$1,0))*O63</f>
        <v>0</v>
      </c>
      <c r="W63" s="20">
        <f>(INDEX(($AO$5:$AY$13,$AO$17:$AY$25,$AO$30:$AY$38,$AO$42:$AY$50,$AO$54:$AY$62,$AO$66:$AY$74,$BI$5:$BS$13,$BI$17:$BS$25,$BI$29:$BS$37,$BI$41:$BS$49,$BI$53:$BS$61,$BI$65:$BS$73,$BY$5:$CI$13,$BY$17:$CI$25),MATCH($L$58,$AN$5:$AN$13,0),MATCH(A62,$AO$4:$AY$4,0),MATCH($G$50,$AL$18:$AL$31,0)))*C62</f>
        <v>0</v>
      </c>
      <c r="X63" s="20">
        <f>(INDEX(($AO$5:$AY$13,$AO$17:$AY$25,$AO$30:$AY$38,$AO$42:$AY$50,$AO$54:$AY$62,$AO$66:$AY$74,$BI$5:$BS$13,$BI$17:$BS$25,$BI$29:$BS$37,$BI$41:$BS$49,$BI$53:$BS$61,$BI$65:$BS$73,$BY$5:$CI$13,$BY$17:$CI$25),MATCH($L$50,$AN$5:$AN$13,0),MATCH(A62,$AO$4:$AY$4,0),MATCH($G$50,$AL$18:$AL$31,0)))*C62</f>
        <v>0</v>
      </c>
      <c r="Y63" s="20">
        <f>(INDEX(($AO$5:$AY$13,$AO$17:$AY$25,$AO$30:$AY$38,$AO$42:$AY$50,$AO$54:$AY$62,$AO$66:$AY$74,$BI$5:$BS$13,$BI$17:$BS$25,$BI$29:$BS$37,$BI$41:$BS$49,$BI$53:$BS$61,$BI$65:$BS$73,$BY$5:$CI$13,$BY$17:$CI$25),MATCH($L$51,$AN$5:$AN$13,0),MATCH(A62,$AO$4:$AY$4,0),MATCH($G$50,$AL$18:$AL$31,0)))*C62</f>
        <v>0</v>
      </c>
      <c r="Z63" s="20">
        <f>(INDEX(($AO$5:$AY$13,$AO$17:$AY$25,$AO$30:$AY$38,$AO$42:$AY$50,$AO$54:$AY$62,$AO$66:$AY$74,$BI$5:$BS$13,$BI$17:$BS$25,$BI$29:$BS$37,$BI$41:$BS$49,$BI$53:$BS$61,$BI$65:$BS$73,$BY$5:$CI$13,$BY$17:$CI$25),MATCH($L$52,$AN$5:$AN$13,0),MATCH(A62,$AO$4:$AY$4,0),MATCH($G$50,$AL$18:$AL$31,0)))*C62</f>
        <v>0</v>
      </c>
      <c r="AA63" s="20">
        <f>(INDEX(($AO$5:$AY$13,$AO$17:$AY$25,$AO$30:$AY$38,$AO$42:$AY$50,$AO$54:$AY$62,$AO$66:$AY$74,$BI$5:$BS$13,$BI$17:$BS$25,$BI$29:$BS$37,$BI$41:$BS$49,$BI$53:$BS$61,$BI$65:$BS$73,$BY$5:$CI$13,$BY$17:$CI$25),MATCH($L$53,$AN$5:$AN$13,0),MATCH(A62,$AO$4:$AY$4,0),MATCH($G$50,$AL$18:$AL$31,0)))*C62</f>
        <v>0</v>
      </c>
      <c r="AB63" s="20">
        <f>(INDEX(($AO$5:$AY$13,$AO$17:$AY$25,$AO$30:$AY$38,$AO$42:$AY$50,$AO$54:$AY$62,$AO$66:$AY$74,$BI$5:$BS$13,$BI$17:$BS$25,$BI$29:$BS$37,$BI$41:$BS$49,$BI$53:$BS$61,$BI$65:$BS$73,$BY$5:$CI$13,$BY$17:$CI$25),MATCH($L$54,$AN$5:$AN$13,0),MATCH(A62,$AO$4:$AY$4,0),MATCH($G$50,$AL$18:$AL$31,0)))*C62</f>
        <v>0</v>
      </c>
      <c r="AC63" s="20">
        <f>(INDEX(($AO$5:$AY$13,$AO$17:$AY$25,$AO$30:$AY$38,$AO$42:$AY$50,$AO$54:$AY$62,$AO$66:$AY$74,$BI$5:$BS$13,$BI$17:$BS$25,$BI$29:$BS$37,$BI$41:$BS$49,$BI$53:$BS$61,$BI$65:$BS$73,$BY$5:$CI$13,$BY$17:$CI$25),MATCH($L$55,$AN$5:$AN$13,0),MATCH(A62,$AO$4:$AY$4,0),MATCH($G$50,$AL$18:$AL$31,0)))*C62</f>
        <v>0</v>
      </c>
      <c r="AD63" s="20">
        <f>(INDEX(($AO$5:$AY$13,$AO$17:$AY$25,$AO$30:$AY$38,$AO$42:$AY$50,$AO$54:$AY$62,$AO$66:$AY$74,$BI$5:$BS$13,$BI$17:$BS$25,$BI$29:$BS$37,$BI$41:$BS$49,$BI$53:$BS$61,$BI$65:$BS$73,$BY$5:$CI$13,$BY$17:$CI$25),MATCH($L$56,$AN$5:$AN$13,0),MATCH(A62,$AO$4:$AY$4,0),MATCH($G$50,$AL$18:$AL$31,0)))*C62</f>
        <v>0</v>
      </c>
      <c r="AE63" s="20">
        <f>(INDEX(($AO$5:$AY$13,$AO$17:$AY$25,$AO$30:$AY$38,$AO$42:$AY$50,$AO$54:$AY$62,$AO$66:$AY$74,$BI$5:$BS$13,$BI$17:$BS$25,$BI$29:$BS$37,$BI$41:$BS$49,$BI$53:$BS$61,$BI$65:$BS$73,$BY$5:$CI$13,$BY$17:$CI$25),MATCH($L$57,$AN$5:$AN$13,0),MATCH(A62,$AO$4:$AY$4,0),MATCH($G$50,$AL$18:$AL$31,0)))*C62</f>
        <v>0</v>
      </c>
      <c r="AH63" s="21" t="s">
        <v>570</v>
      </c>
      <c r="BH63" s="20" t="s">
        <v>113</v>
      </c>
      <c r="BI63" s="20"/>
      <c r="BJ63" s="20"/>
      <c r="BK63" s="20"/>
      <c r="BL63" s="20"/>
      <c r="BM63" s="20"/>
      <c r="BN63" s="20"/>
      <c r="BO63" s="20"/>
      <c r="BP63" s="20"/>
      <c r="BQ63" s="20"/>
      <c r="BR63" s="20"/>
      <c r="BS63" s="20"/>
    </row>
    <row r="64" spans="1:91" x14ac:dyDescent="0.25">
      <c r="A64" s="8"/>
      <c r="B64" s="6" t="s">
        <v>116</v>
      </c>
      <c r="C64" s="8"/>
      <c r="F64" s="4"/>
      <c r="G64" s="4"/>
      <c r="H64" s="4"/>
      <c r="I64" s="4"/>
      <c r="J64" s="4"/>
      <c r="K64" s="4"/>
      <c r="L64" s="15" t="s">
        <v>321</v>
      </c>
      <c r="M64" s="14">
        <f>INDEX(cennik!$C$2:$L$529,MATCH($L64,cennik!$B$2:$B$522,0),MATCH(M$2,cennik!$C$1:$L$1,0))</f>
        <v>890101</v>
      </c>
      <c r="N64" s="14" t="str">
        <f>INDEX(cennik!$C$2:$L$529,MATCH($L64,cennik!$B$2:$B$522,0),MATCH(N$2,cennik!$C$1:$L$1,0))</f>
        <v>szt.</v>
      </c>
      <c r="O64" s="14">
        <f>O62</f>
        <v>0</v>
      </c>
      <c r="P64" s="22">
        <f>INDEX(cennik!$C$2:$L$529,MATCH($L64,cennik!$B$2:$B$522,0),MATCH(P$2,cennik!$C$1:$L$1,0))</f>
        <v>1.99</v>
      </c>
      <c r="Q64" s="22">
        <f t="shared" si="12"/>
        <v>0</v>
      </c>
      <c r="R64" s="23">
        <f t="shared" si="13"/>
        <v>0</v>
      </c>
      <c r="S64" s="22">
        <f t="shared" si="14"/>
        <v>1.99</v>
      </c>
      <c r="T64" s="22">
        <f t="shared" si="15"/>
        <v>0</v>
      </c>
      <c r="U64" s="22">
        <f>INDEX(cennik!$C$2:$L$529,MATCH($L64,cennik!$B$2:$B$522,0),MATCH(U$2,cennik!$C$1:$L$1,0))*O64</f>
        <v>0</v>
      </c>
      <c r="W64" s="20">
        <f>(INDEX(($AO$5:$AY$13,$AO$17:$AY$25,$AO$30:$AY$38,$AO$42:$AY$50,$AO$54:$AY$62,$AO$66:$AY$74,$BI$5:$BS$13,$BI$17:$BS$25,$BI$29:$BS$37,$BI$41:$BS$49,$BI$53:$BS$61,$BI$65:$BS$73,$BY$5:$CI$13,$BY$17:$CI$25),MATCH($L$58,$AN$5:$AN$13,0),MATCH(A63,$AO$4:$AY$4,0),MATCH($G$50,$AL$18:$AL$31,0)))*C63</f>
        <v>0</v>
      </c>
      <c r="X64" s="20">
        <f>(INDEX(($AO$5:$AY$13,$AO$17:$AY$25,$AO$30:$AY$38,$AO$42:$AY$50,$AO$54:$AY$62,$AO$66:$AY$74,$BI$5:$BS$13,$BI$17:$BS$25,$BI$29:$BS$37,$BI$41:$BS$49,$BI$53:$BS$61,$BI$65:$BS$73,$BY$5:$CI$13,$BY$17:$CI$25),MATCH($L$50,$AN$5:$AN$13,0),MATCH(A63,$AO$4:$AY$4,0),MATCH($G$50,$AL$18:$AL$31,0)))*C63</f>
        <v>0</v>
      </c>
      <c r="Y64" s="20">
        <f>(INDEX(($AO$5:$AY$13,$AO$17:$AY$25,$AO$30:$AY$38,$AO$42:$AY$50,$AO$54:$AY$62,$AO$66:$AY$74,$BI$5:$BS$13,$BI$17:$BS$25,$BI$29:$BS$37,$BI$41:$BS$49,$BI$53:$BS$61,$BI$65:$BS$73,$BY$5:$CI$13,$BY$17:$CI$25),MATCH($L$51,$AN$5:$AN$13,0),MATCH(A63,$AO$4:$AY$4,0),MATCH($G$50,$AL$18:$AL$31,0)))*C63</f>
        <v>0</v>
      </c>
      <c r="Z64" s="20">
        <f>(INDEX(($AO$5:$AY$13,$AO$17:$AY$25,$AO$30:$AY$38,$AO$42:$AY$50,$AO$54:$AY$62,$AO$66:$AY$74,$BI$5:$BS$13,$BI$17:$BS$25,$BI$29:$BS$37,$BI$41:$BS$49,$BI$53:$BS$61,$BI$65:$BS$73,$BY$5:$CI$13,$BY$17:$CI$25),MATCH($L$52,$AN$5:$AN$13,0),MATCH(A63,$AO$4:$AY$4,0),MATCH($G$50,$AL$18:$AL$31,0)))*C63</f>
        <v>0</v>
      </c>
      <c r="AA64" s="20">
        <f>(INDEX(($AO$5:$AY$13,$AO$17:$AY$25,$AO$30:$AY$38,$AO$42:$AY$50,$AO$54:$AY$62,$AO$66:$AY$74,$BI$5:$BS$13,$BI$17:$BS$25,$BI$29:$BS$37,$BI$41:$BS$49,$BI$53:$BS$61,$BI$65:$BS$73,$BY$5:$CI$13,$BY$17:$CI$25),MATCH($L$53,$AN$5:$AN$13,0),MATCH(A63,$AO$4:$AY$4,0),MATCH($G$50,$AL$18:$AL$31,0)))*C63</f>
        <v>0</v>
      </c>
      <c r="AB64" s="20">
        <f>(INDEX(($AO$5:$AY$13,$AO$17:$AY$25,$AO$30:$AY$38,$AO$42:$AY$50,$AO$54:$AY$62,$AO$66:$AY$74,$BI$5:$BS$13,$BI$17:$BS$25,$BI$29:$BS$37,$BI$41:$BS$49,$BI$53:$BS$61,$BI$65:$BS$73,$BY$5:$CI$13,$BY$17:$CI$25),MATCH($L$54,$AN$5:$AN$13,0),MATCH(A63,$AO$4:$AY$4,0),MATCH($G$50,$AL$18:$AL$31,0)))*C63</f>
        <v>0</v>
      </c>
      <c r="AC64" s="20">
        <f>(INDEX(($AO$5:$AY$13,$AO$17:$AY$25,$AO$30:$AY$38,$AO$42:$AY$50,$AO$54:$AY$62,$AO$66:$AY$74,$BI$5:$BS$13,$BI$17:$BS$25,$BI$29:$BS$37,$BI$41:$BS$49,$BI$53:$BS$61,$BI$65:$BS$73,$BY$5:$CI$13,$BY$17:$CI$25),MATCH($L$55,$AN$5:$AN$13,0),MATCH(A63,$AO$4:$AY$4,0),MATCH($G$50,$AL$18:$AL$31,0)))*C63</f>
        <v>0</v>
      </c>
      <c r="AD64" s="20">
        <f>(INDEX(($AO$5:$AY$13,$AO$17:$AY$25,$AO$30:$AY$38,$AO$42:$AY$50,$AO$54:$AY$62,$AO$66:$AY$74,$BI$5:$BS$13,$BI$17:$BS$25,$BI$29:$BS$37,$BI$41:$BS$49,$BI$53:$BS$61,$BI$65:$BS$73,$BY$5:$CI$13,$BY$17:$CI$25),MATCH($L$56,$AN$5:$AN$13,0),MATCH(A63,$AO$4:$AY$4,0),MATCH($G$50,$AL$18:$AL$31,0)))*C63</f>
        <v>0</v>
      </c>
      <c r="AE64" s="20">
        <f>(INDEX(($AO$5:$AY$13,$AO$17:$AY$25,$AO$30:$AY$38,$AO$42:$AY$50,$AO$54:$AY$62,$AO$66:$AY$74,$BI$5:$BS$13,$BI$17:$BS$25,$BI$29:$BS$37,$BI$41:$BS$49,$BI$53:$BS$61,$BI$65:$BS$73,$BY$5:$CI$13,$BY$17:$CI$25),MATCH($L$57,$AN$5:$AN$13,0),MATCH(A63,$AO$4:$AY$4,0),MATCH($G$50,$AL$18:$AL$31,0)))*C63</f>
        <v>0</v>
      </c>
      <c r="AH64" s="21" t="s">
        <v>371</v>
      </c>
      <c r="AN64" s="20" t="s">
        <v>112</v>
      </c>
      <c r="AO64" s="20"/>
      <c r="AP64" s="20"/>
      <c r="AQ64" s="20"/>
      <c r="AR64" s="20"/>
      <c r="AS64" s="20"/>
      <c r="AT64" s="20"/>
      <c r="AU64" s="20"/>
      <c r="AV64" s="20"/>
      <c r="AW64" s="20"/>
      <c r="AX64" s="20"/>
      <c r="AY64" s="20"/>
      <c r="BH64" s="20"/>
      <c r="BI64" s="20">
        <v>0</v>
      </c>
      <c r="BJ64" s="20">
        <v>1</v>
      </c>
      <c r="BK64" s="20">
        <v>2</v>
      </c>
      <c r="BL64" s="20">
        <v>3</v>
      </c>
      <c r="BM64" s="20">
        <v>4</v>
      </c>
      <c r="BN64" s="20">
        <v>5</v>
      </c>
      <c r="BO64" s="20">
        <v>6</v>
      </c>
      <c r="BP64" s="20">
        <v>7</v>
      </c>
      <c r="BQ64" s="20">
        <v>8</v>
      </c>
      <c r="BR64" s="20">
        <v>9</v>
      </c>
      <c r="BS64" s="20">
        <v>10</v>
      </c>
    </row>
    <row r="65" spans="1:71" x14ac:dyDescent="0.25">
      <c r="F65" s="4"/>
      <c r="G65" s="4"/>
      <c r="H65" s="4"/>
      <c r="I65" s="4"/>
      <c r="J65" s="4"/>
      <c r="L65" s="6" t="s">
        <v>407</v>
      </c>
      <c r="M65" s="14">
        <f>INDEX(cennik!$C$2:$L$529,MATCH($L65,cennik!$B$2:$B$522,0),MATCH(M$2,cennik!$C$1:$L$1,0))</f>
        <v>651643</v>
      </c>
      <c r="N65" s="14" t="str">
        <f>INDEX(cennik!$C$2:$L$529,MATCH($L65,cennik!$B$2:$B$522,0),MATCH(N$2,cennik!$C$1:$L$1,0))</f>
        <v>100 szt.</v>
      </c>
      <c r="O65" s="14">
        <f>ROUNDUP(((O58*12))/100,0)</f>
        <v>0</v>
      </c>
      <c r="P65" s="22">
        <f>INDEX(cennik!$C$2:$L$529,MATCH($L65,cennik!$B$2:$B$522,0),MATCH(P$2,cennik!$C$1:$L$1,0))</f>
        <v>144.19</v>
      </c>
      <c r="Q65" s="22">
        <f t="shared" si="12"/>
        <v>0</v>
      </c>
      <c r="R65" s="23">
        <f t="shared" si="13"/>
        <v>0</v>
      </c>
      <c r="S65" s="22">
        <f t="shared" si="14"/>
        <v>144.19</v>
      </c>
      <c r="T65" s="22">
        <f t="shared" si="15"/>
        <v>0</v>
      </c>
      <c r="U65" s="22">
        <f>INDEX(cennik!$C$2:$L$529,MATCH($L65,cennik!$B$2:$B$522,0),MATCH(U$2,cennik!$C$1:$L$1,0))*O65</f>
        <v>0</v>
      </c>
      <c r="W65" s="20">
        <f>(INDEX(($AO$5:$AY$13,$AO$17:$AY$25,$AO$30:$AY$38,$AO$42:$AY$50,$AO$54:$AY$62,$AO$66:$AY$74,$BI$5:$BS$13,$BI$17:$BS$25,$BI$29:$BS$37,$BI$41:$BS$49,$BI$53:$BS$61,$BI$65:$BS$73,$BY$5:$CI$13,$BY$17:$CI$25),MATCH($L$58,$AN$5:$AN$13,0),MATCH(A64,$AO$4:$AY$4,0),MATCH($G$50,$AL$18:$AL$31,0)))*C64</f>
        <v>0</v>
      </c>
      <c r="X65" s="20">
        <f>(INDEX(($AO$5:$AY$13,$AO$17:$AY$25,$AO$30:$AY$38,$AO$42:$AY$50,$AO$54:$AY$62,$AO$66:$AY$74,$BI$5:$BS$13,$BI$17:$BS$25,$BI$29:$BS$37,$BI$41:$BS$49,$BI$53:$BS$61,$BI$65:$BS$73,$BY$5:$CI$13,$BY$17:$CI$25),MATCH($L$50,$AN$5:$AN$13,0),MATCH(A64,$AO$4:$AY$4,0),MATCH($G$50,$AL$18:$AL$31,0)))*C64</f>
        <v>0</v>
      </c>
      <c r="Y65" s="20">
        <f>(INDEX(($AO$5:$AY$13,$AO$17:$AY$25,$AO$30:$AY$38,$AO$42:$AY$50,$AO$54:$AY$62,$AO$66:$AY$74,$BI$5:$BS$13,$BI$17:$BS$25,$BI$29:$BS$37,$BI$41:$BS$49,$BI$53:$BS$61,$BI$65:$BS$73,$BY$5:$CI$13,$BY$17:$CI$25),MATCH($L$51,$AN$5:$AN$13,0),MATCH(A64,$AO$4:$AY$4,0),MATCH($G$50,$AL$18:$AL$31,0)))*C64</f>
        <v>0</v>
      </c>
      <c r="Z65" s="20">
        <f>(INDEX(($AO$5:$AY$13,$AO$17:$AY$25,$AO$30:$AY$38,$AO$42:$AY$50,$AO$54:$AY$62,$AO$66:$AY$74,$BI$5:$BS$13,$BI$17:$BS$25,$BI$29:$BS$37,$BI$41:$BS$49,$BI$53:$BS$61,$BI$65:$BS$73,$BY$5:$CI$13,$BY$17:$CI$25),MATCH($L$52,$AN$5:$AN$13,0),MATCH(A64,$AO$4:$AY$4,0),MATCH($G$50,$AL$18:$AL$31,0)))*C64</f>
        <v>0</v>
      </c>
      <c r="AA65" s="20">
        <f>(INDEX(($AO$5:$AY$13,$AO$17:$AY$25,$AO$30:$AY$38,$AO$42:$AY$50,$AO$54:$AY$62,$AO$66:$AY$74,$BI$5:$BS$13,$BI$17:$BS$25,$BI$29:$BS$37,$BI$41:$BS$49,$BI$53:$BS$61,$BI$65:$BS$73,$BY$5:$CI$13,$BY$17:$CI$25),MATCH($L$53,$AN$5:$AN$13,0),MATCH(A64,$AO$4:$AY$4,0),MATCH($G$50,$AL$18:$AL$31,0)))*C64</f>
        <v>0</v>
      </c>
      <c r="AB65" s="20">
        <f>(INDEX(($AO$5:$AY$13,$AO$17:$AY$25,$AO$30:$AY$38,$AO$42:$AY$50,$AO$54:$AY$62,$AO$66:$AY$74,$BI$5:$BS$13,$BI$17:$BS$25,$BI$29:$BS$37,$BI$41:$BS$49,$BI$53:$BS$61,$BI$65:$BS$73,$BY$5:$CI$13,$BY$17:$CI$25),MATCH($L$54,$AN$5:$AN$13,0),MATCH(A64,$AO$4:$AY$4,0),MATCH($G$50,$AL$18:$AL$31,0)))*C64</f>
        <v>0</v>
      </c>
      <c r="AC65" s="20">
        <f>(INDEX(($AO$5:$AY$13,$AO$17:$AY$25,$AO$30:$AY$38,$AO$42:$AY$50,$AO$54:$AY$62,$AO$66:$AY$74,$BI$5:$BS$13,$BI$17:$BS$25,$BI$29:$BS$37,$BI$41:$BS$49,$BI$53:$BS$61,$BI$65:$BS$73,$BY$5:$CI$13,$BY$17:$CI$25),MATCH($L$55,$AN$5:$AN$13,0),MATCH(A64,$AO$4:$AY$4,0),MATCH($G$50,$AL$18:$AL$31,0)))*C64</f>
        <v>0</v>
      </c>
      <c r="AD65" s="20">
        <f>(INDEX(($AO$5:$AY$13,$AO$17:$AY$25,$AO$30:$AY$38,$AO$42:$AY$50,$AO$54:$AY$62,$AO$66:$AY$74,$BI$5:$BS$13,$BI$17:$BS$25,$BI$29:$BS$37,$BI$41:$BS$49,$BI$53:$BS$61,$BI$65:$BS$73,$BY$5:$CI$13,$BY$17:$CI$25),MATCH($L$56,$AN$5:$AN$13,0),MATCH(A64,$AO$4:$AY$4,0),MATCH($G$50,$AL$18:$AL$31,0)))*C64</f>
        <v>0</v>
      </c>
      <c r="AE65" s="20">
        <f>(INDEX(($AO$5:$AY$13,$AO$17:$AY$25,$AO$30:$AY$38,$AO$42:$AY$50,$AO$54:$AY$62,$AO$66:$AY$74,$BI$5:$BS$13,$BI$17:$BS$25,$BI$29:$BS$37,$BI$41:$BS$49,$BI$53:$BS$61,$BI$65:$BS$73,$BY$5:$CI$13,$BY$17:$CI$25),MATCH($L$57,$AN$5:$AN$13,0),MATCH(A64,$AO$4:$AY$4,0),MATCH($G$50,$AL$18:$AL$31,0)))*C64</f>
        <v>0</v>
      </c>
      <c r="AH65" s="21" t="s">
        <v>373</v>
      </c>
      <c r="AN65" s="20"/>
      <c r="AO65" s="20">
        <v>0</v>
      </c>
      <c r="AP65" s="20">
        <v>1</v>
      </c>
      <c r="AQ65" s="20">
        <v>2</v>
      </c>
      <c r="AR65" s="20">
        <v>3</v>
      </c>
      <c r="AS65" s="20">
        <v>4</v>
      </c>
      <c r="AT65" s="20">
        <v>5</v>
      </c>
      <c r="AU65" s="20">
        <v>6</v>
      </c>
      <c r="AV65" s="20">
        <v>7</v>
      </c>
      <c r="AW65" s="20">
        <v>8</v>
      </c>
      <c r="AX65" s="20">
        <v>9</v>
      </c>
      <c r="AY65" s="20">
        <v>10</v>
      </c>
      <c r="BH65" s="20" t="s">
        <v>210</v>
      </c>
      <c r="BI65" s="20">
        <v>0</v>
      </c>
      <c r="BJ65" s="20">
        <v>0</v>
      </c>
      <c r="BK65" s="20">
        <f t="shared" ref="BK65:BK73" si="16">2*AM138</f>
        <v>0</v>
      </c>
      <c r="BL65" s="20">
        <v>0</v>
      </c>
      <c r="BM65" s="20">
        <v>0</v>
      </c>
      <c r="BN65" s="20">
        <v>0</v>
      </c>
      <c r="BO65" s="20">
        <v>0</v>
      </c>
      <c r="BP65" s="20">
        <v>0</v>
      </c>
      <c r="BQ65" s="20">
        <v>0</v>
      </c>
      <c r="BR65" s="20">
        <v>0</v>
      </c>
      <c r="BS65" s="20">
        <v>0</v>
      </c>
    </row>
    <row r="66" spans="1:71" x14ac:dyDescent="0.25">
      <c r="L66" s="6" t="s">
        <v>128</v>
      </c>
      <c r="M66" s="14">
        <f>INDEX(cennik!$C$2:$L$529,MATCH($L66,cennik!$B$2:$B$522,0),MATCH(M$2,cennik!$C$1:$L$1,0))</f>
        <v>897303</v>
      </c>
      <c r="N66" s="14" t="str">
        <f>INDEX(cennik!$C$2:$L$529,MATCH($L66,cennik!$B$2:$B$522,0),MATCH(N$2,cennik!$C$1:$L$1,0))</f>
        <v>szt.</v>
      </c>
      <c r="O66" s="14">
        <f>SUM((IF(MOD(A49,2)=0,A49/2,IF(MOD(A49,2)=1,FLOOR(A49/2,1)+1,0))*C49),(IF(MOD(A50,2)=0,A50/2,IF(MOD(A50,2)=1,FLOOR(A50/2,1)+1,0))*C50),(IF(MOD(A51,2)=0,A51/2,IF(MOD(A51,2)=1,FLOOR(A51/2,1)+1,0))*C51),(IF(MOD(A52,2)=0,A52/2,IF(MOD(A52,2)=1,FLOOR(A52/2,1)+1,0))*C52),(IF(MOD(A53,2)=0,A53/2,IF(MOD(A53,2)=1,FLOOR(A53/2,1)+1,0))*C53),(IF(MOD(A54,2)=0,A54/2,IF(MOD(A54,2)=1,FLOOR(A54/2,1)+1,0))*C54),(IF(MOD(A55,2)=0,A55/2,IF(MOD(A55,2)=1,FLOOR(A55/2,1)+1,0))*C55),(IF(MOD(A56,2)=0,A56/2,IF(MOD(A56,2)=1,FLOOR(A56/2,1)+1,0))*C56),(IF(MOD(A57,2)=0,A57/2,IF(MOD(A57,2)=1,FLOOR(A57/2,1)+1,0))*C57),(IF(MOD(A58,2)=0,A58/2,IF(MOD(A58,2)=1,FLOOR(A58/2,1)+1,0))*C58),(IF(MOD(A59,2)=0,A59/2,IF(MOD(A59,2)=1,FLOOR(A59/2,1)+1,0))*C59),(IF(MOD(A60,2)=0,A60/2,IF(MOD(A60,2)=1,FLOOR(A60/2,1)+1,0))*C60),(IF(MOD(A61,2)=0,A61/2,IF(MOD(A61,2)=1,FLOOR(A61/2,1)+1,0))*C61),(IF(MOD(A62,2)=0,A62/2,IF(MOD(A62,2)=1,FLOOR(A62/2,1)+1,0))*C62),(IF(MOD(A63,2)=0,A63/2,IF(MOD(A63,2)=1,FLOOR(A63/2,1)+1,0))*C63),(IF(MOD(A64,2)=0,A64/2,IF(MOD(A64,2)=1,FLOOR(A64/2,1)+1,0))*C64))</f>
        <v>0</v>
      </c>
      <c r="P66" s="22">
        <f>INDEX(cennik!$C$2:$L$529,MATCH($L66,cennik!$B$2:$B$522,0),MATCH(P$2,cennik!$C$1:$L$1,0))</f>
        <v>2.4</v>
      </c>
      <c r="Q66" s="22">
        <f t="shared" si="12"/>
        <v>0</v>
      </c>
      <c r="R66" s="23">
        <f t="shared" si="13"/>
        <v>0</v>
      </c>
      <c r="S66" s="22">
        <f t="shared" si="14"/>
        <v>2.4</v>
      </c>
      <c r="T66" s="22">
        <f t="shared" si="15"/>
        <v>0</v>
      </c>
      <c r="U66" s="22">
        <f>INDEX(cennik!$C$2:$L$529,MATCH($L66,cennik!$B$2:$B$522,0),MATCH(U$2,cennik!$C$1:$L$1,0))*O66</f>
        <v>0</v>
      </c>
      <c r="AE66" s="20"/>
      <c r="AH66" s="21" t="s">
        <v>375</v>
      </c>
      <c r="AN66" s="20" t="s">
        <v>210</v>
      </c>
      <c r="AO66" s="20">
        <v>0</v>
      </c>
      <c r="AP66" s="20">
        <v>0</v>
      </c>
      <c r="AQ66" s="20">
        <v>0</v>
      </c>
      <c r="AR66" s="20">
        <v>0</v>
      </c>
      <c r="AS66" s="20">
        <v>0</v>
      </c>
      <c r="AT66" s="20">
        <v>0</v>
      </c>
      <c r="AU66" s="20">
        <v>0</v>
      </c>
      <c r="AV66" s="20">
        <v>0</v>
      </c>
      <c r="AW66" s="20">
        <v>0</v>
      </c>
      <c r="AX66" s="20">
        <v>0</v>
      </c>
      <c r="AY66" s="20">
        <v>0</v>
      </c>
      <c r="BH66" s="20" t="s">
        <v>9</v>
      </c>
      <c r="BI66" s="20">
        <v>0</v>
      </c>
      <c r="BJ66" s="20">
        <v>0</v>
      </c>
      <c r="BK66" s="20">
        <f t="shared" si="16"/>
        <v>0</v>
      </c>
      <c r="BL66" s="20">
        <v>0</v>
      </c>
      <c r="BM66" s="20">
        <v>2</v>
      </c>
      <c r="BN66" s="20">
        <v>0</v>
      </c>
      <c r="BO66" s="20">
        <v>2</v>
      </c>
      <c r="BP66" s="20">
        <v>0</v>
      </c>
      <c r="BQ66" s="20">
        <v>0</v>
      </c>
      <c r="BR66" s="20">
        <v>0</v>
      </c>
      <c r="BS66" s="20">
        <v>0</v>
      </c>
    </row>
    <row r="67" spans="1:71" x14ac:dyDescent="0.25">
      <c r="L67" s="6" t="s">
        <v>20</v>
      </c>
      <c r="M67" s="14">
        <f>INDEX(cennik!$C$2:$L$529,MATCH($L67,cennik!$B$2:$B$522,0),MATCH(M$2,cennik!$C$1:$L$1,0))</f>
        <v>6506513</v>
      </c>
      <c r="N67" s="14" t="str">
        <f>INDEX(cennik!$C$2:$L$529,MATCH($L67,cennik!$B$2:$B$522,0),MATCH(N$2,cennik!$C$1:$L$1,0))</f>
        <v>szt.</v>
      </c>
      <c r="O67" s="14">
        <f>O68+E55</f>
        <v>0</v>
      </c>
      <c r="P67" s="22">
        <f>INDEX(cennik!$C$2:$L$529,MATCH($L67,cennik!$B$2:$B$522,0),MATCH(P$2,cennik!$C$1:$L$1,0))</f>
        <v>4.1900000000000004</v>
      </c>
      <c r="Q67" s="22">
        <f t="shared" si="12"/>
        <v>0</v>
      </c>
      <c r="R67" s="23">
        <f t="shared" si="13"/>
        <v>0</v>
      </c>
      <c r="S67" s="22">
        <f t="shared" si="14"/>
        <v>4.1900000000000004</v>
      </c>
      <c r="T67" s="22">
        <f t="shared" si="15"/>
        <v>0</v>
      </c>
      <c r="U67" s="22">
        <f>INDEX(cennik!$C$2:$L$529,MATCH($L67,cennik!$B$2:$B$522,0),MATCH(U$2,cennik!$C$1:$L$1,0))*O67</f>
        <v>0</v>
      </c>
      <c r="AE67" s="20"/>
      <c r="AN67" s="20" t="s">
        <v>9</v>
      </c>
      <c r="AO67" s="20">
        <v>0</v>
      </c>
      <c r="AP67" s="20">
        <v>0</v>
      </c>
      <c r="AQ67" s="20">
        <v>0</v>
      </c>
      <c r="AR67" s="20">
        <v>0</v>
      </c>
      <c r="AS67" s="20">
        <v>0</v>
      </c>
      <c r="AT67" s="20">
        <v>0</v>
      </c>
      <c r="AU67" s="20">
        <v>0</v>
      </c>
      <c r="AV67" s="20">
        <v>2</v>
      </c>
      <c r="AW67" s="20">
        <v>0</v>
      </c>
      <c r="AX67" s="20">
        <v>0</v>
      </c>
      <c r="AY67" s="20">
        <v>0</v>
      </c>
      <c r="BH67" s="20" t="s">
        <v>208</v>
      </c>
      <c r="BI67" s="20">
        <v>0</v>
      </c>
      <c r="BJ67" s="20">
        <v>0</v>
      </c>
      <c r="BK67" s="20">
        <f t="shared" si="16"/>
        <v>0</v>
      </c>
      <c r="BL67" s="20">
        <v>0</v>
      </c>
      <c r="BM67" s="20">
        <v>0</v>
      </c>
      <c r="BN67" s="20">
        <v>0</v>
      </c>
      <c r="BO67" s="20">
        <v>0</v>
      </c>
      <c r="BP67" s="20">
        <v>0</v>
      </c>
      <c r="BQ67" s="20">
        <v>0</v>
      </c>
      <c r="BR67" s="20">
        <v>0</v>
      </c>
      <c r="BS67" s="20">
        <v>0</v>
      </c>
    </row>
    <row r="68" spans="1:71" x14ac:dyDescent="0.25">
      <c r="L68" s="6" t="s">
        <v>563</v>
      </c>
      <c r="M68" s="14">
        <f>INDEX(cennik!$C$2:$L$529,MATCH($L68,cennik!$B$2:$B$522,0),MATCH(M$2,cennik!$C$1:$L$1,0))</f>
        <v>892525</v>
      </c>
      <c r="N68" s="14" t="str">
        <f>INDEX(cennik!$C$2:$L$529,MATCH($L68,cennik!$B$2:$B$522,0),MATCH(N$2,cennik!$C$1:$L$1,0))</f>
        <v>szt.</v>
      </c>
      <c r="O68" s="14">
        <f>SUM((A49*C49),(A50*C50),(A51*C51),(A52*C52),(A53*C53),(A54*C54),(A55*C55),(A56*C56),(A57*C57),(A58*C58),(A59*C59),(A60*C60),(A61*C61),(A62*C62),(A63*C63),(A64*C64))</f>
        <v>0</v>
      </c>
      <c r="P68" s="22">
        <f>INDEX(cennik!$C$2:$L$529,MATCH($L68,cennik!$B$2:$B$522,0),MATCH(P$2,cennik!$C$1:$L$1,0))</f>
        <v>15.7</v>
      </c>
      <c r="Q68" s="22">
        <f t="shared" si="12"/>
        <v>0</v>
      </c>
      <c r="R68" s="23">
        <f t="shared" si="13"/>
        <v>0</v>
      </c>
      <c r="S68" s="22">
        <f t="shared" si="14"/>
        <v>15.7</v>
      </c>
      <c r="T68" s="22">
        <f t="shared" si="15"/>
        <v>0</v>
      </c>
      <c r="U68" s="22">
        <f>INDEX(cennik!$C$2:$L$529,MATCH($L68,cennik!$B$2:$B$522,0),MATCH(U$2,cennik!$C$1:$L$1,0))*O68</f>
        <v>0</v>
      </c>
      <c r="AE68" s="20"/>
      <c r="AN68" s="20" t="s">
        <v>208</v>
      </c>
      <c r="AO68" s="20">
        <v>0</v>
      </c>
      <c r="AP68" s="20">
        <v>0</v>
      </c>
      <c r="AQ68" s="20">
        <v>0</v>
      </c>
      <c r="AR68" s="20">
        <v>2</v>
      </c>
      <c r="AS68" s="20">
        <v>0</v>
      </c>
      <c r="AT68" s="20">
        <v>0</v>
      </c>
      <c r="AU68" s="20">
        <v>0</v>
      </c>
      <c r="AV68" s="20">
        <v>0</v>
      </c>
      <c r="AW68" s="20">
        <v>0</v>
      </c>
      <c r="AX68" s="20">
        <v>0</v>
      </c>
      <c r="AY68" s="20">
        <v>0</v>
      </c>
      <c r="BH68" s="20" t="s">
        <v>211</v>
      </c>
      <c r="BI68" s="20">
        <v>0</v>
      </c>
      <c r="BJ68" s="20">
        <v>0</v>
      </c>
      <c r="BK68" s="20">
        <f t="shared" si="16"/>
        <v>0</v>
      </c>
      <c r="BL68" s="20">
        <v>0</v>
      </c>
      <c r="BM68" s="20">
        <v>0</v>
      </c>
      <c r="BN68" s="20">
        <v>0</v>
      </c>
      <c r="BO68" s="20">
        <v>0</v>
      </c>
      <c r="BP68" s="20">
        <v>0</v>
      </c>
      <c r="BQ68" s="20">
        <v>0</v>
      </c>
      <c r="BR68" s="20">
        <v>0</v>
      </c>
      <c r="BS68" s="20">
        <v>0</v>
      </c>
    </row>
    <row r="69" spans="1:71" x14ac:dyDescent="0.25">
      <c r="L69" s="6" t="s">
        <v>396</v>
      </c>
      <c r="M69" s="14">
        <f>INDEX(cennik!$C$2:$L$529,MATCH($L69,cennik!$B$2:$B$522,0),MATCH(M$2,cennik!$C$1:$L$1,0))</f>
        <v>890404</v>
      </c>
      <c r="N69" s="14" t="str">
        <f>INDEX(cennik!$C$2:$L$529,MATCH($L69,cennik!$B$2:$B$522,0),MATCH(N$2,cennik!$C$1:$L$1,0))</f>
        <v>szt.</v>
      </c>
      <c r="O69" s="14">
        <f>SUM(C47:C62)*4</f>
        <v>0</v>
      </c>
      <c r="P69" s="22">
        <f>INDEX(cennik!$C$2:$L$529,MATCH($L69,cennik!$B$2:$B$522,0),MATCH(P$2,cennik!$C$1:$L$1,0))</f>
        <v>0.7</v>
      </c>
      <c r="Q69" s="22">
        <f t="shared" ref="Q69" si="17">O69*P69</f>
        <v>0</v>
      </c>
      <c r="R69" s="23">
        <f t="shared" si="13"/>
        <v>0</v>
      </c>
      <c r="S69" s="22">
        <f t="shared" ref="S69" si="18">P69*((100-$E$52)/100)</f>
        <v>0.7</v>
      </c>
      <c r="T69" s="22">
        <f t="shared" ref="T69" si="19">O69*S69</f>
        <v>0</v>
      </c>
      <c r="U69" s="22">
        <f>INDEX(cennik!$C$2:$L$529,MATCH($L69,cennik!$B$2:$B$522,0),MATCH(U$2,cennik!$C$1:$L$1,0))*O69</f>
        <v>0</v>
      </c>
      <c r="AN69" s="20" t="s">
        <v>211</v>
      </c>
      <c r="AO69" s="20">
        <v>0</v>
      </c>
      <c r="AP69" s="20">
        <v>2</v>
      </c>
      <c r="AQ69" s="20">
        <v>0</v>
      </c>
      <c r="AR69" s="20">
        <v>0</v>
      </c>
      <c r="AS69" s="20">
        <v>0</v>
      </c>
      <c r="AT69" s="20">
        <v>2</v>
      </c>
      <c r="AU69" s="20">
        <v>0</v>
      </c>
      <c r="AV69" s="20">
        <v>0</v>
      </c>
      <c r="AW69" s="20">
        <v>0</v>
      </c>
      <c r="AX69" s="20">
        <v>0</v>
      </c>
      <c r="AY69" s="20">
        <v>0</v>
      </c>
      <c r="BH69" s="20" t="s">
        <v>293</v>
      </c>
      <c r="BI69" s="20">
        <v>0</v>
      </c>
      <c r="BJ69" s="20">
        <v>2</v>
      </c>
      <c r="BK69" s="20">
        <f t="shared" si="16"/>
        <v>0</v>
      </c>
      <c r="BL69" s="20">
        <v>0</v>
      </c>
      <c r="BM69" s="20">
        <v>0</v>
      </c>
      <c r="BN69" s="20">
        <v>0</v>
      </c>
      <c r="BO69" s="20">
        <v>0</v>
      </c>
      <c r="BP69" s="20">
        <v>0</v>
      </c>
      <c r="BQ69" s="20">
        <v>0</v>
      </c>
      <c r="BR69" s="20">
        <v>0</v>
      </c>
      <c r="BS69" s="20">
        <v>0</v>
      </c>
    </row>
    <row r="70" spans="1:71" x14ac:dyDescent="0.25">
      <c r="T70" s="22">
        <f>SUM(T50:T69)</f>
        <v>0</v>
      </c>
      <c r="U70" s="22">
        <f>SUM(U50:U69)</f>
        <v>0</v>
      </c>
      <c r="AN70" s="20" t="s">
        <v>293</v>
      </c>
      <c r="AO70" s="20">
        <v>0</v>
      </c>
      <c r="AP70" s="20">
        <v>0</v>
      </c>
      <c r="AQ70" s="20">
        <v>0</v>
      </c>
      <c r="AR70" s="20">
        <v>0</v>
      </c>
      <c r="AS70" s="20">
        <v>0</v>
      </c>
      <c r="AT70" s="20">
        <v>0</v>
      </c>
      <c r="AU70" s="20">
        <v>0</v>
      </c>
      <c r="AV70" s="20">
        <v>0</v>
      </c>
      <c r="AW70" s="20">
        <v>0</v>
      </c>
      <c r="AX70" s="20">
        <v>0</v>
      </c>
      <c r="AY70" s="20">
        <v>0</v>
      </c>
      <c r="BH70" s="20" t="s">
        <v>10</v>
      </c>
      <c r="BI70" s="20">
        <v>0</v>
      </c>
      <c r="BJ70" s="20">
        <v>0</v>
      </c>
      <c r="BK70" s="20">
        <f t="shared" si="16"/>
        <v>0</v>
      </c>
      <c r="BL70" s="20">
        <v>2</v>
      </c>
      <c r="BM70" s="20">
        <v>0</v>
      </c>
      <c r="BN70" s="20">
        <v>2</v>
      </c>
      <c r="BO70" s="20">
        <v>0</v>
      </c>
      <c r="BP70" s="20">
        <v>0</v>
      </c>
      <c r="BQ70" s="20">
        <v>6</v>
      </c>
      <c r="BR70" s="20">
        <v>0</v>
      </c>
      <c r="BS70" s="20">
        <v>4</v>
      </c>
    </row>
    <row r="71" spans="1:71" x14ac:dyDescent="0.25">
      <c r="AN71" s="20" t="s">
        <v>10</v>
      </c>
      <c r="AO71" s="20">
        <v>0</v>
      </c>
      <c r="AP71" s="20">
        <v>0</v>
      </c>
      <c r="AQ71" s="20">
        <v>0</v>
      </c>
      <c r="AR71" s="20">
        <v>0</v>
      </c>
      <c r="AS71" s="20">
        <v>0</v>
      </c>
      <c r="AT71" s="20">
        <v>2</v>
      </c>
      <c r="AU71" s="20">
        <v>2</v>
      </c>
      <c r="AV71" s="20">
        <v>0</v>
      </c>
      <c r="AW71" s="20">
        <v>2</v>
      </c>
      <c r="AX71" s="20">
        <v>8</v>
      </c>
      <c r="AY71" s="20">
        <v>2</v>
      </c>
      <c r="BH71" s="20" t="s">
        <v>212</v>
      </c>
      <c r="BI71" s="20">
        <v>0</v>
      </c>
      <c r="BJ71" s="20">
        <v>0</v>
      </c>
      <c r="BK71" s="20">
        <f t="shared" si="16"/>
        <v>0</v>
      </c>
      <c r="BL71" s="20">
        <v>2</v>
      </c>
      <c r="BM71" s="20">
        <v>4</v>
      </c>
      <c r="BN71" s="20">
        <v>2</v>
      </c>
      <c r="BO71" s="20">
        <v>0</v>
      </c>
      <c r="BP71" s="20">
        <v>6</v>
      </c>
      <c r="BQ71" s="20">
        <v>0</v>
      </c>
      <c r="BR71" s="20">
        <v>2</v>
      </c>
      <c r="BS71" s="20">
        <v>4</v>
      </c>
    </row>
    <row r="72" spans="1:71" ht="51.75" x14ac:dyDescent="0.25">
      <c r="A72" s="3" t="s">
        <v>1021</v>
      </c>
      <c r="B72" s="6"/>
      <c r="C72" s="3"/>
      <c r="D72" s="4"/>
      <c r="E72" s="4"/>
      <c r="F72" s="4"/>
      <c r="G72" s="4"/>
      <c r="H72" s="4"/>
      <c r="I72" s="4"/>
      <c r="J72" s="4"/>
      <c r="K72" s="4"/>
      <c r="L72" s="360" t="s">
        <v>1020</v>
      </c>
      <c r="M72" s="360"/>
      <c r="N72" s="360"/>
      <c r="O72" s="360"/>
      <c r="P72" s="360"/>
      <c r="Q72" s="360"/>
      <c r="R72" s="360"/>
      <c r="S72" s="360"/>
      <c r="T72" s="360"/>
      <c r="U72" s="360"/>
      <c r="AN72" s="20" t="s">
        <v>212</v>
      </c>
      <c r="AO72" s="20">
        <v>0</v>
      </c>
      <c r="AP72" s="20">
        <v>0</v>
      </c>
      <c r="AQ72" s="20">
        <v>2</v>
      </c>
      <c r="AR72" s="20">
        <v>0</v>
      </c>
      <c r="AS72" s="20">
        <v>4</v>
      </c>
      <c r="AT72" s="20">
        <v>0</v>
      </c>
      <c r="AU72" s="20">
        <v>0</v>
      </c>
      <c r="AV72" s="20">
        <v>2</v>
      </c>
      <c r="AW72" s="20">
        <v>2</v>
      </c>
      <c r="AX72" s="20">
        <v>0</v>
      </c>
      <c r="AY72" s="20">
        <v>4</v>
      </c>
      <c r="BH72" s="20" t="s">
        <v>214</v>
      </c>
      <c r="BI72" s="20">
        <v>0</v>
      </c>
      <c r="BJ72" s="20">
        <v>0</v>
      </c>
      <c r="BK72" s="20">
        <f t="shared" si="16"/>
        <v>0</v>
      </c>
      <c r="BL72" s="20">
        <v>0</v>
      </c>
      <c r="BM72" s="20">
        <v>0</v>
      </c>
      <c r="BN72" s="20">
        <v>2</v>
      </c>
      <c r="BO72" s="20">
        <v>6</v>
      </c>
      <c r="BP72" s="20">
        <v>2</v>
      </c>
      <c r="BQ72" s="20">
        <v>4</v>
      </c>
      <c r="BR72" s="20">
        <v>8</v>
      </c>
      <c r="BS72" s="20">
        <v>4</v>
      </c>
    </row>
    <row r="73" spans="1:71" x14ac:dyDescent="0.25">
      <c r="A73" s="8">
        <v>0</v>
      </c>
      <c r="B73" s="6"/>
      <c r="C73" s="88"/>
      <c r="D73" s="4"/>
      <c r="E73" s="4"/>
      <c r="F73" s="4"/>
      <c r="G73" s="4"/>
      <c r="H73" s="4"/>
      <c r="I73" s="4"/>
      <c r="J73" s="4"/>
      <c r="K73" s="4"/>
      <c r="L73" s="5" t="s">
        <v>103</v>
      </c>
      <c r="M73" s="5" t="s">
        <v>104</v>
      </c>
      <c r="N73" s="5" t="s">
        <v>107</v>
      </c>
      <c r="O73" s="5" t="s">
        <v>290</v>
      </c>
      <c r="P73" s="5" t="s">
        <v>446</v>
      </c>
      <c r="Q73" s="5" t="s">
        <v>448</v>
      </c>
      <c r="R73" s="5" t="s">
        <v>409</v>
      </c>
      <c r="S73" s="5" t="s">
        <v>447</v>
      </c>
      <c r="T73" s="5" t="s">
        <v>449</v>
      </c>
      <c r="U73" s="5" t="s">
        <v>106</v>
      </c>
      <c r="AN73" s="20" t="s">
        <v>214</v>
      </c>
      <c r="AO73" s="20">
        <v>0</v>
      </c>
      <c r="AP73" s="20">
        <v>0</v>
      </c>
      <c r="AQ73" s="20">
        <v>0</v>
      </c>
      <c r="AR73" s="20">
        <v>2</v>
      </c>
      <c r="AS73" s="20">
        <v>0</v>
      </c>
      <c r="AT73" s="20">
        <v>2</v>
      </c>
      <c r="AU73" s="20">
        <v>4</v>
      </c>
      <c r="AV73" s="20">
        <v>4</v>
      </c>
      <c r="AW73" s="20">
        <v>4</v>
      </c>
      <c r="AX73" s="20">
        <v>2</v>
      </c>
      <c r="AY73" s="20">
        <v>4</v>
      </c>
      <c r="BH73" s="20" t="s">
        <v>11</v>
      </c>
      <c r="BI73" s="20">
        <v>0</v>
      </c>
      <c r="BJ73" s="20">
        <v>0</v>
      </c>
      <c r="BK73" s="20">
        <f t="shared" si="16"/>
        <v>0</v>
      </c>
      <c r="BL73" s="20">
        <v>2</v>
      </c>
      <c r="BM73" s="20">
        <v>4</v>
      </c>
      <c r="BN73" s="20">
        <v>4</v>
      </c>
      <c r="BO73" s="20">
        <v>6</v>
      </c>
      <c r="BP73" s="20">
        <v>6</v>
      </c>
      <c r="BQ73" s="20">
        <v>8</v>
      </c>
      <c r="BR73" s="20">
        <v>8</v>
      </c>
      <c r="BS73" s="20">
        <v>10</v>
      </c>
    </row>
    <row r="74" spans="1:71" x14ac:dyDescent="0.25">
      <c r="A74" s="88"/>
      <c r="B74" s="6"/>
      <c r="C74" s="88"/>
      <c r="D74" s="6" t="s">
        <v>118</v>
      </c>
      <c r="E74" s="8" t="s">
        <v>137</v>
      </c>
      <c r="F74" s="5" t="s">
        <v>116</v>
      </c>
      <c r="G74" s="8" t="s">
        <v>114</v>
      </c>
      <c r="H74" s="5" t="s">
        <v>116</v>
      </c>
      <c r="I74" s="8">
        <v>35</v>
      </c>
      <c r="J74" s="5" t="s">
        <v>119</v>
      </c>
      <c r="K74" s="4"/>
      <c r="L74" s="6" t="s">
        <v>1018</v>
      </c>
      <c r="M74" s="14">
        <f>INDEX(cennik!$C$2:$L$529,MATCH($L74,cennik!$B$2:$B$522,0),MATCH(M$2,cennik!$C$1:$L$1,0))</f>
        <v>894613</v>
      </c>
      <c r="N74" s="14" t="str">
        <f>INDEX(cennik!$C$2:$L$529,MATCH($L74,cennik!$B$2:$B$522,0),MATCH(N$2,cennik!$C$1:$L$1,0))</f>
        <v>szt.</v>
      </c>
      <c r="O74" s="14">
        <f>$A$73*Z74</f>
        <v>0</v>
      </c>
      <c r="P74" s="22">
        <f>INDEX(cennik!$C$2:$L$529,MATCH($L74,cennik!$B$2:$B$522,0),MATCH(P$2,cennik!$C$1:$L$1,0))</f>
        <v>41.6</v>
      </c>
      <c r="Q74" s="22">
        <f>O74*P74</f>
        <v>0</v>
      </c>
      <c r="R74" s="23">
        <f>$E$76</f>
        <v>10</v>
      </c>
      <c r="S74" s="22">
        <f>P74*((100-$E$76)/100)</f>
        <v>37.440000000000005</v>
      </c>
      <c r="T74" s="22">
        <f>O74*S74</f>
        <v>0</v>
      </c>
      <c r="U74" s="22">
        <f>INDEX(cennik!$C$2:$L$529,MATCH($L74,cennik!$B$2:$B$522,0),MATCH(U$2,cennik!$C$1:$L$1,0))*O74</f>
        <v>0</v>
      </c>
      <c r="Z74" s="21">
        <f>IF($E$74=$AL$22,AF74,IF($E$74=$AL$23,AF74,IF($E$74=$AL$24,AF74,IF($E$74=$AL$25,AF74,IF($E$74=$AL$26,AF74,IF($E$74=$AL$27,AF74,IF($E$74=$AL$28,AF74,IF($E$74=$AL$29,AF74,IF($E$74=$AL$30,AG74,IF($E$74=$AL$31,AG74,IF($E$74=$AL$32,AG74,IF($E$74=$AL$33,AG74,IF($E$74=$AL$34,AG74,IF($E$74=$AL$35,AG74,0))))))))))))))</f>
        <v>6</v>
      </c>
      <c r="AE74" s="90" t="s">
        <v>1018</v>
      </c>
      <c r="AF74" s="91">
        <v>4</v>
      </c>
      <c r="AG74" s="91">
        <v>6</v>
      </c>
      <c r="AN74" s="20" t="s">
        <v>11</v>
      </c>
      <c r="AO74" s="20">
        <v>0</v>
      </c>
      <c r="AP74" s="20">
        <v>0</v>
      </c>
      <c r="AQ74" s="20">
        <v>0</v>
      </c>
      <c r="AR74" s="20">
        <v>2</v>
      </c>
      <c r="AS74" s="20">
        <v>2</v>
      </c>
      <c r="AT74" s="20">
        <v>4</v>
      </c>
      <c r="AU74" s="20">
        <v>4</v>
      </c>
      <c r="AV74" s="20">
        <v>6</v>
      </c>
      <c r="AW74" s="20">
        <v>6</v>
      </c>
      <c r="AX74" s="20">
        <v>8</v>
      </c>
      <c r="AY74" s="20">
        <v>8</v>
      </c>
    </row>
    <row r="75" spans="1:71" x14ac:dyDescent="0.25">
      <c r="A75" s="88"/>
      <c r="B75" s="6"/>
      <c r="C75" s="88"/>
      <c r="D75" s="6" t="s">
        <v>124</v>
      </c>
      <c r="E75" s="8" t="s">
        <v>125</v>
      </c>
      <c r="F75" s="5"/>
      <c r="G75" s="5"/>
      <c r="H75" s="5"/>
      <c r="I75" s="5"/>
      <c r="J75" s="5"/>
      <c r="K75" s="4"/>
      <c r="L75" s="6" t="s">
        <v>991</v>
      </c>
      <c r="M75" s="14">
        <f>INDEX(cennik!$C$2:$L$529,MATCH($L75,cennik!$B$2:$B$522,0),MATCH(M$2,cennik!$C$1:$L$1,0))</f>
        <v>894504</v>
      </c>
      <c r="N75" s="14" t="str">
        <f>INDEX(cennik!$C$2:$L$529,MATCH($L75,cennik!$B$2:$B$522,0),MATCH(N$2,cennik!$C$1:$L$1,0))</f>
        <v>szt.</v>
      </c>
      <c r="O75" s="14">
        <f t="shared" ref="O75:O87" si="20">$A$73*Z75</f>
        <v>0</v>
      </c>
      <c r="P75" s="22">
        <f>INDEX(cennik!$C$2:$L$529,MATCH($L75,cennik!$B$2:$B$522,0),MATCH(P$2,cennik!$C$1:$L$1,0))</f>
        <v>12.8</v>
      </c>
      <c r="Q75" s="22">
        <f t="shared" ref="Q75:Q82" si="21">O75*P75</f>
        <v>0</v>
      </c>
      <c r="R75" s="23">
        <f t="shared" ref="R75:R87" si="22">$E$76</f>
        <v>10</v>
      </c>
      <c r="S75" s="22">
        <f t="shared" ref="S75:S87" si="23">P75*((100-$E$76)/100)</f>
        <v>11.520000000000001</v>
      </c>
      <c r="T75" s="22">
        <f t="shared" ref="T75:T82" si="24">O75*S75</f>
        <v>0</v>
      </c>
      <c r="U75" s="22">
        <f>INDEX(cennik!$C$2:$L$529,MATCH($L75,cennik!$B$2:$B$522,0),MATCH(U$2,cennik!$C$1:$L$1,0))*O75</f>
        <v>0</v>
      </c>
      <c r="Z75" s="21">
        <f t="shared" ref="Z75:Z87" si="25">IF($E$74=$AL$22,AF75,IF($E$74=$AL$23,AF75,IF($E$74=$AL$24,AF75,IF($E$74=$AL$25,AF75,IF($E$74=$AL$26,AF75,IF($E$74=$AL$27,AF75,IF($E$74=$AL$28,AF75,IF($E$74=$AL$29,AF75,IF($E$74=$AL$30,AG75,IF($E$74=$AL$31,AG75,IF($E$74=$AL$32,AG75,IF($E$74=$AL$33,AG75,IF($E$74=$AL$34,AG75,IF($E$74=$AL$35,AG75,0))))))))))))))</f>
        <v>3</v>
      </c>
      <c r="AE75" s="90" t="s">
        <v>991</v>
      </c>
      <c r="AF75" s="91">
        <v>2</v>
      </c>
      <c r="AG75" s="91">
        <v>3</v>
      </c>
    </row>
    <row r="76" spans="1:71" x14ac:dyDescent="0.25">
      <c r="A76" s="88"/>
      <c r="B76" s="6"/>
      <c r="C76" s="88"/>
      <c r="D76" s="6" t="s">
        <v>162</v>
      </c>
      <c r="E76" s="8">
        <v>10</v>
      </c>
      <c r="F76" s="5"/>
      <c r="G76" s="5"/>
      <c r="H76" s="5"/>
      <c r="I76" s="5"/>
      <c r="J76" s="5" t="s">
        <v>163</v>
      </c>
      <c r="K76" s="4"/>
      <c r="L76" s="6" t="s">
        <v>984</v>
      </c>
      <c r="M76" s="14">
        <f>INDEX(cennik!$C$2:$L$529,MATCH($L76,cennik!$B$2:$B$522,0),MATCH(M$2,cennik!$C$1:$L$1,0))</f>
        <v>890118</v>
      </c>
      <c r="N76" s="14" t="str">
        <f>INDEX(cennik!$C$2:$L$529,MATCH($L76,cennik!$B$2:$B$522,0),MATCH(N$2,cennik!$C$1:$L$1,0))</f>
        <v>szt.</v>
      </c>
      <c r="O76" s="14">
        <f t="shared" si="20"/>
        <v>0</v>
      </c>
      <c r="P76" s="22">
        <f>INDEX(cennik!$C$2:$L$529,MATCH($L76,cennik!$B$2:$B$522,0),MATCH(P$2,cennik!$C$1:$L$1,0))</f>
        <v>15.01</v>
      </c>
      <c r="Q76" s="22">
        <f t="shared" si="21"/>
        <v>0</v>
      </c>
      <c r="R76" s="23">
        <f t="shared" si="22"/>
        <v>10</v>
      </c>
      <c r="S76" s="22">
        <f t="shared" si="23"/>
        <v>13.509</v>
      </c>
      <c r="T76" s="22">
        <f t="shared" si="24"/>
        <v>0</v>
      </c>
      <c r="U76" s="22">
        <f>INDEX(cennik!$C$2:$L$529,MATCH($L76,cennik!$B$2:$B$522,0),MATCH(U$2,cennik!$C$1:$L$1,0))*O76</f>
        <v>0</v>
      </c>
      <c r="Z76" s="21">
        <f t="shared" si="25"/>
        <v>6</v>
      </c>
      <c r="AE76" s="90" t="s">
        <v>984</v>
      </c>
      <c r="AF76" s="91">
        <v>4</v>
      </c>
      <c r="AG76" s="91">
        <v>6</v>
      </c>
    </row>
    <row r="77" spans="1:71" x14ac:dyDescent="0.25">
      <c r="A77" s="88"/>
      <c r="B77" s="6"/>
      <c r="C77" s="88"/>
      <c r="D77" s="6"/>
      <c r="E77" s="5"/>
      <c r="F77" s="5"/>
      <c r="G77" s="5"/>
      <c r="H77" s="5"/>
      <c r="I77" s="5"/>
      <c r="J77" s="5"/>
      <c r="K77" s="4"/>
      <c r="L77" s="6" t="s">
        <v>986</v>
      </c>
      <c r="M77" s="14">
        <f>INDEX(cennik!$C$2:$L$529,MATCH($L77,cennik!$B$2:$B$522,0),MATCH(M$2,cennik!$C$1:$L$1,0))</f>
        <v>890218</v>
      </c>
      <c r="N77" s="14" t="str">
        <f>INDEX(cennik!$C$2:$L$529,MATCH($L77,cennik!$B$2:$B$522,0),MATCH(N$2,cennik!$C$1:$L$1,0))</f>
        <v>szt.</v>
      </c>
      <c r="O77" s="14">
        <f t="shared" si="20"/>
        <v>0</v>
      </c>
      <c r="P77" s="22">
        <f>INDEX(cennik!$C$2:$L$529,MATCH($L77,cennik!$B$2:$B$522,0),MATCH(P$2,cennik!$C$1:$L$1,0))</f>
        <v>6.14</v>
      </c>
      <c r="Q77" s="22">
        <f t="shared" si="21"/>
        <v>0</v>
      </c>
      <c r="R77" s="23">
        <f t="shared" si="22"/>
        <v>10</v>
      </c>
      <c r="S77" s="22">
        <f t="shared" si="23"/>
        <v>5.5259999999999998</v>
      </c>
      <c r="T77" s="22">
        <f t="shared" si="24"/>
        <v>0</v>
      </c>
      <c r="U77" s="22">
        <f>INDEX(cennik!$C$2:$L$529,MATCH($L77,cennik!$B$2:$B$522,0),MATCH(U$2,cennik!$C$1:$L$1,0))*O77</f>
        <v>0</v>
      </c>
      <c r="Z77" s="21">
        <f t="shared" si="25"/>
        <v>3</v>
      </c>
      <c r="AE77" s="90" t="s">
        <v>986</v>
      </c>
      <c r="AF77" s="91">
        <v>2</v>
      </c>
      <c r="AG77" s="91">
        <v>3</v>
      </c>
    </row>
    <row r="78" spans="1:71" x14ac:dyDescent="0.25">
      <c r="A78" s="88"/>
      <c r="B78" s="6"/>
      <c r="C78" s="88"/>
      <c r="D78" s="6"/>
      <c r="E78" s="5"/>
      <c r="F78" s="5"/>
      <c r="G78" s="5"/>
      <c r="H78" s="5"/>
      <c r="I78" s="5"/>
      <c r="J78" s="5"/>
      <c r="K78" s="4"/>
      <c r="L78" s="6" t="s">
        <v>1092</v>
      </c>
      <c r="M78" s="14">
        <f>INDEX(cennik!$C$2:$L$529,MATCH($L78,cennik!$B$2:$B$522,0),MATCH(M$2,cennik!$C$1:$L$1,0))</f>
        <v>890222</v>
      </c>
      <c r="N78" s="14" t="str">
        <f>INDEX(cennik!$C$2:$L$529,MATCH($L78,cennik!$B$2:$B$522,0),MATCH(N$2,cennik!$C$1:$L$1,0))</f>
        <v>szt.</v>
      </c>
      <c r="O78" s="14">
        <f t="shared" si="20"/>
        <v>0</v>
      </c>
      <c r="P78" s="22">
        <f>INDEX(cennik!$C$2:$L$529,MATCH($L78,cennik!$B$2:$B$522,0),MATCH(P$2,cennik!$C$1:$L$1,0))</f>
        <v>28.92</v>
      </c>
      <c r="Q78" s="22">
        <f t="shared" si="21"/>
        <v>0</v>
      </c>
      <c r="R78" s="23">
        <f t="shared" si="22"/>
        <v>10</v>
      </c>
      <c r="S78" s="22">
        <f t="shared" si="23"/>
        <v>26.028000000000002</v>
      </c>
      <c r="T78" s="22">
        <f t="shared" si="24"/>
        <v>0</v>
      </c>
      <c r="U78" s="22">
        <f>INDEX(cennik!$C$2:$L$529,MATCH($L78,cennik!$B$2:$B$522,0),MATCH(U$2,cennik!$C$1:$L$1,0))*O78</f>
        <v>0</v>
      </c>
      <c r="Z78" s="21">
        <f t="shared" si="25"/>
        <v>6</v>
      </c>
      <c r="AE78" s="90" t="s">
        <v>1092</v>
      </c>
      <c r="AF78" s="91">
        <v>4</v>
      </c>
      <c r="AG78" s="91">
        <v>6</v>
      </c>
    </row>
    <row r="79" spans="1:71" x14ac:dyDescent="0.25">
      <c r="A79" s="88"/>
      <c r="B79" s="6"/>
      <c r="C79" s="88"/>
      <c r="D79" s="6"/>
      <c r="E79" s="5"/>
      <c r="F79" s="5"/>
      <c r="G79" s="5"/>
      <c r="H79" s="5"/>
      <c r="I79" s="5"/>
      <c r="J79" s="5"/>
      <c r="K79" s="4"/>
      <c r="L79" s="6" t="s">
        <v>1428</v>
      </c>
      <c r="M79" s="14">
        <f>INDEX(cennik!$C$2:$L$529,MATCH($L79,cennik!$B$2:$B$522,0),MATCH(M$2,cennik!$C$1:$L$1,0))</f>
        <v>99998201</v>
      </c>
      <c r="N79" s="14" t="str">
        <f>INDEX(cennik!$C$2:$L$529,MATCH($L79,cennik!$B$2:$B$522,0),MATCH(N$2,cennik!$C$1:$L$1,0))</f>
        <v>100 szt.</v>
      </c>
      <c r="O79" s="14">
        <f>ROUNDUP((($A$73*Z79)/100),0)</f>
        <v>0</v>
      </c>
      <c r="P79" s="22">
        <f>INDEX(cennik!$C$2:$L$529,MATCH($L79,cennik!$B$2:$B$522,0),MATCH(P$2,cennik!$C$1:$L$1,0))</f>
        <v>35.43</v>
      </c>
      <c r="Q79" s="22">
        <f t="shared" si="21"/>
        <v>0</v>
      </c>
      <c r="R79" s="23">
        <f t="shared" si="22"/>
        <v>10</v>
      </c>
      <c r="S79" s="22">
        <f t="shared" si="23"/>
        <v>31.887</v>
      </c>
      <c r="T79" s="22">
        <f t="shared" si="24"/>
        <v>0</v>
      </c>
      <c r="U79" s="22">
        <f>INDEX(cennik!$C$2:$L$529,MATCH($L79,cennik!$B$2:$B$522,0),MATCH(U$2,cennik!$C$1:$L$1,0))*O79</f>
        <v>0</v>
      </c>
      <c r="Z79" s="21">
        <f t="shared" si="25"/>
        <v>6</v>
      </c>
      <c r="AE79" s="90" t="s">
        <v>1147</v>
      </c>
      <c r="AF79" s="91">
        <v>4</v>
      </c>
      <c r="AG79" s="91">
        <v>6</v>
      </c>
    </row>
    <row r="80" spans="1:71" x14ac:dyDescent="0.25">
      <c r="A80" s="88"/>
      <c r="B80" s="6"/>
      <c r="C80" s="88"/>
      <c r="D80" s="6"/>
      <c r="E80" s="4"/>
      <c r="F80" s="5"/>
      <c r="G80" s="5"/>
      <c r="H80" s="5"/>
      <c r="I80" s="5"/>
      <c r="K80" s="4"/>
      <c r="L80" s="6" t="s">
        <v>67</v>
      </c>
      <c r="M80" s="14">
        <f>INDEX(cennik!$C$2:$L$529,MATCH($L80,cennik!$B$2:$B$522,0),MATCH(M$2,cennik!$C$1:$L$1,0))</f>
        <v>890008</v>
      </c>
      <c r="N80" s="14" t="str">
        <f>INDEX(cennik!$C$2:$L$529,MATCH($L80,cennik!$B$2:$B$522,0),MATCH(N$2,cennik!$C$1:$L$1,0))</f>
        <v>100 szt.</v>
      </c>
      <c r="O80" s="14">
        <f>ROUNDUP((($A$73*Z80)/100),0)</f>
        <v>0</v>
      </c>
      <c r="P80" s="22">
        <f>INDEX(cennik!$C$2:$L$529,MATCH($L80,cennik!$B$2:$B$522,0),MATCH(P$2,cennik!$C$1:$L$1,0))</f>
        <v>28.15</v>
      </c>
      <c r="Q80" s="22">
        <f t="shared" si="21"/>
        <v>0</v>
      </c>
      <c r="R80" s="23">
        <f t="shared" si="22"/>
        <v>10</v>
      </c>
      <c r="S80" s="22">
        <f t="shared" si="23"/>
        <v>25.335000000000001</v>
      </c>
      <c r="T80" s="22">
        <f t="shared" si="24"/>
        <v>0</v>
      </c>
      <c r="U80" s="22">
        <f>INDEX(cennik!$C$2:$L$529,MATCH($L80,cennik!$B$2:$B$522,0),MATCH(U$2,cennik!$C$1:$L$1,0))*O80</f>
        <v>0</v>
      </c>
      <c r="Z80" s="21">
        <f t="shared" si="25"/>
        <v>6</v>
      </c>
      <c r="AE80" s="90" t="s">
        <v>67</v>
      </c>
      <c r="AF80" s="91">
        <v>4</v>
      </c>
      <c r="AG80" s="91">
        <v>6</v>
      </c>
    </row>
    <row r="81" spans="1:33" x14ac:dyDescent="0.25">
      <c r="A81" s="88"/>
      <c r="B81" s="6"/>
      <c r="C81" s="88"/>
      <c r="E81" s="4"/>
      <c r="F81" s="4"/>
      <c r="G81" s="4"/>
      <c r="H81" s="4"/>
      <c r="I81" s="4"/>
      <c r="K81" s="4"/>
      <c r="L81" s="6" t="s">
        <v>360</v>
      </c>
      <c r="M81" s="14">
        <f>INDEX(cennik!$C$2:$L$529,MATCH($L81,cennik!$B$2:$B$522,0),MATCH(M$2,cennik!$C$1:$L$1,0))</f>
        <v>991020</v>
      </c>
      <c r="N81" s="14" t="str">
        <f>INDEX(cennik!$C$2:$L$529,MATCH($L81,cennik!$B$2:$B$522,0),MATCH(N$2,cennik!$C$1:$L$1,0))</f>
        <v>100 szt.</v>
      </c>
      <c r="O81" s="14">
        <f>ROUNDUP((($A$73*Z81)/100),0)</f>
        <v>0</v>
      </c>
      <c r="P81" s="22">
        <f>INDEX(cennik!$C$2:$L$529,MATCH($L81,cennik!$B$2:$B$522,0),MATCH(P$2,cennik!$C$1:$L$1,0))</f>
        <v>69.75</v>
      </c>
      <c r="Q81" s="22">
        <f t="shared" si="21"/>
        <v>0</v>
      </c>
      <c r="R81" s="23">
        <f t="shared" si="22"/>
        <v>10</v>
      </c>
      <c r="S81" s="22">
        <f t="shared" si="23"/>
        <v>62.774999999999999</v>
      </c>
      <c r="T81" s="22">
        <f t="shared" si="24"/>
        <v>0</v>
      </c>
      <c r="U81" s="22">
        <f>INDEX(cennik!$C$2:$L$529,MATCH($L81,cennik!$B$2:$B$522,0),MATCH(U$2,cennik!$C$1:$L$1,0))*O81</f>
        <v>0</v>
      </c>
      <c r="Z81" s="21">
        <f t="shared" si="25"/>
        <v>18</v>
      </c>
      <c r="AE81" s="90" t="s">
        <v>360</v>
      </c>
      <c r="AF81" s="91">
        <v>12</v>
      </c>
      <c r="AG81" s="91">
        <v>18</v>
      </c>
    </row>
    <row r="82" spans="1:33" x14ac:dyDescent="0.25">
      <c r="A82" s="88"/>
      <c r="B82" s="6"/>
      <c r="C82" s="88"/>
      <c r="D82" s="17"/>
      <c r="E82" s="4"/>
      <c r="F82" s="4"/>
      <c r="G82" s="4"/>
      <c r="H82" s="4"/>
      <c r="I82" s="4"/>
      <c r="J82" s="4"/>
      <c r="K82" s="4"/>
      <c r="L82" s="6" t="s">
        <v>65</v>
      </c>
      <c r="M82" s="14">
        <f>INDEX(cennik!$C$2:$L$529,MATCH($L82,cennik!$B$2:$B$522,0),MATCH(M$2,cennik!$C$1:$L$1,0))</f>
        <v>890009</v>
      </c>
      <c r="N82" s="14" t="str">
        <f>INDEX(cennik!$C$2:$L$529,MATCH($L82,cennik!$B$2:$B$522,0),MATCH(N$2,cennik!$C$1:$L$1,0))</f>
        <v>100 szt.</v>
      </c>
      <c r="O82" s="14">
        <f>ROUNDUP((($A$73*Z82)/100),0)</f>
        <v>0</v>
      </c>
      <c r="P82" s="22">
        <f>INDEX(cennik!$C$2:$L$529,MATCH($L82,cennik!$B$2:$B$522,0),MATCH(P$2,cennik!$C$1:$L$1,0))</f>
        <v>46.15</v>
      </c>
      <c r="Q82" s="22">
        <f t="shared" si="21"/>
        <v>0</v>
      </c>
      <c r="R82" s="23">
        <f t="shared" si="22"/>
        <v>10</v>
      </c>
      <c r="S82" s="22">
        <f t="shared" si="23"/>
        <v>41.534999999999997</v>
      </c>
      <c r="T82" s="22">
        <f t="shared" si="24"/>
        <v>0</v>
      </c>
      <c r="U82" s="22">
        <f>INDEX(cennik!$C$2:$L$529,MATCH($L82,cennik!$B$2:$B$522,0),MATCH(U$2,cennik!$C$1:$L$1,0))*O82</f>
        <v>0</v>
      </c>
      <c r="Z82" s="21">
        <f t="shared" si="25"/>
        <v>18</v>
      </c>
      <c r="AE82" s="90" t="s">
        <v>65</v>
      </c>
      <c r="AF82" s="91">
        <v>12</v>
      </c>
      <c r="AG82" s="91">
        <v>18</v>
      </c>
    </row>
    <row r="83" spans="1:33" x14ac:dyDescent="0.25">
      <c r="A83" s="88"/>
      <c r="B83" s="6"/>
      <c r="C83" s="88"/>
      <c r="D83" s="17"/>
      <c r="E83" s="4"/>
      <c r="F83" s="4"/>
      <c r="G83" s="4"/>
      <c r="H83" s="4"/>
      <c r="I83" s="4"/>
      <c r="J83" s="4"/>
      <c r="K83" s="4"/>
      <c r="L83" s="6" t="s">
        <v>396</v>
      </c>
      <c r="M83" s="14">
        <f>INDEX(cennik!$C$2:$L$529,MATCH($L83,cennik!$B$2:$B$522,0),MATCH(M$2,cennik!$C$1:$L$1,0))</f>
        <v>890404</v>
      </c>
      <c r="N83" s="14" t="str">
        <f>INDEX(cennik!$C$2:$L$529,MATCH($L83,cennik!$B$2:$B$522,0),MATCH(N$2,cennik!$C$1:$L$1,0))</f>
        <v>szt.</v>
      </c>
      <c r="O83" s="14">
        <f t="shared" si="20"/>
        <v>0</v>
      </c>
      <c r="P83" s="22">
        <f>INDEX(cennik!$C$2:$L$529,MATCH($L83,cennik!$B$2:$B$522,0),MATCH(P$2,cennik!$C$1:$L$1,0))</f>
        <v>0.7</v>
      </c>
      <c r="Q83" s="22">
        <f t="shared" ref="Q83:Q87" si="26">O83*P83</f>
        <v>0</v>
      </c>
      <c r="R83" s="23">
        <f t="shared" si="22"/>
        <v>10</v>
      </c>
      <c r="S83" s="22">
        <f t="shared" si="23"/>
        <v>0.63</v>
      </c>
      <c r="T83" s="22">
        <f t="shared" ref="T83:T87" si="27">O83*S83</f>
        <v>0</v>
      </c>
      <c r="U83" s="22">
        <f>INDEX(cennik!$C$2:$L$529,MATCH($L83,cennik!$B$2:$B$522,0),MATCH(U$2,cennik!$C$1:$L$1,0))*O83</f>
        <v>0</v>
      </c>
      <c r="Z83" s="21">
        <f t="shared" si="25"/>
        <v>12</v>
      </c>
      <c r="AE83" s="90" t="s">
        <v>396</v>
      </c>
      <c r="AF83" s="91">
        <v>8</v>
      </c>
      <c r="AG83" s="91">
        <v>12</v>
      </c>
    </row>
    <row r="84" spans="1:33" x14ac:dyDescent="0.25">
      <c r="A84" s="88"/>
      <c r="B84" s="6"/>
      <c r="C84" s="88"/>
      <c r="D84" s="4"/>
      <c r="E84" s="4"/>
      <c r="F84" s="4"/>
      <c r="G84" s="4"/>
      <c r="H84" s="4"/>
      <c r="I84" s="4"/>
      <c r="J84" s="4"/>
      <c r="K84" s="4"/>
      <c r="L84" s="6" t="str">
        <f>INDEX(($AH$3:$AI$12),MATCH(I74,$AG$3:$AG$12,0),MATCH(E75,$AH$2:$AI$2,0))</f>
        <v>BUF35</v>
      </c>
      <c r="M84" s="14">
        <f>INDEX(cennik!$C$2:$L$529,MATCH($L84,cennik!$B$2:$B$522,0),MATCH(M$2,cennik!$C$1:$L$1,0))</f>
        <v>897335</v>
      </c>
      <c r="N84" s="14" t="str">
        <f>INDEX(cennik!$C$2:$L$529,MATCH($L84,cennik!$B$2:$B$522,0),MATCH(N$2,cennik!$C$1:$L$1,0))</f>
        <v>szt.</v>
      </c>
      <c r="O84" s="14">
        <f>$A$73*Z84</f>
        <v>0</v>
      </c>
      <c r="P84" s="22">
        <f>INDEX(cennik!$C$2:$L$529,MATCH($L84,cennik!$B$2:$B$522,0),MATCH(P$2,cennik!$C$1:$L$1,0))</f>
        <v>1.92</v>
      </c>
      <c r="Q84" s="22">
        <f t="shared" si="26"/>
        <v>0</v>
      </c>
      <c r="R84" s="23">
        <f t="shared" si="22"/>
        <v>10</v>
      </c>
      <c r="S84" s="22">
        <f t="shared" si="23"/>
        <v>1.728</v>
      </c>
      <c r="T84" s="22">
        <f t="shared" si="27"/>
        <v>0</v>
      </c>
      <c r="U84" s="22">
        <f>INDEX(cennik!$C$2:$L$529,MATCH($L84,cennik!$B$2:$B$522,0),MATCH(U$2,cennik!$C$1:$L$1,0))*O84</f>
        <v>0</v>
      </c>
      <c r="Z84" s="21">
        <f t="shared" si="25"/>
        <v>6</v>
      </c>
      <c r="AE84" s="90" t="s">
        <v>29</v>
      </c>
      <c r="AF84" s="91">
        <v>4</v>
      </c>
      <c r="AG84" s="91">
        <v>6</v>
      </c>
    </row>
    <row r="85" spans="1:33" x14ac:dyDescent="0.25">
      <c r="A85" s="88"/>
      <c r="B85" s="6"/>
      <c r="C85" s="88"/>
      <c r="D85" s="4"/>
      <c r="E85" s="4"/>
      <c r="F85" s="4"/>
      <c r="G85" s="4"/>
      <c r="H85" s="4"/>
      <c r="I85" s="4"/>
      <c r="J85" s="4"/>
      <c r="K85" s="4"/>
      <c r="L85" s="6" t="str">
        <f>INDEX(($AJ$3:$AJ$12),MATCH(I74,$AG$3:$AG$12,0),1)</f>
        <v>SAM8X30E</v>
      </c>
      <c r="M85" s="14">
        <f>INDEX(cennik!$C$2:$L$529,MATCH($L85,cennik!$B$2:$B$522,0),MATCH(M$2,cennik!$C$1:$L$1,0))</f>
        <v>898530</v>
      </c>
      <c r="N85" s="14" t="str">
        <f>INDEX(cennik!$C$2:$L$529,MATCH($L85,cennik!$B$2:$B$522,0),MATCH(N$2,cennik!$C$1:$L$1,0))</f>
        <v>szt.</v>
      </c>
      <c r="O85" s="14">
        <f t="shared" si="20"/>
        <v>0</v>
      </c>
      <c r="P85" s="22">
        <f>INDEX(cennik!$C$2:$L$529,MATCH($L85,cennik!$B$2:$B$522,0),MATCH(P$2,cennik!$C$1:$L$1,0))</f>
        <v>0.5</v>
      </c>
      <c r="Q85" s="22">
        <f t="shared" si="26"/>
        <v>0</v>
      </c>
      <c r="R85" s="23">
        <f t="shared" si="22"/>
        <v>10</v>
      </c>
      <c r="S85" s="22">
        <f t="shared" si="23"/>
        <v>0.45</v>
      </c>
      <c r="T85" s="22">
        <f t="shared" si="27"/>
        <v>0</v>
      </c>
      <c r="U85" s="22">
        <f>INDEX(cennik!$C$2:$L$529,MATCH($L85,cennik!$B$2:$B$522,0),MATCH(U$2,cennik!$C$1:$L$1,0))*O85</f>
        <v>0</v>
      </c>
      <c r="Z85" s="21">
        <f t="shared" si="25"/>
        <v>6</v>
      </c>
      <c r="AE85" s="90" t="s">
        <v>110</v>
      </c>
      <c r="AF85" s="91">
        <v>4</v>
      </c>
      <c r="AG85" s="91">
        <v>6</v>
      </c>
    </row>
    <row r="86" spans="1:33" x14ac:dyDescent="0.25">
      <c r="A86" s="88"/>
      <c r="B86" s="6"/>
      <c r="C86" s="88"/>
      <c r="D86" s="4"/>
      <c r="E86" s="4"/>
      <c r="F86" s="4"/>
      <c r="G86" s="4"/>
      <c r="H86" s="4"/>
      <c r="I86" s="4"/>
      <c r="J86" s="4"/>
      <c r="K86" s="4"/>
      <c r="L86" s="6" t="s">
        <v>1019</v>
      </c>
      <c r="M86" s="14">
        <f>INDEX(cennik!$C$2:$L$529,MATCH($L86,cennik!$B$2:$B$522,0),MATCH(M$2,cennik!$C$1:$L$1,0))</f>
        <v>166794</v>
      </c>
      <c r="N86" s="14" t="str">
        <f>INDEX(cennik!$C$2:$L$529,MATCH($L86,cennik!$B$2:$B$522,0),MATCH(N$2,cennik!$C$1:$L$1,0))</f>
        <v>100 szt.</v>
      </c>
      <c r="O86" s="14">
        <f>ROUNDUP((($A$73*Z86)/100),0)</f>
        <v>0</v>
      </c>
      <c r="P86" s="22">
        <f>INDEX(cennik!$C$2:$L$529,MATCH($L86,cennik!$B$2:$B$522,0),MATCH(P$2,cennik!$C$1:$L$1,0))</f>
        <v>3.95</v>
      </c>
      <c r="Q86" s="22">
        <f t="shared" si="26"/>
        <v>0</v>
      </c>
      <c r="R86" s="23">
        <f t="shared" si="22"/>
        <v>10</v>
      </c>
      <c r="S86" s="22">
        <f t="shared" si="23"/>
        <v>3.5550000000000002</v>
      </c>
      <c r="T86" s="22">
        <f t="shared" si="27"/>
        <v>0</v>
      </c>
      <c r="U86" s="22">
        <f>INDEX(cennik!$C$2:$L$529,MATCH($L86,cennik!$B$2:$B$522,0),MATCH(U$2,cennik!$C$1:$L$1,0))*O86</f>
        <v>0</v>
      </c>
      <c r="Z86" s="21">
        <f t="shared" si="25"/>
        <v>6</v>
      </c>
      <c r="AE86" s="90" t="s">
        <v>1019</v>
      </c>
      <c r="AF86" s="91">
        <v>4</v>
      </c>
      <c r="AG86" s="91">
        <v>6</v>
      </c>
    </row>
    <row r="87" spans="1:33" x14ac:dyDescent="0.25">
      <c r="A87" s="88"/>
      <c r="B87" s="6"/>
      <c r="C87" s="88"/>
      <c r="D87" s="4"/>
      <c r="E87" s="4"/>
      <c r="F87" s="4"/>
      <c r="G87" s="4"/>
      <c r="H87" s="4"/>
      <c r="I87" s="4"/>
      <c r="J87" s="4"/>
      <c r="K87" s="4"/>
      <c r="L87" s="15" t="s">
        <v>14</v>
      </c>
      <c r="M87" s="14">
        <f>INDEX(cennik!$C$2:$L$529,MATCH($L87,cennik!$B$2:$B$522,0),MATCH(M$2,cennik!$C$1:$L$1,0))</f>
        <v>600909</v>
      </c>
      <c r="N87" s="14" t="str">
        <f>INDEX(cennik!$C$2:$L$529,MATCH($L87,cennik!$B$2:$B$522,0),MATCH(N$2,cennik!$C$1:$L$1,0))</f>
        <v>szt.</v>
      </c>
      <c r="O87" s="14">
        <f t="shared" si="20"/>
        <v>0</v>
      </c>
      <c r="P87" s="22">
        <f>INDEX(cennik!$C$2:$L$529,MATCH($L87,cennik!$B$2:$B$522,0),MATCH(P$2,cennik!$C$1:$L$1,0))</f>
        <v>0.6</v>
      </c>
      <c r="Q87" s="22">
        <f t="shared" si="26"/>
        <v>0</v>
      </c>
      <c r="R87" s="23">
        <f t="shared" si="22"/>
        <v>10</v>
      </c>
      <c r="S87" s="22">
        <f t="shared" si="23"/>
        <v>0.54</v>
      </c>
      <c r="T87" s="22">
        <f t="shared" si="27"/>
        <v>0</v>
      </c>
      <c r="U87" s="22">
        <f>INDEX(cennik!$C$2:$L$529,MATCH($L87,cennik!$B$2:$B$522,0),MATCH(U$2,cennik!$C$1:$L$1,0))*O87</f>
        <v>0</v>
      </c>
      <c r="Z87" s="21">
        <f t="shared" si="25"/>
        <v>6</v>
      </c>
      <c r="AE87" s="90" t="s">
        <v>14</v>
      </c>
      <c r="AF87" s="91">
        <v>4</v>
      </c>
      <c r="AG87" s="91">
        <v>6</v>
      </c>
    </row>
    <row r="88" spans="1:33" x14ac:dyDescent="0.25">
      <c r="A88" s="88"/>
      <c r="B88" s="6"/>
      <c r="C88" s="88"/>
      <c r="F88" s="4"/>
      <c r="G88" s="4"/>
      <c r="H88" s="4"/>
      <c r="I88" s="4"/>
      <c r="J88" s="4"/>
      <c r="K88" s="4"/>
      <c r="T88" s="22">
        <f>SUM(T74:T87)</f>
        <v>0</v>
      </c>
      <c r="U88" s="22">
        <f>SUM(U74:U87)</f>
        <v>0</v>
      </c>
    </row>
    <row r="89" spans="1:33" x14ac:dyDescent="0.25">
      <c r="F89" s="4"/>
      <c r="G89" s="4"/>
      <c r="H89" s="4"/>
      <c r="I89" s="4"/>
      <c r="J89" s="4"/>
    </row>
    <row r="90" spans="1:33" x14ac:dyDescent="0.25"/>
    <row r="91" spans="1:33" x14ac:dyDescent="0.25"/>
    <row r="92" spans="1:33" x14ac:dyDescent="0.25"/>
    <row r="93" spans="1:33" x14ac:dyDescent="0.25"/>
    <row r="94" spans="1:33" x14ac:dyDescent="0.25"/>
  </sheetData>
  <sheetProtection algorithmName="SHA-512" hashValue="KZAHP9k2XiyylQl4zvwgq/FwHZqsv7G8O593EqmfXYfE03RESrgNSsUvAEyx7aRo63bqC+hDh1FH6VtDGm0wGQ==" saltValue="VSKw11gd8ZCJF6YMH5tcZQ==" spinCount="100000" sheet="1" objects="1" scenarios="1"/>
  <mergeCells count="4">
    <mergeCell ref="L1:U1"/>
    <mergeCell ref="L23:U23"/>
    <mergeCell ref="L48:U48"/>
    <mergeCell ref="L72:U72"/>
  </mergeCells>
  <conditionalFormatting sqref="Z2:AE2 W2">
    <cfRule type="duplicateValues" dxfId="2" priority="3"/>
  </conditionalFormatting>
  <conditionalFormatting sqref="Z24:AE24 W24">
    <cfRule type="duplicateValues" dxfId="1" priority="2"/>
  </conditionalFormatting>
  <conditionalFormatting sqref="Z49:AE49 W49">
    <cfRule type="duplicateValues" dxfId="0" priority="1"/>
  </conditionalFormatting>
  <dataValidations count="13">
    <dataValidation type="whole" allowBlank="1" showInputMessage="1" showErrorMessage="1" sqref="E7 E29 E55 E79" xr:uid="{00000000-0002-0000-0500-000000000000}">
      <formula1>0</formula1>
      <formula2>5000</formula2>
    </dataValidation>
    <dataValidation type="custom" showInputMessage="1" showErrorMessage="1" error="W pierwszej kolejności należy uzupełnić ilość modułów w rzędzie" sqref="C2:C17 C24:C39 C49:C64" xr:uid="{00000000-0002-0000-0500-000001000000}">
      <formula1>A2&gt;0</formula1>
    </dataValidation>
    <dataValidation type="list" allowBlank="1" showInputMessage="1" showErrorMessage="1" sqref="A2:A17 A24:A39 A49:A64 A73" xr:uid="{00000000-0002-0000-0500-000002000000}">
      <formula1>$BB$4:$BB$14</formula1>
    </dataValidation>
    <dataValidation type="list" allowBlank="1" showInputMessage="1" showErrorMessage="1" sqref="E3 E25 E50" xr:uid="{00000000-0002-0000-0500-000003000000}">
      <formula1>$AL$22:$AL$26</formula1>
    </dataValidation>
    <dataValidation type="list" allowBlank="1" showInputMessage="1" showErrorMessage="1" sqref="E26 E5 E51 E75" xr:uid="{00000000-0002-0000-0500-000004000000}">
      <formula1>$AH$2:$AI$2</formula1>
    </dataValidation>
    <dataValidation type="list" allowBlank="1" showInputMessage="1" showErrorMessage="1" sqref="E4" xr:uid="{00000000-0002-0000-0500-000005000000}">
      <formula1>$AI$17:$AI$18</formula1>
    </dataValidation>
    <dataValidation type="list" allowBlank="1" showInputMessage="1" showErrorMessage="1" sqref="G3 G25 G50 G74" xr:uid="{00000000-0002-0000-0500-000006000000}">
      <formula1>$AL$18:$AL$21</formula1>
    </dataValidation>
    <dataValidation type="list" allowBlank="1" showInputMessage="1" showErrorMessage="1" sqref="E53" xr:uid="{00000000-0002-0000-0500-000007000000}">
      <formula1>$AH$53:$AH$66</formula1>
    </dataValidation>
    <dataValidation type="whole" allowBlank="1" showInputMessage="1" showErrorMessage="1" sqref="E54 E78" xr:uid="{00000000-0002-0000-0500-000008000000}">
      <formula1>0</formula1>
      <formula2>1000</formula2>
    </dataValidation>
    <dataValidation type="list" allowBlank="1" showInputMessage="1" showErrorMessage="1" sqref="I3 I50 I25 I74" xr:uid="{00000000-0002-0000-0500-000009000000}">
      <formula1>$BB$16:$BB$23</formula1>
    </dataValidation>
    <dataValidation type="list" allowBlank="1" showInputMessage="1" showErrorMessage="1" sqref="E28" xr:uid="{00000000-0002-0000-0500-00000A000000}">
      <formula1>$BB$25:$BB$26</formula1>
    </dataValidation>
    <dataValidation showInputMessage="1" showErrorMessage="1" error="W pierwszej kolejności należy uzupełnić ilość modułów w rzędzie" sqref="B72:C88" xr:uid="{F3FC4AD9-3855-4FD7-90FC-4EC5E7BCFAD5}"/>
    <dataValidation type="list" allowBlank="1" showInputMessage="1" showErrorMessage="1" sqref="E74" xr:uid="{EBBF0DF7-6B28-4932-B640-D17C488BEBDD}">
      <formula1>$AL$22:$AL$35</formula1>
    </dataValidation>
  </dataValidations>
  <hyperlinks>
    <hyperlink ref="D12" r:id="rId1" xr:uid="{A49857CC-A71F-4ED0-85B1-16326FA326BE}"/>
    <hyperlink ref="D34" r:id="rId2" xr:uid="{06BF0890-DC8C-4297-A1F4-8ACF7BB106C4}"/>
  </hyperlinks>
  <pageMargins left="0.7" right="0.7" top="0.75" bottom="0.75" header="0.3" footer="0.3"/>
  <pageSetup paperSize="9" orientation="portrait" r:id="rId3"/>
  <drawing r:id="rId4"/>
  <legacyDrawing r:id="rId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246769-0196-494B-B677-270178A955CC}">
  <sheetPr codeName="Arkusz10"/>
  <dimension ref="A1:AX64"/>
  <sheetViews>
    <sheetView showGridLines="0" zoomScale="70" zoomScaleNormal="70" workbookViewId="0">
      <selection activeCell="A2" sqref="A2"/>
    </sheetView>
  </sheetViews>
  <sheetFormatPr defaultColWidth="0" defaultRowHeight="15" zeroHeight="1" x14ac:dyDescent="0.25"/>
  <cols>
    <col min="1" max="1" width="11.42578125" style="1" customWidth="1"/>
    <col min="2" max="2" width="2.85546875" style="1" customWidth="1"/>
    <col min="3" max="3" width="9.140625" style="1" customWidth="1"/>
    <col min="4" max="4" width="15.7109375" style="1" customWidth="1"/>
    <col min="5" max="5" width="14.7109375" style="1" bestFit="1" customWidth="1"/>
    <col min="6" max="6" width="1.85546875" style="1" bestFit="1" customWidth="1"/>
    <col min="7" max="7" width="5.28515625" style="1" bestFit="1" customWidth="1"/>
    <col min="8" max="8" width="9.140625" style="1" customWidth="1"/>
    <col min="9" max="9" width="9.28515625" style="1" customWidth="1"/>
    <col min="10" max="11" width="6.7109375" style="1" customWidth="1"/>
    <col min="12" max="12" width="12.28515625" style="1" bestFit="1" customWidth="1"/>
    <col min="13" max="13" width="12.28515625" style="1" customWidth="1"/>
    <col min="14" max="14" width="14.7109375" style="1" bestFit="1" customWidth="1"/>
    <col min="15" max="15" width="9.140625" style="1" customWidth="1"/>
    <col min="16" max="16" width="20.7109375" style="1" bestFit="1" customWidth="1"/>
    <col min="17" max="17" width="23.42578125" style="1" bestFit="1" customWidth="1"/>
    <col min="18" max="18" width="13.5703125" style="1" bestFit="1" customWidth="1"/>
    <col min="19" max="28" width="9.140625" style="87" customWidth="1"/>
    <col min="29" max="29" width="21" style="87" customWidth="1"/>
    <col min="30" max="31" width="9.140625" style="87" customWidth="1"/>
    <col min="32" max="32" width="9.140625" style="323" customWidth="1"/>
    <col min="33" max="35" width="9.140625" style="323" hidden="1" customWidth="1"/>
    <col min="36" max="36" width="23.28515625" style="323" hidden="1" customWidth="1"/>
    <col min="37" max="37" width="9.140625" style="323" hidden="1" customWidth="1"/>
    <col min="38" max="38" width="10.85546875" style="323" hidden="1" customWidth="1"/>
    <col min="39" max="39" width="10.5703125" style="323" hidden="1" customWidth="1"/>
    <col min="40" max="46" width="9.140625" style="323" hidden="1" customWidth="1"/>
    <col min="47" max="47" width="23.28515625" style="323" hidden="1" customWidth="1"/>
    <col min="48" max="16384" width="9.140625" style="323" hidden="1"/>
  </cols>
  <sheetData>
    <row r="1" spans="1:50" ht="52.5" thickBot="1" x14ac:dyDescent="0.3">
      <c r="A1" s="3" t="s">
        <v>1153</v>
      </c>
      <c r="B1" s="3"/>
      <c r="C1" s="3" t="s">
        <v>121</v>
      </c>
      <c r="D1" s="4"/>
      <c r="E1" s="4"/>
      <c r="F1" s="4"/>
      <c r="G1" s="4"/>
      <c r="I1" s="360" t="s">
        <v>1154</v>
      </c>
      <c r="J1" s="360"/>
      <c r="K1" s="360"/>
      <c r="L1" s="360"/>
      <c r="M1" s="360"/>
      <c r="N1" s="360"/>
      <c r="O1" s="360"/>
      <c r="P1" s="360"/>
      <c r="Q1" s="360"/>
      <c r="R1" s="360"/>
      <c r="S1" s="15"/>
      <c r="T1" s="15"/>
      <c r="U1" s="15"/>
      <c r="V1" s="15"/>
    </row>
    <row r="2" spans="1:50" x14ac:dyDescent="0.25">
      <c r="A2" s="8"/>
      <c r="B2" s="5" t="s">
        <v>116</v>
      </c>
      <c r="C2" s="8"/>
      <c r="D2" s="4"/>
      <c r="E2" s="4"/>
      <c r="F2" s="4"/>
      <c r="G2" s="4"/>
      <c r="I2" s="5" t="s">
        <v>103</v>
      </c>
      <c r="J2" s="5" t="s">
        <v>290</v>
      </c>
      <c r="K2" s="5" t="s">
        <v>107</v>
      </c>
      <c r="L2" s="5" t="s">
        <v>104</v>
      </c>
      <c r="M2" s="5" t="s">
        <v>446</v>
      </c>
      <c r="N2" s="5" t="s">
        <v>448</v>
      </c>
      <c r="O2" s="5" t="s">
        <v>409</v>
      </c>
      <c r="P2" s="5" t="s">
        <v>447</v>
      </c>
      <c r="Q2" s="5" t="s">
        <v>449</v>
      </c>
      <c r="R2" s="5" t="s">
        <v>106</v>
      </c>
      <c r="AJ2" s="324" t="s">
        <v>1161</v>
      </c>
      <c r="AK2" s="325" t="s">
        <v>1162</v>
      </c>
      <c r="AL2" s="325" t="s">
        <v>1163</v>
      </c>
      <c r="AM2" s="326" t="s">
        <v>1164</v>
      </c>
      <c r="AP2" s="327" t="s">
        <v>1165</v>
      </c>
      <c r="AQ2" s="328" t="s">
        <v>1166</v>
      </c>
      <c r="AR2" s="329" t="s">
        <v>1167</v>
      </c>
      <c r="AS2" s="329" t="s">
        <v>1168</v>
      </c>
      <c r="AU2" s="324" t="s">
        <v>1161</v>
      </c>
      <c r="AV2" s="325" t="s">
        <v>1162</v>
      </c>
      <c r="AW2" s="325" t="s">
        <v>1163</v>
      </c>
      <c r="AX2" s="326" t="s">
        <v>1164</v>
      </c>
    </row>
    <row r="3" spans="1:50" x14ac:dyDescent="0.25">
      <c r="A3" s="8"/>
      <c r="B3" s="5" t="s">
        <v>116</v>
      </c>
      <c r="C3" s="8"/>
      <c r="D3" s="6" t="s">
        <v>118</v>
      </c>
      <c r="E3" s="5" t="s">
        <v>1158</v>
      </c>
      <c r="F3" s="6"/>
      <c r="G3" s="5" t="s">
        <v>119</v>
      </c>
      <c r="I3" s="24" t="str">
        <f>INDEX(($AK$15:$AL$16),MATCH(E4,$AJ$15:$AJ$16,0),MATCH(E5,$AK$14:$AL$14,0))</f>
        <v>K1O</v>
      </c>
      <c r="J3" s="24">
        <f>SUM(C2:C8)</f>
        <v>0</v>
      </c>
      <c r="K3" s="24" t="str">
        <f>INDEX(cennik!$C$2:$L$529,MATCH($I3,cennik!$B$2:$B$522,0),MATCH(K$2,cennik!$C$1:$L$1,0))</f>
        <v>szt.</v>
      </c>
      <c r="L3" s="24">
        <f>INDEX(cennik!$C$2:$L$529,MATCH($I3,cennik!$B$2:$B$522,0),MATCH(L$2,cennik!$C$1:$L$1,0))</f>
        <v>811111</v>
      </c>
      <c r="M3" s="24">
        <f>INDEX(cennik!$C$2:$L$529,MATCH($I3,cennik!$B$2:$B$522,0),MATCH(M$2,cennik!$C$1:$L$1,0))</f>
        <v>12199.42</v>
      </c>
      <c r="N3" s="24">
        <f>J3*M3</f>
        <v>0</v>
      </c>
      <c r="O3" s="35">
        <f>$E$7</f>
        <v>0</v>
      </c>
      <c r="P3" s="34">
        <f>M3*((100-$E$7)/100)</f>
        <v>12199.42</v>
      </c>
      <c r="Q3" s="34">
        <f>J3*P3</f>
        <v>0</v>
      </c>
      <c r="R3" s="24">
        <f>INDEX(cennik!$C$2:$L$529,MATCH($I3,cennik!$B$2:$B$522,0),MATCH($R$2,cennik!$C$1:$L$1,0))*J3</f>
        <v>0</v>
      </c>
      <c r="Z3" s="87" t="s">
        <v>1148</v>
      </c>
      <c r="AJ3" s="330" t="s">
        <v>1169</v>
      </c>
      <c r="AK3" s="331" t="s">
        <v>1134</v>
      </c>
      <c r="AL3" s="331"/>
      <c r="AM3" s="332"/>
      <c r="AP3" s="327"/>
      <c r="AQ3" s="328" t="s">
        <v>1170</v>
      </c>
      <c r="AR3" s="329" t="s">
        <v>1170</v>
      </c>
      <c r="AS3" s="329"/>
      <c r="AU3" s="330" t="s">
        <v>1189</v>
      </c>
      <c r="AV3" s="331" t="s">
        <v>1138</v>
      </c>
      <c r="AW3" s="331"/>
      <c r="AX3" s="332"/>
    </row>
    <row r="4" spans="1:50" x14ac:dyDescent="0.25">
      <c r="A4" s="8"/>
      <c r="B4" s="5" t="s">
        <v>116</v>
      </c>
      <c r="C4" s="8"/>
      <c r="D4" s="136" t="s">
        <v>1149</v>
      </c>
      <c r="E4" s="8" t="s">
        <v>1148</v>
      </c>
      <c r="F4" s="5"/>
      <c r="G4" s="5"/>
      <c r="I4" s="24" t="str">
        <f>IF(I3=AK3,AK8,IF(I3=AK4,AK9,IF(I3=AK5,AK10,IF(I3=AK6,AK11,0))))</f>
        <v>DK1O</v>
      </c>
      <c r="J4" s="24">
        <f>(A2-1)*C2+(A3-1)*C3+(A4-1)*C4+(A5-1)*C5+(A6-1)*C6+(A7-1)*C7+(A8-1)*C8</f>
        <v>0</v>
      </c>
      <c r="K4" s="24" t="str">
        <f>INDEX(cennik!$C$2:$L$529,MATCH($I4,cennik!$B$2:$B$522,0),MATCH(K$2,cennik!$C$1:$L$1,0))</f>
        <v>szt.</v>
      </c>
      <c r="L4" s="24">
        <f>INDEX(cennik!$C$2:$L$529,MATCH($I4,cennik!$B$2:$B$522,0),MATCH(L$2,cennik!$C$1:$L$1,0))</f>
        <v>811113</v>
      </c>
      <c r="M4" s="24">
        <f>INDEX(cennik!$C$2:$L$529,MATCH($I4,cennik!$B$2:$B$522,0),MATCH(M$2,cennik!$C$1:$L$1,0))</f>
        <v>8137.99</v>
      </c>
      <c r="N4" s="24">
        <f>J4*M4</f>
        <v>0</v>
      </c>
      <c r="O4" s="35">
        <f t="shared" ref="O4" si="0">$E$7</f>
        <v>0</v>
      </c>
      <c r="P4" s="34">
        <f t="shared" ref="P4" si="1">M4*((100-$E$7)/100)</f>
        <v>8137.99</v>
      </c>
      <c r="Q4" s="34">
        <f t="shared" ref="Q4:Q5" si="2">J4*P4</f>
        <v>0</v>
      </c>
      <c r="R4" s="24">
        <f>INDEX(cennik!$C$2:$L$529,MATCH($I4,cennik!$B$2:$B$522,0),MATCH($R$2,cennik!$C$1:$L$1,0))*J4</f>
        <v>0</v>
      </c>
      <c r="V4" s="333"/>
      <c r="X4" s="334"/>
      <c r="Z4" s="87" t="s">
        <v>1160</v>
      </c>
      <c r="AJ4" s="330" t="s">
        <v>1171</v>
      </c>
      <c r="AK4" s="331" t="s">
        <v>1135</v>
      </c>
      <c r="AL4" s="331"/>
      <c r="AM4" s="332"/>
      <c r="AP4" s="327" t="s">
        <v>1134</v>
      </c>
      <c r="AQ4" s="328">
        <v>21</v>
      </c>
      <c r="AR4" s="329">
        <v>1.4</v>
      </c>
      <c r="AS4" s="329" t="s">
        <v>1172</v>
      </c>
      <c r="AU4" s="330" t="s">
        <v>1190</v>
      </c>
      <c r="AV4" s="331" t="s">
        <v>1139</v>
      </c>
      <c r="AW4" s="331"/>
      <c r="AX4" s="332"/>
    </row>
    <row r="5" spans="1:50" x14ac:dyDescent="0.25">
      <c r="A5" s="8"/>
      <c r="B5" s="5" t="s">
        <v>116</v>
      </c>
      <c r="C5" s="8"/>
      <c r="D5" s="136" t="s">
        <v>1160</v>
      </c>
      <c r="E5" s="8" t="s">
        <v>1160</v>
      </c>
      <c r="F5" s="137"/>
      <c r="G5" s="137"/>
      <c r="H5" s="137"/>
      <c r="I5" s="24" t="s">
        <v>1172</v>
      </c>
      <c r="J5" s="24">
        <f>IF(E6=AL19,J3,0)</f>
        <v>0</v>
      </c>
      <c r="K5" s="24" t="str">
        <f>INDEX(cennik!$C$2:$L$529,MATCH($I5,cennik!$B$2:$B$522,0),MATCH(K$2,cennik!$C$1:$L$1,0))</f>
        <v>szt.</v>
      </c>
      <c r="L5" s="24">
        <f>INDEX(cennik!$C$2:$L$529,MATCH($I5,cennik!$B$2:$B$522,0),MATCH(L$2,cennik!$C$1:$L$1,0))</f>
        <v>887666</v>
      </c>
      <c r="M5" s="24">
        <f>INDEX(cennik!$C$2:$L$529,MATCH($I5,cennik!$B$2:$B$522,0),MATCH(M$2,cennik!$C$1:$L$1,0))</f>
        <v>398.79</v>
      </c>
      <c r="N5" s="24">
        <f t="shared" ref="N5:N6" si="3">J5*M5</f>
        <v>0</v>
      </c>
      <c r="O5" s="35">
        <f>$E$7</f>
        <v>0</v>
      </c>
      <c r="P5" s="34">
        <f>M5*((100-$E$7)/100)</f>
        <v>398.79</v>
      </c>
      <c r="Q5" s="34">
        <f t="shared" si="2"/>
        <v>0</v>
      </c>
      <c r="R5" s="24">
        <f>INDEX(cennik!$C$2:$L$529,MATCH($I5,cennik!$B$2:$B$522,0),MATCH($R$2,cennik!$C$1:$L$1,0))*J5</f>
        <v>0</v>
      </c>
      <c r="V5" s="333"/>
      <c r="X5" s="334"/>
      <c r="AJ5" s="330" t="s">
        <v>1177</v>
      </c>
      <c r="AK5" s="331" t="s">
        <v>1175</v>
      </c>
      <c r="AL5" s="331"/>
      <c r="AM5" s="332"/>
      <c r="AP5" s="327" t="s">
        <v>1136</v>
      </c>
      <c r="AQ5" s="328">
        <v>27</v>
      </c>
      <c r="AR5" s="329">
        <v>1.6</v>
      </c>
      <c r="AS5" s="329" t="s">
        <v>1173</v>
      </c>
      <c r="AU5" s="330" t="s">
        <v>1191</v>
      </c>
      <c r="AV5" s="331" t="s">
        <v>1187</v>
      </c>
      <c r="AW5" s="331"/>
      <c r="AX5" s="332"/>
    </row>
    <row r="6" spans="1:50" x14ac:dyDescent="0.25">
      <c r="A6" s="8"/>
      <c r="B6" s="5" t="s">
        <v>116</v>
      </c>
      <c r="C6" s="8"/>
      <c r="D6" s="136" t="s">
        <v>1150</v>
      </c>
      <c r="E6" s="8" t="s">
        <v>1151</v>
      </c>
      <c r="F6" s="137"/>
      <c r="G6" s="137"/>
      <c r="H6" s="137"/>
      <c r="I6" s="24" t="s">
        <v>1173</v>
      </c>
      <c r="J6" s="24">
        <f>IF(E6=AL19,J4,0)</f>
        <v>0</v>
      </c>
      <c r="K6" s="24" t="str">
        <f>INDEX(cennik!$C$2:$L$529,MATCH($I6,cennik!$B$2:$B$522,0),MATCH(K$2,cennik!$C$1:$L$1,0))</f>
        <v>szt.</v>
      </c>
      <c r="L6" s="24">
        <f>INDEX(cennik!$C$2:$L$529,MATCH($I6,cennik!$B$2:$B$522,0),MATCH(L$2,cennik!$C$1:$L$1,0))</f>
        <v>887676</v>
      </c>
      <c r="M6" s="24">
        <f>INDEX(cennik!$C$2:$L$529,MATCH($I6,cennik!$B$2:$B$522,0),MATCH(M$2,cennik!$C$1:$L$1,0))</f>
        <v>512.73</v>
      </c>
      <c r="N6" s="24">
        <f t="shared" si="3"/>
        <v>0</v>
      </c>
      <c r="O6" s="35">
        <f>$E$7</f>
        <v>0</v>
      </c>
      <c r="P6" s="34">
        <f>M6*((100-$E$7)/100)</f>
        <v>512.73</v>
      </c>
      <c r="Q6" s="34">
        <f>J6*P6</f>
        <v>0</v>
      </c>
      <c r="R6" s="24">
        <f>INDEX(cennik!$C$2:$L$529,MATCH($I6,cennik!$B$2:$B$522,0),MATCH($R$2,cennik!$C$1:$L$1,0))*J6</f>
        <v>0</v>
      </c>
      <c r="V6" s="333"/>
      <c r="Z6" s="87" t="s">
        <v>1148</v>
      </c>
      <c r="AJ6" s="330" t="s">
        <v>1179</v>
      </c>
      <c r="AK6" s="331" t="s">
        <v>1180</v>
      </c>
      <c r="AL6" s="331"/>
      <c r="AM6" s="332"/>
      <c r="AP6" s="327" t="s">
        <v>1175</v>
      </c>
      <c r="AQ6" s="328">
        <v>21</v>
      </c>
      <c r="AR6" s="329">
        <v>1.4</v>
      </c>
      <c r="AS6" s="329" t="s">
        <v>1172</v>
      </c>
      <c r="AU6" s="330" t="s">
        <v>1192</v>
      </c>
      <c r="AV6" s="331" t="s">
        <v>1188</v>
      </c>
      <c r="AW6" s="331"/>
      <c r="AX6" s="332"/>
    </row>
    <row r="7" spans="1:50" x14ac:dyDescent="0.25">
      <c r="A7" s="8"/>
      <c r="B7" s="5" t="s">
        <v>116</v>
      </c>
      <c r="C7" s="8"/>
      <c r="D7" s="136" t="s">
        <v>162</v>
      </c>
      <c r="E7" s="8">
        <v>0</v>
      </c>
      <c r="G7" s="5" t="s">
        <v>163</v>
      </c>
      <c r="I7" s="24"/>
      <c r="J7" s="24"/>
      <c r="K7" s="24"/>
      <c r="L7" s="24"/>
      <c r="M7" s="138"/>
      <c r="N7" s="24"/>
      <c r="O7" s="35"/>
      <c r="P7" s="34"/>
      <c r="Q7" s="34">
        <f>SUM(Q3:Q6)</f>
        <v>0</v>
      </c>
      <c r="R7" s="34">
        <f>SUM(R3:R6)</f>
        <v>0</v>
      </c>
      <c r="V7" s="333"/>
      <c r="Z7" s="87" t="s">
        <v>1152</v>
      </c>
      <c r="AJ7" s="330"/>
      <c r="AK7" s="331"/>
      <c r="AL7" s="331"/>
      <c r="AM7" s="332"/>
      <c r="AP7" s="327" t="s">
        <v>1174</v>
      </c>
      <c r="AQ7" s="328">
        <v>21</v>
      </c>
      <c r="AR7" s="329">
        <v>1.4</v>
      </c>
      <c r="AS7" s="329" t="s">
        <v>1172</v>
      </c>
      <c r="AU7" s="330"/>
      <c r="AV7" s="331"/>
      <c r="AW7" s="331"/>
      <c r="AX7" s="332"/>
    </row>
    <row r="8" spans="1:50" x14ac:dyDescent="0.25">
      <c r="A8" s="8"/>
      <c r="B8" s="5" t="s">
        <v>116</v>
      </c>
      <c r="C8" s="8"/>
      <c r="D8" s="344" t="s">
        <v>1455</v>
      </c>
      <c r="F8" s="5"/>
      <c r="G8" s="5"/>
      <c r="P8" s="92"/>
      <c r="AJ8" s="330" t="s">
        <v>1181</v>
      </c>
      <c r="AK8" s="331" t="s">
        <v>1136</v>
      </c>
      <c r="AL8" s="331"/>
      <c r="AM8" s="332"/>
      <c r="AP8" s="327" t="s">
        <v>1176</v>
      </c>
      <c r="AQ8" s="328">
        <v>27</v>
      </c>
      <c r="AR8" s="329">
        <v>1.6</v>
      </c>
      <c r="AS8" s="329" t="s">
        <v>1173</v>
      </c>
      <c r="AU8" s="330" t="s">
        <v>1193</v>
      </c>
      <c r="AV8" s="331" t="s">
        <v>1140</v>
      </c>
      <c r="AW8" s="331"/>
      <c r="AX8" s="332"/>
    </row>
    <row r="9" spans="1:50" x14ac:dyDescent="0.25">
      <c r="D9" s="344" t="s">
        <v>1456</v>
      </c>
      <c r="F9" s="5"/>
      <c r="G9" s="5"/>
      <c r="I9" s="93"/>
      <c r="P9" s="92"/>
      <c r="Q9" s="92"/>
      <c r="Z9" s="87" t="s">
        <v>1148</v>
      </c>
      <c r="AJ9" s="330" t="s">
        <v>1182</v>
      </c>
      <c r="AK9" s="331" t="s">
        <v>1137</v>
      </c>
      <c r="AL9" s="331"/>
      <c r="AM9" s="332"/>
      <c r="AP9" s="327" t="s">
        <v>1178</v>
      </c>
      <c r="AQ9" s="328">
        <v>27</v>
      </c>
      <c r="AR9" s="329">
        <v>1.6</v>
      </c>
      <c r="AS9" s="329" t="s">
        <v>1173</v>
      </c>
      <c r="AU9" s="330" t="s">
        <v>1194</v>
      </c>
      <c r="AV9" s="331" t="s">
        <v>1141</v>
      </c>
      <c r="AW9" s="331"/>
      <c r="AX9" s="332"/>
    </row>
    <row r="10" spans="1:50" x14ac:dyDescent="0.25">
      <c r="D10" s="344" t="s">
        <v>1457</v>
      </c>
      <c r="F10" s="5"/>
      <c r="G10" s="5"/>
      <c r="P10" s="92"/>
      <c r="Q10" s="92"/>
      <c r="Z10" s="87" t="s">
        <v>1151</v>
      </c>
      <c r="AJ10" s="330" t="s">
        <v>1183</v>
      </c>
      <c r="AK10" s="331" t="s">
        <v>1178</v>
      </c>
      <c r="AL10" s="331"/>
      <c r="AM10" s="332"/>
      <c r="AP10" s="335"/>
      <c r="AR10" s="331"/>
      <c r="AS10" s="331"/>
      <c r="AU10" s="330" t="s">
        <v>1195</v>
      </c>
      <c r="AV10" s="331" t="s">
        <v>1197</v>
      </c>
      <c r="AW10" s="331"/>
      <c r="AX10" s="332"/>
    </row>
    <row r="11" spans="1:50" ht="15.75" thickBot="1" x14ac:dyDescent="0.3">
      <c r="D11" s="4"/>
      <c r="F11" s="5"/>
      <c r="G11" s="5"/>
      <c r="P11" s="92"/>
      <c r="Q11" s="92"/>
      <c r="AJ11" s="336" t="s">
        <v>1184</v>
      </c>
      <c r="AK11" s="337" t="s">
        <v>1185</v>
      </c>
      <c r="AL11" s="337"/>
      <c r="AM11" s="338"/>
      <c r="AP11" s="335"/>
      <c r="AR11" s="331"/>
      <c r="AS11" s="331"/>
      <c r="AU11" s="336" t="s">
        <v>1196</v>
      </c>
      <c r="AV11" s="337" t="s">
        <v>1198</v>
      </c>
      <c r="AW11" s="337"/>
      <c r="AX11" s="338"/>
    </row>
    <row r="12" spans="1:50" x14ac:dyDescent="0.25">
      <c r="D12" s="4"/>
      <c r="F12" s="5"/>
      <c r="G12" s="5"/>
      <c r="P12" s="92"/>
      <c r="Q12" s="92"/>
      <c r="AL12" s="331"/>
      <c r="AM12" s="331"/>
      <c r="AP12" s="335"/>
      <c r="AR12" s="331"/>
      <c r="AS12" s="331"/>
    </row>
    <row r="13" spans="1:50" ht="64.5" x14ac:dyDescent="0.25">
      <c r="A13" s="3" t="s">
        <v>1156</v>
      </c>
      <c r="B13" s="3"/>
      <c r="C13" s="3" t="s">
        <v>121</v>
      </c>
      <c r="D13" s="4"/>
      <c r="E13" s="4"/>
      <c r="F13" s="4"/>
      <c r="G13" s="4"/>
      <c r="I13" s="360" t="s">
        <v>1155</v>
      </c>
      <c r="J13" s="360"/>
      <c r="K13" s="360"/>
      <c r="L13" s="360"/>
      <c r="M13" s="360"/>
      <c r="N13" s="360"/>
      <c r="O13" s="360"/>
      <c r="P13" s="360"/>
      <c r="Q13" s="360"/>
      <c r="R13" s="360"/>
      <c r="AH13" s="323">
        <v>0</v>
      </c>
      <c r="AL13" s="331"/>
      <c r="AM13" s="331"/>
      <c r="AP13" s="335"/>
      <c r="AR13" s="331"/>
      <c r="AS13" s="331"/>
    </row>
    <row r="14" spans="1:50" x14ac:dyDescent="0.25">
      <c r="A14" s="8"/>
      <c r="B14" s="5" t="s">
        <v>116</v>
      </c>
      <c r="C14" s="8"/>
      <c r="D14" s="4"/>
      <c r="E14" s="4"/>
      <c r="F14" s="4"/>
      <c r="G14" s="4"/>
      <c r="I14" s="5" t="s">
        <v>103</v>
      </c>
      <c r="J14" s="5" t="s">
        <v>290</v>
      </c>
      <c r="K14" s="5" t="s">
        <v>107</v>
      </c>
      <c r="L14" s="5" t="s">
        <v>104</v>
      </c>
      <c r="M14" s="5" t="s">
        <v>446</v>
      </c>
      <c r="N14" s="5" t="s">
        <v>448</v>
      </c>
      <c r="O14" s="5" t="s">
        <v>409</v>
      </c>
      <c r="P14" s="5" t="s">
        <v>447</v>
      </c>
      <c r="Q14" s="5" t="s">
        <v>449</v>
      </c>
      <c r="R14" s="5" t="s">
        <v>106</v>
      </c>
      <c r="U14" s="87" t="str">
        <f>INDEX(($AK$15:$AL$16),MATCH(E4,$AJ$15:$AJ$16,0),MATCH(E5,$AK$14:$AL$14,0))</f>
        <v>K1O</v>
      </c>
      <c r="AD14" s="339"/>
      <c r="AH14" s="323">
        <v>1</v>
      </c>
      <c r="AK14" s="323" t="s">
        <v>1148</v>
      </c>
      <c r="AL14" s="323" t="s">
        <v>1160</v>
      </c>
      <c r="AO14" s="323" t="s">
        <v>1148</v>
      </c>
      <c r="AP14" s="323" t="s">
        <v>1160</v>
      </c>
      <c r="AR14" s="331"/>
      <c r="AS14" s="331"/>
      <c r="AU14" s="327" t="s">
        <v>1165</v>
      </c>
      <c r="AV14" s="328" t="s">
        <v>1166</v>
      </c>
      <c r="AW14" s="329" t="s">
        <v>1167</v>
      </c>
      <c r="AX14" s="329" t="s">
        <v>1168</v>
      </c>
    </row>
    <row r="15" spans="1:50" x14ac:dyDescent="0.25">
      <c r="A15" s="8"/>
      <c r="B15" s="5" t="s">
        <v>116</v>
      </c>
      <c r="C15" s="8"/>
      <c r="D15" s="136" t="s">
        <v>118</v>
      </c>
      <c r="E15" s="5" t="s">
        <v>1159</v>
      </c>
      <c r="F15" s="6"/>
      <c r="G15" s="5" t="s">
        <v>119</v>
      </c>
      <c r="I15" s="24" t="str">
        <f>INDEX(($AO$15:$AP$16),MATCH(E16,$AN$15:$AN$16,0),MATCH(E17,$AO$14:$AP$14,0))</f>
        <v>K2</v>
      </c>
      <c r="J15" s="24">
        <f>SUM(C14:C20)</f>
        <v>0</v>
      </c>
      <c r="K15" s="24" t="str">
        <f>INDEX(cennik!$C$2:$L$529,MATCH($I15,cennik!$B$2:$B$522,0),MATCH(K$14,cennik!$C$1:$L$1,0))</f>
        <v>szt.</v>
      </c>
      <c r="L15" s="24">
        <f>INDEX(cennik!$C$2:$L$529,MATCH($I15,cennik!$B$2:$B$522,0),MATCH(L$14,cennik!$C$1:$L$1,0))</f>
        <v>811310</v>
      </c>
      <c r="M15" s="24">
        <f>INDEX(cennik!$C$2:$L$529,MATCH($I15,cennik!$B$2:$B$522,0),MATCH(M$14,cennik!$C$1:$L$1,0))</f>
        <v>12602.69</v>
      </c>
      <c r="N15" s="24">
        <f>J15*M15</f>
        <v>0</v>
      </c>
      <c r="O15" s="35">
        <f>$E$19</f>
        <v>0</v>
      </c>
      <c r="P15" s="34">
        <f>M15*((100-$E$19)/100)</f>
        <v>12602.69</v>
      </c>
      <c r="Q15" s="34">
        <f>J15*P15</f>
        <v>0</v>
      </c>
      <c r="R15" s="24">
        <f>INDEX(cennik!$C$2:$L$529,MATCH($I15,cennik!$B$2:$B$522,0),MATCH($R$14,cennik!$C$1:$L$1,0))*J15</f>
        <v>0</v>
      </c>
      <c r="V15" s="333"/>
      <c r="X15" s="334"/>
      <c r="AD15" s="339"/>
      <c r="AH15" s="323">
        <v>2</v>
      </c>
      <c r="AI15" s="331"/>
      <c r="AJ15" s="323" t="s">
        <v>1148</v>
      </c>
      <c r="AK15" s="323" t="s">
        <v>1134</v>
      </c>
      <c r="AL15" s="340" t="s">
        <v>1175</v>
      </c>
      <c r="AN15" s="323" t="s">
        <v>1148</v>
      </c>
      <c r="AO15" s="323" t="s">
        <v>1138</v>
      </c>
      <c r="AP15" s="340" t="s">
        <v>1187</v>
      </c>
      <c r="AR15" s="331"/>
      <c r="AS15" s="331"/>
      <c r="AU15" s="327"/>
      <c r="AV15" s="328" t="s">
        <v>1170</v>
      </c>
      <c r="AW15" s="329" t="s">
        <v>1170</v>
      </c>
      <c r="AX15" s="329"/>
    </row>
    <row r="16" spans="1:50" x14ac:dyDescent="0.25">
      <c r="A16" s="8"/>
      <c r="B16" s="5" t="s">
        <v>116</v>
      </c>
      <c r="C16" s="8"/>
      <c r="D16" s="136" t="s">
        <v>1149</v>
      </c>
      <c r="E16" s="8" t="s">
        <v>1148</v>
      </c>
      <c r="F16" s="5"/>
      <c r="G16" s="5"/>
      <c r="I16" s="24" t="str">
        <f>IF(I15=AV3,AV8,IF(I15=AV4,AV9,IF(I15=AV5,AV10,IF(I15=AV6,AV11,0))))</f>
        <v>DK2</v>
      </c>
      <c r="J16" s="24">
        <f>(A14-1)*C14+(A15-1)*C15+(A16-1)*C16+(A17-1)*C17+(A18-1)*C18+(A19-1)*C19+(A20-1)*C20</f>
        <v>0</v>
      </c>
      <c r="K16" s="24" t="str">
        <f>INDEX(cennik!$C$2:$L$529,MATCH($I16,cennik!$B$2:$B$522,0),MATCH(K$2,cennik!$C$1:$L$1,0))</f>
        <v>szt.</v>
      </c>
      <c r="L16" s="24">
        <f>INDEX(cennik!$C$2:$L$529,MATCH($I16,cennik!$B$2:$B$522,0),MATCH(L$14,cennik!$C$1:$L$1,0))</f>
        <v>811312</v>
      </c>
      <c r="M16" s="24">
        <f>INDEX(cennik!$C$2:$L$529,MATCH($I16,cennik!$B$2:$B$522,0),MATCH(M$14,cennik!$C$1:$L$1,0))</f>
        <v>10337.5</v>
      </c>
      <c r="N16" s="24">
        <f t="shared" ref="N16:N18" si="4">J16*M16</f>
        <v>0</v>
      </c>
      <c r="O16" s="35">
        <f>$E$19</f>
        <v>0</v>
      </c>
      <c r="P16" s="34">
        <f>M16*((100-$E$19)/100)</f>
        <v>10337.5</v>
      </c>
      <c r="Q16" s="34">
        <f t="shared" ref="Q16:Q18" si="5">J16*P16</f>
        <v>0</v>
      </c>
      <c r="R16" s="24">
        <f>INDEX(cennik!$C$2:$L$529,MATCH($I16,cennik!$B$2:$B$522,0),MATCH($R$14,cennik!$C$1:$L$1,0))*J16</f>
        <v>0</v>
      </c>
      <c r="U16" s="87" t="str">
        <f>INDEX(($AK$20:$AL$23),MATCH(I3,$AJ$20:$AJ$23,0),MATCH(E6,$AK$19:$AL$19,0))</f>
        <v>UMC27</v>
      </c>
      <c r="V16" s="333"/>
      <c r="X16" s="334"/>
      <c r="AH16" s="323">
        <v>3</v>
      </c>
      <c r="AI16" s="331"/>
      <c r="AJ16" s="323" t="s">
        <v>1152</v>
      </c>
      <c r="AK16" s="323" t="s">
        <v>1135</v>
      </c>
      <c r="AL16" s="331" t="s">
        <v>1180</v>
      </c>
      <c r="AM16" s="331"/>
      <c r="AN16" s="323" t="s">
        <v>1152</v>
      </c>
      <c r="AO16" s="323" t="s">
        <v>1139</v>
      </c>
      <c r="AP16" s="331" t="s">
        <v>1188</v>
      </c>
      <c r="AR16" s="331"/>
      <c r="AS16" s="331"/>
      <c r="AU16" s="327" t="s">
        <v>1138</v>
      </c>
      <c r="AV16" s="328">
        <v>36</v>
      </c>
      <c r="AW16" s="329">
        <v>1.5</v>
      </c>
      <c r="AX16" s="329" t="s">
        <v>1199</v>
      </c>
    </row>
    <row r="17" spans="1:50" x14ac:dyDescent="0.25">
      <c r="A17" s="8"/>
      <c r="B17" s="5" t="s">
        <v>116</v>
      </c>
      <c r="C17" s="8"/>
      <c r="D17" s="136" t="s">
        <v>1160</v>
      </c>
      <c r="E17" s="8" t="s">
        <v>1148</v>
      </c>
      <c r="F17" s="137"/>
      <c r="G17" s="137"/>
      <c r="H17" s="137"/>
      <c r="I17" s="24" t="s">
        <v>1199</v>
      </c>
      <c r="J17" s="24">
        <f>IF(E18=AL19,J15,0)</f>
        <v>0</v>
      </c>
      <c r="K17" s="24" t="str">
        <f>INDEX(cennik!$C$2:$L$529,MATCH($I17,cennik!$B$2:$B$522,0),MATCH(K$2,cennik!$C$1:$L$1,0))</f>
        <v>szt.</v>
      </c>
      <c r="L17" s="24">
        <f>INDEX(cennik!$C$2:$L$529,MATCH($I17,cennik!$B$2:$B$522,0),MATCH(L$14,cennik!$C$1:$L$1,0))</f>
        <v>887686</v>
      </c>
      <c r="M17" s="24">
        <f>INDEX(cennik!$C$2:$L$529,MATCH($I17,cennik!$B$2:$B$522,0),MATCH(M$14,cennik!$C$1:$L$1,0))</f>
        <v>683.64</v>
      </c>
      <c r="N17" s="24">
        <f t="shared" si="4"/>
        <v>0</v>
      </c>
      <c r="O17" s="35">
        <f t="shared" ref="O17:O18" si="6">$E$19</f>
        <v>0</v>
      </c>
      <c r="P17" s="34">
        <f t="shared" ref="P17:P18" si="7">M17*((100-$E$19)/100)</f>
        <v>683.64</v>
      </c>
      <c r="Q17" s="34">
        <f t="shared" si="5"/>
        <v>0</v>
      </c>
      <c r="R17" s="24">
        <f>INDEX(cennik!$C$2:$L$529,MATCH($I17,cennik!$B$2:$B$522,0),MATCH($R$14,cennik!$C$1:$L$1,0))*J17</f>
        <v>0</v>
      </c>
      <c r="V17" s="333"/>
      <c r="AD17" s="339"/>
      <c r="AH17" s="323">
        <v>4</v>
      </c>
      <c r="AI17" s="331"/>
      <c r="AL17" s="331"/>
      <c r="AM17" s="331"/>
      <c r="AN17" s="331"/>
      <c r="AP17" s="335"/>
      <c r="AR17" s="331"/>
      <c r="AS17" s="331"/>
      <c r="AU17" s="327" t="s">
        <v>1140</v>
      </c>
      <c r="AV17" s="328">
        <v>42</v>
      </c>
      <c r="AW17" s="329">
        <v>1.8</v>
      </c>
      <c r="AX17" s="329" t="s">
        <v>1200</v>
      </c>
    </row>
    <row r="18" spans="1:50" x14ac:dyDescent="0.25">
      <c r="A18" s="8"/>
      <c r="B18" s="5" t="s">
        <v>116</v>
      </c>
      <c r="C18" s="8"/>
      <c r="D18" s="136" t="s">
        <v>1150</v>
      </c>
      <c r="E18" s="8" t="s">
        <v>1148</v>
      </c>
      <c r="F18" s="137"/>
      <c r="G18" s="137"/>
      <c r="H18" s="137"/>
      <c r="I18" s="24" t="s">
        <v>1200</v>
      </c>
      <c r="J18" s="24">
        <f>IF(E18=AL19,J16,0)</f>
        <v>0</v>
      </c>
      <c r="K18" s="24" t="str">
        <f>INDEX(cennik!$C$2:$L$529,MATCH($I18,cennik!$B$2:$B$522,0),MATCH(K$2,cennik!$C$1:$L$1,0))</f>
        <v>szt.</v>
      </c>
      <c r="L18" s="24">
        <f>INDEX(cennik!$C$2:$L$529,MATCH($I18,cennik!$B$2:$B$522,0),MATCH(L$14,cennik!$C$1:$L$1,0))</f>
        <v>887696</v>
      </c>
      <c r="M18" s="24">
        <f>INDEX(cennik!$C$2:$L$529,MATCH($I18,cennik!$B$2:$B$522,0),MATCH(M$14,cennik!$C$1:$L$1,0))</f>
        <v>797.58</v>
      </c>
      <c r="N18" s="24">
        <f t="shared" si="4"/>
        <v>0</v>
      </c>
      <c r="O18" s="35">
        <f t="shared" si="6"/>
        <v>0</v>
      </c>
      <c r="P18" s="34">
        <f t="shared" si="7"/>
        <v>797.58</v>
      </c>
      <c r="Q18" s="34">
        <f t="shared" si="5"/>
        <v>0</v>
      </c>
      <c r="R18" s="24">
        <f>INDEX(cennik!$C$2:$L$529,MATCH($I18,cennik!$B$2:$B$522,0),MATCH($R$14,cennik!$C$1:$L$1,0))*J18</f>
        <v>0</v>
      </c>
      <c r="V18" s="333"/>
      <c r="X18" s="333"/>
      <c r="AD18" s="339"/>
      <c r="AH18" s="323">
        <v>5</v>
      </c>
      <c r="AI18" s="331"/>
      <c r="AL18" s="331"/>
      <c r="AM18" s="331"/>
      <c r="AP18" s="335"/>
      <c r="AR18" s="331"/>
      <c r="AS18" s="331"/>
      <c r="AU18" s="327" t="s">
        <v>1187</v>
      </c>
      <c r="AV18" s="328">
        <v>36</v>
      </c>
      <c r="AW18" s="329">
        <v>1.5</v>
      </c>
      <c r="AX18" s="329" t="s">
        <v>1199</v>
      </c>
    </row>
    <row r="19" spans="1:50" x14ac:dyDescent="0.25">
      <c r="A19" s="8"/>
      <c r="B19" s="5" t="s">
        <v>116</v>
      </c>
      <c r="C19" s="8"/>
      <c r="D19" s="136" t="s">
        <v>162</v>
      </c>
      <c r="E19" s="8">
        <v>0</v>
      </c>
      <c r="G19" s="5" t="s">
        <v>163</v>
      </c>
      <c r="Q19" s="138">
        <f>SUM(Q15:Q18)</f>
        <v>0</v>
      </c>
      <c r="R19" s="138">
        <f>SUM(R15:R18)</f>
        <v>0</v>
      </c>
      <c r="AD19" s="333"/>
      <c r="AH19" s="323">
        <v>6</v>
      </c>
      <c r="AI19" s="331"/>
      <c r="AJ19" s="331"/>
      <c r="AK19" s="323" t="s">
        <v>1148</v>
      </c>
      <c r="AL19" s="323" t="s">
        <v>1151</v>
      </c>
      <c r="AN19" s="331"/>
      <c r="AO19" s="323" t="s">
        <v>1148</v>
      </c>
      <c r="AP19" s="323" t="s">
        <v>1151</v>
      </c>
      <c r="AR19" s="331"/>
      <c r="AS19" s="331"/>
      <c r="AU19" s="327" t="s">
        <v>1201</v>
      </c>
      <c r="AV19" s="328">
        <v>36</v>
      </c>
      <c r="AW19" s="329">
        <v>1.5</v>
      </c>
      <c r="AX19" s="329" t="s">
        <v>1199</v>
      </c>
    </row>
    <row r="20" spans="1:50" x14ac:dyDescent="0.25">
      <c r="A20" s="8"/>
      <c r="B20" s="5" t="s">
        <v>116</v>
      </c>
      <c r="C20" s="8"/>
      <c r="D20" s="344" t="s">
        <v>1458</v>
      </c>
      <c r="AD20" s="333"/>
      <c r="AH20" s="323">
        <v>7</v>
      </c>
      <c r="AI20" s="331"/>
      <c r="AJ20" s="331" t="s">
        <v>1134</v>
      </c>
      <c r="AK20" s="341" t="s">
        <v>1186</v>
      </c>
      <c r="AL20" s="323" t="s">
        <v>1172</v>
      </c>
      <c r="AN20" s="331" t="s">
        <v>1138</v>
      </c>
      <c r="AO20" s="341" t="s">
        <v>1186</v>
      </c>
      <c r="AP20" s="323" t="s">
        <v>1199</v>
      </c>
      <c r="AU20" s="327" t="s">
        <v>1202</v>
      </c>
      <c r="AV20" s="328">
        <v>42</v>
      </c>
      <c r="AW20" s="329">
        <v>1.8</v>
      </c>
      <c r="AX20" s="329" t="s">
        <v>1200</v>
      </c>
    </row>
    <row r="21" spans="1:50" x14ac:dyDescent="0.25">
      <c r="D21" s="344" t="s">
        <v>1459</v>
      </c>
      <c r="AH21" s="323">
        <v>8</v>
      </c>
      <c r="AI21" s="331"/>
      <c r="AJ21" s="331" t="s">
        <v>1135</v>
      </c>
      <c r="AK21" s="341" t="s">
        <v>1186</v>
      </c>
      <c r="AL21" s="323" t="s">
        <v>1172</v>
      </c>
      <c r="AN21" s="331" t="s">
        <v>1139</v>
      </c>
      <c r="AO21" s="341" t="s">
        <v>1186</v>
      </c>
      <c r="AP21" s="323" t="s">
        <v>1199</v>
      </c>
      <c r="AU21" s="327" t="s">
        <v>1197</v>
      </c>
      <c r="AV21" s="328">
        <v>42</v>
      </c>
      <c r="AW21" s="329">
        <v>1.8</v>
      </c>
      <c r="AX21" s="329" t="s">
        <v>1200</v>
      </c>
    </row>
    <row r="22" spans="1:50" x14ac:dyDescent="0.25">
      <c r="D22" s="344" t="s">
        <v>1460</v>
      </c>
      <c r="AH22" s="323">
        <v>9</v>
      </c>
      <c r="AJ22" s="331" t="s">
        <v>1175</v>
      </c>
      <c r="AK22" s="341" t="s">
        <v>1186</v>
      </c>
      <c r="AL22" s="323" t="s">
        <v>1173</v>
      </c>
      <c r="AN22" s="331" t="s">
        <v>1187</v>
      </c>
      <c r="AO22" s="341" t="s">
        <v>1186</v>
      </c>
      <c r="AP22" s="323" t="s">
        <v>1173</v>
      </c>
    </row>
    <row r="23" spans="1:50" x14ac:dyDescent="0.25">
      <c r="D23" s="344" t="s">
        <v>1461</v>
      </c>
      <c r="AD23" s="339"/>
      <c r="AH23" s="323">
        <v>10</v>
      </c>
      <c r="AJ23" s="331" t="s">
        <v>1180</v>
      </c>
      <c r="AK23" s="341" t="s">
        <v>1186</v>
      </c>
      <c r="AL23" s="323" t="s">
        <v>1173</v>
      </c>
      <c r="AN23" s="331" t="s">
        <v>1188</v>
      </c>
      <c r="AO23" s="341" t="s">
        <v>1186</v>
      </c>
      <c r="AP23" s="323" t="s">
        <v>1173</v>
      </c>
    </row>
    <row r="24" spans="1:50" ht="51.75" hidden="1" x14ac:dyDescent="0.25">
      <c r="A24" s="3" t="s">
        <v>1153</v>
      </c>
      <c r="B24" s="3"/>
      <c r="C24" s="3" t="s">
        <v>121</v>
      </c>
      <c r="D24" s="4"/>
      <c r="E24" s="4"/>
      <c r="F24" s="4"/>
      <c r="G24" s="4"/>
      <c r="I24" s="360" t="s">
        <v>1259</v>
      </c>
      <c r="J24" s="360"/>
      <c r="K24" s="360"/>
      <c r="L24" s="360"/>
      <c r="M24" s="360"/>
      <c r="N24" s="360"/>
      <c r="O24" s="360"/>
      <c r="P24" s="360"/>
      <c r="Q24" s="360"/>
      <c r="R24" s="360"/>
      <c r="AD24" s="339"/>
      <c r="AH24" s="323">
        <v>11</v>
      </c>
    </row>
    <row r="25" spans="1:50" hidden="1" x14ac:dyDescent="0.25">
      <c r="A25" s="8"/>
      <c r="B25" s="5" t="s">
        <v>116</v>
      </c>
      <c r="C25" s="8"/>
      <c r="D25" s="4"/>
      <c r="E25" s="4"/>
      <c r="F25" s="4"/>
      <c r="G25" s="4"/>
      <c r="I25" s="5" t="s">
        <v>103</v>
      </c>
      <c r="J25" s="5" t="s">
        <v>290</v>
      </c>
      <c r="K25" s="5" t="s">
        <v>107</v>
      </c>
      <c r="L25" s="5" t="s">
        <v>104</v>
      </c>
      <c r="M25" s="5" t="s">
        <v>446</v>
      </c>
      <c r="N25" s="5" t="s">
        <v>448</v>
      </c>
      <c r="O25" s="5" t="s">
        <v>409</v>
      </c>
      <c r="P25" s="5" t="s">
        <v>447</v>
      </c>
      <c r="Q25" s="5" t="s">
        <v>449</v>
      </c>
      <c r="R25" s="5" t="s">
        <v>106</v>
      </c>
      <c r="AH25" s="323">
        <v>12</v>
      </c>
    </row>
    <row r="26" spans="1:50" hidden="1" x14ac:dyDescent="0.25">
      <c r="A26" s="8"/>
      <c r="B26" s="5" t="s">
        <v>116</v>
      </c>
      <c r="C26" s="8"/>
      <c r="D26" s="6" t="s">
        <v>118</v>
      </c>
      <c r="E26" s="5" t="s">
        <v>1279</v>
      </c>
      <c r="F26" s="6"/>
      <c r="G26" s="5" t="s">
        <v>119</v>
      </c>
      <c r="I26" s="24" t="str">
        <f>INDEX(($AK$27:$AL$28),MATCH(E27,$AJ$27:$AJ$28,0),MATCH(E28,$AK$26:$AL$26,0))</f>
        <v>KP1OL</v>
      </c>
      <c r="J26" s="24">
        <f>SUM(C25:C31)</f>
        <v>0</v>
      </c>
      <c r="K26" s="24" t="e">
        <f>INDEX(cennik!$C$2:$L$529,MATCH($I26,cennik!$B$2:$B$522,0),MATCH(K$2,cennik!$C$1:$L$1,0))</f>
        <v>#N/A</v>
      </c>
      <c r="L26" s="24" t="e">
        <f>INDEX(cennik!$C$2:$L$529,MATCH($I26,cennik!$B$2:$B$522,0),MATCH(L$2,cennik!$C$1:$L$1,0))</f>
        <v>#N/A</v>
      </c>
      <c r="M26" s="24" t="e">
        <f>INDEX(cennik!$C$2:$L$529,MATCH($I26,cennik!$B$2:$B$522,0),MATCH(M$2,cennik!$C$1:$L$1,0))</f>
        <v>#N/A</v>
      </c>
      <c r="N26" s="24" t="e">
        <f>J26*M26</f>
        <v>#N/A</v>
      </c>
      <c r="O26" s="35">
        <f>$E$30</f>
        <v>0</v>
      </c>
      <c r="P26" s="34" t="e">
        <f>M26*((100-$E$30)/100)</f>
        <v>#N/A</v>
      </c>
      <c r="Q26" s="34" t="e">
        <f>J26*P26</f>
        <v>#N/A</v>
      </c>
      <c r="R26" s="24" t="e">
        <f>INDEX(cennik!$C$2:$L$529,MATCH($I26,cennik!$B$2:$B$522,0),MATCH($R$25,cennik!$C$1:$L$1,0))*J26</f>
        <v>#N/A</v>
      </c>
      <c r="AD26" s="339"/>
      <c r="AH26" s="323">
        <v>13</v>
      </c>
      <c r="AK26" s="323" t="s">
        <v>1148</v>
      </c>
      <c r="AL26" s="323" t="s">
        <v>1160</v>
      </c>
      <c r="AO26" s="323" t="s">
        <v>1148</v>
      </c>
      <c r="AP26" s="323" t="s">
        <v>1160</v>
      </c>
    </row>
    <row r="27" spans="1:50" hidden="1" x14ac:dyDescent="0.25">
      <c r="A27" s="8"/>
      <c r="B27" s="5" t="s">
        <v>116</v>
      </c>
      <c r="C27" s="8"/>
      <c r="D27" s="136" t="s">
        <v>1149</v>
      </c>
      <c r="E27" s="8" t="s">
        <v>1152</v>
      </c>
      <c r="F27" s="5"/>
      <c r="G27" s="5"/>
      <c r="I27" s="24" t="str">
        <f>IF(I26=AK34,AK39,IF(I26=AK35,AK40,IF(I26=AK36,AK41,IF(I26=AK37,AK42,0))))</f>
        <v>DKP1OL</v>
      </c>
      <c r="J27" s="24">
        <f>(A25-1)*C25+(A26-1)*C26+(A27-1)*C27+(A28-1)*C28+(A29-1)*C29+(A30-1)*C30+(A31-1)*C31</f>
        <v>0</v>
      </c>
      <c r="K27" s="24" t="e">
        <f>INDEX(cennik!$C$2:$L$529,MATCH($I27,cennik!$B$2:$B$522,0),MATCH(K$2,cennik!$C$1:$L$1,0))</f>
        <v>#N/A</v>
      </c>
      <c r="L27" s="24" t="e">
        <f>INDEX(cennik!$C$2:$L$529,MATCH($I27,cennik!$B$2:$B$522,0),MATCH(L$2,cennik!$C$1:$L$1,0))</f>
        <v>#N/A</v>
      </c>
      <c r="M27" s="24" t="e">
        <f>INDEX(cennik!$C$2:$L$529,MATCH($I27,cennik!$B$2:$B$522,0),MATCH(M$2,cennik!$C$1:$L$1,0))</f>
        <v>#N/A</v>
      </c>
      <c r="N27" s="24" t="e">
        <f>J27*M27</f>
        <v>#N/A</v>
      </c>
      <c r="O27" s="35">
        <f t="shared" ref="O27:O28" si="8">$E$30</f>
        <v>0</v>
      </c>
      <c r="P27" s="34" t="e">
        <f>M27*((100-$E$30)/100)</f>
        <v>#N/A</v>
      </c>
      <c r="Q27" s="34" t="e">
        <f t="shared" ref="Q27:Q28" si="9">J27*P27</f>
        <v>#N/A</v>
      </c>
      <c r="R27" s="24" t="e">
        <f>INDEX(cennik!$C$2:$L$529,MATCH($I27,cennik!$B$2:$B$522,0),MATCH($R$25,cennik!$C$1:$L$1,0))*J27</f>
        <v>#N/A</v>
      </c>
      <c r="AD27" s="339"/>
      <c r="AH27" s="323">
        <v>14</v>
      </c>
      <c r="AJ27" s="323" t="s">
        <v>1148</v>
      </c>
      <c r="AK27" s="323" t="s">
        <v>1261</v>
      </c>
      <c r="AL27" s="340" t="s">
        <v>1263</v>
      </c>
      <c r="AN27" s="323" t="s">
        <v>1148</v>
      </c>
      <c r="AO27" s="323" t="s">
        <v>1269</v>
      </c>
      <c r="AP27" s="340" t="s">
        <v>1271</v>
      </c>
    </row>
    <row r="28" spans="1:50" hidden="1" x14ac:dyDescent="0.25">
      <c r="A28" s="8"/>
      <c r="B28" s="5" t="s">
        <v>116</v>
      </c>
      <c r="C28" s="8"/>
      <c r="D28" s="136" t="s">
        <v>1160</v>
      </c>
      <c r="E28" s="8" t="s">
        <v>1160</v>
      </c>
      <c r="F28" s="137"/>
      <c r="G28" s="137"/>
      <c r="H28" s="137"/>
      <c r="I28" s="139" t="s">
        <v>1172</v>
      </c>
      <c r="J28" s="24">
        <f>IF(E29=AL19,J26,0)</f>
        <v>0</v>
      </c>
      <c r="K28" s="24" t="str">
        <f>INDEX(cennik!$C$2:$L$529,MATCH($I28,cennik!$B$2:$B$522,0),MATCH(K$2,cennik!$C$1:$L$1,0))</f>
        <v>szt.</v>
      </c>
      <c r="L28" s="24">
        <f>INDEX(cennik!$C$2:$L$529,MATCH($I28,cennik!$B$2:$B$522,0),MATCH(L$2,cennik!$C$1:$L$1,0))</f>
        <v>887666</v>
      </c>
      <c r="M28" s="24">
        <f>INDEX(cennik!$C$2:$L$529,MATCH($I28,cennik!$B$2:$B$522,0),MATCH(M$2,cennik!$C$1:$L$1,0))</f>
        <v>398.79</v>
      </c>
      <c r="N28" s="24">
        <f t="shared" ref="N28:N29" si="10">J28*M28</f>
        <v>0</v>
      </c>
      <c r="O28" s="35">
        <f t="shared" si="8"/>
        <v>0</v>
      </c>
      <c r="P28" s="34">
        <f>M28*((100-$E$30)/100)</f>
        <v>398.79</v>
      </c>
      <c r="Q28" s="34">
        <f t="shared" si="9"/>
        <v>0</v>
      </c>
      <c r="R28" s="24">
        <f>INDEX(cennik!$C$2:$L$529,MATCH($I28,cennik!$B$2:$B$522,0),MATCH($R$25,cennik!$C$1:$L$1,0))*J28</f>
        <v>0</v>
      </c>
      <c r="AD28" s="333"/>
      <c r="AH28" s="323">
        <v>15</v>
      </c>
      <c r="AJ28" s="323" t="s">
        <v>1152</v>
      </c>
      <c r="AK28" s="323" t="s">
        <v>1262</v>
      </c>
      <c r="AL28" s="331" t="s">
        <v>1264</v>
      </c>
      <c r="AM28" s="331"/>
      <c r="AN28" s="323" t="s">
        <v>1152</v>
      </c>
      <c r="AO28" s="323" t="s">
        <v>1270</v>
      </c>
      <c r="AP28" s="331" t="s">
        <v>1272</v>
      </c>
    </row>
    <row r="29" spans="1:50" hidden="1" x14ac:dyDescent="0.25">
      <c r="A29" s="8"/>
      <c r="B29" s="5" t="s">
        <v>116</v>
      </c>
      <c r="C29" s="8"/>
      <c r="D29" s="136" t="s">
        <v>1150</v>
      </c>
      <c r="E29" s="8" t="s">
        <v>1151</v>
      </c>
      <c r="F29" s="137"/>
      <c r="G29" s="137"/>
      <c r="H29" s="137"/>
      <c r="I29" s="139" t="s">
        <v>1173</v>
      </c>
      <c r="J29" s="24">
        <f>IF(E29=AL19,J27,0)</f>
        <v>0</v>
      </c>
      <c r="K29" s="24" t="str">
        <f>INDEX(cennik!$C$2:$L$529,MATCH($I29,cennik!$B$2:$B$522,0),MATCH(K$2,cennik!$C$1:$L$1,0))</f>
        <v>szt.</v>
      </c>
      <c r="L29" s="24">
        <f>INDEX(cennik!$C$2:$L$529,MATCH($I29,cennik!$B$2:$B$522,0),MATCH(L$2,cennik!$C$1:$L$1,0))</f>
        <v>887676</v>
      </c>
      <c r="M29" s="24">
        <f>INDEX(cennik!$C$2:$L$529,MATCH($I29,cennik!$B$2:$B$522,0),MATCH(M$2,cennik!$C$1:$L$1,0))</f>
        <v>512.73</v>
      </c>
      <c r="N29" s="24">
        <f t="shared" si="10"/>
        <v>0</v>
      </c>
      <c r="O29" s="35">
        <f>$E$30</f>
        <v>0</v>
      </c>
      <c r="P29" s="34">
        <f>M29*((100-$E$30)/100)</f>
        <v>512.73</v>
      </c>
      <c r="Q29" s="34">
        <f>J29*P29</f>
        <v>0</v>
      </c>
      <c r="R29" s="24">
        <f>INDEX(cennik!$C$2:$L$529,MATCH($I29,cennik!$B$2:$B$522,0),MATCH($R$25,cennik!$C$1:$L$1,0))*J29</f>
        <v>0</v>
      </c>
      <c r="AD29" s="333"/>
      <c r="AH29" s="323">
        <v>16</v>
      </c>
    </row>
    <row r="30" spans="1:50" hidden="1" x14ac:dyDescent="0.25">
      <c r="A30" s="8"/>
      <c r="B30" s="5" t="s">
        <v>116</v>
      </c>
      <c r="C30" s="8"/>
      <c r="D30" s="136" t="s">
        <v>162</v>
      </c>
      <c r="E30" s="8">
        <v>0</v>
      </c>
      <c r="G30" s="5" t="s">
        <v>163</v>
      </c>
      <c r="I30" s="24"/>
      <c r="J30" s="24"/>
      <c r="K30" s="24"/>
      <c r="L30" s="24"/>
      <c r="M30" s="138"/>
      <c r="N30" s="24"/>
      <c r="O30" s="35"/>
      <c r="P30" s="34"/>
      <c r="Q30" s="34" t="e">
        <f>SUM(Q26:Q29)</f>
        <v>#N/A</v>
      </c>
      <c r="R30" s="34" t="e">
        <f>SUM(R26:R29)</f>
        <v>#N/A</v>
      </c>
      <c r="AH30" s="323">
        <v>17</v>
      </c>
    </row>
    <row r="31" spans="1:50" hidden="1" x14ac:dyDescent="0.25">
      <c r="A31" s="8"/>
      <c r="B31" s="5" t="s">
        <v>116</v>
      </c>
      <c r="C31" s="8"/>
      <c r="F31" s="5"/>
      <c r="G31" s="5"/>
      <c r="P31" s="92"/>
      <c r="AC31" s="333"/>
      <c r="AD31" s="333"/>
      <c r="AE31" s="333"/>
      <c r="AH31" s="323">
        <v>18</v>
      </c>
    </row>
    <row r="32" spans="1:50" ht="15.75" hidden="1" thickBot="1" x14ac:dyDescent="0.3">
      <c r="D32" s="4"/>
      <c r="F32" s="5"/>
      <c r="G32" s="5"/>
      <c r="I32" s="93"/>
      <c r="P32" s="92"/>
      <c r="Q32" s="92"/>
      <c r="AH32" s="323">
        <v>19</v>
      </c>
    </row>
    <row r="33" spans="1:50" hidden="1" x14ac:dyDescent="0.25">
      <c r="D33" s="4"/>
      <c r="F33" s="5"/>
      <c r="G33" s="5"/>
      <c r="P33" s="92"/>
      <c r="Q33" s="92"/>
      <c r="AH33" s="323">
        <v>20</v>
      </c>
      <c r="AJ33" s="324" t="s">
        <v>1161</v>
      </c>
      <c r="AK33" s="325" t="s">
        <v>1162</v>
      </c>
      <c r="AL33" s="325" t="s">
        <v>1163</v>
      </c>
      <c r="AM33" s="326" t="s">
        <v>1164</v>
      </c>
      <c r="AP33" s="329" t="s">
        <v>1165</v>
      </c>
      <c r="AQ33" s="329" t="s">
        <v>1166</v>
      </c>
      <c r="AR33" s="329" t="s">
        <v>1167</v>
      </c>
      <c r="AS33" s="329" t="s">
        <v>1168</v>
      </c>
      <c r="AU33" s="324" t="s">
        <v>1161</v>
      </c>
      <c r="AV33" s="325" t="s">
        <v>1162</v>
      </c>
      <c r="AW33" s="325" t="s">
        <v>1163</v>
      </c>
      <c r="AX33" s="326" t="s">
        <v>1164</v>
      </c>
    </row>
    <row r="34" spans="1:50" hidden="1" x14ac:dyDescent="0.25">
      <c r="D34" s="4"/>
      <c r="F34" s="5"/>
      <c r="G34" s="5"/>
      <c r="P34" s="92"/>
      <c r="Q34" s="92"/>
      <c r="AH34" s="323">
        <v>21</v>
      </c>
      <c r="AJ34" s="330" t="s">
        <v>1169</v>
      </c>
      <c r="AK34" s="331" t="s">
        <v>1261</v>
      </c>
      <c r="AL34" s="331"/>
      <c r="AM34" s="332"/>
      <c r="AP34" s="329"/>
      <c r="AQ34" s="329" t="s">
        <v>1170</v>
      </c>
      <c r="AR34" s="329" t="s">
        <v>1170</v>
      </c>
      <c r="AS34" s="329"/>
      <c r="AU34" s="330" t="s">
        <v>1189</v>
      </c>
      <c r="AV34" s="331" t="s">
        <v>1269</v>
      </c>
      <c r="AW34" s="331"/>
      <c r="AX34" s="332"/>
    </row>
    <row r="35" spans="1:50" hidden="1" x14ac:dyDescent="0.25">
      <c r="D35" s="4"/>
      <c r="F35" s="5"/>
      <c r="G35" s="5"/>
      <c r="P35" s="92"/>
      <c r="Q35" s="92"/>
      <c r="AH35" s="323">
        <v>22</v>
      </c>
      <c r="AJ35" s="330" t="s">
        <v>1171</v>
      </c>
      <c r="AK35" s="331" t="s">
        <v>1262</v>
      </c>
      <c r="AL35" s="331"/>
      <c r="AM35" s="332"/>
      <c r="AP35" s="329" t="s">
        <v>1261</v>
      </c>
      <c r="AQ35" s="329">
        <v>21</v>
      </c>
      <c r="AR35" s="329">
        <v>1.4</v>
      </c>
      <c r="AS35" s="329" t="s">
        <v>1172</v>
      </c>
      <c r="AU35" s="330" t="s">
        <v>1190</v>
      </c>
      <c r="AV35" s="331" t="s">
        <v>1270</v>
      </c>
      <c r="AW35" s="331"/>
      <c r="AX35" s="332"/>
    </row>
    <row r="36" spans="1:50" ht="64.5" hidden="1" x14ac:dyDescent="0.25">
      <c r="A36" s="3" t="s">
        <v>1156</v>
      </c>
      <c r="B36" s="3"/>
      <c r="C36" s="3" t="s">
        <v>121</v>
      </c>
      <c r="D36" s="4"/>
      <c r="E36" s="4"/>
      <c r="F36" s="4"/>
      <c r="G36" s="4"/>
      <c r="I36" s="360" t="s">
        <v>1260</v>
      </c>
      <c r="J36" s="360"/>
      <c r="K36" s="360"/>
      <c r="L36" s="360"/>
      <c r="M36" s="360"/>
      <c r="N36" s="360"/>
      <c r="O36" s="360"/>
      <c r="P36" s="360"/>
      <c r="Q36" s="360"/>
      <c r="R36" s="360"/>
      <c r="AC36" s="342"/>
      <c r="AH36" s="323">
        <v>23</v>
      </c>
      <c r="AJ36" s="330" t="s">
        <v>1177</v>
      </c>
      <c r="AK36" s="331" t="s">
        <v>1263</v>
      </c>
      <c r="AL36" s="331"/>
      <c r="AM36" s="332"/>
      <c r="AP36" s="329" t="s">
        <v>1265</v>
      </c>
      <c r="AQ36" s="329">
        <v>27</v>
      </c>
      <c r="AR36" s="329">
        <v>1.6</v>
      </c>
      <c r="AS36" s="329" t="s">
        <v>1173</v>
      </c>
      <c r="AU36" s="330" t="s">
        <v>1191</v>
      </c>
      <c r="AV36" s="331" t="s">
        <v>1271</v>
      </c>
      <c r="AW36" s="331"/>
      <c r="AX36" s="332"/>
    </row>
    <row r="37" spans="1:50" hidden="1" x14ac:dyDescent="0.25">
      <c r="A37" s="8"/>
      <c r="B37" s="5" t="s">
        <v>116</v>
      </c>
      <c r="C37" s="8"/>
      <c r="D37" s="4"/>
      <c r="E37" s="4"/>
      <c r="F37" s="4"/>
      <c r="G37" s="4"/>
      <c r="I37" s="5" t="s">
        <v>103</v>
      </c>
      <c r="J37" s="5" t="s">
        <v>290</v>
      </c>
      <c r="K37" s="5" t="s">
        <v>107</v>
      </c>
      <c r="L37" s="5" t="s">
        <v>104</v>
      </c>
      <c r="M37" s="5" t="s">
        <v>446</v>
      </c>
      <c r="N37" s="5" t="s">
        <v>448</v>
      </c>
      <c r="O37" s="5" t="s">
        <v>409</v>
      </c>
      <c r="P37" s="5" t="s">
        <v>447</v>
      </c>
      <c r="Q37" s="5" t="s">
        <v>449</v>
      </c>
      <c r="R37" s="5" t="s">
        <v>106</v>
      </c>
      <c r="X37" s="323"/>
      <c r="AC37" s="342"/>
      <c r="AH37" s="323">
        <v>24</v>
      </c>
      <c r="AJ37" s="330" t="s">
        <v>1179</v>
      </c>
      <c r="AK37" s="331" t="s">
        <v>1264</v>
      </c>
      <c r="AL37" s="331"/>
      <c r="AM37" s="332"/>
      <c r="AP37" s="329" t="s">
        <v>1263</v>
      </c>
      <c r="AQ37" s="329">
        <v>21</v>
      </c>
      <c r="AR37" s="329">
        <v>1.4</v>
      </c>
      <c r="AS37" s="329" t="s">
        <v>1172</v>
      </c>
      <c r="AU37" s="330" t="s">
        <v>1192</v>
      </c>
      <c r="AV37" s="331" t="s">
        <v>1272</v>
      </c>
      <c r="AW37" s="331"/>
      <c r="AX37" s="332"/>
    </row>
    <row r="38" spans="1:50" hidden="1" x14ac:dyDescent="0.25">
      <c r="A38" s="8"/>
      <c r="B38" s="5" t="s">
        <v>116</v>
      </c>
      <c r="C38" s="8"/>
      <c r="D38" s="136" t="s">
        <v>118</v>
      </c>
      <c r="E38" s="5" t="s">
        <v>1279</v>
      </c>
      <c r="F38" s="6"/>
      <c r="G38" s="5" t="s">
        <v>119</v>
      </c>
      <c r="I38" s="24" t="str">
        <f>INDEX(($AO$27:$AP$28),MATCH(E39,$AN$27:$AN$28,0),MATCH(E40,$AO$26:$AP$26,0))</f>
        <v>KP2</v>
      </c>
      <c r="J38" s="24">
        <f>SUM(C37:C43)</f>
        <v>0</v>
      </c>
      <c r="K38" s="24" t="str">
        <f>INDEX(cennik!$C$2:$L$529,MATCH($I38,cennik!$B$2:$B$522,0),MATCH(K$2,cennik!$C$1:$L$1,0))</f>
        <v>szt.</v>
      </c>
      <c r="L38" s="24">
        <f>INDEX(cennik!$C$2:$L$529,MATCH($I38,cennik!$B$2:$B$522,0),MATCH(L$2,cennik!$C$1:$L$1,0))</f>
        <v>811710</v>
      </c>
      <c r="M38" s="24">
        <f>INDEX(cennik!$C$2:$L$529,MATCH($I38,cennik!$B$2:$B$522,0),MATCH(M$2,cennik!$C$1:$L$1,0))</f>
        <v>12602.69</v>
      </c>
      <c r="N38" s="24">
        <f>J38*M38</f>
        <v>0</v>
      </c>
      <c r="O38" s="35">
        <f>$E$42</f>
        <v>0</v>
      </c>
      <c r="P38" s="34">
        <f>M38*((100-$E$42)/100)</f>
        <v>12602.69</v>
      </c>
      <c r="Q38" s="34">
        <f>J38*P38</f>
        <v>0</v>
      </c>
      <c r="R38" s="24">
        <f>INDEX(cennik!$C$2:$L$529,MATCH($I38,cennik!$B$2:$B$522,0),MATCH($R$37,cennik!$C$1:$L$1,0))*J38</f>
        <v>0</v>
      </c>
      <c r="X38" s="323"/>
      <c r="AC38" s="342"/>
      <c r="AH38" s="323">
        <v>25</v>
      </c>
      <c r="AJ38" s="330"/>
      <c r="AK38" s="331"/>
      <c r="AL38" s="331"/>
      <c r="AM38" s="332"/>
      <c r="AP38" s="329" t="s">
        <v>1277</v>
      </c>
      <c r="AQ38" s="329">
        <v>21</v>
      </c>
      <c r="AR38" s="329">
        <v>1.4</v>
      </c>
      <c r="AS38" s="329" t="s">
        <v>1172</v>
      </c>
      <c r="AU38" s="330"/>
      <c r="AV38" s="331"/>
      <c r="AW38" s="331"/>
      <c r="AX38" s="332"/>
    </row>
    <row r="39" spans="1:50" hidden="1" x14ac:dyDescent="0.25">
      <c r="A39" s="8"/>
      <c r="B39" s="5" t="s">
        <v>116</v>
      </c>
      <c r="C39" s="8"/>
      <c r="D39" s="136" t="s">
        <v>1149</v>
      </c>
      <c r="E39" s="8" t="s">
        <v>1148</v>
      </c>
      <c r="F39" s="5"/>
      <c r="G39" s="5"/>
      <c r="I39" s="24" t="str">
        <f>IF(I38=AV34,AV39,IF(I38=AV35,AV40,IF(I38=AV36,AV41,IF(I38=AV37,AV42,0))))</f>
        <v>DKP2</v>
      </c>
      <c r="J39" s="24">
        <f>(A37-1)*C37+(A38-1)*C38+(A39-1)*C39+(A40-1)*C40+(A41-1)*C41+(A42-1)*C42+(A43-1)*C43</f>
        <v>0</v>
      </c>
      <c r="K39" s="24" t="str">
        <f>INDEX(cennik!$C$2:$L$529,MATCH($I39,cennik!$B$2:$B$522,0),MATCH(K$2,cennik!$C$1:$L$1,0))</f>
        <v>szt.</v>
      </c>
      <c r="L39" s="24">
        <f>INDEX(cennik!$C$2:$L$529,MATCH($I39,cennik!$B$2:$B$522,0),MATCH(L$2,cennik!$C$1:$L$1,0))</f>
        <v>811712</v>
      </c>
      <c r="M39" s="24">
        <f>INDEX(cennik!$C$2:$L$529,MATCH($I39,cennik!$B$2:$B$522,0),MATCH(M$2,cennik!$C$1:$L$1,0))</f>
        <v>10337.5</v>
      </c>
      <c r="N39" s="24">
        <f t="shared" ref="N39:N41" si="11">J39*M39</f>
        <v>0</v>
      </c>
      <c r="O39" s="35">
        <f t="shared" ref="O39:O41" si="12">$E$42</f>
        <v>0</v>
      </c>
      <c r="P39" s="34">
        <f>M39*((100-$E$42)/100)</f>
        <v>10337.5</v>
      </c>
      <c r="Q39" s="34">
        <f t="shared" ref="Q39:Q41" si="13">J39*P39</f>
        <v>0</v>
      </c>
      <c r="R39" s="24">
        <f>INDEX(cennik!$C$2:$L$529,MATCH($I39,cennik!$B$2:$B$522,0),MATCH($R$37,cennik!$C$1:$L$1,0))*J39</f>
        <v>0</v>
      </c>
      <c r="AC39" s="342"/>
      <c r="AH39" s="323">
        <v>26</v>
      </c>
      <c r="AJ39" s="330" t="s">
        <v>1181</v>
      </c>
      <c r="AK39" s="331" t="s">
        <v>1265</v>
      </c>
      <c r="AL39" s="331"/>
      <c r="AM39" s="332"/>
      <c r="AP39" s="329" t="s">
        <v>1278</v>
      </c>
      <c r="AQ39" s="329">
        <v>27</v>
      </c>
      <c r="AR39" s="329">
        <v>1.6</v>
      </c>
      <c r="AS39" s="329" t="s">
        <v>1173</v>
      </c>
      <c r="AU39" s="330" t="s">
        <v>1193</v>
      </c>
      <c r="AV39" s="331" t="s">
        <v>1273</v>
      </c>
      <c r="AW39" s="331"/>
      <c r="AX39" s="332"/>
    </row>
    <row r="40" spans="1:50" hidden="1" x14ac:dyDescent="0.25">
      <c r="A40" s="8"/>
      <c r="B40" s="5" t="s">
        <v>116</v>
      </c>
      <c r="C40" s="8"/>
      <c r="D40" s="136" t="s">
        <v>1160</v>
      </c>
      <c r="E40" s="8" t="s">
        <v>1148</v>
      </c>
      <c r="F40" s="137"/>
      <c r="G40" s="137"/>
      <c r="H40" s="137"/>
      <c r="I40" s="139" t="s">
        <v>1199</v>
      </c>
      <c r="J40" s="24">
        <f>IF(E41=AL19,J38,0)</f>
        <v>0</v>
      </c>
      <c r="K40" s="24" t="str">
        <f>INDEX(cennik!$C$2:$L$529,MATCH($I40,cennik!$B$2:$B$522,0),MATCH(K$2,cennik!$C$1:$L$1,0))</f>
        <v>szt.</v>
      </c>
      <c r="L40" s="24">
        <f>INDEX(cennik!$C$2:$L$529,MATCH($I40,cennik!$B$2:$B$522,0),MATCH(L$2,cennik!$C$1:$L$1,0))</f>
        <v>887686</v>
      </c>
      <c r="M40" s="24">
        <f>INDEX(cennik!$C$2:$L$529,MATCH($I40,cennik!$B$2:$B$522,0),MATCH(M$2,cennik!$C$1:$L$1,0))</f>
        <v>683.64</v>
      </c>
      <c r="N40" s="24">
        <f t="shared" si="11"/>
        <v>0</v>
      </c>
      <c r="O40" s="35">
        <f t="shared" si="12"/>
        <v>0</v>
      </c>
      <c r="P40" s="34">
        <f>M40*((100-$E$42)/100)</f>
        <v>683.64</v>
      </c>
      <c r="Q40" s="34">
        <f t="shared" si="13"/>
        <v>0</v>
      </c>
      <c r="R40" s="24">
        <f>INDEX(cennik!$C$2:$L$529,MATCH($I40,cennik!$B$2:$B$522,0),MATCH($R$37,cennik!$C$1:$L$1,0))*J40</f>
        <v>0</v>
      </c>
      <c r="AC40" s="342"/>
      <c r="AE40" s="323"/>
      <c r="AH40" s="323">
        <v>27</v>
      </c>
      <c r="AJ40" s="330" t="s">
        <v>1182</v>
      </c>
      <c r="AK40" s="331" t="s">
        <v>1266</v>
      </c>
      <c r="AL40" s="331"/>
      <c r="AM40" s="332"/>
      <c r="AP40" s="329" t="s">
        <v>1267</v>
      </c>
      <c r="AQ40" s="329">
        <v>27</v>
      </c>
      <c r="AR40" s="329">
        <v>1.6</v>
      </c>
      <c r="AS40" s="329" t="s">
        <v>1173</v>
      </c>
      <c r="AU40" s="330" t="s">
        <v>1194</v>
      </c>
      <c r="AV40" s="331" t="s">
        <v>1274</v>
      </c>
      <c r="AW40" s="331"/>
      <c r="AX40" s="332"/>
    </row>
    <row r="41" spans="1:50" hidden="1" x14ac:dyDescent="0.25">
      <c r="A41" s="8"/>
      <c r="B41" s="5" t="s">
        <v>116</v>
      </c>
      <c r="C41" s="8"/>
      <c r="D41" s="136" t="s">
        <v>1150</v>
      </c>
      <c r="E41" s="8" t="s">
        <v>1148</v>
      </c>
      <c r="F41" s="137"/>
      <c r="G41" s="137"/>
      <c r="H41" s="137"/>
      <c r="I41" s="139" t="s">
        <v>1200</v>
      </c>
      <c r="J41" s="24">
        <f>IF(E41=AL19,J39,0)</f>
        <v>0</v>
      </c>
      <c r="K41" s="24" t="str">
        <f>INDEX(cennik!$C$2:$L$529,MATCH($I41,cennik!$B$2:$B$522,0),MATCH(K$2,cennik!$C$1:$L$1,0))</f>
        <v>szt.</v>
      </c>
      <c r="L41" s="24">
        <f>INDEX(cennik!$C$2:$L$529,MATCH($I41,cennik!$B$2:$B$522,0),MATCH(L$2,cennik!$C$1:$L$1,0))</f>
        <v>887696</v>
      </c>
      <c r="M41" s="24">
        <f>INDEX(cennik!$C$2:$L$529,MATCH($I41,cennik!$B$2:$B$522,0),MATCH(M$2,cennik!$C$1:$L$1,0))</f>
        <v>797.58</v>
      </c>
      <c r="N41" s="24">
        <f t="shared" si="11"/>
        <v>0</v>
      </c>
      <c r="O41" s="35">
        <f t="shared" si="12"/>
        <v>0</v>
      </c>
      <c r="P41" s="34">
        <f>M41*((100-$E$42)/100)</f>
        <v>797.58</v>
      </c>
      <c r="Q41" s="34">
        <f t="shared" si="13"/>
        <v>0</v>
      </c>
      <c r="R41" s="24">
        <f>INDEX(cennik!$C$2:$L$529,MATCH($I41,cennik!$B$2:$B$522,0),MATCH($R$37,cennik!$C$1:$L$1,0))*J41</f>
        <v>0</v>
      </c>
      <c r="AE41" s="323"/>
      <c r="AH41" s="323">
        <v>28</v>
      </c>
      <c r="AJ41" s="330" t="s">
        <v>1183</v>
      </c>
      <c r="AK41" s="331" t="s">
        <v>1267</v>
      </c>
      <c r="AL41" s="331"/>
      <c r="AM41" s="332"/>
      <c r="AP41" s="335"/>
      <c r="AR41" s="331"/>
      <c r="AS41" s="331"/>
      <c r="AU41" s="330" t="s">
        <v>1195</v>
      </c>
      <c r="AV41" s="331" t="s">
        <v>1275</v>
      </c>
      <c r="AW41" s="331"/>
      <c r="AX41" s="332"/>
    </row>
    <row r="42" spans="1:50" ht="15.75" hidden="1" thickBot="1" x14ac:dyDescent="0.3">
      <c r="A42" s="8"/>
      <c r="B42" s="5" t="s">
        <v>116</v>
      </c>
      <c r="C42" s="8"/>
      <c r="D42" s="136" t="s">
        <v>162</v>
      </c>
      <c r="E42" s="8">
        <v>0</v>
      </c>
      <c r="G42" s="5" t="s">
        <v>163</v>
      </c>
      <c r="Q42" s="138">
        <f>SUM(Q38:Q41)</f>
        <v>0</v>
      </c>
      <c r="R42" s="138">
        <f>SUM(R38:R41)</f>
        <v>0</v>
      </c>
      <c r="AH42" s="323">
        <v>29</v>
      </c>
      <c r="AJ42" s="336" t="s">
        <v>1184</v>
      </c>
      <c r="AK42" s="337" t="s">
        <v>1268</v>
      </c>
      <c r="AL42" s="337"/>
      <c r="AM42" s="338"/>
      <c r="AP42" s="335"/>
      <c r="AR42" s="331"/>
      <c r="AS42" s="331"/>
      <c r="AU42" s="336" t="s">
        <v>1196</v>
      </c>
      <c r="AV42" s="337" t="s">
        <v>1276</v>
      </c>
      <c r="AW42" s="337"/>
      <c r="AX42" s="338"/>
    </row>
    <row r="43" spans="1:50" hidden="1" x14ac:dyDescent="0.25">
      <c r="A43" s="8"/>
      <c r="B43" s="5" t="s">
        <v>116</v>
      </c>
      <c r="C43" s="8"/>
      <c r="D43" s="4"/>
      <c r="AH43" s="323">
        <v>30</v>
      </c>
    </row>
    <row r="44" spans="1:50" x14ac:dyDescent="0.25"/>
    <row r="45" spans="1:50" x14ac:dyDescent="0.25">
      <c r="AI45" s="87" t="s">
        <v>1321</v>
      </c>
    </row>
    <row r="46" spans="1:50" x14ac:dyDescent="0.25">
      <c r="B46" s="3"/>
      <c r="C46" s="3"/>
      <c r="D46" s="4"/>
      <c r="E46" s="4"/>
      <c r="F46" s="4"/>
      <c r="G46" s="4"/>
      <c r="I46" s="360" t="s">
        <v>1317</v>
      </c>
      <c r="J46" s="360"/>
      <c r="K46" s="360"/>
      <c r="L46" s="360"/>
      <c r="M46" s="360"/>
      <c r="N46" s="360"/>
      <c r="O46" s="360"/>
      <c r="P46" s="360"/>
      <c r="Q46" s="360"/>
      <c r="R46" s="360"/>
      <c r="AI46" s="87" t="s">
        <v>1322</v>
      </c>
    </row>
    <row r="47" spans="1:50" ht="26.25" x14ac:dyDescent="0.25">
      <c r="A47" s="3" t="s">
        <v>1318</v>
      </c>
      <c r="B47" s="5"/>
      <c r="C47" s="5"/>
      <c r="I47" s="5" t="s">
        <v>103</v>
      </c>
      <c r="J47" s="5" t="s">
        <v>290</v>
      </c>
      <c r="K47" s="5" t="s">
        <v>107</v>
      </c>
      <c r="L47" s="5" t="s">
        <v>104</v>
      </c>
      <c r="M47" s="5" t="s">
        <v>446</v>
      </c>
      <c r="N47" s="5" t="s">
        <v>448</v>
      </c>
      <c r="O47" s="5" t="s">
        <v>409</v>
      </c>
      <c r="P47" s="5" t="s">
        <v>447</v>
      </c>
      <c r="Q47" s="5" t="s">
        <v>449</v>
      </c>
      <c r="R47" s="5" t="s">
        <v>106</v>
      </c>
      <c r="X47" s="87" t="s">
        <v>1324</v>
      </c>
    </row>
    <row r="48" spans="1:50" x14ac:dyDescent="0.25">
      <c r="A48" s="8">
        <v>0</v>
      </c>
      <c r="B48" s="5"/>
      <c r="C48" s="5"/>
      <c r="D48" s="136" t="s">
        <v>1319</v>
      </c>
      <c r="E48" s="8" t="s">
        <v>1321</v>
      </c>
      <c r="F48" s="6"/>
      <c r="G48" s="5"/>
      <c r="I48" s="24" t="str">
        <f>IF(E48=AI45,X47,IF(E48=AI46,X48,0))</f>
        <v>SLWP1500</v>
      </c>
      <c r="J48" s="24">
        <f>A48</f>
        <v>0</v>
      </c>
      <c r="K48" s="24" t="str">
        <f>INDEX(cennik!$C$2:$L$529,MATCH($I48,cennik!$B$2:$B$522,0),MATCH(K$47,cennik!$C$1:$L$1,0))</f>
        <v>szt.</v>
      </c>
      <c r="L48" s="24">
        <f>INDEX(cennik!$C$2:$L$529,MATCH($I48,cennik!$B$2:$B$522,0),MATCH(L$47,cennik!$C$1:$L$1,0))</f>
        <v>881511</v>
      </c>
      <c r="M48" s="24">
        <f>INDEX(cennik!$C$2:$L$529,MATCH($I48,cennik!$B$2:$B$522,0),MATCH(M$47,cennik!$C$1:$L$1,0))</f>
        <v>6941.35</v>
      </c>
      <c r="N48" s="24">
        <f>J48*M48</f>
        <v>0</v>
      </c>
      <c r="O48" s="35">
        <f>$E$50</f>
        <v>0</v>
      </c>
      <c r="P48" s="34">
        <f>M48*((100-$E$50)/100)</f>
        <v>6941.35</v>
      </c>
      <c r="Q48" s="34">
        <f>J48*P48</f>
        <v>0</v>
      </c>
      <c r="R48" s="24">
        <f>INDEX(cennik!$C$2:$L$529,MATCH($I48,cennik!$B$2:$B$522,0),MATCH($R$47,cennik!$C$1:$L$1,0))*J48</f>
        <v>0</v>
      </c>
      <c r="X48" s="87" t="s">
        <v>1325</v>
      </c>
      <c r="AI48" s="87">
        <v>11</v>
      </c>
    </row>
    <row r="49" spans="1:35" x14ac:dyDescent="0.25">
      <c r="B49" s="5"/>
      <c r="C49" s="5"/>
      <c r="D49" s="136" t="s">
        <v>1320</v>
      </c>
      <c r="E49" s="8">
        <v>11</v>
      </c>
      <c r="F49" s="5"/>
      <c r="G49" s="5" t="s">
        <v>1323</v>
      </c>
      <c r="I49" s="24"/>
      <c r="J49" s="24"/>
      <c r="K49" s="24"/>
      <c r="L49" s="24"/>
      <c r="M49" s="24"/>
      <c r="N49" s="24"/>
      <c r="O49" s="35"/>
      <c r="P49" s="34"/>
      <c r="Q49" s="138">
        <f>SUM(Q48)</f>
        <v>0</v>
      </c>
      <c r="R49" s="138">
        <f>SUM(R48)</f>
        <v>0</v>
      </c>
      <c r="AI49" s="87">
        <v>22</v>
      </c>
    </row>
    <row r="50" spans="1:35" x14ac:dyDescent="0.25">
      <c r="A50" s="5"/>
      <c r="B50" s="5"/>
      <c r="C50" s="5"/>
      <c r="D50" s="136" t="s">
        <v>162</v>
      </c>
      <c r="E50" s="8">
        <v>0</v>
      </c>
      <c r="G50" s="5" t="s">
        <v>163</v>
      </c>
      <c r="H50" s="137"/>
      <c r="I50" s="139"/>
      <c r="J50" s="24"/>
      <c r="K50" s="24"/>
      <c r="L50" s="24"/>
      <c r="M50" s="24"/>
      <c r="N50" s="24"/>
      <c r="O50" s="35"/>
      <c r="P50" s="34"/>
      <c r="Q50" s="34"/>
      <c r="R50" s="24"/>
    </row>
    <row r="51" spans="1:35" x14ac:dyDescent="0.25">
      <c r="A51" s="5"/>
      <c r="B51" s="5"/>
      <c r="C51" s="5"/>
      <c r="D51" s="217" t="s">
        <v>1326</v>
      </c>
      <c r="E51" s="5"/>
      <c r="F51" s="137"/>
      <c r="G51" s="137"/>
      <c r="H51" s="137"/>
      <c r="I51" s="139"/>
      <c r="J51" s="24"/>
      <c r="K51" s="24"/>
      <c r="L51" s="24"/>
      <c r="M51" s="24"/>
      <c r="N51" s="24"/>
      <c r="O51" s="35"/>
      <c r="P51" s="34"/>
      <c r="Q51" s="34"/>
      <c r="R51" s="24"/>
    </row>
    <row r="52" spans="1:35" x14ac:dyDescent="0.25">
      <c r="A52" s="5"/>
      <c r="B52" s="5"/>
      <c r="C52" s="5"/>
      <c r="D52" s="136"/>
      <c r="E52" s="5"/>
      <c r="G52" s="5"/>
    </row>
    <row r="53" spans="1:35" x14ac:dyDescent="0.25">
      <c r="A53" s="5"/>
      <c r="B53" s="5"/>
      <c r="C53" s="5"/>
      <c r="D53" s="4"/>
    </row>
    <row r="54" spans="1:35" x14ac:dyDescent="0.25"/>
    <row r="55" spans="1:35" x14ac:dyDescent="0.25"/>
    <row r="56" spans="1:35" x14ac:dyDescent="0.25"/>
    <row r="57" spans="1:35" x14ac:dyDescent="0.25"/>
    <row r="58" spans="1:35" x14ac:dyDescent="0.25"/>
    <row r="59" spans="1:35" x14ac:dyDescent="0.25"/>
    <row r="60" spans="1:35" x14ac:dyDescent="0.25"/>
    <row r="61" spans="1:35" x14ac:dyDescent="0.25"/>
    <row r="62" spans="1:35" x14ac:dyDescent="0.25"/>
    <row r="63" spans="1:35" x14ac:dyDescent="0.25"/>
    <row r="64" spans="1:35" x14ac:dyDescent="0.25"/>
  </sheetData>
  <sheetProtection algorithmName="SHA-512" hashValue="mT1RNEA0ADi48+7hO/F1mrVGTTa7x3yPEUcPB3SGiioSEX2Z0JczoxvKCV47KAa7rtOdkM27Ia0ztx+Y2eJ8sQ==" saltValue="djZNLKfg24hv36f2u94gQg==" spinCount="100000" sheet="1" objects="1" scenarios="1"/>
  <mergeCells count="5">
    <mergeCell ref="I1:R1"/>
    <mergeCell ref="I13:R13"/>
    <mergeCell ref="I24:R24"/>
    <mergeCell ref="I36:R36"/>
    <mergeCell ref="I46:R46"/>
  </mergeCells>
  <phoneticPr fontId="40" type="noConversion"/>
  <dataValidations count="9">
    <dataValidation type="list" allowBlank="1" showInputMessage="1" showErrorMessage="1" sqref="A2:A8 A14:A20 A25:A31 A37:A43" xr:uid="{5E6DFCB3-664D-42AE-957A-BEA1E1CCFD47}">
      <formula1>$AH$13:$AH$43</formula1>
    </dataValidation>
    <dataValidation type="list" allowBlank="1" showInputMessage="1" showErrorMessage="1" sqref="E4 E16 E27 E39" xr:uid="{CC366C2C-C7AB-4744-9656-D60303EDCA45}">
      <formula1>$Z$6:$Z$7</formula1>
    </dataValidation>
    <dataValidation type="list" allowBlank="1" showInputMessage="1" showErrorMessage="1" sqref="E6 E18 E29 E41 E51" xr:uid="{2381C3F0-027A-4164-BBF6-622AE740D55E}">
      <formula1>$Z$9:$Z$10</formula1>
    </dataValidation>
    <dataValidation type="list" allowBlank="1" showInputMessage="1" showErrorMessage="1" sqref="E5 E17 E28 E40" xr:uid="{55520F92-6480-47C9-B260-40DAA082D40F}">
      <formula1>$Z$3:$Z$4</formula1>
    </dataValidation>
    <dataValidation type="custom" showInputMessage="1" showErrorMessage="1" error="W pierwszej kolejności należy uzupełnić ilość stanowisk" sqref="C2:C8 C14:C20 C25:C31 C37:C43" xr:uid="{9CA3646E-3BD2-414B-9D4B-5D14C59078EE}">
      <formula1>A2&gt;0</formula1>
    </dataValidation>
    <dataValidation type="whole" allowBlank="1" showInputMessage="1" showErrorMessage="1" sqref="A48" xr:uid="{40DCA073-0310-4E25-B731-8D13F028BE37}">
      <formula1>0</formula1>
      <formula2>200</formula2>
    </dataValidation>
    <dataValidation type="custom" showInputMessage="1" showErrorMessage="1" error="W pierwszej kolejności należy uzupełnić ilość stanowisk" sqref="C47:C53" xr:uid="{D99A1422-931F-4607-833B-2C60D03352E8}">
      <formula1>A48&gt;0</formula1>
    </dataValidation>
    <dataValidation type="list" allowBlank="1" showInputMessage="1" showErrorMessage="1" sqref="E49" xr:uid="{07E5B383-0D11-44A6-9C8F-D15980A18921}">
      <formula1>$AI$48:$AI$49</formula1>
    </dataValidation>
    <dataValidation type="list" allowBlank="1" showInputMessage="1" showErrorMessage="1" sqref="E48" xr:uid="{7D17F7CC-965F-4F41-B542-53EA4F191DA2}">
      <formula1>AI45:AI46</formula1>
    </dataValidation>
  </dataValidations>
  <hyperlinks>
    <hyperlink ref="D51" r:id="rId1" display="Broszura " xr:uid="{1B814928-2D0F-4984-AB98-D4BD64E57C36}"/>
    <hyperlink ref="D8" r:id="rId2" xr:uid="{08801B19-F695-42E0-BE0F-849B7B0432D8}"/>
    <hyperlink ref="D9" r:id="rId3" xr:uid="{6EB0D3A8-1EEF-45D6-AC3D-B30253E05F8C}"/>
    <hyperlink ref="D10" r:id="rId4" xr:uid="{0F7E2C1D-6D8F-4DAB-BB13-16E10F32775C}"/>
    <hyperlink ref="D20" r:id="rId5" xr:uid="{52C24C30-1DE0-4F23-AF22-646EF5D1B18B}"/>
    <hyperlink ref="D21" r:id="rId6" xr:uid="{80F307F5-4943-4AE2-813F-2A24F89B1000}"/>
    <hyperlink ref="D22" r:id="rId7" xr:uid="{8B36D40F-29B4-478F-8DF0-1E2651BC4E44}"/>
    <hyperlink ref="D23" r:id="rId8" xr:uid="{AA7AEC22-A6BA-4293-85BF-6FD9F1E61375}"/>
  </hyperlinks>
  <pageMargins left="0.7" right="0.7" top="0.75" bottom="0.75" header="0.3" footer="0.3"/>
  <pageSetup paperSize="9" orientation="portrait" r:id="rId9"/>
  <drawing r:id="rId10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Arkusz6"/>
  <dimension ref="A1:W39"/>
  <sheetViews>
    <sheetView showGridLines="0" zoomScaleNormal="100" workbookViewId="0">
      <selection activeCell="H55" sqref="H55"/>
    </sheetView>
  </sheetViews>
  <sheetFormatPr defaultColWidth="0" defaultRowHeight="12.75" zeroHeight="1" x14ac:dyDescent="0.2"/>
  <cols>
    <col min="1" max="1" width="30.5703125" style="4" bestFit="1" customWidth="1"/>
    <col min="2" max="2" width="14.28515625" style="4" bestFit="1" customWidth="1"/>
    <col min="3" max="3" width="15.85546875" style="4" bestFit="1" customWidth="1"/>
    <col min="4" max="10" width="9.140625" style="54" customWidth="1"/>
    <col min="11" max="19" width="9.140625" style="20" hidden="1" customWidth="1"/>
    <col min="20" max="20" width="9.140625" style="84" hidden="1" customWidth="1"/>
    <col min="21" max="22" width="9.140625" style="20" hidden="1" customWidth="1"/>
    <col min="23" max="23" width="9.140625" style="2" hidden="1" customWidth="1"/>
    <col min="24" max="16384" width="9.140625" style="4" hidden="1"/>
  </cols>
  <sheetData>
    <row r="1" spans="1:20" ht="15.75" x14ac:dyDescent="0.25">
      <c r="A1" s="364" t="s">
        <v>442</v>
      </c>
      <c r="B1" s="364"/>
      <c r="C1" s="364"/>
      <c r="D1" s="41"/>
      <c r="T1" s="18"/>
    </row>
    <row r="2" spans="1:20" x14ac:dyDescent="0.2">
      <c r="A2" s="14" t="s">
        <v>413</v>
      </c>
      <c r="B2" s="14" t="s">
        <v>414</v>
      </c>
      <c r="C2" s="14" t="s">
        <v>415</v>
      </c>
      <c r="D2" s="41"/>
      <c r="T2" s="18"/>
    </row>
    <row r="3" spans="1:20" x14ac:dyDescent="0.2">
      <c r="A3" s="55">
        <v>1</v>
      </c>
      <c r="B3" s="55">
        <v>555</v>
      </c>
      <c r="C3" s="56">
        <f>CEILING(((A3*1000000)/B3),1)</f>
        <v>1802</v>
      </c>
      <c r="D3" s="41"/>
      <c r="T3" s="18"/>
    </row>
    <row r="4" spans="1:20" x14ac:dyDescent="0.2">
      <c r="A4" s="14" t="s">
        <v>416</v>
      </c>
      <c r="B4" s="14" t="s">
        <v>414</v>
      </c>
      <c r="C4" s="14" t="s">
        <v>415</v>
      </c>
      <c r="D4" s="41"/>
      <c r="F4" s="57"/>
      <c r="G4" s="54" t="s">
        <v>420</v>
      </c>
      <c r="T4" s="18"/>
    </row>
    <row r="5" spans="1:20" x14ac:dyDescent="0.2">
      <c r="A5" s="55">
        <v>1</v>
      </c>
      <c r="B5" s="55">
        <v>250</v>
      </c>
      <c r="C5" s="56">
        <f>CEILING(((A5*1000)/B5),1)</f>
        <v>4</v>
      </c>
      <c r="D5" s="41"/>
      <c r="F5" s="58"/>
      <c r="G5" s="54" t="s">
        <v>421</v>
      </c>
      <c r="T5" s="18"/>
    </row>
    <row r="6" spans="1:20" x14ac:dyDescent="0.2">
      <c r="A6" s="14"/>
      <c r="B6" s="14"/>
      <c r="C6" s="14"/>
      <c r="D6" s="41"/>
      <c r="T6" s="18"/>
    </row>
    <row r="7" spans="1:20" ht="15.75" x14ac:dyDescent="0.25">
      <c r="A7" s="364" t="s">
        <v>429</v>
      </c>
      <c r="B7" s="364"/>
      <c r="C7" s="14"/>
      <c r="D7" s="41"/>
      <c r="T7" s="18"/>
    </row>
    <row r="8" spans="1:20" x14ac:dyDescent="0.2">
      <c r="A8" s="14" t="s">
        <v>417</v>
      </c>
      <c r="B8" s="14" t="s">
        <v>418</v>
      </c>
      <c r="C8" s="14"/>
      <c r="D8" s="41"/>
      <c r="T8" s="18"/>
    </row>
    <row r="9" spans="1:20" x14ac:dyDescent="0.2">
      <c r="A9" s="55">
        <v>1</v>
      </c>
      <c r="B9" s="56">
        <f>A9*1000</f>
        <v>1000</v>
      </c>
      <c r="C9" s="14"/>
      <c r="D9" s="41"/>
      <c r="T9" s="18"/>
    </row>
    <row r="10" spans="1:20" x14ac:dyDescent="0.2">
      <c r="A10" s="14" t="s">
        <v>419</v>
      </c>
      <c r="B10" s="14" t="s">
        <v>417</v>
      </c>
      <c r="C10" s="14"/>
      <c r="D10" s="41"/>
      <c r="T10" s="18"/>
    </row>
    <row r="11" spans="1:20" x14ac:dyDescent="0.2">
      <c r="A11" s="55">
        <v>1</v>
      </c>
      <c r="B11" s="56">
        <f>A11*1000</f>
        <v>1000</v>
      </c>
      <c r="C11" s="14"/>
      <c r="D11" s="41"/>
      <c r="R11" s="20" t="s">
        <v>133</v>
      </c>
      <c r="T11" s="18"/>
    </row>
    <row r="12" spans="1:20" x14ac:dyDescent="0.2">
      <c r="A12" s="14" t="s">
        <v>419</v>
      </c>
      <c r="B12" s="14" t="s">
        <v>418</v>
      </c>
      <c r="C12" s="14"/>
      <c r="D12" s="41"/>
      <c r="R12" s="20" t="s">
        <v>123</v>
      </c>
      <c r="T12" s="18">
        <v>10</v>
      </c>
    </row>
    <row r="13" spans="1:20" x14ac:dyDescent="0.2">
      <c r="A13" s="55">
        <v>1</v>
      </c>
      <c r="B13" s="56">
        <f>A13*1000000</f>
        <v>1000000</v>
      </c>
      <c r="C13" s="14"/>
      <c r="D13" s="41"/>
      <c r="T13" s="18">
        <v>15</v>
      </c>
    </row>
    <row r="14" spans="1:20" x14ac:dyDescent="0.2">
      <c r="A14" s="14" t="s">
        <v>418</v>
      </c>
      <c r="B14" s="14" t="s">
        <v>417</v>
      </c>
      <c r="C14" s="14"/>
      <c r="D14" s="41"/>
      <c r="R14" s="20" t="s">
        <v>440</v>
      </c>
      <c r="T14" s="18">
        <v>20</v>
      </c>
    </row>
    <row r="15" spans="1:20" x14ac:dyDescent="0.2">
      <c r="A15" s="55">
        <v>1000</v>
      </c>
      <c r="B15" s="56">
        <f>A15/1000</f>
        <v>1</v>
      </c>
      <c r="C15" s="14"/>
      <c r="D15" s="41"/>
      <c r="R15" s="20" t="s">
        <v>441</v>
      </c>
      <c r="T15" s="18">
        <v>25</v>
      </c>
    </row>
    <row r="16" spans="1:20" x14ac:dyDescent="0.2">
      <c r="A16" s="14" t="s">
        <v>418</v>
      </c>
      <c r="B16" s="14" t="s">
        <v>419</v>
      </c>
      <c r="C16" s="14"/>
      <c r="D16" s="41"/>
      <c r="T16" s="18">
        <v>30</v>
      </c>
    </row>
    <row r="17" spans="1:21" x14ac:dyDescent="0.2">
      <c r="A17" s="55">
        <v>1000000</v>
      </c>
      <c r="B17" s="56">
        <f>A17/1000000</f>
        <v>1</v>
      </c>
      <c r="C17" s="14"/>
      <c r="D17" s="41"/>
      <c r="T17" s="18">
        <v>35</v>
      </c>
    </row>
    <row r="18" spans="1:21" x14ac:dyDescent="0.2">
      <c r="A18" s="14"/>
      <c r="B18" s="14"/>
      <c r="C18" s="14"/>
      <c r="D18" s="41"/>
      <c r="T18" s="18"/>
    </row>
    <row r="19" spans="1:21" ht="15" customHeight="1" x14ac:dyDescent="0.2">
      <c r="A19" s="365" t="s">
        <v>430</v>
      </c>
      <c r="B19" s="365"/>
      <c r="T19" s="18"/>
    </row>
    <row r="20" spans="1:21" ht="15" customHeight="1" x14ac:dyDescent="0.2">
      <c r="A20" s="365"/>
      <c r="B20" s="365"/>
      <c r="R20" s="20" t="s">
        <v>440</v>
      </c>
      <c r="T20" s="18"/>
    </row>
    <row r="21" spans="1:21" x14ac:dyDescent="0.2">
      <c r="A21" s="4" t="s">
        <v>428</v>
      </c>
      <c r="B21" s="55" t="s">
        <v>133</v>
      </c>
      <c r="L21" s="20" t="s">
        <v>433</v>
      </c>
      <c r="M21" s="2">
        <f>ROUNDUP((SIN(RADIANS($B$34))*((4*$B$33)+60))*TAN(((90-$B$35)*3.14)/180),0)</f>
        <v>8554</v>
      </c>
      <c r="R21" s="20" t="s">
        <v>433</v>
      </c>
      <c r="S21" s="20">
        <f>T21-U21</f>
        <v>2100</v>
      </c>
      <c r="T21" s="18">
        <v>2900</v>
      </c>
      <c r="U21" s="20">
        <v>800</v>
      </c>
    </row>
    <row r="22" spans="1:21" x14ac:dyDescent="0.2">
      <c r="A22" s="4" t="s">
        <v>423</v>
      </c>
      <c r="B22" s="55">
        <v>3</v>
      </c>
      <c r="L22" s="20" t="s">
        <v>434</v>
      </c>
      <c r="M22" s="2">
        <f>ROUNDUP((SIN(RADIANS($B$34))*((5*$B$33)+80))*TAN(((90-$B$35)*3.14)/180),0)</f>
        <v>10702</v>
      </c>
      <c r="R22" s="20" t="s">
        <v>434</v>
      </c>
      <c r="S22" s="20">
        <f t="shared" ref="S22:S27" si="0">T22-U22</f>
        <v>2600</v>
      </c>
      <c r="T22" s="18">
        <v>3400</v>
      </c>
      <c r="U22" s="20">
        <v>800</v>
      </c>
    </row>
    <row r="23" spans="1:21" x14ac:dyDescent="0.2">
      <c r="A23" s="4" t="s">
        <v>424</v>
      </c>
      <c r="B23" s="55">
        <v>1650</v>
      </c>
      <c r="L23" s="20" t="s">
        <v>435</v>
      </c>
      <c r="M23" s="2">
        <f>ROUNDUP((SIN(RADIANS($B$34))*((6*$B$33)+100))*TAN(((90-$B$35)*3.14)/180),0)</f>
        <v>12849</v>
      </c>
      <c r="R23" s="20" t="s">
        <v>435</v>
      </c>
      <c r="S23" s="20">
        <f t="shared" si="0"/>
        <v>3000</v>
      </c>
      <c r="T23" s="18">
        <v>3700</v>
      </c>
      <c r="U23" s="20">
        <v>700</v>
      </c>
    </row>
    <row r="24" spans="1:21" x14ac:dyDescent="0.2">
      <c r="A24" s="4" t="s">
        <v>425</v>
      </c>
      <c r="B24" s="55">
        <v>992</v>
      </c>
      <c r="L24" s="20" t="s">
        <v>436</v>
      </c>
      <c r="M24" s="2">
        <f>ROUNDUP((SIN(RADIANS($B$34))*((2*$B$32)+20))*TAN(((90-$B$35)*3.14)/180),0)</f>
        <v>7110</v>
      </c>
      <c r="R24" s="20" t="s">
        <v>436</v>
      </c>
      <c r="S24" s="20">
        <f t="shared" si="0"/>
        <v>1700</v>
      </c>
      <c r="T24" s="18">
        <v>2500</v>
      </c>
      <c r="U24" s="20">
        <v>800</v>
      </c>
    </row>
    <row r="25" spans="1:21" x14ac:dyDescent="0.2">
      <c r="A25" s="4" t="s">
        <v>426</v>
      </c>
      <c r="B25" s="55">
        <v>15</v>
      </c>
      <c r="L25" s="20" t="s">
        <v>437</v>
      </c>
      <c r="M25" s="2">
        <f>ROUNDUP((SIN(RADIANS($B$34))*((3*$B$32)+40))*TAN(((90-$B$35)*3.14)/180),0)</f>
        <v>10683</v>
      </c>
      <c r="R25" s="20" t="s">
        <v>437</v>
      </c>
      <c r="S25" s="20">
        <f t="shared" si="0"/>
        <v>2500</v>
      </c>
      <c r="T25" s="18">
        <v>3200</v>
      </c>
      <c r="U25" s="20">
        <v>700</v>
      </c>
    </row>
    <row r="26" spans="1:21" x14ac:dyDescent="0.2">
      <c r="A26" s="4" t="s">
        <v>427</v>
      </c>
      <c r="B26" s="55">
        <v>15</v>
      </c>
      <c r="L26" s="20" t="s">
        <v>438</v>
      </c>
      <c r="M26" s="2">
        <f>ROUNDUP((SIN(RADIANS($B$34))*((2*$B$32)+20))*TAN(((90-$B$35)*3.14)/180),0)</f>
        <v>7110</v>
      </c>
      <c r="R26" s="20" t="s">
        <v>438</v>
      </c>
      <c r="S26" s="20">
        <f t="shared" si="0"/>
        <v>1800</v>
      </c>
      <c r="T26" s="18">
        <v>2500</v>
      </c>
      <c r="U26" s="20">
        <v>700</v>
      </c>
    </row>
    <row r="27" spans="1:21" x14ac:dyDescent="0.2">
      <c r="A27" s="4" t="s">
        <v>422</v>
      </c>
      <c r="B27" s="56">
        <f>ROUNDUP((SIN(RADIANS(B26))*(IF(B21=R11,B24,IF(B21=R12,B23,0))))*TAN((((90-B25)-$B$22)*3.14)/180),0)</f>
        <v>789</v>
      </c>
      <c r="L27" s="20" t="s">
        <v>439</v>
      </c>
      <c r="M27" s="2">
        <f>ROUNDUP((SIN(RADIANS($B$34))*((3*$B$33)+40))*TAN(((90-$B$35)*3.14)/180),0)</f>
        <v>6406</v>
      </c>
      <c r="R27" s="20" t="s">
        <v>439</v>
      </c>
      <c r="S27" s="20">
        <f t="shared" si="0"/>
        <v>1600</v>
      </c>
      <c r="T27" s="18">
        <v>2300</v>
      </c>
      <c r="U27" s="20">
        <v>700</v>
      </c>
    </row>
    <row r="28" spans="1:21" x14ac:dyDescent="0.2">
      <c r="T28" s="18"/>
    </row>
    <row r="29" spans="1:21" ht="15" customHeight="1" x14ac:dyDescent="0.2">
      <c r="A29" s="365" t="s">
        <v>431</v>
      </c>
      <c r="B29" s="365"/>
      <c r="R29" s="20" t="s">
        <v>441</v>
      </c>
      <c r="T29" s="18"/>
    </row>
    <row r="30" spans="1:21" ht="15" customHeight="1" x14ac:dyDescent="0.2">
      <c r="A30" s="365"/>
      <c r="B30" s="365"/>
      <c r="R30" s="20" t="s">
        <v>433</v>
      </c>
      <c r="S30" s="20">
        <f>T30-U30</f>
        <v>2100</v>
      </c>
      <c r="T30" s="18">
        <v>2900</v>
      </c>
      <c r="U30" s="20">
        <v>800</v>
      </c>
    </row>
    <row r="31" spans="1:21" x14ac:dyDescent="0.2">
      <c r="A31" s="4" t="s">
        <v>432</v>
      </c>
      <c r="B31" s="55" t="s">
        <v>436</v>
      </c>
      <c r="R31" s="20" t="s">
        <v>434</v>
      </c>
      <c r="S31" s="20">
        <f t="shared" ref="S31:S36" si="1">T31-U31</f>
        <v>2600</v>
      </c>
      <c r="T31" s="18">
        <v>3400</v>
      </c>
      <c r="U31" s="20">
        <v>800</v>
      </c>
    </row>
    <row r="32" spans="1:21" x14ac:dyDescent="0.2">
      <c r="A32" s="4" t="s">
        <v>424</v>
      </c>
      <c r="B32" s="55">
        <v>1900</v>
      </c>
      <c r="R32" s="20" t="s">
        <v>435</v>
      </c>
      <c r="S32" s="20">
        <f t="shared" si="1"/>
        <v>3000</v>
      </c>
      <c r="T32" s="18">
        <v>3700</v>
      </c>
      <c r="U32" s="20">
        <v>700</v>
      </c>
    </row>
    <row r="33" spans="1:21" x14ac:dyDescent="0.2">
      <c r="A33" s="4" t="s">
        <v>425</v>
      </c>
      <c r="B33" s="55">
        <v>1134</v>
      </c>
      <c r="R33" s="20" t="s">
        <v>436</v>
      </c>
      <c r="S33" s="20">
        <f t="shared" si="1"/>
        <v>2100</v>
      </c>
      <c r="T33" s="18">
        <v>2900</v>
      </c>
      <c r="U33" s="20">
        <v>800</v>
      </c>
    </row>
    <row r="34" spans="1:21" x14ac:dyDescent="0.2">
      <c r="A34" s="4" t="s">
        <v>427</v>
      </c>
      <c r="B34" s="55">
        <v>30</v>
      </c>
      <c r="R34" s="20" t="s">
        <v>437</v>
      </c>
      <c r="S34" s="20">
        <f t="shared" si="1"/>
        <v>3200</v>
      </c>
      <c r="T34" s="18">
        <v>3900</v>
      </c>
      <c r="U34" s="20">
        <v>700</v>
      </c>
    </row>
    <row r="35" spans="1:21" x14ac:dyDescent="0.2">
      <c r="A35" s="4" t="s">
        <v>426</v>
      </c>
      <c r="B35" s="55">
        <v>15</v>
      </c>
      <c r="R35" s="20" t="s">
        <v>438</v>
      </c>
      <c r="S35" s="20">
        <f t="shared" si="1"/>
        <v>2200</v>
      </c>
      <c r="T35" s="18">
        <v>2900</v>
      </c>
      <c r="U35" s="20">
        <v>700</v>
      </c>
    </row>
    <row r="36" spans="1:21" x14ac:dyDescent="0.2">
      <c r="A36" s="4" t="s">
        <v>422</v>
      </c>
      <c r="B36" s="56">
        <f>INDEX((M21:M27),MATCH(B31,L21:L27,0))</f>
        <v>7110</v>
      </c>
      <c r="R36" s="20" t="s">
        <v>439</v>
      </c>
      <c r="S36" s="20">
        <f t="shared" si="1"/>
        <v>1600</v>
      </c>
      <c r="T36" s="18">
        <v>2300</v>
      </c>
      <c r="U36" s="20">
        <v>700</v>
      </c>
    </row>
    <row r="37" spans="1:21" x14ac:dyDescent="0.2">
      <c r="T37" s="18"/>
    </row>
    <row r="38" spans="1:21" x14ac:dyDescent="0.2">
      <c r="T38" s="18"/>
    </row>
    <row r="39" spans="1:21" x14ac:dyDescent="0.2">
      <c r="T39" s="18"/>
    </row>
  </sheetData>
  <sheetProtection algorithmName="SHA-512" hashValue="GALArQscgE5UmklrO/qIxeyHVVBcWrptocCZje/vzGQg14PAKfsnskSlvrErJPk9rfJ4UqwqVo+07MmG+AwKwA==" saltValue="c4kUDBjFckKyUzpgJKe3hw==" spinCount="100000" sheet="1" objects="1" scenarios="1"/>
  <mergeCells count="4">
    <mergeCell ref="A1:C1"/>
    <mergeCell ref="A19:B20"/>
    <mergeCell ref="A29:B30"/>
    <mergeCell ref="A7:B7"/>
  </mergeCells>
  <dataValidations count="6">
    <dataValidation type="list" allowBlank="1" showInputMessage="1" showErrorMessage="1" sqref="B21" xr:uid="{00000000-0002-0000-0600-000000000000}">
      <formula1>$R$11:$R$12</formula1>
    </dataValidation>
    <dataValidation type="list" allowBlank="1" showInputMessage="1" showErrorMessage="1" sqref="B26" xr:uid="{00000000-0002-0000-0600-000001000000}">
      <formula1>$T$12:$T$17</formula1>
    </dataValidation>
    <dataValidation type="list" allowBlank="1" showInputMessage="1" showErrorMessage="1" sqref="B31" xr:uid="{00000000-0002-0000-0600-000002000000}">
      <formula1>$R$21:$R$27</formula1>
    </dataValidation>
    <dataValidation type="list" allowBlank="1" showInputMessage="1" showErrorMessage="1" sqref="B34" xr:uid="{00000000-0002-0000-0600-000003000000}">
      <formula1>$T$15:$T$16</formula1>
    </dataValidation>
    <dataValidation type="whole" allowBlank="1" showInputMessage="1" showErrorMessage="1" sqref="B32" xr:uid="{00000000-0002-0000-0600-000004000000}">
      <formula1>1500</formula1>
      <formula2>2500</formula2>
    </dataValidation>
    <dataValidation type="whole" allowBlank="1" showInputMessage="1" showErrorMessage="1" sqref="B33" xr:uid="{00000000-0002-0000-0600-000005000000}">
      <formula1>900</formula1>
      <formula2>1500</formula2>
    </dataValidation>
  </dataValidation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10</vt:i4>
      </vt:variant>
    </vt:vector>
  </HeadingPairs>
  <TitlesOfParts>
    <vt:vector size="10" baseType="lpstr">
      <vt:lpstr>Warunki użytkowania+instrukcja</vt:lpstr>
      <vt:lpstr>cennik</vt:lpstr>
      <vt:lpstr>dachy skośne</vt:lpstr>
      <vt:lpstr>dachy płaskie v1</vt:lpstr>
      <vt:lpstr>dachy płaski</vt:lpstr>
      <vt:lpstr>konstrukcje wolnostojące v1</vt:lpstr>
      <vt:lpstr>konstrukcje wolnostojące</vt:lpstr>
      <vt:lpstr>elewacja+balustrady</vt:lpstr>
      <vt:lpstr>carport+ładowarki</vt:lpstr>
      <vt:lpstr>dodatki</vt:lpstr>
    </vt:vector>
  </TitlesOfParts>
  <Manager/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Kalkulator PV BAKS</dc:title>
  <dc:creator/>
  <cp:lastModifiedBy/>
  <dcterms:created xsi:type="dcterms:W3CDTF">2006-09-16T00:00:00Z</dcterms:created>
  <dcterms:modified xsi:type="dcterms:W3CDTF">2026-05-11T05:56:30Z</dcterms:modified>
</cp:coreProperties>
</file>